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athematica.sharepoint.com/sites/NJ-Benchmark-51588/Shared Documents/Task 3. Data collection and analysis/Task 3.1. Blueprint &amp; submitter materials/Carrier submission guide &amp; template/"/>
    </mc:Choice>
  </mc:AlternateContent>
  <xr:revisionPtr revIDLastSave="632" documentId="8_{7728B530-3CA0-457F-9D86-F781547036D7}" xr6:coauthVersionLast="47" xr6:coauthVersionMax="47" xr10:uidLastSave="{B080647E-DCD2-4B9F-82CC-697A9802638F}"/>
  <bookViews>
    <workbookView xWindow="-108" yWindow="-108" windowWidth="23256" windowHeight="12456" tabRatio="891" firstSheet="1" activeTab="1" xr2:uid="{01816E7F-7762-4536-8EDC-A4195A7A82EF}"/>
  </bookViews>
  <sheets>
    <sheet name="Validation Report" sheetId="24" state="hidden" r:id="rId1"/>
    <sheet name="Contents" sheetId="1" r:id="rId2"/>
    <sheet name="Reference Tables" sheetId="9" r:id="rId3"/>
    <sheet name="1. Cover Page" sheetId="21" r:id="rId4"/>
    <sheet name="2. Total Medical Expenses" sheetId="3" r:id="rId5"/>
    <sheet name="3. Age and Sex Factors " sheetId="22" r:id="rId6"/>
    <sheet name="4. Standard Deviation" sheetId="10" r:id="rId7"/>
    <sheet name="5. Line of Business Enrollment" sheetId="20" r:id="rId8"/>
    <sheet name="6. Pharmacy Rebates" sheetId="7" r:id="rId9"/>
    <sheet name="7. Mandatory Questions" sheetId="19" r:id="rId10"/>
    <sheet name="Data Validation Checks" sheetId="25" r:id="rId11"/>
    <sheet name="Validation by Market" sheetId="26" r:id="rId12"/>
    <sheet name="Validation by Provider" sheetId="27" r:id="rId13"/>
    <sheet name="CMSPubliclyAvailData" sheetId="23" state="hidden" r:id="rId14"/>
  </sheets>
  <definedNames>
    <definedName name="_xlnm._FilterDatabase" localSheetId="0" hidden="1">'Validation Report'!$A$46:$C$48</definedName>
    <definedName name="_ftn1" localSheetId="2">'Reference Tables'!$B$5</definedName>
    <definedName name="_ftn2" localSheetId="2">'Reference Tables'!$B$6</definedName>
    <definedName name="_ftn3" localSheetId="2">'Reference Tables'!$B$7</definedName>
    <definedName name="_ftnref3" localSheetId="2">'Reference Tables'!$B$49</definedName>
    <definedName name="Commercial_MemberMonths_2024">'Validation by Market'!$B$25</definedName>
    <definedName name="Commercial_MemberMonths_2025" localSheetId="11">'Validation by Market'!$C$25</definedName>
    <definedName name="ICC1_MemberMonths_2024">'Validation by Market'!$G$54</definedName>
    <definedName name="ICC1_MemberMonths_2025" localSheetId="11">'Validation by Market'!$H$54</definedName>
    <definedName name="ICC2_MemberMonths_2024">'Validation by Market'!$G$83</definedName>
    <definedName name="ICC2_MemberMonths_2025" localSheetId="11">'Validation by Market'!$H$83</definedName>
    <definedName name="ICC3_MemberMonths_2024">'Validation by Market'!$G$25</definedName>
    <definedName name="ICC3_MemberMonths_2025" localSheetId="11">'Validation by Market'!$H$25</definedName>
    <definedName name="ICC4_MemberMonths_2024">'Validation by Market'!$L$25</definedName>
    <definedName name="ICC4_MemberMonths_2025" localSheetId="11">'Validation by Market'!$M$25</definedName>
    <definedName name="ICC5_MemberMonths_2024">'Validation by Market'!$L$54</definedName>
    <definedName name="ICC5_MemberMonths_2025" localSheetId="11">'Validation by Market'!$M$54</definedName>
    <definedName name="ICC6_MemberMonths_2024">'Validation by Market'!$L$83</definedName>
    <definedName name="ICC6_MemberMonths_2025" localSheetId="11">'Validation by Market'!$M$83</definedName>
    <definedName name="ICC7_MemberMonths_2024">'Validation by Market'!$Q$25</definedName>
    <definedName name="ICC7_MemberMonths_2025" localSheetId="11">'Validation by Market'!$R$25</definedName>
    <definedName name="ICC8_MemberMonths_2024">'Validation by Market'!$Q$54</definedName>
    <definedName name="ICC8_MemberMonths_2025" localSheetId="11">'Validation by Market'!$R$54</definedName>
    <definedName name="Insurer_Code" localSheetId="10">'Data Validation Checks'!$B$7</definedName>
    <definedName name="Medicaid_MemberMonths_2024">'Validation by Market'!$B$83</definedName>
    <definedName name="Medicaid_MemberMonths_2025" localSheetId="11">'Validation by Market'!$C$83</definedName>
    <definedName name="Medicare_MemberMonths_2024">'Validation by Market'!$B$54</definedName>
    <definedName name="Medicare_MemberMonths_2025" localSheetId="11">'Validation by Market'!$C$54</definedName>
    <definedName name="_xlnm.Print_Area" localSheetId="3">'1. Cover Page'!$A$1:$E$21</definedName>
    <definedName name="_xlnm.Print_Area" localSheetId="4">'2. Total Medical Expenses'!$A$1:$AC$337</definedName>
    <definedName name="_xlnm.Print_Area" localSheetId="5">'3. Age and Sex Factors '!$A$1:$K$5131</definedName>
    <definedName name="_xlnm.Print_Area" localSheetId="6">'4. Standard Deviation'!$A$1:$H$131</definedName>
    <definedName name="_xlnm.Print_Area" localSheetId="7">'5. Line of Business Enrollment'!$A$1:$D$33</definedName>
    <definedName name="_xlnm.Print_Area" localSheetId="8">'6. Pharmacy Rebates'!$A$1:$G$27</definedName>
    <definedName name="_xlnm.Print_Area" localSheetId="9">'7. Mandatory Questions'!$A$1:$E$65</definedName>
    <definedName name="_xlnm.Print_Area" localSheetId="1">'Contents'!$A$1:$B$30</definedName>
    <definedName name="_xlnm.Print_Area" localSheetId="10">'Data Validation Checks'!$A$1:$AC$202</definedName>
    <definedName name="_xlnm.Print_Area" localSheetId="2">'Reference Tables'!$A$1:$C$101</definedName>
    <definedName name="_xlnm.Print_Area" localSheetId="11">'Validation by Market'!$A$1:$S$106</definedName>
    <definedName name="_xlnm.Print_Area" localSheetId="12">'Validation by Provider'!$A$1:$U$379</definedName>
    <definedName name="_xlnm.Print_Area" localSheetId="0">'Validation Report'!$A$1:$D$48</definedName>
    <definedName name="_xlnm.Print_Titles" localSheetId="4">'2. Total Medical Expenses'!$1:$11</definedName>
    <definedName name="_xlnm.Print_Titles" localSheetId="2">'Reference Tables'!$1:$2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4" i="10" l="1"/>
  <c r="J135" i="10"/>
  <c r="J136" i="10"/>
  <c r="J137" i="10"/>
  <c r="J138" i="10"/>
  <c r="J139" i="10"/>
  <c r="J140" i="10"/>
  <c r="J141" i="10"/>
  <c r="J142" i="10"/>
  <c r="J143" i="10"/>
  <c r="J144" i="10"/>
  <c r="J145" i="10"/>
  <c r="J146" i="10"/>
  <c r="J147" i="10"/>
  <c r="J148" i="10"/>
  <c r="J149" i="10"/>
  <c r="J150" i="10"/>
  <c r="J151" i="10"/>
  <c r="J152" i="10"/>
  <c r="J153" i="10"/>
  <c r="M5269" i="22"/>
  <c r="M5270" i="22"/>
  <c r="M5271" i="22"/>
  <c r="M5272" i="22"/>
  <c r="M5273" i="22"/>
  <c r="M5274" i="22"/>
  <c r="M5275" i="22"/>
  <c r="M5276" i="22"/>
  <c r="M5277" i="22"/>
  <c r="M5278" i="22"/>
  <c r="M5279" i="22"/>
  <c r="M5280" i="22"/>
  <c r="M5281" i="22"/>
  <c r="M5282" i="22"/>
  <c r="M5283" i="22"/>
  <c r="M5284" i="22"/>
  <c r="M5285" i="22"/>
  <c r="M5286" i="22"/>
  <c r="M5287" i="22"/>
  <c r="M5288" i="22"/>
  <c r="M5289" i="22"/>
  <c r="M5290" i="22"/>
  <c r="M5291" i="22"/>
  <c r="M5292" i="22"/>
  <c r="M5293" i="22"/>
  <c r="M5294" i="22"/>
  <c r="M5295" i="22"/>
  <c r="M5296" i="22"/>
  <c r="M5297" i="22"/>
  <c r="M5298" i="22"/>
  <c r="M5299" i="22"/>
  <c r="M5300" i="22"/>
  <c r="M5301" i="22"/>
  <c r="M5302" i="22"/>
  <c r="M5303" i="22"/>
  <c r="M5304" i="22"/>
  <c r="M5305" i="22"/>
  <c r="M5306" i="22"/>
  <c r="M5307" i="22"/>
  <c r="M5308" i="22"/>
  <c r="M5309" i="22"/>
  <c r="M5310" i="22"/>
  <c r="M5311" i="22"/>
  <c r="M5312" i="22"/>
  <c r="M5313" i="22"/>
  <c r="M5314" i="22"/>
  <c r="M5315" i="22"/>
  <c r="M5316" i="22"/>
  <c r="M5317" i="22"/>
  <c r="M5318" i="22"/>
  <c r="M5319" i="22"/>
  <c r="M5320" i="22"/>
  <c r="M5321" i="22"/>
  <c r="M5322" i="22"/>
  <c r="M5323" i="22"/>
  <c r="M5324" i="22"/>
  <c r="M5325" i="22"/>
  <c r="M5326" i="22"/>
  <c r="M5327" i="22"/>
  <c r="M5328" i="22"/>
  <c r="M5329" i="22"/>
  <c r="M5330" i="22"/>
  <c r="M5331" i="22"/>
  <c r="M5332" i="22"/>
  <c r="M5333" i="22"/>
  <c r="M5334" i="22"/>
  <c r="M5335" i="22"/>
  <c r="M5336" i="22"/>
  <c r="M5337" i="22"/>
  <c r="M5338" i="22"/>
  <c r="M5339" i="22"/>
  <c r="M5340" i="22"/>
  <c r="M5341" i="22"/>
  <c r="M5342" i="22"/>
  <c r="M5343" i="22"/>
  <c r="M5344" i="22"/>
  <c r="M5345" i="22"/>
  <c r="M5346" i="22"/>
  <c r="M5347" i="22"/>
  <c r="M5348" i="22"/>
  <c r="M5349" i="22"/>
  <c r="M5350" i="22"/>
  <c r="M5351" i="22"/>
  <c r="M5352" i="22"/>
  <c r="M5353" i="22"/>
  <c r="M5354" i="22"/>
  <c r="M5355" i="22"/>
  <c r="M5356" i="22"/>
  <c r="M5357" i="22"/>
  <c r="M5358" i="22"/>
  <c r="M5359" i="22"/>
  <c r="M5360" i="22"/>
  <c r="M5361" i="22"/>
  <c r="M5362" i="22"/>
  <c r="M5363" i="22"/>
  <c r="M5364" i="22"/>
  <c r="M5365" i="22"/>
  <c r="M5366" i="22"/>
  <c r="M5367" i="22"/>
  <c r="M5368" i="22"/>
  <c r="M5369" i="22"/>
  <c r="M5370" i="22"/>
  <c r="M5371" i="22"/>
  <c r="M5372" i="22"/>
  <c r="M5373" i="22"/>
  <c r="M5374" i="22"/>
  <c r="M5375" i="22"/>
  <c r="M5376" i="22"/>
  <c r="M5377" i="22"/>
  <c r="M5378" i="22"/>
  <c r="M5379" i="22"/>
  <c r="M5380" i="22"/>
  <c r="M5381" i="22"/>
  <c r="M5382" i="22"/>
  <c r="M5383" i="22"/>
  <c r="M5384" i="22"/>
  <c r="M5385" i="22"/>
  <c r="M5386" i="22"/>
  <c r="M5387" i="22"/>
  <c r="M5388" i="22"/>
  <c r="M5389" i="22"/>
  <c r="M5390" i="22"/>
  <c r="M5391" i="22"/>
  <c r="M5392" i="22"/>
  <c r="M5393" i="22"/>
  <c r="M5394" i="22"/>
  <c r="M5395" i="22"/>
  <c r="M5396" i="22"/>
  <c r="M5397" i="22"/>
  <c r="M5398" i="22"/>
  <c r="M5399" i="22"/>
  <c r="M5400" i="22"/>
  <c r="M5401" i="22"/>
  <c r="M5402" i="22"/>
  <c r="M5403" i="22"/>
  <c r="M5404" i="22"/>
  <c r="M5405" i="22"/>
  <c r="M5406" i="22"/>
  <c r="M5407" i="22"/>
  <c r="M5408" i="22"/>
  <c r="M5409" i="22"/>
  <c r="M5410" i="22"/>
  <c r="M5411" i="22"/>
  <c r="M5412" i="22"/>
  <c r="M5413" i="22"/>
  <c r="M5414" i="22"/>
  <c r="M5415" i="22"/>
  <c r="M5416" i="22"/>
  <c r="M5417" i="22"/>
  <c r="M5418" i="22"/>
  <c r="M5419" i="22"/>
  <c r="M5420" i="22"/>
  <c r="M5421" i="22"/>
  <c r="M5422" i="22"/>
  <c r="M5423" i="22"/>
  <c r="M5424" i="22"/>
  <c r="M5425" i="22"/>
  <c r="M5426" i="22"/>
  <c r="M5427" i="22"/>
  <c r="M5428" i="22"/>
  <c r="M5429" i="22"/>
  <c r="M5430" i="22"/>
  <c r="M5431" i="22"/>
  <c r="M5432" i="22"/>
  <c r="M5433" i="22"/>
  <c r="M5434" i="22"/>
  <c r="M5435" i="22"/>
  <c r="M5436" i="22"/>
  <c r="M5437" i="22"/>
  <c r="M5438" i="22"/>
  <c r="M5439" i="22"/>
  <c r="M5440" i="22"/>
  <c r="M5441" i="22"/>
  <c r="M5442" i="22"/>
  <c r="M5443" i="22"/>
  <c r="M5444" i="22"/>
  <c r="M5445" i="22"/>
  <c r="M5446" i="22"/>
  <c r="M5447" i="22"/>
  <c r="M5448" i="22"/>
  <c r="M5449" i="22"/>
  <c r="M5450" i="22"/>
  <c r="M5451" i="22"/>
  <c r="M5452" i="22"/>
  <c r="M5453" i="22"/>
  <c r="M5454" i="22"/>
  <c r="M5455" i="22"/>
  <c r="M5456" i="22"/>
  <c r="M5457" i="22"/>
  <c r="M5458" i="22"/>
  <c r="M5459" i="22"/>
  <c r="M5460" i="22"/>
  <c r="M5461" i="22"/>
  <c r="M5462" i="22"/>
  <c r="M5463" i="22"/>
  <c r="M5464" i="22"/>
  <c r="M5465" i="22"/>
  <c r="M5466" i="22"/>
  <c r="M5467" i="22"/>
  <c r="M5468" i="22"/>
  <c r="M5469" i="22"/>
  <c r="M5470" i="22"/>
  <c r="M5471" i="22"/>
  <c r="M5472" i="22"/>
  <c r="M5473" i="22"/>
  <c r="M5474" i="22"/>
  <c r="M5475" i="22"/>
  <c r="M5476" i="22"/>
  <c r="M5477" i="22"/>
  <c r="M5478" i="22"/>
  <c r="M5479" i="22"/>
  <c r="M5480" i="22"/>
  <c r="M5481" i="22"/>
  <c r="M5482" i="22"/>
  <c r="M5483" i="22"/>
  <c r="M5484" i="22"/>
  <c r="M5485" i="22"/>
  <c r="M5486" i="22"/>
  <c r="M5487" i="22"/>
  <c r="M5488" i="22"/>
  <c r="M5489" i="22"/>
  <c r="M5490" i="22"/>
  <c r="M5491" i="22"/>
  <c r="M5492" i="22"/>
  <c r="M5493" i="22"/>
  <c r="M5494" i="22"/>
  <c r="M5495" i="22"/>
  <c r="M5496" i="22"/>
  <c r="M5497" i="22"/>
  <c r="M5498" i="22"/>
  <c r="M5499" i="22"/>
  <c r="M5500" i="22"/>
  <c r="M5501" i="22"/>
  <c r="M5502" i="22"/>
  <c r="M5503" i="22"/>
  <c r="M5504" i="22"/>
  <c r="M5505" i="22"/>
  <c r="M5506" i="22"/>
  <c r="M5507" i="22"/>
  <c r="M5508" i="22"/>
  <c r="M5509" i="22"/>
  <c r="M5510" i="22"/>
  <c r="M5511" i="22"/>
  <c r="M5512" i="22"/>
  <c r="M5513" i="22"/>
  <c r="M5514" i="22"/>
  <c r="M5515" i="22"/>
  <c r="M5516" i="22"/>
  <c r="M5517" i="22"/>
  <c r="M5518" i="22"/>
  <c r="M5519" i="22"/>
  <c r="M5520" i="22"/>
  <c r="M5521" i="22"/>
  <c r="M5522" i="22"/>
  <c r="M5523" i="22"/>
  <c r="M5524" i="22"/>
  <c r="M5525" i="22"/>
  <c r="M5526" i="22"/>
  <c r="M5527" i="22"/>
  <c r="M5528" i="22"/>
  <c r="M5529" i="22"/>
  <c r="M5530" i="22"/>
  <c r="M5531" i="22"/>
  <c r="M5532" i="22"/>
  <c r="M5533" i="22"/>
  <c r="M5534" i="22"/>
  <c r="M5535" i="22"/>
  <c r="M5536" i="22"/>
  <c r="M5537" i="22"/>
  <c r="M5538" i="22"/>
  <c r="M5539" i="22"/>
  <c r="M5540" i="22"/>
  <c r="M5541" i="22"/>
  <c r="M5542" i="22"/>
  <c r="M5543" i="22"/>
  <c r="M5544" i="22"/>
  <c r="M5545" i="22"/>
  <c r="M5546" i="22"/>
  <c r="M5547" i="22"/>
  <c r="M5548" i="22"/>
  <c r="M5549" i="22"/>
  <c r="M5550" i="22"/>
  <c r="M5551" i="22"/>
  <c r="M5552" i="22"/>
  <c r="M5553" i="22"/>
  <c r="M5554" i="22"/>
  <c r="M5555" i="22"/>
  <c r="M5556" i="22"/>
  <c r="M5557" i="22"/>
  <c r="M5558" i="22"/>
  <c r="M5559" i="22"/>
  <c r="M5560" i="22"/>
  <c r="M5561" i="22"/>
  <c r="M5562" i="22"/>
  <c r="M5563" i="22"/>
  <c r="M5564" i="22"/>
  <c r="M5565" i="22"/>
  <c r="M5566" i="22"/>
  <c r="M5567" i="22"/>
  <c r="M5568" i="22"/>
  <c r="M5569" i="22"/>
  <c r="M5570" i="22"/>
  <c r="M5571" i="22"/>
  <c r="M5572" i="22"/>
  <c r="M5573" i="22"/>
  <c r="M5574" i="22"/>
  <c r="M5575" i="22"/>
  <c r="M5576" i="22"/>
  <c r="M5577" i="22"/>
  <c r="M5578" i="22"/>
  <c r="M5579" i="22"/>
  <c r="M5580" i="22"/>
  <c r="M5581" i="22"/>
  <c r="M5582" i="22"/>
  <c r="M5583" i="22"/>
  <c r="M5584" i="22"/>
  <c r="M5585" i="22"/>
  <c r="M5586" i="22"/>
  <c r="M5587" i="22"/>
  <c r="M5588" i="22"/>
  <c r="M5589" i="22"/>
  <c r="M5590" i="22"/>
  <c r="M5591" i="22"/>
  <c r="M5592" i="22"/>
  <c r="M5593" i="22"/>
  <c r="M5594" i="22"/>
  <c r="M5595" i="22"/>
  <c r="M5596" i="22"/>
  <c r="M5597" i="22"/>
  <c r="M5598" i="22"/>
  <c r="M5599" i="22"/>
  <c r="M5600" i="22"/>
  <c r="M5601" i="22"/>
  <c r="M5602" i="22"/>
  <c r="M5603" i="22"/>
  <c r="M5604" i="22"/>
  <c r="M5605" i="22"/>
  <c r="M5606" i="22"/>
  <c r="M5607" i="22"/>
  <c r="M5608" i="22"/>
  <c r="M5609" i="22"/>
  <c r="M5610" i="22"/>
  <c r="M5611" i="22"/>
  <c r="M5612" i="22"/>
  <c r="M5613" i="22"/>
  <c r="M5614" i="22"/>
  <c r="M5615" i="22"/>
  <c r="M5616" i="22"/>
  <c r="M5617" i="22"/>
  <c r="M5618" i="22"/>
  <c r="M5619" i="22"/>
  <c r="M5620" i="22"/>
  <c r="M5621" i="22"/>
  <c r="M5622" i="22"/>
  <c r="M5623" i="22"/>
  <c r="M5624" i="22"/>
  <c r="M5625" i="22"/>
  <c r="M5626" i="22"/>
  <c r="M5627" i="22"/>
  <c r="M5628" i="22"/>
  <c r="M5629" i="22"/>
  <c r="M5630" i="22"/>
  <c r="M5631" i="22"/>
  <c r="M5632" i="22"/>
  <c r="M5633" i="22"/>
  <c r="M5634" i="22"/>
  <c r="M5635" i="22"/>
  <c r="M5636" i="22"/>
  <c r="M5637" i="22"/>
  <c r="M5638" i="22"/>
  <c r="M5639" i="22"/>
  <c r="M5640" i="22"/>
  <c r="M5641" i="22"/>
  <c r="M5642" i="22"/>
  <c r="M5643" i="22"/>
  <c r="M5644" i="22"/>
  <c r="M5645" i="22"/>
  <c r="M5646" i="22"/>
  <c r="M5647" i="22"/>
  <c r="M5648" i="22"/>
  <c r="M5649" i="22"/>
  <c r="M5650" i="22"/>
  <c r="M5651" i="22"/>
  <c r="M5652" i="22"/>
  <c r="M5653" i="22"/>
  <c r="M5654" i="22"/>
  <c r="M5655" i="22"/>
  <c r="M5656" i="22"/>
  <c r="M5657" i="22"/>
  <c r="M5658" i="22"/>
  <c r="M5659" i="22"/>
  <c r="M5660" i="22"/>
  <c r="M5661" i="22"/>
  <c r="M5662" i="22"/>
  <c r="M5663" i="22"/>
  <c r="M5664" i="22"/>
  <c r="M5665" i="22"/>
  <c r="M5666" i="22"/>
  <c r="M5667" i="22"/>
  <c r="M5668" i="22"/>
  <c r="M5669" i="22"/>
  <c r="M5670" i="22"/>
  <c r="M5671" i="22"/>
  <c r="M5672" i="22"/>
  <c r="M5673" i="22"/>
  <c r="M5674" i="22"/>
  <c r="M5675" i="22"/>
  <c r="M5676" i="22"/>
  <c r="M5677" i="22"/>
  <c r="M5678" i="22"/>
  <c r="M5679" i="22"/>
  <c r="M5680" i="22"/>
  <c r="M5681" i="22"/>
  <c r="M5682" i="22"/>
  <c r="M5683" i="22"/>
  <c r="M5684" i="22"/>
  <c r="M5685" i="22"/>
  <c r="M5686" i="22"/>
  <c r="M5687" i="22"/>
  <c r="M5688" i="22"/>
  <c r="M5689" i="22"/>
  <c r="M5690" i="22"/>
  <c r="M5691" i="22"/>
  <c r="M5692" i="22"/>
  <c r="M5693" i="22"/>
  <c r="M5694" i="22"/>
  <c r="M5695" i="22"/>
  <c r="M5696" i="22"/>
  <c r="M5697" i="22"/>
  <c r="M5698" i="22"/>
  <c r="M5699" i="22"/>
  <c r="M5700" i="22"/>
  <c r="M5701" i="22"/>
  <c r="M5702" i="22"/>
  <c r="M5703" i="22"/>
  <c r="M5704" i="22"/>
  <c r="M5705" i="22"/>
  <c r="M5706" i="22"/>
  <c r="M5707" i="22"/>
  <c r="M5708" i="22"/>
  <c r="M5709" i="22"/>
  <c r="M5710" i="22"/>
  <c r="M5711" i="22"/>
  <c r="M5712" i="22"/>
  <c r="M5713" i="22"/>
  <c r="M5714" i="22"/>
  <c r="M5715" i="22"/>
  <c r="M5716" i="22"/>
  <c r="M5717" i="22"/>
  <c r="M5718" i="22"/>
  <c r="M5719" i="22"/>
  <c r="M5720" i="22"/>
  <c r="M5721" i="22"/>
  <c r="M5722" i="22"/>
  <c r="M5723" i="22"/>
  <c r="M5724" i="22"/>
  <c r="M5725" i="22"/>
  <c r="M5726" i="22"/>
  <c r="M5727" i="22"/>
  <c r="M5728" i="22"/>
  <c r="M5729" i="22"/>
  <c r="M5730" i="22"/>
  <c r="M5731" i="22"/>
  <c r="M5732" i="22"/>
  <c r="M5733" i="22"/>
  <c r="M5734" i="22"/>
  <c r="M5735" i="22"/>
  <c r="M5736" i="22"/>
  <c r="M5737" i="22"/>
  <c r="M5738" i="22"/>
  <c r="M5739" i="22"/>
  <c r="M5740" i="22"/>
  <c r="M5741" i="22"/>
  <c r="M5742" i="22"/>
  <c r="M5743" i="22"/>
  <c r="M5744" i="22"/>
  <c r="M5745" i="22"/>
  <c r="M5746" i="22"/>
  <c r="M5747" i="22"/>
  <c r="M5748" i="22"/>
  <c r="M5749" i="22"/>
  <c r="M5750" i="22"/>
  <c r="M5751" i="22"/>
  <c r="M5752" i="22"/>
  <c r="M5753" i="22"/>
  <c r="M5754" i="22"/>
  <c r="M5755" i="22"/>
  <c r="M5756" i="22"/>
  <c r="M5757" i="22"/>
  <c r="M5758" i="22"/>
  <c r="M5759" i="22"/>
  <c r="M5760" i="22"/>
  <c r="M5761" i="22"/>
  <c r="M5762" i="22"/>
  <c r="M5763" i="22"/>
  <c r="M5764" i="22"/>
  <c r="M5765" i="22"/>
  <c r="M5766" i="22"/>
  <c r="M5767" i="22"/>
  <c r="M5768" i="22"/>
  <c r="M5769" i="22"/>
  <c r="M5770" i="22"/>
  <c r="M5771" i="22"/>
  <c r="M5772" i="22"/>
  <c r="M5773" i="22"/>
  <c r="M5774" i="22"/>
  <c r="M5775" i="22"/>
  <c r="M5776" i="22"/>
  <c r="M5777" i="22"/>
  <c r="M5778" i="22"/>
  <c r="M5779" i="22"/>
  <c r="M5780" i="22"/>
  <c r="M5781" i="22"/>
  <c r="M5782" i="22"/>
  <c r="M5783" i="22"/>
  <c r="M5784" i="22"/>
  <c r="M5785" i="22"/>
  <c r="M5786" i="22"/>
  <c r="M5787" i="22"/>
  <c r="M5788" i="22"/>
  <c r="M5789" i="22"/>
  <c r="M5790" i="22"/>
  <c r="M5791" i="22"/>
  <c r="M5792" i="22"/>
  <c r="M5793" i="22"/>
  <c r="M5794" i="22"/>
  <c r="M5795" i="22"/>
  <c r="M5796" i="22"/>
  <c r="M5797" i="22"/>
  <c r="M5798" i="22"/>
  <c r="M5799" i="22"/>
  <c r="M5800" i="22"/>
  <c r="M5801" i="22"/>
  <c r="M5802" i="22"/>
  <c r="M5803" i="22"/>
  <c r="M5804" i="22"/>
  <c r="M5805" i="22"/>
  <c r="M5806" i="22"/>
  <c r="M5807" i="22"/>
  <c r="M5808" i="22"/>
  <c r="M5809" i="22"/>
  <c r="M5810" i="22"/>
  <c r="M5811" i="22"/>
  <c r="M5812" i="22"/>
  <c r="M5813" i="22"/>
  <c r="M5814" i="22"/>
  <c r="M5815" i="22"/>
  <c r="M5816" i="22"/>
  <c r="M5817" i="22"/>
  <c r="M5818" i="22"/>
  <c r="M5819" i="22"/>
  <c r="M5820" i="22"/>
  <c r="M5821" i="22"/>
  <c r="M5822" i="22"/>
  <c r="M5823" i="22"/>
  <c r="M5824" i="22"/>
  <c r="M5825" i="22"/>
  <c r="M5826" i="22"/>
  <c r="M5827" i="22"/>
  <c r="M5828" i="22"/>
  <c r="M5829" i="22"/>
  <c r="M5830" i="22"/>
  <c r="M5831" i="22"/>
  <c r="M5832" i="22"/>
  <c r="M5833" i="22"/>
  <c r="M5834" i="22"/>
  <c r="M5835" i="22"/>
  <c r="M5836" i="22"/>
  <c r="M5837" i="22"/>
  <c r="M5838" i="22"/>
  <c r="M5839" i="22"/>
  <c r="M5840" i="22"/>
  <c r="M5841" i="22"/>
  <c r="M5842" i="22"/>
  <c r="M5843" i="22"/>
  <c r="M5844" i="22"/>
  <c r="M5845" i="22"/>
  <c r="M5846" i="22"/>
  <c r="M5847" i="22"/>
  <c r="M5848" i="22"/>
  <c r="M5849" i="22"/>
  <c r="M5850" i="22"/>
  <c r="M5851" i="22"/>
  <c r="M5852" i="22"/>
  <c r="M5853" i="22"/>
  <c r="M5854" i="22"/>
  <c r="M5855" i="22"/>
  <c r="M5856" i="22"/>
  <c r="M5857" i="22"/>
  <c r="M5858" i="22"/>
  <c r="M5859" i="22"/>
  <c r="M5860" i="22"/>
  <c r="M5861" i="22"/>
  <c r="M5862" i="22"/>
  <c r="M5863" i="22"/>
  <c r="M5864" i="22"/>
  <c r="M5865" i="22"/>
  <c r="M5866" i="22"/>
  <c r="M5867" i="22"/>
  <c r="M5868" i="22"/>
  <c r="M5869" i="22"/>
  <c r="M5870" i="22"/>
  <c r="M5871" i="22"/>
  <c r="M5872" i="22"/>
  <c r="M5873" i="22"/>
  <c r="M5874" i="22"/>
  <c r="M5875" i="22"/>
  <c r="M5876" i="22"/>
  <c r="M5877" i="22"/>
  <c r="M5878" i="22"/>
  <c r="M5879" i="22"/>
  <c r="M5880" i="22"/>
  <c r="M5881" i="22"/>
  <c r="M5882" i="22"/>
  <c r="M5883" i="22"/>
  <c r="M5884" i="22"/>
  <c r="M5885" i="22"/>
  <c r="M5886" i="22"/>
  <c r="M5887" i="22"/>
  <c r="M5888" i="22"/>
  <c r="M5889" i="22"/>
  <c r="M5890" i="22"/>
  <c r="M5891" i="22"/>
  <c r="M5892" i="22"/>
  <c r="M5893" i="22"/>
  <c r="M5894" i="22"/>
  <c r="M5895" i="22"/>
  <c r="M5896" i="22"/>
  <c r="M5897" i="22"/>
  <c r="M5898" i="22"/>
  <c r="M5899" i="22"/>
  <c r="M5900" i="22"/>
  <c r="M5901" i="22"/>
  <c r="M5902" i="22"/>
  <c r="M5903" i="22"/>
  <c r="M5904" i="22"/>
  <c r="M5905" i="22"/>
  <c r="M5906" i="22"/>
  <c r="M5907" i="22"/>
  <c r="M5908" i="22"/>
  <c r="M5909" i="22"/>
  <c r="M5910" i="22"/>
  <c r="M5911" i="22"/>
  <c r="M5912" i="22"/>
  <c r="M5913" i="22"/>
  <c r="M5914" i="22"/>
  <c r="M5915" i="22"/>
  <c r="M5916" i="22"/>
  <c r="M5917" i="22"/>
  <c r="M5918" i="22"/>
  <c r="M5919" i="22"/>
  <c r="M5920" i="22"/>
  <c r="M5921" i="22"/>
  <c r="M5922" i="22"/>
  <c r="M5923" i="22"/>
  <c r="M5924" i="22"/>
  <c r="M5925" i="22"/>
  <c r="M5926" i="22"/>
  <c r="M5927" i="22"/>
  <c r="M5928" i="22"/>
  <c r="M5929" i="22"/>
  <c r="M5930" i="22"/>
  <c r="M5931" i="22"/>
  <c r="M5932" i="22"/>
  <c r="M5933" i="22"/>
  <c r="M5934" i="22"/>
  <c r="M5935" i="22"/>
  <c r="M5936" i="22"/>
  <c r="M5937" i="22"/>
  <c r="M5938" i="22"/>
  <c r="M5939" i="22"/>
  <c r="M5940" i="22"/>
  <c r="M5941" i="22"/>
  <c r="M5942" i="22"/>
  <c r="M5943" i="22"/>
  <c r="M5944" i="22"/>
  <c r="M5945" i="22"/>
  <c r="M5946" i="22"/>
  <c r="M5947" i="22"/>
  <c r="M5948" i="22"/>
  <c r="M5949" i="22"/>
  <c r="M5950" i="22"/>
  <c r="M5951" i="22"/>
  <c r="M5952" i="22"/>
  <c r="M5953" i="22"/>
  <c r="M5954" i="22"/>
  <c r="M5955" i="22"/>
  <c r="M5956" i="22"/>
  <c r="M5957" i="22"/>
  <c r="M5958" i="22"/>
  <c r="M5959" i="22"/>
  <c r="M5960" i="22"/>
  <c r="M5961" i="22"/>
  <c r="M5962" i="22"/>
  <c r="M5963" i="22"/>
  <c r="M5964" i="22"/>
  <c r="M5965" i="22"/>
  <c r="M5966" i="22"/>
  <c r="M5967" i="22"/>
  <c r="M5968" i="22"/>
  <c r="M5969" i="22"/>
  <c r="M5970" i="22"/>
  <c r="M5971" i="22"/>
  <c r="M5972" i="22"/>
  <c r="M5973" i="22"/>
  <c r="M5974" i="22"/>
  <c r="M5975" i="22"/>
  <c r="M5976" i="22"/>
  <c r="M5977" i="22"/>
  <c r="M5978" i="22"/>
  <c r="M5979" i="22"/>
  <c r="M5980" i="22"/>
  <c r="M5981" i="22"/>
  <c r="M5982" i="22"/>
  <c r="M5983" i="22"/>
  <c r="M5984" i="22"/>
  <c r="M5985" i="22"/>
  <c r="M5986" i="22"/>
  <c r="M5987" i="22"/>
  <c r="M5988" i="22"/>
  <c r="M5989" i="22"/>
  <c r="M5990" i="22"/>
  <c r="M5991" i="22"/>
  <c r="M5992" i="22"/>
  <c r="M5993" i="22"/>
  <c r="M5994" i="22"/>
  <c r="M5995" i="22"/>
  <c r="M5996" i="22"/>
  <c r="M5997" i="22"/>
  <c r="M5998" i="22"/>
  <c r="M5999" i="22"/>
  <c r="M6000" i="22"/>
  <c r="M6001" i="22"/>
  <c r="M6002" i="22"/>
  <c r="M6003" i="22"/>
  <c r="M6004" i="22"/>
  <c r="M6005" i="22"/>
  <c r="M6006" i="22"/>
  <c r="M6007" i="22"/>
  <c r="M6008" i="22"/>
  <c r="M6009" i="22"/>
  <c r="M6010" i="22"/>
  <c r="M6011" i="22"/>
  <c r="M6012" i="22"/>
  <c r="M6013" i="22"/>
  <c r="M6014" i="22"/>
  <c r="M6015" i="22"/>
  <c r="M6016" i="22"/>
  <c r="M6017" i="22"/>
  <c r="M6018" i="22"/>
  <c r="M6019" i="22"/>
  <c r="M6020" i="22"/>
  <c r="M6021" i="22"/>
  <c r="M6022" i="22"/>
  <c r="M6023" i="22"/>
  <c r="M6024" i="22"/>
  <c r="M6025" i="22"/>
  <c r="M6026" i="22"/>
  <c r="M6027" i="22"/>
  <c r="M6028" i="22"/>
  <c r="M6029" i="22"/>
  <c r="M6030" i="22"/>
  <c r="M6031" i="22"/>
  <c r="M6032" i="22"/>
  <c r="M6033" i="22"/>
  <c r="M6034" i="22"/>
  <c r="M6035" i="22"/>
  <c r="M6036" i="22"/>
  <c r="M6037" i="22"/>
  <c r="M6038" i="22"/>
  <c r="M6039" i="22"/>
  <c r="M6040" i="22"/>
  <c r="M6041" i="22"/>
  <c r="M6042" i="22"/>
  <c r="M6043" i="22"/>
  <c r="M6044" i="22"/>
  <c r="M6045" i="22"/>
  <c r="M6046" i="22"/>
  <c r="M6047" i="22"/>
  <c r="M6048" i="22"/>
  <c r="M6049" i="22"/>
  <c r="M6050" i="22"/>
  <c r="M6051" i="22"/>
  <c r="M6052" i="22"/>
  <c r="M6053" i="22"/>
  <c r="M6054" i="22"/>
  <c r="M6055" i="22"/>
  <c r="M6056" i="22"/>
  <c r="M6057" i="22"/>
  <c r="M6058" i="22"/>
  <c r="M6059" i="22"/>
  <c r="M6060" i="22"/>
  <c r="M6061" i="22"/>
  <c r="M6062" i="22"/>
  <c r="M6063" i="22"/>
  <c r="M6064" i="22"/>
  <c r="M6065" i="22"/>
  <c r="M6066" i="22"/>
  <c r="M6067" i="22"/>
  <c r="M6068" i="22"/>
  <c r="M6069" i="22"/>
  <c r="M6070" i="22"/>
  <c r="M6071" i="22"/>
  <c r="M6072" i="22"/>
  <c r="M6073" i="22"/>
  <c r="M6074" i="22"/>
  <c r="M6075" i="22"/>
  <c r="M6076" i="22"/>
  <c r="M6077" i="22"/>
  <c r="M6078" i="22"/>
  <c r="M6079" i="22"/>
  <c r="M6080" i="22"/>
  <c r="M6081" i="22"/>
  <c r="M6082" i="22"/>
  <c r="M6083" i="22"/>
  <c r="M6084" i="22"/>
  <c r="M6085" i="22"/>
  <c r="M6086" i="22"/>
  <c r="M6087" i="22"/>
  <c r="M6088" i="22"/>
  <c r="M6089" i="22"/>
  <c r="M6090" i="22"/>
  <c r="M6091" i="22"/>
  <c r="M6092" i="22"/>
  <c r="M6093" i="22"/>
  <c r="M6094" i="22"/>
  <c r="M6095" i="22"/>
  <c r="M6096" i="22"/>
  <c r="M6097" i="22"/>
  <c r="M6098" i="22"/>
  <c r="M6099" i="22"/>
  <c r="M6100" i="22"/>
  <c r="M6101" i="22"/>
  <c r="M6102" i="22"/>
  <c r="M6103" i="22"/>
  <c r="M6104" i="22"/>
  <c r="M6105" i="22"/>
  <c r="M6106" i="22"/>
  <c r="M6107" i="22"/>
  <c r="M6108" i="22"/>
  <c r="M6109" i="22"/>
  <c r="M6110" i="22"/>
  <c r="M6111" i="22"/>
  <c r="M6112" i="22"/>
  <c r="M6113" i="22"/>
  <c r="M6114" i="22"/>
  <c r="M6115" i="22"/>
  <c r="M6116" i="22"/>
  <c r="M6117" i="22"/>
  <c r="M6118" i="22"/>
  <c r="M6119" i="22"/>
  <c r="M6120" i="22"/>
  <c r="M6121" i="22"/>
  <c r="M6122" i="22"/>
  <c r="M6123" i="22"/>
  <c r="M6124" i="22"/>
  <c r="M6125" i="22"/>
  <c r="M6126" i="22"/>
  <c r="M6127" i="22"/>
  <c r="M6128" i="22"/>
  <c r="M6129" i="22"/>
  <c r="M6130" i="22"/>
  <c r="M6131" i="22"/>
  <c r="M6132" i="22"/>
  <c r="M6133" i="22"/>
  <c r="M6134" i="22"/>
  <c r="M6135" i="22"/>
  <c r="M6136" i="22"/>
  <c r="M6137" i="22"/>
  <c r="M6138" i="22"/>
  <c r="M6139" i="22"/>
  <c r="M6140" i="22"/>
  <c r="M6141" i="22"/>
  <c r="M6142" i="22"/>
  <c r="M6143" i="22"/>
  <c r="M6144" i="22"/>
  <c r="M6145" i="22"/>
  <c r="M6146" i="22"/>
  <c r="M6147" i="22"/>
  <c r="M6148" i="22"/>
  <c r="M6149" i="22"/>
  <c r="M6150" i="22"/>
  <c r="M6151" i="22"/>
  <c r="M6152" i="22"/>
  <c r="M6153" i="22"/>
  <c r="M6154" i="22"/>
  <c r="M6155" i="22"/>
  <c r="M6156" i="22"/>
  <c r="M6157" i="22"/>
  <c r="M6158" i="22"/>
  <c r="M6159" i="22"/>
  <c r="M6160" i="22"/>
  <c r="M6161" i="22"/>
  <c r="M6162" i="22"/>
  <c r="M6163" i="22"/>
  <c r="M6164" i="22"/>
  <c r="M6165" i="22"/>
  <c r="M6166" i="22"/>
  <c r="M6167" i="22"/>
  <c r="M6168" i="22"/>
  <c r="M6169" i="22"/>
  <c r="M6170" i="22"/>
  <c r="M6171" i="22"/>
  <c r="M6172" i="22"/>
  <c r="M6173" i="22"/>
  <c r="M6174" i="22"/>
  <c r="M6175" i="22"/>
  <c r="M6176" i="22"/>
  <c r="M6177" i="22"/>
  <c r="M6178" i="22"/>
  <c r="M6179" i="22"/>
  <c r="M6180" i="22"/>
  <c r="M6181" i="22"/>
  <c r="M6182" i="22"/>
  <c r="M6183" i="22"/>
  <c r="M6184" i="22"/>
  <c r="M6185" i="22"/>
  <c r="M6186" i="22"/>
  <c r="M6187" i="22"/>
  <c r="M6188" i="22"/>
  <c r="M6189" i="22"/>
  <c r="M6190" i="22"/>
  <c r="M6191" i="22"/>
  <c r="M6192" i="22"/>
  <c r="M6193" i="22"/>
  <c r="M6194" i="22"/>
  <c r="M6195" i="22"/>
  <c r="M6196" i="22"/>
  <c r="M6197" i="22"/>
  <c r="M6198" i="22"/>
  <c r="M6199" i="22"/>
  <c r="M6200" i="22"/>
  <c r="M6201" i="22"/>
  <c r="M6202" i="22"/>
  <c r="M6203" i="22"/>
  <c r="M6204" i="22"/>
  <c r="M6205" i="22"/>
  <c r="M6206" i="22"/>
  <c r="M6207" i="22"/>
  <c r="M6208" i="22"/>
  <c r="M6209" i="22"/>
  <c r="M6210" i="22"/>
  <c r="M6211" i="22"/>
  <c r="M6212" i="22"/>
  <c r="M6213" i="22"/>
  <c r="M6214" i="22"/>
  <c r="M6215" i="22"/>
  <c r="M6216" i="22"/>
  <c r="M6217" i="22"/>
  <c r="M6218" i="22"/>
  <c r="M6219" i="22"/>
  <c r="M6220" i="22"/>
  <c r="M6221" i="22"/>
  <c r="M6222" i="22"/>
  <c r="M6223" i="22"/>
  <c r="M6224" i="22"/>
  <c r="M6225" i="22"/>
  <c r="M6226" i="22"/>
  <c r="M6227" i="22"/>
  <c r="M6228" i="22"/>
  <c r="M6229" i="22"/>
  <c r="M6230" i="22"/>
  <c r="M6231" i="22"/>
  <c r="M6232" i="22"/>
  <c r="M6233" i="22"/>
  <c r="M6234" i="22"/>
  <c r="M6235" i="22"/>
  <c r="M6236" i="22"/>
  <c r="M6237" i="22"/>
  <c r="M6238" i="22"/>
  <c r="M6239" i="22"/>
  <c r="M6240" i="22"/>
  <c r="M6241" i="22"/>
  <c r="M6242" i="22"/>
  <c r="M6243" i="22"/>
  <c r="M6244" i="22"/>
  <c r="M6245" i="22"/>
  <c r="M6246" i="22"/>
  <c r="M6247" i="22"/>
  <c r="M6248" i="22"/>
  <c r="M6249" i="22"/>
  <c r="M6250" i="22"/>
  <c r="M6251" i="22"/>
  <c r="M6252" i="22"/>
  <c r="M6253" i="22"/>
  <c r="M6254" i="22"/>
  <c r="M6255" i="22"/>
  <c r="M6256" i="22"/>
  <c r="M6257" i="22"/>
  <c r="M6258" i="22"/>
  <c r="M6259" i="22"/>
  <c r="M6260" i="22"/>
  <c r="M6261" i="22"/>
  <c r="M6262" i="22"/>
  <c r="M6263" i="22"/>
  <c r="M6264" i="22"/>
  <c r="M6265" i="22"/>
  <c r="M6266" i="22"/>
  <c r="M6267" i="22"/>
  <c r="M6268" i="22"/>
  <c r="M6269" i="22"/>
  <c r="M6270" i="22"/>
  <c r="M6271" i="22"/>
  <c r="M6272" i="22"/>
  <c r="M6273" i="22"/>
  <c r="M6274" i="22"/>
  <c r="M6275" i="22"/>
  <c r="M6276" i="22"/>
  <c r="M6277" i="22"/>
  <c r="M6278" i="22"/>
  <c r="M6279" i="22"/>
  <c r="M6280" i="22"/>
  <c r="M6281" i="22"/>
  <c r="M6282" i="22"/>
  <c r="M6283" i="22"/>
  <c r="M6284" i="22"/>
  <c r="M6285" i="22"/>
  <c r="M6286" i="22"/>
  <c r="M6287" i="22"/>
  <c r="M6288" i="22"/>
  <c r="M6289" i="22"/>
  <c r="M6290" i="22"/>
  <c r="M6291" i="22"/>
  <c r="M6292" i="22"/>
  <c r="M6293" i="22"/>
  <c r="M6294" i="22"/>
  <c r="M6295" i="22"/>
  <c r="M6296" i="22"/>
  <c r="M6297" i="22"/>
  <c r="M6298" i="22"/>
  <c r="M6299" i="22"/>
  <c r="M6300" i="22"/>
  <c r="M6301" i="22"/>
  <c r="M6302" i="22"/>
  <c r="M6303" i="22"/>
  <c r="M6304" i="22"/>
  <c r="M6305" i="22"/>
  <c r="M6306" i="22"/>
  <c r="M6307" i="22"/>
  <c r="M6308" i="22"/>
  <c r="M6309" i="22"/>
  <c r="M6310" i="22"/>
  <c r="M6311" i="22"/>
  <c r="M6312" i="22"/>
  <c r="M6313" i="22"/>
  <c r="M6314" i="22"/>
  <c r="M6315" i="22"/>
  <c r="M6316" i="22"/>
  <c r="M6317" i="22"/>
  <c r="M6318" i="22"/>
  <c r="M6319" i="22"/>
  <c r="M6320" i="22"/>
  <c r="M6321" i="22"/>
  <c r="M6322" i="22"/>
  <c r="M6323" i="22"/>
  <c r="M6324" i="22"/>
  <c r="M6325" i="22"/>
  <c r="M6326" i="22"/>
  <c r="M6327" i="22"/>
  <c r="M6328" i="22"/>
  <c r="M6329" i="22"/>
  <c r="M6330" i="22"/>
  <c r="M6331" i="22"/>
  <c r="M6332" i="22"/>
  <c r="M6333" i="22"/>
  <c r="M6334" i="22"/>
  <c r="M6335" i="22"/>
  <c r="M6336" i="22"/>
  <c r="M6337" i="22"/>
  <c r="M6338" i="22"/>
  <c r="M6339" i="22"/>
  <c r="M6340" i="22"/>
  <c r="M6341" i="22"/>
  <c r="M6342" i="22"/>
  <c r="M6343" i="22"/>
  <c r="M6344" i="22"/>
  <c r="M6345" i="22"/>
  <c r="M6346" i="22"/>
  <c r="M6347" i="22"/>
  <c r="M6348" i="22"/>
  <c r="M6349" i="22"/>
  <c r="M6350" i="22"/>
  <c r="M6351" i="22"/>
  <c r="M6352" i="22"/>
  <c r="M6353" i="22"/>
  <c r="M6354" i="22"/>
  <c r="M6355" i="22"/>
  <c r="M6356" i="22"/>
  <c r="M6357" i="22"/>
  <c r="M6358" i="22"/>
  <c r="M6359" i="22"/>
  <c r="M6360" i="22"/>
  <c r="M6361" i="22"/>
  <c r="M6362" i="22"/>
  <c r="M6363" i="22"/>
  <c r="M6364" i="22"/>
  <c r="M6365" i="22"/>
  <c r="M6366" i="22"/>
  <c r="M6367" i="22"/>
  <c r="M6368" i="22"/>
  <c r="M6369" i="22"/>
  <c r="M6370" i="22"/>
  <c r="M6371" i="22"/>
  <c r="M6372" i="22"/>
  <c r="M6373" i="22"/>
  <c r="M6374" i="22"/>
  <c r="M6375" i="22"/>
  <c r="M6376" i="22"/>
  <c r="M6377" i="22"/>
  <c r="M6378" i="22"/>
  <c r="M6379" i="22"/>
  <c r="M6380" i="22"/>
  <c r="M6381" i="22"/>
  <c r="M6382" i="22"/>
  <c r="M6383" i="22"/>
  <c r="M6384" i="22"/>
  <c r="M6385" i="22"/>
  <c r="M6386" i="22"/>
  <c r="M6387" i="22"/>
  <c r="M6388" i="22"/>
  <c r="M6389" i="22"/>
  <c r="M6390" i="22"/>
  <c r="M6391" i="22"/>
  <c r="M6392" i="22"/>
  <c r="M6393" i="22"/>
  <c r="M6394" i="22"/>
  <c r="M6395" i="22"/>
  <c r="M6396" i="22"/>
  <c r="M6397" i="22"/>
  <c r="M6398" i="22"/>
  <c r="M6399" i="22"/>
  <c r="M6400" i="22"/>
  <c r="M6401" i="22"/>
  <c r="M6402" i="22"/>
  <c r="M6403" i="22"/>
  <c r="M6404" i="22"/>
  <c r="M6405" i="22"/>
  <c r="M6406" i="22"/>
  <c r="M6407" i="22"/>
  <c r="M6408" i="22"/>
  <c r="M6409" i="22"/>
  <c r="M6410" i="22"/>
  <c r="M6411" i="22"/>
  <c r="AE401" i="3"/>
  <c r="AE402" i="3"/>
  <c r="AE403" i="3"/>
  <c r="AE404" i="3"/>
  <c r="AE405" i="3"/>
  <c r="AE406" i="3"/>
  <c r="AE407" i="3"/>
  <c r="AE408" i="3"/>
  <c r="AE409" i="3"/>
  <c r="AE410" i="3"/>
  <c r="AE411" i="3"/>
  <c r="AE28" i="3"/>
  <c r="AE29" i="3"/>
  <c r="AE30" i="3"/>
  <c r="AE31" i="3"/>
  <c r="AE32" i="3"/>
  <c r="AE33" i="3"/>
  <c r="AE34" i="3"/>
  <c r="C371" i="27" l="1"/>
  <c r="I371" i="27"/>
  <c r="C372" i="27"/>
  <c r="D372" i="27" s="1"/>
  <c r="I372" i="27"/>
  <c r="J372" i="27" s="1"/>
  <c r="C373" i="27"/>
  <c r="F373" i="27" s="1"/>
  <c r="I373" i="27"/>
  <c r="J373" i="27" s="1"/>
  <c r="C374" i="27"/>
  <c r="G374" i="27" s="1"/>
  <c r="I374" i="27"/>
  <c r="K374" i="27" s="1"/>
  <c r="C337" i="27"/>
  <c r="I337" i="27"/>
  <c r="C338" i="27"/>
  <c r="D338" i="27" s="1"/>
  <c r="I338" i="27"/>
  <c r="J338" i="27" s="1"/>
  <c r="C339" i="27"/>
  <c r="E339" i="27" s="1"/>
  <c r="I339" i="27"/>
  <c r="C340" i="27"/>
  <c r="F340" i="27" s="1"/>
  <c r="I340" i="27"/>
  <c r="C269" i="27"/>
  <c r="I269" i="27"/>
  <c r="C270" i="27"/>
  <c r="D270" i="27" s="1"/>
  <c r="I270" i="27"/>
  <c r="J270" i="27" s="1"/>
  <c r="C271" i="27"/>
  <c r="D271" i="27" s="1"/>
  <c r="I271" i="27"/>
  <c r="J271" i="27" s="1"/>
  <c r="C272" i="27"/>
  <c r="D272" i="27" s="1"/>
  <c r="I272" i="27"/>
  <c r="J272" i="27" s="1"/>
  <c r="C235" i="27"/>
  <c r="D235" i="27" s="1"/>
  <c r="I235" i="27"/>
  <c r="N235" i="27" s="1"/>
  <c r="C236" i="27"/>
  <c r="H236" i="27" s="1"/>
  <c r="I236" i="27"/>
  <c r="K236" i="27" s="1"/>
  <c r="C237" i="27"/>
  <c r="D237" i="27" s="1"/>
  <c r="I237" i="27"/>
  <c r="C238" i="27"/>
  <c r="D238" i="27" s="1"/>
  <c r="I238" i="27"/>
  <c r="J238" i="27" s="1"/>
  <c r="C201" i="27"/>
  <c r="I201" i="27"/>
  <c r="C202" i="27"/>
  <c r="H202" i="27" s="1"/>
  <c r="I202" i="27"/>
  <c r="J202" i="27" s="1"/>
  <c r="C203" i="27"/>
  <c r="I203" i="27"/>
  <c r="J203" i="27" s="1"/>
  <c r="C204" i="27"/>
  <c r="H204" i="27" s="1"/>
  <c r="I204" i="27"/>
  <c r="L204" i="27" s="1"/>
  <c r="C133" i="27"/>
  <c r="I133" i="27"/>
  <c r="C134" i="27"/>
  <c r="D134" i="27" s="1"/>
  <c r="I134" i="27"/>
  <c r="C135" i="27"/>
  <c r="G135" i="27" s="1"/>
  <c r="I135" i="27"/>
  <c r="N135" i="27" s="1"/>
  <c r="C136" i="27"/>
  <c r="G136" i="27" s="1"/>
  <c r="I136" i="27"/>
  <c r="L136" i="27" s="1"/>
  <c r="C99" i="27"/>
  <c r="I99" i="27"/>
  <c r="C100" i="27"/>
  <c r="D100" i="27" s="1"/>
  <c r="I100" i="27"/>
  <c r="J100" i="27" s="1"/>
  <c r="C101" i="27"/>
  <c r="D101" i="27" s="1"/>
  <c r="I101" i="27"/>
  <c r="L101" i="27" s="1"/>
  <c r="C102" i="27"/>
  <c r="F102" i="27" s="1"/>
  <c r="I102" i="27"/>
  <c r="L102" i="27" s="1"/>
  <c r="C65" i="27"/>
  <c r="I65" i="27"/>
  <c r="C66" i="27"/>
  <c r="I66" i="27"/>
  <c r="J66" i="27" s="1"/>
  <c r="C67" i="27"/>
  <c r="D67" i="27" s="1"/>
  <c r="I67" i="27"/>
  <c r="J67" i="27" s="1"/>
  <c r="C68" i="27"/>
  <c r="G68" i="27" s="1"/>
  <c r="I68" i="27"/>
  <c r="J68" i="27" s="1"/>
  <c r="W29" i="3"/>
  <c r="X29" i="3"/>
  <c r="C375" i="27"/>
  <c r="C370" i="27"/>
  <c r="C369" i="27"/>
  <c r="C368" i="27"/>
  <c r="C367" i="27"/>
  <c r="C366" i="27"/>
  <c r="F366" i="27" s="1"/>
  <c r="C365" i="27"/>
  <c r="C364" i="27"/>
  <c r="C363" i="27"/>
  <c r="C362" i="27"/>
  <c r="C361" i="27"/>
  <c r="C360" i="27"/>
  <c r="C359" i="27"/>
  <c r="C358" i="27"/>
  <c r="C357" i="27"/>
  <c r="C356" i="27"/>
  <c r="C355" i="27"/>
  <c r="F355" i="27" s="1"/>
  <c r="C354" i="27"/>
  <c r="C353" i="27"/>
  <c r="C352" i="27"/>
  <c r="C351" i="27"/>
  <c r="C341" i="27"/>
  <c r="C336" i="27"/>
  <c r="C335" i="27"/>
  <c r="C334" i="27"/>
  <c r="C333" i="27"/>
  <c r="C332" i="27"/>
  <c r="D332" i="27" s="1"/>
  <c r="C331" i="27"/>
  <c r="C330" i="27"/>
  <c r="C329" i="27"/>
  <c r="C328" i="27"/>
  <c r="C327" i="27"/>
  <c r="C326" i="27"/>
  <c r="C325" i="27"/>
  <c r="C324" i="27"/>
  <c r="C323" i="27"/>
  <c r="C322" i="27"/>
  <c r="C321" i="27"/>
  <c r="D321" i="27" s="1"/>
  <c r="C320" i="27"/>
  <c r="C319" i="27"/>
  <c r="C318" i="27"/>
  <c r="C317" i="27"/>
  <c r="C273" i="27"/>
  <c r="C268" i="27"/>
  <c r="C267" i="27"/>
  <c r="C266" i="27"/>
  <c r="C265" i="27"/>
  <c r="C264" i="27"/>
  <c r="F264" i="27" s="1"/>
  <c r="C263" i="27"/>
  <c r="C262" i="27"/>
  <c r="C261" i="27"/>
  <c r="C260" i="27"/>
  <c r="C259" i="27"/>
  <c r="C258" i="27"/>
  <c r="C257" i="27"/>
  <c r="C256" i="27"/>
  <c r="C255" i="27"/>
  <c r="C254" i="27"/>
  <c r="C253" i="27"/>
  <c r="C252" i="27"/>
  <c r="C251" i="27"/>
  <c r="C250" i="27"/>
  <c r="C249" i="27"/>
  <c r="C239" i="27"/>
  <c r="C234" i="27"/>
  <c r="H234" i="27" s="1"/>
  <c r="C233" i="27"/>
  <c r="H233" i="27" s="1"/>
  <c r="C232" i="27"/>
  <c r="H232" i="27" s="1"/>
  <c r="C231" i="27"/>
  <c r="C230" i="27"/>
  <c r="H230" i="27" s="1"/>
  <c r="C229" i="27"/>
  <c r="H229" i="27" s="1"/>
  <c r="C228" i="27"/>
  <c r="H228" i="27" s="1"/>
  <c r="C227" i="27"/>
  <c r="E227" i="27" s="1"/>
  <c r="C226" i="27"/>
  <c r="H226" i="27" s="1"/>
  <c r="C225" i="27"/>
  <c r="C224" i="27"/>
  <c r="H224" i="27" s="1"/>
  <c r="C223" i="27"/>
  <c r="F223" i="27" s="1"/>
  <c r="C222" i="27"/>
  <c r="H222" i="27" s="1"/>
  <c r="C221" i="27"/>
  <c r="E221" i="27" s="1"/>
  <c r="C220" i="27"/>
  <c r="H220" i="27" s="1"/>
  <c r="C219" i="27"/>
  <c r="H219" i="27" s="1"/>
  <c r="C218" i="27"/>
  <c r="H218" i="27" s="1"/>
  <c r="C217" i="27"/>
  <c r="G217" i="27" s="1"/>
  <c r="C216" i="27"/>
  <c r="C215" i="27"/>
  <c r="C205" i="27"/>
  <c r="C200" i="27"/>
  <c r="C199" i="27"/>
  <c r="C198" i="27"/>
  <c r="C197" i="27"/>
  <c r="C196" i="27"/>
  <c r="H196" i="27" s="1"/>
  <c r="C195" i="27"/>
  <c r="C194" i="27"/>
  <c r="C193" i="27"/>
  <c r="C192" i="27"/>
  <c r="C191" i="27"/>
  <c r="C190" i="27"/>
  <c r="C189" i="27"/>
  <c r="C188" i="27"/>
  <c r="C187" i="27"/>
  <c r="C186" i="27"/>
  <c r="C185" i="27"/>
  <c r="C184" i="27"/>
  <c r="C183" i="27"/>
  <c r="C182" i="27"/>
  <c r="C181" i="27"/>
  <c r="C137" i="27"/>
  <c r="C132" i="27"/>
  <c r="C131" i="27"/>
  <c r="C130" i="27"/>
  <c r="C129" i="27"/>
  <c r="C128" i="27"/>
  <c r="G128" i="27" s="1"/>
  <c r="C127" i="27"/>
  <c r="C126" i="27"/>
  <c r="C125" i="27"/>
  <c r="C124" i="27"/>
  <c r="C123" i="27"/>
  <c r="C122" i="27"/>
  <c r="C121" i="27"/>
  <c r="C120" i="27"/>
  <c r="C119" i="27"/>
  <c r="C118" i="27"/>
  <c r="C117" i="27"/>
  <c r="G117" i="27" s="1"/>
  <c r="C116" i="27"/>
  <c r="C115" i="27"/>
  <c r="C114" i="27"/>
  <c r="C113" i="27"/>
  <c r="C103" i="27"/>
  <c r="C98" i="27"/>
  <c r="C97" i="27"/>
  <c r="C96" i="27"/>
  <c r="C95" i="27"/>
  <c r="C94" i="27"/>
  <c r="H94" i="27" s="1"/>
  <c r="C93" i="27"/>
  <c r="C92" i="27"/>
  <c r="C91" i="27"/>
  <c r="C90" i="27"/>
  <c r="C89" i="27"/>
  <c r="C88" i="27"/>
  <c r="C87" i="27"/>
  <c r="C86" i="27"/>
  <c r="C85" i="27"/>
  <c r="C84" i="27"/>
  <c r="C83" i="27"/>
  <c r="E83" i="27" s="1"/>
  <c r="C82" i="27"/>
  <c r="C81" i="27"/>
  <c r="C80" i="27"/>
  <c r="C79" i="27"/>
  <c r="C69" i="27"/>
  <c r="C64" i="27"/>
  <c r="C63" i="27"/>
  <c r="C62" i="27"/>
  <c r="C61" i="27"/>
  <c r="C60" i="27"/>
  <c r="E60" i="27" s="1"/>
  <c r="C59" i="27"/>
  <c r="C58" i="27"/>
  <c r="C57" i="27"/>
  <c r="C56" i="27"/>
  <c r="C55" i="27"/>
  <c r="C54" i="27"/>
  <c r="C53" i="27"/>
  <c r="C52" i="27"/>
  <c r="C51" i="27"/>
  <c r="C50" i="27"/>
  <c r="C49" i="27"/>
  <c r="E49" i="27" s="1"/>
  <c r="C48" i="27"/>
  <c r="C47" i="27"/>
  <c r="C46" i="27"/>
  <c r="C45" i="27"/>
  <c r="I375" i="27"/>
  <c r="I370" i="27"/>
  <c r="I369" i="27"/>
  <c r="I368" i="27"/>
  <c r="I367" i="27"/>
  <c r="I366" i="27"/>
  <c r="M366" i="27" s="1"/>
  <c r="I365" i="27"/>
  <c r="I364" i="27"/>
  <c r="I363" i="27"/>
  <c r="I362" i="27"/>
  <c r="I361" i="27"/>
  <c r="I360" i="27"/>
  <c r="I359" i="27"/>
  <c r="I358" i="27"/>
  <c r="I357" i="27"/>
  <c r="I356" i="27"/>
  <c r="I355" i="27"/>
  <c r="N355" i="27" s="1"/>
  <c r="I354" i="27"/>
  <c r="I353" i="27"/>
  <c r="I352" i="27"/>
  <c r="I351" i="27"/>
  <c r="I341" i="27"/>
  <c r="I336" i="27"/>
  <c r="I335" i="27"/>
  <c r="I334" i="27"/>
  <c r="I333" i="27"/>
  <c r="I332" i="27"/>
  <c r="K332" i="27" s="1"/>
  <c r="I331" i="27"/>
  <c r="I330" i="27"/>
  <c r="I329" i="27"/>
  <c r="I328" i="27"/>
  <c r="I327" i="27"/>
  <c r="I326" i="27"/>
  <c r="I325" i="27"/>
  <c r="I324" i="27"/>
  <c r="I323" i="27"/>
  <c r="I322" i="27"/>
  <c r="I321" i="27"/>
  <c r="K321" i="27" s="1"/>
  <c r="I320" i="27"/>
  <c r="I319" i="27"/>
  <c r="I318" i="27"/>
  <c r="I317" i="27"/>
  <c r="I273" i="27"/>
  <c r="I268" i="27"/>
  <c r="I267" i="27"/>
  <c r="I266" i="27"/>
  <c r="I265" i="27"/>
  <c r="I264" i="27"/>
  <c r="N264" i="27" s="1"/>
  <c r="I263" i="27"/>
  <c r="I262" i="27"/>
  <c r="I261" i="27"/>
  <c r="I260" i="27"/>
  <c r="I259" i="27"/>
  <c r="I258" i="27"/>
  <c r="I257" i="27"/>
  <c r="I256" i="27"/>
  <c r="I255" i="27"/>
  <c r="I254" i="27"/>
  <c r="I253" i="27"/>
  <c r="N253" i="27" s="1"/>
  <c r="I252" i="27"/>
  <c r="I251" i="27"/>
  <c r="I250" i="27"/>
  <c r="I249" i="27"/>
  <c r="I239" i="27"/>
  <c r="I234" i="27"/>
  <c r="I233" i="27"/>
  <c r="K233" i="27" s="1"/>
  <c r="I232" i="27"/>
  <c r="I231" i="27"/>
  <c r="K231" i="27" s="1"/>
  <c r="I230" i="27"/>
  <c r="N230" i="27" s="1"/>
  <c r="I229" i="27"/>
  <c r="N229" i="27" s="1"/>
  <c r="I228" i="27"/>
  <c r="L228" i="27" s="1"/>
  <c r="I227" i="27"/>
  <c r="N227" i="27" s="1"/>
  <c r="I226" i="27"/>
  <c r="K226" i="27" s="1"/>
  <c r="I225" i="27"/>
  <c r="M225" i="27" s="1"/>
  <c r="I224" i="27"/>
  <c r="L224" i="27" s="1"/>
  <c r="I223" i="27"/>
  <c r="N223" i="27" s="1"/>
  <c r="I222" i="27"/>
  <c r="L222" i="27" s="1"/>
  <c r="I221" i="27"/>
  <c r="N221" i="27" s="1"/>
  <c r="I220" i="27"/>
  <c r="I219" i="27"/>
  <c r="N219" i="27" s="1"/>
  <c r="I218" i="27"/>
  <c r="I217" i="27"/>
  <c r="N217" i="27" s="1"/>
  <c r="I216" i="27"/>
  <c r="L216" i="27" s="1"/>
  <c r="I215" i="27"/>
  <c r="I205" i="27"/>
  <c r="I200" i="27"/>
  <c r="K200" i="27" s="1"/>
  <c r="I199" i="27"/>
  <c r="I198" i="27"/>
  <c r="I197" i="27"/>
  <c r="I196" i="27"/>
  <c r="K196" i="27" s="1"/>
  <c r="I195" i="27"/>
  <c r="I194" i="27"/>
  <c r="I193" i="27"/>
  <c r="I192" i="27"/>
  <c r="I191" i="27"/>
  <c r="I190" i="27"/>
  <c r="I189" i="27"/>
  <c r="I188" i="27"/>
  <c r="I187" i="27"/>
  <c r="I186" i="27"/>
  <c r="I185" i="27"/>
  <c r="K185" i="27" s="1"/>
  <c r="I184" i="27"/>
  <c r="I183" i="27"/>
  <c r="I182" i="27"/>
  <c r="I181" i="27"/>
  <c r="I137" i="27"/>
  <c r="I132" i="27"/>
  <c r="I131" i="27"/>
  <c r="I130" i="27"/>
  <c r="I129" i="27"/>
  <c r="I128" i="27"/>
  <c r="K128" i="27" s="1"/>
  <c r="I127" i="27"/>
  <c r="I126" i="27"/>
  <c r="I125" i="27"/>
  <c r="I124" i="27"/>
  <c r="I123" i="27"/>
  <c r="I122" i="27"/>
  <c r="I121" i="27"/>
  <c r="I120" i="27"/>
  <c r="I119" i="27"/>
  <c r="I118" i="27"/>
  <c r="I117" i="27"/>
  <c r="L117" i="27" s="1"/>
  <c r="I116" i="27"/>
  <c r="I115" i="27"/>
  <c r="I114" i="27"/>
  <c r="I113" i="27"/>
  <c r="I103" i="27"/>
  <c r="I98" i="27"/>
  <c r="I97" i="27"/>
  <c r="I96" i="27"/>
  <c r="I95" i="27"/>
  <c r="I94" i="27"/>
  <c r="M94" i="27" s="1"/>
  <c r="I93" i="27"/>
  <c r="I92" i="27"/>
  <c r="I91" i="27"/>
  <c r="I90" i="27"/>
  <c r="I89" i="27"/>
  <c r="I88" i="27"/>
  <c r="I87" i="27"/>
  <c r="I86" i="27"/>
  <c r="I85" i="27"/>
  <c r="I84" i="27"/>
  <c r="I83" i="27"/>
  <c r="N83" i="27" s="1"/>
  <c r="I82" i="27"/>
  <c r="I81" i="27"/>
  <c r="I80" i="27"/>
  <c r="I79" i="27"/>
  <c r="I69" i="27"/>
  <c r="I64" i="27"/>
  <c r="I63" i="27"/>
  <c r="I62" i="27"/>
  <c r="I61" i="27"/>
  <c r="I60" i="27"/>
  <c r="J60" i="27" s="1"/>
  <c r="I59" i="27"/>
  <c r="I58" i="27"/>
  <c r="I57" i="27"/>
  <c r="I56" i="27"/>
  <c r="I55" i="27"/>
  <c r="I54" i="27"/>
  <c r="I53" i="27"/>
  <c r="I52" i="27"/>
  <c r="I51" i="27"/>
  <c r="I50" i="27"/>
  <c r="I49" i="27"/>
  <c r="L49" i="27" s="1"/>
  <c r="I48" i="27"/>
  <c r="I47" i="27"/>
  <c r="I46" i="27"/>
  <c r="I45" i="27"/>
  <c r="K245" i="25"/>
  <c r="J245" i="25"/>
  <c r="I245" i="25"/>
  <c r="H245" i="25"/>
  <c r="G245" i="25"/>
  <c r="F245" i="25"/>
  <c r="E245" i="25"/>
  <c r="D245" i="25"/>
  <c r="C245" i="25"/>
  <c r="B245" i="25"/>
  <c r="K244" i="25"/>
  <c r="J244" i="25"/>
  <c r="I244" i="25"/>
  <c r="H244" i="25"/>
  <c r="G244" i="25"/>
  <c r="F244" i="25"/>
  <c r="E244" i="25"/>
  <c r="D244" i="25"/>
  <c r="C244" i="25"/>
  <c r="B244" i="25"/>
  <c r="K243" i="25"/>
  <c r="J243" i="25"/>
  <c r="I243" i="25"/>
  <c r="H243" i="25"/>
  <c r="G243" i="25"/>
  <c r="F243" i="25"/>
  <c r="E243" i="25"/>
  <c r="D243" i="25"/>
  <c r="C243" i="25"/>
  <c r="B243" i="25"/>
  <c r="K242" i="25"/>
  <c r="J242" i="25"/>
  <c r="I242" i="25"/>
  <c r="H242" i="25"/>
  <c r="G242" i="25"/>
  <c r="F242" i="25"/>
  <c r="E242" i="25"/>
  <c r="D242" i="25"/>
  <c r="C242" i="25"/>
  <c r="B242" i="25"/>
  <c r="K241" i="25"/>
  <c r="J241" i="25"/>
  <c r="I241" i="25"/>
  <c r="H241" i="25"/>
  <c r="G241" i="25"/>
  <c r="F241" i="25"/>
  <c r="E241" i="25"/>
  <c r="D241" i="25"/>
  <c r="C241" i="25"/>
  <c r="B241" i="25"/>
  <c r="K240" i="25"/>
  <c r="J240" i="25"/>
  <c r="I240" i="25"/>
  <c r="H240" i="25"/>
  <c r="G240" i="25"/>
  <c r="F240" i="25"/>
  <c r="E240" i="25"/>
  <c r="D240" i="25"/>
  <c r="C240" i="25"/>
  <c r="B240" i="25"/>
  <c r="K239" i="25"/>
  <c r="J239" i="25"/>
  <c r="I239" i="25"/>
  <c r="H239" i="25"/>
  <c r="G239" i="25"/>
  <c r="F239" i="25"/>
  <c r="E239" i="25"/>
  <c r="D239" i="25"/>
  <c r="C239" i="25"/>
  <c r="B239" i="25"/>
  <c r="K238" i="25"/>
  <c r="J238" i="25"/>
  <c r="I238" i="25"/>
  <c r="H238" i="25"/>
  <c r="G238" i="25"/>
  <c r="F238" i="25"/>
  <c r="E238" i="25"/>
  <c r="D238" i="25"/>
  <c r="C238" i="25"/>
  <c r="B238" i="25"/>
  <c r="K228" i="25"/>
  <c r="J228" i="25"/>
  <c r="I228" i="25"/>
  <c r="H228" i="25"/>
  <c r="G228" i="25"/>
  <c r="F228" i="25"/>
  <c r="E228" i="25"/>
  <c r="D228" i="25"/>
  <c r="C228" i="25"/>
  <c r="B228" i="25"/>
  <c r="K227" i="25"/>
  <c r="J227" i="25"/>
  <c r="I227" i="25"/>
  <c r="H227" i="25"/>
  <c r="G227" i="25"/>
  <c r="F227" i="25"/>
  <c r="E227" i="25"/>
  <c r="D227" i="25"/>
  <c r="C227" i="25"/>
  <c r="B227" i="25"/>
  <c r="K226" i="25"/>
  <c r="J226" i="25"/>
  <c r="I226" i="25"/>
  <c r="H226" i="25"/>
  <c r="G226" i="25"/>
  <c r="F226" i="25"/>
  <c r="E226" i="25"/>
  <c r="D226" i="25"/>
  <c r="C226" i="25"/>
  <c r="B226" i="25"/>
  <c r="K225" i="25"/>
  <c r="J225" i="25"/>
  <c r="I225" i="25"/>
  <c r="H225" i="25"/>
  <c r="G225" i="25"/>
  <c r="F225" i="25"/>
  <c r="E225" i="25"/>
  <c r="D225" i="25"/>
  <c r="C225" i="25"/>
  <c r="B225" i="25"/>
  <c r="K224" i="25"/>
  <c r="J224" i="25"/>
  <c r="I224" i="25"/>
  <c r="H224" i="25"/>
  <c r="G224" i="25"/>
  <c r="F224" i="25"/>
  <c r="E224" i="25"/>
  <c r="D224" i="25"/>
  <c r="C224" i="25"/>
  <c r="B224" i="25"/>
  <c r="K223" i="25"/>
  <c r="J223" i="25"/>
  <c r="I223" i="25"/>
  <c r="H223" i="25"/>
  <c r="G223" i="25"/>
  <c r="F223" i="25"/>
  <c r="E223" i="25"/>
  <c r="D223" i="25"/>
  <c r="C223" i="25"/>
  <c r="B223" i="25"/>
  <c r="K222" i="25"/>
  <c r="J222" i="25"/>
  <c r="I222" i="25"/>
  <c r="H222" i="25"/>
  <c r="G222" i="25"/>
  <c r="F222" i="25"/>
  <c r="E222" i="25"/>
  <c r="D222" i="25"/>
  <c r="C222" i="25"/>
  <c r="B222" i="25"/>
  <c r="K221" i="25"/>
  <c r="J221" i="25"/>
  <c r="I221" i="25"/>
  <c r="H221" i="25"/>
  <c r="G221" i="25"/>
  <c r="F221" i="25"/>
  <c r="E221" i="25"/>
  <c r="D221" i="25"/>
  <c r="C221" i="25"/>
  <c r="B221" i="25"/>
  <c r="B181" i="25"/>
  <c r="B180" i="25"/>
  <c r="B179" i="25"/>
  <c r="B178" i="25"/>
  <c r="B177" i="25"/>
  <c r="B176" i="25"/>
  <c r="B175" i="25"/>
  <c r="B174" i="25"/>
  <c r="B173" i="25"/>
  <c r="B172" i="25"/>
  <c r="B171" i="25"/>
  <c r="D165" i="25"/>
  <c r="B165" i="25"/>
  <c r="D164" i="25"/>
  <c r="B164" i="25"/>
  <c r="D163" i="25"/>
  <c r="B163" i="25"/>
  <c r="T157" i="25"/>
  <c r="R157" i="25"/>
  <c r="P157" i="25"/>
  <c r="N157" i="25"/>
  <c r="L157" i="25"/>
  <c r="J157" i="25"/>
  <c r="H157" i="25"/>
  <c r="F157" i="25"/>
  <c r="D157" i="25"/>
  <c r="B157" i="25"/>
  <c r="T156" i="25"/>
  <c r="R156" i="25"/>
  <c r="P156" i="25"/>
  <c r="N156" i="25"/>
  <c r="L156" i="25"/>
  <c r="J156" i="25"/>
  <c r="H156" i="25"/>
  <c r="F156" i="25"/>
  <c r="D156" i="25"/>
  <c r="B156" i="25"/>
  <c r="T155" i="25"/>
  <c r="R155" i="25"/>
  <c r="P155" i="25"/>
  <c r="N155" i="25"/>
  <c r="L155" i="25"/>
  <c r="J155" i="25"/>
  <c r="H155" i="25"/>
  <c r="F155" i="25"/>
  <c r="D155" i="25"/>
  <c r="B155" i="25"/>
  <c r="T154" i="25"/>
  <c r="R154" i="25"/>
  <c r="P154" i="25"/>
  <c r="N154" i="25"/>
  <c r="L154" i="25"/>
  <c r="J154" i="25"/>
  <c r="H154" i="25"/>
  <c r="F154" i="25"/>
  <c r="D154" i="25"/>
  <c r="B154" i="25"/>
  <c r="T153" i="25"/>
  <c r="R153" i="25"/>
  <c r="P153" i="25"/>
  <c r="N153" i="25"/>
  <c r="L153" i="25"/>
  <c r="J153" i="25"/>
  <c r="H153" i="25"/>
  <c r="F153" i="25"/>
  <c r="D153" i="25"/>
  <c r="B153" i="25"/>
  <c r="T152" i="25"/>
  <c r="R152" i="25"/>
  <c r="P152" i="25"/>
  <c r="N152" i="25"/>
  <c r="L152" i="25"/>
  <c r="J152" i="25"/>
  <c r="H152" i="25"/>
  <c r="F152" i="25"/>
  <c r="D152" i="25"/>
  <c r="B152" i="25"/>
  <c r="T151" i="25"/>
  <c r="R151" i="25"/>
  <c r="P151" i="25"/>
  <c r="N151" i="25"/>
  <c r="L151" i="25"/>
  <c r="J151" i="25"/>
  <c r="H151" i="25"/>
  <c r="F151" i="25"/>
  <c r="D151" i="25"/>
  <c r="B151" i="25"/>
  <c r="T150" i="25"/>
  <c r="R150" i="25"/>
  <c r="P150" i="25"/>
  <c r="N150" i="25"/>
  <c r="L150" i="25"/>
  <c r="J150" i="25"/>
  <c r="H150" i="25"/>
  <c r="F150" i="25"/>
  <c r="D150" i="25"/>
  <c r="B150" i="25"/>
  <c r="T144" i="25"/>
  <c r="R144" i="25"/>
  <c r="P144" i="25"/>
  <c r="N144" i="25"/>
  <c r="L144" i="25"/>
  <c r="J144" i="25"/>
  <c r="H144" i="25"/>
  <c r="F144" i="25"/>
  <c r="D144" i="25"/>
  <c r="B144" i="25"/>
  <c r="T143" i="25"/>
  <c r="R143" i="25"/>
  <c r="P143" i="25"/>
  <c r="N143" i="25"/>
  <c r="L143" i="25"/>
  <c r="J143" i="25"/>
  <c r="H143" i="25"/>
  <c r="F143" i="25"/>
  <c r="D143" i="25"/>
  <c r="B143" i="25"/>
  <c r="T142" i="25"/>
  <c r="R142" i="25"/>
  <c r="P142" i="25"/>
  <c r="N142" i="25"/>
  <c r="L142" i="25"/>
  <c r="J142" i="25"/>
  <c r="H142" i="25"/>
  <c r="F142" i="25"/>
  <c r="D142" i="25"/>
  <c r="B142" i="25"/>
  <c r="T141" i="25"/>
  <c r="R141" i="25"/>
  <c r="P141" i="25"/>
  <c r="N141" i="25"/>
  <c r="L141" i="25"/>
  <c r="J141" i="25"/>
  <c r="H141" i="25"/>
  <c r="F141" i="25"/>
  <c r="D141" i="25"/>
  <c r="B141" i="25"/>
  <c r="T140" i="25"/>
  <c r="R140" i="25"/>
  <c r="P140" i="25"/>
  <c r="N140" i="25"/>
  <c r="L140" i="25"/>
  <c r="J140" i="25"/>
  <c r="H140" i="25"/>
  <c r="F140" i="25"/>
  <c r="D140" i="25"/>
  <c r="B140" i="25"/>
  <c r="T139" i="25"/>
  <c r="R139" i="25"/>
  <c r="P139" i="25"/>
  <c r="N139" i="25"/>
  <c r="L139" i="25"/>
  <c r="J139" i="25"/>
  <c r="H139" i="25"/>
  <c r="F139" i="25"/>
  <c r="D139" i="25"/>
  <c r="B139" i="25"/>
  <c r="T138" i="25"/>
  <c r="R138" i="25"/>
  <c r="P138" i="25"/>
  <c r="N138" i="25"/>
  <c r="L138" i="25"/>
  <c r="J138" i="25"/>
  <c r="H138" i="25"/>
  <c r="F138" i="25"/>
  <c r="D138" i="25"/>
  <c r="B138" i="25"/>
  <c r="T137" i="25"/>
  <c r="R137" i="25"/>
  <c r="P137" i="25"/>
  <c r="N137" i="25"/>
  <c r="L137" i="25"/>
  <c r="J137" i="25"/>
  <c r="H137" i="25"/>
  <c r="F137" i="25"/>
  <c r="D137" i="25"/>
  <c r="B137" i="25"/>
  <c r="N131" i="25"/>
  <c r="L131" i="25"/>
  <c r="J131" i="25"/>
  <c r="H131" i="25"/>
  <c r="F131" i="25"/>
  <c r="D131" i="25"/>
  <c r="B131" i="25"/>
  <c r="N130" i="25"/>
  <c r="L130" i="25"/>
  <c r="J130" i="25"/>
  <c r="H130" i="25"/>
  <c r="F130" i="25"/>
  <c r="D130" i="25"/>
  <c r="B130" i="25"/>
  <c r="C17" i="25" s="1"/>
  <c r="N129" i="25"/>
  <c r="L129" i="25"/>
  <c r="J129" i="25"/>
  <c r="H129" i="25"/>
  <c r="F129" i="25"/>
  <c r="D129" i="25"/>
  <c r="B129" i="25"/>
  <c r="N128" i="25"/>
  <c r="L128" i="25"/>
  <c r="J128" i="25"/>
  <c r="H128" i="25"/>
  <c r="F128" i="25"/>
  <c r="D128" i="25"/>
  <c r="B128" i="25"/>
  <c r="N127" i="25"/>
  <c r="L127" i="25"/>
  <c r="J127" i="25"/>
  <c r="H127" i="25"/>
  <c r="F127" i="25"/>
  <c r="D127" i="25"/>
  <c r="B127" i="25"/>
  <c r="N126" i="25"/>
  <c r="L126" i="25"/>
  <c r="J126" i="25"/>
  <c r="H126" i="25"/>
  <c r="C33" i="25" s="1"/>
  <c r="F126" i="25"/>
  <c r="D126" i="25"/>
  <c r="B126" i="25"/>
  <c r="N125" i="25"/>
  <c r="L125" i="25"/>
  <c r="J125" i="25"/>
  <c r="H125" i="25"/>
  <c r="F125" i="25"/>
  <c r="D125" i="25"/>
  <c r="B125" i="25"/>
  <c r="N124" i="25"/>
  <c r="L124" i="25"/>
  <c r="J124" i="25"/>
  <c r="H124" i="25"/>
  <c r="F124" i="25"/>
  <c r="D124" i="25"/>
  <c r="B124" i="25"/>
  <c r="P118" i="25"/>
  <c r="D118" i="25"/>
  <c r="B118" i="25"/>
  <c r="F63" i="25" s="1"/>
  <c r="P117" i="25"/>
  <c r="D117" i="25"/>
  <c r="B117" i="25"/>
  <c r="P116" i="25"/>
  <c r="D116" i="25"/>
  <c r="B116" i="25"/>
  <c r="B61" i="25" s="1"/>
  <c r="P115" i="25"/>
  <c r="D115" i="25"/>
  <c r="B115" i="25"/>
  <c r="D60" i="25" s="1"/>
  <c r="P114" i="25"/>
  <c r="D114" i="25"/>
  <c r="B114" i="25"/>
  <c r="H59" i="25" s="1"/>
  <c r="P113" i="25"/>
  <c r="D113" i="25"/>
  <c r="B113" i="25"/>
  <c r="P112" i="25"/>
  <c r="D112" i="25"/>
  <c r="B112" i="25"/>
  <c r="P111" i="25"/>
  <c r="D111" i="25"/>
  <c r="B111" i="25"/>
  <c r="B56" i="25" s="1"/>
  <c r="U245" i="25"/>
  <c r="T245" i="25"/>
  <c r="S245" i="25"/>
  <c r="R245" i="25"/>
  <c r="Q245" i="25"/>
  <c r="P245" i="25"/>
  <c r="O245" i="25"/>
  <c r="N245" i="25"/>
  <c r="M245" i="25"/>
  <c r="L245" i="25"/>
  <c r="U244" i="25"/>
  <c r="T244" i="25"/>
  <c r="S244" i="25"/>
  <c r="R244" i="25"/>
  <c r="Q244" i="25"/>
  <c r="P244" i="25"/>
  <c r="O244" i="25"/>
  <c r="N244" i="25"/>
  <c r="M244" i="25"/>
  <c r="L244" i="25"/>
  <c r="U243" i="25"/>
  <c r="T243" i="25"/>
  <c r="S243" i="25"/>
  <c r="R243" i="25"/>
  <c r="Q243" i="25"/>
  <c r="P243" i="25"/>
  <c r="O243" i="25"/>
  <c r="N243" i="25"/>
  <c r="M243" i="25"/>
  <c r="L243" i="25"/>
  <c r="U242" i="25"/>
  <c r="T242" i="25"/>
  <c r="S242" i="25"/>
  <c r="R242" i="25"/>
  <c r="Q242" i="25"/>
  <c r="P242" i="25"/>
  <c r="O242" i="25"/>
  <c r="N242" i="25"/>
  <c r="M242" i="25"/>
  <c r="L242" i="25"/>
  <c r="U241" i="25"/>
  <c r="T241" i="25"/>
  <c r="S241" i="25"/>
  <c r="R241" i="25"/>
  <c r="Q241" i="25"/>
  <c r="P241" i="25"/>
  <c r="O241" i="25"/>
  <c r="N241" i="25"/>
  <c r="M241" i="25"/>
  <c r="L241" i="25"/>
  <c r="U240" i="25"/>
  <c r="T240" i="25"/>
  <c r="S240" i="25"/>
  <c r="R240" i="25"/>
  <c r="Q240" i="25"/>
  <c r="P240" i="25"/>
  <c r="O240" i="25"/>
  <c r="N240" i="25"/>
  <c r="M240" i="25"/>
  <c r="L240" i="25"/>
  <c r="U239" i="25"/>
  <c r="T239" i="25"/>
  <c r="S239" i="25"/>
  <c r="R239" i="25"/>
  <c r="Q239" i="25"/>
  <c r="P239" i="25"/>
  <c r="O239" i="25"/>
  <c r="N239" i="25"/>
  <c r="M239" i="25"/>
  <c r="L239" i="25"/>
  <c r="U238" i="25"/>
  <c r="T238" i="25"/>
  <c r="S238" i="25"/>
  <c r="R238" i="25"/>
  <c r="Q238" i="25"/>
  <c r="P238" i="25"/>
  <c r="O238" i="25"/>
  <c r="N238" i="25"/>
  <c r="M238" i="25"/>
  <c r="L238" i="25"/>
  <c r="U228" i="25"/>
  <c r="T228" i="25"/>
  <c r="S228" i="25"/>
  <c r="R228" i="25"/>
  <c r="Q228" i="25"/>
  <c r="P228" i="25"/>
  <c r="O228" i="25"/>
  <c r="N228" i="25"/>
  <c r="M228" i="25"/>
  <c r="L228" i="25"/>
  <c r="U227" i="25"/>
  <c r="T227" i="25"/>
  <c r="S227" i="25"/>
  <c r="R227" i="25"/>
  <c r="Q227" i="25"/>
  <c r="P227" i="25"/>
  <c r="O227" i="25"/>
  <c r="N227" i="25"/>
  <c r="M227" i="25"/>
  <c r="L227" i="25"/>
  <c r="U226" i="25"/>
  <c r="T226" i="25"/>
  <c r="S226" i="25"/>
  <c r="R226" i="25"/>
  <c r="Q226" i="25"/>
  <c r="P226" i="25"/>
  <c r="O226" i="25"/>
  <c r="N226" i="25"/>
  <c r="M226" i="25"/>
  <c r="L226" i="25"/>
  <c r="U225" i="25"/>
  <c r="T225" i="25"/>
  <c r="S225" i="25"/>
  <c r="R225" i="25"/>
  <c r="Q225" i="25"/>
  <c r="P225" i="25"/>
  <c r="O225" i="25"/>
  <c r="N225" i="25"/>
  <c r="M225" i="25"/>
  <c r="L225" i="25"/>
  <c r="U224" i="25"/>
  <c r="T224" i="25"/>
  <c r="S224" i="25"/>
  <c r="R224" i="25"/>
  <c r="Q224" i="25"/>
  <c r="P224" i="25"/>
  <c r="O224" i="25"/>
  <c r="N224" i="25"/>
  <c r="M224" i="25"/>
  <c r="L224" i="25"/>
  <c r="U223" i="25"/>
  <c r="T223" i="25"/>
  <c r="S223" i="25"/>
  <c r="R223" i="25"/>
  <c r="Q223" i="25"/>
  <c r="P223" i="25"/>
  <c r="O223" i="25"/>
  <c r="N223" i="25"/>
  <c r="M223" i="25"/>
  <c r="L223" i="25"/>
  <c r="U222" i="25"/>
  <c r="T222" i="25"/>
  <c r="S222" i="25"/>
  <c r="R222" i="25"/>
  <c r="Q222" i="25"/>
  <c r="P222" i="25"/>
  <c r="O222" i="25"/>
  <c r="N222" i="25"/>
  <c r="M222" i="25"/>
  <c r="L222" i="25"/>
  <c r="U221" i="25"/>
  <c r="T221" i="25"/>
  <c r="S221" i="25"/>
  <c r="R221" i="25"/>
  <c r="Q221" i="25"/>
  <c r="P221" i="25"/>
  <c r="O221" i="25"/>
  <c r="N221" i="25"/>
  <c r="M221" i="25"/>
  <c r="L221" i="25"/>
  <c r="C181" i="25"/>
  <c r="C180" i="25"/>
  <c r="C179" i="25"/>
  <c r="C178" i="25"/>
  <c r="C177" i="25"/>
  <c r="C176" i="25"/>
  <c r="C175" i="25"/>
  <c r="C174" i="25"/>
  <c r="C173" i="25"/>
  <c r="C172" i="25"/>
  <c r="C171" i="25"/>
  <c r="E165" i="25"/>
  <c r="C165" i="25"/>
  <c r="E164" i="25"/>
  <c r="C164" i="25"/>
  <c r="E163" i="25"/>
  <c r="C163" i="25"/>
  <c r="U157" i="25"/>
  <c r="S157" i="25"/>
  <c r="Q157" i="25"/>
  <c r="O157" i="25"/>
  <c r="M157" i="25"/>
  <c r="K157" i="25"/>
  <c r="I157" i="25"/>
  <c r="G157" i="25"/>
  <c r="E157" i="25"/>
  <c r="C157" i="25"/>
  <c r="U156" i="25"/>
  <c r="S156" i="25"/>
  <c r="Q156" i="25"/>
  <c r="O156" i="25"/>
  <c r="M156" i="25"/>
  <c r="K156" i="25"/>
  <c r="I156" i="25"/>
  <c r="G156" i="25"/>
  <c r="E156" i="25"/>
  <c r="C156" i="25"/>
  <c r="U155" i="25"/>
  <c r="S155" i="25"/>
  <c r="Q155" i="25"/>
  <c r="O155" i="25"/>
  <c r="M155" i="25"/>
  <c r="K155" i="25"/>
  <c r="I155" i="25"/>
  <c r="G155" i="25"/>
  <c r="E155" i="25"/>
  <c r="C155" i="25"/>
  <c r="U154" i="25"/>
  <c r="S154" i="25"/>
  <c r="Q154" i="25"/>
  <c r="O154" i="25"/>
  <c r="M154" i="25"/>
  <c r="K154" i="25"/>
  <c r="I154" i="25"/>
  <c r="G154" i="25"/>
  <c r="E154" i="25"/>
  <c r="C154" i="25"/>
  <c r="U153" i="25"/>
  <c r="S153" i="25"/>
  <c r="Q153" i="25"/>
  <c r="O153" i="25"/>
  <c r="M153" i="25"/>
  <c r="K153" i="25"/>
  <c r="I153" i="25"/>
  <c r="G153" i="25"/>
  <c r="E153" i="25"/>
  <c r="C153" i="25"/>
  <c r="U152" i="25"/>
  <c r="S152" i="25"/>
  <c r="Q152" i="25"/>
  <c r="O152" i="25"/>
  <c r="M152" i="25"/>
  <c r="K152" i="25"/>
  <c r="I152" i="25"/>
  <c r="G152" i="25"/>
  <c r="E152" i="25"/>
  <c r="C152" i="25"/>
  <c r="U151" i="25"/>
  <c r="S151" i="25"/>
  <c r="Q151" i="25"/>
  <c r="O151" i="25"/>
  <c r="M151" i="25"/>
  <c r="K151" i="25"/>
  <c r="I151" i="25"/>
  <c r="G151" i="25"/>
  <c r="E151" i="25"/>
  <c r="C151" i="25"/>
  <c r="U150" i="25"/>
  <c r="S150" i="25"/>
  <c r="Q150" i="25"/>
  <c r="O150" i="25"/>
  <c r="M150" i="25"/>
  <c r="K150" i="25"/>
  <c r="I150" i="25"/>
  <c r="G150" i="25"/>
  <c r="E150" i="25"/>
  <c r="C150" i="25"/>
  <c r="U144" i="25"/>
  <c r="S144" i="25"/>
  <c r="Q144" i="25"/>
  <c r="O144" i="25"/>
  <c r="M144" i="25"/>
  <c r="K144" i="25"/>
  <c r="I144" i="25"/>
  <c r="G144" i="25"/>
  <c r="E144" i="25"/>
  <c r="C144" i="25"/>
  <c r="U143" i="25"/>
  <c r="S143" i="25"/>
  <c r="Q143" i="25"/>
  <c r="O143" i="25"/>
  <c r="M143" i="25"/>
  <c r="K143" i="25"/>
  <c r="I143" i="25"/>
  <c r="G143" i="25"/>
  <c r="E143" i="25"/>
  <c r="C143" i="25"/>
  <c r="U142" i="25"/>
  <c r="S142" i="25"/>
  <c r="Q142" i="25"/>
  <c r="O142" i="25"/>
  <c r="M142" i="25"/>
  <c r="K142" i="25"/>
  <c r="I142" i="25"/>
  <c r="G142" i="25"/>
  <c r="E142" i="25"/>
  <c r="C142" i="25"/>
  <c r="U141" i="25"/>
  <c r="S141" i="25"/>
  <c r="Q141" i="25"/>
  <c r="O141" i="25"/>
  <c r="M141" i="25"/>
  <c r="K141" i="25"/>
  <c r="I141" i="25"/>
  <c r="G141" i="25"/>
  <c r="E141" i="25"/>
  <c r="C141" i="25"/>
  <c r="U140" i="25"/>
  <c r="S140" i="25"/>
  <c r="Q140" i="25"/>
  <c r="O140" i="25"/>
  <c r="M140" i="25"/>
  <c r="K140" i="25"/>
  <c r="I140" i="25"/>
  <c r="G140" i="25"/>
  <c r="E140" i="25"/>
  <c r="C140" i="25"/>
  <c r="U139" i="25"/>
  <c r="S139" i="25"/>
  <c r="Q139" i="25"/>
  <c r="O139" i="25"/>
  <c r="M139" i="25"/>
  <c r="K139" i="25"/>
  <c r="I139" i="25"/>
  <c r="G139" i="25"/>
  <c r="E139" i="25"/>
  <c r="C139" i="25"/>
  <c r="U138" i="25"/>
  <c r="S138" i="25"/>
  <c r="Q138" i="25"/>
  <c r="O138" i="25"/>
  <c r="M138" i="25"/>
  <c r="K138" i="25"/>
  <c r="I138" i="25"/>
  <c r="G138" i="25"/>
  <c r="E138" i="25"/>
  <c r="C138" i="25"/>
  <c r="U137" i="25"/>
  <c r="S137" i="25"/>
  <c r="Q137" i="25"/>
  <c r="O137" i="25"/>
  <c r="M137" i="25"/>
  <c r="K137" i="25"/>
  <c r="I137" i="25"/>
  <c r="G137" i="25"/>
  <c r="E137" i="25"/>
  <c r="C137" i="25"/>
  <c r="O131" i="25"/>
  <c r="M131" i="25"/>
  <c r="K131" i="25"/>
  <c r="I131" i="25"/>
  <c r="G131" i="25"/>
  <c r="E131" i="25"/>
  <c r="C131" i="25"/>
  <c r="O130" i="25"/>
  <c r="M130" i="25"/>
  <c r="K130" i="25"/>
  <c r="I130" i="25"/>
  <c r="G130" i="25"/>
  <c r="E130" i="25"/>
  <c r="C130" i="25"/>
  <c r="O129" i="25"/>
  <c r="M129" i="25"/>
  <c r="K129" i="25"/>
  <c r="I129" i="25"/>
  <c r="G129" i="25"/>
  <c r="E129" i="25"/>
  <c r="C129" i="25"/>
  <c r="O128" i="25"/>
  <c r="M128" i="25"/>
  <c r="K128" i="25"/>
  <c r="I128" i="25"/>
  <c r="G128" i="25"/>
  <c r="E128" i="25"/>
  <c r="C128" i="25"/>
  <c r="J20" i="25" s="1"/>
  <c r="O127" i="25"/>
  <c r="M127" i="25"/>
  <c r="K127" i="25"/>
  <c r="I127" i="25"/>
  <c r="G127" i="25"/>
  <c r="E127" i="25"/>
  <c r="C127" i="25"/>
  <c r="O126" i="25"/>
  <c r="M126" i="25"/>
  <c r="K126" i="25"/>
  <c r="I126" i="25"/>
  <c r="G126" i="25"/>
  <c r="E126" i="25"/>
  <c r="C126" i="25"/>
  <c r="O125" i="25"/>
  <c r="M125" i="25"/>
  <c r="K125" i="25"/>
  <c r="I125" i="25"/>
  <c r="G125" i="25"/>
  <c r="E125" i="25"/>
  <c r="C125" i="25"/>
  <c r="O124" i="25"/>
  <c r="M124" i="25"/>
  <c r="K124" i="25"/>
  <c r="I124" i="25"/>
  <c r="G124" i="25"/>
  <c r="E124" i="25"/>
  <c r="C124" i="25"/>
  <c r="Q118" i="25"/>
  <c r="E118" i="25"/>
  <c r="C118" i="25"/>
  <c r="Q63" i="25" s="1"/>
  <c r="Q117" i="25"/>
  <c r="E117" i="25"/>
  <c r="C117" i="25"/>
  <c r="P62" i="25" s="1"/>
  <c r="Q116" i="25"/>
  <c r="E116" i="25"/>
  <c r="C116" i="25"/>
  <c r="O61" i="25" s="1"/>
  <c r="Q115" i="25"/>
  <c r="E115" i="25"/>
  <c r="C115" i="25"/>
  <c r="O60" i="25" s="1"/>
  <c r="Q114" i="25"/>
  <c r="E114" i="25"/>
  <c r="C114" i="25"/>
  <c r="Q113" i="25"/>
  <c r="E113" i="25"/>
  <c r="C113" i="25"/>
  <c r="Q112" i="25"/>
  <c r="E112" i="25"/>
  <c r="C112" i="25"/>
  <c r="Q57" i="25" s="1"/>
  <c r="Q111" i="25"/>
  <c r="I111" i="25"/>
  <c r="E111" i="25"/>
  <c r="C111" i="25"/>
  <c r="S56" i="25" s="1"/>
  <c r="L83" i="26"/>
  <c r="G83" i="26"/>
  <c r="Q54" i="26"/>
  <c r="L54" i="26"/>
  <c r="L69" i="26" s="1"/>
  <c r="G54" i="26"/>
  <c r="Q25" i="26"/>
  <c r="L25" i="26"/>
  <c r="G25" i="26"/>
  <c r="M83" i="26"/>
  <c r="H83" i="26"/>
  <c r="R54" i="26"/>
  <c r="M54" i="26"/>
  <c r="M56" i="26" s="1" a="1"/>
  <c r="M56" i="26" s="1"/>
  <c r="H54" i="26"/>
  <c r="H71" i="26" s="1" a="1"/>
  <c r="H71" i="26" s="1"/>
  <c r="R25" i="26"/>
  <c r="R44" i="26" s="1" a="1"/>
  <c r="R44" i="26" s="1"/>
  <c r="M25" i="26"/>
  <c r="H25" i="26"/>
  <c r="X406" i="3"/>
  <c r="W406" i="3"/>
  <c r="Z406" i="3" s="1"/>
  <c r="X407" i="3"/>
  <c r="W407" i="3"/>
  <c r="X408" i="3"/>
  <c r="W408" i="3"/>
  <c r="Z408" i="3" s="1"/>
  <c r="W409" i="3"/>
  <c r="X409" i="3"/>
  <c r="W410" i="3"/>
  <c r="X410" i="3"/>
  <c r="W30" i="3"/>
  <c r="X30" i="3"/>
  <c r="W31" i="3"/>
  <c r="G111" i="25" s="1"/>
  <c r="X31" i="3"/>
  <c r="W32" i="3"/>
  <c r="X32" i="3"/>
  <c r="W33" i="3"/>
  <c r="Z33" i="3" s="1"/>
  <c r="X33" i="3"/>
  <c r="W34" i="3"/>
  <c r="Z34" i="3" s="1"/>
  <c r="X34" i="3"/>
  <c r="W401" i="3"/>
  <c r="X401" i="3"/>
  <c r="W402" i="3"/>
  <c r="Z402" i="3" s="1"/>
  <c r="X402" i="3"/>
  <c r="W403" i="3"/>
  <c r="Z403" i="3" s="1"/>
  <c r="X403" i="3"/>
  <c r="W404" i="3"/>
  <c r="X404" i="3"/>
  <c r="W405" i="3"/>
  <c r="Z405" i="3" s="1"/>
  <c r="X405" i="3"/>
  <c r="AE400" i="3"/>
  <c r="AE399" i="3"/>
  <c r="AE398" i="3"/>
  <c r="AE397" i="3"/>
  <c r="AE396" i="3"/>
  <c r="AE395" i="3"/>
  <c r="AE394" i="3"/>
  <c r="AE393" i="3"/>
  <c r="AE392" i="3"/>
  <c r="AE391" i="3"/>
  <c r="AE390" i="3"/>
  <c r="AE389" i="3"/>
  <c r="AE388" i="3"/>
  <c r="AE387" i="3"/>
  <c r="AE386" i="3"/>
  <c r="AE385" i="3"/>
  <c r="AE384" i="3"/>
  <c r="AE383" i="3"/>
  <c r="AE382" i="3"/>
  <c r="AE381" i="3"/>
  <c r="AE380" i="3"/>
  <c r="AE379" i="3"/>
  <c r="AE378" i="3"/>
  <c r="AE377" i="3"/>
  <c r="AE376" i="3"/>
  <c r="AE375" i="3"/>
  <c r="AE374" i="3"/>
  <c r="AE373" i="3"/>
  <c r="AE372" i="3"/>
  <c r="AE371" i="3"/>
  <c r="AE370" i="3"/>
  <c r="AE369" i="3"/>
  <c r="AE368" i="3"/>
  <c r="AE367" i="3"/>
  <c r="AE366" i="3"/>
  <c r="AE365" i="3"/>
  <c r="AE364" i="3"/>
  <c r="AE363" i="3"/>
  <c r="AE362" i="3"/>
  <c r="AE361" i="3"/>
  <c r="AE360" i="3"/>
  <c r="AE359" i="3"/>
  <c r="AE358" i="3"/>
  <c r="AE357" i="3"/>
  <c r="AE356" i="3"/>
  <c r="AE355" i="3"/>
  <c r="AE354" i="3"/>
  <c r="AE353" i="3"/>
  <c r="AE352" i="3"/>
  <c r="AE351" i="3"/>
  <c r="AE350" i="3"/>
  <c r="AE349" i="3"/>
  <c r="AE348" i="3"/>
  <c r="AE347" i="3"/>
  <c r="AE346" i="3"/>
  <c r="AE345" i="3"/>
  <c r="AE344" i="3"/>
  <c r="AE343" i="3"/>
  <c r="AE342" i="3"/>
  <c r="AE341" i="3"/>
  <c r="AE340" i="3"/>
  <c r="AE339" i="3"/>
  <c r="AE338" i="3"/>
  <c r="J12" i="10"/>
  <c r="J13" i="10"/>
  <c r="C16" i="25" l="1"/>
  <c r="M99" i="27"/>
  <c r="AA406" i="3"/>
  <c r="AC406" i="3" s="1"/>
  <c r="K319" i="27"/>
  <c r="Y29" i="3"/>
  <c r="AB29" i="3" s="1"/>
  <c r="K181" i="27"/>
  <c r="K203" i="27"/>
  <c r="P63" i="25"/>
  <c r="Q62" i="25"/>
  <c r="O63" i="25"/>
  <c r="M28" i="26" a="1"/>
  <c r="M28" i="26" s="1"/>
  <c r="Q238" i="27"/>
  <c r="O203" i="27"/>
  <c r="R62" i="25"/>
  <c r="S62" i="25"/>
  <c r="E136" i="27"/>
  <c r="G134" i="27"/>
  <c r="M27" i="26" a="1"/>
  <c r="M27" i="26" s="1"/>
  <c r="F134" i="27"/>
  <c r="M36" i="26" a="1"/>
  <c r="M36" i="26" s="1"/>
  <c r="N59" i="25"/>
  <c r="D136" i="27"/>
  <c r="P59" i="25"/>
  <c r="P134" i="27"/>
  <c r="D339" i="27"/>
  <c r="H134" i="27"/>
  <c r="R63" i="25"/>
  <c r="R27" i="26" a="1"/>
  <c r="R27" i="26" s="1"/>
  <c r="O57" i="25"/>
  <c r="R36" i="26" a="1"/>
  <c r="R36" i="26" s="1"/>
  <c r="R60" i="25"/>
  <c r="S60" i="25"/>
  <c r="R57" i="26" a="1"/>
  <c r="R57" i="26" s="1"/>
  <c r="H97" i="26" a="1"/>
  <c r="H97" i="26" s="1"/>
  <c r="S63" i="25"/>
  <c r="P337" i="27"/>
  <c r="C170" i="27"/>
  <c r="F170" i="27" s="1"/>
  <c r="L202" i="27"/>
  <c r="I305" i="27"/>
  <c r="M305" i="27" s="1"/>
  <c r="L102" i="26"/>
  <c r="N57" i="25"/>
  <c r="L60" i="25"/>
  <c r="M39" i="26" a="1"/>
  <c r="M39" i="26" s="1"/>
  <c r="M60" i="25"/>
  <c r="L63" i="25"/>
  <c r="E134" i="27"/>
  <c r="C305" i="27"/>
  <c r="D305" i="27" s="1"/>
  <c r="R39" i="26" a="1"/>
  <c r="R39" i="26" s="1"/>
  <c r="N60" i="25"/>
  <c r="M63" i="25"/>
  <c r="B58" i="25"/>
  <c r="R45" i="26" a="1"/>
  <c r="R45" i="26" s="1"/>
  <c r="L57" i="25"/>
  <c r="P60" i="25"/>
  <c r="N63" i="25"/>
  <c r="E340" i="27"/>
  <c r="M57" i="25"/>
  <c r="Q60" i="25"/>
  <c r="E272" i="27"/>
  <c r="J339" i="27"/>
  <c r="D373" i="27"/>
  <c r="Q373" i="27" s="1"/>
  <c r="R57" i="25"/>
  <c r="K134" i="27"/>
  <c r="N203" i="27"/>
  <c r="P237" i="27"/>
  <c r="N236" i="27"/>
  <c r="U236" i="27" s="1"/>
  <c r="E338" i="27"/>
  <c r="R28" i="26" a="1"/>
  <c r="R28" i="26" s="1"/>
  <c r="R41" i="26" a="1"/>
  <c r="R41" i="26" s="1"/>
  <c r="H58" i="26" a="1"/>
  <c r="H58" i="26" s="1"/>
  <c r="H84" i="26" a="1"/>
  <c r="H84" i="26" s="1"/>
  <c r="H99" i="26" a="1"/>
  <c r="H99" i="26" s="1"/>
  <c r="F136" i="27"/>
  <c r="M202" i="27"/>
  <c r="F238" i="27"/>
  <c r="O269" i="27"/>
  <c r="O373" i="27"/>
  <c r="R30" i="26" a="1"/>
  <c r="R30" i="26" s="1"/>
  <c r="M44" i="26" a="1"/>
  <c r="M44" i="26" s="1"/>
  <c r="R58" i="26" a="1"/>
  <c r="R58" i="26" s="1"/>
  <c r="H86" i="26" a="1"/>
  <c r="H86" i="26" s="1"/>
  <c r="H100" i="26" a="1"/>
  <c r="H100" i="26" s="1"/>
  <c r="L58" i="26"/>
  <c r="L98" i="26"/>
  <c r="L59" i="25"/>
  <c r="P133" i="27"/>
  <c r="P269" i="27"/>
  <c r="H98" i="26" a="1"/>
  <c r="H98" i="26" s="1"/>
  <c r="R32" i="26" a="1"/>
  <c r="R32" i="26" s="1"/>
  <c r="H60" i="26" a="1"/>
  <c r="H60" i="26" s="1"/>
  <c r="H87" i="26" a="1"/>
  <c r="H87" i="26" s="1"/>
  <c r="H101" i="26" a="1"/>
  <c r="H101" i="26" s="1"/>
  <c r="L59" i="26"/>
  <c r="G99" i="26"/>
  <c r="M59" i="25"/>
  <c r="L62" i="25"/>
  <c r="M237" i="27"/>
  <c r="M45" i="26" a="1"/>
  <c r="M45" i="26" s="1"/>
  <c r="R61" i="26" a="1"/>
  <c r="R61" i="26" s="1"/>
  <c r="H88" i="26" a="1"/>
  <c r="H88" i="26" s="1"/>
  <c r="H102" i="26" a="1"/>
  <c r="H102" i="26" s="1"/>
  <c r="R56" i="25"/>
  <c r="G202" i="27"/>
  <c r="L237" i="27"/>
  <c r="H272" i="27"/>
  <c r="H89" i="26" a="1"/>
  <c r="H89" i="26" s="1"/>
  <c r="H103" i="26" a="1"/>
  <c r="H103" i="26" s="1"/>
  <c r="L65" i="26"/>
  <c r="L372" i="27"/>
  <c r="H90" i="26" a="1"/>
  <c r="H90" i="26" s="1"/>
  <c r="I303" i="27"/>
  <c r="K372" i="27"/>
  <c r="P203" i="27"/>
  <c r="L236" i="27"/>
  <c r="H92" i="26" a="1"/>
  <c r="H92" i="26" s="1"/>
  <c r="L56" i="26"/>
  <c r="R72" i="26" a="1"/>
  <c r="R72" i="26" s="1"/>
  <c r="G86" i="26"/>
  <c r="L203" i="27"/>
  <c r="N238" i="27"/>
  <c r="J236" i="27"/>
  <c r="N270" i="27"/>
  <c r="R74" i="26" a="1"/>
  <c r="R74" i="26" s="1"/>
  <c r="G87" i="26"/>
  <c r="D59" i="25"/>
  <c r="K136" i="27"/>
  <c r="M238" i="27"/>
  <c r="F374" i="27"/>
  <c r="J136" i="27"/>
  <c r="L238" i="27"/>
  <c r="G270" i="27"/>
  <c r="D374" i="27"/>
  <c r="D170" i="27"/>
  <c r="E170" i="27"/>
  <c r="M69" i="26" a="1"/>
  <c r="M69" i="26" s="1"/>
  <c r="H70" i="26" a="1"/>
  <c r="H70" i="26" s="1"/>
  <c r="M91" i="26" a="1"/>
  <c r="M91" i="26" s="1"/>
  <c r="M29" i="26" a="1"/>
  <c r="M29" i="26" s="1"/>
  <c r="M55" i="26" a="1"/>
  <c r="M55" i="26" s="1"/>
  <c r="M70" i="26" a="1"/>
  <c r="M70" i="26" s="1"/>
  <c r="M59" i="26" a="1"/>
  <c r="M59" i="26" s="1"/>
  <c r="M30" i="26" a="1"/>
  <c r="M30" i="26" s="1"/>
  <c r="M41" i="26" a="1"/>
  <c r="M41" i="26" s="1"/>
  <c r="H56" i="26" a="1"/>
  <c r="H56" i="26" s="1"/>
  <c r="R59" i="26" a="1"/>
  <c r="R59" i="26" s="1"/>
  <c r="R70" i="26" a="1"/>
  <c r="R70" i="26" s="1"/>
  <c r="M74" i="26" a="1"/>
  <c r="M74" i="26" s="1"/>
  <c r="G100" i="26"/>
  <c r="H94" i="26" a="1"/>
  <c r="H94" i="26" s="1"/>
  <c r="L61" i="26"/>
  <c r="L86" i="26"/>
  <c r="O59" i="25"/>
  <c r="G63" i="25"/>
  <c r="D135" i="27"/>
  <c r="J204" i="27"/>
  <c r="M203" i="27"/>
  <c r="O238" i="27"/>
  <c r="N237" i="27"/>
  <c r="G236" i="27"/>
  <c r="F272" i="27"/>
  <c r="H270" i="27"/>
  <c r="G339" i="27"/>
  <c r="P373" i="27"/>
  <c r="C169" i="27"/>
  <c r="C171" i="27"/>
  <c r="M31" i="26" a="1"/>
  <c r="M31" i="26" s="1"/>
  <c r="M60" i="26" a="1"/>
  <c r="M60" i="26" s="1"/>
  <c r="H65" i="26" a="1"/>
  <c r="H65" i="26" s="1"/>
  <c r="H68" i="26" a="1"/>
  <c r="H68" i="26" s="1"/>
  <c r="M71" i="26" a="1"/>
  <c r="M71" i="26" s="1"/>
  <c r="H75" i="26" a="1"/>
  <c r="H75" i="26" s="1"/>
  <c r="M88" i="26" a="1"/>
  <c r="M88" i="26" s="1"/>
  <c r="L87" i="26"/>
  <c r="E60" i="25"/>
  <c r="I63" i="25"/>
  <c r="N373" i="27"/>
  <c r="M99" i="26" a="1"/>
  <c r="M99" i="26" s="1"/>
  <c r="M42" i="26" a="1"/>
  <c r="M42" i="26" s="1"/>
  <c r="M65" i="26" a="1"/>
  <c r="M65" i="26" s="1"/>
  <c r="R71" i="26" a="1"/>
  <c r="R71" i="26" s="1"/>
  <c r="M100" i="26" a="1"/>
  <c r="M100" i="26" s="1"/>
  <c r="L89" i="26"/>
  <c r="L99" i="26"/>
  <c r="F60" i="25"/>
  <c r="P135" i="27"/>
  <c r="G204" i="27"/>
  <c r="P201" i="27"/>
  <c r="O235" i="27"/>
  <c r="O271" i="27"/>
  <c r="O338" i="27"/>
  <c r="M373" i="27"/>
  <c r="H372" i="27"/>
  <c r="I168" i="27"/>
  <c r="R31" i="26" a="1"/>
  <c r="R31" i="26" s="1"/>
  <c r="R60" i="26" a="1"/>
  <c r="R60" i="26" s="1"/>
  <c r="M26" i="26" a="1"/>
  <c r="M26" i="26" s="1"/>
  <c r="M43" i="26" a="1"/>
  <c r="M43" i="26" s="1"/>
  <c r="H61" i="26" a="1"/>
  <c r="H61" i="26" s="1"/>
  <c r="H72" i="26" a="1"/>
  <c r="H72" i="26" s="1"/>
  <c r="M84" i="26" a="1"/>
  <c r="M84" i="26" s="1"/>
  <c r="L68" i="26"/>
  <c r="G90" i="26"/>
  <c r="L100" i="26"/>
  <c r="G60" i="25"/>
  <c r="O135" i="27"/>
  <c r="F204" i="27"/>
  <c r="S204" i="27" s="1"/>
  <c r="H203" i="27"/>
  <c r="U203" i="27" s="1"/>
  <c r="K238" i="27"/>
  <c r="F237" i="27"/>
  <c r="H235" i="27"/>
  <c r="U235" i="27" s="1"/>
  <c r="N271" i="27"/>
  <c r="P339" i="27"/>
  <c r="N338" i="27"/>
  <c r="P374" i="27"/>
  <c r="L373" i="27"/>
  <c r="S373" i="27" s="1"/>
  <c r="G372" i="27"/>
  <c r="I170" i="27"/>
  <c r="P170" i="27" s="1"/>
  <c r="M94" i="26" a="1"/>
  <c r="M94" i="26" s="1"/>
  <c r="R42" i="26" a="1"/>
  <c r="R42" i="26" s="1"/>
  <c r="R56" i="26" a="1"/>
  <c r="R56" i="26" s="1"/>
  <c r="M68" i="26" a="1"/>
  <c r="M68" i="26" s="1"/>
  <c r="H57" i="26" a="1"/>
  <c r="H57" i="26" s="1"/>
  <c r="R68" i="26" a="1"/>
  <c r="R68" i="26" s="1"/>
  <c r="R26" i="26" a="1"/>
  <c r="R26" i="26" s="1"/>
  <c r="M32" i="26" a="1"/>
  <c r="M32" i="26" s="1"/>
  <c r="R43" i="26" a="1"/>
  <c r="R43" i="26" s="1"/>
  <c r="M57" i="26" a="1"/>
  <c r="M57" i="26" s="1"/>
  <c r="M61" i="26" a="1"/>
  <c r="M61" i="26" s="1"/>
  <c r="R65" i="26" a="1"/>
  <c r="R65" i="26" s="1"/>
  <c r="H69" i="26" a="1"/>
  <c r="H69" i="26" s="1"/>
  <c r="H85" i="26" a="1"/>
  <c r="H85" i="26" s="1"/>
  <c r="M89" i="26" a="1"/>
  <c r="M89" i="26" s="1"/>
  <c r="M101" i="26" a="1"/>
  <c r="M101" i="26" s="1"/>
  <c r="L90" i="26"/>
  <c r="G101" i="26"/>
  <c r="S57" i="25"/>
  <c r="H60" i="25"/>
  <c r="P136" i="27"/>
  <c r="M135" i="27"/>
  <c r="T135" i="27" s="1"/>
  <c r="O134" i="27"/>
  <c r="O133" i="27"/>
  <c r="E204" i="27"/>
  <c r="G203" i="27"/>
  <c r="O201" i="27"/>
  <c r="G235" i="27"/>
  <c r="M271" i="27"/>
  <c r="O339" i="27"/>
  <c r="K338" i="27"/>
  <c r="J374" i="27"/>
  <c r="K373" i="27"/>
  <c r="F372" i="27"/>
  <c r="H66" i="26" a="1"/>
  <c r="H66" i="26" s="1"/>
  <c r="M72" i="26" a="1"/>
  <c r="M72" i="26" s="1"/>
  <c r="M85" i="26" a="1"/>
  <c r="M85" i="26" s="1"/>
  <c r="G72" i="26"/>
  <c r="L103" i="26"/>
  <c r="E61" i="25"/>
  <c r="L135" i="27"/>
  <c r="N134" i="27"/>
  <c r="D204" i="27"/>
  <c r="F203" i="27"/>
  <c r="P238" i="27"/>
  <c r="O236" i="27"/>
  <c r="E235" i="27"/>
  <c r="L271" i="27"/>
  <c r="N339" i="27"/>
  <c r="Q338" i="27"/>
  <c r="E372" i="27"/>
  <c r="M90" i="26" a="1"/>
  <c r="M90" i="26" s="1"/>
  <c r="M97" i="26" a="1"/>
  <c r="M97" i="26" s="1"/>
  <c r="M102" i="26" a="1"/>
  <c r="M102" i="26" s="1"/>
  <c r="L91" i="26"/>
  <c r="F61" i="25"/>
  <c r="K135" i="27"/>
  <c r="M134" i="27"/>
  <c r="E203" i="27"/>
  <c r="R203" i="27" s="1"/>
  <c r="H238" i="27"/>
  <c r="M339" i="27"/>
  <c r="H338" i="27"/>
  <c r="I169" i="27"/>
  <c r="C168" i="27"/>
  <c r="M58" i="26" a="1"/>
  <c r="M58" i="26" s="1"/>
  <c r="R69" i="26" a="1"/>
  <c r="R69" i="26" s="1"/>
  <c r="H73" i="26" a="1"/>
  <c r="H73" i="26" s="1"/>
  <c r="L94" i="26"/>
  <c r="B57" i="25"/>
  <c r="G61" i="25"/>
  <c r="S136" i="27"/>
  <c r="J135" i="27"/>
  <c r="L134" i="27"/>
  <c r="S134" i="27" s="1"/>
  <c r="D203" i="27"/>
  <c r="Q203" i="27" s="1"/>
  <c r="G238" i="27"/>
  <c r="M236" i="27"/>
  <c r="L272" i="27"/>
  <c r="G271" i="27"/>
  <c r="I304" i="27"/>
  <c r="N304" i="27" s="1"/>
  <c r="L339" i="27"/>
  <c r="G338" i="27"/>
  <c r="E374" i="27"/>
  <c r="R374" i="27" s="1"/>
  <c r="E373" i="27"/>
  <c r="O371" i="27"/>
  <c r="I167" i="27"/>
  <c r="H55" i="26" a="1"/>
  <c r="H55" i="26" s="1"/>
  <c r="M73" i="26" a="1"/>
  <c r="M73" i="26" s="1"/>
  <c r="M103" i="26" a="1"/>
  <c r="M103" i="26" s="1"/>
  <c r="D63" i="25"/>
  <c r="M86" i="26" a="1"/>
  <c r="M86" i="26" s="1"/>
  <c r="R73" i="26" a="1"/>
  <c r="R73" i="26" s="1"/>
  <c r="L85" i="26"/>
  <c r="D58" i="25"/>
  <c r="E63" i="25"/>
  <c r="F135" i="27"/>
  <c r="J134" i="27"/>
  <c r="Q134" i="27" s="1"/>
  <c r="E238" i="27"/>
  <c r="I171" i="27"/>
  <c r="B60" i="25"/>
  <c r="H63" i="25"/>
  <c r="M98" i="26" a="1"/>
  <c r="M98" i="26" s="1"/>
  <c r="M40" i="26" a="1"/>
  <c r="M40" i="26" s="1"/>
  <c r="H59" i="26" a="1"/>
  <c r="H59" i="26" s="1"/>
  <c r="H63" i="26" a="1"/>
  <c r="H63" i="26" s="1"/>
  <c r="R29" i="26" a="1"/>
  <c r="R29" i="26" s="1"/>
  <c r="R40" i="26" a="1"/>
  <c r="R40" i="26" s="1"/>
  <c r="R55" i="26" a="1"/>
  <c r="R55" i="26" s="1"/>
  <c r="H74" i="26" a="1"/>
  <c r="H74" i="26" s="1"/>
  <c r="M87" i="26" a="1"/>
  <c r="M87" i="26" s="1"/>
  <c r="M92" i="26" a="1"/>
  <c r="M92" i="26" s="1"/>
  <c r="E135" i="27"/>
  <c r="K204" i="27"/>
  <c r="G272" i="27"/>
  <c r="C304" i="27"/>
  <c r="F304" i="27" s="1"/>
  <c r="H339" i="27"/>
  <c r="O337" i="27"/>
  <c r="C167" i="27"/>
  <c r="O170" i="27"/>
  <c r="Q372" i="27"/>
  <c r="N374" i="27"/>
  <c r="P372" i="27"/>
  <c r="M374" i="27"/>
  <c r="T374" i="27" s="1"/>
  <c r="H373" i="27"/>
  <c r="O372" i="27"/>
  <c r="O374" i="27"/>
  <c r="I306" i="27"/>
  <c r="L306" i="27" s="1"/>
  <c r="L374" i="27"/>
  <c r="G373" i="27"/>
  <c r="N372" i="27"/>
  <c r="C306" i="27"/>
  <c r="F306" i="27" s="1"/>
  <c r="M372" i="27"/>
  <c r="H374" i="27"/>
  <c r="P371" i="27"/>
  <c r="N305" i="27"/>
  <c r="L305" i="27"/>
  <c r="P340" i="27"/>
  <c r="D340" i="27"/>
  <c r="K339" i="27"/>
  <c r="R339" i="27" s="1"/>
  <c r="F338" i="27"/>
  <c r="M337" i="27"/>
  <c r="N340" i="27"/>
  <c r="P338" i="27"/>
  <c r="M340" i="27"/>
  <c r="L340" i="27"/>
  <c r="S340" i="27" s="1"/>
  <c r="K340" i="27"/>
  <c r="F339" i="27"/>
  <c r="M338" i="27"/>
  <c r="C303" i="27"/>
  <c r="J340" i="27"/>
  <c r="L338" i="27"/>
  <c r="O340" i="27"/>
  <c r="H340" i="27"/>
  <c r="G340" i="27"/>
  <c r="Q271" i="27"/>
  <c r="Q272" i="27"/>
  <c r="Q270" i="27"/>
  <c r="P272" i="27"/>
  <c r="K271" i="27"/>
  <c r="F270" i="27"/>
  <c r="O272" i="27"/>
  <c r="E270" i="27"/>
  <c r="N272" i="27"/>
  <c r="P270" i="27"/>
  <c r="M272" i="27"/>
  <c r="H271" i="27"/>
  <c r="O270" i="27"/>
  <c r="K272" i="27"/>
  <c r="F271" i="27"/>
  <c r="M270" i="27"/>
  <c r="E271" i="27"/>
  <c r="L270" i="27"/>
  <c r="P271" i="27"/>
  <c r="K270" i="27"/>
  <c r="E269" i="27"/>
  <c r="K237" i="27"/>
  <c r="F236" i="27"/>
  <c r="M235" i="27"/>
  <c r="J237" i="27"/>
  <c r="Q237" i="27" s="1"/>
  <c r="E236" i="27"/>
  <c r="R236" i="27" s="1"/>
  <c r="L235" i="27"/>
  <c r="P236" i="27"/>
  <c r="D236" i="27"/>
  <c r="Q236" i="27" s="1"/>
  <c r="K235" i="27"/>
  <c r="O237" i="27"/>
  <c r="H237" i="27"/>
  <c r="J235" i="27"/>
  <c r="Q235" i="27" s="1"/>
  <c r="G237" i="27"/>
  <c r="E237" i="27"/>
  <c r="F235" i="27"/>
  <c r="P235" i="27"/>
  <c r="P204" i="27"/>
  <c r="F202" i="27"/>
  <c r="M201" i="27"/>
  <c r="O204" i="27"/>
  <c r="E202" i="27"/>
  <c r="N204" i="27"/>
  <c r="U204" i="27" s="1"/>
  <c r="P202" i="27"/>
  <c r="D202" i="27"/>
  <c r="Q202" i="27" s="1"/>
  <c r="M204" i="27"/>
  <c r="O202" i="27"/>
  <c r="N202" i="27"/>
  <c r="U202" i="27" s="1"/>
  <c r="K202" i="27"/>
  <c r="O136" i="27"/>
  <c r="N136" i="27"/>
  <c r="M136" i="27"/>
  <c r="T136" i="27" s="1"/>
  <c r="H135" i="27"/>
  <c r="U135" i="27" s="1"/>
  <c r="H136" i="27"/>
  <c r="G67" i="27"/>
  <c r="C33" i="27"/>
  <c r="D33" i="27" s="1"/>
  <c r="Q67" i="27"/>
  <c r="O66" i="27"/>
  <c r="S102" i="27"/>
  <c r="E102" i="27"/>
  <c r="D102" i="27"/>
  <c r="M66" i="27"/>
  <c r="O99" i="27"/>
  <c r="K68" i="27"/>
  <c r="I31" i="27"/>
  <c r="O65" i="27"/>
  <c r="P101" i="27"/>
  <c r="L100" i="27"/>
  <c r="F68" i="27"/>
  <c r="Q100" i="27"/>
  <c r="H100" i="27"/>
  <c r="H67" i="27"/>
  <c r="K102" i="27"/>
  <c r="J102" i="27"/>
  <c r="K101" i="27"/>
  <c r="C35" i="27"/>
  <c r="I34" i="27"/>
  <c r="K34" i="27" s="1"/>
  <c r="F67" i="27"/>
  <c r="J65" i="27"/>
  <c r="H102" i="27"/>
  <c r="H101" i="27"/>
  <c r="G100" i="27"/>
  <c r="E67" i="27"/>
  <c r="G102" i="27"/>
  <c r="G101" i="27"/>
  <c r="F100" i="27"/>
  <c r="I33" i="27"/>
  <c r="L33" i="27" s="1"/>
  <c r="P67" i="27"/>
  <c r="F101" i="27"/>
  <c r="S101" i="27" s="1"/>
  <c r="O67" i="27"/>
  <c r="E101" i="27"/>
  <c r="N67" i="27"/>
  <c r="P102" i="27"/>
  <c r="I32" i="27"/>
  <c r="J32" i="27" s="1"/>
  <c r="M67" i="27"/>
  <c r="O102" i="27"/>
  <c r="C32" i="27"/>
  <c r="H32" i="27" s="1"/>
  <c r="L67" i="27"/>
  <c r="H66" i="27"/>
  <c r="N102" i="27"/>
  <c r="O101" i="27"/>
  <c r="O100" i="27"/>
  <c r="K67" i="27"/>
  <c r="M102" i="27"/>
  <c r="N101" i="27"/>
  <c r="N100" i="27"/>
  <c r="M68" i="27"/>
  <c r="T68" i="27" s="1"/>
  <c r="M101" i="27"/>
  <c r="M100" i="27"/>
  <c r="J101" i="27"/>
  <c r="Q101" i="27" s="1"/>
  <c r="E100" i="27"/>
  <c r="P100" i="27"/>
  <c r="K99" i="27"/>
  <c r="K100" i="27"/>
  <c r="P99" i="27"/>
  <c r="E68" i="27"/>
  <c r="G66" i="27"/>
  <c r="P68" i="27"/>
  <c r="D68" i="27"/>
  <c r="Q68" i="27" s="1"/>
  <c r="F66" i="27"/>
  <c r="O68" i="27"/>
  <c r="E66" i="27"/>
  <c r="N68" i="27"/>
  <c r="P66" i="27"/>
  <c r="D66" i="27"/>
  <c r="Q66" i="27" s="1"/>
  <c r="L68" i="27"/>
  <c r="N66" i="27"/>
  <c r="C34" i="27"/>
  <c r="C31" i="27"/>
  <c r="L66" i="27"/>
  <c r="K66" i="27"/>
  <c r="H68" i="27"/>
  <c r="P65" i="27"/>
  <c r="H117" i="27"/>
  <c r="M319" i="27"/>
  <c r="N225" i="27"/>
  <c r="J185" i="27"/>
  <c r="L332" i="27"/>
  <c r="F117" i="27"/>
  <c r="J223" i="27"/>
  <c r="K223" i="27"/>
  <c r="L230" i="27"/>
  <c r="M227" i="27"/>
  <c r="K366" i="27"/>
  <c r="F234" i="27"/>
  <c r="L60" i="27"/>
  <c r="F227" i="27"/>
  <c r="G234" i="27"/>
  <c r="J230" i="27"/>
  <c r="M221" i="27"/>
  <c r="J205" i="27"/>
  <c r="K229" i="27"/>
  <c r="J233" i="27"/>
  <c r="G228" i="27"/>
  <c r="F83" i="27"/>
  <c r="F332" i="27"/>
  <c r="K320" i="27"/>
  <c r="G83" i="27"/>
  <c r="J219" i="27"/>
  <c r="L233" i="27"/>
  <c r="G222" i="27"/>
  <c r="G227" i="27"/>
  <c r="E264" i="27"/>
  <c r="L219" i="27"/>
  <c r="J227" i="27"/>
  <c r="K253" i="27"/>
  <c r="D228" i="27"/>
  <c r="K227" i="27"/>
  <c r="D218" i="27"/>
  <c r="E224" i="27"/>
  <c r="E228" i="27"/>
  <c r="L227" i="27"/>
  <c r="E218" i="27"/>
  <c r="F228" i="27"/>
  <c r="F321" i="27"/>
  <c r="L128" i="27"/>
  <c r="M355" i="27"/>
  <c r="H60" i="27"/>
  <c r="E196" i="27"/>
  <c r="D219" i="27"/>
  <c r="D226" i="27"/>
  <c r="G232" i="27"/>
  <c r="E219" i="27"/>
  <c r="E226" i="27"/>
  <c r="F229" i="27"/>
  <c r="M60" i="27"/>
  <c r="M83" i="27"/>
  <c r="J200" i="27"/>
  <c r="J217" i="27"/>
  <c r="K264" i="27"/>
  <c r="M332" i="27"/>
  <c r="N366" i="27"/>
  <c r="F226" i="27"/>
  <c r="N128" i="27"/>
  <c r="K217" i="27"/>
  <c r="J229" i="27"/>
  <c r="N332" i="27"/>
  <c r="E220" i="27"/>
  <c r="G226" i="27"/>
  <c r="Y407" i="3"/>
  <c r="AB407" i="3" s="1"/>
  <c r="Z407" i="3"/>
  <c r="AA407" i="3" s="1"/>
  <c r="AC407" i="3" s="1"/>
  <c r="L36" i="26"/>
  <c r="L72" i="26"/>
  <c r="P58" i="25"/>
  <c r="N58" i="25"/>
  <c r="N61" i="25"/>
  <c r="S61" i="25"/>
  <c r="L31" i="26"/>
  <c r="Q31" i="26"/>
  <c r="Q44" i="26"/>
  <c r="Q69" i="26"/>
  <c r="G28" i="26"/>
  <c r="G32" i="26"/>
  <c r="G41" i="26"/>
  <c r="G45" i="26"/>
  <c r="Q72" i="26"/>
  <c r="G84" i="26"/>
  <c r="G88" i="26"/>
  <c r="G97" i="26"/>
  <c r="L101" i="26"/>
  <c r="Q59" i="25"/>
  <c r="P61" i="25"/>
  <c r="C57" i="25"/>
  <c r="H61" i="25"/>
  <c r="B62" i="25"/>
  <c r="L27" i="26"/>
  <c r="Q56" i="26"/>
  <c r="Q36" i="26"/>
  <c r="Q59" i="26"/>
  <c r="H26" i="26"/>
  <c r="L28" i="26"/>
  <c r="L32" i="26"/>
  <c r="L41" i="26"/>
  <c r="L45" i="26"/>
  <c r="G57" i="26"/>
  <c r="G60" i="26"/>
  <c r="L84" i="26"/>
  <c r="L88" i="26"/>
  <c r="L92" i="26"/>
  <c r="L97" i="26"/>
  <c r="Q61" i="25"/>
  <c r="I57" i="25"/>
  <c r="C60" i="25"/>
  <c r="I61" i="25"/>
  <c r="L40" i="26"/>
  <c r="Q27" i="26"/>
  <c r="Q40" i="26"/>
  <c r="Q62" i="26"/>
  <c r="Q28" i="26"/>
  <c r="Q32" i="26"/>
  <c r="Q41" i="26"/>
  <c r="Q45" i="26"/>
  <c r="L57" i="26"/>
  <c r="L60" i="26"/>
  <c r="G70" i="26"/>
  <c r="G73" i="26"/>
  <c r="G102" i="26"/>
  <c r="R61" i="25"/>
  <c r="N234" i="27"/>
  <c r="M234" i="27"/>
  <c r="L234" i="27"/>
  <c r="K234" i="27"/>
  <c r="J234" i="27"/>
  <c r="L44" i="26"/>
  <c r="H36" i="26"/>
  <c r="G29" i="26"/>
  <c r="G33" i="26"/>
  <c r="G42" i="26"/>
  <c r="Q57" i="26"/>
  <c r="Q60" i="26"/>
  <c r="Q63" i="26"/>
  <c r="L70" i="26"/>
  <c r="L73" i="26"/>
  <c r="G85" i="26"/>
  <c r="G89" i="26"/>
  <c r="G94" i="26"/>
  <c r="G98" i="26"/>
  <c r="Q56" i="25"/>
  <c r="L58" i="25"/>
  <c r="H30" i="26"/>
  <c r="L29" i="26"/>
  <c r="L33" i="26"/>
  <c r="L42" i="26"/>
  <c r="G55" i="26"/>
  <c r="Q70" i="26"/>
  <c r="Q73" i="26"/>
  <c r="M58" i="25"/>
  <c r="I58" i="25"/>
  <c r="H58" i="25"/>
  <c r="Q29" i="26"/>
  <c r="Q33" i="26"/>
  <c r="Q42" i="26"/>
  <c r="L55" i="26"/>
  <c r="G58" i="26"/>
  <c r="G61" i="26"/>
  <c r="G65" i="26"/>
  <c r="G68" i="26"/>
  <c r="G103" i="26"/>
  <c r="O58" i="25"/>
  <c r="C58" i="25"/>
  <c r="F225" i="27"/>
  <c r="G225" i="27"/>
  <c r="E225" i="27"/>
  <c r="D225" i="27"/>
  <c r="G30" i="26"/>
  <c r="G43" i="26"/>
  <c r="Q55" i="26"/>
  <c r="G71" i="26"/>
  <c r="G74" i="26"/>
  <c r="G39" i="26"/>
  <c r="L26" i="26"/>
  <c r="L30" i="26"/>
  <c r="L34" i="26"/>
  <c r="L39" i="26"/>
  <c r="L43" i="26"/>
  <c r="Q58" i="26"/>
  <c r="Q61" i="26"/>
  <c r="Q65" i="26"/>
  <c r="Q68" i="26"/>
  <c r="L71" i="26"/>
  <c r="L74" i="26"/>
  <c r="P56" i="25"/>
  <c r="T56" i="25"/>
  <c r="E58" i="25"/>
  <c r="C61" i="25"/>
  <c r="G26" i="26"/>
  <c r="G34" i="26"/>
  <c r="Q26" i="26"/>
  <c r="Q30" i="26"/>
  <c r="Q34" i="26"/>
  <c r="Q39" i="26"/>
  <c r="Q43" i="26"/>
  <c r="G56" i="26"/>
  <c r="Q71" i="26"/>
  <c r="Q74" i="26"/>
  <c r="F58" i="25"/>
  <c r="D61" i="25"/>
  <c r="D57" i="25"/>
  <c r="H57" i="25"/>
  <c r="F57" i="25"/>
  <c r="E57" i="25"/>
  <c r="I60" i="25"/>
  <c r="C63" i="25"/>
  <c r="B63" i="25"/>
  <c r="H43" i="26"/>
  <c r="G27" i="26"/>
  <c r="G31" i="26"/>
  <c r="G36" i="26"/>
  <c r="G40" i="26"/>
  <c r="G44" i="26"/>
  <c r="G59" i="26"/>
  <c r="G69" i="26"/>
  <c r="G58" i="25"/>
  <c r="J49" i="27"/>
  <c r="M49" i="27"/>
  <c r="L217" i="27"/>
  <c r="J221" i="27"/>
  <c r="L223" i="27"/>
  <c r="J226" i="27"/>
  <c r="L229" i="27"/>
  <c r="J355" i="27"/>
  <c r="G49" i="27"/>
  <c r="F218" i="27"/>
  <c r="D222" i="27"/>
  <c r="H227" i="27"/>
  <c r="M217" i="27"/>
  <c r="K221" i="27"/>
  <c r="M223" i="27"/>
  <c r="M229" i="27"/>
  <c r="K355" i="27"/>
  <c r="H49" i="27"/>
  <c r="G218" i="27"/>
  <c r="E222" i="27"/>
  <c r="F232" i="27"/>
  <c r="L221" i="27"/>
  <c r="J320" i="27"/>
  <c r="L355" i="27"/>
  <c r="D83" i="27"/>
  <c r="F222" i="27"/>
  <c r="F230" i="27"/>
  <c r="D233" i="27"/>
  <c r="E355" i="27"/>
  <c r="E366" i="27"/>
  <c r="G230" i="27"/>
  <c r="E233" i="27"/>
  <c r="G355" i="27"/>
  <c r="G366" i="27"/>
  <c r="M128" i="27"/>
  <c r="K219" i="27"/>
  <c r="J222" i="27"/>
  <c r="J225" i="27"/>
  <c r="K230" i="27"/>
  <c r="L321" i="27"/>
  <c r="J366" i="27"/>
  <c r="G60" i="27"/>
  <c r="D196" i="27"/>
  <c r="D220" i="27"/>
  <c r="D224" i="27"/>
  <c r="F233" i="27"/>
  <c r="E321" i="27"/>
  <c r="E332" i="27"/>
  <c r="H355" i="27"/>
  <c r="H366" i="27"/>
  <c r="Z29" i="3"/>
  <c r="AA29" i="3" s="1"/>
  <c r="AC29" i="3" s="1"/>
  <c r="K222" i="27"/>
  <c r="K225" i="27"/>
  <c r="M321" i="27"/>
  <c r="G233" i="27"/>
  <c r="M219" i="27"/>
  <c r="L225" i="27"/>
  <c r="M230" i="27"/>
  <c r="N321" i="27"/>
  <c r="L366" i="27"/>
  <c r="H217" i="27"/>
  <c r="F220" i="27"/>
  <c r="F224" i="27"/>
  <c r="D227" i="27"/>
  <c r="G229" i="27"/>
  <c r="G321" i="27"/>
  <c r="G332" i="27"/>
  <c r="G220" i="27"/>
  <c r="G224" i="27"/>
  <c r="H321" i="27"/>
  <c r="H332" i="27"/>
  <c r="D128" i="27"/>
  <c r="G185" i="27"/>
  <c r="F185" i="27"/>
  <c r="D217" i="27"/>
  <c r="F221" i="27"/>
  <c r="G223" i="27"/>
  <c r="H225" i="27"/>
  <c r="D49" i="27"/>
  <c r="D60" i="27"/>
  <c r="E128" i="27"/>
  <c r="D185" i="27"/>
  <c r="E217" i="27"/>
  <c r="F219" i="27"/>
  <c r="G221" i="27"/>
  <c r="H223" i="27"/>
  <c r="F49" i="27"/>
  <c r="F60" i="27"/>
  <c r="F128" i="27"/>
  <c r="E185" i="27"/>
  <c r="F217" i="27"/>
  <c r="G219" i="27"/>
  <c r="H221" i="27"/>
  <c r="H128" i="27"/>
  <c r="H185" i="27"/>
  <c r="D253" i="27"/>
  <c r="H253" i="27"/>
  <c r="G253" i="27"/>
  <c r="E94" i="27"/>
  <c r="D94" i="27"/>
  <c r="E253" i="27"/>
  <c r="F94" i="27"/>
  <c r="D117" i="27"/>
  <c r="G196" i="27"/>
  <c r="F196" i="27"/>
  <c r="D229" i="27"/>
  <c r="D230" i="27"/>
  <c r="D232" i="27"/>
  <c r="D234" i="27"/>
  <c r="F253" i="27"/>
  <c r="G94" i="27"/>
  <c r="E117" i="27"/>
  <c r="E229" i="27"/>
  <c r="E230" i="27"/>
  <c r="E232" i="27"/>
  <c r="E234" i="27"/>
  <c r="D223" i="27"/>
  <c r="H83" i="27"/>
  <c r="D221" i="27"/>
  <c r="E223" i="27"/>
  <c r="D264" i="27"/>
  <c r="H264" i="27"/>
  <c r="G264" i="27"/>
  <c r="D355" i="27"/>
  <c r="D366" i="27"/>
  <c r="K49" i="27"/>
  <c r="K60" i="27"/>
  <c r="M117" i="27"/>
  <c r="K216" i="27"/>
  <c r="N226" i="27"/>
  <c r="M226" i="27"/>
  <c r="K228" i="27"/>
  <c r="N117" i="27"/>
  <c r="N224" i="27"/>
  <c r="M224" i="27"/>
  <c r="N49" i="27"/>
  <c r="N60" i="27"/>
  <c r="L83" i="27"/>
  <c r="K83" i="27"/>
  <c r="J83" i="27"/>
  <c r="J128" i="27"/>
  <c r="J224" i="27"/>
  <c r="L226" i="27"/>
  <c r="N185" i="27"/>
  <c r="M185" i="27"/>
  <c r="L185" i="27"/>
  <c r="N200" i="27"/>
  <c r="L200" i="27"/>
  <c r="N222" i="27"/>
  <c r="M222" i="27"/>
  <c r="K224" i="27"/>
  <c r="N233" i="27"/>
  <c r="M233" i="27"/>
  <c r="N220" i="27"/>
  <c r="M220" i="27"/>
  <c r="N231" i="27"/>
  <c r="M231" i="27"/>
  <c r="J220" i="27"/>
  <c r="J231" i="27"/>
  <c r="J253" i="27"/>
  <c r="J264" i="27"/>
  <c r="N218" i="27"/>
  <c r="M218" i="27"/>
  <c r="K220" i="27"/>
  <c r="L94" i="27"/>
  <c r="K94" i="27"/>
  <c r="J94" i="27"/>
  <c r="J117" i="27"/>
  <c r="K205" i="27"/>
  <c r="J218" i="27"/>
  <c r="L220" i="27"/>
  <c r="L231" i="27"/>
  <c r="L253" i="27"/>
  <c r="L264" i="27"/>
  <c r="J318" i="27"/>
  <c r="M320" i="27"/>
  <c r="N196" i="27"/>
  <c r="M196" i="27"/>
  <c r="L196" i="27"/>
  <c r="N216" i="27"/>
  <c r="M216" i="27"/>
  <c r="K218" i="27"/>
  <c r="M264" i="27"/>
  <c r="K318" i="27"/>
  <c r="K117" i="27"/>
  <c r="N228" i="27"/>
  <c r="M228" i="27"/>
  <c r="M253" i="27"/>
  <c r="N94" i="27"/>
  <c r="J181" i="27"/>
  <c r="J196" i="27"/>
  <c r="J216" i="27"/>
  <c r="L218" i="27"/>
  <c r="J228" i="27"/>
  <c r="J319" i="27"/>
  <c r="J321" i="27"/>
  <c r="J332" i="27"/>
  <c r="C56" i="25"/>
  <c r="I59" i="25"/>
  <c r="C62" i="25"/>
  <c r="D56" i="25"/>
  <c r="D62" i="25"/>
  <c r="E56" i="25"/>
  <c r="G57" i="25"/>
  <c r="E62" i="25"/>
  <c r="E59" i="25"/>
  <c r="G59" i="25"/>
  <c r="F56" i="25"/>
  <c r="F62" i="25"/>
  <c r="F59" i="25"/>
  <c r="G56" i="25"/>
  <c r="G62" i="25"/>
  <c r="H56" i="25"/>
  <c r="B59" i="25"/>
  <c r="H62" i="25"/>
  <c r="I56" i="25"/>
  <c r="C59" i="25"/>
  <c r="I62" i="25"/>
  <c r="L56" i="25"/>
  <c r="R59" i="25"/>
  <c r="M56" i="25"/>
  <c r="Q58" i="25"/>
  <c r="S59" i="25"/>
  <c r="M62" i="25"/>
  <c r="N56" i="25"/>
  <c r="P57" i="25"/>
  <c r="L61" i="25"/>
  <c r="N62" i="25"/>
  <c r="R58" i="25"/>
  <c r="O56" i="25"/>
  <c r="S58" i="25"/>
  <c r="M61" i="25"/>
  <c r="O62" i="25"/>
  <c r="H32" i="26"/>
  <c r="H45" i="26"/>
  <c r="H27" i="26"/>
  <c r="H40" i="26"/>
  <c r="H29" i="26"/>
  <c r="H42" i="26"/>
  <c r="H31" i="26"/>
  <c r="H44" i="26"/>
  <c r="H39" i="26"/>
  <c r="H28" i="26"/>
  <c r="H41" i="26"/>
  <c r="Y406" i="3"/>
  <c r="AB406" i="3" s="1"/>
  <c r="AA408" i="3"/>
  <c r="AC408" i="3" s="1"/>
  <c r="Y408" i="3"/>
  <c r="AB408" i="3" s="1"/>
  <c r="Y33" i="3"/>
  <c r="Y410" i="3"/>
  <c r="AB410" i="3" s="1"/>
  <c r="Y409" i="3"/>
  <c r="AB409" i="3" s="1"/>
  <c r="Z410" i="3"/>
  <c r="AA410" i="3" s="1"/>
  <c r="AC410" i="3" s="1"/>
  <c r="Y32" i="3"/>
  <c r="AB32" i="3" s="1"/>
  <c r="Z409" i="3"/>
  <c r="AA409" i="3" s="1"/>
  <c r="AC409" i="3" s="1"/>
  <c r="Y30" i="3"/>
  <c r="AB30" i="3" s="1"/>
  <c r="Y31" i="3"/>
  <c r="L181" i="27" s="1"/>
  <c r="AA33" i="3"/>
  <c r="Y403" i="3"/>
  <c r="AB403" i="3" s="1"/>
  <c r="Z30" i="3"/>
  <c r="Z32" i="3"/>
  <c r="AA32" i="3" s="1"/>
  <c r="Z31" i="3"/>
  <c r="M181" i="27" s="1"/>
  <c r="AA34" i="3"/>
  <c r="Y401" i="3"/>
  <c r="AB401" i="3" s="1"/>
  <c r="Y34" i="3"/>
  <c r="AA402" i="3"/>
  <c r="AC402" i="3" s="1"/>
  <c r="Y402" i="3"/>
  <c r="AB402" i="3" s="1"/>
  <c r="AA405" i="3"/>
  <c r="AC405" i="3" s="1"/>
  <c r="Y404" i="3"/>
  <c r="AB404" i="3" s="1"/>
  <c r="AA403" i="3"/>
  <c r="AC403" i="3" s="1"/>
  <c r="Z401" i="3"/>
  <c r="AA401" i="3" s="1"/>
  <c r="AC401" i="3" s="1"/>
  <c r="Y405" i="3"/>
  <c r="AB405" i="3" s="1"/>
  <c r="Z404" i="3"/>
  <c r="AA404" i="3" s="1"/>
  <c r="AC404" i="3" s="1"/>
  <c r="M208" i="25"/>
  <c r="W14" i="3"/>
  <c r="J161" i="10"/>
  <c r="J160" i="10"/>
  <c r="J159" i="10"/>
  <c r="J158" i="10"/>
  <c r="J157" i="10"/>
  <c r="J156" i="10"/>
  <c r="J155" i="10"/>
  <c r="J154" i="10"/>
  <c r="J133" i="10"/>
  <c r="J132" i="10"/>
  <c r="M5268" i="22"/>
  <c r="M5267" i="22"/>
  <c r="M5266" i="22"/>
  <c r="M5265" i="22"/>
  <c r="M5264" i="22"/>
  <c r="M5263" i="22"/>
  <c r="M5262" i="22"/>
  <c r="M5261" i="22"/>
  <c r="M5260" i="22"/>
  <c r="M5259" i="22"/>
  <c r="M5258" i="22"/>
  <c r="M5257" i="22"/>
  <c r="M5256" i="22"/>
  <c r="M5255" i="22"/>
  <c r="M5254" i="22"/>
  <c r="M5253" i="22"/>
  <c r="M5252" i="22"/>
  <c r="M5251" i="22"/>
  <c r="M5250" i="22"/>
  <c r="M5249" i="22"/>
  <c r="M5248" i="22"/>
  <c r="M5247" i="22"/>
  <c r="M5246" i="22"/>
  <c r="M5245" i="22"/>
  <c r="M5244" i="22"/>
  <c r="M5243" i="22"/>
  <c r="M5242" i="22"/>
  <c r="M5241" i="22"/>
  <c r="M5240" i="22"/>
  <c r="M5239" i="22"/>
  <c r="M5238" i="22"/>
  <c r="M5237" i="22"/>
  <c r="M5236" i="22"/>
  <c r="M5235" i="22"/>
  <c r="M5234" i="22"/>
  <c r="M5233" i="22"/>
  <c r="M5232" i="22"/>
  <c r="M5231" i="22"/>
  <c r="M5230" i="22"/>
  <c r="M5229" i="22"/>
  <c r="M5228" i="22"/>
  <c r="M5227" i="22"/>
  <c r="M5226" i="22"/>
  <c r="M5225" i="22"/>
  <c r="M5224" i="22"/>
  <c r="M5223" i="22"/>
  <c r="M5222" i="22"/>
  <c r="M5221" i="22"/>
  <c r="M5220" i="22"/>
  <c r="M5219" i="22"/>
  <c r="M5218" i="22"/>
  <c r="M5217" i="22"/>
  <c r="M5216" i="22"/>
  <c r="M5215" i="22"/>
  <c r="M5214" i="22"/>
  <c r="M5213" i="22"/>
  <c r="M5212" i="22"/>
  <c r="M5211" i="22"/>
  <c r="M5210" i="22"/>
  <c r="M5209" i="22"/>
  <c r="M5208" i="22"/>
  <c r="M5207" i="22"/>
  <c r="M5206" i="22"/>
  <c r="M5205" i="22"/>
  <c r="M5204" i="22"/>
  <c r="M5203" i="22"/>
  <c r="M5202" i="22"/>
  <c r="M5201" i="22"/>
  <c r="M5200" i="22"/>
  <c r="M5199" i="22"/>
  <c r="M5198" i="22"/>
  <c r="M5197" i="22"/>
  <c r="M5196" i="22"/>
  <c r="M5195" i="22"/>
  <c r="M5194" i="22"/>
  <c r="M5193" i="22"/>
  <c r="M5192" i="22"/>
  <c r="M5191" i="22"/>
  <c r="M5190" i="22"/>
  <c r="M5189" i="22"/>
  <c r="M5188" i="22"/>
  <c r="M5187" i="22"/>
  <c r="M5186" i="22"/>
  <c r="M5185" i="22"/>
  <c r="M5184" i="22"/>
  <c r="M5183" i="22"/>
  <c r="M5182" i="22"/>
  <c r="M5181" i="22"/>
  <c r="M5180" i="22"/>
  <c r="M5179" i="22"/>
  <c r="M5178" i="22"/>
  <c r="M5177" i="22"/>
  <c r="M5176" i="22"/>
  <c r="M5175" i="22"/>
  <c r="M5174" i="22"/>
  <c r="M5173" i="22"/>
  <c r="M5172" i="22"/>
  <c r="M5171" i="22"/>
  <c r="M5170" i="22"/>
  <c r="M5169" i="22"/>
  <c r="M5168" i="22"/>
  <c r="M5167" i="22"/>
  <c r="M5166" i="22"/>
  <c r="M5165" i="22"/>
  <c r="M5164" i="22"/>
  <c r="M5163" i="22"/>
  <c r="M5162" i="22"/>
  <c r="M5161" i="22"/>
  <c r="M5160" i="22"/>
  <c r="M5159" i="22"/>
  <c r="M5158" i="22"/>
  <c r="M5157" i="22"/>
  <c r="M5156" i="22"/>
  <c r="M5155" i="22"/>
  <c r="M5154" i="22"/>
  <c r="M5153" i="22"/>
  <c r="M5152" i="22"/>
  <c r="M5151" i="22"/>
  <c r="M5150" i="22"/>
  <c r="M5149" i="22"/>
  <c r="M5148" i="22"/>
  <c r="M5147" i="22"/>
  <c r="M5146" i="22"/>
  <c r="M5145" i="22"/>
  <c r="M5144" i="22"/>
  <c r="M5143" i="22"/>
  <c r="M5142" i="22"/>
  <c r="M5141" i="22"/>
  <c r="M5140" i="22"/>
  <c r="M5139" i="22"/>
  <c r="M5138" i="22"/>
  <c r="M5137" i="22"/>
  <c r="M5136" i="22"/>
  <c r="M5135" i="22"/>
  <c r="M5134" i="22"/>
  <c r="M5133" i="22"/>
  <c r="M5132" i="22"/>
  <c r="W370" i="3"/>
  <c r="X370" i="3"/>
  <c r="W371" i="3"/>
  <c r="X371" i="3"/>
  <c r="W372" i="3"/>
  <c r="Z372" i="3" s="1"/>
  <c r="X372" i="3"/>
  <c r="W373" i="3"/>
  <c r="Z373" i="3" s="1"/>
  <c r="X373" i="3"/>
  <c r="W374" i="3"/>
  <c r="X374" i="3"/>
  <c r="W375" i="3"/>
  <c r="X375" i="3"/>
  <c r="W376" i="3"/>
  <c r="Z376" i="3" s="1"/>
  <c r="X376" i="3"/>
  <c r="W377" i="3"/>
  <c r="Z377" i="3" s="1"/>
  <c r="X377" i="3"/>
  <c r="W378" i="3"/>
  <c r="Z378" i="3" s="1"/>
  <c r="X378" i="3"/>
  <c r="W379" i="3"/>
  <c r="X379" i="3"/>
  <c r="W380" i="3"/>
  <c r="X380" i="3"/>
  <c r="W381" i="3"/>
  <c r="Z381" i="3" s="1"/>
  <c r="X381" i="3"/>
  <c r="W382" i="3"/>
  <c r="X382" i="3"/>
  <c r="W383" i="3"/>
  <c r="Z383" i="3" s="1"/>
  <c r="X383" i="3"/>
  <c r="W384" i="3"/>
  <c r="X384" i="3"/>
  <c r="W385" i="3"/>
  <c r="Z385" i="3" s="1"/>
  <c r="X385" i="3"/>
  <c r="W386" i="3"/>
  <c r="X386" i="3"/>
  <c r="W387" i="3"/>
  <c r="X387" i="3"/>
  <c r="W388" i="3"/>
  <c r="Z388" i="3" s="1"/>
  <c r="X388" i="3"/>
  <c r="W389" i="3"/>
  <c r="X389" i="3"/>
  <c r="W390" i="3"/>
  <c r="X390" i="3"/>
  <c r="W391" i="3"/>
  <c r="Z391" i="3" s="1"/>
  <c r="X391" i="3"/>
  <c r="W392" i="3"/>
  <c r="X392" i="3"/>
  <c r="W393" i="3"/>
  <c r="Z393" i="3" s="1"/>
  <c r="X393" i="3"/>
  <c r="W394" i="3"/>
  <c r="X394" i="3"/>
  <c r="W395" i="3"/>
  <c r="X395" i="3"/>
  <c r="W396" i="3"/>
  <c r="X396" i="3"/>
  <c r="W397" i="3"/>
  <c r="Z397" i="3" s="1"/>
  <c r="X397" i="3"/>
  <c r="W398" i="3"/>
  <c r="X398" i="3"/>
  <c r="W399" i="3"/>
  <c r="X399" i="3"/>
  <c r="W400" i="3"/>
  <c r="X400" i="3"/>
  <c r="W411" i="3"/>
  <c r="Z411" i="3" s="1"/>
  <c r="X411" i="3"/>
  <c r="W338" i="3"/>
  <c r="Z338" i="3" s="1"/>
  <c r="W339" i="3"/>
  <c r="Z339" i="3" s="1"/>
  <c r="W340" i="3"/>
  <c r="Z340" i="3" s="1"/>
  <c r="W341" i="3"/>
  <c r="W342" i="3"/>
  <c r="W343" i="3"/>
  <c r="W344" i="3"/>
  <c r="Z344" i="3" s="1"/>
  <c r="W345" i="3"/>
  <c r="Z345" i="3" s="1"/>
  <c r="W346" i="3"/>
  <c r="W347" i="3"/>
  <c r="W348" i="3"/>
  <c r="W349" i="3"/>
  <c r="W350" i="3"/>
  <c r="Z350" i="3" s="1"/>
  <c r="W351" i="3"/>
  <c r="Z351" i="3" s="1"/>
  <c r="W352" i="3"/>
  <c r="Z352" i="3" s="1"/>
  <c r="W353" i="3"/>
  <c r="W354" i="3"/>
  <c r="Z354" i="3" s="1"/>
  <c r="W355" i="3"/>
  <c r="Z355" i="3" s="1"/>
  <c r="W356" i="3"/>
  <c r="Z356" i="3" s="1"/>
  <c r="W357" i="3"/>
  <c r="Z357" i="3" s="1"/>
  <c r="W358" i="3"/>
  <c r="Z358" i="3" s="1"/>
  <c r="W359" i="3"/>
  <c r="Z359" i="3" s="1"/>
  <c r="W360" i="3"/>
  <c r="W361" i="3"/>
  <c r="W362" i="3"/>
  <c r="Z362" i="3" s="1"/>
  <c r="W363" i="3"/>
  <c r="Z363" i="3" s="1"/>
  <c r="W364" i="3"/>
  <c r="Z364" i="3" s="1"/>
  <c r="W365" i="3"/>
  <c r="W366" i="3"/>
  <c r="Z366" i="3" s="1"/>
  <c r="W367" i="3"/>
  <c r="Z367" i="3" s="1"/>
  <c r="W368" i="3"/>
  <c r="Z368" i="3" s="1"/>
  <c r="W369" i="3"/>
  <c r="Z369" i="3" s="1"/>
  <c r="X338" i="3"/>
  <c r="X339" i="3"/>
  <c r="X340" i="3"/>
  <c r="X341" i="3"/>
  <c r="X342" i="3"/>
  <c r="X343" i="3"/>
  <c r="X344" i="3"/>
  <c r="X345" i="3"/>
  <c r="X346" i="3"/>
  <c r="X347" i="3"/>
  <c r="X348" i="3"/>
  <c r="X349" i="3"/>
  <c r="X350" i="3"/>
  <c r="X351" i="3"/>
  <c r="X352" i="3"/>
  <c r="X353" i="3"/>
  <c r="X354" i="3"/>
  <c r="X355" i="3"/>
  <c r="X356" i="3"/>
  <c r="X357" i="3"/>
  <c r="X358" i="3"/>
  <c r="X359" i="3"/>
  <c r="X360" i="3"/>
  <c r="X361" i="3"/>
  <c r="X362" i="3"/>
  <c r="X363" i="3"/>
  <c r="X364" i="3"/>
  <c r="X365" i="3"/>
  <c r="X366" i="3"/>
  <c r="X367" i="3"/>
  <c r="X368" i="3"/>
  <c r="X369" i="3"/>
  <c r="Z342" i="3"/>
  <c r="Z343" i="3"/>
  <c r="W12" i="3"/>
  <c r="Z12" i="3" s="1"/>
  <c r="M182" i="27" s="1"/>
  <c r="W13" i="3"/>
  <c r="Z13" i="3" s="1"/>
  <c r="M183" i="27" s="1"/>
  <c r="W15" i="3"/>
  <c r="W16" i="3"/>
  <c r="J187" i="27" s="1"/>
  <c r="W17" i="3"/>
  <c r="W18" i="3"/>
  <c r="J189" i="27" s="1"/>
  <c r="W19" i="3"/>
  <c r="Z19" i="3" s="1"/>
  <c r="M190" i="27" s="1"/>
  <c r="W20" i="3"/>
  <c r="Z20" i="3" s="1"/>
  <c r="M191" i="27" s="1"/>
  <c r="W21" i="3"/>
  <c r="J192" i="27" s="1"/>
  <c r="W22" i="3"/>
  <c r="J193" i="27" s="1"/>
  <c r="W23" i="3"/>
  <c r="J194" i="27" s="1"/>
  <c r="W24" i="3"/>
  <c r="Z24" i="3" s="1"/>
  <c r="M195" i="27" s="1"/>
  <c r="W25" i="3"/>
  <c r="Z25" i="3" s="1"/>
  <c r="W26" i="3"/>
  <c r="J197" i="27" s="1"/>
  <c r="W27" i="3"/>
  <c r="W28" i="3"/>
  <c r="J199" i="27" s="1"/>
  <c r="W35" i="3"/>
  <c r="Z35" i="3" s="1"/>
  <c r="M322" i="27" s="1"/>
  <c r="W36" i="3"/>
  <c r="J323" i="27" s="1"/>
  <c r="W37" i="3"/>
  <c r="J324" i="27" s="1"/>
  <c r="W38" i="3"/>
  <c r="J325" i="27" s="1"/>
  <c r="W39" i="3"/>
  <c r="Z39" i="3" s="1"/>
  <c r="M326" i="27" s="1"/>
  <c r="W40" i="3"/>
  <c r="J327" i="27" s="1"/>
  <c r="W41" i="3"/>
  <c r="J328" i="27" s="1"/>
  <c r="W42" i="3"/>
  <c r="Z42" i="3" s="1"/>
  <c r="M329" i="27" s="1"/>
  <c r="W43" i="3"/>
  <c r="Z43" i="3" s="1"/>
  <c r="M330" i="27" s="1"/>
  <c r="W44" i="3"/>
  <c r="Z44" i="3" s="1"/>
  <c r="M331" i="27" s="1"/>
  <c r="W45" i="3"/>
  <c r="Z45" i="3" s="1"/>
  <c r="W46" i="3"/>
  <c r="J333" i="27" s="1"/>
  <c r="W47" i="3"/>
  <c r="J334" i="27" s="1"/>
  <c r="W48" i="3"/>
  <c r="J335" i="27" s="1"/>
  <c r="W49" i="3"/>
  <c r="J336" i="27" s="1"/>
  <c r="W50" i="3"/>
  <c r="Z50" i="3" s="1"/>
  <c r="M341" i="27" s="1"/>
  <c r="W51" i="3"/>
  <c r="J317" i="27" s="1"/>
  <c r="W52" i="3"/>
  <c r="J46" i="27" s="1"/>
  <c r="W53" i="3"/>
  <c r="J47" i="27" s="1"/>
  <c r="W54" i="3"/>
  <c r="Z54" i="3" s="1"/>
  <c r="W55" i="3"/>
  <c r="Z55" i="3" s="1"/>
  <c r="M50" i="27" s="1"/>
  <c r="W56" i="3"/>
  <c r="J51" i="27" s="1"/>
  <c r="W57" i="3"/>
  <c r="W58" i="3"/>
  <c r="J53" i="27" s="1"/>
  <c r="W59" i="3"/>
  <c r="Z59" i="3" s="1"/>
  <c r="M54" i="27" s="1"/>
  <c r="W60" i="3"/>
  <c r="J55" i="27" s="1"/>
  <c r="W61" i="3"/>
  <c r="Z61" i="3" s="1"/>
  <c r="M56" i="27" s="1"/>
  <c r="W62" i="3"/>
  <c r="Z62" i="3" s="1"/>
  <c r="M57" i="27" s="1"/>
  <c r="W63" i="3"/>
  <c r="J58" i="27" s="1"/>
  <c r="W64" i="3"/>
  <c r="J59" i="27" s="1"/>
  <c r="W65" i="3"/>
  <c r="W66" i="3"/>
  <c r="Z66" i="3" s="1"/>
  <c r="M61" i="27" s="1"/>
  <c r="W67" i="3"/>
  <c r="Z67" i="3" s="1"/>
  <c r="M62" i="27" s="1"/>
  <c r="W68" i="3"/>
  <c r="Z68" i="3" s="1"/>
  <c r="M63" i="27" s="1"/>
  <c r="W69" i="3"/>
  <c r="W70" i="3"/>
  <c r="Z70" i="3" s="1"/>
  <c r="M69" i="27" s="1"/>
  <c r="W71" i="3"/>
  <c r="W72" i="3"/>
  <c r="W73" i="3"/>
  <c r="J81" i="27" s="1"/>
  <c r="W74" i="3"/>
  <c r="W75" i="3"/>
  <c r="J84" i="27" s="1"/>
  <c r="W76" i="3"/>
  <c r="J85" i="27" s="1"/>
  <c r="W77" i="3"/>
  <c r="J86" i="27" s="1"/>
  <c r="W78" i="3"/>
  <c r="Z78" i="3" s="1"/>
  <c r="M87" i="27" s="1"/>
  <c r="W79" i="3"/>
  <c r="Z79" i="3" s="1"/>
  <c r="M88" i="27" s="1"/>
  <c r="W80" i="3"/>
  <c r="J89" i="27" s="1"/>
  <c r="W81" i="3"/>
  <c r="W82" i="3"/>
  <c r="Z82" i="3" s="1"/>
  <c r="M91" i="27" s="1"/>
  <c r="W83" i="3"/>
  <c r="Z83" i="3" s="1"/>
  <c r="M92" i="27" s="1"/>
  <c r="W84" i="3"/>
  <c r="J93" i="27" s="1"/>
  <c r="W85" i="3"/>
  <c r="Z85" i="3" s="1"/>
  <c r="W86" i="3"/>
  <c r="W87" i="3"/>
  <c r="J96" i="27" s="1"/>
  <c r="W88" i="3"/>
  <c r="J97" i="27" s="1"/>
  <c r="W89" i="3"/>
  <c r="J98" i="27" s="1"/>
  <c r="W90" i="3"/>
  <c r="Z90" i="3" s="1"/>
  <c r="M103" i="27" s="1"/>
  <c r="W91" i="3"/>
  <c r="J79" i="27" s="1"/>
  <c r="W92" i="3"/>
  <c r="J232" i="27" s="1"/>
  <c r="W93" i="3"/>
  <c r="W94" i="3"/>
  <c r="W95" i="3"/>
  <c r="Z95" i="3" s="1"/>
  <c r="M352" i="27" s="1"/>
  <c r="W96" i="3"/>
  <c r="J353" i="27" s="1"/>
  <c r="W97" i="3"/>
  <c r="J354" i="27" s="1"/>
  <c r="W98" i="3"/>
  <c r="J356" i="27" s="1"/>
  <c r="W99" i="3"/>
  <c r="J357" i="27" s="1"/>
  <c r="W100" i="3"/>
  <c r="J358" i="27" s="1"/>
  <c r="W101" i="3"/>
  <c r="Z101" i="3" s="1"/>
  <c r="M359" i="27" s="1"/>
  <c r="W102" i="3"/>
  <c r="Z102" i="3" s="1"/>
  <c r="M360" i="27" s="1"/>
  <c r="W103" i="3"/>
  <c r="W104" i="3"/>
  <c r="Z104" i="3" s="1"/>
  <c r="M362" i="27" s="1"/>
  <c r="W105" i="3"/>
  <c r="W106" i="3"/>
  <c r="Z106" i="3" s="1"/>
  <c r="M364" i="27" s="1"/>
  <c r="W107" i="3"/>
  <c r="J365" i="27" s="1"/>
  <c r="W108" i="3"/>
  <c r="J371" i="27" s="1"/>
  <c r="W109" i="3"/>
  <c r="J367" i="27" s="1"/>
  <c r="W110" i="3"/>
  <c r="W111" i="3"/>
  <c r="Z111" i="3" s="1"/>
  <c r="M369" i="27" s="1"/>
  <c r="W112" i="3"/>
  <c r="J370" i="27" s="1"/>
  <c r="W113" i="3"/>
  <c r="J375" i="27" s="1"/>
  <c r="W114" i="3"/>
  <c r="W115" i="3"/>
  <c r="W116" i="3"/>
  <c r="J115" i="27" s="1"/>
  <c r="W117" i="3"/>
  <c r="W118" i="3"/>
  <c r="J118" i="27" s="1"/>
  <c r="W119" i="3"/>
  <c r="J119" i="27" s="1"/>
  <c r="W120" i="3"/>
  <c r="J120" i="27" s="1"/>
  <c r="W121" i="3"/>
  <c r="Z121" i="3" s="1"/>
  <c r="M121" i="27" s="1"/>
  <c r="W122" i="3"/>
  <c r="J122" i="27" s="1"/>
  <c r="W123" i="3"/>
  <c r="J123" i="27" s="1"/>
  <c r="W124" i="3"/>
  <c r="J124" i="27" s="1"/>
  <c r="W125" i="3"/>
  <c r="J125" i="27" s="1"/>
  <c r="W126" i="3"/>
  <c r="Z126" i="3" s="1"/>
  <c r="M126" i="27" s="1"/>
  <c r="W127" i="3"/>
  <c r="Z127" i="3" s="1"/>
  <c r="M127" i="27" s="1"/>
  <c r="W128" i="3"/>
  <c r="Z128" i="3" s="1"/>
  <c r="M133" i="27" s="1"/>
  <c r="W129" i="3"/>
  <c r="W130" i="3"/>
  <c r="W131" i="3"/>
  <c r="J131" i="27" s="1"/>
  <c r="W132" i="3"/>
  <c r="J132" i="27" s="1"/>
  <c r="W133" i="3"/>
  <c r="J137" i="27" s="1"/>
  <c r="W134" i="3"/>
  <c r="J113" i="27" s="1"/>
  <c r="W135" i="3"/>
  <c r="W136" i="3"/>
  <c r="J251" i="27" s="1"/>
  <c r="W137" i="3"/>
  <c r="J252" i="27" s="1"/>
  <c r="W138" i="3"/>
  <c r="W139" i="3"/>
  <c r="Z139" i="3" s="1"/>
  <c r="M255" i="27" s="1"/>
  <c r="W140" i="3"/>
  <c r="W141" i="3"/>
  <c r="W142" i="3"/>
  <c r="W143" i="3"/>
  <c r="J259" i="27" s="1"/>
  <c r="W144" i="3"/>
  <c r="J260" i="27" s="1"/>
  <c r="W145" i="3"/>
  <c r="Z145" i="3" s="1"/>
  <c r="M261" i="27" s="1"/>
  <c r="W146" i="3"/>
  <c r="W147" i="3"/>
  <c r="J263" i="27" s="1"/>
  <c r="W148" i="3"/>
  <c r="J269" i="27" s="1"/>
  <c r="W149" i="3"/>
  <c r="J265" i="27" s="1"/>
  <c r="W150" i="3"/>
  <c r="Z150" i="3" s="1"/>
  <c r="M266" i="27" s="1"/>
  <c r="W151" i="3"/>
  <c r="W152" i="3"/>
  <c r="Z152" i="3" s="1"/>
  <c r="M268" i="27" s="1"/>
  <c r="W153" i="3"/>
  <c r="W154" i="3"/>
  <c r="W155" i="3"/>
  <c r="D182" i="27" s="1"/>
  <c r="W156" i="3"/>
  <c r="D183" i="27" s="1"/>
  <c r="W157" i="3"/>
  <c r="W158" i="3"/>
  <c r="Z158" i="3" s="1"/>
  <c r="G186" i="27" s="1"/>
  <c r="W159" i="3"/>
  <c r="Z159" i="3" s="1"/>
  <c r="G187" i="27" s="1"/>
  <c r="W160" i="3"/>
  <c r="D188" i="27" s="1"/>
  <c r="W161" i="3"/>
  <c r="D189" i="27" s="1"/>
  <c r="W162" i="3"/>
  <c r="Z162" i="3" s="1"/>
  <c r="G190" i="27" s="1"/>
  <c r="W163" i="3"/>
  <c r="W164" i="3"/>
  <c r="W165" i="3"/>
  <c r="W166" i="3"/>
  <c r="Z166" i="3" s="1"/>
  <c r="G194" i="27" s="1"/>
  <c r="W167" i="3"/>
  <c r="D195" i="27" s="1"/>
  <c r="W168" i="3"/>
  <c r="D201" i="27" s="1"/>
  <c r="W169" i="3"/>
  <c r="D197" i="27" s="1"/>
  <c r="W170" i="3"/>
  <c r="W171" i="3"/>
  <c r="W172" i="3"/>
  <c r="D200" i="27" s="1"/>
  <c r="W173" i="3"/>
  <c r="D205" i="27" s="1"/>
  <c r="W174" i="3"/>
  <c r="F111" i="25" s="1"/>
  <c r="W175" i="3"/>
  <c r="W176" i="3"/>
  <c r="W177" i="3"/>
  <c r="W178" i="3"/>
  <c r="D322" i="27" s="1"/>
  <c r="W179" i="3"/>
  <c r="D323" i="27" s="1"/>
  <c r="W180" i="3"/>
  <c r="D324" i="27" s="1"/>
  <c r="W181" i="3"/>
  <c r="W182" i="3"/>
  <c r="D326" i="27" s="1"/>
  <c r="W183" i="3"/>
  <c r="D327" i="27" s="1"/>
  <c r="W184" i="3"/>
  <c r="W185" i="3"/>
  <c r="D329" i="27" s="1"/>
  <c r="W186" i="3"/>
  <c r="W187" i="3"/>
  <c r="W188" i="3"/>
  <c r="D337" i="27" s="1"/>
  <c r="W189" i="3"/>
  <c r="W190" i="3"/>
  <c r="W191" i="3"/>
  <c r="D335" i="27" s="1"/>
  <c r="W192" i="3"/>
  <c r="D336" i="27" s="1"/>
  <c r="W193" i="3"/>
  <c r="D341" i="27" s="1"/>
  <c r="W194" i="3"/>
  <c r="W195" i="3"/>
  <c r="D46" i="27" s="1"/>
  <c r="W196" i="3"/>
  <c r="D47" i="27" s="1"/>
  <c r="W197" i="3"/>
  <c r="D48" i="27" s="1"/>
  <c r="W198" i="3"/>
  <c r="D50" i="27" s="1"/>
  <c r="W199" i="3"/>
  <c r="W200" i="3"/>
  <c r="W201" i="3"/>
  <c r="W202" i="3"/>
  <c r="W203" i="3"/>
  <c r="D55" i="27" s="1"/>
  <c r="W204" i="3"/>
  <c r="W205" i="3"/>
  <c r="Z205" i="3" s="1"/>
  <c r="G57" i="27" s="1"/>
  <c r="W206" i="3"/>
  <c r="W207" i="3"/>
  <c r="W208" i="3"/>
  <c r="D65" i="27" s="1"/>
  <c r="W209" i="3"/>
  <c r="D61" i="27" s="1"/>
  <c r="W210" i="3"/>
  <c r="W211" i="3"/>
  <c r="W212" i="3"/>
  <c r="D64" i="27" s="1"/>
  <c r="W213" i="3"/>
  <c r="W214" i="3"/>
  <c r="D45" i="27" s="1"/>
  <c r="W215" i="3"/>
  <c r="D80" i="27" s="1"/>
  <c r="W216" i="3"/>
  <c r="D81" i="27" s="1"/>
  <c r="W217" i="3"/>
  <c r="D82" i="27" s="1"/>
  <c r="W218" i="3"/>
  <c r="Z218" i="3" s="1"/>
  <c r="G84" i="27" s="1"/>
  <c r="W219" i="3"/>
  <c r="Z219" i="3" s="1"/>
  <c r="G85" i="27" s="1"/>
  <c r="W220" i="3"/>
  <c r="D86" i="27" s="1"/>
  <c r="W221" i="3"/>
  <c r="D87" i="27" s="1"/>
  <c r="W222" i="3"/>
  <c r="W223" i="3"/>
  <c r="Z223" i="3" s="1"/>
  <c r="G89" i="27" s="1"/>
  <c r="W224" i="3"/>
  <c r="Z224" i="3" s="1"/>
  <c r="G90" i="27" s="1"/>
  <c r="W225" i="3"/>
  <c r="W226" i="3"/>
  <c r="D92" i="27" s="1"/>
  <c r="W227" i="3"/>
  <c r="D93" i="27" s="1"/>
  <c r="W228" i="3"/>
  <c r="D99" i="27" s="1"/>
  <c r="W229" i="3"/>
  <c r="D95" i="27" s="1"/>
  <c r="W230" i="3"/>
  <c r="D96" i="27" s="1"/>
  <c r="W231" i="3"/>
  <c r="Z231" i="3" s="1"/>
  <c r="G97" i="27" s="1"/>
  <c r="W232" i="3"/>
  <c r="D98" i="27" s="1"/>
  <c r="W233" i="3"/>
  <c r="W234" i="3"/>
  <c r="D79" i="27" s="1"/>
  <c r="W235" i="3"/>
  <c r="W236" i="3"/>
  <c r="D231" i="27" s="1"/>
  <c r="W237" i="3"/>
  <c r="W238" i="3"/>
  <c r="W239" i="3"/>
  <c r="Z239" i="3" s="1"/>
  <c r="G352" i="27" s="1"/>
  <c r="W240" i="3"/>
  <c r="D353" i="27" s="1"/>
  <c r="W241" i="3"/>
  <c r="Z241" i="3" s="1"/>
  <c r="G354" i="27" s="1"/>
  <c r="W242" i="3"/>
  <c r="Z242" i="3" s="1"/>
  <c r="G356" i="27" s="1"/>
  <c r="W243" i="3"/>
  <c r="Z243" i="3" s="1"/>
  <c r="G357" i="27" s="1"/>
  <c r="W244" i="3"/>
  <c r="D358" i="27" s="1"/>
  <c r="W245" i="3"/>
  <c r="D359" i="27" s="1"/>
  <c r="W246" i="3"/>
  <c r="Z246" i="3" s="1"/>
  <c r="G360" i="27" s="1"/>
  <c r="W247" i="3"/>
  <c r="Z247" i="3" s="1"/>
  <c r="G361" i="27" s="1"/>
  <c r="W248" i="3"/>
  <c r="D362" i="27" s="1"/>
  <c r="W249" i="3"/>
  <c r="W250" i="3"/>
  <c r="D364" i="27" s="1"/>
  <c r="W251" i="3"/>
  <c r="Z251" i="3" s="1"/>
  <c r="G365" i="27" s="1"/>
  <c r="W252" i="3"/>
  <c r="Z252" i="3" s="1"/>
  <c r="G371" i="27" s="1"/>
  <c r="W253" i="3"/>
  <c r="Z253" i="3" s="1"/>
  <c r="G367" i="27" s="1"/>
  <c r="W254" i="3"/>
  <c r="Z254" i="3" s="1"/>
  <c r="G368" i="27" s="1"/>
  <c r="W255" i="3"/>
  <c r="Z255" i="3" s="1"/>
  <c r="G369" i="27" s="1"/>
  <c r="W256" i="3"/>
  <c r="Z256" i="3" s="1"/>
  <c r="G370" i="27" s="1"/>
  <c r="W257" i="3"/>
  <c r="D375" i="27" s="1"/>
  <c r="W258" i="3"/>
  <c r="D351" i="27" s="1"/>
  <c r="W259" i="3"/>
  <c r="Z259" i="3" s="1"/>
  <c r="G114" i="27" s="1"/>
  <c r="W260" i="3"/>
  <c r="Z260" i="3" s="1"/>
  <c r="G115" i="27" s="1"/>
  <c r="W261" i="3"/>
  <c r="W262" i="3"/>
  <c r="W263" i="3"/>
  <c r="W264" i="3"/>
  <c r="W265" i="3"/>
  <c r="Z265" i="3" s="1"/>
  <c r="G121" i="27" s="1"/>
  <c r="W266" i="3"/>
  <c r="D122" i="27" s="1"/>
  <c r="W267" i="3"/>
  <c r="Z267" i="3" s="1"/>
  <c r="G123" i="27" s="1"/>
  <c r="W268" i="3"/>
  <c r="D124" i="27" s="1"/>
  <c r="W269" i="3"/>
  <c r="D125" i="27" s="1"/>
  <c r="W270" i="3"/>
  <c r="W271" i="3"/>
  <c r="W272" i="3"/>
  <c r="Z272" i="3" s="1"/>
  <c r="G133" i="27" s="1"/>
  <c r="W273" i="3"/>
  <c r="W274" i="3"/>
  <c r="D130" i="27" s="1"/>
  <c r="W275" i="3"/>
  <c r="Z275" i="3" s="1"/>
  <c r="G131" i="27" s="1"/>
  <c r="W276" i="3"/>
  <c r="Z276" i="3" s="1"/>
  <c r="G132" i="27" s="1"/>
  <c r="W277" i="3"/>
  <c r="D137" i="27" s="1"/>
  <c r="W278" i="3"/>
  <c r="D113" i="27" s="1"/>
  <c r="W279" i="3"/>
  <c r="W280" i="3"/>
  <c r="Z280" i="3" s="1"/>
  <c r="G251" i="27" s="1"/>
  <c r="W281" i="3"/>
  <c r="D252" i="27" s="1"/>
  <c r="W282" i="3"/>
  <c r="W283" i="3"/>
  <c r="Z283" i="3" s="1"/>
  <c r="G255" i="27" s="1"/>
  <c r="W284" i="3"/>
  <c r="D256" i="27" s="1"/>
  <c r="W285" i="3"/>
  <c r="W286" i="3"/>
  <c r="W287" i="3"/>
  <c r="Z287" i="3" s="1"/>
  <c r="G259" i="27" s="1"/>
  <c r="W288" i="3"/>
  <c r="W289" i="3"/>
  <c r="D261" i="27" s="1"/>
  <c r="W290" i="3"/>
  <c r="D262" i="27" s="1"/>
  <c r="W291" i="3"/>
  <c r="D263" i="27" s="1"/>
  <c r="W292" i="3"/>
  <c r="D269" i="27" s="1"/>
  <c r="W293" i="3"/>
  <c r="D265" i="27" s="1"/>
  <c r="W294" i="3"/>
  <c r="Z294" i="3" s="1"/>
  <c r="G266" i="27" s="1"/>
  <c r="W295" i="3"/>
  <c r="W296" i="3"/>
  <c r="Z296" i="3" s="1"/>
  <c r="G268" i="27" s="1"/>
  <c r="W297" i="3"/>
  <c r="W298" i="3"/>
  <c r="W299" i="3"/>
  <c r="W300" i="3"/>
  <c r="W301" i="3"/>
  <c r="W302" i="3"/>
  <c r="Z302" i="3" s="1"/>
  <c r="W303" i="3"/>
  <c r="Z303" i="3" s="1"/>
  <c r="W304" i="3"/>
  <c r="W305" i="3"/>
  <c r="W306" i="3"/>
  <c r="Z306" i="3" s="1"/>
  <c r="W307" i="3"/>
  <c r="Z307" i="3" s="1"/>
  <c r="W308" i="3"/>
  <c r="Z308" i="3" s="1"/>
  <c r="W309" i="3"/>
  <c r="Z309" i="3" s="1"/>
  <c r="W310" i="3"/>
  <c r="Z310" i="3" s="1"/>
  <c r="W311" i="3"/>
  <c r="W312" i="3"/>
  <c r="W313" i="3"/>
  <c r="Z313" i="3" s="1"/>
  <c r="W314" i="3"/>
  <c r="Z314" i="3" s="1"/>
  <c r="W315" i="3"/>
  <c r="Z315" i="3" s="1"/>
  <c r="W316" i="3"/>
  <c r="Z316" i="3" s="1"/>
  <c r="W317" i="3"/>
  <c r="W318" i="3"/>
  <c r="Z318" i="3" s="1"/>
  <c r="W319" i="3"/>
  <c r="Z319" i="3" s="1"/>
  <c r="W320" i="3"/>
  <c r="W321" i="3"/>
  <c r="Z321" i="3" s="1"/>
  <c r="W322" i="3"/>
  <c r="Z322" i="3" s="1"/>
  <c r="W323" i="3"/>
  <c r="Z323" i="3" s="1"/>
  <c r="W324" i="3"/>
  <c r="W325" i="3"/>
  <c r="W326" i="3"/>
  <c r="Z326" i="3" s="1"/>
  <c r="W327" i="3"/>
  <c r="Z327" i="3" s="1"/>
  <c r="W328" i="3"/>
  <c r="W329" i="3"/>
  <c r="W330" i="3"/>
  <c r="Z330" i="3" s="1"/>
  <c r="W331" i="3"/>
  <c r="Z331" i="3" s="1"/>
  <c r="W332" i="3"/>
  <c r="W333" i="3"/>
  <c r="Z333" i="3" s="1"/>
  <c r="W334" i="3"/>
  <c r="Z334" i="3" s="1"/>
  <c r="W335" i="3"/>
  <c r="Z335" i="3" s="1"/>
  <c r="W336" i="3"/>
  <c r="W337" i="3"/>
  <c r="E64" i="19"/>
  <c r="E65" i="19"/>
  <c r="E63" i="19"/>
  <c r="G12" i="7"/>
  <c r="H62" i="26" s="1" a="1"/>
  <c r="H62" i="26" s="1"/>
  <c r="P320" i="27"/>
  <c r="P323" i="27"/>
  <c r="P355" i="27"/>
  <c r="P358" i="27"/>
  <c r="P366" i="27"/>
  <c r="X113" i="3"/>
  <c r="K375" i="27" s="1"/>
  <c r="X87" i="3"/>
  <c r="K96" i="27" s="1"/>
  <c r="X295" i="3"/>
  <c r="E267" i="27" s="1"/>
  <c r="X200" i="3"/>
  <c r="X230" i="3"/>
  <c r="E96" i="27" s="1"/>
  <c r="X161" i="3"/>
  <c r="E189" i="27" s="1"/>
  <c r="X198" i="3"/>
  <c r="E50" i="27" s="1"/>
  <c r="X142" i="3"/>
  <c r="K258" i="27" s="1"/>
  <c r="X196" i="3"/>
  <c r="E47" i="27" s="1"/>
  <c r="X141" i="3"/>
  <c r="K257" i="27" s="1"/>
  <c r="X227" i="3"/>
  <c r="E93" i="27" s="1"/>
  <c r="X160" i="3"/>
  <c r="E188" i="27" s="1"/>
  <c r="X293" i="3"/>
  <c r="E265" i="27" s="1"/>
  <c r="X292" i="3"/>
  <c r="X197" i="3"/>
  <c r="E48" i="27" s="1"/>
  <c r="X186" i="3"/>
  <c r="E330" i="27" s="1"/>
  <c r="X134" i="3"/>
  <c r="X291" i="3"/>
  <c r="E263" i="27" s="1"/>
  <c r="X290" i="3"/>
  <c r="E262" i="27" s="1"/>
  <c r="X195" i="3"/>
  <c r="E46" i="27" s="1"/>
  <c r="X289" i="3"/>
  <c r="E261" i="27" s="1"/>
  <c r="X194" i="3"/>
  <c r="G104" i="26" s="1"/>
  <c r="X288" i="3"/>
  <c r="E260" i="27" s="1"/>
  <c r="X193" i="3"/>
  <c r="E341" i="27" s="1"/>
  <c r="X28" i="3"/>
  <c r="K199" i="27" s="1"/>
  <c r="X23" i="3"/>
  <c r="K194" i="27" s="1"/>
  <c r="X164" i="3"/>
  <c r="X119" i="3"/>
  <c r="K119" i="27" s="1"/>
  <c r="X269" i="3"/>
  <c r="E125" i="27" s="1"/>
  <c r="X183" i="3"/>
  <c r="E327" i="27" s="1"/>
  <c r="X172" i="3"/>
  <c r="E200" i="27" s="1"/>
  <c r="X125" i="3"/>
  <c r="K125" i="27" s="1"/>
  <c r="X99" i="3"/>
  <c r="K357" i="27" s="1"/>
  <c r="X78" i="3"/>
  <c r="K87" i="27" s="1"/>
  <c r="X176" i="3"/>
  <c r="E319" i="27" s="1"/>
  <c r="X128" i="3"/>
  <c r="K133" i="27" s="1"/>
  <c r="Z56" i="3"/>
  <c r="M51" i="27" s="1"/>
  <c r="X56" i="3"/>
  <c r="X45" i="3"/>
  <c r="K337" i="27" s="1"/>
  <c r="X268" i="3"/>
  <c r="E124" i="27" s="1"/>
  <c r="X182" i="3"/>
  <c r="E326" i="27" s="1"/>
  <c r="X206" i="3"/>
  <c r="Y206" i="3" s="1"/>
  <c r="AB206" i="3" s="1"/>
  <c r="X146" i="3"/>
  <c r="K262" i="27" s="1"/>
  <c r="X267" i="3"/>
  <c r="E123" i="27" s="1"/>
  <c r="X181" i="3"/>
  <c r="E325" i="27" s="1"/>
  <c r="X41" i="3"/>
  <c r="K328" i="27" s="1"/>
  <c r="X260" i="3"/>
  <c r="E115" i="27" s="1"/>
  <c r="X177" i="3"/>
  <c r="E320" i="27" s="1"/>
  <c r="X79" i="3"/>
  <c r="K88" i="27" s="1"/>
  <c r="X64" i="3"/>
  <c r="K59" i="27" s="1"/>
  <c r="X118" i="3"/>
  <c r="K118" i="27" s="1"/>
  <c r="X91" i="3"/>
  <c r="K79" i="27" s="1"/>
  <c r="X259" i="3"/>
  <c r="E114" i="27" s="1"/>
  <c r="X192" i="3"/>
  <c r="E336" i="27" s="1"/>
  <c r="X137" i="3"/>
  <c r="K252" i="27" s="1"/>
  <c r="X136" i="3"/>
  <c r="K251" i="27" s="1"/>
  <c r="X102" i="3"/>
  <c r="K360" i="27" s="1"/>
  <c r="X109" i="3"/>
  <c r="K367" i="27" s="1"/>
  <c r="X84" i="3"/>
  <c r="K93" i="27" s="1"/>
  <c r="X130" i="3"/>
  <c r="K130" i="27" s="1"/>
  <c r="X98" i="3"/>
  <c r="K356" i="27" s="1"/>
  <c r="X209" i="3"/>
  <c r="E61" i="27" s="1"/>
  <c r="X148" i="3"/>
  <c r="K269" i="27" s="1"/>
  <c r="X224" i="3"/>
  <c r="X157" i="3"/>
  <c r="E184" i="27" s="1"/>
  <c r="X258" i="3"/>
  <c r="E351" i="27" s="1"/>
  <c r="X175" i="3"/>
  <c r="E318" i="27" s="1"/>
  <c r="X37" i="3"/>
  <c r="K324" i="27" s="1"/>
  <c r="X25" i="3"/>
  <c r="K201" i="27" s="1"/>
  <c r="X40" i="3"/>
  <c r="K327" i="27" s="1"/>
  <c r="X27" i="3"/>
  <c r="K198" i="27" s="1"/>
  <c r="X65" i="3"/>
  <c r="K65" i="27" s="1"/>
  <c r="X53" i="3"/>
  <c r="K47" i="27" s="1"/>
  <c r="X168" i="3"/>
  <c r="E201" i="27" s="1"/>
  <c r="X123" i="3"/>
  <c r="K123" i="27" s="1"/>
  <c r="X63" i="3"/>
  <c r="K58" i="27" s="1"/>
  <c r="X51" i="3"/>
  <c r="X167" i="3"/>
  <c r="E195" i="27" s="1"/>
  <c r="X122" i="3"/>
  <c r="K122" i="27" s="1"/>
  <c r="X54" i="3"/>
  <c r="K48" i="27" s="1"/>
  <c r="X44" i="3"/>
  <c r="K331" i="27" s="1"/>
  <c r="X211" i="3"/>
  <c r="E63" i="27" s="1"/>
  <c r="X150" i="3"/>
  <c r="K266" i="27" s="1"/>
  <c r="X73" i="3"/>
  <c r="K81" i="27" s="1"/>
  <c r="X58" i="3"/>
  <c r="K53" i="27" s="1"/>
  <c r="X120" i="3"/>
  <c r="K120" i="27" s="1"/>
  <c r="Z92" i="3"/>
  <c r="M232" i="27" s="1"/>
  <c r="X92" i="3"/>
  <c r="X169" i="3"/>
  <c r="E197" i="27" s="1"/>
  <c r="X124" i="3"/>
  <c r="K124" i="27" s="1"/>
  <c r="X257" i="3"/>
  <c r="E375" i="27" s="1"/>
  <c r="X174" i="3"/>
  <c r="X22" i="3"/>
  <c r="K193" i="27" s="1"/>
  <c r="X19" i="3"/>
  <c r="K190" i="27" s="1"/>
  <c r="X132" i="3"/>
  <c r="K132" i="27" s="1"/>
  <c r="X43" i="3"/>
  <c r="X208" i="3"/>
  <c r="E65" i="27" s="1"/>
  <c r="X147" i="3"/>
  <c r="K263" i="27" s="1"/>
  <c r="X115" i="3"/>
  <c r="K114" i="27" s="1"/>
  <c r="X89" i="3"/>
  <c r="K98" i="27" s="1"/>
  <c r="X108" i="3"/>
  <c r="K371" i="27" s="1"/>
  <c r="X97" i="3"/>
  <c r="K354" i="27" s="1"/>
  <c r="X76" i="3"/>
  <c r="K85" i="27" s="1"/>
  <c r="X298" i="3"/>
  <c r="X202" i="3"/>
  <c r="E54" i="27" s="1"/>
  <c r="X114" i="3"/>
  <c r="X88" i="3"/>
  <c r="K97" i="27" s="1"/>
  <c r="X18" i="3"/>
  <c r="K189" i="27" s="1"/>
  <c r="X16" i="3"/>
  <c r="K187" i="27" s="1"/>
  <c r="X15" i="3"/>
  <c r="K186" i="27" s="1"/>
  <c r="X14" i="3"/>
  <c r="K184" i="27" s="1"/>
  <c r="X52" i="3"/>
  <c r="K46" i="27" s="1"/>
  <c r="X42" i="3"/>
  <c r="K329" i="27" s="1"/>
  <c r="X116" i="3"/>
  <c r="K115" i="27" s="1"/>
  <c r="X90" i="3"/>
  <c r="K103" i="27" s="1"/>
  <c r="X47" i="3"/>
  <c r="K334" i="27" s="1"/>
  <c r="X38" i="3"/>
  <c r="K325" i="27" s="1"/>
  <c r="X77" i="3"/>
  <c r="K86" i="27" s="1"/>
  <c r="X59" i="3"/>
  <c r="K54" i="27" s="1"/>
  <c r="X12" i="3"/>
  <c r="K182" i="27" s="1"/>
  <c r="X71" i="3"/>
  <c r="X21" i="3"/>
  <c r="K192" i="27" s="1"/>
  <c r="A201" i="25"/>
  <c r="F21" i="25"/>
  <c r="F17" i="25"/>
  <c r="F24" i="25"/>
  <c r="F23" i="25"/>
  <c r="M33" i="25"/>
  <c r="F31" i="25"/>
  <c r="M31" i="25"/>
  <c r="E94" i="25"/>
  <c r="X142" i="25"/>
  <c r="G195" i="25"/>
  <c r="G48" i="25"/>
  <c r="K195" i="25"/>
  <c r="G194" i="25"/>
  <c r="G47" i="25"/>
  <c r="K194" i="25"/>
  <c r="C194" i="25"/>
  <c r="G193" i="25"/>
  <c r="G46" i="25"/>
  <c r="K193" i="25"/>
  <c r="C24" i="25"/>
  <c r="G192" i="25"/>
  <c r="G45" i="25"/>
  <c r="K192" i="25"/>
  <c r="C20" i="25"/>
  <c r="G191" i="25"/>
  <c r="G44" i="25"/>
  <c r="K191" i="25"/>
  <c r="C191" i="25"/>
  <c r="G190" i="25"/>
  <c r="G43" i="25"/>
  <c r="K190" i="25"/>
  <c r="G189" i="25"/>
  <c r="G42" i="25"/>
  <c r="K189" i="25"/>
  <c r="B86" i="25"/>
  <c r="G188" i="25"/>
  <c r="G41" i="25"/>
  <c r="K188" i="25"/>
  <c r="F195" i="25"/>
  <c r="C48" i="25"/>
  <c r="B21" i="25"/>
  <c r="F194" i="25"/>
  <c r="C47" i="25"/>
  <c r="F193" i="25"/>
  <c r="J193" i="25"/>
  <c r="F192" i="25"/>
  <c r="C45" i="25"/>
  <c r="F191" i="25"/>
  <c r="C44" i="25"/>
  <c r="F190" i="25"/>
  <c r="J190" i="25"/>
  <c r="F189" i="25"/>
  <c r="J189" i="25"/>
  <c r="B42" i="25"/>
  <c r="F188" i="25"/>
  <c r="J188" i="25"/>
  <c r="M21" i="25"/>
  <c r="M17" i="25"/>
  <c r="M20" i="25"/>
  <c r="M23" i="25"/>
  <c r="M19" i="25"/>
  <c r="T33" i="25"/>
  <c r="AA33" i="25"/>
  <c r="T32" i="25"/>
  <c r="AA32" i="25"/>
  <c r="AA31" i="25"/>
  <c r="S195" i="25"/>
  <c r="Q48" i="25"/>
  <c r="W195" i="25"/>
  <c r="O195" i="25"/>
  <c r="S194" i="25"/>
  <c r="Q47" i="25"/>
  <c r="W194" i="25"/>
  <c r="O194" i="25"/>
  <c r="S193" i="25"/>
  <c r="Q46" i="25"/>
  <c r="W193" i="25"/>
  <c r="O193" i="25"/>
  <c r="S192" i="25"/>
  <c r="Q45" i="25"/>
  <c r="W192" i="25"/>
  <c r="S191" i="25"/>
  <c r="Q44" i="25"/>
  <c r="W191" i="25"/>
  <c r="S190" i="25"/>
  <c r="Q43" i="25"/>
  <c r="W190" i="25"/>
  <c r="O190" i="25"/>
  <c r="S189" i="25"/>
  <c r="Q42" i="25"/>
  <c r="W189" i="25"/>
  <c r="O189" i="25"/>
  <c r="S188" i="25"/>
  <c r="Q41" i="25"/>
  <c r="W188" i="25"/>
  <c r="R195" i="25"/>
  <c r="R194" i="25"/>
  <c r="M47" i="25"/>
  <c r="N194" i="25"/>
  <c r="R193" i="25"/>
  <c r="M46" i="25"/>
  <c r="I24" i="25"/>
  <c r="R192" i="25"/>
  <c r="V192" i="25"/>
  <c r="R191" i="25"/>
  <c r="M44" i="25"/>
  <c r="R190" i="25"/>
  <c r="V190" i="25"/>
  <c r="L43" i="25"/>
  <c r="R189" i="25"/>
  <c r="V189" i="25"/>
  <c r="R188" i="25"/>
  <c r="P41" i="25"/>
  <c r="M41" i="25"/>
  <c r="AE12" i="3"/>
  <c r="X337" i="3"/>
  <c r="X336" i="3"/>
  <c r="X335" i="3"/>
  <c r="X334" i="3"/>
  <c r="X333" i="3"/>
  <c r="X332" i="3"/>
  <c r="Y332" i="3" s="1"/>
  <c r="AB332" i="3" s="1"/>
  <c r="X331" i="3"/>
  <c r="X330" i="3"/>
  <c r="X329" i="3"/>
  <c r="X328" i="3"/>
  <c r="X327" i="3"/>
  <c r="X326" i="3"/>
  <c r="X325" i="3"/>
  <c r="X324" i="3"/>
  <c r="X323" i="3"/>
  <c r="X322" i="3"/>
  <c r="X321" i="3"/>
  <c r="X320" i="3"/>
  <c r="Y320" i="3" s="1"/>
  <c r="AB320" i="3" s="1"/>
  <c r="X319" i="3"/>
  <c r="X318" i="3"/>
  <c r="X317" i="3"/>
  <c r="X316" i="3"/>
  <c r="X315" i="3"/>
  <c r="X314" i="3"/>
  <c r="X313" i="3"/>
  <c r="X312" i="3"/>
  <c r="X311" i="3"/>
  <c r="X310" i="3"/>
  <c r="X309" i="3"/>
  <c r="X308" i="3"/>
  <c r="Y308" i="3" s="1"/>
  <c r="AB308" i="3" s="1"/>
  <c r="X307" i="3"/>
  <c r="X306" i="3"/>
  <c r="X305" i="3"/>
  <c r="X304" i="3"/>
  <c r="X303" i="3"/>
  <c r="X302" i="3"/>
  <c r="X301" i="3"/>
  <c r="X300" i="3"/>
  <c r="X299" i="3"/>
  <c r="X297" i="3"/>
  <c r="E273" i="27" s="1"/>
  <c r="X296" i="3"/>
  <c r="E268" i="27" s="1"/>
  <c r="X294" i="3"/>
  <c r="E266" i="27" s="1"/>
  <c r="X287" i="3"/>
  <c r="E259" i="27" s="1"/>
  <c r="X286" i="3"/>
  <c r="E258" i="27" s="1"/>
  <c r="X285" i="3"/>
  <c r="E257" i="27" s="1"/>
  <c r="X284" i="3"/>
  <c r="E256" i="27" s="1"/>
  <c r="X283" i="3"/>
  <c r="E255" i="27" s="1"/>
  <c r="X282" i="3"/>
  <c r="E254" i="27" s="1"/>
  <c r="X281" i="3"/>
  <c r="E252" i="27" s="1"/>
  <c r="X280" i="3"/>
  <c r="E251" i="27" s="1"/>
  <c r="X279" i="3"/>
  <c r="E250" i="27" s="1"/>
  <c r="X278" i="3"/>
  <c r="X277" i="3"/>
  <c r="E137" i="27" s="1"/>
  <c r="X276" i="3"/>
  <c r="E132" i="27" s="1"/>
  <c r="X275" i="3"/>
  <c r="E131" i="27" s="1"/>
  <c r="X274" i="3"/>
  <c r="E130" i="27" s="1"/>
  <c r="X273" i="3"/>
  <c r="E129" i="27" s="1"/>
  <c r="X272" i="3"/>
  <c r="E133" i="27" s="1"/>
  <c r="X271" i="3"/>
  <c r="E127" i="27" s="1"/>
  <c r="X270" i="3"/>
  <c r="E126" i="27" s="1"/>
  <c r="X266" i="3"/>
  <c r="E122" i="27" s="1"/>
  <c r="X265" i="3"/>
  <c r="E121" i="27" s="1"/>
  <c r="X264" i="3"/>
  <c r="E120" i="27" s="1"/>
  <c r="X263" i="3"/>
  <c r="E119" i="27" s="1"/>
  <c r="X262" i="3"/>
  <c r="E118" i="27" s="1"/>
  <c r="X261" i="3"/>
  <c r="E116" i="27" s="1"/>
  <c r="X256" i="3"/>
  <c r="E370" i="27" s="1"/>
  <c r="X255" i="3"/>
  <c r="E369" i="27" s="1"/>
  <c r="X254" i="3"/>
  <c r="E368" i="27" s="1"/>
  <c r="X253" i="3"/>
  <c r="E367" i="27" s="1"/>
  <c r="X252" i="3"/>
  <c r="E371" i="27" s="1"/>
  <c r="X251" i="3"/>
  <c r="E365" i="27" s="1"/>
  <c r="X250" i="3"/>
  <c r="E364" i="27" s="1"/>
  <c r="X249" i="3"/>
  <c r="E363" i="27" s="1"/>
  <c r="X248" i="3"/>
  <c r="X247" i="3"/>
  <c r="E361" i="27" s="1"/>
  <c r="X246" i="3"/>
  <c r="E360" i="27" s="1"/>
  <c r="X245" i="3"/>
  <c r="E359" i="27" s="1"/>
  <c r="X244" i="3"/>
  <c r="E358" i="27" s="1"/>
  <c r="X243" i="3"/>
  <c r="E357" i="27" s="1"/>
  <c r="X242" i="3"/>
  <c r="E356" i="27" s="1"/>
  <c r="X241" i="3"/>
  <c r="E354" i="27" s="1"/>
  <c r="X240" i="3"/>
  <c r="E353" i="27" s="1"/>
  <c r="X239" i="3"/>
  <c r="E352" i="27" s="1"/>
  <c r="X238" i="3"/>
  <c r="X237" i="3"/>
  <c r="E239" i="27" s="1"/>
  <c r="X236" i="3"/>
  <c r="X235" i="3"/>
  <c r="E216" i="27" s="1"/>
  <c r="X234" i="3"/>
  <c r="J59" i="25" s="1"/>
  <c r="X233" i="3"/>
  <c r="E103" i="27" s="1"/>
  <c r="X232" i="3"/>
  <c r="E98" i="27" s="1"/>
  <c r="X231" i="3"/>
  <c r="E97" i="27" s="1"/>
  <c r="X229" i="3"/>
  <c r="E95" i="27" s="1"/>
  <c r="X228" i="3"/>
  <c r="E99" i="27" s="1"/>
  <c r="X226" i="3"/>
  <c r="E92" i="27" s="1"/>
  <c r="X225" i="3"/>
  <c r="E91" i="27" s="1"/>
  <c r="X223" i="3"/>
  <c r="E89" i="27" s="1"/>
  <c r="X222" i="3"/>
  <c r="E88" i="27" s="1"/>
  <c r="X221" i="3"/>
  <c r="E87" i="27" s="1"/>
  <c r="X220" i="3"/>
  <c r="E86" i="27" s="1"/>
  <c r="X219" i="3"/>
  <c r="E85" i="27" s="1"/>
  <c r="X218" i="3"/>
  <c r="E84" i="27" s="1"/>
  <c r="X217" i="3"/>
  <c r="E82" i="27" s="1"/>
  <c r="X216" i="3"/>
  <c r="E81" i="27" s="1"/>
  <c r="X215" i="3"/>
  <c r="E80" i="27" s="1"/>
  <c r="X214" i="3"/>
  <c r="X213" i="3"/>
  <c r="E69" i="27" s="1"/>
  <c r="X212" i="3"/>
  <c r="X210" i="3"/>
  <c r="E62" i="27" s="1"/>
  <c r="X207" i="3"/>
  <c r="E59" i="27" s="1"/>
  <c r="X205" i="3"/>
  <c r="E57" i="27" s="1"/>
  <c r="X204" i="3"/>
  <c r="E56" i="27" s="1"/>
  <c r="X203" i="3"/>
  <c r="E55" i="27" s="1"/>
  <c r="X201" i="3"/>
  <c r="E53" i="27" s="1"/>
  <c r="X199" i="3"/>
  <c r="E51" i="27" s="1"/>
  <c r="X191" i="3"/>
  <c r="E335" i="27" s="1"/>
  <c r="X190" i="3"/>
  <c r="E334" i="27" s="1"/>
  <c r="X189" i="3"/>
  <c r="E333" i="27" s="1"/>
  <c r="X188" i="3"/>
  <c r="E337" i="27" s="1"/>
  <c r="X187" i="3"/>
  <c r="E331" i="27" s="1"/>
  <c r="X185" i="3"/>
  <c r="E329" i="27" s="1"/>
  <c r="X184" i="3"/>
  <c r="E328" i="27" s="1"/>
  <c r="X180" i="3"/>
  <c r="E324" i="27" s="1"/>
  <c r="X179" i="3"/>
  <c r="E323" i="27" s="1"/>
  <c r="X178" i="3"/>
  <c r="E322" i="27" s="1"/>
  <c r="X173" i="3"/>
  <c r="E205" i="27" s="1"/>
  <c r="X171" i="3"/>
  <c r="E199" i="27" s="1"/>
  <c r="X170" i="3"/>
  <c r="E198" i="27" s="1"/>
  <c r="X166" i="3"/>
  <c r="E194" i="27" s="1"/>
  <c r="X165" i="3"/>
  <c r="E193" i="27" s="1"/>
  <c r="X163" i="3"/>
  <c r="E191" i="27" s="1"/>
  <c r="X162" i="3"/>
  <c r="E190" i="27" s="1"/>
  <c r="X159" i="3"/>
  <c r="E187" i="27" s="1"/>
  <c r="X158" i="3"/>
  <c r="E186" i="27" s="1"/>
  <c r="X156" i="3"/>
  <c r="E183" i="27" s="1"/>
  <c r="X155" i="3"/>
  <c r="E182" i="27" s="1"/>
  <c r="X154" i="3"/>
  <c r="X153" i="3"/>
  <c r="K273" i="27" s="1"/>
  <c r="X152" i="3"/>
  <c r="X151" i="3"/>
  <c r="K267" i="27" s="1"/>
  <c r="X149" i="3"/>
  <c r="K265" i="27" s="1"/>
  <c r="X145" i="3"/>
  <c r="K261" i="27" s="1"/>
  <c r="X144" i="3"/>
  <c r="K260" i="27" s="1"/>
  <c r="X143" i="3"/>
  <c r="K259" i="27" s="1"/>
  <c r="X140" i="3"/>
  <c r="K256" i="27" s="1"/>
  <c r="X139" i="3"/>
  <c r="K255" i="27" s="1"/>
  <c r="X138" i="3"/>
  <c r="K254" i="27" s="1"/>
  <c r="X135" i="3"/>
  <c r="K250" i="27" s="1"/>
  <c r="X133" i="3"/>
  <c r="K137" i="27" s="1"/>
  <c r="X131" i="3"/>
  <c r="K131" i="27" s="1"/>
  <c r="X129" i="3"/>
  <c r="K129" i="27" s="1"/>
  <c r="X127" i="3"/>
  <c r="K127" i="27" s="1"/>
  <c r="X126" i="3"/>
  <c r="K126" i="27" s="1"/>
  <c r="X121" i="3"/>
  <c r="K121" i="27" s="1"/>
  <c r="X117" i="3"/>
  <c r="K116" i="27" s="1"/>
  <c r="X112" i="3"/>
  <c r="K370" i="27" s="1"/>
  <c r="X111" i="3"/>
  <c r="K369" i="27" s="1"/>
  <c r="X110" i="3"/>
  <c r="K368" i="27" s="1"/>
  <c r="X107" i="3"/>
  <c r="K365" i="27" s="1"/>
  <c r="X106" i="3"/>
  <c r="K364" i="27" s="1"/>
  <c r="X105" i="3"/>
  <c r="K363" i="27" s="1"/>
  <c r="X104" i="3"/>
  <c r="Y104" i="3" s="1"/>
  <c r="AB104" i="3" s="1"/>
  <c r="X103" i="3"/>
  <c r="K361" i="27" s="1"/>
  <c r="X101" i="3"/>
  <c r="K359" i="27" s="1"/>
  <c r="X100" i="3"/>
  <c r="K358" i="27" s="1"/>
  <c r="X96" i="3"/>
  <c r="K353" i="27" s="1"/>
  <c r="X95" i="3"/>
  <c r="K352" i="27" s="1"/>
  <c r="X94" i="3"/>
  <c r="X93" i="3"/>
  <c r="K239" i="27" s="1"/>
  <c r="X86" i="3"/>
  <c r="K95" i="27" s="1"/>
  <c r="X85" i="3"/>
  <c r="X83" i="3"/>
  <c r="K92" i="27" s="1"/>
  <c r="X82" i="3"/>
  <c r="K91" i="27" s="1"/>
  <c r="X81" i="3"/>
  <c r="K90" i="27" s="1"/>
  <c r="X80" i="3"/>
  <c r="X75" i="3"/>
  <c r="K84" i="27" s="1"/>
  <c r="X74" i="3"/>
  <c r="K82" i="27" s="1"/>
  <c r="X72" i="3"/>
  <c r="K80" i="27" s="1"/>
  <c r="X70" i="3"/>
  <c r="K69" i="27" s="1"/>
  <c r="X69" i="3"/>
  <c r="K64" i="27" s="1"/>
  <c r="X68" i="3"/>
  <c r="K63" i="27" s="1"/>
  <c r="X67" i="3"/>
  <c r="K62" i="27" s="1"/>
  <c r="X66" i="3"/>
  <c r="K61" i="27" s="1"/>
  <c r="X62" i="3"/>
  <c r="K57" i="27" s="1"/>
  <c r="X61" i="3"/>
  <c r="K56" i="27" s="1"/>
  <c r="X60" i="3"/>
  <c r="K55" i="27" s="1"/>
  <c r="X57" i="3"/>
  <c r="K52" i="27" s="1"/>
  <c r="X55" i="3"/>
  <c r="K50" i="27" s="1"/>
  <c r="X50" i="3"/>
  <c r="K341" i="27" s="1"/>
  <c r="X49" i="3"/>
  <c r="K336" i="27" s="1"/>
  <c r="X48" i="3"/>
  <c r="K335" i="27" s="1"/>
  <c r="X46" i="3"/>
  <c r="K333" i="27" s="1"/>
  <c r="X39" i="3"/>
  <c r="K326" i="27" s="1"/>
  <c r="X36" i="3"/>
  <c r="K323" i="27" s="1"/>
  <c r="X35" i="3"/>
  <c r="K322" i="27" s="1"/>
  <c r="X26" i="3"/>
  <c r="K197" i="27" s="1"/>
  <c r="X24" i="3"/>
  <c r="K195" i="27" s="1"/>
  <c r="X20" i="3"/>
  <c r="K191" i="27" s="1"/>
  <c r="X17" i="3"/>
  <c r="K188" i="27" s="1"/>
  <c r="X13" i="3"/>
  <c r="K183" i="27" s="1"/>
  <c r="Z80" i="3"/>
  <c r="M89" i="27" s="1"/>
  <c r="Z116" i="3"/>
  <c r="M115" i="27" s="1"/>
  <c r="R212" i="25"/>
  <c r="P211" i="25"/>
  <c r="L209" i="25"/>
  <c r="U215" i="25"/>
  <c r="T215" i="25"/>
  <c r="R215" i="25"/>
  <c r="T214" i="25"/>
  <c r="S214" i="25"/>
  <c r="P214" i="25"/>
  <c r="N214" i="25"/>
  <c r="M212" i="25"/>
  <c r="L212" i="25"/>
  <c r="S211" i="25"/>
  <c r="Q211" i="25"/>
  <c r="N211" i="25"/>
  <c r="S210" i="25"/>
  <c r="P231" i="25"/>
  <c r="T230" i="25"/>
  <c r="Q209" i="25"/>
  <c r="U208" i="25"/>
  <c r="Q229" i="25"/>
  <c r="R209" i="25"/>
  <c r="S213" i="25"/>
  <c r="J210" i="25"/>
  <c r="M210" i="25"/>
  <c r="N213" i="25"/>
  <c r="Z332" i="3"/>
  <c r="Z248" i="3"/>
  <c r="G362" i="27" s="1"/>
  <c r="Z212" i="3"/>
  <c r="G64" i="27" s="1"/>
  <c r="Z236" i="3"/>
  <c r="G231" i="27" s="1"/>
  <c r="Z320" i="3"/>
  <c r="Z49" i="3"/>
  <c r="M336" i="27" s="1"/>
  <c r="Z229" i="3"/>
  <c r="G95" i="27" s="1"/>
  <c r="Z277" i="3"/>
  <c r="G137" i="27" s="1"/>
  <c r="Z301" i="3"/>
  <c r="G13" i="7"/>
  <c r="H91" i="26" s="1" a="1"/>
  <c r="H91" i="26" s="1"/>
  <c r="G14" i="7"/>
  <c r="G15" i="7"/>
  <c r="M33" i="26" s="1" a="1"/>
  <c r="M33" i="26" s="1"/>
  <c r="G16" i="7"/>
  <c r="G17" i="7"/>
  <c r="G18" i="7"/>
  <c r="R34" i="26" s="1" a="1"/>
  <c r="R34" i="26" s="1"/>
  <c r="G19" i="7"/>
  <c r="R62" i="26" s="1" a="1"/>
  <c r="R62" i="26" s="1"/>
  <c r="G20" i="7"/>
  <c r="G21" i="7"/>
  <c r="G22" i="7"/>
  <c r="G23" i="7"/>
  <c r="G62" i="26" s="1"/>
  <c r="G24" i="7"/>
  <c r="G91" i="26" s="1"/>
  <c r="G25" i="7"/>
  <c r="G26" i="7"/>
  <c r="G27" i="7"/>
  <c r="C16" i="26"/>
  <c r="B10" i="26"/>
  <c r="S76" i="26"/>
  <c r="C18" i="26"/>
  <c r="B18" i="26"/>
  <c r="C17" i="26"/>
  <c r="B17" i="26"/>
  <c r="B16" i="26"/>
  <c r="C14" i="26"/>
  <c r="B14" i="26"/>
  <c r="C13" i="26"/>
  <c r="B13" i="26"/>
  <c r="C11" i="26"/>
  <c r="B11" i="26"/>
  <c r="C10" i="26"/>
  <c r="C9" i="26"/>
  <c r="B9" i="26"/>
  <c r="F20" i="25"/>
  <c r="F19" i="25"/>
  <c r="F33" i="25"/>
  <c r="F32" i="25"/>
  <c r="M32" i="25"/>
  <c r="M24" i="25"/>
  <c r="T31" i="25"/>
  <c r="B8" i="25"/>
  <c r="C8" i="25" s="1" a="1"/>
  <c r="C8" i="25" s="1"/>
  <c r="A8" i="25"/>
  <c r="E58" i="19"/>
  <c r="A2" i="24"/>
  <c r="I27" i="7"/>
  <c r="I26" i="7"/>
  <c r="I25" i="7"/>
  <c r="I24" i="7"/>
  <c r="I23" i="7"/>
  <c r="I22" i="7"/>
  <c r="I21" i="7"/>
  <c r="I20" i="7"/>
  <c r="I19" i="7"/>
  <c r="I18" i="7"/>
  <c r="I17" i="7"/>
  <c r="I16" i="7"/>
  <c r="I15" i="7"/>
  <c r="I14" i="7"/>
  <c r="I13" i="7"/>
  <c r="I12" i="7"/>
  <c r="F33" i="20"/>
  <c r="F32" i="20"/>
  <c r="F31" i="20"/>
  <c r="F30" i="20"/>
  <c r="F29" i="20"/>
  <c r="F28" i="20"/>
  <c r="F27" i="20"/>
  <c r="F26" i="20"/>
  <c r="F25" i="20"/>
  <c r="F24" i="20"/>
  <c r="F23" i="20"/>
  <c r="F22" i="20"/>
  <c r="F21" i="20"/>
  <c r="F20" i="20"/>
  <c r="F19" i="20"/>
  <c r="F18" i="20"/>
  <c r="F17" i="20"/>
  <c r="F16" i="20"/>
  <c r="F15" i="20"/>
  <c r="F14" i="20"/>
  <c r="F13" i="20"/>
  <c r="F12" i="20"/>
  <c r="J131" i="10"/>
  <c r="J130" i="10"/>
  <c r="J129" i="10"/>
  <c r="J128" i="10"/>
  <c r="J127" i="10"/>
  <c r="J126" i="10"/>
  <c r="J125" i="10"/>
  <c r="J124" i="10"/>
  <c r="J123" i="10"/>
  <c r="J122" i="10"/>
  <c r="J121" i="10"/>
  <c r="J120" i="10"/>
  <c r="J119" i="10"/>
  <c r="J118" i="10"/>
  <c r="J117" i="10"/>
  <c r="J116" i="10"/>
  <c r="J115" i="10"/>
  <c r="J114" i="10"/>
  <c r="J113" i="10"/>
  <c r="J112" i="10"/>
  <c r="J111" i="10"/>
  <c r="J110" i="10"/>
  <c r="J109" i="10"/>
  <c r="J108" i="10"/>
  <c r="J107" i="10"/>
  <c r="J106" i="10"/>
  <c r="J105" i="10"/>
  <c r="J104" i="10"/>
  <c r="J103" i="10"/>
  <c r="J102" i="10"/>
  <c r="J101" i="10"/>
  <c r="J100" i="10"/>
  <c r="J99" i="10"/>
  <c r="J98" i="10"/>
  <c r="J97" i="10"/>
  <c r="J96" i="10"/>
  <c r="J95" i="10"/>
  <c r="J94" i="10"/>
  <c r="J93" i="10"/>
  <c r="J92" i="10"/>
  <c r="J91" i="10"/>
  <c r="J90" i="10"/>
  <c r="J89" i="10"/>
  <c r="J88" i="10"/>
  <c r="J87" i="10"/>
  <c r="J86" i="10"/>
  <c r="J85" i="10"/>
  <c r="J84" i="10"/>
  <c r="J83" i="10"/>
  <c r="J82" i="10"/>
  <c r="J81" i="10"/>
  <c r="J80" i="10"/>
  <c r="J79" i="10"/>
  <c r="J78" i="10"/>
  <c r="J77" i="10"/>
  <c r="J76" i="10"/>
  <c r="J75" i="10"/>
  <c r="J74" i="10"/>
  <c r="J73" i="10"/>
  <c r="J72" i="10"/>
  <c r="J71" i="10"/>
  <c r="J70" i="10"/>
  <c r="J69" i="10"/>
  <c r="J68" i="10"/>
  <c r="J67" i="10"/>
  <c r="J66" i="10"/>
  <c r="J65" i="10"/>
  <c r="J64" i="10"/>
  <c r="J63" i="10"/>
  <c r="J62" i="10"/>
  <c r="J61" i="10"/>
  <c r="J60" i="10"/>
  <c r="J59" i="10"/>
  <c r="J58" i="10"/>
  <c r="J57" i="10"/>
  <c r="J56" i="10"/>
  <c r="J55" i="10"/>
  <c r="J54" i="10"/>
  <c r="J53" i="10"/>
  <c r="J52" i="10"/>
  <c r="J51" i="10"/>
  <c r="J50" i="10"/>
  <c r="J49" i="10"/>
  <c r="J48" i="10"/>
  <c r="J47" i="10"/>
  <c r="J46" i="10"/>
  <c r="J45" i="10"/>
  <c r="J44" i="10"/>
  <c r="J43" i="10"/>
  <c r="J42" i="10"/>
  <c r="J41" i="10"/>
  <c r="J40" i="10"/>
  <c r="J39" i="10"/>
  <c r="J38" i="10"/>
  <c r="J37" i="10"/>
  <c r="J36" i="10"/>
  <c r="J35" i="10"/>
  <c r="J34" i="10"/>
  <c r="J33" i="10"/>
  <c r="J32" i="10"/>
  <c r="J31" i="10"/>
  <c r="J30" i="10"/>
  <c r="J29" i="10"/>
  <c r="J28" i="10"/>
  <c r="J27" i="10"/>
  <c r="J26" i="10"/>
  <c r="J25" i="10"/>
  <c r="J24" i="10"/>
  <c r="J23" i="10"/>
  <c r="J22" i="10"/>
  <c r="J21" i="10"/>
  <c r="J20" i="10"/>
  <c r="J19" i="10"/>
  <c r="J18" i="10"/>
  <c r="J17" i="10"/>
  <c r="J16" i="10"/>
  <c r="J15" i="10"/>
  <c r="J14" i="10"/>
  <c r="M5131" i="22"/>
  <c r="M5130" i="22"/>
  <c r="M5129" i="22"/>
  <c r="M5128" i="22"/>
  <c r="M5127" i="22"/>
  <c r="M5126" i="22"/>
  <c r="M5125" i="22"/>
  <c r="M5124" i="22"/>
  <c r="M5123" i="22"/>
  <c r="M5122" i="22"/>
  <c r="M5121" i="22"/>
  <c r="M5120" i="22"/>
  <c r="M5119" i="22"/>
  <c r="M5118" i="22"/>
  <c r="M5117" i="22"/>
  <c r="M5116" i="22"/>
  <c r="M5115" i="22"/>
  <c r="M5114" i="22"/>
  <c r="M5113" i="22"/>
  <c r="M5112" i="22"/>
  <c r="M5111" i="22"/>
  <c r="M5110" i="22"/>
  <c r="M5109" i="22"/>
  <c r="M5108" i="22"/>
  <c r="M5107" i="22"/>
  <c r="M5106" i="22"/>
  <c r="M5105" i="22"/>
  <c r="M5104" i="22"/>
  <c r="M5103" i="22"/>
  <c r="M5102" i="22"/>
  <c r="M5101" i="22"/>
  <c r="M5100" i="22"/>
  <c r="M5099" i="22"/>
  <c r="M5098" i="22"/>
  <c r="M5097" i="22"/>
  <c r="M5096" i="22"/>
  <c r="M5095" i="22"/>
  <c r="M5094" i="22"/>
  <c r="M5093" i="22"/>
  <c r="M5092" i="22"/>
  <c r="M5091" i="22"/>
  <c r="M5090" i="22"/>
  <c r="M5089" i="22"/>
  <c r="M5088" i="22"/>
  <c r="M5087" i="22"/>
  <c r="M5086" i="22"/>
  <c r="M5085" i="22"/>
  <c r="M5084" i="22"/>
  <c r="M5083" i="22"/>
  <c r="M5082" i="22"/>
  <c r="M5081" i="22"/>
  <c r="M5080" i="22"/>
  <c r="M5079" i="22"/>
  <c r="M5078" i="22"/>
  <c r="M5077" i="22"/>
  <c r="M5076" i="22"/>
  <c r="M5075" i="22"/>
  <c r="M5074" i="22"/>
  <c r="M5073" i="22"/>
  <c r="M5072" i="22"/>
  <c r="M5071" i="22"/>
  <c r="M5070" i="22"/>
  <c r="M5069" i="22"/>
  <c r="M5068" i="22"/>
  <c r="M5067" i="22"/>
  <c r="M5066" i="22"/>
  <c r="M5065" i="22"/>
  <c r="M5064" i="22"/>
  <c r="M5063" i="22"/>
  <c r="M5062" i="22"/>
  <c r="M5061" i="22"/>
  <c r="M5060" i="22"/>
  <c r="M5059" i="22"/>
  <c r="M5058" i="22"/>
  <c r="M5057" i="22"/>
  <c r="M5056" i="22"/>
  <c r="M5055" i="22"/>
  <c r="M5054" i="22"/>
  <c r="M5053" i="22"/>
  <c r="M5052" i="22"/>
  <c r="M5051" i="22"/>
  <c r="M5050" i="22"/>
  <c r="M5049" i="22"/>
  <c r="M5048" i="22"/>
  <c r="M5047" i="22"/>
  <c r="M5046" i="22"/>
  <c r="M5045" i="22"/>
  <c r="M5044" i="22"/>
  <c r="M5043" i="22"/>
  <c r="M5042" i="22"/>
  <c r="M5041" i="22"/>
  <c r="M5040" i="22"/>
  <c r="M5039" i="22"/>
  <c r="M5038" i="22"/>
  <c r="M5037" i="22"/>
  <c r="M5036" i="22"/>
  <c r="M5035" i="22"/>
  <c r="M5034" i="22"/>
  <c r="M5033" i="22"/>
  <c r="M5032" i="22"/>
  <c r="M5031" i="22"/>
  <c r="M5030" i="22"/>
  <c r="M5029" i="22"/>
  <c r="M5028" i="22"/>
  <c r="M5027" i="22"/>
  <c r="M5026" i="22"/>
  <c r="M5025" i="22"/>
  <c r="M5024" i="22"/>
  <c r="M5023" i="22"/>
  <c r="M5022" i="22"/>
  <c r="M5021" i="22"/>
  <c r="M5020" i="22"/>
  <c r="M5019" i="22"/>
  <c r="M5018" i="22"/>
  <c r="M5017" i="22"/>
  <c r="M5016" i="22"/>
  <c r="M5015" i="22"/>
  <c r="M5014" i="22"/>
  <c r="M5013" i="22"/>
  <c r="M5012" i="22"/>
  <c r="M5011" i="22"/>
  <c r="M5010" i="22"/>
  <c r="M5009" i="22"/>
  <c r="M5008" i="22"/>
  <c r="M5007" i="22"/>
  <c r="M5006" i="22"/>
  <c r="M5005" i="22"/>
  <c r="M5004" i="22"/>
  <c r="M5003" i="22"/>
  <c r="M5002" i="22"/>
  <c r="M5001" i="22"/>
  <c r="M5000" i="22"/>
  <c r="M4999" i="22"/>
  <c r="M4998" i="22"/>
  <c r="M4997" i="22"/>
  <c r="M4996" i="22"/>
  <c r="M4995" i="22"/>
  <c r="M4994" i="22"/>
  <c r="M4993" i="22"/>
  <c r="M4992" i="22"/>
  <c r="M4991" i="22"/>
  <c r="M4990" i="22"/>
  <c r="M4989" i="22"/>
  <c r="M4988" i="22"/>
  <c r="M4987" i="22"/>
  <c r="M4986" i="22"/>
  <c r="M4985" i="22"/>
  <c r="M4984" i="22"/>
  <c r="M4983" i="22"/>
  <c r="M4982" i="22"/>
  <c r="M4981" i="22"/>
  <c r="M4980" i="22"/>
  <c r="M4979" i="22"/>
  <c r="M4978" i="22"/>
  <c r="M4977" i="22"/>
  <c r="M4976" i="22"/>
  <c r="M4975" i="22"/>
  <c r="M4974" i="22"/>
  <c r="M4973" i="22"/>
  <c r="M4972" i="22"/>
  <c r="M4971" i="22"/>
  <c r="M4970" i="22"/>
  <c r="M4969" i="22"/>
  <c r="M4968" i="22"/>
  <c r="M4967" i="22"/>
  <c r="M4966" i="22"/>
  <c r="M4965" i="22"/>
  <c r="M4964" i="22"/>
  <c r="M4963" i="22"/>
  <c r="M4962" i="22"/>
  <c r="M4961" i="22"/>
  <c r="M4960" i="22"/>
  <c r="M4959" i="22"/>
  <c r="M4958" i="22"/>
  <c r="M4957" i="22"/>
  <c r="M4956" i="22"/>
  <c r="M4955" i="22"/>
  <c r="M4954" i="22"/>
  <c r="M4953" i="22"/>
  <c r="M4952" i="22"/>
  <c r="M4951" i="22"/>
  <c r="M4950" i="22"/>
  <c r="M4949" i="22"/>
  <c r="M4948" i="22"/>
  <c r="M4947" i="22"/>
  <c r="M4946" i="22"/>
  <c r="M4945" i="22"/>
  <c r="M4944" i="22"/>
  <c r="M4943" i="22"/>
  <c r="M4942" i="22"/>
  <c r="M4941" i="22"/>
  <c r="M4940" i="22"/>
  <c r="M4939" i="22"/>
  <c r="M4938" i="22"/>
  <c r="M4937" i="22"/>
  <c r="M4936" i="22"/>
  <c r="M4935" i="22"/>
  <c r="M4934" i="22"/>
  <c r="M4933" i="22"/>
  <c r="M4932" i="22"/>
  <c r="M4931" i="22"/>
  <c r="M4930" i="22"/>
  <c r="M4929" i="22"/>
  <c r="M4928" i="22"/>
  <c r="M4927" i="22"/>
  <c r="M4926" i="22"/>
  <c r="M4925" i="22"/>
  <c r="M4924" i="22"/>
  <c r="M4923" i="22"/>
  <c r="M4922" i="22"/>
  <c r="M4921" i="22"/>
  <c r="M4920" i="22"/>
  <c r="M4919" i="22"/>
  <c r="M4918" i="22"/>
  <c r="M4917" i="22"/>
  <c r="M4916" i="22"/>
  <c r="M4915" i="22"/>
  <c r="M4914" i="22"/>
  <c r="M4913" i="22"/>
  <c r="M4912" i="22"/>
  <c r="M4911" i="22"/>
  <c r="M4910" i="22"/>
  <c r="M4909" i="22"/>
  <c r="M4908" i="22"/>
  <c r="M4907" i="22"/>
  <c r="M4906" i="22"/>
  <c r="M4905" i="22"/>
  <c r="M4904" i="22"/>
  <c r="M4903" i="22"/>
  <c r="M4902" i="22"/>
  <c r="M4901" i="22"/>
  <c r="M4900" i="22"/>
  <c r="M4899" i="22"/>
  <c r="M4898" i="22"/>
  <c r="M4897" i="22"/>
  <c r="M4896" i="22"/>
  <c r="M4895" i="22"/>
  <c r="M4894" i="22"/>
  <c r="M4893" i="22"/>
  <c r="M4892" i="22"/>
  <c r="M4891" i="22"/>
  <c r="M4890" i="22"/>
  <c r="M4889" i="22"/>
  <c r="M4888" i="22"/>
  <c r="M4887" i="22"/>
  <c r="M4886" i="22"/>
  <c r="M4885" i="22"/>
  <c r="M4884" i="22"/>
  <c r="M4883" i="22"/>
  <c r="M4882" i="22"/>
  <c r="M4881" i="22"/>
  <c r="M4880" i="22"/>
  <c r="M4879" i="22"/>
  <c r="M4878" i="22"/>
  <c r="M4877" i="22"/>
  <c r="M4876" i="22"/>
  <c r="M4875" i="22"/>
  <c r="M4874" i="22"/>
  <c r="M4873" i="22"/>
  <c r="M4872" i="22"/>
  <c r="M4871" i="22"/>
  <c r="M4870" i="22"/>
  <c r="M4869" i="22"/>
  <c r="M4868" i="22"/>
  <c r="M4867" i="22"/>
  <c r="M4866" i="22"/>
  <c r="M4865" i="22"/>
  <c r="M4864" i="22"/>
  <c r="M4863" i="22"/>
  <c r="M4862" i="22"/>
  <c r="M4861" i="22"/>
  <c r="M4860" i="22"/>
  <c r="M4859" i="22"/>
  <c r="M4858" i="22"/>
  <c r="M4857" i="22"/>
  <c r="M4856" i="22"/>
  <c r="M4855" i="22"/>
  <c r="M4854" i="22"/>
  <c r="M4853" i="22"/>
  <c r="M4852" i="22"/>
  <c r="M4851" i="22"/>
  <c r="M4850" i="22"/>
  <c r="M4849" i="22"/>
  <c r="M4848" i="22"/>
  <c r="M4847" i="22"/>
  <c r="M4846" i="22"/>
  <c r="M4845" i="22"/>
  <c r="M4844" i="22"/>
  <c r="M4843" i="22"/>
  <c r="M4842" i="22"/>
  <c r="M4841" i="22"/>
  <c r="M4840" i="22"/>
  <c r="M4839" i="22"/>
  <c r="M4838" i="22"/>
  <c r="M4837" i="22"/>
  <c r="M4836" i="22"/>
  <c r="M4835" i="22"/>
  <c r="M4834" i="22"/>
  <c r="M4833" i="22"/>
  <c r="M4832" i="22"/>
  <c r="M4831" i="22"/>
  <c r="M4830" i="22"/>
  <c r="M4829" i="22"/>
  <c r="M4828" i="22"/>
  <c r="M4827" i="22"/>
  <c r="M4826" i="22"/>
  <c r="M4825" i="22"/>
  <c r="M4824" i="22"/>
  <c r="M4823" i="22"/>
  <c r="M4822" i="22"/>
  <c r="M4821" i="22"/>
  <c r="M4820" i="22"/>
  <c r="M4819" i="22"/>
  <c r="M4818" i="22"/>
  <c r="M4817" i="22"/>
  <c r="M4816" i="22"/>
  <c r="M4815" i="22"/>
  <c r="M4814" i="22"/>
  <c r="M4813" i="22"/>
  <c r="M4812" i="22"/>
  <c r="M4811" i="22"/>
  <c r="M4810" i="22"/>
  <c r="M4809" i="22"/>
  <c r="M4808" i="22"/>
  <c r="M4807" i="22"/>
  <c r="M4806" i="22"/>
  <c r="M4805" i="22"/>
  <c r="M4804" i="22"/>
  <c r="M4803" i="22"/>
  <c r="M4802" i="22"/>
  <c r="M4801" i="22"/>
  <c r="M4800" i="22"/>
  <c r="M4799" i="22"/>
  <c r="M4798" i="22"/>
  <c r="M4797" i="22"/>
  <c r="M4796" i="22"/>
  <c r="M4795" i="22"/>
  <c r="M4794" i="22"/>
  <c r="M4793" i="22"/>
  <c r="M4792" i="22"/>
  <c r="M4791" i="22"/>
  <c r="M4790" i="22"/>
  <c r="M4789" i="22"/>
  <c r="M4788" i="22"/>
  <c r="M4787" i="22"/>
  <c r="M4786" i="22"/>
  <c r="M4785" i="22"/>
  <c r="M4784" i="22"/>
  <c r="M4783" i="22"/>
  <c r="M4782" i="22"/>
  <c r="M4781" i="22"/>
  <c r="M4780" i="22"/>
  <c r="M4779" i="22"/>
  <c r="M4778" i="22"/>
  <c r="M4777" i="22"/>
  <c r="M4776" i="22"/>
  <c r="M4775" i="22"/>
  <c r="M4774" i="22"/>
  <c r="M4773" i="22"/>
  <c r="M4772" i="22"/>
  <c r="M4771" i="22"/>
  <c r="M4770" i="22"/>
  <c r="M4769" i="22"/>
  <c r="M4768" i="22"/>
  <c r="M4767" i="22"/>
  <c r="M4766" i="22"/>
  <c r="M4765" i="22"/>
  <c r="M4764" i="22"/>
  <c r="M4763" i="22"/>
  <c r="M4762" i="22"/>
  <c r="M4761" i="22"/>
  <c r="M4760" i="22"/>
  <c r="M4759" i="22"/>
  <c r="M4758" i="22"/>
  <c r="M4757" i="22"/>
  <c r="M4756" i="22"/>
  <c r="M4755" i="22"/>
  <c r="M4754" i="22"/>
  <c r="M4753" i="22"/>
  <c r="M4752" i="22"/>
  <c r="M4751" i="22"/>
  <c r="M4750" i="22"/>
  <c r="M4749" i="22"/>
  <c r="M4748" i="22"/>
  <c r="M4747" i="22"/>
  <c r="M4746" i="22"/>
  <c r="M4745" i="22"/>
  <c r="M4744" i="22"/>
  <c r="M4743" i="22"/>
  <c r="M4742" i="22"/>
  <c r="M4741" i="22"/>
  <c r="M4740" i="22"/>
  <c r="M4739" i="22"/>
  <c r="M4738" i="22"/>
  <c r="M4737" i="22"/>
  <c r="M4736" i="22"/>
  <c r="M4735" i="22"/>
  <c r="M4734" i="22"/>
  <c r="M4733" i="22"/>
  <c r="M4732" i="22"/>
  <c r="M4731" i="22"/>
  <c r="M4730" i="22"/>
  <c r="M4729" i="22"/>
  <c r="M4728" i="22"/>
  <c r="M4727" i="22"/>
  <c r="M4726" i="22"/>
  <c r="M4725" i="22"/>
  <c r="M4724" i="22"/>
  <c r="M4723" i="22"/>
  <c r="M4722" i="22"/>
  <c r="M4721" i="22"/>
  <c r="M4720" i="22"/>
  <c r="M4719" i="22"/>
  <c r="M4718" i="22"/>
  <c r="M4717" i="22"/>
  <c r="M4716" i="22"/>
  <c r="M4715" i="22"/>
  <c r="M4714" i="22"/>
  <c r="M4713" i="22"/>
  <c r="M4712" i="22"/>
  <c r="M4711" i="22"/>
  <c r="M4710" i="22"/>
  <c r="M4709" i="22"/>
  <c r="M4708" i="22"/>
  <c r="M4707" i="22"/>
  <c r="M4706" i="22"/>
  <c r="M4705" i="22"/>
  <c r="M4704" i="22"/>
  <c r="M4703" i="22"/>
  <c r="M4702" i="22"/>
  <c r="M4701" i="22"/>
  <c r="M4700" i="22"/>
  <c r="M4699" i="22"/>
  <c r="M4698" i="22"/>
  <c r="M4697" i="22"/>
  <c r="M4696" i="22"/>
  <c r="M4695" i="22"/>
  <c r="M4694" i="22"/>
  <c r="M4693" i="22"/>
  <c r="M4692" i="22"/>
  <c r="M4691" i="22"/>
  <c r="M4690" i="22"/>
  <c r="M4689" i="22"/>
  <c r="M4688" i="22"/>
  <c r="M4687" i="22"/>
  <c r="M4686" i="22"/>
  <c r="M4685" i="22"/>
  <c r="M4684" i="22"/>
  <c r="M4683" i="22"/>
  <c r="M4682" i="22"/>
  <c r="M4681" i="22"/>
  <c r="M4680" i="22"/>
  <c r="M4679" i="22"/>
  <c r="M4678" i="22"/>
  <c r="M4677" i="22"/>
  <c r="M4676" i="22"/>
  <c r="M4675" i="22"/>
  <c r="M4674" i="22"/>
  <c r="M4673" i="22"/>
  <c r="M4672" i="22"/>
  <c r="M4671" i="22"/>
  <c r="M4670" i="22"/>
  <c r="M4669" i="22"/>
  <c r="M4668" i="22"/>
  <c r="M4667" i="22"/>
  <c r="M4666" i="22"/>
  <c r="M4665" i="22"/>
  <c r="M4664" i="22"/>
  <c r="M4663" i="22"/>
  <c r="M4662" i="22"/>
  <c r="M4661" i="22"/>
  <c r="M4660" i="22"/>
  <c r="M4659" i="22"/>
  <c r="M4658" i="22"/>
  <c r="M4657" i="22"/>
  <c r="M4656" i="22"/>
  <c r="M4655" i="22"/>
  <c r="M4654" i="22"/>
  <c r="M4653" i="22"/>
  <c r="M4652" i="22"/>
  <c r="M4651" i="22"/>
  <c r="M4650" i="22"/>
  <c r="M4649" i="22"/>
  <c r="M4648" i="22"/>
  <c r="M4647" i="22"/>
  <c r="M4646" i="22"/>
  <c r="M4645" i="22"/>
  <c r="M4644" i="22"/>
  <c r="M4643" i="22"/>
  <c r="M4642" i="22"/>
  <c r="M4641" i="22"/>
  <c r="M4640" i="22"/>
  <c r="M4639" i="22"/>
  <c r="M4638" i="22"/>
  <c r="M4637" i="22"/>
  <c r="M4636" i="22"/>
  <c r="M4635" i="22"/>
  <c r="M4634" i="22"/>
  <c r="M4633" i="22"/>
  <c r="M4632" i="22"/>
  <c r="M4631" i="22"/>
  <c r="M4630" i="22"/>
  <c r="M4629" i="22"/>
  <c r="M4628" i="22"/>
  <c r="M4627" i="22"/>
  <c r="M4626" i="22"/>
  <c r="M4625" i="22"/>
  <c r="M4624" i="22"/>
  <c r="M4623" i="22"/>
  <c r="M4622" i="22"/>
  <c r="M4621" i="22"/>
  <c r="M4620" i="22"/>
  <c r="M4619" i="22"/>
  <c r="M4618" i="22"/>
  <c r="M4617" i="22"/>
  <c r="M4616" i="22"/>
  <c r="M4615" i="22"/>
  <c r="M4614" i="22"/>
  <c r="M4613" i="22"/>
  <c r="M4612" i="22"/>
  <c r="M4611" i="22"/>
  <c r="M4610" i="22"/>
  <c r="M4609" i="22"/>
  <c r="M4608" i="22"/>
  <c r="M4607" i="22"/>
  <c r="M4606" i="22"/>
  <c r="M4605" i="22"/>
  <c r="M4604" i="22"/>
  <c r="M4603" i="22"/>
  <c r="M4602" i="22"/>
  <c r="M4601" i="22"/>
  <c r="M4600" i="22"/>
  <c r="M4599" i="22"/>
  <c r="M4598" i="22"/>
  <c r="M4597" i="22"/>
  <c r="M4596" i="22"/>
  <c r="M4595" i="22"/>
  <c r="M4594" i="22"/>
  <c r="M4593" i="22"/>
  <c r="M4592" i="22"/>
  <c r="M4591" i="22"/>
  <c r="M4590" i="22"/>
  <c r="M4589" i="22"/>
  <c r="M4588" i="22"/>
  <c r="M4587" i="22"/>
  <c r="M4586" i="22"/>
  <c r="M4585" i="22"/>
  <c r="M4584" i="22"/>
  <c r="M4583" i="22"/>
  <c r="M4582" i="22"/>
  <c r="M4581" i="22"/>
  <c r="M4580" i="22"/>
  <c r="M4579" i="22"/>
  <c r="M4578" i="22"/>
  <c r="M4577" i="22"/>
  <c r="M4576" i="22"/>
  <c r="M4575" i="22"/>
  <c r="M4574" i="22"/>
  <c r="M4573" i="22"/>
  <c r="M4572" i="22"/>
  <c r="M4571" i="22"/>
  <c r="M4570" i="22"/>
  <c r="M4569" i="22"/>
  <c r="M4568" i="22"/>
  <c r="M4567" i="22"/>
  <c r="M4566" i="22"/>
  <c r="M4565" i="22"/>
  <c r="M4564" i="22"/>
  <c r="M4563" i="22"/>
  <c r="M4562" i="22"/>
  <c r="M4561" i="22"/>
  <c r="M4560" i="22"/>
  <c r="M4559" i="22"/>
  <c r="M4558" i="22"/>
  <c r="M4557" i="22"/>
  <c r="M4556" i="22"/>
  <c r="M4555" i="22"/>
  <c r="M4554" i="22"/>
  <c r="M4553" i="22"/>
  <c r="M4552" i="22"/>
  <c r="M4551" i="22"/>
  <c r="M4550" i="22"/>
  <c r="M4549" i="22"/>
  <c r="M4548" i="22"/>
  <c r="M4547" i="22"/>
  <c r="M4546" i="22"/>
  <c r="M4545" i="22"/>
  <c r="M4544" i="22"/>
  <c r="M4543" i="22"/>
  <c r="M4542" i="22"/>
  <c r="M4541" i="22"/>
  <c r="M4540" i="22"/>
  <c r="M4539" i="22"/>
  <c r="M4538" i="22"/>
  <c r="M4537" i="22"/>
  <c r="M4536" i="22"/>
  <c r="M4535" i="22"/>
  <c r="M4534" i="22"/>
  <c r="M4533" i="22"/>
  <c r="M4532" i="22"/>
  <c r="M4531" i="22"/>
  <c r="M4530" i="22"/>
  <c r="M4529" i="22"/>
  <c r="M4528" i="22"/>
  <c r="M4527" i="22"/>
  <c r="M4526" i="22"/>
  <c r="M4525" i="22"/>
  <c r="M4524" i="22"/>
  <c r="M4523" i="22"/>
  <c r="M4522" i="22"/>
  <c r="M4521" i="22"/>
  <c r="M4520" i="22"/>
  <c r="M4519" i="22"/>
  <c r="M4518" i="22"/>
  <c r="M4517" i="22"/>
  <c r="M4516" i="22"/>
  <c r="M4515" i="22"/>
  <c r="M4514" i="22"/>
  <c r="M4513" i="22"/>
  <c r="M4512" i="22"/>
  <c r="M4511" i="22"/>
  <c r="M4510" i="22"/>
  <c r="M4509" i="22"/>
  <c r="M4508" i="22"/>
  <c r="M4507" i="22"/>
  <c r="M4506" i="22"/>
  <c r="M4505" i="22"/>
  <c r="M4504" i="22"/>
  <c r="M4503" i="22"/>
  <c r="M4502" i="22"/>
  <c r="M4501" i="22"/>
  <c r="M4500" i="22"/>
  <c r="M4499" i="22"/>
  <c r="M4498" i="22"/>
  <c r="M4497" i="22"/>
  <c r="M4496" i="22"/>
  <c r="M4495" i="22"/>
  <c r="M4494" i="22"/>
  <c r="M4493" i="22"/>
  <c r="M4492" i="22"/>
  <c r="M4491" i="22"/>
  <c r="M4490" i="22"/>
  <c r="M4489" i="22"/>
  <c r="M4488" i="22"/>
  <c r="M4487" i="22"/>
  <c r="M4486" i="22"/>
  <c r="M4485" i="22"/>
  <c r="M4484" i="22"/>
  <c r="M4483" i="22"/>
  <c r="M4482" i="22"/>
  <c r="M4481" i="22"/>
  <c r="M4480" i="22"/>
  <c r="M4479" i="22"/>
  <c r="M4478" i="22"/>
  <c r="M4477" i="22"/>
  <c r="M4476" i="22"/>
  <c r="M4475" i="22"/>
  <c r="M4474" i="22"/>
  <c r="M4473" i="22"/>
  <c r="M4472" i="22"/>
  <c r="M4471" i="22"/>
  <c r="M4470" i="22"/>
  <c r="M4469" i="22"/>
  <c r="M4468" i="22"/>
  <c r="M4467" i="22"/>
  <c r="M4466" i="22"/>
  <c r="M4465" i="22"/>
  <c r="M4464" i="22"/>
  <c r="M4463" i="22"/>
  <c r="M4462" i="22"/>
  <c r="M4461" i="22"/>
  <c r="M4460" i="22"/>
  <c r="M4459" i="22"/>
  <c r="M4458" i="22"/>
  <c r="M4457" i="22"/>
  <c r="M4456" i="22"/>
  <c r="M4455" i="22"/>
  <c r="M4454" i="22"/>
  <c r="M4453" i="22"/>
  <c r="M4452" i="22"/>
  <c r="M4451" i="22"/>
  <c r="M4450" i="22"/>
  <c r="M4449" i="22"/>
  <c r="M4448" i="22"/>
  <c r="M4447" i="22"/>
  <c r="M4446" i="22"/>
  <c r="M4445" i="22"/>
  <c r="M4444" i="22"/>
  <c r="M4443" i="22"/>
  <c r="M4442" i="22"/>
  <c r="M4441" i="22"/>
  <c r="M4440" i="22"/>
  <c r="M4439" i="22"/>
  <c r="M4438" i="22"/>
  <c r="M4437" i="22"/>
  <c r="M4436" i="22"/>
  <c r="M4435" i="22"/>
  <c r="M4434" i="22"/>
  <c r="M4433" i="22"/>
  <c r="M4432" i="22"/>
  <c r="M4431" i="22"/>
  <c r="M4430" i="22"/>
  <c r="M4429" i="22"/>
  <c r="M4428" i="22"/>
  <c r="M4427" i="22"/>
  <c r="M4426" i="22"/>
  <c r="M4425" i="22"/>
  <c r="M4424" i="22"/>
  <c r="M4423" i="22"/>
  <c r="M4422" i="22"/>
  <c r="M4421" i="22"/>
  <c r="M4420" i="22"/>
  <c r="M4419" i="22"/>
  <c r="M4418" i="22"/>
  <c r="M4417" i="22"/>
  <c r="M4416" i="22"/>
  <c r="M4415" i="22"/>
  <c r="M4414" i="22"/>
  <c r="M4413" i="22"/>
  <c r="M4412" i="22"/>
  <c r="M4411" i="22"/>
  <c r="M4410" i="22"/>
  <c r="M4409" i="22"/>
  <c r="M4408" i="22"/>
  <c r="M4407" i="22"/>
  <c r="M4406" i="22"/>
  <c r="M4405" i="22"/>
  <c r="M4404" i="22"/>
  <c r="M4403" i="22"/>
  <c r="M4402" i="22"/>
  <c r="M4401" i="22"/>
  <c r="M4400" i="22"/>
  <c r="M4399" i="22"/>
  <c r="M4398" i="22"/>
  <c r="M4397" i="22"/>
  <c r="M4396" i="22"/>
  <c r="M4395" i="22"/>
  <c r="M4394" i="22"/>
  <c r="M4393" i="22"/>
  <c r="M4392" i="22"/>
  <c r="M4391" i="22"/>
  <c r="M4390" i="22"/>
  <c r="M4389" i="22"/>
  <c r="M4388" i="22"/>
  <c r="M4387" i="22"/>
  <c r="M4386" i="22"/>
  <c r="M4385" i="22"/>
  <c r="M4384" i="22"/>
  <c r="M4383" i="22"/>
  <c r="M4382" i="22"/>
  <c r="M4381" i="22"/>
  <c r="M4380" i="22"/>
  <c r="M4379" i="22"/>
  <c r="M4378" i="22"/>
  <c r="M4377" i="22"/>
  <c r="M4376" i="22"/>
  <c r="M4375" i="22"/>
  <c r="M4374" i="22"/>
  <c r="M4373" i="22"/>
  <c r="M4372" i="22"/>
  <c r="M4371" i="22"/>
  <c r="M4370" i="22"/>
  <c r="M4369" i="22"/>
  <c r="M4368" i="22"/>
  <c r="M4367" i="22"/>
  <c r="M4366" i="22"/>
  <c r="M4365" i="22"/>
  <c r="M4364" i="22"/>
  <c r="M4363" i="22"/>
  <c r="M4362" i="22"/>
  <c r="M4361" i="22"/>
  <c r="M4360" i="22"/>
  <c r="M4359" i="22"/>
  <c r="M4358" i="22"/>
  <c r="M4357" i="22"/>
  <c r="M4356" i="22"/>
  <c r="M4355" i="22"/>
  <c r="M4354" i="22"/>
  <c r="M4353" i="22"/>
  <c r="M4352" i="22"/>
  <c r="M4351" i="22"/>
  <c r="M4350" i="22"/>
  <c r="M4349" i="22"/>
  <c r="M4348" i="22"/>
  <c r="M4347" i="22"/>
  <c r="M4346" i="22"/>
  <c r="M4345" i="22"/>
  <c r="M4344" i="22"/>
  <c r="M4343" i="22"/>
  <c r="M4342" i="22"/>
  <c r="M4341" i="22"/>
  <c r="M4340" i="22"/>
  <c r="M4339" i="22"/>
  <c r="M4338" i="22"/>
  <c r="M4337" i="22"/>
  <c r="M4336" i="22"/>
  <c r="M4335" i="22"/>
  <c r="M4334" i="22"/>
  <c r="M4333" i="22"/>
  <c r="M4332" i="22"/>
  <c r="M4331" i="22"/>
  <c r="M4330" i="22"/>
  <c r="M4329" i="22"/>
  <c r="M4328" i="22"/>
  <c r="M4327" i="22"/>
  <c r="M4326" i="22"/>
  <c r="M4325" i="22"/>
  <c r="M4324" i="22"/>
  <c r="M4323" i="22"/>
  <c r="M4322" i="22"/>
  <c r="M4321" i="22"/>
  <c r="M4320" i="22"/>
  <c r="M4319" i="22"/>
  <c r="M4318" i="22"/>
  <c r="M4317" i="22"/>
  <c r="M4316" i="22"/>
  <c r="M4315" i="22"/>
  <c r="M4314" i="22"/>
  <c r="M4313" i="22"/>
  <c r="M4312" i="22"/>
  <c r="M4311" i="22"/>
  <c r="M4310" i="22"/>
  <c r="M4309" i="22"/>
  <c r="M4308" i="22"/>
  <c r="M4307" i="22"/>
  <c r="M4306" i="22"/>
  <c r="M4305" i="22"/>
  <c r="M4304" i="22"/>
  <c r="M4303" i="22"/>
  <c r="M4302" i="22"/>
  <c r="M4301" i="22"/>
  <c r="M4300" i="22"/>
  <c r="M4299" i="22"/>
  <c r="M4298" i="22"/>
  <c r="M4297" i="22"/>
  <c r="M4296" i="22"/>
  <c r="M4295" i="22"/>
  <c r="M4294" i="22"/>
  <c r="M4293" i="22"/>
  <c r="M4292" i="22"/>
  <c r="M4291" i="22"/>
  <c r="M4290" i="22"/>
  <c r="M4289" i="22"/>
  <c r="M4288" i="22"/>
  <c r="M4287" i="22"/>
  <c r="M4286" i="22"/>
  <c r="M4285" i="22"/>
  <c r="M4284" i="22"/>
  <c r="M4283" i="22"/>
  <c r="M4282" i="22"/>
  <c r="M4281" i="22"/>
  <c r="M4280" i="22"/>
  <c r="M4279" i="22"/>
  <c r="M4278" i="22"/>
  <c r="M4277" i="22"/>
  <c r="M4276" i="22"/>
  <c r="M4275" i="22"/>
  <c r="M4274" i="22"/>
  <c r="M4273" i="22"/>
  <c r="M4272" i="22"/>
  <c r="M4271" i="22"/>
  <c r="M4270" i="22"/>
  <c r="M4269" i="22"/>
  <c r="M4268" i="22"/>
  <c r="M4267" i="22"/>
  <c r="M4266" i="22"/>
  <c r="M4265" i="22"/>
  <c r="M4264" i="22"/>
  <c r="M4263" i="22"/>
  <c r="M4262" i="22"/>
  <c r="M4261" i="22"/>
  <c r="M4260" i="22"/>
  <c r="M4259" i="22"/>
  <c r="M4258" i="22"/>
  <c r="M4257" i="22"/>
  <c r="M4256" i="22"/>
  <c r="M4255" i="22"/>
  <c r="M4254" i="22"/>
  <c r="M4253" i="22"/>
  <c r="M4252" i="22"/>
  <c r="M4251" i="22"/>
  <c r="M4250" i="22"/>
  <c r="M4249" i="22"/>
  <c r="M4248" i="22"/>
  <c r="M4247" i="22"/>
  <c r="M4246" i="22"/>
  <c r="M4245" i="22"/>
  <c r="M4244" i="22"/>
  <c r="M4243" i="22"/>
  <c r="M4242" i="22"/>
  <c r="M4241" i="22"/>
  <c r="M4240" i="22"/>
  <c r="M4239" i="22"/>
  <c r="M4238" i="22"/>
  <c r="M4237" i="22"/>
  <c r="M4236" i="22"/>
  <c r="M4235" i="22"/>
  <c r="M4234" i="22"/>
  <c r="M4233" i="22"/>
  <c r="M4232" i="22"/>
  <c r="M4231" i="22"/>
  <c r="M4230" i="22"/>
  <c r="M4229" i="22"/>
  <c r="M4228" i="22"/>
  <c r="M4227" i="22"/>
  <c r="M4226" i="22"/>
  <c r="M4225" i="22"/>
  <c r="M4224" i="22"/>
  <c r="M4223" i="22"/>
  <c r="M4222" i="22"/>
  <c r="M4221" i="22"/>
  <c r="M4220" i="22"/>
  <c r="M4219" i="22"/>
  <c r="M4218" i="22"/>
  <c r="M4217" i="22"/>
  <c r="M4216" i="22"/>
  <c r="M4215" i="22"/>
  <c r="M4214" i="22"/>
  <c r="M4213" i="22"/>
  <c r="M4212" i="22"/>
  <c r="M4211" i="22"/>
  <c r="M4210" i="22"/>
  <c r="M4209" i="22"/>
  <c r="M4208" i="22"/>
  <c r="M4207" i="22"/>
  <c r="M4206" i="22"/>
  <c r="M4205" i="22"/>
  <c r="M4204" i="22"/>
  <c r="M4203" i="22"/>
  <c r="M4202" i="22"/>
  <c r="M4201" i="22"/>
  <c r="M4200" i="22"/>
  <c r="M4199" i="22"/>
  <c r="M4198" i="22"/>
  <c r="M4197" i="22"/>
  <c r="M4196" i="22"/>
  <c r="M4195" i="22"/>
  <c r="M4194" i="22"/>
  <c r="M4193" i="22"/>
  <c r="M4192" i="22"/>
  <c r="M4191" i="22"/>
  <c r="M4190" i="22"/>
  <c r="M4189" i="22"/>
  <c r="M4188" i="22"/>
  <c r="M4187" i="22"/>
  <c r="M4186" i="22"/>
  <c r="M4185" i="22"/>
  <c r="M4184" i="22"/>
  <c r="M4183" i="22"/>
  <c r="M4182" i="22"/>
  <c r="M4181" i="22"/>
  <c r="M4180" i="22"/>
  <c r="M4179" i="22"/>
  <c r="M4178" i="22"/>
  <c r="M4177" i="22"/>
  <c r="M4176" i="22"/>
  <c r="M4175" i="22"/>
  <c r="M4174" i="22"/>
  <c r="M4173" i="22"/>
  <c r="M4172" i="22"/>
  <c r="M4171" i="22"/>
  <c r="M4170" i="22"/>
  <c r="M4169" i="22"/>
  <c r="M4168" i="22"/>
  <c r="M4167" i="22"/>
  <c r="M4166" i="22"/>
  <c r="M4165" i="22"/>
  <c r="M4164" i="22"/>
  <c r="M4163" i="22"/>
  <c r="M4162" i="22"/>
  <c r="M4161" i="22"/>
  <c r="M4160" i="22"/>
  <c r="M4159" i="22"/>
  <c r="M4158" i="22"/>
  <c r="M4157" i="22"/>
  <c r="M4156" i="22"/>
  <c r="M4155" i="22"/>
  <c r="M4154" i="22"/>
  <c r="M4153" i="22"/>
  <c r="M4152" i="22"/>
  <c r="M4151" i="22"/>
  <c r="M4150" i="22"/>
  <c r="M4149" i="22"/>
  <c r="M4148" i="22"/>
  <c r="M4147" i="22"/>
  <c r="M4146" i="22"/>
  <c r="M4145" i="22"/>
  <c r="M4144" i="22"/>
  <c r="M4143" i="22"/>
  <c r="M4142" i="22"/>
  <c r="M4141" i="22"/>
  <c r="M4140" i="22"/>
  <c r="M4139" i="22"/>
  <c r="M4138" i="22"/>
  <c r="M4137" i="22"/>
  <c r="M4136" i="22"/>
  <c r="M4135" i="22"/>
  <c r="M4134" i="22"/>
  <c r="M4133" i="22"/>
  <c r="M4132" i="22"/>
  <c r="M4131" i="22"/>
  <c r="M4130" i="22"/>
  <c r="M4129" i="22"/>
  <c r="M4128" i="22"/>
  <c r="M4127" i="22"/>
  <c r="M4126" i="22"/>
  <c r="M4125" i="22"/>
  <c r="M4124" i="22"/>
  <c r="M4123" i="22"/>
  <c r="M4122" i="22"/>
  <c r="M4121" i="22"/>
  <c r="M4120" i="22"/>
  <c r="M4119" i="22"/>
  <c r="M4118" i="22"/>
  <c r="M4117" i="22"/>
  <c r="M4116" i="22"/>
  <c r="M4115" i="22"/>
  <c r="M4114" i="22"/>
  <c r="M4113" i="22"/>
  <c r="M4112" i="22"/>
  <c r="M4111" i="22"/>
  <c r="M4110" i="22"/>
  <c r="M4109" i="22"/>
  <c r="M4108" i="22"/>
  <c r="M4107" i="22"/>
  <c r="M4106" i="22"/>
  <c r="M4105" i="22"/>
  <c r="M4104" i="22"/>
  <c r="M4103" i="22"/>
  <c r="M4102" i="22"/>
  <c r="M4101" i="22"/>
  <c r="M4100" i="22"/>
  <c r="M4099" i="22"/>
  <c r="M4098" i="22"/>
  <c r="M4097" i="22"/>
  <c r="M4096" i="22"/>
  <c r="M4095" i="22"/>
  <c r="M4094" i="22"/>
  <c r="M4093" i="22"/>
  <c r="M4092" i="22"/>
  <c r="M4091" i="22"/>
  <c r="M4090" i="22"/>
  <c r="M4089" i="22"/>
  <c r="M4088" i="22"/>
  <c r="M4087" i="22"/>
  <c r="M4086" i="22"/>
  <c r="M4085" i="22"/>
  <c r="M4084" i="22"/>
  <c r="M4083" i="22"/>
  <c r="M4082" i="22"/>
  <c r="M4081" i="22"/>
  <c r="M4080" i="22"/>
  <c r="M4079" i="22"/>
  <c r="M4078" i="22"/>
  <c r="M4077" i="22"/>
  <c r="M4076" i="22"/>
  <c r="M4075" i="22"/>
  <c r="M4074" i="22"/>
  <c r="M4073" i="22"/>
  <c r="M4072" i="22"/>
  <c r="M4071" i="22"/>
  <c r="M4070" i="22"/>
  <c r="M4069" i="22"/>
  <c r="M4068" i="22"/>
  <c r="M4067" i="22"/>
  <c r="M4066" i="22"/>
  <c r="M4065" i="22"/>
  <c r="M4064" i="22"/>
  <c r="M4063" i="22"/>
  <c r="M4062" i="22"/>
  <c r="M4061" i="22"/>
  <c r="M4060" i="22"/>
  <c r="M4059" i="22"/>
  <c r="M4058" i="22"/>
  <c r="M4057" i="22"/>
  <c r="M4056" i="22"/>
  <c r="M4055" i="22"/>
  <c r="M4054" i="22"/>
  <c r="M4053" i="22"/>
  <c r="M4052" i="22"/>
  <c r="M4051" i="22"/>
  <c r="M4050" i="22"/>
  <c r="M4049" i="22"/>
  <c r="M4048" i="22"/>
  <c r="M4047" i="22"/>
  <c r="M4046" i="22"/>
  <c r="M4045" i="22"/>
  <c r="M4044" i="22"/>
  <c r="M4043" i="22"/>
  <c r="M4042" i="22"/>
  <c r="M4041" i="22"/>
  <c r="M4040" i="22"/>
  <c r="M4039" i="22"/>
  <c r="M4038" i="22"/>
  <c r="M4037" i="22"/>
  <c r="M4036" i="22"/>
  <c r="M4035" i="22"/>
  <c r="M4034" i="22"/>
  <c r="M4033" i="22"/>
  <c r="M4032" i="22"/>
  <c r="M4031" i="22"/>
  <c r="M4030" i="22"/>
  <c r="M4029" i="22"/>
  <c r="M4028" i="22"/>
  <c r="M4027" i="22"/>
  <c r="M4026" i="22"/>
  <c r="M4025" i="22"/>
  <c r="M4024" i="22"/>
  <c r="M4023" i="22"/>
  <c r="M4022" i="22"/>
  <c r="M4021" i="22"/>
  <c r="M4020" i="22"/>
  <c r="M4019" i="22"/>
  <c r="M4018" i="22"/>
  <c r="M4017" i="22"/>
  <c r="M4016" i="22"/>
  <c r="M4015" i="22"/>
  <c r="M4014" i="22"/>
  <c r="M4013" i="22"/>
  <c r="M4012" i="22"/>
  <c r="M4011" i="22"/>
  <c r="M4010" i="22"/>
  <c r="M4009" i="22"/>
  <c r="M4008" i="22"/>
  <c r="M4007" i="22"/>
  <c r="M4006" i="22"/>
  <c r="M4005" i="22"/>
  <c r="M4004" i="22"/>
  <c r="M4003" i="22"/>
  <c r="M4002" i="22"/>
  <c r="M4001" i="22"/>
  <c r="M4000" i="22"/>
  <c r="M3999" i="22"/>
  <c r="M3998" i="22"/>
  <c r="M3997" i="22"/>
  <c r="M3996" i="22"/>
  <c r="M3995" i="22"/>
  <c r="M3994" i="22"/>
  <c r="M3993" i="22"/>
  <c r="M3992" i="22"/>
  <c r="M3991" i="22"/>
  <c r="M3990" i="22"/>
  <c r="M3989" i="22"/>
  <c r="M3988" i="22"/>
  <c r="M3987" i="22"/>
  <c r="M3986" i="22"/>
  <c r="M3985" i="22"/>
  <c r="M3984" i="22"/>
  <c r="M3983" i="22"/>
  <c r="M3982" i="22"/>
  <c r="M3981" i="22"/>
  <c r="M3980" i="22"/>
  <c r="M3979" i="22"/>
  <c r="M3978" i="22"/>
  <c r="M3977" i="22"/>
  <c r="M3976" i="22"/>
  <c r="M3975" i="22"/>
  <c r="M3974" i="22"/>
  <c r="M3973" i="22"/>
  <c r="M3972" i="22"/>
  <c r="M3971" i="22"/>
  <c r="M3970" i="22"/>
  <c r="M3969" i="22"/>
  <c r="M3968" i="22"/>
  <c r="M3967" i="22"/>
  <c r="M3966" i="22"/>
  <c r="M3965" i="22"/>
  <c r="M3964" i="22"/>
  <c r="M3963" i="22"/>
  <c r="M3962" i="22"/>
  <c r="M3961" i="22"/>
  <c r="M3960" i="22"/>
  <c r="M3959" i="22"/>
  <c r="M3958" i="22"/>
  <c r="M3957" i="22"/>
  <c r="M3956" i="22"/>
  <c r="M3955" i="22"/>
  <c r="M3954" i="22"/>
  <c r="M3953" i="22"/>
  <c r="M3952" i="22"/>
  <c r="M3951" i="22"/>
  <c r="M3950" i="22"/>
  <c r="M3949" i="22"/>
  <c r="M3948" i="22"/>
  <c r="M3947" i="22"/>
  <c r="M3946" i="22"/>
  <c r="M3945" i="22"/>
  <c r="M3944" i="22"/>
  <c r="M3943" i="22"/>
  <c r="M3942" i="22"/>
  <c r="M3941" i="22"/>
  <c r="M3940" i="22"/>
  <c r="M3939" i="22"/>
  <c r="M3938" i="22"/>
  <c r="M3937" i="22"/>
  <c r="M3936" i="22"/>
  <c r="M3935" i="22"/>
  <c r="M3934" i="22"/>
  <c r="M3933" i="22"/>
  <c r="M3932" i="22"/>
  <c r="M3931" i="22"/>
  <c r="M3930" i="22"/>
  <c r="M3929" i="22"/>
  <c r="M3928" i="22"/>
  <c r="M3927" i="22"/>
  <c r="M3926" i="22"/>
  <c r="M3925" i="22"/>
  <c r="M3924" i="22"/>
  <c r="M3923" i="22"/>
  <c r="M3922" i="22"/>
  <c r="M3921" i="22"/>
  <c r="M3920" i="22"/>
  <c r="M3919" i="22"/>
  <c r="M3918" i="22"/>
  <c r="M3917" i="22"/>
  <c r="M3916" i="22"/>
  <c r="M3915" i="22"/>
  <c r="M3914" i="22"/>
  <c r="M3913" i="22"/>
  <c r="M3912" i="22"/>
  <c r="M3911" i="22"/>
  <c r="M3910" i="22"/>
  <c r="M3909" i="22"/>
  <c r="M3908" i="22"/>
  <c r="M3907" i="22"/>
  <c r="M3906" i="22"/>
  <c r="M3905" i="22"/>
  <c r="M3904" i="22"/>
  <c r="M3903" i="22"/>
  <c r="M3902" i="22"/>
  <c r="M3901" i="22"/>
  <c r="M3900" i="22"/>
  <c r="M3899" i="22"/>
  <c r="M3898" i="22"/>
  <c r="M3897" i="22"/>
  <c r="M3896" i="22"/>
  <c r="M3895" i="22"/>
  <c r="M3894" i="22"/>
  <c r="M3893" i="22"/>
  <c r="M3892" i="22"/>
  <c r="M3891" i="22"/>
  <c r="M3890" i="22"/>
  <c r="M3889" i="22"/>
  <c r="M3888" i="22"/>
  <c r="M3887" i="22"/>
  <c r="M3886" i="22"/>
  <c r="M3885" i="22"/>
  <c r="M3884" i="22"/>
  <c r="M3883" i="22"/>
  <c r="M3882" i="22"/>
  <c r="M3881" i="22"/>
  <c r="M3880" i="22"/>
  <c r="M3879" i="22"/>
  <c r="M3878" i="22"/>
  <c r="M3877" i="22"/>
  <c r="M3876" i="22"/>
  <c r="M3875" i="22"/>
  <c r="M3874" i="22"/>
  <c r="M3873" i="22"/>
  <c r="M3872" i="22"/>
  <c r="M3871" i="22"/>
  <c r="M3870" i="22"/>
  <c r="M3869" i="22"/>
  <c r="M3868" i="22"/>
  <c r="M3867" i="22"/>
  <c r="M3866" i="22"/>
  <c r="M3865" i="22"/>
  <c r="M3864" i="22"/>
  <c r="M3863" i="22"/>
  <c r="M3862" i="22"/>
  <c r="M3861" i="22"/>
  <c r="M3860" i="22"/>
  <c r="M3859" i="22"/>
  <c r="M3858" i="22"/>
  <c r="M3857" i="22"/>
  <c r="M3856" i="22"/>
  <c r="M3855" i="22"/>
  <c r="M3854" i="22"/>
  <c r="M3853" i="22"/>
  <c r="M3852" i="22"/>
  <c r="M3851" i="22"/>
  <c r="M3850" i="22"/>
  <c r="M3849" i="22"/>
  <c r="M3848" i="22"/>
  <c r="M3847" i="22"/>
  <c r="M3846" i="22"/>
  <c r="M3845" i="22"/>
  <c r="M3844" i="22"/>
  <c r="M3843" i="22"/>
  <c r="M3842" i="22"/>
  <c r="M3841" i="22"/>
  <c r="M3840" i="22"/>
  <c r="M3839" i="22"/>
  <c r="M3838" i="22"/>
  <c r="M3837" i="22"/>
  <c r="M3836" i="22"/>
  <c r="M3835" i="22"/>
  <c r="M3834" i="22"/>
  <c r="M3833" i="22"/>
  <c r="M3832" i="22"/>
  <c r="M3831" i="22"/>
  <c r="M3830" i="22"/>
  <c r="M3829" i="22"/>
  <c r="M3828" i="22"/>
  <c r="M3827" i="22"/>
  <c r="M3826" i="22"/>
  <c r="M3825" i="22"/>
  <c r="M3824" i="22"/>
  <c r="M3823" i="22"/>
  <c r="M3822" i="22"/>
  <c r="M3821" i="22"/>
  <c r="M3820" i="22"/>
  <c r="M3819" i="22"/>
  <c r="M3818" i="22"/>
  <c r="M3817" i="22"/>
  <c r="M3816" i="22"/>
  <c r="M3815" i="22"/>
  <c r="M3814" i="22"/>
  <c r="M3813" i="22"/>
  <c r="M3812" i="22"/>
  <c r="M3811" i="22"/>
  <c r="M3810" i="22"/>
  <c r="M3809" i="22"/>
  <c r="M3808" i="22"/>
  <c r="M3807" i="22"/>
  <c r="M3806" i="22"/>
  <c r="M3805" i="22"/>
  <c r="M3804" i="22"/>
  <c r="M3803" i="22"/>
  <c r="M3802" i="22"/>
  <c r="M3801" i="22"/>
  <c r="M3800" i="22"/>
  <c r="M3799" i="22"/>
  <c r="M3798" i="22"/>
  <c r="M3797" i="22"/>
  <c r="M3796" i="22"/>
  <c r="M3795" i="22"/>
  <c r="M3794" i="22"/>
  <c r="M3793" i="22"/>
  <c r="M3792" i="22"/>
  <c r="M3791" i="22"/>
  <c r="M3790" i="22"/>
  <c r="M3789" i="22"/>
  <c r="M3788" i="22"/>
  <c r="M3787" i="22"/>
  <c r="M3786" i="22"/>
  <c r="M3785" i="22"/>
  <c r="M3784" i="22"/>
  <c r="M3783" i="22"/>
  <c r="M3782" i="22"/>
  <c r="M3781" i="22"/>
  <c r="M3780" i="22"/>
  <c r="M3779" i="22"/>
  <c r="M3778" i="22"/>
  <c r="M3777" i="22"/>
  <c r="M3776" i="22"/>
  <c r="M3775" i="22"/>
  <c r="M3774" i="22"/>
  <c r="M3773" i="22"/>
  <c r="M3772" i="22"/>
  <c r="M3771" i="22"/>
  <c r="M3770" i="22"/>
  <c r="M3769" i="22"/>
  <c r="M3768" i="22"/>
  <c r="M3767" i="22"/>
  <c r="M3766" i="22"/>
  <c r="M3765" i="22"/>
  <c r="M3764" i="22"/>
  <c r="M3763" i="22"/>
  <c r="M3762" i="22"/>
  <c r="M3761" i="22"/>
  <c r="M3760" i="22"/>
  <c r="M3759" i="22"/>
  <c r="M3758" i="22"/>
  <c r="M3757" i="22"/>
  <c r="M3756" i="22"/>
  <c r="M3755" i="22"/>
  <c r="M3754" i="22"/>
  <c r="M3753" i="22"/>
  <c r="M3752" i="22"/>
  <c r="M3751" i="22"/>
  <c r="M3750" i="22"/>
  <c r="M3749" i="22"/>
  <c r="M3748" i="22"/>
  <c r="M3747" i="22"/>
  <c r="M3746" i="22"/>
  <c r="M3745" i="22"/>
  <c r="M3744" i="22"/>
  <c r="M3743" i="22"/>
  <c r="M3742" i="22"/>
  <c r="M3741" i="22"/>
  <c r="M3740" i="22"/>
  <c r="M3739" i="22"/>
  <c r="M3738" i="22"/>
  <c r="M3737" i="22"/>
  <c r="M3736" i="22"/>
  <c r="M3735" i="22"/>
  <c r="M3734" i="22"/>
  <c r="M3733" i="22"/>
  <c r="M3732" i="22"/>
  <c r="M3731" i="22"/>
  <c r="M3730" i="22"/>
  <c r="M3729" i="22"/>
  <c r="M3728" i="22"/>
  <c r="M3727" i="22"/>
  <c r="M3726" i="22"/>
  <c r="M3725" i="22"/>
  <c r="M3724" i="22"/>
  <c r="M3723" i="22"/>
  <c r="M3722" i="22"/>
  <c r="M3721" i="22"/>
  <c r="M3720" i="22"/>
  <c r="M3719" i="22"/>
  <c r="M3718" i="22"/>
  <c r="M3717" i="22"/>
  <c r="M3716" i="22"/>
  <c r="M3715" i="22"/>
  <c r="M3714" i="22"/>
  <c r="M3713" i="22"/>
  <c r="M3712" i="22"/>
  <c r="M3711" i="22"/>
  <c r="M3710" i="22"/>
  <c r="M3709" i="22"/>
  <c r="M3708" i="22"/>
  <c r="M3707" i="22"/>
  <c r="M3706" i="22"/>
  <c r="M3705" i="22"/>
  <c r="M3704" i="22"/>
  <c r="M3703" i="22"/>
  <c r="M3702" i="22"/>
  <c r="M3701" i="22"/>
  <c r="M3700" i="22"/>
  <c r="M3699" i="22"/>
  <c r="M3698" i="22"/>
  <c r="M3697" i="22"/>
  <c r="M3696" i="22"/>
  <c r="M3695" i="22"/>
  <c r="M3694" i="22"/>
  <c r="M3693" i="22"/>
  <c r="M3692" i="22"/>
  <c r="M3691" i="22"/>
  <c r="M3690" i="22"/>
  <c r="M3689" i="22"/>
  <c r="M3688" i="22"/>
  <c r="M3687" i="22"/>
  <c r="M3686" i="22"/>
  <c r="M3685" i="22"/>
  <c r="M3684" i="22"/>
  <c r="M3683" i="22"/>
  <c r="M3682" i="22"/>
  <c r="M3681" i="22"/>
  <c r="M3680" i="22"/>
  <c r="M3679" i="22"/>
  <c r="M3678" i="22"/>
  <c r="M3677" i="22"/>
  <c r="M3676" i="22"/>
  <c r="M3675" i="22"/>
  <c r="M3674" i="22"/>
  <c r="M3673" i="22"/>
  <c r="M3672" i="22"/>
  <c r="M3671" i="22"/>
  <c r="M3670" i="22"/>
  <c r="M3669" i="22"/>
  <c r="M3668" i="22"/>
  <c r="M3667" i="22"/>
  <c r="M3666" i="22"/>
  <c r="M3665" i="22"/>
  <c r="M3664" i="22"/>
  <c r="M3663" i="22"/>
  <c r="M3662" i="22"/>
  <c r="M3661" i="22"/>
  <c r="M3660" i="22"/>
  <c r="M3659" i="22"/>
  <c r="M3658" i="22"/>
  <c r="M3657" i="22"/>
  <c r="M3656" i="22"/>
  <c r="M3655" i="22"/>
  <c r="M3654" i="22"/>
  <c r="M3653" i="22"/>
  <c r="M3652" i="22"/>
  <c r="M3651" i="22"/>
  <c r="M3650" i="22"/>
  <c r="M3649" i="22"/>
  <c r="M3648" i="22"/>
  <c r="M3647" i="22"/>
  <c r="M3646" i="22"/>
  <c r="M3645" i="22"/>
  <c r="M3644" i="22"/>
  <c r="M3643" i="22"/>
  <c r="M3642" i="22"/>
  <c r="M3641" i="22"/>
  <c r="M3640" i="22"/>
  <c r="M3639" i="22"/>
  <c r="M3638" i="22"/>
  <c r="M3637" i="22"/>
  <c r="M3636" i="22"/>
  <c r="M3635" i="22"/>
  <c r="M3634" i="22"/>
  <c r="M3633" i="22"/>
  <c r="M3632" i="22"/>
  <c r="M3631" i="22"/>
  <c r="M3630" i="22"/>
  <c r="M3629" i="22"/>
  <c r="M3628" i="22"/>
  <c r="M3627" i="22"/>
  <c r="M3626" i="22"/>
  <c r="M3625" i="22"/>
  <c r="M3624" i="22"/>
  <c r="M3623" i="22"/>
  <c r="M3622" i="22"/>
  <c r="M3621" i="22"/>
  <c r="M3620" i="22"/>
  <c r="M3619" i="22"/>
  <c r="M3618" i="22"/>
  <c r="M3617" i="22"/>
  <c r="M3616" i="22"/>
  <c r="M3615" i="22"/>
  <c r="M3614" i="22"/>
  <c r="M3613" i="22"/>
  <c r="M3612" i="22"/>
  <c r="M3611" i="22"/>
  <c r="M3610" i="22"/>
  <c r="M3609" i="22"/>
  <c r="M3608" i="22"/>
  <c r="M3607" i="22"/>
  <c r="M3606" i="22"/>
  <c r="M3605" i="22"/>
  <c r="M3604" i="22"/>
  <c r="M3603" i="22"/>
  <c r="M3602" i="22"/>
  <c r="M3601" i="22"/>
  <c r="M3600" i="22"/>
  <c r="M3599" i="22"/>
  <c r="M3598" i="22"/>
  <c r="M3597" i="22"/>
  <c r="M3596" i="22"/>
  <c r="M3595" i="22"/>
  <c r="M3594" i="22"/>
  <c r="M3593" i="22"/>
  <c r="M3592" i="22"/>
  <c r="M3591" i="22"/>
  <c r="M3590" i="22"/>
  <c r="M3589" i="22"/>
  <c r="M3588" i="22"/>
  <c r="M3587" i="22"/>
  <c r="M3586" i="22"/>
  <c r="M3585" i="22"/>
  <c r="M3584" i="22"/>
  <c r="M3583" i="22"/>
  <c r="M3582" i="22"/>
  <c r="M3581" i="22"/>
  <c r="M3580" i="22"/>
  <c r="M3579" i="22"/>
  <c r="M3578" i="22"/>
  <c r="M3577" i="22"/>
  <c r="M3576" i="22"/>
  <c r="M3575" i="22"/>
  <c r="M3574" i="22"/>
  <c r="M3573" i="22"/>
  <c r="M3572" i="22"/>
  <c r="M3571" i="22"/>
  <c r="M3570" i="22"/>
  <c r="M3569" i="22"/>
  <c r="M3568" i="22"/>
  <c r="M3567" i="22"/>
  <c r="M3566" i="22"/>
  <c r="M3565" i="22"/>
  <c r="M3564" i="22"/>
  <c r="M3563" i="22"/>
  <c r="M3562" i="22"/>
  <c r="M3561" i="22"/>
  <c r="M3560" i="22"/>
  <c r="M3559" i="22"/>
  <c r="M3558" i="22"/>
  <c r="M3557" i="22"/>
  <c r="M3556" i="22"/>
  <c r="M3555" i="22"/>
  <c r="M3554" i="22"/>
  <c r="M3553" i="22"/>
  <c r="M3552" i="22"/>
  <c r="M3551" i="22"/>
  <c r="M3550" i="22"/>
  <c r="M3549" i="22"/>
  <c r="M3548" i="22"/>
  <c r="M3547" i="22"/>
  <c r="M3546" i="22"/>
  <c r="M3545" i="22"/>
  <c r="M3544" i="22"/>
  <c r="M3543" i="22"/>
  <c r="M3542" i="22"/>
  <c r="M3541" i="22"/>
  <c r="M3540" i="22"/>
  <c r="M3539" i="22"/>
  <c r="M3538" i="22"/>
  <c r="M3537" i="22"/>
  <c r="M3536" i="22"/>
  <c r="M3535" i="22"/>
  <c r="M3534" i="22"/>
  <c r="M3533" i="22"/>
  <c r="M3532" i="22"/>
  <c r="M3531" i="22"/>
  <c r="M3530" i="22"/>
  <c r="M3529" i="22"/>
  <c r="M3528" i="22"/>
  <c r="M3527" i="22"/>
  <c r="M3526" i="22"/>
  <c r="M3525" i="22"/>
  <c r="M3524" i="22"/>
  <c r="M3523" i="22"/>
  <c r="M3522" i="22"/>
  <c r="M3521" i="22"/>
  <c r="M3520" i="22"/>
  <c r="M3519" i="22"/>
  <c r="M3518" i="22"/>
  <c r="M3517" i="22"/>
  <c r="M3516" i="22"/>
  <c r="M3515" i="22"/>
  <c r="M3514" i="22"/>
  <c r="M3513" i="22"/>
  <c r="M3512" i="22"/>
  <c r="M3511" i="22"/>
  <c r="M3510" i="22"/>
  <c r="M3509" i="22"/>
  <c r="M3508" i="22"/>
  <c r="M3507" i="22"/>
  <c r="M3506" i="22"/>
  <c r="M3505" i="22"/>
  <c r="M3504" i="22"/>
  <c r="M3503" i="22"/>
  <c r="M3502" i="22"/>
  <c r="M3501" i="22"/>
  <c r="M3500" i="22"/>
  <c r="M3499" i="22"/>
  <c r="M3498" i="22"/>
  <c r="M3497" i="22"/>
  <c r="M3496" i="22"/>
  <c r="M3495" i="22"/>
  <c r="M3494" i="22"/>
  <c r="M3493" i="22"/>
  <c r="M3492" i="22"/>
  <c r="M3491" i="22"/>
  <c r="M3490" i="22"/>
  <c r="M3489" i="22"/>
  <c r="M3488" i="22"/>
  <c r="M3487" i="22"/>
  <c r="M3486" i="22"/>
  <c r="M3485" i="22"/>
  <c r="M3484" i="22"/>
  <c r="M3483" i="22"/>
  <c r="M3482" i="22"/>
  <c r="M3481" i="22"/>
  <c r="M3480" i="22"/>
  <c r="M3479" i="22"/>
  <c r="M3478" i="22"/>
  <c r="M3477" i="22"/>
  <c r="M3476" i="22"/>
  <c r="M3475" i="22"/>
  <c r="M3474" i="22"/>
  <c r="M3473" i="22"/>
  <c r="M3472" i="22"/>
  <c r="M3471" i="22"/>
  <c r="M3470" i="22"/>
  <c r="M3469" i="22"/>
  <c r="M3468" i="22"/>
  <c r="M3467" i="22"/>
  <c r="M3466" i="22"/>
  <c r="M3465" i="22"/>
  <c r="M3464" i="22"/>
  <c r="M3463" i="22"/>
  <c r="M3462" i="22"/>
  <c r="M3461" i="22"/>
  <c r="M3460" i="22"/>
  <c r="M3459" i="22"/>
  <c r="M3458" i="22"/>
  <c r="M3457" i="22"/>
  <c r="M3456" i="22"/>
  <c r="M3455" i="22"/>
  <c r="M3454" i="22"/>
  <c r="M3453" i="22"/>
  <c r="M3452" i="22"/>
  <c r="M3451" i="22"/>
  <c r="M3450" i="22"/>
  <c r="M3449" i="22"/>
  <c r="M3448" i="22"/>
  <c r="M3447" i="22"/>
  <c r="M3446" i="22"/>
  <c r="M3445" i="22"/>
  <c r="M3444" i="22"/>
  <c r="M3443" i="22"/>
  <c r="M3442" i="22"/>
  <c r="M3441" i="22"/>
  <c r="M3440" i="22"/>
  <c r="M3439" i="22"/>
  <c r="M3438" i="22"/>
  <c r="M3437" i="22"/>
  <c r="M3436" i="22"/>
  <c r="M3435" i="22"/>
  <c r="M3434" i="22"/>
  <c r="M3433" i="22"/>
  <c r="M3432" i="22"/>
  <c r="M3431" i="22"/>
  <c r="M3430" i="22"/>
  <c r="M3429" i="22"/>
  <c r="M3428" i="22"/>
  <c r="M3427" i="22"/>
  <c r="M3426" i="22"/>
  <c r="M3425" i="22"/>
  <c r="M3424" i="22"/>
  <c r="M3423" i="22"/>
  <c r="M3422" i="22"/>
  <c r="M3421" i="22"/>
  <c r="M3420" i="22"/>
  <c r="M3419" i="22"/>
  <c r="M3418" i="22"/>
  <c r="M3417" i="22"/>
  <c r="M3416" i="22"/>
  <c r="M3415" i="22"/>
  <c r="M3414" i="22"/>
  <c r="M3413" i="22"/>
  <c r="M3412" i="22"/>
  <c r="M3411" i="22"/>
  <c r="M3410" i="22"/>
  <c r="M3409" i="22"/>
  <c r="M3408" i="22"/>
  <c r="M3407" i="22"/>
  <c r="M3406" i="22"/>
  <c r="M3405" i="22"/>
  <c r="M3404" i="22"/>
  <c r="M3403" i="22"/>
  <c r="M3402" i="22"/>
  <c r="M3401" i="22"/>
  <c r="M3400" i="22"/>
  <c r="M3399" i="22"/>
  <c r="M3398" i="22"/>
  <c r="M3397" i="22"/>
  <c r="M3396" i="22"/>
  <c r="M3395" i="22"/>
  <c r="M3394" i="22"/>
  <c r="M3393" i="22"/>
  <c r="M3392" i="22"/>
  <c r="M3391" i="22"/>
  <c r="M3390" i="22"/>
  <c r="M3389" i="22"/>
  <c r="M3388" i="22"/>
  <c r="M3387" i="22"/>
  <c r="M3386" i="22"/>
  <c r="M3385" i="22"/>
  <c r="M3384" i="22"/>
  <c r="M3383" i="22"/>
  <c r="M3382" i="22"/>
  <c r="M3381" i="22"/>
  <c r="M3380" i="22"/>
  <c r="M3379" i="22"/>
  <c r="M3378" i="22"/>
  <c r="M3377" i="22"/>
  <c r="M3376" i="22"/>
  <c r="M3375" i="22"/>
  <c r="M3374" i="22"/>
  <c r="M3373" i="22"/>
  <c r="M3372" i="22"/>
  <c r="M3371" i="22"/>
  <c r="M3370" i="22"/>
  <c r="M3369" i="22"/>
  <c r="M3368" i="22"/>
  <c r="M3367" i="22"/>
  <c r="M3366" i="22"/>
  <c r="M3365" i="22"/>
  <c r="M3364" i="22"/>
  <c r="M3363" i="22"/>
  <c r="M3362" i="22"/>
  <c r="M3361" i="22"/>
  <c r="M3360" i="22"/>
  <c r="M3359" i="22"/>
  <c r="M3358" i="22"/>
  <c r="M3357" i="22"/>
  <c r="M3356" i="22"/>
  <c r="M3355" i="22"/>
  <c r="M3354" i="22"/>
  <c r="M3353" i="22"/>
  <c r="M3352" i="22"/>
  <c r="M3351" i="22"/>
  <c r="M3350" i="22"/>
  <c r="M3349" i="22"/>
  <c r="M3348" i="22"/>
  <c r="M3347" i="22"/>
  <c r="M3346" i="22"/>
  <c r="M3345" i="22"/>
  <c r="M3344" i="22"/>
  <c r="M3343" i="22"/>
  <c r="M3342" i="22"/>
  <c r="M3341" i="22"/>
  <c r="M3340" i="22"/>
  <c r="M3339" i="22"/>
  <c r="M3338" i="22"/>
  <c r="M3337" i="22"/>
  <c r="M3336" i="22"/>
  <c r="M3335" i="22"/>
  <c r="M3334" i="22"/>
  <c r="M3333" i="22"/>
  <c r="M3332" i="22"/>
  <c r="M3331" i="22"/>
  <c r="M3330" i="22"/>
  <c r="M3329" i="22"/>
  <c r="M3328" i="22"/>
  <c r="M3327" i="22"/>
  <c r="M3326" i="22"/>
  <c r="M3325" i="22"/>
  <c r="M3324" i="22"/>
  <c r="M3323" i="22"/>
  <c r="M3322" i="22"/>
  <c r="M3321" i="22"/>
  <c r="M3320" i="22"/>
  <c r="M3319" i="22"/>
  <c r="M3318" i="22"/>
  <c r="M3317" i="22"/>
  <c r="M3316" i="22"/>
  <c r="M3315" i="22"/>
  <c r="M3314" i="22"/>
  <c r="M3313" i="22"/>
  <c r="M3312" i="22"/>
  <c r="M3311" i="22"/>
  <c r="M3310" i="22"/>
  <c r="M3309" i="22"/>
  <c r="M3308" i="22"/>
  <c r="M3307" i="22"/>
  <c r="M3306" i="22"/>
  <c r="M3305" i="22"/>
  <c r="M3304" i="22"/>
  <c r="M3303" i="22"/>
  <c r="M3302" i="22"/>
  <c r="M3301" i="22"/>
  <c r="M3300" i="22"/>
  <c r="M3299" i="22"/>
  <c r="M3298" i="22"/>
  <c r="M3297" i="22"/>
  <c r="M3296" i="22"/>
  <c r="M3295" i="22"/>
  <c r="M3294" i="22"/>
  <c r="M3293" i="22"/>
  <c r="M3292" i="22"/>
  <c r="M3291" i="22"/>
  <c r="M3290" i="22"/>
  <c r="M3289" i="22"/>
  <c r="M3288" i="22"/>
  <c r="M3287" i="22"/>
  <c r="M3286" i="22"/>
  <c r="M3285" i="22"/>
  <c r="M3284" i="22"/>
  <c r="M3283" i="22"/>
  <c r="M3282" i="22"/>
  <c r="M3281" i="22"/>
  <c r="M3280" i="22"/>
  <c r="M3279" i="22"/>
  <c r="M3278" i="22"/>
  <c r="M3277" i="22"/>
  <c r="M3276" i="22"/>
  <c r="M3275" i="22"/>
  <c r="M3274" i="22"/>
  <c r="M3273" i="22"/>
  <c r="M3272" i="22"/>
  <c r="M3271" i="22"/>
  <c r="M3270" i="22"/>
  <c r="M3269" i="22"/>
  <c r="M3268" i="22"/>
  <c r="M3267" i="22"/>
  <c r="M3266" i="22"/>
  <c r="M3265" i="22"/>
  <c r="M3264" i="22"/>
  <c r="M3263" i="22"/>
  <c r="M3262" i="22"/>
  <c r="M3261" i="22"/>
  <c r="M3260" i="22"/>
  <c r="M3259" i="22"/>
  <c r="M3258" i="22"/>
  <c r="M3257" i="22"/>
  <c r="M3256" i="22"/>
  <c r="M3255" i="22"/>
  <c r="M3254" i="22"/>
  <c r="M3253" i="22"/>
  <c r="M3252" i="22"/>
  <c r="M3251" i="22"/>
  <c r="M3250" i="22"/>
  <c r="M3249" i="22"/>
  <c r="M3248" i="22"/>
  <c r="M3247" i="22"/>
  <c r="M3246" i="22"/>
  <c r="M3245" i="22"/>
  <c r="M3244" i="22"/>
  <c r="M3243" i="22"/>
  <c r="M3242" i="22"/>
  <c r="M3241" i="22"/>
  <c r="M3240" i="22"/>
  <c r="M3239" i="22"/>
  <c r="M3238" i="22"/>
  <c r="M3237" i="22"/>
  <c r="M3236" i="22"/>
  <c r="M3235" i="22"/>
  <c r="M3234" i="22"/>
  <c r="M3233" i="22"/>
  <c r="M3232" i="22"/>
  <c r="M3231" i="22"/>
  <c r="M3230" i="22"/>
  <c r="M3229" i="22"/>
  <c r="M3228" i="22"/>
  <c r="M3227" i="22"/>
  <c r="M3226" i="22"/>
  <c r="M3225" i="22"/>
  <c r="M3224" i="22"/>
  <c r="M3223" i="22"/>
  <c r="M3222" i="22"/>
  <c r="M3221" i="22"/>
  <c r="M3220" i="22"/>
  <c r="M3219" i="22"/>
  <c r="M3218" i="22"/>
  <c r="M3217" i="22"/>
  <c r="M3216" i="22"/>
  <c r="M3215" i="22"/>
  <c r="M3214" i="22"/>
  <c r="M3213" i="22"/>
  <c r="M3212" i="22"/>
  <c r="M3211" i="22"/>
  <c r="M3210" i="22"/>
  <c r="M3209" i="22"/>
  <c r="M3208" i="22"/>
  <c r="M3207" i="22"/>
  <c r="M3206" i="22"/>
  <c r="M3205" i="22"/>
  <c r="M3204" i="22"/>
  <c r="M3203" i="22"/>
  <c r="M3202" i="22"/>
  <c r="M3201" i="22"/>
  <c r="M3200" i="22"/>
  <c r="M3199" i="22"/>
  <c r="M3198" i="22"/>
  <c r="M3197" i="22"/>
  <c r="M3196" i="22"/>
  <c r="M3195" i="22"/>
  <c r="M3194" i="22"/>
  <c r="M3193" i="22"/>
  <c r="M3192" i="22"/>
  <c r="M3191" i="22"/>
  <c r="M3190" i="22"/>
  <c r="M3189" i="22"/>
  <c r="M3188" i="22"/>
  <c r="M3187" i="22"/>
  <c r="M3186" i="22"/>
  <c r="M3185" i="22"/>
  <c r="M3184" i="22"/>
  <c r="M3183" i="22"/>
  <c r="M3182" i="22"/>
  <c r="M3181" i="22"/>
  <c r="M3180" i="22"/>
  <c r="M3179" i="22"/>
  <c r="M3178" i="22"/>
  <c r="M3177" i="22"/>
  <c r="M3176" i="22"/>
  <c r="M3175" i="22"/>
  <c r="M3174" i="22"/>
  <c r="M3173" i="22"/>
  <c r="M3172" i="22"/>
  <c r="M3171" i="22"/>
  <c r="M3170" i="22"/>
  <c r="M3169" i="22"/>
  <c r="M3168" i="22"/>
  <c r="M3167" i="22"/>
  <c r="M3166" i="22"/>
  <c r="M3165" i="22"/>
  <c r="M3164" i="22"/>
  <c r="M3163" i="22"/>
  <c r="M3162" i="22"/>
  <c r="M3161" i="22"/>
  <c r="M3160" i="22"/>
  <c r="M3159" i="22"/>
  <c r="M3158" i="22"/>
  <c r="M3157" i="22"/>
  <c r="M3156" i="22"/>
  <c r="M3155" i="22"/>
  <c r="M3154" i="22"/>
  <c r="M3153" i="22"/>
  <c r="M3152" i="22"/>
  <c r="M3151" i="22"/>
  <c r="M3150" i="22"/>
  <c r="M3149" i="22"/>
  <c r="M3148" i="22"/>
  <c r="M3147" i="22"/>
  <c r="M3146" i="22"/>
  <c r="M3145" i="22"/>
  <c r="M3144" i="22"/>
  <c r="M3143" i="22"/>
  <c r="M3142" i="22"/>
  <c r="M3141" i="22"/>
  <c r="M3140" i="22"/>
  <c r="M3139" i="22"/>
  <c r="M3138" i="22"/>
  <c r="M3137" i="22"/>
  <c r="M3136" i="22"/>
  <c r="M3135" i="22"/>
  <c r="M3134" i="22"/>
  <c r="M3133" i="22"/>
  <c r="M3132" i="22"/>
  <c r="M3131" i="22"/>
  <c r="M3130" i="22"/>
  <c r="M3129" i="22"/>
  <c r="M3128" i="22"/>
  <c r="M3127" i="22"/>
  <c r="M3126" i="22"/>
  <c r="M3125" i="22"/>
  <c r="M3124" i="22"/>
  <c r="M3123" i="22"/>
  <c r="M3122" i="22"/>
  <c r="M3121" i="22"/>
  <c r="M3120" i="22"/>
  <c r="M3119" i="22"/>
  <c r="M3118" i="22"/>
  <c r="M3117" i="22"/>
  <c r="M3116" i="22"/>
  <c r="M3115" i="22"/>
  <c r="M3114" i="22"/>
  <c r="M3113" i="22"/>
  <c r="M3112" i="22"/>
  <c r="M3111" i="22"/>
  <c r="M3110" i="22"/>
  <c r="M3109" i="22"/>
  <c r="M3108" i="22"/>
  <c r="M3107" i="22"/>
  <c r="M3106" i="22"/>
  <c r="M3105" i="22"/>
  <c r="M3104" i="22"/>
  <c r="M3103" i="22"/>
  <c r="M3102" i="22"/>
  <c r="M3101" i="22"/>
  <c r="M3100" i="22"/>
  <c r="M3099" i="22"/>
  <c r="M3098" i="22"/>
  <c r="M3097" i="22"/>
  <c r="M3096" i="22"/>
  <c r="M3095" i="22"/>
  <c r="M3094" i="22"/>
  <c r="M3093" i="22"/>
  <c r="M3092" i="22"/>
  <c r="M3091" i="22"/>
  <c r="M3090" i="22"/>
  <c r="M3089" i="22"/>
  <c r="M3088" i="22"/>
  <c r="M3087" i="22"/>
  <c r="M3086" i="22"/>
  <c r="M3085" i="22"/>
  <c r="M3084" i="22"/>
  <c r="M3083" i="22"/>
  <c r="M3082" i="22"/>
  <c r="M3081" i="22"/>
  <c r="M3080" i="22"/>
  <c r="M3079" i="22"/>
  <c r="M3078" i="22"/>
  <c r="M3077" i="22"/>
  <c r="M3076" i="22"/>
  <c r="M3075" i="22"/>
  <c r="M3074" i="22"/>
  <c r="M3073" i="22"/>
  <c r="M3072" i="22"/>
  <c r="M3071" i="22"/>
  <c r="M3070" i="22"/>
  <c r="M3069" i="22"/>
  <c r="M3068" i="22"/>
  <c r="M3067" i="22"/>
  <c r="M3066" i="22"/>
  <c r="M3065" i="22"/>
  <c r="M3064" i="22"/>
  <c r="M3063" i="22"/>
  <c r="M3062" i="22"/>
  <c r="M3061" i="22"/>
  <c r="M3060" i="22"/>
  <c r="M3059" i="22"/>
  <c r="M3058" i="22"/>
  <c r="M3057" i="22"/>
  <c r="M3056" i="22"/>
  <c r="M3055" i="22"/>
  <c r="M3054" i="22"/>
  <c r="M3053" i="22"/>
  <c r="M3052" i="22"/>
  <c r="M3051" i="22"/>
  <c r="M3050" i="22"/>
  <c r="M3049" i="22"/>
  <c r="M3048" i="22"/>
  <c r="M3047" i="22"/>
  <c r="M3046" i="22"/>
  <c r="M3045" i="22"/>
  <c r="M3044" i="22"/>
  <c r="M3043" i="22"/>
  <c r="M3042" i="22"/>
  <c r="M3041" i="22"/>
  <c r="M3040" i="22"/>
  <c r="M3039" i="22"/>
  <c r="M3038" i="22"/>
  <c r="M3037" i="22"/>
  <c r="M3036" i="22"/>
  <c r="M3035" i="22"/>
  <c r="M3034" i="22"/>
  <c r="M3033" i="22"/>
  <c r="M3032" i="22"/>
  <c r="M3031" i="22"/>
  <c r="M3030" i="22"/>
  <c r="M3029" i="22"/>
  <c r="M3028" i="22"/>
  <c r="M3027" i="22"/>
  <c r="M3026" i="22"/>
  <c r="M3025" i="22"/>
  <c r="M3024" i="22"/>
  <c r="M3023" i="22"/>
  <c r="M3022" i="22"/>
  <c r="M3021" i="22"/>
  <c r="M3020" i="22"/>
  <c r="M3019" i="22"/>
  <c r="M3018" i="22"/>
  <c r="M3017" i="22"/>
  <c r="M3016" i="22"/>
  <c r="M3015" i="22"/>
  <c r="M3014" i="22"/>
  <c r="M3013" i="22"/>
  <c r="M3012" i="22"/>
  <c r="M3011" i="22"/>
  <c r="M3010" i="22"/>
  <c r="M3009" i="22"/>
  <c r="M3008" i="22"/>
  <c r="M3007" i="22"/>
  <c r="M3006" i="22"/>
  <c r="M3005" i="22"/>
  <c r="M3004" i="22"/>
  <c r="M3003" i="22"/>
  <c r="M3002" i="22"/>
  <c r="M3001" i="22"/>
  <c r="M3000" i="22"/>
  <c r="M2999" i="22"/>
  <c r="M2998" i="22"/>
  <c r="M2997" i="22"/>
  <c r="M2996" i="22"/>
  <c r="M2995" i="22"/>
  <c r="M2994" i="22"/>
  <c r="M2993" i="22"/>
  <c r="M2992" i="22"/>
  <c r="M2991" i="22"/>
  <c r="M2990" i="22"/>
  <c r="M2989" i="22"/>
  <c r="M2988" i="22"/>
  <c r="M2987" i="22"/>
  <c r="M2986" i="22"/>
  <c r="M2985" i="22"/>
  <c r="M2984" i="22"/>
  <c r="M2983" i="22"/>
  <c r="M2982" i="22"/>
  <c r="M2981" i="22"/>
  <c r="M2980" i="22"/>
  <c r="M2979" i="22"/>
  <c r="M2978" i="22"/>
  <c r="M2977" i="22"/>
  <c r="M2976" i="22"/>
  <c r="M2975" i="22"/>
  <c r="M2974" i="22"/>
  <c r="M2973" i="22"/>
  <c r="M2972" i="22"/>
  <c r="M2971" i="22"/>
  <c r="M2970" i="22"/>
  <c r="M2969" i="22"/>
  <c r="M2968" i="22"/>
  <c r="M2967" i="22"/>
  <c r="M2966" i="22"/>
  <c r="M2965" i="22"/>
  <c r="M2964" i="22"/>
  <c r="M2963" i="22"/>
  <c r="M2962" i="22"/>
  <c r="M2961" i="22"/>
  <c r="M2960" i="22"/>
  <c r="M2959" i="22"/>
  <c r="M2958" i="22"/>
  <c r="M2957" i="22"/>
  <c r="M2956" i="22"/>
  <c r="M2955" i="22"/>
  <c r="M2954" i="22"/>
  <c r="M2953" i="22"/>
  <c r="M2952" i="22"/>
  <c r="M2951" i="22"/>
  <c r="M2950" i="22"/>
  <c r="M2949" i="22"/>
  <c r="M2948" i="22"/>
  <c r="M2947" i="22"/>
  <c r="M2946" i="22"/>
  <c r="M2945" i="22"/>
  <c r="M2944" i="22"/>
  <c r="M2943" i="22"/>
  <c r="M2942" i="22"/>
  <c r="M2941" i="22"/>
  <c r="M2940" i="22"/>
  <c r="M2939" i="22"/>
  <c r="M2938" i="22"/>
  <c r="M2937" i="22"/>
  <c r="M2936" i="22"/>
  <c r="M2935" i="22"/>
  <c r="M2934" i="22"/>
  <c r="M2933" i="22"/>
  <c r="M2932" i="22"/>
  <c r="M2931" i="22"/>
  <c r="M2930" i="22"/>
  <c r="M2929" i="22"/>
  <c r="M2928" i="22"/>
  <c r="M2927" i="22"/>
  <c r="M2926" i="22"/>
  <c r="M2925" i="22"/>
  <c r="M2924" i="22"/>
  <c r="M2923" i="22"/>
  <c r="M2922" i="22"/>
  <c r="M2921" i="22"/>
  <c r="M2920" i="22"/>
  <c r="M2919" i="22"/>
  <c r="M2918" i="22"/>
  <c r="M2917" i="22"/>
  <c r="M2916" i="22"/>
  <c r="M2915" i="22"/>
  <c r="M2914" i="22"/>
  <c r="M2913" i="22"/>
  <c r="M2912" i="22"/>
  <c r="M2911" i="22"/>
  <c r="M2910" i="22"/>
  <c r="M2909" i="22"/>
  <c r="M2908" i="22"/>
  <c r="M2907" i="22"/>
  <c r="M2906" i="22"/>
  <c r="M2905" i="22"/>
  <c r="M2904" i="22"/>
  <c r="M2903" i="22"/>
  <c r="M2902" i="22"/>
  <c r="M2901" i="22"/>
  <c r="M2900" i="22"/>
  <c r="M2899" i="22"/>
  <c r="M2898" i="22"/>
  <c r="M2897" i="22"/>
  <c r="M2896" i="22"/>
  <c r="M2895" i="22"/>
  <c r="M2894" i="22"/>
  <c r="M2893" i="22"/>
  <c r="M2892" i="22"/>
  <c r="M2891" i="22"/>
  <c r="M2890" i="22"/>
  <c r="M2889" i="22"/>
  <c r="M2888" i="22"/>
  <c r="M2887" i="22"/>
  <c r="M2886" i="22"/>
  <c r="M2885" i="22"/>
  <c r="M2884" i="22"/>
  <c r="M2883" i="22"/>
  <c r="M2882" i="22"/>
  <c r="M2881" i="22"/>
  <c r="M2880" i="22"/>
  <c r="M2879" i="22"/>
  <c r="M2878" i="22"/>
  <c r="M2877" i="22"/>
  <c r="M2876" i="22"/>
  <c r="M2875" i="22"/>
  <c r="M2874" i="22"/>
  <c r="M2873" i="22"/>
  <c r="M2872" i="22"/>
  <c r="M2871" i="22"/>
  <c r="M2870" i="22"/>
  <c r="M2869" i="22"/>
  <c r="M2868" i="22"/>
  <c r="M2867" i="22"/>
  <c r="M2866" i="22"/>
  <c r="M2865" i="22"/>
  <c r="M2864" i="22"/>
  <c r="M2863" i="22"/>
  <c r="M2862" i="22"/>
  <c r="M2861" i="22"/>
  <c r="M2860" i="22"/>
  <c r="M2859" i="22"/>
  <c r="M2858" i="22"/>
  <c r="M2857" i="22"/>
  <c r="M2856" i="22"/>
  <c r="M2855" i="22"/>
  <c r="M2854" i="22"/>
  <c r="M2853" i="22"/>
  <c r="M2852" i="22"/>
  <c r="M2851" i="22"/>
  <c r="M2850" i="22"/>
  <c r="M2849" i="22"/>
  <c r="M2848" i="22"/>
  <c r="M2847" i="22"/>
  <c r="M2846" i="22"/>
  <c r="M2845" i="22"/>
  <c r="M2844" i="22"/>
  <c r="M2843" i="22"/>
  <c r="M2842" i="22"/>
  <c r="M2841" i="22"/>
  <c r="M2840" i="22"/>
  <c r="M2839" i="22"/>
  <c r="M2838" i="22"/>
  <c r="M2837" i="22"/>
  <c r="M2836" i="22"/>
  <c r="M2835" i="22"/>
  <c r="M2834" i="22"/>
  <c r="M2833" i="22"/>
  <c r="M2832" i="22"/>
  <c r="M2831" i="22"/>
  <c r="M2830" i="22"/>
  <c r="M2829" i="22"/>
  <c r="M2828" i="22"/>
  <c r="M2827" i="22"/>
  <c r="M2826" i="22"/>
  <c r="M2825" i="22"/>
  <c r="M2824" i="22"/>
  <c r="M2823" i="22"/>
  <c r="M2822" i="22"/>
  <c r="M2821" i="22"/>
  <c r="M2820" i="22"/>
  <c r="M2819" i="22"/>
  <c r="M2818" i="22"/>
  <c r="M2817" i="22"/>
  <c r="M2816" i="22"/>
  <c r="M2815" i="22"/>
  <c r="M2814" i="22"/>
  <c r="M2813" i="22"/>
  <c r="M2812" i="22"/>
  <c r="M2811" i="22"/>
  <c r="M2810" i="22"/>
  <c r="M2809" i="22"/>
  <c r="M2808" i="22"/>
  <c r="M2807" i="22"/>
  <c r="M2806" i="22"/>
  <c r="M2805" i="22"/>
  <c r="M2804" i="22"/>
  <c r="M2803" i="22"/>
  <c r="M2802" i="22"/>
  <c r="M2801" i="22"/>
  <c r="M2800" i="22"/>
  <c r="M2799" i="22"/>
  <c r="M2798" i="22"/>
  <c r="M2797" i="22"/>
  <c r="M2796" i="22"/>
  <c r="M2795" i="22"/>
  <c r="M2794" i="22"/>
  <c r="M2793" i="22"/>
  <c r="M2792" i="22"/>
  <c r="M2791" i="22"/>
  <c r="M2790" i="22"/>
  <c r="M2789" i="22"/>
  <c r="M2788" i="22"/>
  <c r="M2787" i="22"/>
  <c r="M2786" i="22"/>
  <c r="M2785" i="22"/>
  <c r="M2784" i="22"/>
  <c r="M2783" i="22"/>
  <c r="M2782" i="22"/>
  <c r="M2781" i="22"/>
  <c r="M2780" i="22"/>
  <c r="M2779" i="22"/>
  <c r="M2778" i="22"/>
  <c r="M2777" i="22"/>
  <c r="M2776" i="22"/>
  <c r="M2775" i="22"/>
  <c r="M2774" i="22"/>
  <c r="M2773" i="22"/>
  <c r="M2772" i="22"/>
  <c r="M2771" i="22"/>
  <c r="M2770" i="22"/>
  <c r="M2769" i="22"/>
  <c r="M2768" i="22"/>
  <c r="M2767" i="22"/>
  <c r="M2766" i="22"/>
  <c r="M2765" i="22"/>
  <c r="M2764" i="22"/>
  <c r="M2763" i="22"/>
  <c r="M2762" i="22"/>
  <c r="M2761" i="22"/>
  <c r="M2760" i="22"/>
  <c r="M2759" i="22"/>
  <c r="M2758" i="22"/>
  <c r="M2757" i="22"/>
  <c r="M2756" i="22"/>
  <c r="M2755" i="22"/>
  <c r="M2754" i="22"/>
  <c r="M2753" i="22"/>
  <c r="M2752" i="22"/>
  <c r="M2751" i="22"/>
  <c r="M2750" i="22"/>
  <c r="M2749" i="22"/>
  <c r="M2748" i="22"/>
  <c r="M2747" i="22"/>
  <c r="M2746" i="22"/>
  <c r="M2745" i="22"/>
  <c r="M2744" i="22"/>
  <c r="M2743" i="22"/>
  <c r="M2742" i="22"/>
  <c r="M2741" i="22"/>
  <c r="M2740" i="22"/>
  <c r="M2739" i="22"/>
  <c r="M2738" i="22"/>
  <c r="M2737" i="22"/>
  <c r="M2736" i="22"/>
  <c r="M2735" i="22"/>
  <c r="M2734" i="22"/>
  <c r="M2733" i="22"/>
  <c r="M2732" i="22"/>
  <c r="M2731" i="22"/>
  <c r="M2730" i="22"/>
  <c r="M2729" i="22"/>
  <c r="M2728" i="22"/>
  <c r="M2727" i="22"/>
  <c r="M2726" i="22"/>
  <c r="M2725" i="22"/>
  <c r="M2724" i="22"/>
  <c r="M2723" i="22"/>
  <c r="M2722" i="22"/>
  <c r="M2721" i="22"/>
  <c r="M2720" i="22"/>
  <c r="M2719" i="22"/>
  <c r="M2718" i="22"/>
  <c r="M2717" i="22"/>
  <c r="M2716" i="22"/>
  <c r="M2715" i="22"/>
  <c r="M2714" i="22"/>
  <c r="M2713" i="22"/>
  <c r="M2712" i="22"/>
  <c r="M2711" i="22"/>
  <c r="M2710" i="22"/>
  <c r="M2709" i="22"/>
  <c r="M2708" i="22"/>
  <c r="M2707" i="22"/>
  <c r="M2706" i="22"/>
  <c r="M2705" i="22"/>
  <c r="M2704" i="22"/>
  <c r="M2703" i="22"/>
  <c r="M2702" i="22"/>
  <c r="M2701" i="22"/>
  <c r="M2700" i="22"/>
  <c r="M2699" i="22"/>
  <c r="M2698" i="22"/>
  <c r="M2697" i="22"/>
  <c r="M2696" i="22"/>
  <c r="M2695" i="22"/>
  <c r="M2694" i="22"/>
  <c r="M2693" i="22"/>
  <c r="M2692" i="22"/>
  <c r="M2691" i="22"/>
  <c r="M2690" i="22"/>
  <c r="M2689" i="22"/>
  <c r="M2688" i="22"/>
  <c r="M2687" i="22"/>
  <c r="M2686" i="22"/>
  <c r="M2685" i="22"/>
  <c r="M2684" i="22"/>
  <c r="M2683" i="22"/>
  <c r="M2682" i="22"/>
  <c r="M2681" i="22"/>
  <c r="M2680" i="22"/>
  <c r="M2679" i="22"/>
  <c r="M2678" i="22"/>
  <c r="M2677" i="22"/>
  <c r="M2676" i="22"/>
  <c r="M2675" i="22"/>
  <c r="M2674" i="22"/>
  <c r="M2673" i="22"/>
  <c r="M2672" i="22"/>
  <c r="M2671" i="22"/>
  <c r="M2670" i="22"/>
  <c r="M2669" i="22"/>
  <c r="M2668" i="22"/>
  <c r="M2667" i="22"/>
  <c r="M2666" i="22"/>
  <c r="M2665" i="22"/>
  <c r="M2664" i="22"/>
  <c r="M2663" i="22"/>
  <c r="M2662" i="22"/>
  <c r="M2661" i="22"/>
  <c r="M2660" i="22"/>
  <c r="M2659" i="22"/>
  <c r="M2658" i="22"/>
  <c r="M2657" i="22"/>
  <c r="M2656" i="22"/>
  <c r="M2655" i="22"/>
  <c r="M2654" i="22"/>
  <c r="M2653" i="22"/>
  <c r="M2652" i="22"/>
  <c r="M2651" i="22"/>
  <c r="M2650" i="22"/>
  <c r="M2649" i="22"/>
  <c r="M2648" i="22"/>
  <c r="M2647" i="22"/>
  <c r="M2646" i="22"/>
  <c r="M2645" i="22"/>
  <c r="M2644" i="22"/>
  <c r="M2643" i="22"/>
  <c r="M2642" i="22"/>
  <c r="M2641" i="22"/>
  <c r="M2640" i="22"/>
  <c r="M2639" i="22"/>
  <c r="M2638" i="22"/>
  <c r="M2637" i="22"/>
  <c r="M2636" i="22"/>
  <c r="M2635" i="22"/>
  <c r="M2634" i="22"/>
  <c r="M2633" i="22"/>
  <c r="M2632" i="22"/>
  <c r="M2631" i="22"/>
  <c r="M2630" i="22"/>
  <c r="M2629" i="22"/>
  <c r="M2628" i="22"/>
  <c r="M2627" i="22"/>
  <c r="M2626" i="22"/>
  <c r="M2625" i="22"/>
  <c r="M2624" i="22"/>
  <c r="M2623" i="22"/>
  <c r="M2622" i="22"/>
  <c r="M2621" i="22"/>
  <c r="M2620" i="22"/>
  <c r="M2619" i="22"/>
  <c r="M2618" i="22"/>
  <c r="M2617" i="22"/>
  <c r="M2616" i="22"/>
  <c r="M2615" i="22"/>
  <c r="M2614" i="22"/>
  <c r="M2613" i="22"/>
  <c r="M2612" i="22"/>
  <c r="M2611" i="22"/>
  <c r="M2610" i="22"/>
  <c r="M2609" i="22"/>
  <c r="M2608" i="22"/>
  <c r="M2607" i="22"/>
  <c r="M2606" i="22"/>
  <c r="M2605" i="22"/>
  <c r="M2604" i="22"/>
  <c r="M2603" i="22"/>
  <c r="M2602" i="22"/>
  <c r="M2601" i="22"/>
  <c r="M2600" i="22"/>
  <c r="M2599" i="22"/>
  <c r="M2598" i="22"/>
  <c r="M2597" i="22"/>
  <c r="M2596" i="22"/>
  <c r="M2595" i="22"/>
  <c r="M2594" i="22"/>
  <c r="M2593" i="22"/>
  <c r="M2592" i="22"/>
  <c r="M2591" i="22"/>
  <c r="M2590" i="22"/>
  <c r="M2589" i="22"/>
  <c r="M2588" i="22"/>
  <c r="M2587" i="22"/>
  <c r="M2586" i="22"/>
  <c r="M2585" i="22"/>
  <c r="M2584" i="22"/>
  <c r="M2583" i="22"/>
  <c r="M2582" i="22"/>
  <c r="M2581" i="22"/>
  <c r="M2580" i="22"/>
  <c r="M2579" i="22"/>
  <c r="M2578" i="22"/>
  <c r="M2577" i="22"/>
  <c r="M2576" i="22"/>
  <c r="M2575" i="22"/>
  <c r="M2574" i="22"/>
  <c r="M2573" i="22"/>
  <c r="M2572" i="22"/>
  <c r="M2571" i="22"/>
  <c r="M2570" i="22"/>
  <c r="M2569" i="22"/>
  <c r="M2568" i="22"/>
  <c r="M2567" i="22"/>
  <c r="M2566" i="22"/>
  <c r="M2565" i="22"/>
  <c r="M2564" i="22"/>
  <c r="M2563" i="22"/>
  <c r="M2562" i="22"/>
  <c r="M2561" i="22"/>
  <c r="M2560" i="22"/>
  <c r="M2559" i="22"/>
  <c r="M2558" i="22"/>
  <c r="M2557" i="22"/>
  <c r="M2556" i="22"/>
  <c r="M2555" i="22"/>
  <c r="M2554" i="22"/>
  <c r="M2553" i="22"/>
  <c r="M2552" i="22"/>
  <c r="M2551" i="22"/>
  <c r="M2550" i="22"/>
  <c r="M2549" i="22"/>
  <c r="M2548" i="22"/>
  <c r="M2547" i="22"/>
  <c r="M2546" i="22"/>
  <c r="M2545" i="22"/>
  <c r="M2544" i="22"/>
  <c r="M2543" i="22"/>
  <c r="M2542" i="22"/>
  <c r="M2541" i="22"/>
  <c r="M2540" i="22"/>
  <c r="M2539" i="22"/>
  <c r="M2538" i="22"/>
  <c r="M2537" i="22"/>
  <c r="M2536" i="22"/>
  <c r="M2535" i="22"/>
  <c r="M2534" i="22"/>
  <c r="M2533" i="22"/>
  <c r="M2532" i="22"/>
  <c r="M2531" i="22"/>
  <c r="M2530" i="22"/>
  <c r="M2529" i="22"/>
  <c r="M2528" i="22"/>
  <c r="M2527" i="22"/>
  <c r="M2526" i="22"/>
  <c r="M2525" i="22"/>
  <c r="M2524" i="22"/>
  <c r="M2523" i="22"/>
  <c r="M2522" i="22"/>
  <c r="M2521" i="22"/>
  <c r="M2520" i="22"/>
  <c r="M2519" i="22"/>
  <c r="M2518" i="22"/>
  <c r="M2517" i="22"/>
  <c r="M2516" i="22"/>
  <c r="M2515" i="22"/>
  <c r="M2514" i="22"/>
  <c r="M2513" i="22"/>
  <c r="M2512" i="22"/>
  <c r="M2511" i="22"/>
  <c r="M2510" i="22"/>
  <c r="M2509" i="22"/>
  <c r="M2508" i="22"/>
  <c r="M2507" i="22"/>
  <c r="M2506" i="22"/>
  <c r="M2505" i="22"/>
  <c r="M2504" i="22"/>
  <c r="M2503" i="22"/>
  <c r="M2502" i="22"/>
  <c r="M2501" i="22"/>
  <c r="M2500" i="22"/>
  <c r="M2499" i="22"/>
  <c r="M2498" i="22"/>
  <c r="M2497" i="22"/>
  <c r="M2496" i="22"/>
  <c r="M2495" i="22"/>
  <c r="M2494" i="22"/>
  <c r="M2493" i="22"/>
  <c r="M2492" i="22"/>
  <c r="M2491" i="22"/>
  <c r="M2490" i="22"/>
  <c r="M2489" i="22"/>
  <c r="M2488" i="22"/>
  <c r="M2487" i="22"/>
  <c r="M2486" i="22"/>
  <c r="M2485" i="22"/>
  <c r="M2484" i="22"/>
  <c r="M2483" i="22"/>
  <c r="M2482" i="22"/>
  <c r="M2481" i="22"/>
  <c r="M2480" i="22"/>
  <c r="M2479" i="22"/>
  <c r="M2478" i="22"/>
  <c r="M2477" i="22"/>
  <c r="M2476" i="22"/>
  <c r="M2475" i="22"/>
  <c r="M2474" i="22"/>
  <c r="M2473" i="22"/>
  <c r="M2472" i="22"/>
  <c r="M2471" i="22"/>
  <c r="M2470" i="22"/>
  <c r="M2469" i="22"/>
  <c r="M2468" i="22"/>
  <c r="M2467" i="22"/>
  <c r="M2466" i="22"/>
  <c r="M2465" i="22"/>
  <c r="M2464" i="22"/>
  <c r="M2463" i="22"/>
  <c r="M2462" i="22"/>
  <c r="M2461" i="22"/>
  <c r="M2460" i="22"/>
  <c r="M2459" i="22"/>
  <c r="M2458" i="22"/>
  <c r="M2457" i="22"/>
  <c r="M2456" i="22"/>
  <c r="M2455" i="22"/>
  <c r="M2454" i="22"/>
  <c r="M2453" i="22"/>
  <c r="M2452" i="22"/>
  <c r="M2451" i="22"/>
  <c r="M2450" i="22"/>
  <c r="M2449" i="22"/>
  <c r="M2448" i="22"/>
  <c r="M2447" i="22"/>
  <c r="M2446" i="22"/>
  <c r="M2445" i="22"/>
  <c r="M2444" i="22"/>
  <c r="M2443" i="22"/>
  <c r="M2442" i="22"/>
  <c r="M2441" i="22"/>
  <c r="M2440" i="22"/>
  <c r="M2439" i="22"/>
  <c r="M2438" i="22"/>
  <c r="M2437" i="22"/>
  <c r="M2436" i="22"/>
  <c r="M2435" i="22"/>
  <c r="M2434" i="22"/>
  <c r="M2433" i="22"/>
  <c r="M2432" i="22"/>
  <c r="M2431" i="22"/>
  <c r="M2430" i="22"/>
  <c r="M2429" i="22"/>
  <c r="M2428" i="22"/>
  <c r="M2427" i="22"/>
  <c r="M2426" i="22"/>
  <c r="M2425" i="22"/>
  <c r="M2424" i="22"/>
  <c r="M2423" i="22"/>
  <c r="M2422" i="22"/>
  <c r="M2421" i="22"/>
  <c r="M2420" i="22"/>
  <c r="M2419" i="22"/>
  <c r="M2418" i="22"/>
  <c r="M2417" i="22"/>
  <c r="M2416" i="22"/>
  <c r="M2415" i="22"/>
  <c r="M2414" i="22"/>
  <c r="M2413" i="22"/>
  <c r="M2412" i="22"/>
  <c r="M2411" i="22"/>
  <c r="M2410" i="22"/>
  <c r="M2409" i="22"/>
  <c r="M2408" i="22"/>
  <c r="M2407" i="22"/>
  <c r="M2406" i="22"/>
  <c r="M2405" i="22"/>
  <c r="M2404" i="22"/>
  <c r="M2403" i="22"/>
  <c r="M2402" i="22"/>
  <c r="M2401" i="22"/>
  <c r="M2400" i="22"/>
  <c r="M2399" i="22"/>
  <c r="M2398" i="22"/>
  <c r="M2397" i="22"/>
  <c r="M2396" i="22"/>
  <c r="M2395" i="22"/>
  <c r="M2394" i="22"/>
  <c r="M2393" i="22"/>
  <c r="M2392" i="22"/>
  <c r="M2391" i="22"/>
  <c r="M2390" i="22"/>
  <c r="M2389" i="22"/>
  <c r="M2388" i="22"/>
  <c r="M2387" i="22"/>
  <c r="M2386" i="22"/>
  <c r="M2385" i="22"/>
  <c r="M2384" i="22"/>
  <c r="M2383" i="22"/>
  <c r="M2382" i="22"/>
  <c r="M2381" i="22"/>
  <c r="M2380" i="22"/>
  <c r="M2379" i="22"/>
  <c r="M2378" i="22"/>
  <c r="M2377" i="22"/>
  <c r="M2376" i="22"/>
  <c r="M2375" i="22"/>
  <c r="M2374" i="22"/>
  <c r="M2373" i="22"/>
  <c r="M2372" i="22"/>
  <c r="M2371" i="22"/>
  <c r="M2370" i="22"/>
  <c r="M2369" i="22"/>
  <c r="M2368" i="22"/>
  <c r="M2367" i="22"/>
  <c r="M2366" i="22"/>
  <c r="M2365" i="22"/>
  <c r="M2364" i="22"/>
  <c r="M2363" i="22"/>
  <c r="M2362" i="22"/>
  <c r="M2361" i="22"/>
  <c r="M2360" i="22"/>
  <c r="M2359" i="22"/>
  <c r="M2358" i="22"/>
  <c r="M2357" i="22"/>
  <c r="M2356" i="22"/>
  <c r="M2355" i="22"/>
  <c r="M2354" i="22"/>
  <c r="M2353" i="22"/>
  <c r="M2352" i="22"/>
  <c r="M2351" i="22"/>
  <c r="M2350" i="22"/>
  <c r="M2349" i="22"/>
  <c r="M2348" i="22"/>
  <c r="M2347" i="22"/>
  <c r="M2346" i="22"/>
  <c r="M2345" i="22"/>
  <c r="M2344" i="22"/>
  <c r="M2343" i="22"/>
  <c r="M2342" i="22"/>
  <c r="M2341" i="22"/>
  <c r="M2340" i="22"/>
  <c r="M2339" i="22"/>
  <c r="M2338" i="22"/>
  <c r="M2337" i="22"/>
  <c r="M2336" i="22"/>
  <c r="M2335" i="22"/>
  <c r="M2334" i="22"/>
  <c r="M2333" i="22"/>
  <c r="M2332" i="22"/>
  <c r="M2331" i="22"/>
  <c r="M2330" i="22"/>
  <c r="M2329" i="22"/>
  <c r="M2328" i="22"/>
  <c r="M2327" i="22"/>
  <c r="M2326" i="22"/>
  <c r="M2325" i="22"/>
  <c r="M2324" i="22"/>
  <c r="M2323" i="22"/>
  <c r="M2322" i="22"/>
  <c r="M2321" i="22"/>
  <c r="M2320" i="22"/>
  <c r="M2319" i="22"/>
  <c r="M2318" i="22"/>
  <c r="M2317" i="22"/>
  <c r="M2316" i="22"/>
  <c r="M2315" i="22"/>
  <c r="M2314" i="22"/>
  <c r="M2313" i="22"/>
  <c r="M2312" i="22"/>
  <c r="M2311" i="22"/>
  <c r="M2310" i="22"/>
  <c r="M2309" i="22"/>
  <c r="M2308" i="22"/>
  <c r="M2307" i="22"/>
  <c r="M2306" i="22"/>
  <c r="M2305" i="22"/>
  <c r="M2304" i="22"/>
  <c r="M2303" i="22"/>
  <c r="M2302" i="22"/>
  <c r="M2301" i="22"/>
  <c r="M2300" i="22"/>
  <c r="M2299" i="22"/>
  <c r="M2298" i="22"/>
  <c r="M2297" i="22"/>
  <c r="M2296" i="22"/>
  <c r="M2295" i="22"/>
  <c r="M2294" i="22"/>
  <c r="M2293" i="22"/>
  <c r="M2292" i="22"/>
  <c r="M2291" i="22"/>
  <c r="M2290" i="22"/>
  <c r="M2289" i="22"/>
  <c r="M2288" i="22"/>
  <c r="M2287" i="22"/>
  <c r="M2286" i="22"/>
  <c r="M2285" i="22"/>
  <c r="M2284" i="22"/>
  <c r="M2283" i="22"/>
  <c r="M2282" i="22"/>
  <c r="M2281" i="22"/>
  <c r="M2280" i="22"/>
  <c r="M2279" i="22"/>
  <c r="M2278" i="22"/>
  <c r="M2277" i="22"/>
  <c r="M2276" i="22"/>
  <c r="M2275" i="22"/>
  <c r="M2274" i="22"/>
  <c r="M2273" i="22"/>
  <c r="M2272" i="22"/>
  <c r="M2271" i="22"/>
  <c r="M2270" i="22"/>
  <c r="M2269" i="22"/>
  <c r="M2268" i="22"/>
  <c r="M2267" i="22"/>
  <c r="M2266" i="22"/>
  <c r="M2265" i="22"/>
  <c r="M2264" i="22"/>
  <c r="M2263" i="22"/>
  <c r="M2262" i="22"/>
  <c r="M2261" i="22"/>
  <c r="M2260" i="22"/>
  <c r="M2259" i="22"/>
  <c r="M2258" i="22"/>
  <c r="M2257" i="22"/>
  <c r="M2256" i="22"/>
  <c r="M2255" i="22"/>
  <c r="M2254" i="22"/>
  <c r="M2253" i="22"/>
  <c r="M2252" i="22"/>
  <c r="M2251" i="22"/>
  <c r="M2250" i="22"/>
  <c r="M2249" i="22"/>
  <c r="M2248" i="22"/>
  <c r="M2247" i="22"/>
  <c r="M2246" i="22"/>
  <c r="M2245" i="22"/>
  <c r="M2244" i="22"/>
  <c r="M2243" i="22"/>
  <c r="M2242" i="22"/>
  <c r="M2241" i="22"/>
  <c r="M2240" i="22"/>
  <c r="M2239" i="22"/>
  <c r="M2238" i="22"/>
  <c r="M2237" i="22"/>
  <c r="M2236" i="22"/>
  <c r="M2235" i="22"/>
  <c r="M2234" i="22"/>
  <c r="M2233" i="22"/>
  <c r="M2232" i="22"/>
  <c r="M2231" i="22"/>
  <c r="M2230" i="22"/>
  <c r="M2229" i="22"/>
  <c r="M2228" i="22"/>
  <c r="M2227" i="22"/>
  <c r="M2226" i="22"/>
  <c r="M2225" i="22"/>
  <c r="M2224" i="22"/>
  <c r="M2223" i="22"/>
  <c r="M2222" i="22"/>
  <c r="M2221" i="22"/>
  <c r="M2220" i="22"/>
  <c r="M2219" i="22"/>
  <c r="M2218" i="22"/>
  <c r="M2217" i="22"/>
  <c r="M2216" i="22"/>
  <c r="M2215" i="22"/>
  <c r="M2214" i="22"/>
  <c r="M2213" i="22"/>
  <c r="M2212" i="22"/>
  <c r="M2211" i="22"/>
  <c r="M2210" i="22"/>
  <c r="M2209" i="22"/>
  <c r="M2208" i="22"/>
  <c r="M2207" i="22"/>
  <c r="M2206" i="22"/>
  <c r="M2205" i="22"/>
  <c r="M2204" i="22"/>
  <c r="M2203" i="22"/>
  <c r="M2202" i="22"/>
  <c r="M2201" i="22"/>
  <c r="M2200" i="22"/>
  <c r="M2199" i="22"/>
  <c r="M2198" i="22"/>
  <c r="M2197" i="22"/>
  <c r="M2196" i="22"/>
  <c r="M2195" i="22"/>
  <c r="M2194" i="22"/>
  <c r="M2193" i="22"/>
  <c r="M2192" i="22"/>
  <c r="M2191" i="22"/>
  <c r="M2190" i="22"/>
  <c r="M2189" i="22"/>
  <c r="M2188" i="22"/>
  <c r="M2187" i="22"/>
  <c r="M2186" i="22"/>
  <c r="M2185" i="22"/>
  <c r="M2184" i="22"/>
  <c r="M2183" i="22"/>
  <c r="M2182" i="22"/>
  <c r="M2181" i="22"/>
  <c r="M2180" i="22"/>
  <c r="M2179" i="22"/>
  <c r="M2178" i="22"/>
  <c r="M2177" i="22"/>
  <c r="M2176" i="22"/>
  <c r="M2175" i="22"/>
  <c r="M2174" i="22"/>
  <c r="M2173" i="22"/>
  <c r="M2172" i="22"/>
  <c r="M2171" i="22"/>
  <c r="M2170" i="22"/>
  <c r="M2169" i="22"/>
  <c r="M2168" i="22"/>
  <c r="M2167" i="22"/>
  <c r="M2166" i="22"/>
  <c r="M2165" i="22"/>
  <c r="M2164" i="22"/>
  <c r="M2163" i="22"/>
  <c r="M2162" i="22"/>
  <c r="M2161" i="22"/>
  <c r="M2160" i="22"/>
  <c r="M2159" i="22"/>
  <c r="M2158" i="22"/>
  <c r="M2157" i="22"/>
  <c r="M2156" i="22"/>
  <c r="M2155" i="22"/>
  <c r="M2154" i="22"/>
  <c r="M2153" i="22"/>
  <c r="M2152" i="22"/>
  <c r="M2151" i="22"/>
  <c r="M2150" i="22"/>
  <c r="M2149" i="22"/>
  <c r="M2148" i="22"/>
  <c r="M2147" i="22"/>
  <c r="M2146" i="22"/>
  <c r="M2145" i="22"/>
  <c r="M2144" i="22"/>
  <c r="M2143" i="22"/>
  <c r="M2142" i="22"/>
  <c r="M2141" i="22"/>
  <c r="M2140" i="22"/>
  <c r="M2139" i="22"/>
  <c r="M2138" i="22"/>
  <c r="M2137" i="22"/>
  <c r="M2136" i="22"/>
  <c r="M2135" i="22"/>
  <c r="M2134" i="22"/>
  <c r="M2133" i="22"/>
  <c r="M2132" i="22"/>
  <c r="M2131" i="22"/>
  <c r="M2130" i="22"/>
  <c r="M2129" i="22"/>
  <c r="M2128" i="22"/>
  <c r="M2127" i="22"/>
  <c r="M2126" i="22"/>
  <c r="M2125" i="22"/>
  <c r="M2124" i="22"/>
  <c r="M2123" i="22"/>
  <c r="M2122" i="22"/>
  <c r="M2121" i="22"/>
  <c r="M2120" i="22"/>
  <c r="M2119" i="22"/>
  <c r="M2118" i="22"/>
  <c r="M2117" i="22"/>
  <c r="M2116" i="22"/>
  <c r="M2115" i="22"/>
  <c r="M2114" i="22"/>
  <c r="M2113" i="22"/>
  <c r="M2112" i="22"/>
  <c r="M2111" i="22"/>
  <c r="M2110" i="22"/>
  <c r="M2109" i="22"/>
  <c r="M2108" i="22"/>
  <c r="M2107" i="22"/>
  <c r="M2106" i="22"/>
  <c r="M2105" i="22"/>
  <c r="M2104" i="22"/>
  <c r="M2103" i="22"/>
  <c r="M2102" i="22"/>
  <c r="M2101" i="22"/>
  <c r="M2100" i="22"/>
  <c r="M2099" i="22"/>
  <c r="M2098" i="22"/>
  <c r="M2097" i="22"/>
  <c r="M2096" i="22"/>
  <c r="M2095" i="22"/>
  <c r="M2094" i="22"/>
  <c r="M2093" i="22"/>
  <c r="M2092" i="22"/>
  <c r="M2091" i="22"/>
  <c r="M2090" i="22"/>
  <c r="M2089" i="22"/>
  <c r="M2088" i="22"/>
  <c r="M2087" i="22"/>
  <c r="M2086" i="22"/>
  <c r="M2085" i="22"/>
  <c r="M2084" i="22"/>
  <c r="M2083" i="22"/>
  <c r="M2082" i="22"/>
  <c r="M2081" i="22"/>
  <c r="M2080" i="22"/>
  <c r="M2079" i="22"/>
  <c r="M2078" i="22"/>
  <c r="M2077" i="22"/>
  <c r="M2076" i="22"/>
  <c r="M2075" i="22"/>
  <c r="M2074" i="22"/>
  <c r="M2073" i="22"/>
  <c r="M2072" i="22"/>
  <c r="M2071" i="22"/>
  <c r="M2070" i="22"/>
  <c r="M2069" i="22"/>
  <c r="M2068" i="22"/>
  <c r="M2067" i="22"/>
  <c r="M2066" i="22"/>
  <c r="M2065" i="22"/>
  <c r="M2064" i="22"/>
  <c r="M2063" i="22"/>
  <c r="M2062" i="22"/>
  <c r="M2061" i="22"/>
  <c r="M2060" i="22"/>
  <c r="M2059" i="22"/>
  <c r="M2058" i="22"/>
  <c r="M2057" i="22"/>
  <c r="M2056" i="22"/>
  <c r="M2055" i="22"/>
  <c r="M2054" i="22"/>
  <c r="M2053" i="22"/>
  <c r="M2052" i="22"/>
  <c r="M2051" i="22"/>
  <c r="M2050" i="22"/>
  <c r="M2049" i="22"/>
  <c r="M2048" i="22"/>
  <c r="M2047" i="22"/>
  <c r="M2046" i="22"/>
  <c r="M2045" i="22"/>
  <c r="M2044" i="22"/>
  <c r="M2043" i="22"/>
  <c r="M2042" i="22"/>
  <c r="M2041" i="22"/>
  <c r="M2040" i="22"/>
  <c r="M2039" i="22"/>
  <c r="M2038" i="22"/>
  <c r="M2037" i="22"/>
  <c r="M2036" i="22"/>
  <c r="M2035" i="22"/>
  <c r="M2034" i="22"/>
  <c r="M2033" i="22"/>
  <c r="M2032" i="22"/>
  <c r="M2031" i="22"/>
  <c r="M2030" i="22"/>
  <c r="M2029" i="22"/>
  <c r="M2028" i="22"/>
  <c r="M2027" i="22"/>
  <c r="M2026" i="22"/>
  <c r="M2025" i="22"/>
  <c r="M2024" i="22"/>
  <c r="M2023" i="22"/>
  <c r="M2022" i="22"/>
  <c r="M2021" i="22"/>
  <c r="M2020" i="22"/>
  <c r="M2019" i="22"/>
  <c r="M2018" i="22"/>
  <c r="M2017" i="22"/>
  <c r="M2016" i="22"/>
  <c r="M2015" i="22"/>
  <c r="M2014" i="22"/>
  <c r="M2013" i="22"/>
  <c r="M2012" i="22"/>
  <c r="M2011" i="22"/>
  <c r="M2010" i="22"/>
  <c r="M2009" i="22"/>
  <c r="M2008" i="22"/>
  <c r="M2007" i="22"/>
  <c r="M2006" i="22"/>
  <c r="M2005" i="22"/>
  <c r="M2004" i="22"/>
  <c r="M2003" i="22"/>
  <c r="M2002" i="22"/>
  <c r="M2001" i="22"/>
  <c r="M2000" i="22"/>
  <c r="M1999" i="22"/>
  <c r="M1998" i="22"/>
  <c r="M1997" i="22"/>
  <c r="M1996" i="22"/>
  <c r="M1995" i="22"/>
  <c r="M1994" i="22"/>
  <c r="M1993" i="22"/>
  <c r="M1992" i="22"/>
  <c r="M1991" i="22"/>
  <c r="M1990" i="22"/>
  <c r="M1989" i="22"/>
  <c r="M1988" i="22"/>
  <c r="M1987" i="22"/>
  <c r="M1986" i="22"/>
  <c r="M1985" i="22"/>
  <c r="M1984" i="22"/>
  <c r="M1983" i="22"/>
  <c r="M1982" i="22"/>
  <c r="M1981" i="22"/>
  <c r="M1980" i="22"/>
  <c r="M1979" i="22"/>
  <c r="M1978" i="22"/>
  <c r="M1977" i="22"/>
  <c r="M1976" i="22"/>
  <c r="M1975" i="22"/>
  <c r="M1974" i="22"/>
  <c r="M1973" i="22"/>
  <c r="M1972" i="22"/>
  <c r="M1971" i="22"/>
  <c r="M1970" i="22"/>
  <c r="M1969" i="22"/>
  <c r="M1968" i="22"/>
  <c r="M1967" i="22"/>
  <c r="M1966" i="22"/>
  <c r="M1965" i="22"/>
  <c r="M1964" i="22"/>
  <c r="M1963" i="22"/>
  <c r="M1962" i="22"/>
  <c r="M1961" i="22"/>
  <c r="M1960" i="22"/>
  <c r="M1959" i="22"/>
  <c r="M1958" i="22"/>
  <c r="M1957" i="22"/>
  <c r="M1956" i="22"/>
  <c r="M1955" i="22"/>
  <c r="M1954" i="22"/>
  <c r="M1953" i="22"/>
  <c r="M1952" i="22"/>
  <c r="M1951" i="22"/>
  <c r="M1950" i="22"/>
  <c r="M1949" i="22"/>
  <c r="M1948" i="22"/>
  <c r="M1947" i="22"/>
  <c r="M1946" i="22"/>
  <c r="M1945" i="22"/>
  <c r="M1944" i="22"/>
  <c r="M1943" i="22"/>
  <c r="M1942" i="22"/>
  <c r="M1941" i="22"/>
  <c r="M1940" i="22"/>
  <c r="M1939" i="22"/>
  <c r="M1938" i="22"/>
  <c r="M1937" i="22"/>
  <c r="M1936" i="22"/>
  <c r="M1935" i="22"/>
  <c r="M1934" i="22"/>
  <c r="M1933" i="22"/>
  <c r="M1932" i="22"/>
  <c r="M1931" i="22"/>
  <c r="M1930" i="22"/>
  <c r="M1929" i="22"/>
  <c r="M1928" i="22"/>
  <c r="M1927" i="22"/>
  <c r="M1926" i="22"/>
  <c r="M1925" i="22"/>
  <c r="M1924" i="22"/>
  <c r="M1923" i="22"/>
  <c r="M1922" i="22"/>
  <c r="M1921" i="22"/>
  <c r="M1920" i="22"/>
  <c r="M1919" i="22"/>
  <c r="M1918" i="22"/>
  <c r="M1917" i="22"/>
  <c r="M1916" i="22"/>
  <c r="M1915" i="22"/>
  <c r="M1914" i="22"/>
  <c r="M1913" i="22"/>
  <c r="M1912" i="22"/>
  <c r="M1911" i="22"/>
  <c r="M1910" i="22"/>
  <c r="M1909" i="22"/>
  <c r="M1908" i="22"/>
  <c r="M1907" i="22"/>
  <c r="M1906" i="22"/>
  <c r="M1905" i="22"/>
  <c r="M1904" i="22"/>
  <c r="M1903" i="22"/>
  <c r="M1902" i="22"/>
  <c r="M1901" i="22"/>
  <c r="M1900" i="22"/>
  <c r="M1899" i="22"/>
  <c r="M1898" i="22"/>
  <c r="M1897" i="22"/>
  <c r="M1896" i="22"/>
  <c r="M1895" i="22"/>
  <c r="M1894" i="22"/>
  <c r="M1893" i="22"/>
  <c r="M1892" i="22"/>
  <c r="M1891" i="22"/>
  <c r="M1890" i="22"/>
  <c r="M1889" i="22"/>
  <c r="M1888" i="22"/>
  <c r="M1887" i="22"/>
  <c r="M1886" i="22"/>
  <c r="M1885" i="22"/>
  <c r="M1884" i="22"/>
  <c r="M1883" i="22"/>
  <c r="M1882" i="22"/>
  <c r="M1881" i="22"/>
  <c r="M1880" i="22"/>
  <c r="M1879" i="22"/>
  <c r="M1878" i="22"/>
  <c r="M1877" i="22"/>
  <c r="M1876" i="22"/>
  <c r="M1875" i="22"/>
  <c r="M1874" i="22"/>
  <c r="M1873" i="22"/>
  <c r="M1872" i="22"/>
  <c r="M1871" i="22"/>
  <c r="M1870" i="22"/>
  <c r="M1869" i="22"/>
  <c r="M1868" i="22"/>
  <c r="M1867" i="22"/>
  <c r="M1866" i="22"/>
  <c r="M1865" i="22"/>
  <c r="M1864" i="22"/>
  <c r="M1863" i="22"/>
  <c r="M1862" i="22"/>
  <c r="M1861" i="22"/>
  <c r="M1860" i="22"/>
  <c r="M1859" i="22"/>
  <c r="M1858" i="22"/>
  <c r="M1857" i="22"/>
  <c r="M1856" i="22"/>
  <c r="M1855" i="22"/>
  <c r="M1854" i="22"/>
  <c r="M1853" i="22"/>
  <c r="M1852" i="22"/>
  <c r="M1851" i="22"/>
  <c r="M1850" i="22"/>
  <c r="M1849" i="22"/>
  <c r="M1848" i="22"/>
  <c r="M1847" i="22"/>
  <c r="M1846" i="22"/>
  <c r="M1845" i="22"/>
  <c r="M1844" i="22"/>
  <c r="M1843" i="22"/>
  <c r="M1842" i="22"/>
  <c r="M1841" i="22"/>
  <c r="M1840" i="22"/>
  <c r="M1839" i="22"/>
  <c r="M1838" i="22"/>
  <c r="M1837" i="22"/>
  <c r="M1836" i="22"/>
  <c r="M1835" i="22"/>
  <c r="M1834" i="22"/>
  <c r="M1833" i="22"/>
  <c r="M1832" i="22"/>
  <c r="M1831" i="22"/>
  <c r="M1830" i="22"/>
  <c r="M1829" i="22"/>
  <c r="M1828" i="22"/>
  <c r="M1827" i="22"/>
  <c r="M1826" i="22"/>
  <c r="M1825" i="22"/>
  <c r="M1824" i="22"/>
  <c r="M1823" i="22"/>
  <c r="M1822" i="22"/>
  <c r="M1821" i="22"/>
  <c r="M1820" i="22"/>
  <c r="M1819" i="22"/>
  <c r="M1818" i="22"/>
  <c r="M1817" i="22"/>
  <c r="M1816" i="22"/>
  <c r="M1815" i="22"/>
  <c r="M1814" i="22"/>
  <c r="M1813" i="22"/>
  <c r="M1812" i="22"/>
  <c r="M1811" i="22"/>
  <c r="M1810" i="22"/>
  <c r="M1809" i="22"/>
  <c r="M1808" i="22"/>
  <c r="M1807" i="22"/>
  <c r="M1806" i="22"/>
  <c r="M1805" i="22"/>
  <c r="M1804" i="22"/>
  <c r="M1803" i="22"/>
  <c r="M1802" i="22"/>
  <c r="M1801" i="22"/>
  <c r="M1800" i="22"/>
  <c r="M1799" i="22"/>
  <c r="M1798" i="22"/>
  <c r="M1797" i="22"/>
  <c r="M1796" i="22"/>
  <c r="M1795" i="22"/>
  <c r="M1794" i="22"/>
  <c r="M1793" i="22"/>
  <c r="M1792" i="22"/>
  <c r="M1791" i="22"/>
  <c r="M1790" i="22"/>
  <c r="M1789" i="22"/>
  <c r="M1788" i="22"/>
  <c r="M1787" i="22"/>
  <c r="M1786" i="22"/>
  <c r="M1785" i="22"/>
  <c r="M1784" i="22"/>
  <c r="M1783" i="22"/>
  <c r="M1782" i="22"/>
  <c r="M1781" i="22"/>
  <c r="M1780" i="22"/>
  <c r="M1779" i="22"/>
  <c r="M1778" i="22"/>
  <c r="M1777" i="22"/>
  <c r="M1776" i="22"/>
  <c r="M1775" i="22"/>
  <c r="M1774" i="22"/>
  <c r="M1773" i="22"/>
  <c r="M1772" i="22"/>
  <c r="M1771" i="22"/>
  <c r="M1770" i="22"/>
  <c r="M1769" i="22"/>
  <c r="M1768" i="22"/>
  <c r="M1767" i="22"/>
  <c r="M1766" i="22"/>
  <c r="M1765" i="22"/>
  <c r="M1764" i="22"/>
  <c r="M1763" i="22"/>
  <c r="M1762" i="22"/>
  <c r="M1761" i="22"/>
  <c r="M1760" i="22"/>
  <c r="M1759" i="22"/>
  <c r="M1758" i="22"/>
  <c r="M1757" i="22"/>
  <c r="M1756" i="22"/>
  <c r="M1755" i="22"/>
  <c r="M1754" i="22"/>
  <c r="M1753" i="22"/>
  <c r="M1752" i="22"/>
  <c r="M1751" i="22"/>
  <c r="M1750" i="22"/>
  <c r="M1749" i="22"/>
  <c r="M1748" i="22"/>
  <c r="M1747" i="22"/>
  <c r="M1746" i="22"/>
  <c r="M1745" i="22"/>
  <c r="M1744" i="22"/>
  <c r="M1743" i="22"/>
  <c r="M1742" i="22"/>
  <c r="M1741" i="22"/>
  <c r="M1740" i="22"/>
  <c r="M1739" i="22"/>
  <c r="M1738" i="22"/>
  <c r="M1737" i="22"/>
  <c r="M1736" i="22"/>
  <c r="M1735" i="22"/>
  <c r="M1734" i="22"/>
  <c r="M1733" i="22"/>
  <c r="M1732" i="22"/>
  <c r="M1731" i="22"/>
  <c r="M1730" i="22"/>
  <c r="M1729" i="22"/>
  <c r="M1728" i="22"/>
  <c r="M1727" i="22"/>
  <c r="M1726" i="22"/>
  <c r="M1725" i="22"/>
  <c r="M1724" i="22"/>
  <c r="M1723" i="22"/>
  <c r="M1722" i="22"/>
  <c r="M1721" i="22"/>
  <c r="M1720" i="22"/>
  <c r="M1719" i="22"/>
  <c r="M1718" i="22"/>
  <c r="M1717" i="22"/>
  <c r="M1716" i="22"/>
  <c r="M1715" i="22"/>
  <c r="M1714" i="22"/>
  <c r="M1713" i="22"/>
  <c r="M1712" i="22"/>
  <c r="M1711" i="22"/>
  <c r="M1710" i="22"/>
  <c r="M1709" i="22"/>
  <c r="M1708" i="22"/>
  <c r="M1707" i="22"/>
  <c r="M1706" i="22"/>
  <c r="M1705" i="22"/>
  <c r="M1704" i="22"/>
  <c r="M1703" i="22"/>
  <c r="M1702" i="22"/>
  <c r="M1701" i="22"/>
  <c r="M1700" i="22"/>
  <c r="M1699" i="22"/>
  <c r="M1698" i="22"/>
  <c r="M1697" i="22"/>
  <c r="M1696" i="22"/>
  <c r="M1695" i="22"/>
  <c r="M1694" i="22"/>
  <c r="M1693" i="22"/>
  <c r="M1692" i="22"/>
  <c r="M1691" i="22"/>
  <c r="M1690" i="22"/>
  <c r="M1689" i="22"/>
  <c r="M1688" i="22"/>
  <c r="M1687" i="22"/>
  <c r="M1686" i="22"/>
  <c r="M1685" i="22"/>
  <c r="M1684" i="22"/>
  <c r="M1683" i="22"/>
  <c r="M1682" i="22"/>
  <c r="M1681" i="22"/>
  <c r="M1680" i="22"/>
  <c r="M1679" i="22"/>
  <c r="M1678" i="22"/>
  <c r="M1677" i="22"/>
  <c r="M1676" i="22"/>
  <c r="M1675" i="22"/>
  <c r="M1674" i="22"/>
  <c r="M1673" i="22"/>
  <c r="M1672" i="22"/>
  <c r="M1671" i="22"/>
  <c r="M1670" i="22"/>
  <c r="M1669" i="22"/>
  <c r="M1668" i="22"/>
  <c r="M1667" i="22"/>
  <c r="M1666" i="22"/>
  <c r="M1665" i="22"/>
  <c r="M1664" i="22"/>
  <c r="M1663" i="22"/>
  <c r="M1662" i="22"/>
  <c r="M1661" i="22"/>
  <c r="M1660" i="22"/>
  <c r="M1659" i="22"/>
  <c r="M1658" i="22"/>
  <c r="M1657" i="22"/>
  <c r="M1656" i="22"/>
  <c r="M1655" i="22"/>
  <c r="M1654" i="22"/>
  <c r="M1653" i="22"/>
  <c r="M1652" i="22"/>
  <c r="M1651" i="22"/>
  <c r="M1650" i="22"/>
  <c r="M1649" i="22"/>
  <c r="M1648" i="22"/>
  <c r="M1647" i="22"/>
  <c r="M1646" i="22"/>
  <c r="M1645" i="22"/>
  <c r="M1644" i="22"/>
  <c r="M1643" i="22"/>
  <c r="M1642" i="22"/>
  <c r="M1641" i="22"/>
  <c r="M1640" i="22"/>
  <c r="M1639" i="22"/>
  <c r="M1638" i="22"/>
  <c r="M1637" i="22"/>
  <c r="M1636" i="22"/>
  <c r="M1635" i="22"/>
  <c r="M1634" i="22"/>
  <c r="M1633" i="22"/>
  <c r="M1632" i="22"/>
  <c r="M1631" i="22"/>
  <c r="M1630" i="22"/>
  <c r="M1629" i="22"/>
  <c r="M1628" i="22"/>
  <c r="M1627" i="22"/>
  <c r="M1626" i="22"/>
  <c r="M1625" i="22"/>
  <c r="M1624" i="22"/>
  <c r="M1623" i="22"/>
  <c r="M1622" i="22"/>
  <c r="M1621" i="22"/>
  <c r="M1620" i="22"/>
  <c r="M1619" i="22"/>
  <c r="M1618" i="22"/>
  <c r="M1617" i="22"/>
  <c r="M1616" i="22"/>
  <c r="M1615" i="22"/>
  <c r="M1614" i="22"/>
  <c r="M1613" i="22"/>
  <c r="M1612" i="22"/>
  <c r="M1611" i="22"/>
  <c r="M1610" i="22"/>
  <c r="M1609" i="22"/>
  <c r="M1608" i="22"/>
  <c r="M1607" i="22"/>
  <c r="M1606" i="22"/>
  <c r="M1605" i="22"/>
  <c r="M1604" i="22"/>
  <c r="M1603" i="22"/>
  <c r="M1602" i="22"/>
  <c r="M1601" i="22"/>
  <c r="M1600" i="22"/>
  <c r="M1599" i="22"/>
  <c r="M1598" i="22"/>
  <c r="M1597" i="22"/>
  <c r="M1596" i="22"/>
  <c r="M1595" i="22"/>
  <c r="M1594" i="22"/>
  <c r="M1593" i="22"/>
  <c r="M1592" i="22"/>
  <c r="M1591" i="22"/>
  <c r="M1590" i="22"/>
  <c r="M1589" i="22"/>
  <c r="M1588" i="22"/>
  <c r="M1587" i="22"/>
  <c r="M1586" i="22"/>
  <c r="M1585" i="22"/>
  <c r="M1584" i="22"/>
  <c r="M1583" i="22"/>
  <c r="M1582" i="22"/>
  <c r="M1581" i="22"/>
  <c r="M1580" i="22"/>
  <c r="M1579" i="22"/>
  <c r="M1578" i="22"/>
  <c r="M1577" i="22"/>
  <c r="M1576" i="22"/>
  <c r="M1575" i="22"/>
  <c r="M1574" i="22"/>
  <c r="M1573" i="22"/>
  <c r="M1572" i="22"/>
  <c r="M1571" i="22"/>
  <c r="M1570" i="22"/>
  <c r="M1569" i="22"/>
  <c r="M1568" i="22"/>
  <c r="M1567" i="22"/>
  <c r="M1566" i="22"/>
  <c r="M1565" i="22"/>
  <c r="M1564" i="22"/>
  <c r="M1563" i="22"/>
  <c r="M1562" i="22"/>
  <c r="M1561" i="22"/>
  <c r="M1560" i="22"/>
  <c r="M1559" i="22"/>
  <c r="M1558" i="22"/>
  <c r="M1557" i="22"/>
  <c r="M1556" i="22"/>
  <c r="M1555" i="22"/>
  <c r="M1554" i="22"/>
  <c r="M1553" i="22"/>
  <c r="M1552" i="22"/>
  <c r="M1551" i="22"/>
  <c r="M1550" i="22"/>
  <c r="M1549" i="22"/>
  <c r="M1548" i="22"/>
  <c r="M1547" i="22"/>
  <c r="M1546" i="22"/>
  <c r="M1545" i="22"/>
  <c r="M1544" i="22"/>
  <c r="M1543" i="22"/>
  <c r="M1542" i="22"/>
  <c r="M1541" i="22"/>
  <c r="M1540" i="22"/>
  <c r="M1539" i="22"/>
  <c r="M1538" i="22"/>
  <c r="M1537" i="22"/>
  <c r="M1536" i="22"/>
  <c r="M1535" i="22"/>
  <c r="M1534" i="22"/>
  <c r="M1533" i="22"/>
  <c r="M1532" i="22"/>
  <c r="M1531" i="22"/>
  <c r="M1530" i="22"/>
  <c r="M1529" i="22"/>
  <c r="M1528" i="22"/>
  <c r="M1527" i="22"/>
  <c r="M1526" i="22"/>
  <c r="M1525" i="22"/>
  <c r="M1524" i="22"/>
  <c r="M1523" i="22"/>
  <c r="M1522" i="22"/>
  <c r="M1521" i="22"/>
  <c r="M1520" i="22"/>
  <c r="M1519" i="22"/>
  <c r="M1518" i="22"/>
  <c r="M1517" i="22"/>
  <c r="M1516" i="22"/>
  <c r="M1515" i="22"/>
  <c r="M1514" i="22"/>
  <c r="M1513" i="22"/>
  <c r="M1512" i="22"/>
  <c r="M1511" i="22"/>
  <c r="M1510" i="22"/>
  <c r="M1509" i="22"/>
  <c r="M1508" i="22"/>
  <c r="M1507" i="22"/>
  <c r="M1506" i="22"/>
  <c r="M1505" i="22"/>
  <c r="M1504" i="22"/>
  <c r="M1503" i="22"/>
  <c r="M1502" i="22"/>
  <c r="M1501" i="22"/>
  <c r="M1500" i="22"/>
  <c r="M1499" i="22"/>
  <c r="M1498" i="22"/>
  <c r="M1497" i="22"/>
  <c r="M1496" i="22"/>
  <c r="M1495" i="22"/>
  <c r="M1494" i="22"/>
  <c r="M1493" i="22"/>
  <c r="M1492" i="22"/>
  <c r="M1491" i="22"/>
  <c r="M1490" i="22"/>
  <c r="M1489" i="22"/>
  <c r="M1488" i="22"/>
  <c r="M1487" i="22"/>
  <c r="M1486" i="22"/>
  <c r="M1485" i="22"/>
  <c r="M1484" i="22"/>
  <c r="M1483" i="22"/>
  <c r="M1482" i="22"/>
  <c r="M1481" i="22"/>
  <c r="M1480" i="22"/>
  <c r="M1479" i="22"/>
  <c r="M1478" i="22"/>
  <c r="M1477" i="22"/>
  <c r="M1476" i="22"/>
  <c r="M1475" i="22"/>
  <c r="M1474" i="22"/>
  <c r="M1473" i="22"/>
  <c r="M1472" i="22"/>
  <c r="M1471" i="22"/>
  <c r="M1470" i="22"/>
  <c r="M1469" i="22"/>
  <c r="M1468" i="22"/>
  <c r="M1467" i="22"/>
  <c r="M1466" i="22"/>
  <c r="M1465" i="22"/>
  <c r="M1464" i="22"/>
  <c r="M1463" i="22"/>
  <c r="M1462" i="22"/>
  <c r="M1461" i="22"/>
  <c r="M1460" i="22"/>
  <c r="M1459" i="22"/>
  <c r="M1458" i="22"/>
  <c r="M1457" i="22"/>
  <c r="M1456" i="22"/>
  <c r="M1455" i="22"/>
  <c r="M1454" i="22"/>
  <c r="M1453" i="22"/>
  <c r="M1452" i="22"/>
  <c r="M1451" i="22"/>
  <c r="M1450" i="22"/>
  <c r="M1449" i="22"/>
  <c r="M1448" i="22"/>
  <c r="M1447" i="22"/>
  <c r="M1446" i="22"/>
  <c r="M1445" i="22"/>
  <c r="M1444" i="22"/>
  <c r="M1443" i="22"/>
  <c r="M1442" i="22"/>
  <c r="M1441" i="22"/>
  <c r="M1440" i="22"/>
  <c r="M1439" i="22"/>
  <c r="M1438" i="22"/>
  <c r="M1437" i="22"/>
  <c r="M1436" i="22"/>
  <c r="M1435" i="22"/>
  <c r="M1434" i="22"/>
  <c r="M1433" i="22"/>
  <c r="M1432" i="22"/>
  <c r="M1431" i="22"/>
  <c r="M1430" i="22"/>
  <c r="M1429" i="22"/>
  <c r="M1428" i="22"/>
  <c r="M1427" i="22"/>
  <c r="M1426" i="22"/>
  <c r="M1425" i="22"/>
  <c r="M1424" i="22"/>
  <c r="M1423" i="22"/>
  <c r="M1422" i="22"/>
  <c r="M1421" i="22"/>
  <c r="M1420" i="22"/>
  <c r="M1419" i="22"/>
  <c r="M1418" i="22"/>
  <c r="M1417" i="22"/>
  <c r="M1416" i="22"/>
  <c r="M1415" i="22"/>
  <c r="M1414" i="22"/>
  <c r="M1413" i="22"/>
  <c r="M1412" i="22"/>
  <c r="M1411" i="22"/>
  <c r="M1410" i="22"/>
  <c r="M1409" i="22"/>
  <c r="M1408" i="22"/>
  <c r="M1407" i="22"/>
  <c r="M1406" i="22"/>
  <c r="M1405" i="22"/>
  <c r="M1404" i="22"/>
  <c r="M1403" i="22"/>
  <c r="M1402" i="22"/>
  <c r="M1401" i="22"/>
  <c r="M1400" i="22"/>
  <c r="M1399" i="22"/>
  <c r="M1398" i="22"/>
  <c r="M1397" i="22"/>
  <c r="M1396" i="22"/>
  <c r="M1395" i="22"/>
  <c r="M1394" i="22"/>
  <c r="M1393" i="22"/>
  <c r="M1392" i="22"/>
  <c r="M1391" i="22"/>
  <c r="M1390" i="22"/>
  <c r="M1389" i="22"/>
  <c r="M1388" i="22"/>
  <c r="M1387" i="22"/>
  <c r="M1386" i="22"/>
  <c r="M1385" i="22"/>
  <c r="M1384" i="22"/>
  <c r="M1383" i="22"/>
  <c r="M1382" i="22"/>
  <c r="M1381" i="22"/>
  <c r="M1380" i="22"/>
  <c r="M1379" i="22"/>
  <c r="M1378" i="22"/>
  <c r="M1377" i="22"/>
  <c r="M1376" i="22"/>
  <c r="M1375" i="22"/>
  <c r="M1374" i="22"/>
  <c r="M1373" i="22"/>
  <c r="M1372" i="22"/>
  <c r="M1371" i="22"/>
  <c r="M1370" i="22"/>
  <c r="M1369" i="22"/>
  <c r="M1368" i="22"/>
  <c r="M1367" i="22"/>
  <c r="M1366" i="22"/>
  <c r="M1365" i="22"/>
  <c r="M1364" i="22"/>
  <c r="M1363" i="22"/>
  <c r="M1362" i="22"/>
  <c r="M1361" i="22"/>
  <c r="M1360" i="22"/>
  <c r="M1359" i="22"/>
  <c r="M1358" i="22"/>
  <c r="M1357" i="22"/>
  <c r="M1356" i="22"/>
  <c r="M1355" i="22"/>
  <c r="M1354" i="22"/>
  <c r="M1353" i="22"/>
  <c r="M1352" i="22"/>
  <c r="M1351" i="22"/>
  <c r="M1350" i="22"/>
  <c r="M1349" i="22"/>
  <c r="M1348" i="22"/>
  <c r="M1347" i="22"/>
  <c r="M1346" i="22"/>
  <c r="M1345" i="22"/>
  <c r="M1344" i="22"/>
  <c r="M1343" i="22"/>
  <c r="M1342" i="22"/>
  <c r="M1341" i="22"/>
  <c r="M1340" i="22"/>
  <c r="M1339" i="22"/>
  <c r="M1338" i="22"/>
  <c r="M1337" i="22"/>
  <c r="M1336" i="22"/>
  <c r="M1335" i="22"/>
  <c r="M1334" i="22"/>
  <c r="M1333" i="22"/>
  <c r="M1332" i="22"/>
  <c r="M1331" i="22"/>
  <c r="M1330" i="22"/>
  <c r="M1329" i="22"/>
  <c r="M1328" i="22"/>
  <c r="M1327" i="22"/>
  <c r="M1326" i="22"/>
  <c r="M1325" i="22"/>
  <c r="M1324" i="22"/>
  <c r="M1323" i="22"/>
  <c r="M1322" i="22"/>
  <c r="M1321" i="22"/>
  <c r="M1320" i="22"/>
  <c r="M1319" i="22"/>
  <c r="M1318" i="22"/>
  <c r="M1317" i="22"/>
  <c r="M1316" i="22"/>
  <c r="M1315" i="22"/>
  <c r="M1314" i="22"/>
  <c r="M1313" i="22"/>
  <c r="M1312" i="22"/>
  <c r="M1311" i="22"/>
  <c r="M1310" i="22"/>
  <c r="M1309" i="22"/>
  <c r="M1308" i="22"/>
  <c r="M1307" i="22"/>
  <c r="M1306" i="22"/>
  <c r="M1305" i="22"/>
  <c r="M1304" i="22"/>
  <c r="M1303" i="22"/>
  <c r="M1302" i="22"/>
  <c r="M1301" i="22"/>
  <c r="M1300" i="22"/>
  <c r="M1299" i="22"/>
  <c r="M1298" i="22"/>
  <c r="M1297" i="22"/>
  <c r="M1296" i="22"/>
  <c r="M1295" i="22"/>
  <c r="M1294" i="22"/>
  <c r="M1293" i="22"/>
  <c r="M1292" i="22"/>
  <c r="M1291" i="22"/>
  <c r="M1290" i="22"/>
  <c r="M1289" i="22"/>
  <c r="M1288" i="22"/>
  <c r="M1287" i="22"/>
  <c r="M1286" i="22"/>
  <c r="M1285" i="22"/>
  <c r="M1284" i="22"/>
  <c r="M1283" i="22"/>
  <c r="M1282" i="22"/>
  <c r="M1281" i="22"/>
  <c r="M1280" i="22"/>
  <c r="M1279" i="22"/>
  <c r="M1278" i="22"/>
  <c r="M1277" i="22"/>
  <c r="M1276" i="22"/>
  <c r="M1275" i="22"/>
  <c r="M1274" i="22"/>
  <c r="M1273" i="22"/>
  <c r="M1272" i="22"/>
  <c r="M1271" i="22"/>
  <c r="M1270" i="22"/>
  <c r="M1269" i="22"/>
  <c r="M1268" i="22"/>
  <c r="M1267" i="22"/>
  <c r="M1266" i="22"/>
  <c r="M1265" i="22"/>
  <c r="M1264" i="22"/>
  <c r="M1263" i="22"/>
  <c r="M1262" i="22"/>
  <c r="M1261" i="22"/>
  <c r="M1260" i="22"/>
  <c r="M1259" i="22"/>
  <c r="M1258" i="22"/>
  <c r="M1257" i="22"/>
  <c r="M1256" i="22"/>
  <c r="M1255" i="22"/>
  <c r="M1254" i="22"/>
  <c r="M1253" i="22"/>
  <c r="M1252" i="22"/>
  <c r="M1251" i="22"/>
  <c r="M1250" i="22"/>
  <c r="M1249" i="22"/>
  <c r="M1248" i="22"/>
  <c r="M1247" i="22"/>
  <c r="M1246" i="22"/>
  <c r="M1245" i="22"/>
  <c r="M1244" i="22"/>
  <c r="M1243" i="22"/>
  <c r="M1242" i="22"/>
  <c r="M1241" i="22"/>
  <c r="M1240" i="22"/>
  <c r="M1239" i="22"/>
  <c r="M1238" i="22"/>
  <c r="M1237" i="22"/>
  <c r="M1236" i="22"/>
  <c r="M1235" i="22"/>
  <c r="M1234" i="22"/>
  <c r="M1233" i="22"/>
  <c r="M1232" i="22"/>
  <c r="M1231" i="22"/>
  <c r="M1230" i="22"/>
  <c r="M1229" i="22"/>
  <c r="M1228" i="22"/>
  <c r="M1227" i="22"/>
  <c r="M1226" i="22"/>
  <c r="M1225" i="22"/>
  <c r="M1224" i="22"/>
  <c r="M1223" i="22"/>
  <c r="M1222" i="22"/>
  <c r="M1221" i="22"/>
  <c r="M1220" i="22"/>
  <c r="M1219" i="22"/>
  <c r="M1218" i="22"/>
  <c r="M1217" i="22"/>
  <c r="M1216" i="22"/>
  <c r="M1215" i="22"/>
  <c r="M1214" i="22"/>
  <c r="M1213" i="22"/>
  <c r="M1212" i="22"/>
  <c r="M1211" i="22"/>
  <c r="M1210" i="22"/>
  <c r="M1209" i="22"/>
  <c r="M1208" i="22"/>
  <c r="M1207" i="22"/>
  <c r="M1206" i="22"/>
  <c r="M1205" i="22"/>
  <c r="M1204" i="22"/>
  <c r="M1203" i="22"/>
  <c r="M1202" i="22"/>
  <c r="M1201" i="22"/>
  <c r="M1200" i="22"/>
  <c r="M1199" i="22"/>
  <c r="M1198" i="22"/>
  <c r="M1197" i="22"/>
  <c r="M1196" i="22"/>
  <c r="M1195" i="22"/>
  <c r="M1194" i="22"/>
  <c r="M1193" i="22"/>
  <c r="M1192" i="22"/>
  <c r="M1191" i="22"/>
  <c r="M1190" i="22"/>
  <c r="M1189" i="22"/>
  <c r="M1188" i="22"/>
  <c r="M1187" i="22"/>
  <c r="M1186" i="22"/>
  <c r="M1185" i="22"/>
  <c r="M1184" i="22"/>
  <c r="M1183" i="22"/>
  <c r="M1182" i="22"/>
  <c r="M1181" i="22"/>
  <c r="M1180" i="22"/>
  <c r="M1179" i="22"/>
  <c r="M1178" i="22"/>
  <c r="M1177" i="22"/>
  <c r="M1176" i="22"/>
  <c r="M1175" i="22"/>
  <c r="M1174" i="22"/>
  <c r="M1173" i="22"/>
  <c r="M1172" i="22"/>
  <c r="M1171" i="22"/>
  <c r="M1170" i="22"/>
  <c r="M1169" i="22"/>
  <c r="M1168" i="22"/>
  <c r="M1167" i="22"/>
  <c r="M1166" i="22"/>
  <c r="M1165" i="22"/>
  <c r="M1164" i="22"/>
  <c r="M1163" i="22"/>
  <c r="M1162" i="22"/>
  <c r="M1161" i="22"/>
  <c r="M1160" i="22"/>
  <c r="M1159" i="22"/>
  <c r="M1158" i="22"/>
  <c r="M1157" i="22"/>
  <c r="M1156" i="22"/>
  <c r="M1155" i="22"/>
  <c r="M1154" i="22"/>
  <c r="M1153" i="22"/>
  <c r="M1152" i="22"/>
  <c r="M1151" i="22"/>
  <c r="M1150" i="22"/>
  <c r="M1149" i="22"/>
  <c r="M1148" i="22"/>
  <c r="M1147" i="22"/>
  <c r="M1146" i="22"/>
  <c r="M1145" i="22"/>
  <c r="M1144" i="22"/>
  <c r="M1143" i="22"/>
  <c r="M1142" i="22"/>
  <c r="M1141" i="22"/>
  <c r="M1140" i="22"/>
  <c r="M1139" i="22"/>
  <c r="M1138" i="22"/>
  <c r="M1137" i="22"/>
  <c r="M1136" i="22"/>
  <c r="M1135" i="22"/>
  <c r="M1134" i="22"/>
  <c r="M1133" i="22"/>
  <c r="M1132" i="22"/>
  <c r="M1131" i="22"/>
  <c r="M1130" i="22"/>
  <c r="M1129" i="22"/>
  <c r="M1128" i="22"/>
  <c r="M1127" i="22"/>
  <c r="M1126" i="22"/>
  <c r="M1125" i="22"/>
  <c r="M1124" i="22"/>
  <c r="M1123" i="22"/>
  <c r="M1122" i="22"/>
  <c r="M1121" i="22"/>
  <c r="M1120" i="22"/>
  <c r="M1119" i="22"/>
  <c r="M1118" i="22"/>
  <c r="M1117" i="22"/>
  <c r="M1116" i="22"/>
  <c r="M1115" i="22"/>
  <c r="M1114" i="22"/>
  <c r="M1113" i="22"/>
  <c r="M1112" i="22"/>
  <c r="M1111" i="22"/>
  <c r="M1110" i="22"/>
  <c r="M1109" i="22"/>
  <c r="M1108" i="22"/>
  <c r="M1107" i="22"/>
  <c r="M1106" i="22"/>
  <c r="M1105" i="22"/>
  <c r="M1104" i="22"/>
  <c r="M1103" i="22"/>
  <c r="M1102" i="22"/>
  <c r="M1101" i="22"/>
  <c r="M1100" i="22"/>
  <c r="M1099" i="22"/>
  <c r="M1098" i="22"/>
  <c r="M1097" i="22"/>
  <c r="M1096" i="22"/>
  <c r="M1095" i="22"/>
  <c r="M1094" i="22"/>
  <c r="M1093" i="22"/>
  <c r="M1092" i="22"/>
  <c r="M1091" i="22"/>
  <c r="M1090" i="22"/>
  <c r="M1089" i="22"/>
  <c r="M1088" i="22"/>
  <c r="M1087" i="22"/>
  <c r="M1086" i="22"/>
  <c r="M1085" i="22"/>
  <c r="M1084" i="22"/>
  <c r="M1083" i="22"/>
  <c r="M1082" i="22"/>
  <c r="M1081" i="22"/>
  <c r="M1080" i="22"/>
  <c r="M1079" i="22"/>
  <c r="M1078" i="22"/>
  <c r="M1077" i="22"/>
  <c r="M1076" i="22"/>
  <c r="M1075" i="22"/>
  <c r="M1074" i="22"/>
  <c r="M1073" i="22"/>
  <c r="M1072" i="22"/>
  <c r="M1071" i="22"/>
  <c r="M1070" i="22"/>
  <c r="M1069" i="22"/>
  <c r="M1068" i="22"/>
  <c r="M1067" i="22"/>
  <c r="M1066" i="22"/>
  <c r="M1065" i="22"/>
  <c r="M1064" i="22"/>
  <c r="M1063" i="22"/>
  <c r="M1062" i="22"/>
  <c r="M1061" i="22"/>
  <c r="M1060" i="22"/>
  <c r="M1059" i="22"/>
  <c r="M1058" i="22"/>
  <c r="M1057" i="22"/>
  <c r="M1056" i="22"/>
  <c r="M1055" i="22"/>
  <c r="M1054" i="22"/>
  <c r="M1053" i="22"/>
  <c r="M1052" i="22"/>
  <c r="M1051" i="22"/>
  <c r="M1050" i="22"/>
  <c r="M1049" i="22"/>
  <c r="M1048" i="22"/>
  <c r="M1047" i="22"/>
  <c r="M1046" i="22"/>
  <c r="M1045" i="22"/>
  <c r="M1044" i="22"/>
  <c r="M1043" i="22"/>
  <c r="M1042" i="22"/>
  <c r="M1041" i="22"/>
  <c r="M1040" i="22"/>
  <c r="M1039" i="22"/>
  <c r="M1038" i="22"/>
  <c r="M1037" i="22"/>
  <c r="M1036" i="22"/>
  <c r="M1035" i="22"/>
  <c r="M1034" i="22"/>
  <c r="M1033" i="22"/>
  <c r="M1032" i="22"/>
  <c r="M1031" i="22"/>
  <c r="M1030" i="22"/>
  <c r="M1029" i="22"/>
  <c r="M1028" i="22"/>
  <c r="M1027" i="22"/>
  <c r="M1026" i="22"/>
  <c r="M1025" i="22"/>
  <c r="M1024" i="22"/>
  <c r="M1023" i="22"/>
  <c r="M1022" i="22"/>
  <c r="M1021" i="22"/>
  <c r="M1020" i="22"/>
  <c r="M1019" i="22"/>
  <c r="M1018" i="22"/>
  <c r="M1017" i="22"/>
  <c r="M1016" i="22"/>
  <c r="M1015" i="22"/>
  <c r="M1014" i="22"/>
  <c r="M1013" i="22"/>
  <c r="M1012" i="22"/>
  <c r="M1011" i="22"/>
  <c r="M1010" i="22"/>
  <c r="M1009" i="22"/>
  <c r="M1008" i="22"/>
  <c r="M1007" i="22"/>
  <c r="M1006" i="22"/>
  <c r="M1005" i="22"/>
  <c r="M1004" i="22"/>
  <c r="M1003" i="22"/>
  <c r="M1002" i="22"/>
  <c r="M1001" i="22"/>
  <c r="M1000" i="22"/>
  <c r="M999" i="22"/>
  <c r="M998" i="22"/>
  <c r="M997" i="22"/>
  <c r="M996" i="22"/>
  <c r="M995" i="22"/>
  <c r="M994" i="22"/>
  <c r="M993" i="22"/>
  <c r="M992" i="22"/>
  <c r="M991" i="22"/>
  <c r="M990" i="22"/>
  <c r="M989" i="22"/>
  <c r="M988" i="22"/>
  <c r="M987" i="22"/>
  <c r="M986" i="22"/>
  <c r="M985" i="22"/>
  <c r="M984" i="22"/>
  <c r="M983" i="22"/>
  <c r="M982" i="22"/>
  <c r="M981" i="22"/>
  <c r="M980" i="22"/>
  <c r="M979" i="22"/>
  <c r="M978" i="22"/>
  <c r="M977" i="22"/>
  <c r="M976" i="22"/>
  <c r="M975" i="22"/>
  <c r="M974" i="22"/>
  <c r="M973" i="22"/>
  <c r="M972" i="22"/>
  <c r="M971" i="22"/>
  <c r="M970" i="22"/>
  <c r="M969" i="22"/>
  <c r="M968" i="22"/>
  <c r="M967" i="22"/>
  <c r="M966" i="22"/>
  <c r="M965" i="22"/>
  <c r="M964" i="22"/>
  <c r="M963" i="22"/>
  <c r="M962" i="22"/>
  <c r="M961" i="22"/>
  <c r="M960" i="22"/>
  <c r="M959" i="22"/>
  <c r="M958" i="22"/>
  <c r="M957" i="22"/>
  <c r="M956" i="22"/>
  <c r="M955" i="22"/>
  <c r="M954" i="22"/>
  <c r="M953" i="22"/>
  <c r="M952" i="22"/>
  <c r="M951" i="22"/>
  <c r="M950" i="22"/>
  <c r="M949" i="22"/>
  <c r="M948" i="22"/>
  <c r="M947" i="22"/>
  <c r="M946" i="22"/>
  <c r="M945" i="22"/>
  <c r="M944" i="22"/>
  <c r="M943" i="22"/>
  <c r="M942" i="22"/>
  <c r="M941" i="22"/>
  <c r="M940" i="22"/>
  <c r="M939" i="22"/>
  <c r="M938" i="22"/>
  <c r="M937" i="22"/>
  <c r="M936" i="22"/>
  <c r="M935" i="22"/>
  <c r="M934" i="22"/>
  <c r="M933" i="22"/>
  <c r="M932" i="22"/>
  <c r="M931" i="22"/>
  <c r="M930" i="22"/>
  <c r="M929" i="22"/>
  <c r="M928" i="22"/>
  <c r="M927" i="22"/>
  <c r="M926" i="22"/>
  <c r="M925" i="22"/>
  <c r="M924" i="22"/>
  <c r="M923" i="22"/>
  <c r="M922" i="22"/>
  <c r="M921" i="22"/>
  <c r="M920" i="22"/>
  <c r="M919" i="22"/>
  <c r="M918" i="22"/>
  <c r="M917" i="22"/>
  <c r="M916" i="22"/>
  <c r="M915" i="22"/>
  <c r="M914" i="22"/>
  <c r="M913" i="22"/>
  <c r="M912" i="22"/>
  <c r="M911" i="22"/>
  <c r="M910" i="22"/>
  <c r="M909" i="22"/>
  <c r="M908" i="22"/>
  <c r="M907" i="22"/>
  <c r="M906" i="22"/>
  <c r="M905" i="22"/>
  <c r="M904" i="22"/>
  <c r="M903" i="22"/>
  <c r="M902" i="22"/>
  <c r="M901" i="22"/>
  <c r="M900" i="22"/>
  <c r="M899" i="22"/>
  <c r="M898" i="22"/>
  <c r="M897" i="22"/>
  <c r="M896" i="22"/>
  <c r="M895" i="22"/>
  <c r="M894" i="22"/>
  <c r="M893" i="22"/>
  <c r="M892" i="22"/>
  <c r="M891" i="22"/>
  <c r="M890" i="22"/>
  <c r="M889" i="22"/>
  <c r="M888" i="22"/>
  <c r="M887" i="22"/>
  <c r="M886" i="22"/>
  <c r="M885" i="22"/>
  <c r="M884" i="22"/>
  <c r="M883" i="22"/>
  <c r="M882" i="22"/>
  <c r="M881" i="22"/>
  <c r="M880" i="22"/>
  <c r="M879" i="22"/>
  <c r="M878" i="22"/>
  <c r="M877" i="22"/>
  <c r="M876" i="22"/>
  <c r="M875" i="22"/>
  <c r="M874" i="22"/>
  <c r="M873" i="22"/>
  <c r="M872" i="22"/>
  <c r="M871" i="22"/>
  <c r="M870" i="22"/>
  <c r="M869" i="22"/>
  <c r="M868" i="22"/>
  <c r="M867" i="22"/>
  <c r="M866" i="22"/>
  <c r="M865" i="22"/>
  <c r="M864" i="22"/>
  <c r="M863" i="22"/>
  <c r="M862" i="22"/>
  <c r="M861" i="22"/>
  <c r="M860" i="22"/>
  <c r="M859" i="22"/>
  <c r="M858" i="22"/>
  <c r="M857" i="22"/>
  <c r="M856" i="22"/>
  <c r="M855" i="22"/>
  <c r="M854" i="22"/>
  <c r="M853" i="22"/>
  <c r="M852" i="22"/>
  <c r="M851" i="22"/>
  <c r="M850" i="22"/>
  <c r="M849" i="22"/>
  <c r="M848" i="22"/>
  <c r="M847" i="22"/>
  <c r="M846" i="22"/>
  <c r="M845" i="22"/>
  <c r="M844" i="22"/>
  <c r="M843" i="22"/>
  <c r="M842" i="22"/>
  <c r="M841" i="22"/>
  <c r="M840" i="22"/>
  <c r="M839" i="22"/>
  <c r="M838" i="22"/>
  <c r="M837" i="22"/>
  <c r="M836" i="22"/>
  <c r="M835" i="22"/>
  <c r="M834" i="22"/>
  <c r="M833" i="22"/>
  <c r="M832" i="22"/>
  <c r="M831" i="22"/>
  <c r="M830" i="22"/>
  <c r="M829" i="22"/>
  <c r="M828" i="22"/>
  <c r="M827" i="22"/>
  <c r="M826" i="22"/>
  <c r="M825" i="22"/>
  <c r="M824" i="22"/>
  <c r="M823" i="22"/>
  <c r="M822" i="22"/>
  <c r="M821" i="22"/>
  <c r="M820" i="22"/>
  <c r="M819" i="22"/>
  <c r="M818" i="22"/>
  <c r="M817" i="22"/>
  <c r="M816" i="22"/>
  <c r="M815" i="22"/>
  <c r="M814" i="22"/>
  <c r="M813" i="22"/>
  <c r="M812" i="22"/>
  <c r="M811" i="22"/>
  <c r="M810" i="22"/>
  <c r="M809" i="22"/>
  <c r="M808" i="22"/>
  <c r="M807" i="22"/>
  <c r="M806" i="22"/>
  <c r="M805" i="22"/>
  <c r="M804" i="22"/>
  <c r="M803" i="22"/>
  <c r="M802" i="22"/>
  <c r="M801" i="22"/>
  <c r="M800" i="22"/>
  <c r="M799" i="22"/>
  <c r="M798" i="22"/>
  <c r="M797" i="22"/>
  <c r="M796" i="22"/>
  <c r="M795" i="22"/>
  <c r="M794" i="22"/>
  <c r="M793" i="22"/>
  <c r="M792" i="22"/>
  <c r="M791" i="22"/>
  <c r="M790" i="22"/>
  <c r="M789" i="22"/>
  <c r="M788" i="22"/>
  <c r="M787" i="22"/>
  <c r="M786" i="22"/>
  <c r="M785" i="22"/>
  <c r="M784" i="22"/>
  <c r="M783" i="22"/>
  <c r="M782" i="22"/>
  <c r="M781" i="22"/>
  <c r="M780" i="22"/>
  <c r="M779" i="22"/>
  <c r="M778" i="22"/>
  <c r="M777" i="22"/>
  <c r="M776" i="22"/>
  <c r="M775" i="22"/>
  <c r="M774" i="22"/>
  <c r="M773" i="22"/>
  <c r="M772" i="22"/>
  <c r="M771" i="22"/>
  <c r="M770" i="22"/>
  <c r="M769" i="22"/>
  <c r="M768" i="22"/>
  <c r="M767" i="22"/>
  <c r="M766" i="22"/>
  <c r="M765" i="22"/>
  <c r="M764" i="22"/>
  <c r="M763" i="22"/>
  <c r="M762" i="22"/>
  <c r="M761" i="22"/>
  <c r="M760" i="22"/>
  <c r="M759" i="22"/>
  <c r="M758" i="22"/>
  <c r="M757" i="22"/>
  <c r="M756" i="22"/>
  <c r="M755" i="22"/>
  <c r="M754" i="22"/>
  <c r="M753" i="22"/>
  <c r="M752" i="22"/>
  <c r="M751" i="22"/>
  <c r="M750" i="22"/>
  <c r="M749" i="22"/>
  <c r="M748" i="22"/>
  <c r="M747" i="22"/>
  <c r="M746" i="22"/>
  <c r="M745" i="22"/>
  <c r="M744" i="22"/>
  <c r="M743" i="22"/>
  <c r="M742" i="22"/>
  <c r="M741" i="22"/>
  <c r="M740" i="22"/>
  <c r="M739" i="22"/>
  <c r="M738" i="22"/>
  <c r="M737" i="22"/>
  <c r="M736" i="22"/>
  <c r="M735" i="22"/>
  <c r="M734" i="22"/>
  <c r="M733" i="22"/>
  <c r="M732" i="22"/>
  <c r="M731" i="22"/>
  <c r="M730" i="22"/>
  <c r="M729" i="22"/>
  <c r="M728" i="22"/>
  <c r="M727" i="22"/>
  <c r="M726" i="22"/>
  <c r="M725" i="22"/>
  <c r="M724" i="22"/>
  <c r="M723" i="22"/>
  <c r="M722" i="22"/>
  <c r="M721" i="22"/>
  <c r="M720" i="22"/>
  <c r="M719" i="22"/>
  <c r="M718" i="22"/>
  <c r="M717" i="22"/>
  <c r="M716" i="22"/>
  <c r="M715" i="22"/>
  <c r="M714" i="22"/>
  <c r="M713" i="22"/>
  <c r="M712" i="22"/>
  <c r="M711" i="22"/>
  <c r="M710" i="22"/>
  <c r="M709" i="22"/>
  <c r="M708" i="22"/>
  <c r="M707" i="22"/>
  <c r="M706" i="22"/>
  <c r="M705" i="22"/>
  <c r="M704" i="22"/>
  <c r="M703" i="22"/>
  <c r="M702" i="22"/>
  <c r="M701" i="22"/>
  <c r="M700" i="22"/>
  <c r="M699" i="22"/>
  <c r="M698" i="22"/>
  <c r="M697" i="22"/>
  <c r="M696" i="22"/>
  <c r="M695" i="22"/>
  <c r="M694" i="22"/>
  <c r="M693" i="22"/>
  <c r="M692" i="22"/>
  <c r="M691" i="22"/>
  <c r="M690" i="22"/>
  <c r="M689" i="22"/>
  <c r="M688" i="22"/>
  <c r="M687" i="22"/>
  <c r="M686" i="22"/>
  <c r="M685" i="22"/>
  <c r="M684" i="22"/>
  <c r="M683" i="22"/>
  <c r="M682" i="22"/>
  <c r="M681" i="22"/>
  <c r="M680" i="22"/>
  <c r="M679" i="22"/>
  <c r="M678" i="22"/>
  <c r="M677" i="22"/>
  <c r="M676" i="22"/>
  <c r="M675" i="22"/>
  <c r="M674" i="22"/>
  <c r="M673" i="22"/>
  <c r="M672" i="22"/>
  <c r="M671" i="22"/>
  <c r="M670" i="22"/>
  <c r="M669" i="22"/>
  <c r="M668" i="22"/>
  <c r="M667" i="22"/>
  <c r="M666" i="22"/>
  <c r="M665" i="22"/>
  <c r="M664" i="22"/>
  <c r="M663" i="22"/>
  <c r="M662" i="22"/>
  <c r="M661" i="22"/>
  <c r="M660" i="22"/>
  <c r="M659" i="22"/>
  <c r="M658" i="22"/>
  <c r="M657" i="22"/>
  <c r="M656" i="22"/>
  <c r="M655" i="22"/>
  <c r="M654" i="22"/>
  <c r="M653" i="22"/>
  <c r="M652" i="22"/>
  <c r="M651" i="22"/>
  <c r="M650" i="22"/>
  <c r="M649" i="22"/>
  <c r="M648" i="22"/>
  <c r="M647" i="22"/>
  <c r="M646" i="22"/>
  <c r="M645" i="22"/>
  <c r="M644" i="22"/>
  <c r="M643" i="22"/>
  <c r="M642" i="22"/>
  <c r="M641" i="22"/>
  <c r="M640" i="22"/>
  <c r="M639" i="22"/>
  <c r="M638" i="22"/>
  <c r="M637" i="22"/>
  <c r="M636" i="22"/>
  <c r="M635" i="22"/>
  <c r="M634" i="22"/>
  <c r="M633" i="22"/>
  <c r="M632" i="22"/>
  <c r="M631" i="22"/>
  <c r="M630" i="22"/>
  <c r="M629" i="22"/>
  <c r="M628" i="22"/>
  <c r="M627" i="22"/>
  <c r="M626" i="22"/>
  <c r="M625" i="22"/>
  <c r="M624" i="22"/>
  <c r="M623" i="22"/>
  <c r="M622" i="22"/>
  <c r="M621" i="22"/>
  <c r="M620" i="22"/>
  <c r="M619" i="22"/>
  <c r="M618" i="22"/>
  <c r="M617" i="22"/>
  <c r="M616" i="22"/>
  <c r="M615" i="22"/>
  <c r="M614" i="22"/>
  <c r="M613" i="22"/>
  <c r="M612" i="22"/>
  <c r="M611" i="22"/>
  <c r="M610" i="22"/>
  <c r="M609" i="22"/>
  <c r="M608" i="22"/>
  <c r="M607" i="22"/>
  <c r="M606" i="22"/>
  <c r="M605" i="22"/>
  <c r="M604" i="22"/>
  <c r="M603" i="22"/>
  <c r="M602" i="22"/>
  <c r="M601" i="22"/>
  <c r="M600" i="22"/>
  <c r="M599" i="22"/>
  <c r="M598" i="22"/>
  <c r="M597" i="22"/>
  <c r="M596" i="22"/>
  <c r="M595" i="22"/>
  <c r="M594" i="22"/>
  <c r="M593" i="22"/>
  <c r="M592" i="22"/>
  <c r="M591" i="22"/>
  <c r="M590" i="22"/>
  <c r="M589" i="22"/>
  <c r="M588" i="22"/>
  <c r="M587" i="22"/>
  <c r="M586" i="22"/>
  <c r="M585" i="22"/>
  <c r="M584" i="22"/>
  <c r="M583" i="22"/>
  <c r="M582" i="22"/>
  <c r="M581" i="22"/>
  <c r="M580" i="22"/>
  <c r="M579" i="22"/>
  <c r="M578" i="22"/>
  <c r="M577" i="22"/>
  <c r="M576" i="22"/>
  <c r="M575" i="22"/>
  <c r="M574" i="22"/>
  <c r="M573" i="22"/>
  <c r="M572" i="22"/>
  <c r="M571" i="22"/>
  <c r="M570" i="22"/>
  <c r="M569" i="22"/>
  <c r="M568" i="22"/>
  <c r="M567" i="22"/>
  <c r="M566" i="22"/>
  <c r="M565" i="22"/>
  <c r="M564" i="22"/>
  <c r="M563" i="22"/>
  <c r="M562" i="22"/>
  <c r="M561" i="22"/>
  <c r="M560" i="22"/>
  <c r="M559" i="22"/>
  <c r="M558" i="22"/>
  <c r="M557" i="22"/>
  <c r="M556" i="22"/>
  <c r="M555" i="22"/>
  <c r="M554" i="22"/>
  <c r="M553" i="22"/>
  <c r="M552" i="22"/>
  <c r="M551" i="22"/>
  <c r="M550" i="22"/>
  <c r="M549" i="22"/>
  <c r="M548" i="22"/>
  <c r="M547" i="22"/>
  <c r="M546" i="22"/>
  <c r="M545" i="22"/>
  <c r="M544" i="22"/>
  <c r="M543" i="22"/>
  <c r="M542" i="22"/>
  <c r="M541" i="22"/>
  <c r="M540" i="22"/>
  <c r="M539" i="22"/>
  <c r="M538" i="22"/>
  <c r="M537" i="22"/>
  <c r="M536" i="22"/>
  <c r="M535" i="22"/>
  <c r="M534" i="22"/>
  <c r="M533" i="22"/>
  <c r="M532" i="22"/>
  <c r="M531" i="22"/>
  <c r="M530" i="22"/>
  <c r="M529" i="22"/>
  <c r="M528" i="22"/>
  <c r="M527" i="22"/>
  <c r="M526" i="22"/>
  <c r="M525" i="22"/>
  <c r="M524" i="22"/>
  <c r="M523" i="22"/>
  <c r="M522" i="22"/>
  <c r="M521" i="22"/>
  <c r="M520" i="22"/>
  <c r="M519" i="22"/>
  <c r="M518" i="22"/>
  <c r="M517" i="22"/>
  <c r="M516" i="22"/>
  <c r="M515" i="22"/>
  <c r="M514" i="22"/>
  <c r="M513" i="22"/>
  <c r="M512" i="22"/>
  <c r="M511" i="22"/>
  <c r="M510" i="22"/>
  <c r="M509" i="22"/>
  <c r="M508" i="22"/>
  <c r="M507" i="22"/>
  <c r="M506" i="22"/>
  <c r="M505" i="22"/>
  <c r="M504" i="22"/>
  <c r="M503" i="22"/>
  <c r="M502" i="22"/>
  <c r="M501" i="22"/>
  <c r="M500" i="22"/>
  <c r="M499" i="22"/>
  <c r="M498" i="22"/>
  <c r="M497" i="22"/>
  <c r="M496" i="22"/>
  <c r="M495" i="22"/>
  <c r="M494" i="22"/>
  <c r="M493" i="22"/>
  <c r="M492" i="22"/>
  <c r="M491" i="22"/>
  <c r="M490" i="22"/>
  <c r="M489" i="22"/>
  <c r="M488" i="22"/>
  <c r="M487" i="22"/>
  <c r="M486" i="22"/>
  <c r="M485" i="22"/>
  <c r="M484" i="22"/>
  <c r="M483" i="22"/>
  <c r="M482" i="22"/>
  <c r="M481" i="22"/>
  <c r="M480" i="22"/>
  <c r="M479" i="22"/>
  <c r="M478" i="22"/>
  <c r="M477" i="22"/>
  <c r="M476" i="22"/>
  <c r="M475" i="22"/>
  <c r="M474" i="22"/>
  <c r="M473" i="22"/>
  <c r="M472" i="22"/>
  <c r="M471" i="22"/>
  <c r="M470" i="22"/>
  <c r="M469" i="22"/>
  <c r="M468" i="22"/>
  <c r="M467" i="22"/>
  <c r="M466" i="22"/>
  <c r="M465" i="22"/>
  <c r="M464" i="22"/>
  <c r="M463" i="22"/>
  <c r="M462" i="22"/>
  <c r="M461" i="22"/>
  <c r="M460" i="22"/>
  <c r="M459" i="22"/>
  <c r="M458" i="22"/>
  <c r="M457" i="22"/>
  <c r="M456" i="22"/>
  <c r="M455" i="22"/>
  <c r="M454" i="22"/>
  <c r="M453" i="22"/>
  <c r="M452" i="22"/>
  <c r="M451" i="22"/>
  <c r="M450" i="22"/>
  <c r="M449" i="22"/>
  <c r="M448" i="22"/>
  <c r="M447" i="22"/>
  <c r="M446" i="22"/>
  <c r="M445" i="22"/>
  <c r="M444" i="22"/>
  <c r="M443" i="22"/>
  <c r="M442" i="22"/>
  <c r="M441" i="22"/>
  <c r="M440" i="22"/>
  <c r="M439" i="22"/>
  <c r="M438" i="22"/>
  <c r="M437" i="22"/>
  <c r="M436" i="22"/>
  <c r="M435" i="22"/>
  <c r="M434" i="22"/>
  <c r="M433" i="22"/>
  <c r="M432" i="22"/>
  <c r="M431" i="22"/>
  <c r="M430" i="22"/>
  <c r="M429" i="22"/>
  <c r="M428" i="22"/>
  <c r="M427" i="22"/>
  <c r="M426" i="22"/>
  <c r="M425" i="22"/>
  <c r="M424" i="22"/>
  <c r="M423" i="22"/>
  <c r="M422" i="22"/>
  <c r="M421" i="22"/>
  <c r="M420" i="22"/>
  <c r="M419" i="22"/>
  <c r="M418" i="22"/>
  <c r="M417" i="22"/>
  <c r="M416" i="22"/>
  <c r="M415" i="22"/>
  <c r="M414" i="22"/>
  <c r="M413" i="22"/>
  <c r="M412" i="22"/>
  <c r="M411" i="22"/>
  <c r="M410" i="22"/>
  <c r="M409" i="22"/>
  <c r="M408" i="22"/>
  <c r="M407" i="22"/>
  <c r="M406" i="22"/>
  <c r="M405" i="22"/>
  <c r="M404" i="22"/>
  <c r="M403" i="22"/>
  <c r="M402" i="22"/>
  <c r="M401" i="22"/>
  <c r="M400" i="22"/>
  <c r="M399" i="22"/>
  <c r="M398" i="22"/>
  <c r="M397" i="22"/>
  <c r="M396" i="22"/>
  <c r="M395" i="22"/>
  <c r="M394" i="22"/>
  <c r="M393" i="22"/>
  <c r="M392" i="22"/>
  <c r="M391" i="22"/>
  <c r="M390" i="22"/>
  <c r="M389" i="22"/>
  <c r="M388" i="22"/>
  <c r="M387" i="22"/>
  <c r="M386" i="22"/>
  <c r="M385" i="22"/>
  <c r="M384" i="22"/>
  <c r="M383" i="22"/>
  <c r="M382" i="22"/>
  <c r="M381" i="22"/>
  <c r="M380" i="22"/>
  <c r="M379" i="22"/>
  <c r="M378" i="22"/>
  <c r="M377" i="22"/>
  <c r="M376" i="22"/>
  <c r="M375" i="22"/>
  <c r="M374" i="22"/>
  <c r="M373" i="22"/>
  <c r="M372" i="22"/>
  <c r="M371" i="22"/>
  <c r="M370" i="22"/>
  <c r="M369" i="22"/>
  <c r="M368" i="22"/>
  <c r="M367" i="22"/>
  <c r="M366" i="22"/>
  <c r="M365" i="22"/>
  <c r="M364" i="22"/>
  <c r="M363" i="22"/>
  <c r="M362" i="22"/>
  <c r="M361" i="22"/>
  <c r="M360" i="22"/>
  <c r="M359" i="22"/>
  <c r="M358" i="22"/>
  <c r="M357" i="22"/>
  <c r="M356" i="22"/>
  <c r="M355" i="22"/>
  <c r="M354" i="22"/>
  <c r="M353" i="22"/>
  <c r="M352" i="22"/>
  <c r="M351" i="22"/>
  <c r="M350" i="22"/>
  <c r="M349" i="22"/>
  <c r="M348" i="22"/>
  <c r="M347" i="22"/>
  <c r="M346" i="22"/>
  <c r="M345" i="22"/>
  <c r="M344" i="22"/>
  <c r="M343" i="22"/>
  <c r="M342" i="22"/>
  <c r="M341" i="22"/>
  <c r="M340" i="22"/>
  <c r="M339" i="22"/>
  <c r="M338" i="22"/>
  <c r="M337" i="22"/>
  <c r="M336" i="22"/>
  <c r="M335" i="22"/>
  <c r="M334" i="22"/>
  <c r="M333" i="22"/>
  <c r="M332" i="22"/>
  <c r="M331" i="22"/>
  <c r="M330" i="22"/>
  <c r="M329" i="22"/>
  <c r="M328" i="22"/>
  <c r="M327" i="22"/>
  <c r="M326" i="22"/>
  <c r="M325" i="22"/>
  <c r="M324" i="22"/>
  <c r="M323" i="22"/>
  <c r="M322" i="22"/>
  <c r="M321" i="22"/>
  <c r="M320" i="22"/>
  <c r="M319" i="22"/>
  <c r="M318" i="22"/>
  <c r="M317" i="22"/>
  <c r="M316" i="22"/>
  <c r="M315" i="22"/>
  <c r="M314" i="22"/>
  <c r="M313" i="22"/>
  <c r="M312" i="22"/>
  <c r="M311" i="22"/>
  <c r="M310" i="22"/>
  <c r="M309" i="22"/>
  <c r="M308" i="22"/>
  <c r="M307" i="22"/>
  <c r="M306" i="22"/>
  <c r="M305" i="22"/>
  <c r="M304" i="22"/>
  <c r="M303" i="22"/>
  <c r="M302" i="22"/>
  <c r="M301" i="22"/>
  <c r="M300" i="22"/>
  <c r="M299" i="22"/>
  <c r="M298" i="22"/>
  <c r="M297" i="22"/>
  <c r="M296" i="22"/>
  <c r="M295" i="22"/>
  <c r="M294" i="22"/>
  <c r="M293" i="22"/>
  <c r="M292" i="22"/>
  <c r="M291" i="22"/>
  <c r="M290" i="22"/>
  <c r="M289" i="22"/>
  <c r="M288" i="22"/>
  <c r="M287" i="22"/>
  <c r="M286" i="22"/>
  <c r="M285" i="22"/>
  <c r="M284" i="22"/>
  <c r="M283" i="22"/>
  <c r="M282" i="22"/>
  <c r="M281" i="22"/>
  <c r="M280" i="22"/>
  <c r="M279" i="22"/>
  <c r="M278" i="22"/>
  <c r="M277" i="22"/>
  <c r="M276" i="22"/>
  <c r="M275" i="22"/>
  <c r="M274" i="22"/>
  <c r="M273" i="22"/>
  <c r="M272" i="22"/>
  <c r="M271" i="22"/>
  <c r="M270" i="22"/>
  <c r="M269" i="22"/>
  <c r="M268" i="22"/>
  <c r="M267" i="22"/>
  <c r="M266" i="22"/>
  <c r="M265" i="22"/>
  <c r="M264" i="22"/>
  <c r="M263" i="22"/>
  <c r="M262" i="22"/>
  <c r="M261" i="22"/>
  <c r="M260" i="22"/>
  <c r="M259" i="22"/>
  <c r="M258" i="22"/>
  <c r="M257" i="22"/>
  <c r="M256" i="22"/>
  <c r="M255" i="22"/>
  <c r="M254" i="22"/>
  <c r="M253" i="22"/>
  <c r="M252" i="22"/>
  <c r="M251" i="22"/>
  <c r="M250" i="22"/>
  <c r="M249" i="22"/>
  <c r="M248" i="22"/>
  <c r="M247" i="22"/>
  <c r="M246" i="22"/>
  <c r="M245" i="22"/>
  <c r="M244" i="22"/>
  <c r="M243" i="22"/>
  <c r="M242" i="22"/>
  <c r="M241" i="22"/>
  <c r="M240" i="22"/>
  <c r="M239" i="22"/>
  <c r="M238" i="22"/>
  <c r="M237" i="22"/>
  <c r="M236" i="22"/>
  <c r="M235" i="22"/>
  <c r="M234" i="22"/>
  <c r="M233" i="22"/>
  <c r="M232" i="22"/>
  <c r="M231" i="22"/>
  <c r="M230" i="22"/>
  <c r="M229" i="22"/>
  <c r="M228" i="22"/>
  <c r="M227" i="22"/>
  <c r="M226" i="22"/>
  <c r="M225" i="22"/>
  <c r="M224" i="22"/>
  <c r="M223" i="22"/>
  <c r="M222" i="22"/>
  <c r="M221" i="22"/>
  <c r="M220" i="22"/>
  <c r="M219" i="22"/>
  <c r="M218" i="22"/>
  <c r="M217" i="22"/>
  <c r="M216" i="22"/>
  <c r="M215" i="22"/>
  <c r="M214" i="22"/>
  <c r="M213" i="22"/>
  <c r="M212" i="22"/>
  <c r="M211" i="22"/>
  <c r="M210" i="22"/>
  <c r="M209" i="22"/>
  <c r="M208" i="22"/>
  <c r="M207" i="22"/>
  <c r="M206" i="22"/>
  <c r="M205" i="22"/>
  <c r="M204" i="22"/>
  <c r="M203" i="22"/>
  <c r="M202" i="22"/>
  <c r="M201" i="22"/>
  <c r="M200" i="22"/>
  <c r="M199" i="22"/>
  <c r="M198" i="22"/>
  <c r="M197" i="22"/>
  <c r="M196" i="22"/>
  <c r="M195" i="22"/>
  <c r="M194" i="22"/>
  <c r="M193" i="22"/>
  <c r="M192" i="22"/>
  <c r="M191" i="22"/>
  <c r="M190" i="22"/>
  <c r="M189" i="22"/>
  <c r="M188" i="22"/>
  <c r="M187" i="22"/>
  <c r="M186" i="22"/>
  <c r="M185" i="22"/>
  <c r="M184" i="22"/>
  <c r="M183" i="22"/>
  <c r="M182" i="22"/>
  <c r="M181" i="22"/>
  <c r="M180" i="22"/>
  <c r="M179" i="22"/>
  <c r="M178" i="22"/>
  <c r="M177" i="22"/>
  <c r="M176" i="22"/>
  <c r="M175" i="22"/>
  <c r="M174" i="22"/>
  <c r="M173" i="22"/>
  <c r="M172" i="22"/>
  <c r="M171" i="22"/>
  <c r="M170" i="22"/>
  <c r="M169" i="22"/>
  <c r="M168" i="22"/>
  <c r="M167" i="22"/>
  <c r="M166" i="22"/>
  <c r="M165" i="22"/>
  <c r="M164" i="22"/>
  <c r="M163" i="22"/>
  <c r="M162" i="22"/>
  <c r="M161" i="22"/>
  <c r="M160" i="22"/>
  <c r="M159" i="22"/>
  <c r="M158" i="22"/>
  <c r="M157" i="22"/>
  <c r="M156" i="22"/>
  <c r="M155" i="22"/>
  <c r="M154" i="22"/>
  <c r="M153" i="22"/>
  <c r="M152" i="22"/>
  <c r="M151" i="22"/>
  <c r="M150" i="22"/>
  <c r="M149" i="22"/>
  <c r="M148" i="22"/>
  <c r="M147" i="22"/>
  <c r="M146" i="22"/>
  <c r="M145" i="22"/>
  <c r="M144" i="22"/>
  <c r="M143" i="22"/>
  <c r="M142" i="22"/>
  <c r="M141" i="22"/>
  <c r="M140" i="22"/>
  <c r="M139" i="22"/>
  <c r="M138" i="22"/>
  <c r="M137" i="22"/>
  <c r="M136" i="22"/>
  <c r="M135" i="22"/>
  <c r="M134" i="22"/>
  <c r="M133" i="22"/>
  <c r="M132" i="22"/>
  <c r="M131" i="22"/>
  <c r="M130" i="22"/>
  <c r="M129" i="22"/>
  <c r="M128" i="22"/>
  <c r="M127" i="22"/>
  <c r="M126" i="22"/>
  <c r="M125" i="22"/>
  <c r="M124" i="22"/>
  <c r="M123" i="22"/>
  <c r="M122" i="22"/>
  <c r="M121" i="22"/>
  <c r="M120" i="22"/>
  <c r="M119" i="22"/>
  <c r="M118" i="22"/>
  <c r="M117" i="22"/>
  <c r="M116" i="22"/>
  <c r="M115" i="22"/>
  <c r="M114" i="22"/>
  <c r="M113" i="22"/>
  <c r="M112" i="22"/>
  <c r="M111" i="22"/>
  <c r="M110" i="22"/>
  <c r="M109" i="22"/>
  <c r="M108" i="22"/>
  <c r="M107" i="22"/>
  <c r="M106" i="22"/>
  <c r="M105" i="22"/>
  <c r="M104" i="22"/>
  <c r="M103" i="22"/>
  <c r="M102" i="22"/>
  <c r="M101" i="22"/>
  <c r="M100" i="22"/>
  <c r="M99" i="22"/>
  <c r="M98" i="22"/>
  <c r="M97" i="22"/>
  <c r="M96" i="22"/>
  <c r="M95" i="22"/>
  <c r="M94" i="22"/>
  <c r="M93" i="22"/>
  <c r="M92" i="22"/>
  <c r="M91" i="22"/>
  <c r="M90" i="22"/>
  <c r="M89" i="22"/>
  <c r="M88" i="22"/>
  <c r="M87" i="22"/>
  <c r="M86" i="22"/>
  <c r="M85" i="22"/>
  <c r="M84" i="22"/>
  <c r="M83" i="22"/>
  <c r="M82" i="22"/>
  <c r="M81" i="22"/>
  <c r="M80" i="22"/>
  <c r="M79" i="22"/>
  <c r="M78" i="22"/>
  <c r="M77" i="22"/>
  <c r="M76" i="22"/>
  <c r="M75" i="22"/>
  <c r="M74" i="22"/>
  <c r="M73" i="22"/>
  <c r="M72" i="22"/>
  <c r="M71" i="22"/>
  <c r="M70" i="22"/>
  <c r="M69" i="22"/>
  <c r="M68" i="22"/>
  <c r="M67" i="22"/>
  <c r="M66" i="22"/>
  <c r="M65" i="22"/>
  <c r="M64" i="22"/>
  <c r="M63" i="22"/>
  <c r="M62" i="22"/>
  <c r="M61" i="22"/>
  <c r="M60" i="22"/>
  <c r="M59" i="22"/>
  <c r="M58" i="22"/>
  <c r="M57" i="22"/>
  <c r="M56" i="22"/>
  <c r="M55" i="22"/>
  <c r="M54" i="22"/>
  <c r="M53" i="22"/>
  <c r="M52" i="22"/>
  <c r="M51" i="22"/>
  <c r="M50" i="22"/>
  <c r="M49" i="22"/>
  <c r="M48" i="22"/>
  <c r="M47" i="22"/>
  <c r="M46" i="22"/>
  <c r="M45" i="22"/>
  <c r="M44" i="22"/>
  <c r="M43" i="22"/>
  <c r="M42" i="22"/>
  <c r="M41" i="22"/>
  <c r="M40" i="22"/>
  <c r="M39" i="22"/>
  <c r="M38" i="22"/>
  <c r="M37" i="22"/>
  <c r="M36" i="22"/>
  <c r="M35" i="22"/>
  <c r="M34" i="22"/>
  <c r="M33" i="22"/>
  <c r="M32" i="22"/>
  <c r="M31" i="22"/>
  <c r="M30" i="22"/>
  <c r="M29" i="22"/>
  <c r="M28" i="22"/>
  <c r="M27" i="22"/>
  <c r="M26" i="22"/>
  <c r="M25" i="22"/>
  <c r="M24" i="22"/>
  <c r="M23" i="22"/>
  <c r="M22" i="22"/>
  <c r="M21" i="22"/>
  <c r="M20" i="22"/>
  <c r="M19" i="22"/>
  <c r="M18" i="22"/>
  <c r="M17" i="22"/>
  <c r="M16" i="22"/>
  <c r="M15" i="22"/>
  <c r="M14" i="22"/>
  <c r="M13" i="22"/>
  <c r="M12" i="22"/>
  <c r="AE337" i="3"/>
  <c r="AE336" i="3"/>
  <c r="AE335" i="3"/>
  <c r="AE334" i="3"/>
  <c r="AE333" i="3"/>
  <c r="AE332" i="3"/>
  <c r="AE331" i="3"/>
  <c r="AE330" i="3"/>
  <c r="AE329" i="3"/>
  <c r="AE328" i="3"/>
  <c r="AE327" i="3"/>
  <c r="AE326" i="3"/>
  <c r="AE325" i="3"/>
  <c r="AE324" i="3"/>
  <c r="AE323" i="3"/>
  <c r="AE322" i="3"/>
  <c r="AE321" i="3"/>
  <c r="AE320" i="3"/>
  <c r="AE319" i="3"/>
  <c r="AE318" i="3"/>
  <c r="AE317" i="3"/>
  <c r="AE316" i="3"/>
  <c r="AE315" i="3"/>
  <c r="AE314" i="3"/>
  <c r="AE313" i="3"/>
  <c r="AE312" i="3"/>
  <c r="AE311" i="3"/>
  <c r="AE310" i="3"/>
  <c r="AE309" i="3"/>
  <c r="AE308" i="3"/>
  <c r="AE307" i="3"/>
  <c r="AE306" i="3"/>
  <c r="AE305" i="3"/>
  <c r="AE304" i="3"/>
  <c r="AE303" i="3"/>
  <c r="AE302" i="3"/>
  <c r="AE301" i="3"/>
  <c r="AE300" i="3"/>
  <c r="AE299" i="3"/>
  <c r="AE298" i="3"/>
  <c r="AE297" i="3"/>
  <c r="AE296" i="3"/>
  <c r="AE295" i="3"/>
  <c r="AE294" i="3"/>
  <c r="AE293" i="3"/>
  <c r="AE292" i="3"/>
  <c r="AE291" i="3"/>
  <c r="AE290" i="3"/>
  <c r="AE289" i="3"/>
  <c r="AE288" i="3"/>
  <c r="AE287" i="3"/>
  <c r="AE286" i="3"/>
  <c r="AE285" i="3"/>
  <c r="AE284" i="3"/>
  <c r="AE283" i="3"/>
  <c r="AE282" i="3"/>
  <c r="AE281" i="3"/>
  <c r="AE280" i="3"/>
  <c r="AE279" i="3"/>
  <c r="AE278" i="3"/>
  <c r="AE277" i="3"/>
  <c r="AE276" i="3"/>
  <c r="AE275" i="3"/>
  <c r="AE274" i="3"/>
  <c r="AE273" i="3"/>
  <c r="AE272" i="3"/>
  <c r="AE271" i="3"/>
  <c r="AE270" i="3"/>
  <c r="AE269" i="3"/>
  <c r="AE268" i="3"/>
  <c r="AE267" i="3"/>
  <c r="AE266" i="3"/>
  <c r="AE265" i="3"/>
  <c r="AE264" i="3"/>
  <c r="AE263" i="3"/>
  <c r="AE262" i="3"/>
  <c r="AE261" i="3"/>
  <c r="AE260" i="3"/>
  <c r="AE259" i="3"/>
  <c r="AE258" i="3"/>
  <c r="AE257" i="3"/>
  <c r="AE256" i="3"/>
  <c r="AE255" i="3"/>
  <c r="AE254" i="3"/>
  <c r="AE253" i="3"/>
  <c r="AE252" i="3"/>
  <c r="AE251" i="3"/>
  <c r="AE250" i="3"/>
  <c r="AE249" i="3"/>
  <c r="AE248" i="3"/>
  <c r="AE247" i="3"/>
  <c r="AE246" i="3"/>
  <c r="AE245" i="3"/>
  <c r="AE244" i="3"/>
  <c r="AE243" i="3"/>
  <c r="AE242" i="3"/>
  <c r="AE241" i="3"/>
  <c r="AE240" i="3"/>
  <c r="AE239" i="3"/>
  <c r="AE238" i="3"/>
  <c r="AE237" i="3"/>
  <c r="AE236" i="3"/>
  <c r="AE235" i="3"/>
  <c r="AE234" i="3"/>
  <c r="AE233" i="3"/>
  <c r="AE232" i="3"/>
  <c r="AE231" i="3"/>
  <c r="AE230" i="3"/>
  <c r="AE229" i="3"/>
  <c r="AE228" i="3"/>
  <c r="AE227" i="3"/>
  <c r="AE226" i="3"/>
  <c r="AE225" i="3"/>
  <c r="AE224" i="3"/>
  <c r="AE223" i="3"/>
  <c r="AE222" i="3"/>
  <c r="AE221" i="3"/>
  <c r="AE220" i="3"/>
  <c r="AE219" i="3"/>
  <c r="AE218" i="3"/>
  <c r="AE217" i="3"/>
  <c r="AE216" i="3"/>
  <c r="AE215" i="3"/>
  <c r="AE214" i="3"/>
  <c r="AE213" i="3"/>
  <c r="AE212" i="3"/>
  <c r="AE211" i="3"/>
  <c r="AE210" i="3"/>
  <c r="AE209" i="3"/>
  <c r="AE208" i="3"/>
  <c r="AE207" i="3"/>
  <c r="AE206" i="3"/>
  <c r="AE205" i="3"/>
  <c r="AE204" i="3"/>
  <c r="AE203" i="3"/>
  <c r="AE202" i="3"/>
  <c r="AE201" i="3"/>
  <c r="AE200" i="3"/>
  <c r="AE199" i="3"/>
  <c r="AE198" i="3"/>
  <c r="AE197" i="3"/>
  <c r="AE196" i="3"/>
  <c r="AE195" i="3"/>
  <c r="AE194" i="3"/>
  <c r="AE193" i="3"/>
  <c r="AE192" i="3"/>
  <c r="AE191" i="3"/>
  <c r="AE190" i="3"/>
  <c r="AE189" i="3"/>
  <c r="AE188" i="3"/>
  <c r="AE187" i="3"/>
  <c r="AE186" i="3"/>
  <c r="AE185" i="3"/>
  <c r="AE184" i="3"/>
  <c r="AE183" i="3"/>
  <c r="AE182" i="3"/>
  <c r="AE181" i="3"/>
  <c r="AE180" i="3"/>
  <c r="AE179" i="3"/>
  <c r="AE178" i="3"/>
  <c r="AE177" i="3"/>
  <c r="AE176" i="3"/>
  <c r="AE175" i="3"/>
  <c r="AE174" i="3"/>
  <c r="AE173" i="3"/>
  <c r="AE172" i="3"/>
  <c r="AE171" i="3"/>
  <c r="AE170" i="3"/>
  <c r="AE169" i="3"/>
  <c r="AE168" i="3"/>
  <c r="AE167" i="3"/>
  <c r="AE166" i="3"/>
  <c r="AE165" i="3"/>
  <c r="AE164" i="3"/>
  <c r="AE163" i="3"/>
  <c r="AE162" i="3"/>
  <c r="AE161" i="3"/>
  <c r="AE160" i="3"/>
  <c r="AE159" i="3"/>
  <c r="AE158" i="3"/>
  <c r="AE157" i="3"/>
  <c r="AE156" i="3"/>
  <c r="AE155" i="3"/>
  <c r="AE154" i="3"/>
  <c r="AE153" i="3"/>
  <c r="AE152" i="3"/>
  <c r="AE151" i="3"/>
  <c r="AE150" i="3"/>
  <c r="AE149" i="3"/>
  <c r="AE148" i="3"/>
  <c r="AE147" i="3"/>
  <c r="AE146" i="3"/>
  <c r="AE145" i="3"/>
  <c r="AE144" i="3"/>
  <c r="AE143" i="3"/>
  <c r="AE142" i="3"/>
  <c r="AE141" i="3"/>
  <c r="AE140" i="3"/>
  <c r="AE139" i="3"/>
  <c r="AE138" i="3"/>
  <c r="AE137" i="3"/>
  <c r="AE136" i="3"/>
  <c r="AE135" i="3"/>
  <c r="AE134" i="3"/>
  <c r="AE133" i="3"/>
  <c r="AE132" i="3"/>
  <c r="AE131" i="3"/>
  <c r="AE130" i="3"/>
  <c r="AE129" i="3"/>
  <c r="AE128" i="3"/>
  <c r="AE127" i="3"/>
  <c r="AE126" i="3"/>
  <c r="AE125" i="3"/>
  <c r="AE124" i="3"/>
  <c r="AE123" i="3"/>
  <c r="AE122" i="3"/>
  <c r="AE121" i="3"/>
  <c r="AE120" i="3"/>
  <c r="AE119" i="3"/>
  <c r="AE118" i="3"/>
  <c r="AE117" i="3"/>
  <c r="AE116" i="3"/>
  <c r="AE115" i="3"/>
  <c r="AE114" i="3"/>
  <c r="AE113" i="3"/>
  <c r="AE112" i="3"/>
  <c r="AE111" i="3"/>
  <c r="AE110" i="3"/>
  <c r="AE109" i="3"/>
  <c r="AE108" i="3"/>
  <c r="AE107" i="3"/>
  <c r="AE106" i="3"/>
  <c r="AE105" i="3"/>
  <c r="AE104" i="3"/>
  <c r="AE103" i="3"/>
  <c r="AE102" i="3"/>
  <c r="AE101" i="3"/>
  <c r="AE100" i="3"/>
  <c r="AE99" i="3"/>
  <c r="AE98" i="3"/>
  <c r="AE97" i="3"/>
  <c r="AE96" i="3"/>
  <c r="AE95" i="3"/>
  <c r="AE94" i="3"/>
  <c r="AE93" i="3"/>
  <c r="AE92" i="3"/>
  <c r="AE91" i="3"/>
  <c r="AE90" i="3"/>
  <c r="AE89" i="3"/>
  <c r="AE88" i="3"/>
  <c r="AE87" i="3"/>
  <c r="AE86" i="3"/>
  <c r="AE85" i="3"/>
  <c r="AE84" i="3"/>
  <c r="AE83" i="3"/>
  <c r="AE82" i="3"/>
  <c r="AE81" i="3"/>
  <c r="AE80" i="3"/>
  <c r="AE79" i="3"/>
  <c r="AE78" i="3"/>
  <c r="AE77" i="3"/>
  <c r="AE76" i="3"/>
  <c r="AE75" i="3"/>
  <c r="AE74" i="3"/>
  <c r="AE73" i="3"/>
  <c r="AE72" i="3"/>
  <c r="AE71" i="3"/>
  <c r="AE70" i="3"/>
  <c r="AE69" i="3"/>
  <c r="AE68" i="3"/>
  <c r="AE67" i="3"/>
  <c r="AE66" i="3"/>
  <c r="AE65" i="3"/>
  <c r="AE64" i="3"/>
  <c r="AE63" i="3"/>
  <c r="AE62" i="3"/>
  <c r="AE61" i="3"/>
  <c r="AE60" i="3"/>
  <c r="AE59" i="3"/>
  <c r="AE58" i="3"/>
  <c r="AE57" i="3"/>
  <c r="AE56" i="3"/>
  <c r="AE55" i="3"/>
  <c r="AE54" i="3"/>
  <c r="AE53" i="3"/>
  <c r="AE52" i="3"/>
  <c r="AE51" i="3"/>
  <c r="AE50" i="3"/>
  <c r="AE49" i="3"/>
  <c r="AE48" i="3"/>
  <c r="AE47" i="3"/>
  <c r="AE46" i="3"/>
  <c r="AE45" i="3"/>
  <c r="AE44" i="3"/>
  <c r="AE43" i="3"/>
  <c r="AE42" i="3"/>
  <c r="AE41" i="3"/>
  <c r="AE40" i="3"/>
  <c r="AE39" i="3"/>
  <c r="AE38" i="3"/>
  <c r="AE37" i="3"/>
  <c r="AE36" i="3"/>
  <c r="AE35" i="3"/>
  <c r="AE27" i="3"/>
  <c r="AE26" i="3"/>
  <c r="AE25" i="3"/>
  <c r="AE24" i="3"/>
  <c r="AE23" i="3"/>
  <c r="AE22" i="3"/>
  <c r="AE21" i="3"/>
  <c r="AE20" i="3"/>
  <c r="AE19" i="3"/>
  <c r="AE18" i="3"/>
  <c r="AE17" i="3"/>
  <c r="AE16" i="3"/>
  <c r="AE15" i="3"/>
  <c r="AE14" i="3"/>
  <c r="AE13" i="3"/>
  <c r="E59" i="19"/>
  <c r="E54" i="19"/>
  <c r="E53" i="19"/>
  <c r="E52" i="19"/>
  <c r="E51" i="19"/>
  <c r="E47" i="19"/>
  <c r="E46" i="19"/>
  <c r="E45" i="19"/>
  <c r="E44" i="19"/>
  <c r="E43" i="19"/>
  <c r="E42" i="19"/>
  <c r="E38" i="19"/>
  <c r="E37" i="19"/>
  <c r="E36" i="19"/>
  <c r="E35" i="19"/>
  <c r="E34" i="19"/>
  <c r="E33" i="19"/>
  <c r="E32" i="19"/>
  <c r="E31" i="19"/>
  <c r="E30" i="19"/>
  <c r="E29" i="19"/>
  <c r="E28" i="19"/>
  <c r="E24" i="19"/>
  <c r="E23" i="19"/>
  <c r="E22" i="19"/>
  <c r="E21" i="19"/>
  <c r="E20" i="19"/>
  <c r="E19" i="19"/>
  <c r="E18" i="19"/>
  <c r="E17" i="19"/>
  <c r="Z188" i="3" l="1"/>
  <c r="G337" i="27" s="1"/>
  <c r="Q374" i="27"/>
  <c r="Z284" i="3"/>
  <c r="G256" i="27" s="1"/>
  <c r="D8" i="25"/>
  <c r="M62" i="26" a="1"/>
  <c r="M62" i="26" s="1"/>
  <c r="H34" i="26"/>
  <c r="L63" i="26"/>
  <c r="G92" i="26"/>
  <c r="L62" i="26"/>
  <c r="H33" i="26"/>
  <c r="R63" i="26" a="1"/>
  <c r="R63" i="26" s="1"/>
  <c r="M63" i="26" a="1"/>
  <c r="M63" i="26" s="1"/>
  <c r="M34" i="26" a="1"/>
  <c r="M34" i="26" s="1"/>
  <c r="G63" i="26"/>
  <c r="R33" i="26" a="1"/>
  <c r="R33" i="26" s="1"/>
  <c r="R65" i="27"/>
  <c r="R201" i="27"/>
  <c r="Q269" i="27"/>
  <c r="D371" i="27"/>
  <c r="Q371" i="27" s="1"/>
  <c r="J167" i="27"/>
  <c r="Q65" i="27"/>
  <c r="Y188" i="3"/>
  <c r="Z26" i="3"/>
  <c r="M197" i="27" s="1"/>
  <c r="J201" i="27"/>
  <c r="Q201" i="27" s="1"/>
  <c r="J337" i="27"/>
  <c r="Q337" i="27" s="1"/>
  <c r="J261" i="27"/>
  <c r="J31" i="27"/>
  <c r="D133" i="27"/>
  <c r="J99" i="27"/>
  <c r="Q99" i="27" s="1"/>
  <c r="J133" i="27"/>
  <c r="U272" i="27"/>
  <c r="Y224" i="3"/>
  <c r="AB224" i="3" s="1"/>
  <c r="Y200" i="3"/>
  <c r="AB200" i="3" s="1"/>
  <c r="M200" i="27"/>
  <c r="Y56" i="3"/>
  <c r="AB56" i="3" s="1"/>
  <c r="Y43" i="3"/>
  <c r="AB43" i="3" s="1"/>
  <c r="J362" i="27"/>
  <c r="L318" i="27"/>
  <c r="J92" i="27"/>
  <c r="T59" i="25"/>
  <c r="J331" i="27"/>
  <c r="J329" i="27"/>
  <c r="J57" i="27"/>
  <c r="J195" i="27"/>
  <c r="Q195" i="27" s="1"/>
  <c r="J69" i="27"/>
  <c r="J191" i="27"/>
  <c r="K330" i="27"/>
  <c r="J341" i="27"/>
  <c r="J182" i="27"/>
  <c r="J54" i="27"/>
  <c r="D115" i="27"/>
  <c r="I116" i="25"/>
  <c r="T61" i="25"/>
  <c r="M104" i="26" a="1"/>
  <c r="M104" i="26" s="1"/>
  <c r="K351" i="27"/>
  <c r="Z297" i="3"/>
  <c r="G273" i="27" s="1"/>
  <c r="D273" i="27"/>
  <c r="D171" i="27" s="1"/>
  <c r="Z285" i="3"/>
  <c r="G257" i="27" s="1"/>
  <c r="D257" i="27"/>
  <c r="Z273" i="3"/>
  <c r="G129" i="27" s="1"/>
  <c r="D129" i="27"/>
  <c r="Z261" i="3"/>
  <c r="G116" i="27" s="1"/>
  <c r="D116" i="27"/>
  <c r="Z249" i="3"/>
  <c r="G363" i="27" s="1"/>
  <c r="D363" i="27"/>
  <c r="Z237" i="3"/>
  <c r="G239" i="27" s="1"/>
  <c r="D239" i="27"/>
  <c r="Z225" i="3"/>
  <c r="G91" i="27" s="1"/>
  <c r="D91" i="27"/>
  <c r="Z213" i="3"/>
  <c r="G69" i="27" s="1"/>
  <c r="D69" i="27"/>
  <c r="Z201" i="3"/>
  <c r="G53" i="27" s="1"/>
  <c r="D53" i="27"/>
  <c r="Q53" i="27" s="1"/>
  <c r="Z189" i="3"/>
  <c r="G333" i="27" s="1"/>
  <c r="D333" i="27"/>
  <c r="Z177" i="3"/>
  <c r="G320" i="27" s="1"/>
  <c r="D320" i="27"/>
  <c r="Z165" i="3"/>
  <c r="G193" i="27" s="1"/>
  <c r="D193" i="27"/>
  <c r="Z153" i="3"/>
  <c r="M273" i="27" s="1"/>
  <c r="J273" i="27"/>
  <c r="J171" i="27" s="1"/>
  <c r="Z141" i="3"/>
  <c r="M257" i="27" s="1"/>
  <c r="J257" i="27"/>
  <c r="Q257" i="27" s="1"/>
  <c r="Z129" i="3"/>
  <c r="M129" i="27" s="1"/>
  <c r="J129" i="27"/>
  <c r="Z117" i="3"/>
  <c r="M116" i="27" s="1"/>
  <c r="J116" i="27"/>
  <c r="Z105" i="3"/>
  <c r="M363" i="27" s="1"/>
  <c r="J363" i="27"/>
  <c r="Q363" i="27" s="1"/>
  <c r="Z93" i="3"/>
  <c r="M239" i="27" s="1"/>
  <c r="J239" i="27"/>
  <c r="Z81" i="3"/>
  <c r="M90" i="27" s="1"/>
  <c r="J90" i="27"/>
  <c r="Z69" i="3"/>
  <c r="M64" i="27" s="1"/>
  <c r="J64" i="27"/>
  <c r="Z57" i="3"/>
  <c r="M52" i="27" s="1"/>
  <c r="J52" i="27"/>
  <c r="Z27" i="3"/>
  <c r="M198" i="27" s="1"/>
  <c r="J198" i="27"/>
  <c r="Z15" i="3"/>
  <c r="M186" i="27" s="1"/>
  <c r="J186" i="27"/>
  <c r="Y80" i="3"/>
  <c r="K89" i="27"/>
  <c r="Y152" i="3"/>
  <c r="K268" i="27"/>
  <c r="Y164" i="3"/>
  <c r="E192" i="27"/>
  <c r="Z181" i="3"/>
  <c r="G325" i="27" s="1"/>
  <c r="D325" i="27"/>
  <c r="Z157" i="3"/>
  <c r="G184" i="27" s="1"/>
  <c r="D184" i="27"/>
  <c r="J48" i="27"/>
  <c r="D186" i="27"/>
  <c r="D255" i="27"/>
  <c r="H113" i="25"/>
  <c r="E45" i="27"/>
  <c r="J58" i="25"/>
  <c r="I113" i="25"/>
  <c r="T58" i="25"/>
  <c r="K45" i="27"/>
  <c r="L51" i="27"/>
  <c r="Z288" i="3"/>
  <c r="D260" i="27"/>
  <c r="Z264" i="3"/>
  <c r="G120" i="27" s="1"/>
  <c r="D120" i="27"/>
  <c r="Z204" i="3"/>
  <c r="G56" i="27" s="1"/>
  <c r="D56" i="27"/>
  <c r="Z72" i="3"/>
  <c r="M80" i="27" s="1"/>
  <c r="J80" i="27"/>
  <c r="Q80" i="27" s="1"/>
  <c r="AC33" i="3"/>
  <c r="N319" i="27"/>
  <c r="L362" i="27"/>
  <c r="J62" i="27"/>
  <c r="F58" i="27"/>
  <c r="D90" i="27"/>
  <c r="J88" i="27"/>
  <c r="G66" i="26"/>
  <c r="D190" i="27"/>
  <c r="L330" i="27"/>
  <c r="Z263" i="3"/>
  <c r="G119" i="27" s="1"/>
  <c r="D119" i="27"/>
  <c r="G113" i="25"/>
  <c r="P43" i="25" s="1"/>
  <c r="U43" i="25" s="1"/>
  <c r="J45" i="27"/>
  <c r="Z17" i="3"/>
  <c r="M188" i="27" s="1"/>
  <c r="J188" i="27"/>
  <c r="AB31" i="3"/>
  <c r="K111" i="25"/>
  <c r="U56" i="25"/>
  <c r="H76" i="26" a="1"/>
  <c r="H76" i="26" s="1"/>
  <c r="J326" i="27"/>
  <c r="D370" i="27"/>
  <c r="D369" i="27"/>
  <c r="D251" i="27"/>
  <c r="Q251" i="27" s="1"/>
  <c r="Z298" i="3"/>
  <c r="AA298" i="3" s="1"/>
  <c r="F118" i="25"/>
  <c r="F48" i="25" s="1"/>
  <c r="J48" i="25" s="1"/>
  <c r="Q66" i="26"/>
  <c r="Z286" i="3"/>
  <c r="D258" i="27"/>
  <c r="Z262" i="3"/>
  <c r="G118" i="27" s="1"/>
  <c r="D118" i="27"/>
  <c r="Z238" i="3"/>
  <c r="AA238" i="3" s="1"/>
  <c r="F115" i="25"/>
  <c r="F45" i="25" s="1"/>
  <c r="K45" i="25" s="1"/>
  <c r="L66" i="26"/>
  <c r="Z214" i="3"/>
  <c r="F113" i="25"/>
  <c r="F43" i="25" s="1"/>
  <c r="K43" i="25" s="1"/>
  <c r="G37" i="26"/>
  <c r="Z202" i="3"/>
  <c r="G54" i="27" s="1"/>
  <c r="D54" i="27"/>
  <c r="Z190" i="3"/>
  <c r="D334" i="27"/>
  <c r="Z154" i="3"/>
  <c r="AA154" i="3" s="1"/>
  <c r="G118" i="25"/>
  <c r="P48" i="25" s="1"/>
  <c r="R66" i="26" a="1"/>
  <c r="R66" i="26" s="1"/>
  <c r="S66" i="26" s="1"/>
  <c r="Z142" i="3"/>
  <c r="M258" i="27" s="1"/>
  <c r="J258" i="27"/>
  <c r="Z130" i="3"/>
  <c r="M130" i="27" s="1"/>
  <c r="J130" i="27"/>
  <c r="Z94" i="3"/>
  <c r="AA94" i="3" s="1"/>
  <c r="G115" i="25"/>
  <c r="P45" i="25" s="1"/>
  <c r="T45" i="25" s="1"/>
  <c r="M66" i="26" a="1"/>
  <c r="M66" i="26" s="1"/>
  <c r="J215" i="27"/>
  <c r="H46" i="26"/>
  <c r="J369" i="27"/>
  <c r="J330" i="27"/>
  <c r="D368" i="27"/>
  <c r="D367" i="27"/>
  <c r="E58" i="27"/>
  <c r="D123" i="27"/>
  <c r="D114" i="27"/>
  <c r="D84" i="27"/>
  <c r="D97" i="27"/>
  <c r="H112" i="25"/>
  <c r="E317" i="27"/>
  <c r="J57" i="25"/>
  <c r="Z200" i="3"/>
  <c r="G52" i="27" s="1"/>
  <c r="D52" i="27"/>
  <c r="Z176" i="3"/>
  <c r="G319" i="27" s="1"/>
  <c r="T319" i="27" s="1"/>
  <c r="D319" i="27"/>
  <c r="Z164" i="3"/>
  <c r="G192" i="27" s="1"/>
  <c r="D192" i="27"/>
  <c r="Z140" i="3"/>
  <c r="M256" i="27" s="1"/>
  <c r="J256" i="27"/>
  <c r="J63" i="27"/>
  <c r="J364" i="27"/>
  <c r="J87" i="27"/>
  <c r="Q87" i="27" s="1"/>
  <c r="J322" i="27"/>
  <c r="J91" i="27"/>
  <c r="K51" i="27"/>
  <c r="D365" i="27"/>
  <c r="D187" i="27"/>
  <c r="D215" i="27"/>
  <c r="J255" i="27"/>
  <c r="J359" i="27"/>
  <c r="Q359" i="27" s="1"/>
  <c r="I118" i="25"/>
  <c r="T63" i="25"/>
  <c r="R75" i="26" a="1"/>
  <c r="R75" i="26" s="1"/>
  <c r="H114" i="25"/>
  <c r="L46" i="26"/>
  <c r="E79" i="27"/>
  <c r="H118" i="25"/>
  <c r="Q75" i="26"/>
  <c r="J63" i="25"/>
  <c r="E249" i="27"/>
  <c r="Z295" i="3"/>
  <c r="G267" i="27" s="1"/>
  <c r="D267" i="27"/>
  <c r="Z271" i="3"/>
  <c r="G127" i="27" s="1"/>
  <c r="D127" i="27"/>
  <c r="Z235" i="3"/>
  <c r="G216" i="27" s="1"/>
  <c r="D216" i="27"/>
  <c r="Q216" i="27" s="1"/>
  <c r="Z211" i="3"/>
  <c r="G63" i="27" s="1"/>
  <c r="D63" i="27"/>
  <c r="Z199" i="3"/>
  <c r="G51" i="27" s="1"/>
  <c r="D51" i="27"/>
  <c r="Z187" i="3"/>
  <c r="G331" i="27" s="1"/>
  <c r="D331" i="27"/>
  <c r="Z175" i="3"/>
  <c r="G318" i="27" s="1"/>
  <c r="D318" i="27"/>
  <c r="Z163" i="3"/>
  <c r="G191" i="27" s="1"/>
  <c r="D191" i="27"/>
  <c r="Q191" i="27" s="1"/>
  <c r="Z151" i="3"/>
  <c r="J267" i="27"/>
  <c r="Z115" i="3"/>
  <c r="M114" i="27" s="1"/>
  <c r="J114" i="27"/>
  <c r="Z103" i="3"/>
  <c r="M361" i="27" s="1"/>
  <c r="J361" i="27"/>
  <c r="Z91" i="3"/>
  <c r="AA91" i="3" s="1"/>
  <c r="G114" i="25"/>
  <c r="P44" i="25" s="1"/>
  <c r="T44" i="25" s="1"/>
  <c r="M37" i="26" a="1"/>
  <c r="M37" i="26" s="1"/>
  <c r="AB34" i="3"/>
  <c r="L320" i="27"/>
  <c r="J61" i="27"/>
  <c r="J249" i="27"/>
  <c r="J183" i="27"/>
  <c r="J268" i="27"/>
  <c r="J190" i="27"/>
  <c r="M318" i="27"/>
  <c r="D360" i="27"/>
  <c r="D132" i="27"/>
  <c r="D85" i="27"/>
  <c r="Q85" i="27" s="1"/>
  <c r="D131" i="27"/>
  <c r="G46" i="26"/>
  <c r="H117" i="25"/>
  <c r="J62" i="25"/>
  <c r="Q46" i="26"/>
  <c r="H111" i="25"/>
  <c r="G75" i="26"/>
  <c r="Z282" i="3"/>
  <c r="G254" i="27" s="1"/>
  <c r="D254" i="27"/>
  <c r="Z270" i="3"/>
  <c r="G126" i="27" s="1"/>
  <c r="D126" i="27"/>
  <c r="Z258" i="3"/>
  <c r="AA258" i="3" s="1"/>
  <c r="F116" i="25"/>
  <c r="F46" i="25" s="1"/>
  <c r="K46" i="25" s="1"/>
  <c r="L95" i="26"/>
  <c r="Z234" i="3"/>
  <c r="AA234" i="3" s="1"/>
  <c r="F114" i="25"/>
  <c r="F44" i="25" s="1"/>
  <c r="K44" i="25" s="1"/>
  <c r="L37" i="26"/>
  <c r="Z222" i="3"/>
  <c r="D88" i="27"/>
  <c r="Z210" i="3"/>
  <c r="G62" i="27" s="1"/>
  <c r="D62" i="27"/>
  <c r="Q62" i="27" s="1"/>
  <c r="Z186" i="3"/>
  <c r="G330" i="27" s="1"/>
  <c r="D330" i="27"/>
  <c r="Z138" i="3"/>
  <c r="M254" i="27" s="1"/>
  <c r="J254" i="27"/>
  <c r="Z114" i="3"/>
  <c r="AA114" i="3" s="1"/>
  <c r="G116" i="25"/>
  <c r="P46" i="25" s="1"/>
  <c r="T46" i="25" s="1"/>
  <c r="J351" i="27"/>
  <c r="M95" i="26" a="1"/>
  <c r="M95" i="26" s="1"/>
  <c r="J360" i="27"/>
  <c r="J127" i="27"/>
  <c r="D361" i="27"/>
  <c r="E90" i="27"/>
  <c r="D57" i="27"/>
  <c r="E52" i="27"/>
  <c r="E181" i="27"/>
  <c r="Y236" i="3"/>
  <c r="E231" i="27"/>
  <c r="Y248" i="3"/>
  <c r="E362" i="27"/>
  <c r="Z233" i="3"/>
  <c r="G103" i="27" s="1"/>
  <c r="T103" i="27" s="1"/>
  <c r="D103" i="27"/>
  <c r="Z14" i="3"/>
  <c r="AA14" i="3" s="1"/>
  <c r="N184" i="27" s="1"/>
  <c r="J184" i="27"/>
  <c r="AC34" i="3"/>
  <c r="N320" i="27"/>
  <c r="H37" i="26"/>
  <c r="J56" i="27"/>
  <c r="J103" i="27"/>
  <c r="D356" i="27"/>
  <c r="D266" i="27"/>
  <c r="E113" i="27"/>
  <c r="J266" i="27"/>
  <c r="H116" i="25"/>
  <c r="J61" i="25"/>
  <c r="L104" i="26"/>
  <c r="Z184" i="3"/>
  <c r="G328" i="27" s="1"/>
  <c r="D328" i="27"/>
  <c r="D357" i="27"/>
  <c r="D354" i="27"/>
  <c r="H115" i="25"/>
  <c r="J60" i="25"/>
  <c r="L75" i="26"/>
  <c r="Z207" i="3"/>
  <c r="G59" i="27" s="1"/>
  <c r="D59" i="27"/>
  <c r="Z171" i="3"/>
  <c r="D199" i="27"/>
  <c r="Z135" i="3"/>
  <c r="M250" i="27" s="1"/>
  <c r="J250" i="27"/>
  <c r="G112" i="25"/>
  <c r="P42" i="25" s="1"/>
  <c r="T42" i="25" s="1"/>
  <c r="H95" i="26" a="1"/>
  <c r="H95" i="26" s="1"/>
  <c r="AC32" i="3"/>
  <c r="N318" i="27"/>
  <c r="J56" i="25"/>
  <c r="L205" i="27"/>
  <c r="J126" i="27"/>
  <c r="K249" i="27"/>
  <c r="D352" i="27"/>
  <c r="D268" i="27"/>
  <c r="E215" i="27"/>
  <c r="D121" i="27"/>
  <c r="D181" i="27"/>
  <c r="AA31" i="3"/>
  <c r="M111" i="25"/>
  <c r="R41" i="25" s="1"/>
  <c r="S41" i="25" s="1" a="1"/>
  <c r="S41" i="25" s="1"/>
  <c r="H67" i="26" a="1"/>
  <c r="H67" i="26" s="1"/>
  <c r="AB33" i="3"/>
  <c r="L319" i="27"/>
  <c r="I112" i="25"/>
  <c r="K317" i="27"/>
  <c r="H104" i="26" a="1"/>
  <c r="H104" i="26" s="1"/>
  <c r="T57" i="25"/>
  <c r="I117" i="25"/>
  <c r="R46" i="26" a="1"/>
  <c r="R46" i="26" s="1"/>
  <c r="K113" i="27"/>
  <c r="T62" i="25"/>
  <c r="Z279" i="3"/>
  <c r="G250" i="27" s="1"/>
  <c r="D250" i="27"/>
  <c r="Z217" i="3"/>
  <c r="G82" i="27" s="1"/>
  <c r="I115" i="25"/>
  <c r="T60" i="25"/>
  <c r="M75" i="26" a="1"/>
  <c r="M75" i="26" s="1"/>
  <c r="K215" i="27"/>
  <c r="Y212" i="3"/>
  <c r="E64" i="27"/>
  <c r="R64" i="27" s="1"/>
  <c r="C201" i="25" a="1"/>
  <c r="C201" i="25" s="1"/>
  <c r="L201" i="25" a="1"/>
  <c r="L201" i="25" s="1"/>
  <c r="I201" i="25" a="1"/>
  <c r="I201" i="25" s="1"/>
  <c r="F201" i="25" a="1"/>
  <c r="F201" i="25" s="1"/>
  <c r="Y92" i="3"/>
  <c r="K232" i="27"/>
  <c r="F90" i="27"/>
  <c r="I114" i="25"/>
  <c r="M46" i="26" a="1"/>
  <c r="M46" i="26" s="1"/>
  <c r="Z278" i="3"/>
  <c r="F117" i="25"/>
  <c r="F47" i="25" s="1"/>
  <c r="K47" i="25" s="1"/>
  <c r="Q37" i="26"/>
  <c r="Z206" i="3"/>
  <c r="G58" i="27" s="1"/>
  <c r="D58" i="27"/>
  <c r="Q58" i="27" s="1"/>
  <c r="Z194" i="3"/>
  <c r="AA194" i="3" s="1"/>
  <c r="F112" i="25"/>
  <c r="F42" i="25" s="1"/>
  <c r="K42" i="25" s="1"/>
  <c r="G95" i="26"/>
  <c r="D317" i="27"/>
  <c r="Z170" i="3"/>
  <c r="G198" i="27" s="1"/>
  <c r="D198" i="27"/>
  <c r="Z146" i="3"/>
  <c r="M262" i="27" s="1"/>
  <c r="J262" i="27"/>
  <c r="G117" i="25"/>
  <c r="P47" i="25" s="1"/>
  <c r="U47" i="25" s="1"/>
  <c r="R37" i="26" a="1"/>
  <c r="R37" i="26" s="1"/>
  <c r="Z110" i="3"/>
  <c r="M368" i="27" s="1"/>
  <c r="J368" i="27"/>
  <c r="Q368" i="27" s="1"/>
  <c r="Z86" i="3"/>
  <c r="M95" i="27" s="1"/>
  <c r="J95" i="27"/>
  <c r="Z74" i="3"/>
  <c r="M82" i="27" s="1"/>
  <c r="J82" i="27"/>
  <c r="AA30" i="3"/>
  <c r="M205" i="27"/>
  <c r="K362" i="27"/>
  <c r="J50" i="27"/>
  <c r="J352" i="27"/>
  <c r="J121" i="27"/>
  <c r="D249" i="27"/>
  <c r="D259" i="27"/>
  <c r="D194" i="27"/>
  <c r="D89" i="27"/>
  <c r="T270" i="27"/>
  <c r="J305" i="27"/>
  <c r="Q305" i="27" s="1"/>
  <c r="U191" i="25"/>
  <c r="R372" i="27"/>
  <c r="M48" i="27"/>
  <c r="Q339" i="27"/>
  <c r="R136" i="27"/>
  <c r="H170" i="27"/>
  <c r="M170" i="27"/>
  <c r="N170" i="27"/>
  <c r="S374" i="27"/>
  <c r="U238" i="27"/>
  <c r="T204" i="27"/>
  <c r="T235" i="27"/>
  <c r="G170" i="27"/>
  <c r="T133" i="27"/>
  <c r="U373" i="27"/>
  <c r="T134" i="27"/>
  <c r="L304" i="27"/>
  <c r="S304" i="27" s="1"/>
  <c r="P303" i="27"/>
  <c r="K303" i="27"/>
  <c r="T202" i="27"/>
  <c r="P305" i="27"/>
  <c r="S202" i="27"/>
  <c r="Q136" i="27"/>
  <c r="K305" i="27"/>
  <c r="E305" i="27"/>
  <c r="G305" i="27"/>
  <c r="T305" i="27" s="1"/>
  <c r="H305" i="27"/>
  <c r="U305" i="27" s="1"/>
  <c r="R134" i="27"/>
  <c r="S236" i="27"/>
  <c r="T237" i="27"/>
  <c r="R340" i="27"/>
  <c r="R272" i="27"/>
  <c r="F305" i="27"/>
  <c r="S305" i="27" s="1"/>
  <c r="U271" i="27"/>
  <c r="O305" i="27"/>
  <c r="S238" i="27"/>
  <c r="U134" i="27"/>
  <c r="R338" i="27"/>
  <c r="R235" i="27"/>
  <c r="T236" i="27"/>
  <c r="K304" i="27"/>
  <c r="U270" i="27"/>
  <c r="T338" i="27"/>
  <c r="Q135" i="27"/>
  <c r="T272" i="27"/>
  <c r="S203" i="27"/>
  <c r="S372" i="27"/>
  <c r="T373" i="27"/>
  <c r="T238" i="27"/>
  <c r="Y13" i="3"/>
  <c r="U339" i="27"/>
  <c r="R202" i="27"/>
  <c r="S338" i="27"/>
  <c r="R204" i="27"/>
  <c r="U338" i="27"/>
  <c r="K167" i="27"/>
  <c r="R373" i="27"/>
  <c r="G304" i="27"/>
  <c r="S306" i="27"/>
  <c r="T339" i="27"/>
  <c r="S237" i="27"/>
  <c r="S271" i="27"/>
  <c r="O304" i="27"/>
  <c r="R135" i="27"/>
  <c r="S135" i="27"/>
  <c r="E167" i="27"/>
  <c r="D167" i="27"/>
  <c r="Q167" i="27" s="1"/>
  <c r="M306" i="27"/>
  <c r="P167" i="27"/>
  <c r="D168" i="27"/>
  <c r="F168" i="27"/>
  <c r="G168" i="27"/>
  <c r="H168" i="27"/>
  <c r="J168" i="27"/>
  <c r="M168" i="27"/>
  <c r="N168" i="27"/>
  <c r="U237" i="27"/>
  <c r="J169" i="27"/>
  <c r="K169" i="27"/>
  <c r="L169" i="27"/>
  <c r="M169" i="27"/>
  <c r="N169" i="27"/>
  <c r="P169" i="27"/>
  <c r="P304" i="27"/>
  <c r="R337" i="27"/>
  <c r="P306" i="27"/>
  <c r="K168" i="27"/>
  <c r="E168" i="27"/>
  <c r="S272" i="27"/>
  <c r="E171" i="27"/>
  <c r="O171" i="27"/>
  <c r="Q204" i="27"/>
  <c r="U136" i="27"/>
  <c r="N306" i="27"/>
  <c r="K306" i="27"/>
  <c r="M304" i="27"/>
  <c r="D304" i="27"/>
  <c r="E304" i="27"/>
  <c r="H304" i="27"/>
  <c r="U304" i="27" s="1"/>
  <c r="H169" i="27"/>
  <c r="D169" i="27"/>
  <c r="E169" i="27"/>
  <c r="F169" i="27"/>
  <c r="G169" i="27"/>
  <c r="O169" i="27"/>
  <c r="O306" i="27"/>
  <c r="U340" i="27"/>
  <c r="L168" i="27"/>
  <c r="K171" i="27"/>
  <c r="P171" i="27"/>
  <c r="T271" i="27"/>
  <c r="D306" i="27"/>
  <c r="J304" i="27"/>
  <c r="O168" i="27"/>
  <c r="R238" i="27"/>
  <c r="S235" i="27"/>
  <c r="S270" i="27"/>
  <c r="G306" i="27"/>
  <c r="T372" i="27"/>
  <c r="S339" i="27"/>
  <c r="T203" i="27"/>
  <c r="U372" i="27"/>
  <c r="P168" i="27"/>
  <c r="O167" i="27"/>
  <c r="J170" i="27"/>
  <c r="Q170" i="27" s="1"/>
  <c r="K170" i="27"/>
  <c r="R170" i="27" s="1"/>
  <c r="L170" i="27"/>
  <c r="S170" i="27" s="1"/>
  <c r="E306" i="27"/>
  <c r="J306" i="27"/>
  <c r="R371" i="27"/>
  <c r="U374" i="27"/>
  <c r="H306" i="27"/>
  <c r="T337" i="27"/>
  <c r="Q340" i="27"/>
  <c r="T340" i="27"/>
  <c r="D303" i="27"/>
  <c r="O303" i="27"/>
  <c r="E303" i="27"/>
  <c r="G303" i="27"/>
  <c r="R271" i="27"/>
  <c r="R270" i="27"/>
  <c r="R269" i="27"/>
  <c r="R237" i="27"/>
  <c r="R133" i="27"/>
  <c r="F33" i="27"/>
  <c r="S33" i="27" s="1"/>
  <c r="H33" i="27"/>
  <c r="E33" i="27"/>
  <c r="G33" i="27"/>
  <c r="P33" i="27"/>
  <c r="T67" i="27"/>
  <c r="P31" i="27"/>
  <c r="R102" i="27"/>
  <c r="S100" i="27"/>
  <c r="Q102" i="27"/>
  <c r="L34" i="27"/>
  <c r="S67" i="27"/>
  <c r="K31" i="27"/>
  <c r="K33" i="27"/>
  <c r="T66" i="27"/>
  <c r="R68" i="27"/>
  <c r="U100" i="27"/>
  <c r="U67" i="27"/>
  <c r="U102" i="27"/>
  <c r="M33" i="27"/>
  <c r="D32" i="27"/>
  <c r="Q32" i="27" s="1"/>
  <c r="K32" i="27"/>
  <c r="R67" i="27"/>
  <c r="M32" i="27"/>
  <c r="N32" i="27"/>
  <c r="U32" i="27" s="1"/>
  <c r="S68" i="27"/>
  <c r="O32" i="27"/>
  <c r="L32" i="27"/>
  <c r="P32" i="27"/>
  <c r="N34" i="27"/>
  <c r="E32" i="27"/>
  <c r="U68" i="27"/>
  <c r="J34" i="27"/>
  <c r="G32" i="27"/>
  <c r="R66" i="27"/>
  <c r="F32" i="27"/>
  <c r="T100" i="27"/>
  <c r="T101" i="27"/>
  <c r="J33" i="27"/>
  <c r="Q33" i="27" s="1"/>
  <c r="N33" i="27"/>
  <c r="M34" i="27"/>
  <c r="P34" i="27"/>
  <c r="R101" i="27"/>
  <c r="O33" i="27"/>
  <c r="U66" i="27"/>
  <c r="U101" i="27"/>
  <c r="T102" i="27"/>
  <c r="R100" i="27"/>
  <c r="R99" i="27"/>
  <c r="O31" i="27"/>
  <c r="S66" i="27"/>
  <c r="D34" i="27"/>
  <c r="F34" i="27"/>
  <c r="E34" i="27"/>
  <c r="R34" i="27" s="1"/>
  <c r="G34" i="27"/>
  <c r="H34" i="27"/>
  <c r="E31" i="27"/>
  <c r="D31" i="27"/>
  <c r="Q31" i="27" s="1"/>
  <c r="O34" i="27"/>
  <c r="Y61" i="3"/>
  <c r="Y277" i="3"/>
  <c r="Y49" i="3"/>
  <c r="Y121" i="3"/>
  <c r="Y145" i="3"/>
  <c r="Y241" i="3"/>
  <c r="Y253" i="3"/>
  <c r="Y20" i="3"/>
  <c r="Y218" i="3"/>
  <c r="Y19" i="3"/>
  <c r="Y272" i="3"/>
  <c r="Y284" i="3"/>
  <c r="Y105" i="3"/>
  <c r="Y296" i="3"/>
  <c r="Y321" i="3"/>
  <c r="AB321" i="3" s="1"/>
  <c r="Y333" i="3"/>
  <c r="AB333" i="3" s="1"/>
  <c r="Y44" i="3"/>
  <c r="Y260" i="3"/>
  <c r="Y116" i="3"/>
  <c r="Y176" i="3"/>
  <c r="Y68" i="3"/>
  <c r="K210" i="25"/>
  <c r="C212" i="25"/>
  <c r="E213" i="25"/>
  <c r="K208" i="25"/>
  <c r="B212" i="25"/>
  <c r="D213" i="25"/>
  <c r="F231" i="25"/>
  <c r="D211" i="25"/>
  <c r="F212" i="25"/>
  <c r="J214" i="25"/>
  <c r="D230" i="25"/>
  <c r="X153" i="25"/>
  <c r="F101" i="25"/>
  <c r="B75" i="25"/>
  <c r="C75" i="25" s="1"/>
  <c r="F214" i="25"/>
  <c r="C192" i="25"/>
  <c r="T94" i="25"/>
  <c r="B84" i="25"/>
  <c r="D232" i="25"/>
  <c r="B209" i="25"/>
  <c r="J213" i="25"/>
  <c r="O99" i="25"/>
  <c r="I210" i="25"/>
  <c r="X137" i="25"/>
  <c r="X143" i="25"/>
  <c r="T99" i="25"/>
  <c r="V151" i="25"/>
  <c r="D96" i="25"/>
  <c r="H211" i="25"/>
  <c r="O100" i="25"/>
  <c r="C31" i="25"/>
  <c r="C101" i="25"/>
  <c r="E209" i="25"/>
  <c r="C189" i="25"/>
  <c r="C23" i="25"/>
  <c r="C22" i="25" s="1"/>
  <c r="G230" i="25"/>
  <c r="E99" i="25"/>
  <c r="E97" i="25"/>
  <c r="G98" i="25"/>
  <c r="K230" i="25"/>
  <c r="B99" i="25"/>
  <c r="E73" i="25"/>
  <c r="F73" i="25" s="1"/>
  <c r="X152" i="25"/>
  <c r="V139" i="25"/>
  <c r="F98" i="25"/>
  <c r="V156" i="25"/>
  <c r="D210" i="25"/>
  <c r="F211" i="25"/>
  <c r="H229" i="25"/>
  <c r="B229" i="25"/>
  <c r="D86" i="25"/>
  <c r="C94" i="25"/>
  <c r="E95" i="25"/>
  <c r="G96" i="25"/>
  <c r="I97" i="25"/>
  <c r="C100" i="25"/>
  <c r="E101" i="25"/>
  <c r="G209" i="25"/>
  <c r="T101" i="25"/>
  <c r="D94" i="25"/>
  <c r="F95" i="25"/>
  <c r="D100" i="25"/>
  <c r="S94" i="25"/>
  <c r="Q99" i="25"/>
  <c r="U101" i="25"/>
  <c r="I192" i="25"/>
  <c r="G95" i="25"/>
  <c r="I96" i="25"/>
  <c r="K97" i="25"/>
  <c r="C99" i="25"/>
  <c r="E100" i="25"/>
  <c r="G101" i="25"/>
  <c r="G214" i="25"/>
  <c r="I215" i="25"/>
  <c r="B215" i="25"/>
  <c r="J31" i="25"/>
  <c r="H212" i="25"/>
  <c r="K100" i="25"/>
  <c r="N94" i="25"/>
  <c r="P95" i="25"/>
  <c r="T97" i="25"/>
  <c r="N100" i="25"/>
  <c r="P101" i="25"/>
  <c r="O94" i="25"/>
  <c r="Q95" i="25"/>
  <c r="S96" i="25"/>
  <c r="U97" i="25"/>
  <c r="M99" i="25"/>
  <c r="Q101" i="25"/>
  <c r="C95" i="25"/>
  <c r="R95" i="25"/>
  <c r="T96" i="25"/>
  <c r="N99" i="25"/>
  <c r="P100" i="25"/>
  <c r="R101" i="25"/>
  <c r="F96" i="25"/>
  <c r="B100" i="25"/>
  <c r="V152" i="25"/>
  <c r="J17" i="25"/>
  <c r="L95" i="25"/>
  <c r="P97" i="25"/>
  <c r="R98" i="25"/>
  <c r="C32" i="25"/>
  <c r="O96" i="25"/>
  <c r="U99" i="25"/>
  <c r="M101" i="25"/>
  <c r="E98" i="25"/>
  <c r="I230" i="25"/>
  <c r="Y67" i="3"/>
  <c r="Y139" i="3"/>
  <c r="Y283" i="3"/>
  <c r="Y163" i="3"/>
  <c r="Y235" i="3"/>
  <c r="Y247" i="3"/>
  <c r="Y237" i="3"/>
  <c r="Y249" i="3"/>
  <c r="Y165" i="3"/>
  <c r="Y189" i="3"/>
  <c r="Y273" i="3"/>
  <c r="Y285" i="3"/>
  <c r="Y57" i="3"/>
  <c r="Y114" i="3"/>
  <c r="Y162" i="3"/>
  <c r="Y270" i="3"/>
  <c r="Y282" i="3"/>
  <c r="Y126" i="3"/>
  <c r="Y306" i="3"/>
  <c r="AB306" i="3" s="1"/>
  <c r="Y318" i="3"/>
  <c r="AB318" i="3" s="1"/>
  <c r="Y330" i="3"/>
  <c r="AB330" i="3" s="1"/>
  <c r="Y294" i="3"/>
  <c r="Y24" i="3"/>
  <c r="Y234" i="3"/>
  <c r="Y246" i="3"/>
  <c r="Y66" i="3"/>
  <c r="Y138" i="3"/>
  <c r="Y78" i="3"/>
  <c r="Y222" i="3"/>
  <c r="Y93" i="3"/>
  <c r="Y69" i="3"/>
  <c r="Y225" i="3"/>
  <c r="Y117" i="3"/>
  <c r="Y213" i="3"/>
  <c r="Y177" i="3"/>
  <c r="Y45" i="3"/>
  <c r="AA391" i="3"/>
  <c r="AC391" i="3" s="1"/>
  <c r="Y297" i="3"/>
  <c r="AA323" i="3"/>
  <c r="AC323" i="3" s="1"/>
  <c r="Y95" i="3"/>
  <c r="AA411" i="3"/>
  <c r="AC411" i="3" s="1"/>
  <c r="Y395" i="3"/>
  <c r="AB395" i="3" s="1"/>
  <c r="Y94" i="3"/>
  <c r="AA15" i="3"/>
  <c r="Y141" i="3"/>
  <c r="Y190" i="3"/>
  <c r="Y62" i="3"/>
  <c r="AA164" i="3"/>
  <c r="Y85" i="3"/>
  <c r="Y205" i="3"/>
  <c r="Y157" i="3"/>
  <c r="Y86" i="3"/>
  <c r="Y110" i="3"/>
  <c r="Y158" i="3"/>
  <c r="Y265" i="3"/>
  <c r="Y302" i="3"/>
  <c r="AB302" i="3" s="1"/>
  <c r="AA146" i="3"/>
  <c r="AA343" i="3"/>
  <c r="AC343" i="3" s="1"/>
  <c r="Y74" i="3"/>
  <c r="Y254" i="3"/>
  <c r="AA332" i="3"/>
  <c r="AC332" i="3" s="1"/>
  <c r="Y170" i="3"/>
  <c r="Y217" i="3"/>
  <c r="AA159" i="3"/>
  <c r="Y351" i="3"/>
  <c r="AB351" i="3" s="1"/>
  <c r="Y387" i="3"/>
  <c r="AB387" i="3" s="1"/>
  <c r="O63" i="27"/>
  <c r="O199" i="27"/>
  <c r="AA223" i="3"/>
  <c r="Y231" i="3"/>
  <c r="Y243" i="3"/>
  <c r="Y171" i="3"/>
  <c r="AA20" i="3"/>
  <c r="Y135" i="3"/>
  <c r="AA308" i="3"/>
  <c r="AC308" i="3" s="1"/>
  <c r="Y279" i="3"/>
  <c r="O98" i="27"/>
  <c r="O234" i="27"/>
  <c r="AA276" i="3"/>
  <c r="Y396" i="3"/>
  <c r="AB396" i="3" s="1"/>
  <c r="AA373" i="3"/>
  <c r="AC373" i="3" s="1"/>
  <c r="Y111" i="3"/>
  <c r="Y159" i="3"/>
  <c r="AA218" i="3"/>
  <c r="Y303" i="3"/>
  <c r="AB303" i="3" s="1"/>
  <c r="Y327" i="3"/>
  <c r="AB327" i="3" s="1"/>
  <c r="Y400" i="3"/>
  <c r="AB400" i="3" s="1"/>
  <c r="Y394" i="3"/>
  <c r="AB394" i="3" s="1"/>
  <c r="AA377" i="3"/>
  <c r="AC377" i="3" s="1"/>
  <c r="AA294" i="3"/>
  <c r="AA393" i="3"/>
  <c r="AC393" i="3" s="1"/>
  <c r="AA376" i="3"/>
  <c r="AC376" i="3" s="1"/>
  <c r="AA381" i="3"/>
  <c r="AC381" i="3" s="1"/>
  <c r="AA318" i="3"/>
  <c r="AC318" i="3" s="1"/>
  <c r="O200" i="27"/>
  <c r="AA24" i="3"/>
  <c r="Y367" i="3"/>
  <c r="AB367" i="3" s="1"/>
  <c r="Y343" i="3"/>
  <c r="AB343" i="3" s="1"/>
  <c r="Y354" i="3"/>
  <c r="AB354" i="3" s="1"/>
  <c r="Y342" i="3"/>
  <c r="AB342" i="3" s="1"/>
  <c r="Y72" i="3"/>
  <c r="Y384" i="3"/>
  <c r="AB384" i="3" s="1"/>
  <c r="Y372" i="3"/>
  <c r="AB372" i="3" s="1"/>
  <c r="Y389" i="3"/>
  <c r="AB389" i="3" s="1"/>
  <c r="AA372" i="3"/>
  <c r="AC372" i="3" s="1"/>
  <c r="AA358" i="3"/>
  <c r="AC358" i="3" s="1"/>
  <c r="AA388" i="3"/>
  <c r="AC388" i="3" s="1"/>
  <c r="Y382" i="3"/>
  <c r="AB382" i="3" s="1"/>
  <c r="Y371" i="3"/>
  <c r="AB371" i="3" s="1"/>
  <c r="AA383" i="3"/>
  <c r="AC383" i="3" s="1"/>
  <c r="Y251" i="3"/>
  <c r="O96" i="27"/>
  <c r="O85" i="27"/>
  <c r="O57" i="27"/>
  <c r="AA378" i="3"/>
  <c r="AC378" i="3" s="1"/>
  <c r="AA333" i="3"/>
  <c r="AC333" i="3" s="1"/>
  <c r="O351" i="27"/>
  <c r="O231" i="27"/>
  <c r="O192" i="27"/>
  <c r="Y366" i="3"/>
  <c r="AB366" i="3" s="1"/>
  <c r="Y385" i="3"/>
  <c r="AB385" i="3" s="1"/>
  <c r="Z382" i="3"/>
  <c r="AA382" i="3" s="1"/>
  <c r="AC382" i="3" s="1"/>
  <c r="Y373" i="3"/>
  <c r="AB373" i="3" s="1"/>
  <c r="Y370" i="3"/>
  <c r="AB370" i="3" s="1"/>
  <c r="Y335" i="3"/>
  <c r="AB335" i="3" s="1"/>
  <c r="O123" i="27"/>
  <c r="Z394" i="3"/>
  <c r="AA394" i="3" s="1"/>
  <c r="AC394" i="3" s="1"/>
  <c r="Y390" i="3"/>
  <c r="AB390" i="3" s="1"/>
  <c r="Y378" i="3"/>
  <c r="AB378" i="3" s="1"/>
  <c r="AA79" i="3"/>
  <c r="Y344" i="3"/>
  <c r="AB344" i="3" s="1"/>
  <c r="AA66" i="3"/>
  <c r="Y204" i="3"/>
  <c r="Y264" i="3"/>
  <c r="AA367" i="3"/>
  <c r="AC367" i="3" s="1"/>
  <c r="Z384" i="3"/>
  <c r="AA384" i="3" s="1"/>
  <c r="AC384" i="3" s="1"/>
  <c r="Y377" i="3"/>
  <c r="AB377" i="3" s="1"/>
  <c r="AA205" i="3"/>
  <c r="Y411" i="3"/>
  <c r="AB411" i="3" s="1"/>
  <c r="Z395" i="3"/>
  <c r="AA395" i="3" s="1"/>
  <c r="AC395" i="3" s="1"/>
  <c r="AA105" i="3"/>
  <c r="O132" i="27"/>
  <c r="O268" i="27"/>
  <c r="AA355" i="3"/>
  <c r="AC355" i="3" s="1"/>
  <c r="Y392" i="3"/>
  <c r="AB392" i="3" s="1"/>
  <c r="Y383" i="3"/>
  <c r="AB383" i="3" s="1"/>
  <c r="Z370" i="3"/>
  <c r="AA370" i="3" s="1"/>
  <c r="AC370" i="3" s="1"/>
  <c r="O81" i="27"/>
  <c r="P251" i="27"/>
  <c r="AA342" i="3"/>
  <c r="AC342" i="3" s="1"/>
  <c r="Y350" i="3"/>
  <c r="AB350" i="3" s="1"/>
  <c r="AA397" i="3"/>
  <c r="AC397" i="3" s="1"/>
  <c r="Y379" i="3"/>
  <c r="AB379" i="3" s="1"/>
  <c r="O45" i="27"/>
  <c r="O335" i="27"/>
  <c r="Y376" i="3"/>
  <c r="AB376" i="3" s="1"/>
  <c r="Y223" i="3"/>
  <c r="AA42" i="3"/>
  <c r="Z396" i="3"/>
  <c r="AA396" i="3" s="1"/>
  <c r="AC396" i="3" s="1"/>
  <c r="Y391" i="3"/>
  <c r="AB391" i="3" s="1"/>
  <c r="AA35" i="3"/>
  <c r="AA166" i="3"/>
  <c r="Y187" i="3"/>
  <c r="Z400" i="3"/>
  <c r="AA400" i="3" s="1"/>
  <c r="AC400" i="3" s="1"/>
  <c r="Z390" i="3"/>
  <c r="AA390" i="3" s="1"/>
  <c r="AC390" i="3" s="1"/>
  <c r="Y388" i="3"/>
  <c r="AB388" i="3" s="1"/>
  <c r="Y375" i="3"/>
  <c r="AB375" i="3" s="1"/>
  <c r="Z371" i="3"/>
  <c r="AA371" i="3" s="1"/>
  <c r="AC371" i="3" s="1"/>
  <c r="Y271" i="3"/>
  <c r="AA248" i="3"/>
  <c r="O48" i="27"/>
  <c r="AA366" i="3"/>
  <c r="AC366" i="3" s="1"/>
  <c r="Y374" i="3"/>
  <c r="AB374" i="3" s="1"/>
  <c r="Y127" i="3"/>
  <c r="Y151" i="3"/>
  <c r="Y259" i="3"/>
  <c r="AA275" i="3"/>
  <c r="AA356" i="3"/>
  <c r="AC356" i="3" s="1"/>
  <c r="Y399" i="3"/>
  <c r="AB399" i="3" s="1"/>
  <c r="Y386" i="3"/>
  <c r="AB386" i="3" s="1"/>
  <c r="Y381" i="3"/>
  <c r="AB381" i="3" s="1"/>
  <c r="AA116" i="3"/>
  <c r="Z389" i="3"/>
  <c r="AA389" i="3" s="1"/>
  <c r="AC389" i="3" s="1"/>
  <c r="O260" i="27"/>
  <c r="Y398" i="3"/>
  <c r="AB398" i="3" s="1"/>
  <c r="Y393" i="3"/>
  <c r="AB393" i="3" s="1"/>
  <c r="Y380" i="3"/>
  <c r="AB380" i="3" s="1"/>
  <c r="AA303" i="3"/>
  <c r="AC303" i="3" s="1"/>
  <c r="AA302" i="3"/>
  <c r="AC302" i="3" s="1"/>
  <c r="AA236" i="3"/>
  <c r="Y352" i="3"/>
  <c r="AB352" i="3" s="1"/>
  <c r="Y397" i="3"/>
  <c r="AB397" i="3" s="1"/>
  <c r="AA385" i="3"/>
  <c r="AC385" i="3" s="1"/>
  <c r="Z379" i="3"/>
  <c r="AA379" i="3" s="1"/>
  <c r="AC379" i="3" s="1"/>
  <c r="V155" i="25"/>
  <c r="I213" i="25"/>
  <c r="Y155" i="25"/>
  <c r="J21" i="25"/>
  <c r="O97" i="25"/>
  <c r="B210" i="25"/>
  <c r="U94" i="25"/>
  <c r="J94" i="25"/>
  <c r="B96" i="25"/>
  <c r="D97" i="25"/>
  <c r="U41" i="25"/>
  <c r="H96" i="25"/>
  <c r="J97" i="25"/>
  <c r="Q32" i="25"/>
  <c r="L103" i="25"/>
  <c r="H195" i="25"/>
  <c r="E232" i="25"/>
  <c r="N96" i="25"/>
  <c r="L101" i="25"/>
  <c r="J95" i="25"/>
  <c r="B97" i="25"/>
  <c r="D98" i="25"/>
  <c r="F99" i="25"/>
  <c r="H100" i="25"/>
  <c r="J101" i="25"/>
  <c r="J208" i="25"/>
  <c r="I229" i="25"/>
  <c r="M95" i="25"/>
  <c r="Q97" i="25"/>
  <c r="S98" i="25"/>
  <c r="I188" i="25"/>
  <c r="I191" i="25"/>
  <c r="I194" i="25"/>
  <c r="I94" i="25"/>
  <c r="K95" i="25"/>
  <c r="C97" i="25"/>
  <c r="K101" i="25"/>
  <c r="E211" i="25"/>
  <c r="G212" i="25"/>
  <c r="K214" i="25"/>
  <c r="W154" i="25"/>
  <c r="Y157" i="25"/>
  <c r="R94" i="25"/>
  <c r="T95" i="25"/>
  <c r="W153" i="25"/>
  <c r="N98" i="25"/>
  <c r="P99" i="25"/>
  <c r="R100" i="25"/>
  <c r="U189" i="25"/>
  <c r="Y150" i="25"/>
  <c r="S100" i="25"/>
  <c r="G231" i="25"/>
  <c r="X140" i="25"/>
  <c r="P94" i="25"/>
  <c r="V157" i="25"/>
  <c r="Y190" i="25"/>
  <c r="O273" i="27"/>
  <c r="O126" i="27"/>
  <c r="O114" i="27"/>
  <c r="O86" i="27"/>
  <c r="O262" i="27"/>
  <c r="O194" i="27"/>
  <c r="O182" i="27"/>
  <c r="O352" i="27"/>
  <c r="O116" i="27"/>
  <c r="O252" i="27"/>
  <c r="O113" i="27"/>
  <c r="O122" i="27"/>
  <c r="O82" i="27"/>
  <c r="O54" i="27"/>
  <c r="O258" i="27"/>
  <c r="O218" i="27"/>
  <c r="O190" i="27"/>
  <c r="T360" i="27"/>
  <c r="O360" i="27"/>
  <c r="O320" i="27"/>
  <c r="O131" i="27"/>
  <c r="O267" i="27"/>
  <c r="O79" i="27"/>
  <c r="O121" i="27"/>
  <c r="O93" i="27"/>
  <c r="O53" i="27"/>
  <c r="O257" i="27"/>
  <c r="O229" i="27"/>
  <c r="O217" i="27"/>
  <c r="O189" i="27"/>
  <c r="O239" i="27"/>
  <c r="O359" i="27"/>
  <c r="O331" i="27"/>
  <c r="O319" i="27"/>
  <c r="O369" i="27"/>
  <c r="O97" i="27"/>
  <c r="O233" i="27"/>
  <c r="O58" i="27"/>
  <c r="O120" i="27"/>
  <c r="O92" i="27"/>
  <c r="O80" i="27"/>
  <c r="O52" i="27"/>
  <c r="O256" i="27"/>
  <c r="O228" i="27"/>
  <c r="O216" i="27"/>
  <c r="O188" i="27"/>
  <c r="O205" i="27"/>
  <c r="O358" i="27"/>
  <c r="O330" i="27"/>
  <c r="O318" i="27"/>
  <c r="O184" i="27"/>
  <c r="O130" i="27"/>
  <c r="O119" i="27"/>
  <c r="O91" i="27"/>
  <c r="O62" i="27"/>
  <c r="O51" i="27"/>
  <c r="O137" i="27"/>
  <c r="O266" i="27"/>
  <c r="O255" i="27"/>
  <c r="O227" i="27"/>
  <c r="O198" i="27"/>
  <c r="O187" i="27"/>
  <c r="O368" i="27"/>
  <c r="O357" i="27"/>
  <c r="O329" i="27"/>
  <c r="O215" i="27"/>
  <c r="O129" i="27"/>
  <c r="O118" i="27"/>
  <c r="O90" i="27"/>
  <c r="O61" i="27"/>
  <c r="O50" i="27"/>
  <c r="O103" i="27"/>
  <c r="O265" i="27"/>
  <c r="O254" i="27"/>
  <c r="O226" i="27"/>
  <c r="O197" i="27"/>
  <c r="O186" i="27"/>
  <c r="O367" i="27"/>
  <c r="O356" i="27"/>
  <c r="O328" i="27"/>
  <c r="O222" i="27"/>
  <c r="O128" i="27"/>
  <c r="O117" i="27"/>
  <c r="O89" i="27"/>
  <c r="O60" i="27"/>
  <c r="U49" i="27"/>
  <c r="O49" i="27"/>
  <c r="O69" i="27"/>
  <c r="O264" i="27"/>
  <c r="O253" i="27"/>
  <c r="O225" i="27"/>
  <c r="O196" i="27"/>
  <c r="O185" i="27"/>
  <c r="O366" i="27"/>
  <c r="O355" i="27"/>
  <c r="O327" i="27"/>
  <c r="O375" i="27"/>
  <c r="O249" i="27"/>
  <c r="O224" i="27"/>
  <c r="O354" i="27"/>
  <c r="O326" i="27"/>
  <c r="O341" i="27"/>
  <c r="O317" i="27"/>
  <c r="O127" i="27"/>
  <c r="O115" i="27"/>
  <c r="O87" i="27"/>
  <c r="O59" i="27"/>
  <c r="O47" i="27"/>
  <c r="O263" i="27"/>
  <c r="O251" i="27"/>
  <c r="O223" i="27"/>
  <c r="O195" i="27"/>
  <c r="O183" i="27"/>
  <c r="O365" i="27"/>
  <c r="O353" i="27"/>
  <c r="O325" i="27"/>
  <c r="O88" i="27"/>
  <c r="O250" i="27"/>
  <c r="O324" i="27"/>
  <c r="O125" i="27"/>
  <c r="O261" i="27"/>
  <c r="O232" i="27"/>
  <c r="O221" i="27"/>
  <c r="O193" i="27"/>
  <c r="O363" i="27"/>
  <c r="O334" i="27"/>
  <c r="O323" i="27"/>
  <c r="O370" i="27"/>
  <c r="O46" i="27"/>
  <c r="O364" i="27"/>
  <c r="O124" i="27"/>
  <c r="O95" i="27"/>
  <c r="O84" i="27"/>
  <c r="O56" i="27"/>
  <c r="O220" i="27"/>
  <c r="O362" i="27"/>
  <c r="O333" i="27"/>
  <c r="O322" i="27"/>
  <c r="O336" i="27"/>
  <c r="O64" i="27"/>
  <c r="O94" i="27"/>
  <c r="O83" i="27"/>
  <c r="O55" i="27"/>
  <c r="O259" i="27"/>
  <c r="O230" i="27"/>
  <c r="O219" i="27"/>
  <c r="O191" i="27"/>
  <c r="O361" i="27"/>
  <c r="O332" i="27"/>
  <c r="O321" i="27"/>
  <c r="P224" i="27"/>
  <c r="Z365" i="3"/>
  <c r="AA365" i="3" s="1"/>
  <c r="AC365" i="3" s="1"/>
  <c r="Y365" i="3"/>
  <c r="AB365" i="3" s="1"/>
  <c r="Z353" i="3"/>
  <c r="AA353" i="3" s="1"/>
  <c r="AC353" i="3" s="1"/>
  <c r="Y353" i="3"/>
  <c r="AB353" i="3" s="1"/>
  <c r="Z341" i="3"/>
  <c r="AA341" i="3" s="1"/>
  <c r="AC341" i="3" s="1"/>
  <c r="Y341" i="3"/>
  <c r="AB341" i="3" s="1"/>
  <c r="Y295" i="3"/>
  <c r="AA295" i="3"/>
  <c r="P216" i="27"/>
  <c r="Z226" i="3"/>
  <c r="Y226" i="3"/>
  <c r="AA306" i="3"/>
  <c r="AC306" i="3" s="1"/>
  <c r="Y129" i="3"/>
  <c r="AA177" i="3"/>
  <c r="AA316" i="3"/>
  <c r="AC316" i="3" s="1"/>
  <c r="AA158" i="3"/>
  <c r="AA265" i="3"/>
  <c r="AA284" i="3"/>
  <c r="AA331" i="3"/>
  <c r="AC331" i="3" s="1"/>
  <c r="AA253" i="3"/>
  <c r="AA273" i="3"/>
  <c r="AA249" i="3"/>
  <c r="AA285" i="3"/>
  <c r="Y27" i="3"/>
  <c r="AA368" i="3"/>
  <c r="AC368" i="3" s="1"/>
  <c r="Y275" i="3"/>
  <c r="Y14" i="3"/>
  <c r="AA111" i="3"/>
  <c r="AA145" i="3"/>
  <c r="AA152" i="3"/>
  <c r="Y81" i="3"/>
  <c r="Y153" i="3"/>
  <c r="Y201" i="3"/>
  <c r="Y261" i="3"/>
  <c r="Y15" i="3"/>
  <c r="AA307" i="3"/>
  <c r="AC307" i="3" s="1"/>
  <c r="AA211" i="3"/>
  <c r="AA103" i="3"/>
  <c r="Y91" i="3"/>
  <c r="AA25" i="3"/>
  <c r="AA354" i="3"/>
  <c r="AC354" i="3" s="1"/>
  <c r="Y356" i="3"/>
  <c r="AB356" i="3" s="1"/>
  <c r="AA13" i="3"/>
  <c r="AA126" i="3"/>
  <c r="AA181" i="3"/>
  <c r="P257" i="27"/>
  <c r="AA50" i="3"/>
  <c r="AA188" i="3"/>
  <c r="Y59" i="3"/>
  <c r="AA92" i="3"/>
  <c r="AA315" i="3"/>
  <c r="AC315" i="3" s="1"/>
  <c r="AA314" i="3"/>
  <c r="AC314" i="3" s="1"/>
  <c r="AA313" i="3"/>
  <c r="AC313" i="3" s="1"/>
  <c r="AA49" i="3"/>
  <c r="AA320" i="3"/>
  <c r="AC320" i="3" s="1"/>
  <c r="AA296" i="3"/>
  <c r="AA246" i="3"/>
  <c r="AA283" i="3"/>
  <c r="AA267" i="3"/>
  <c r="F41" i="25"/>
  <c r="J195" i="25"/>
  <c r="L195" i="25" s="1"/>
  <c r="P255" i="27"/>
  <c r="J192" i="25"/>
  <c r="M192" i="25" s="1"/>
  <c r="B20" i="25"/>
  <c r="H20" i="25" s="1"/>
  <c r="P266" i="27"/>
  <c r="D13" i="26"/>
  <c r="M43" i="25"/>
  <c r="O43" i="25" s="1"/>
  <c r="B23" i="25"/>
  <c r="G23" i="25" s="1"/>
  <c r="I164" i="27"/>
  <c r="I307" i="27"/>
  <c r="K307" i="27" s="1"/>
  <c r="P357" i="27"/>
  <c r="L48" i="25"/>
  <c r="I159" i="27"/>
  <c r="R225" i="27"/>
  <c r="C41" i="25"/>
  <c r="C288" i="27"/>
  <c r="M42" i="25"/>
  <c r="P363" i="27"/>
  <c r="P334" i="27"/>
  <c r="P45" i="27"/>
  <c r="T233" i="27"/>
  <c r="P87" i="27"/>
  <c r="P114" i="27"/>
  <c r="C295" i="27"/>
  <c r="P81" i="27"/>
  <c r="C294" i="27"/>
  <c r="U128" i="27"/>
  <c r="P261" i="27"/>
  <c r="P93" i="27"/>
  <c r="I13" i="27"/>
  <c r="P47" i="27"/>
  <c r="P184" i="27"/>
  <c r="N29" i="26"/>
  <c r="M188" i="25"/>
  <c r="P367" i="27"/>
  <c r="P356" i="27"/>
  <c r="P115" i="27"/>
  <c r="P328" i="27"/>
  <c r="J191" i="25"/>
  <c r="M191" i="25" s="1"/>
  <c r="I25" i="27"/>
  <c r="R356" i="27"/>
  <c r="N39" i="26"/>
  <c r="N25" i="26"/>
  <c r="W32" i="25"/>
  <c r="AC32" i="25" s="1"/>
  <c r="AB32" i="25" s="1"/>
  <c r="R127" i="27"/>
  <c r="P218" i="27"/>
  <c r="N232" i="25"/>
  <c r="M209" i="25"/>
  <c r="K94" i="25"/>
  <c r="C96" i="25"/>
  <c r="E75" i="25"/>
  <c r="G75" i="25" s="1"/>
  <c r="Y141" i="25"/>
  <c r="L208" i="25"/>
  <c r="N209" i="25"/>
  <c r="P210" i="25"/>
  <c r="R211" i="25"/>
  <c r="T212" i="25"/>
  <c r="L214" i="25"/>
  <c r="N215" i="25"/>
  <c r="L105" i="25"/>
  <c r="L96" i="25"/>
  <c r="R99" i="25"/>
  <c r="T100" i="25"/>
  <c r="J33" i="25"/>
  <c r="B95" i="25"/>
  <c r="F97" i="25"/>
  <c r="H98" i="25"/>
  <c r="J99" i="25"/>
  <c r="B101" i="25"/>
  <c r="H230" i="25"/>
  <c r="U213" i="25"/>
  <c r="U95" i="25"/>
  <c r="M97" i="25"/>
  <c r="O98" i="25"/>
  <c r="O231" i="25"/>
  <c r="S230" i="25"/>
  <c r="U231" i="25"/>
  <c r="M214" i="25"/>
  <c r="Y144" i="25"/>
  <c r="V142" i="25"/>
  <c r="E96" i="25"/>
  <c r="G97" i="25"/>
  <c r="I98" i="25"/>
  <c r="K99" i="25"/>
  <c r="C231" i="25"/>
  <c r="I232" i="25"/>
  <c r="M232" i="25"/>
  <c r="O210" i="25"/>
  <c r="S212" i="25"/>
  <c r="M215" i="25"/>
  <c r="J23" i="25"/>
  <c r="N212" i="25"/>
  <c r="U232" i="25"/>
  <c r="N230" i="25"/>
  <c r="O230" i="25"/>
  <c r="Q231" i="25"/>
  <c r="Q214" i="25"/>
  <c r="S215" i="25"/>
  <c r="J32" i="25"/>
  <c r="N229" i="25"/>
  <c r="P230" i="25"/>
  <c r="R231" i="25"/>
  <c r="V138" i="25"/>
  <c r="C86" i="25" s="1"/>
  <c r="B105" i="25"/>
  <c r="D229" i="25"/>
  <c r="F230" i="25"/>
  <c r="H231" i="25"/>
  <c r="B232" i="25"/>
  <c r="T209" i="25"/>
  <c r="P213" i="25"/>
  <c r="H232" i="25"/>
  <c r="I95" i="25"/>
  <c r="K96" i="25"/>
  <c r="C98" i="25"/>
  <c r="I101" i="25"/>
  <c r="K231" i="25"/>
  <c r="K209" i="25"/>
  <c r="E212" i="25"/>
  <c r="I214" i="25"/>
  <c r="O188" i="25"/>
  <c r="L102" i="25"/>
  <c r="L232" i="25"/>
  <c r="O211" i="25"/>
  <c r="U214" i="25"/>
  <c r="E76" i="25"/>
  <c r="F76" i="25" s="1"/>
  <c r="W137" i="25"/>
  <c r="Y140" i="25"/>
  <c r="W143" i="25"/>
  <c r="Q94" i="25"/>
  <c r="S95" i="25"/>
  <c r="U96" i="25"/>
  <c r="Q100" i="25"/>
  <c r="W142" i="25"/>
  <c r="B73" i="25"/>
  <c r="D73" i="25" s="1"/>
  <c r="V137" i="25"/>
  <c r="X138" i="25"/>
  <c r="X144" i="25"/>
  <c r="E210" i="25"/>
  <c r="G211" i="25"/>
  <c r="I212" i="25"/>
  <c r="C215" i="25"/>
  <c r="D209" i="25"/>
  <c r="F210" i="25"/>
  <c r="J212" i="25"/>
  <c r="B214" i="25"/>
  <c r="D215" i="25"/>
  <c r="C208" i="25"/>
  <c r="G210" i="25"/>
  <c r="K212" i="25"/>
  <c r="E215" i="25"/>
  <c r="O209" i="25"/>
  <c r="D87" i="25"/>
  <c r="Y138" i="25"/>
  <c r="B85" i="25"/>
  <c r="B102" i="25"/>
  <c r="H97" i="25"/>
  <c r="J98" i="25"/>
  <c r="D101" i="25"/>
  <c r="J230" i="25"/>
  <c r="D208" i="25"/>
  <c r="F215" i="25"/>
  <c r="D84" i="25"/>
  <c r="O192" i="25"/>
  <c r="O208" i="25"/>
  <c r="O214" i="25"/>
  <c r="W140" i="25"/>
  <c r="L94" i="25"/>
  <c r="N95" i="25"/>
  <c r="P96" i="25"/>
  <c r="R97" i="25"/>
  <c r="T98" i="25"/>
  <c r="L100" i="25"/>
  <c r="N101" i="25"/>
  <c r="L98" i="25"/>
  <c r="Q208" i="25"/>
  <c r="S209" i="25"/>
  <c r="U210" i="25"/>
  <c r="O213" i="25"/>
  <c r="W138" i="25"/>
  <c r="R96" i="25"/>
  <c r="J231" i="25"/>
  <c r="D231" i="25"/>
  <c r="F229" i="25"/>
  <c r="H208" i="25"/>
  <c r="J209" i="25"/>
  <c r="B211" i="25"/>
  <c r="D212" i="25"/>
  <c r="F213" i="25"/>
  <c r="H214" i="25"/>
  <c r="J215" i="25"/>
  <c r="Q115" i="27"/>
  <c r="P86" i="27"/>
  <c r="C156" i="27"/>
  <c r="P332" i="27"/>
  <c r="P341" i="27"/>
  <c r="P113" i="27"/>
  <c r="I24" i="27"/>
  <c r="K24" i="27" s="1"/>
  <c r="P239" i="27"/>
  <c r="I299" i="27"/>
  <c r="C299" i="27"/>
  <c r="P361" i="27"/>
  <c r="C155" i="27"/>
  <c r="I83" i="26"/>
  <c r="P360" i="27"/>
  <c r="C150" i="27"/>
  <c r="I150" i="27"/>
  <c r="K150" i="27" s="1"/>
  <c r="R47" i="27"/>
  <c r="R361" i="27"/>
  <c r="Q223" i="27"/>
  <c r="N83" i="26"/>
  <c r="P89" i="27"/>
  <c r="P83" i="27"/>
  <c r="P188" i="27"/>
  <c r="I283" i="27"/>
  <c r="J283" i="27" s="1"/>
  <c r="C300" i="27"/>
  <c r="C289" i="27"/>
  <c r="R332" i="27"/>
  <c r="P52" i="27"/>
  <c r="P229" i="27"/>
  <c r="P331" i="27"/>
  <c r="P96" i="27"/>
  <c r="N190" i="25"/>
  <c r="P190" i="25" s="1"/>
  <c r="B47" i="25"/>
  <c r="D47" i="25" s="1" a="1"/>
  <c r="D47" i="25" s="1"/>
  <c r="B17" i="25"/>
  <c r="B194" i="25"/>
  <c r="E194" i="25" s="1"/>
  <c r="P129" i="27"/>
  <c r="P118" i="27"/>
  <c r="P50" i="27"/>
  <c r="P365" i="27"/>
  <c r="C148" i="27"/>
  <c r="P79" i="27"/>
  <c r="P51" i="27"/>
  <c r="P128" i="27"/>
  <c r="B83" i="26"/>
  <c r="P62" i="27"/>
  <c r="C161" i="27"/>
  <c r="P198" i="27"/>
  <c r="B191" i="25"/>
  <c r="E191" i="25" s="1"/>
  <c r="P130" i="27"/>
  <c r="P217" i="27"/>
  <c r="P119" i="27"/>
  <c r="I28" i="27"/>
  <c r="P215" i="27"/>
  <c r="P91" i="27"/>
  <c r="C154" i="27"/>
  <c r="P321" i="27"/>
  <c r="R321" i="27"/>
  <c r="I31" i="25"/>
  <c r="P359" i="27"/>
  <c r="B8" i="26"/>
  <c r="G64" i="25"/>
  <c r="P123" i="27"/>
  <c r="P318" i="27"/>
  <c r="B45" i="25"/>
  <c r="D45" i="25" s="1" a="1"/>
  <c r="D45" i="25" s="1"/>
  <c r="P232" i="27"/>
  <c r="U227" i="27"/>
  <c r="P183" i="27"/>
  <c r="I149" i="27"/>
  <c r="P189" i="27"/>
  <c r="P319" i="27"/>
  <c r="I285" i="27"/>
  <c r="I155" i="27"/>
  <c r="K155" i="27" s="1"/>
  <c r="B189" i="25"/>
  <c r="I21" i="27"/>
  <c r="I154" i="27"/>
  <c r="P194" i="27"/>
  <c r="I160" i="27"/>
  <c r="I148" i="27"/>
  <c r="C160" i="27"/>
  <c r="C290" i="27"/>
  <c r="R318" i="27"/>
  <c r="P330" i="27"/>
  <c r="P103" i="27"/>
  <c r="I17" i="27"/>
  <c r="P317" i="27"/>
  <c r="C284" i="27"/>
  <c r="P85" i="27"/>
  <c r="P58" i="27"/>
  <c r="P120" i="27"/>
  <c r="P227" i="27"/>
  <c r="P187" i="27"/>
  <c r="I23" i="25"/>
  <c r="I22" i="25" s="1"/>
  <c r="N189" i="25"/>
  <c r="I33" i="25"/>
  <c r="B190" i="25"/>
  <c r="B43" i="25"/>
  <c r="U230" i="27"/>
  <c r="T219" i="27"/>
  <c r="P205" i="27"/>
  <c r="P362" i="27"/>
  <c r="I288" i="27"/>
  <c r="J288" i="27" s="1"/>
  <c r="I32" i="25"/>
  <c r="O32" i="25" s="1"/>
  <c r="N32" i="25" s="1"/>
  <c r="P121" i="27"/>
  <c r="P127" i="27"/>
  <c r="I295" i="27"/>
  <c r="K295" i="27" s="1"/>
  <c r="I19" i="27"/>
  <c r="P252" i="27"/>
  <c r="P329" i="27"/>
  <c r="I294" i="27"/>
  <c r="I296" i="27"/>
  <c r="P190" i="27"/>
  <c r="M22" i="25"/>
  <c r="F18" i="25"/>
  <c r="F16" i="25"/>
  <c r="F15" i="25" s="1"/>
  <c r="M18" i="25"/>
  <c r="N24" i="25"/>
  <c r="M16" i="25"/>
  <c r="M15" i="25" s="1"/>
  <c r="F22" i="25"/>
  <c r="W157" i="25"/>
  <c r="R208" i="25"/>
  <c r="L211" i="25"/>
  <c r="R214" i="25"/>
  <c r="Q33" i="25"/>
  <c r="O101" i="25"/>
  <c r="X141" i="25"/>
  <c r="G100" i="25"/>
  <c r="E231" i="25"/>
  <c r="I208" i="25"/>
  <c r="C211" i="25"/>
  <c r="B98" i="25"/>
  <c r="X33" i="25"/>
  <c r="X154" i="25"/>
  <c r="D85" i="25"/>
  <c r="V153" i="25"/>
  <c r="V150" i="25"/>
  <c r="S101" i="25"/>
  <c r="C21" i="25"/>
  <c r="E21" i="25" s="1"/>
  <c r="B94" i="25"/>
  <c r="G99" i="25"/>
  <c r="U194" i="25"/>
  <c r="O191" i="25"/>
  <c r="C210" i="25"/>
  <c r="S232" i="25"/>
  <c r="G232" i="25"/>
  <c r="B103" i="25"/>
  <c r="V143" i="25"/>
  <c r="H94" i="25"/>
  <c r="Y152" i="25"/>
  <c r="Q96" i="25"/>
  <c r="B87" i="25"/>
  <c r="G94" i="25"/>
  <c r="I231" i="25"/>
  <c r="G213" i="25"/>
  <c r="K215" i="25"/>
  <c r="L99" i="25"/>
  <c r="V140" i="25"/>
  <c r="I189" i="25"/>
  <c r="G229" i="25"/>
  <c r="H213" i="25"/>
  <c r="I100" i="25"/>
  <c r="Y151" i="25"/>
  <c r="D95" i="25"/>
  <c r="B230" i="25"/>
  <c r="F232" i="25"/>
  <c r="U212" i="25"/>
  <c r="W139" i="25"/>
  <c r="O95" i="25"/>
  <c r="E229" i="25"/>
  <c r="X32" i="25"/>
  <c r="F94" i="25"/>
  <c r="H95" i="25"/>
  <c r="J96" i="25"/>
  <c r="V141" i="25"/>
  <c r="D99" i="25"/>
  <c r="F100" i="25"/>
  <c r="H99" i="25"/>
  <c r="U44" i="25"/>
  <c r="M98" i="25"/>
  <c r="B104" i="25"/>
  <c r="J229" i="25"/>
  <c r="L97" i="25"/>
  <c r="W151" i="25"/>
  <c r="N97" i="25"/>
  <c r="P98" i="25"/>
  <c r="Q194" i="25"/>
  <c r="J16" i="25"/>
  <c r="K98" i="25"/>
  <c r="Y156" i="25"/>
  <c r="Y139" i="25"/>
  <c r="E208" i="25"/>
  <c r="L230" i="25"/>
  <c r="T213" i="25"/>
  <c r="L215" i="25"/>
  <c r="N208" i="25"/>
  <c r="P209" i="25"/>
  <c r="R210" i="25"/>
  <c r="T211" i="25"/>
  <c r="L213" i="25"/>
  <c r="P215" i="25"/>
  <c r="X150" i="25"/>
  <c r="D214" i="25"/>
  <c r="X31" i="25"/>
  <c r="J19" i="25"/>
  <c r="M230" i="25"/>
  <c r="U211" i="25"/>
  <c r="M213" i="25"/>
  <c r="Q215" i="25"/>
  <c r="T188" i="25"/>
  <c r="H190" i="25"/>
  <c r="F208" i="25"/>
  <c r="H209" i="25"/>
  <c r="H215" i="25"/>
  <c r="C195" i="25"/>
  <c r="B213" i="25"/>
  <c r="B76" i="25"/>
  <c r="M229" i="25"/>
  <c r="C190" i="25"/>
  <c r="P208" i="25"/>
  <c r="T210" i="25"/>
  <c r="Q31" i="25"/>
  <c r="Y137" i="25"/>
  <c r="L188" i="25"/>
  <c r="C229" i="25"/>
  <c r="E230" i="25"/>
  <c r="K232" i="25"/>
  <c r="C214" i="25"/>
  <c r="G208" i="25"/>
  <c r="I209" i="25"/>
  <c r="Z398" i="3"/>
  <c r="AA398" i="3" s="1"/>
  <c r="AC398" i="3" s="1"/>
  <c r="Z386" i="3"/>
  <c r="AA386" i="3" s="1"/>
  <c r="AC386" i="3" s="1"/>
  <c r="Z374" i="3"/>
  <c r="AA374" i="3" s="1"/>
  <c r="AC374" i="3" s="1"/>
  <c r="Z399" i="3"/>
  <c r="AA399" i="3" s="1"/>
  <c r="AC399" i="3" s="1"/>
  <c r="Z387" i="3"/>
  <c r="AA387" i="3" s="1"/>
  <c r="AC387" i="3" s="1"/>
  <c r="Z375" i="3"/>
  <c r="AA375" i="3" s="1"/>
  <c r="AC375" i="3" s="1"/>
  <c r="Z392" i="3"/>
  <c r="AA392" i="3" s="1"/>
  <c r="AC392" i="3" s="1"/>
  <c r="Z380" i="3"/>
  <c r="AA380" i="3" s="1"/>
  <c r="AC380" i="3" s="1"/>
  <c r="Y347" i="3"/>
  <c r="AB347" i="3" s="1"/>
  <c r="Z347" i="3"/>
  <c r="AA347" i="3" s="1"/>
  <c r="AC347" i="3" s="1"/>
  <c r="Y278" i="3"/>
  <c r="AA278" i="3"/>
  <c r="Z346" i="3"/>
  <c r="AA346" i="3" s="1"/>
  <c r="AC346" i="3" s="1"/>
  <c r="Y346" i="3"/>
  <c r="AB346" i="3" s="1"/>
  <c r="W31" i="25"/>
  <c r="AC31" i="25" s="1"/>
  <c r="AB31" i="25" s="1"/>
  <c r="W33" i="25"/>
  <c r="AC33" i="25" s="1"/>
  <c r="AB33" i="25" s="1"/>
  <c r="I298" i="27"/>
  <c r="J298" i="27" s="1"/>
  <c r="I287" i="27"/>
  <c r="N287" i="27" s="1"/>
  <c r="I293" i="27"/>
  <c r="P327" i="27"/>
  <c r="C298" i="27"/>
  <c r="C287" i="27"/>
  <c r="C293" i="27"/>
  <c r="P375" i="27"/>
  <c r="S27" i="26"/>
  <c r="L47" i="25"/>
  <c r="O47" i="25" s="1"/>
  <c r="I286" i="27"/>
  <c r="I292" i="27"/>
  <c r="K292" i="27" s="1"/>
  <c r="C286" i="27"/>
  <c r="AA339" i="3"/>
  <c r="AC339" i="3" s="1"/>
  <c r="Y339" i="3"/>
  <c r="AB339" i="3" s="1"/>
  <c r="N188" i="25"/>
  <c r="P265" i="27"/>
  <c r="I158" i="27"/>
  <c r="K158" i="27" s="1"/>
  <c r="I163" i="27"/>
  <c r="P197" i="27"/>
  <c r="C163" i="27"/>
  <c r="P231" i="27"/>
  <c r="P192" i="27"/>
  <c r="I297" i="27"/>
  <c r="K297" i="27" s="1"/>
  <c r="P353" i="27"/>
  <c r="P325" i="27"/>
  <c r="I291" i="27"/>
  <c r="C297" i="27"/>
  <c r="C285" i="27"/>
  <c r="C291" i="27"/>
  <c r="Y363" i="3"/>
  <c r="AB363" i="3" s="1"/>
  <c r="AA363" i="3"/>
  <c r="AC363" i="3" s="1"/>
  <c r="Y364" i="3"/>
  <c r="AB364" i="3" s="1"/>
  <c r="AA364" i="3"/>
  <c r="AC364" i="3" s="1"/>
  <c r="AA219" i="3"/>
  <c r="Y219" i="3"/>
  <c r="Y309" i="3"/>
  <c r="AB309" i="3" s="1"/>
  <c r="AA309" i="3"/>
  <c r="AC309" i="3" s="1"/>
  <c r="P351" i="27"/>
  <c r="P230" i="27"/>
  <c r="I156" i="27"/>
  <c r="K156" i="27" s="1"/>
  <c r="P258" i="27"/>
  <c r="AA93" i="3"/>
  <c r="AA352" i="3"/>
  <c r="AC352" i="3" s="1"/>
  <c r="T195" i="25"/>
  <c r="U195" i="25"/>
  <c r="AA351" i="3"/>
  <c r="AC351" i="3" s="1"/>
  <c r="P94" i="27"/>
  <c r="AA127" i="3"/>
  <c r="Y55" i="3"/>
  <c r="R82" i="27"/>
  <c r="Z198" i="3"/>
  <c r="Y198" i="3"/>
  <c r="Z174" i="3"/>
  <c r="Y174" i="3"/>
  <c r="AA162" i="3"/>
  <c r="Y340" i="3"/>
  <c r="AB340" i="3" s="1"/>
  <c r="AA67" i="3"/>
  <c r="H188" i="25"/>
  <c r="D10" i="26"/>
  <c r="AA255" i="3"/>
  <c r="AA321" i="3"/>
  <c r="AC321" i="3" s="1"/>
  <c r="AA139" i="3"/>
  <c r="R54" i="27"/>
  <c r="Y242" i="3"/>
  <c r="AA242" i="3"/>
  <c r="S54" i="26"/>
  <c r="S70" i="26"/>
  <c r="AA362" i="3"/>
  <c r="AC362" i="3" s="1"/>
  <c r="AA350" i="3"/>
  <c r="AC350" i="3" s="1"/>
  <c r="Y338" i="3"/>
  <c r="AB338" i="3" s="1"/>
  <c r="AA338" i="3"/>
  <c r="AC338" i="3" s="1"/>
  <c r="Y150" i="3"/>
  <c r="Y25" i="3"/>
  <c r="AA61" i="3"/>
  <c r="AA335" i="3"/>
  <c r="AC335" i="3" s="1"/>
  <c r="AA213" i="3"/>
  <c r="Y103" i="3"/>
  <c r="Y199" i="3"/>
  <c r="Y307" i="3"/>
  <c r="AB307" i="3" s="1"/>
  <c r="Y319" i="3"/>
  <c r="AB319" i="3" s="1"/>
  <c r="Y331" i="3"/>
  <c r="AB331" i="3" s="1"/>
  <c r="Y362" i="3"/>
  <c r="AB362" i="3" s="1"/>
  <c r="Y359" i="3"/>
  <c r="AB359" i="3" s="1"/>
  <c r="AA277" i="3"/>
  <c r="AA237" i="3"/>
  <c r="Y211" i="3"/>
  <c r="AA56" i="3"/>
  <c r="Y358" i="3"/>
  <c r="AB358" i="3" s="1"/>
  <c r="Y90" i="3"/>
  <c r="Y115" i="3"/>
  <c r="Y175" i="3"/>
  <c r="Y102" i="3"/>
  <c r="Y276" i="3"/>
  <c r="AA252" i="3"/>
  <c r="Y132" i="3"/>
  <c r="Y369" i="3"/>
  <c r="AB369" i="3" s="1"/>
  <c r="Y345" i="3"/>
  <c r="AB345" i="3" s="1"/>
  <c r="Y258" i="3"/>
  <c r="Y79" i="3"/>
  <c r="Y274" i="3"/>
  <c r="Y250" i="3"/>
  <c r="AA214" i="3"/>
  <c r="Y178" i="3"/>
  <c r="Y166" i="3"/>
  <c r="AA142" i="3"/>
  <c r="AA82" i="3"/>
  <c r="AA70" i="3"/>
  <c r="Y46" i="3"/>
  <c r="Y355" i="3"/>
  <c r="AB355" i="3" s="1"/>
  <c r="Y12" i="3"/>
  <c r="Y42" i="3"/>
  <c r="Y54" i="3"/>
  <c r="I166" i="27"/>
  <c r="J166" i="27" s="1"/>
  <c r="AA340" i="3"/>
  <c r="AC340" i="3" s="1"/>
  <c r="X189" i="25"/>
  <c r="Y189" i="25"/>
  <c r="P126" i="27"/>
  <c r="P46" i="27"/>
  <c r="Z274" i="3"/>
  <c r="Z178" i="3"/>
  <c r="AA199" i="3"/>
  <c r="Y146" i="3"/>
  <c r="P98" i="27"/>
  <c r="P326" i="27"/>
  <c r="C292" i="27"/>
  <c r="P48" i="27"/>
  <c r="Y28" i="3"/>
  <c r="Z28" i="3"/>
  <c r="P249" i="27"/>
  <c r="D17" i="26"/>
  <c r="Y82" i="3"/>
  <c r="Y70" i="3"/>
  <c r="H194" i="25"/>
  <c r="D18" i="26"/>
  <c r="AA301" i="3"/>
  <c r="AC301" i="3" s="1"/>
  <c r="AA121" i="3"/>
  <c r="Y262" i="3"/>
  <c r="Z250" i="3"/>
  <c r="Y298" i="3"/>
  <c r="N101" i="26"/>
  <c r="P82" i="27"/>
  <c r="C165" i="27"/>
  <c r="P199" i="27"/>
  <c r="Z118" i="3"/>
  <c r="Y118" i="3"/>
  <c r="Z16" i="3"/>
  <c r="Y16" i="3"/>
  <c r="Z46" i="3"/>
  <c r="AA165" i="3"/>
  <c r="P137" i="27"/>
  <c r="Y286" i="3"/>
  <c r="AA272" i="3"/>
  <c r="AA55" i="3"/>
  <c r="AA186" i="3"/>
  <c r="Y186" i="3"/>
  <c r="H192" i="25"/>
  <c r="Y238" i="3"/>
  <c r="AA68" i="3"/>
  <c r="P250" i="27"/>
  <c r="P222" i="27"/>
  <c r="U222" i="27"/>
  <c r="S228" i="27"/>
  <c r="P228" i="27"/>
  <c r="I14" i="27"/>
  <c r="Y214" i="3"/>
  <c r="P88" i="27"/>
  <c r="T220" i="27"/>
  <c r="P254" i="27"/>
  <c r="P226" i="27"/>
  <c r="C158" i="27"/>
  <c r="P186" i="27"/>
  <c r="R186" i="27"/>
  <c r="P122" i="27"/>
  <c r="P116" i="27"/>
  <c r="AA80" i="3"/>
  <c r="Y140" i="3"/>
  <c r="Y210" i="3"/>
  <c r="AA210" i="3"/>
  <c r="AA128" i="3"/>
  <c r="Y128" i="3"/>
  <c r="Y336" i="3"/>
  <c r="AB336" i="3" s="1"/>
  <c r="Y144" i="3"/>
  <c r="Z144" i="3"/>
  <c r="Y96" i="3"/>
  <c r="AA72" i="3"/>
  <c r="Y202" i="3"/>
  <c r="P196" i="27"/>
  <c r="AA130" i="3"/>
  <c r="AA260" i="3"/>
  <c r="P262" i="27"/>
  <c r="Y316" i="3"/>
  <c r="AB316" i="3" s="1"/>
  <c r="AA280" i="3"/>
  <c r="Y112" i="3"/>
  <c r="AA12" i="3"/>
  <c r="AA327" i="3"/>
  <c r="AC327" i="3" s="1"/>
  <c r="Y315" i="3"/>
  <c r="AB315" i="3" s="1"/>
  <c r="Y267" i="3"/>
  <c r="Y255" i="3"/>
  <c r="AA243" i="3"/>
  <c r="Y207" i="3"/>
  <c r="Y39" i="3"/>
  <c r="N193" i="25"/>
  <c r="B48" i="25"/>
  <c r="E48" i="25" s="1"/>
  <c r="B44" i="25"/>
  <c r="I17" i="25"/>
  <c r="N17" i="25" s="1"/>
  <c r="V193" i="25"/>
  <c r="Y193" i="25" s="1"/>
  <c r="AA231" i="3"/>
  <c r="AA39" i="3"/>
  <c r="AA229" i="3"/>
  <c r="AA239" i="3"/>
  <c r="Y154" i="3"/>
  <c r="AA45" i="3"/>
  <c r="AA78" i="3"/>
  <c r="Y326" i="3"/>
  <c r="AB326" i="3" s="1"/>
  <c r="Y314" i="3"/>
  <c r="AB314" i="3" s="1"/>
  <c r="AA254" i="3"/>
  <c r="Y194" i="3"/>
  <c r="Y50" i="3"/>
  <c r="B195" i="25"/>
  <c r="L46" i="25"/>
  <c r="N46" i="25" s="1" a="1"/>
  <c r="N46" i="25" s="1"/>
  <c r="V194" i="25"/>
  <c r="X194" i="25" s="1"/>
  <c r="U190" i="25"/>
  <c r="AA326" i="3"/>
  <c r="AC326" i="3" s="1"/>
  <c r="AA287" i="3"/>
  <c r="AA319" i="3"/>
  <c r="AC319" i="3" s="1"/>
  <c r="Y106" i="3"/>
  <c r="Y310" i="3"/>
  <c r="AB310" i="3" s="1"/>
  <c r="Y334" i="3"/>
  <c r="AB334" i="3" s="1"/>
  <c r="U94" i="27"/>
  <c r="P195" i="27"/>
  <c r="Y313" i="3"/>
  <c r="AB313" i="3" s="1"/>
  <c r="Y301" i="3"/>
  <c r="AB301" i="3" s="1"/>
  <c r="AA241" i="3"/>
  <c r="Y229" i="3"/>
  <c r="Y181" i="3"/>
  <c r="Y169" i="3"/>
  <c r="AA85" i="3"/>
  <c r="AA19" i="3"/>
  <c r="Y287" i="3"/>
  <c r="AA251" i="3"/>
  <c r="Y239" i="3"/>
  <c r="Y203" i="3"/>
  <c r="AA95" i="3"/>
  <c r="AA59" i="3"/>
  <c r="Y35" i="3"/>
  <c r="Y17" i="3"/>
  <c r="Y329" i="3"/>
  <c r="AB329" i="3" s="1"/>
  <c r="Y317" i="3"/>
  <c r="AB317" i="3" s="1"/>
  <c r="Y305" i="3"/>
  <c r="AB305" i="3" s="1"/>
  <c r="Y149" i="3"/>
  <c r="AA101" i="3"/>
  <c r="Y368" i="3"/>
  <c r="AB368" i="3" s="1"/>
  <c r="P185" i="27"/>
  <c r="C151" i="27"/>
  <c r="P322" i="27"/>
  <c r="Y360" i="3"/>
  <c r="AB360" i="3" s="1"/>
  <c r="Z360" i="3"/>
  <c r="AA360" i="3" s="1"/>
  <c r="AC360" i="3" s="1"/>
  <c r="C46" i="25"/>
  <c r="C43" i="25"/>
  <c r="R95" i="27"/>
  <c r="Q196" i="27"/>
  <c r="Y348" i="3"/>
  <c r="AB348" i="3" s="1"/>
  <c r="Z348" i="3"/>
  <c r="AA348" i="3" s="1"/>
  <c r="AC348" i="3" s="1"/>
  <c r="I22" i="27"/>
  <c r="D11" i="26"/>
  <c r="I16" i="27"/>
  <c r="K16" i="27" s="1"/>
  <c r="T194" i="25"/>
  <c r="P56" i="27"/>
  <c r="I11" i="27"/>
  <c r="P253" i="27"/>
  <c r="B41" i="25"/>
  <c r="T191" i="25"/>
  <c r="P95" i="27"/>
  <c r="P124" i="27"/>
  <c r="P84" i="27"/>
  <c r="R352" i="27"/>
  <c r="L42" i="25"/>
  <c r="I20" i="25"/>
  <c r="N20" i="25" s="1"/>
  <c r="P368" i="27"/>
  <c r="Q357" i="27"/>
  <c r="P263" i="27"/>
  <c r="R229" i="27"/>
  <c r="P324" i="27"/>
  <c r="P264" i="27"/>
  <c r="Y361" i="3"/>
  <c r="AB361" i="3" s="1"/>
  <c r="Z361" i="3"/>
  <c r="AA361" i="3" s="1"/>
  <c r="AC361" i="3" s="1"/>
  <c r="B15" i="26"/>
  <c r="P267" i="27"/>
  <c r="I165" i="27"/>
  <c r="P333" i="27"/>
  <c r="S117" i="27"/>
  <c r="P117" i="27"/>
  <c r="C149" i="27"/>
  <c r="Q217" i="27"/>
  <c r="R189" i="27"/>
  <c r="U188" i="25"/>
  <c r="V188" i="25"/>
  <c r="Y188" i="25" s="1"/>
  <c r="M45" i="25"/>
  <c r="J194" i="25"/>
  <c r="M194" i="25" s="1"/>
  <c r="I25" i="26"/>
  <c r="P352" i="27"/>
  <c r="C162" i="27"/>
  <c r="C296" i="27"/>
  <c r="C283" i="27"/>
  <c r="P223" i="27"/>
  <c r="P61" i="27"/>
  <c r="C14" i="27"/>
  <c r="C20" i="27"/>
  <c r="P191" i="27"/>
  <c r="Y349" i="3"/>
  <c r="AB349" i="3" s="1"/>
  <c r="Z349" i="3"/>
  <c r="AA349" i="3" s="1"/>
  <c r="AC349" i="3" s="1"/>
  <c r="I290" i="27"/>
  <c r="S264" i="27"/>
  <c r="P90" i="27"/>
  <c r="P219" i="27"/>
  <c r="D16" i="26"/>
  <c r="C15" i="26"/>
  <c r="B19" i="25"/>
  <c r="H19" i="25" s="1"/>
  <c r="H191" i="25"/>
  <c r="B188" i="25"/>
  <c r="P225" i="27"/>
  <c r="P259" i="27"/>
  <c r="V191" i="25"/>
  <c r="T189" i="25"/>
  <c r="I190" i="25"/>
  <c r="C11" i="27"/>
  <c r="J44" i="25"/>
  <c r="N192" i="25"/>
  <c r="P364" i="27"/>
  <c r="I161" i="27"/>
  <c r="P60" i="27"/>
  <c r="I284" i="27"/>
  <c r="K284" i="27" s="1"/>
  <c r="N40" i="26"/>
  <c r="C302" i="27"/>
  <c r="C25" i="26"/>
  <c r="R121" i="27"/>
  <c r="I301" i="27"/>
  <c r="C21" i="27"/>
  <c r="C301" i="27"/>
  <c r="B192" i="25"/>
  <c r="I21" i="25"/>
  <c r="P256" i="27"/>
  <c r="P220" i="27"/>
  <c r="N195" i="25"/>
  <c r="Q195" i="25" s="1"/>
  <c r="C42" i="25"/>
  <c r="D42" i="25" s="1" a="1"/>
  <c r="D42" i="25" s="1"/>
  <c r="S25" i="26"/>
  <c r="P260" i="27"/>
  <c r="I147" i="27"/>
  <c r="I152" i="27"/>
  <c r="P125" i="27"/>
  <c r="C307" i="27"/>
  <c r="AA359" i="3"/>
  <c r="AC359" i="3" s="1"/>
  <c r="Y357" i="3"/>
  <c r="AB357" i="3" s="1"/>
  <c r="AA357" i="3"/>
  <c r="AC357" i="3" s="1"/>
  <c r="AA369" i="3"/>
  <c r="AC369" i="3" s="1"/>
  <c r="C342" i="27"/>
  <c r="P233" i="27"/>
  <c r="AA345" i="3"/>
  <c r="AC345" i="3" s="1"/>
  <c r="AA344" i="3"/>
  <c r="AC344" i="3" s="1"/>
  <c r="J47" i="25"/>
  <c r="T41" i="25"/>
  <c r="N54" i="26"/>
  <c r="N69" i="26"/>
  <c r="T208" i="25"/>
  <c r="T229" i="25"/>
  <c r="L210" i="25"/>
  <c r="L231" i="25"/>
  <c r="P212" i="25"/>
  <c r="P232" i="25"/>
  <c r="P229" i="25"/>
  <c r="R213" i="25"/>
  <c r="R230" i="25"/>
  <c r="V195" i="25"/>
  <c r="M48" i="25"/>
  <c r="X192" i="25"/>
  <c r="Y192" i="25"/>
  <c r="Y142" i="25"/>
  <c r="S99" i="25"/>
  <c r="Y143" i="25"/>
  <c r="U100" i="25"/>
  <c r="M94" i="25"/>
  <c r="W150" i="25"/>
  <c r="S97" i="25"/>
  <c r="Y153" i="25"/>
  <c r="Y154" i="25"/>
  <c r="U98" i="25"/>
  <c r="M100" i="25"/>
  <c r="W156" i="25"/>
  <c r="L189" i="25"/>
  <c r="M189" i="25"/>
  <c r="Z281" i="3"/>
  <c r="Y281" i="3"/>
  <c r="U48" i="25"/>
  <c r="L44" i="25"/>
  <c r="N191" i="25"/>
  <c r="I16" i="25"/>
  <c r="U193" i="25"/>
  <c r="T193" i="25"/>
  <c r="Y26" i="3"/>
  <c r="AA26" i="3"/>
  <c r="Y322" i="3"/>
  <c r="AB322" i="3" s="1"/>
  <c r="AA322" i="3"/>
  <c r="AC322" i="3" s="1"/>
  <c r="T232" i="27"/>
  <c r="C164" i="27"/>
  <c r="T221" i="27"/>
  <c r="C153" i="27"/>
  <c r="P221" i="27"/>
  <c r="C159" i="27"/>
  <c r="P193" i="27"/>
  <c r="P273" i="27"/>
  <c r="P234" i="27"/>
  <c r="S234" i="27"/>
  <c r="Y324" i="3"/>
  <c r="AB324" i="3" s="1"/>
  <c r="Z324" i="3"/>
  <c r="AA324" i="3" s="1"/>
  <c r="AC324" i="3" s="1"/>
  <c r="Y312" i="3"/>
  <c r="AB312" i="3" s="1"/>
  <c r="Z312" i="3"/>
  <c r="AA312" i="3" s="1"/>
  <c r="AC312" i="3" s="1"/>
  <c r="Z300" i="3"/>
  <c r="AA300" i="3" s="1"/>
  <c r="AC300" i="3" s="1"/>
  <c r="Y300" i="3"/>
  <c r="AB300" i="3" s="1"/>
  <c r="Y240" i="3"/>
  <c r="Z240" i="3"/>
  <c r="Y228" i="3"/>
  <c r="Z228" i="3"/>
  <c r="Y216" i="3"/>
  <c r="Z216" i="3"/>
  <c r="Z192" i="3"/>
  <c r="Y192" i="3"/>
  <c r="Z168" i="3"/>
  <c r="Y168" i="3"/>
  <c r="Z156" i="3"/>
  <c r="Y156" i="3"/>
  <c r="Y120" i="3"/>
  <c r="Z120" i="3"/>
  <c r="Z108" i="3"/>
  <c r="Y108" i="3"/>
  <c r="Y84" i="3"/>
  <c r="Z84" i="3"/>
  <c r="Y60" i="3"/>
  <c r="Z60" i="3"/>
  <c r="Y18" i="3"/>
  <c r="Z18" i="3"/>
  <c r="L190" i="25"/>
  <c r="M190" i="25"/>
  <c r="P131" i="27"/>
  <c r="I138" i="27"/>
  <c r="Z180" i="3"/>
  <c r="Y180" i="3"/>
  <c r="Y36" i="3"/>
  <c r="Z36" i="3"/>
  <c r="Z336" i="3"/>
  <c r="AA336" i="3" s="1"/>
  <c r="AC336" i="3" s="1"/>
  <c r="T48" i="25"/>
  <c r="Z132" i="3"/>
  <c r="I195" i="25"/>
  <c r="H189" i="25"/>
  <c r="X190" i="25"/>
  <c r="L193" i="25"/>
  <c r="M193" i="25"/>
  <c r="C8" i="26"/>
  <c r="D9" i="26"/>
  <c r="AA263" i="3"/>
  <c r="Z96" i="3"/>
  <c r="Z48" i="3"/>
  <c r="Y48" i="3"/>
  <c r="I193" i="25"/>
  <c r="H193" i="25"/>
  <c r="Y252" i="3"/>
  <c r="B193" i="25"/>
  <c r="B24" i="25"/>
  <c r="B46" i="25"/>
  <c r="C19" i="25"/>
  <c r="C188" i="25"/>
  <c r="V144" i="25"/>
  <c r="H101" i="25"/>
  <c r="J100" i="25"/>
  <c r="X156" i="25"/>
  <c r="U192" i="25"/>
  <c r="T192" i="25"/>
  <c r="S229" i="25"/>
  <c r="S208" i="25"/>
  <c r="U230" i="25"/>
  <c r="U209" i="25"/>
  <c r="M211" i="25"/>
  <c r="M231" i="25"/>
  <c r="O232" i="25"/>
  <c r="O212" i="25"/>
  <c r="O229" i="25"/>
  <c r="Q213" i="25"/>
  <c r="Q230" i="25"/>
  <c r="H21" i="25"/>
  <c r="AA297" i="3"/>
  <c r="Y323" i="3"/>
  <c r="AB323" i="3" s="1"/>
  <c r="J24" i="25"/>
  <c r="L24" i="25" s="1"/>
  <c r="E74" i="25"/>
  <c r="W144" i="25"/>
  <c r="W155" i="25"/>
  <c r="Y47" i="3"/>
  <c r="Z47" i="3"/>
  <c r="G21" i="25"/>
  <c r="P194" i="25"/>
  <c r="W141" i="25"/>
  <c r="L104" i="25"/>
  <c r="W152" i="25"/>
  <c r="X151" i="25"/>
  <c r="Y311" i="3"/>
  <c r="AB311" i="3" s="1"/>
  <c r="Z311" i="3"/>
  <c r="AA311" i="3" s="1"/>
  <c r="AC311" i="3" s="1"/>
  <c r="Y299" i="3"/>
  <c r="AB299" i="3" s="1"/>
  <c r="Z299" i="3"/>
  <c r="AA299" i="3" s="1"/>
  <c r="AC299" i="3" s="1"/>
  <c r="Y263" i="3"/>
  <c r="Z227" i="3"/>
  <c r="Y227" i="3"/>
  <c r="Z215" i="3"/>
  <c r="Y215" i="3"/>
  <c r="Y191" i="3"/>
  <c r="Z191" i="3"/>
  <c r="Y179" i="3"/>
  <c r="Z179" i="3"/>
  <c r="Y167" i="3"/>
  <c r="Z167" i="3"/>
  <c r="Z155" i="3"/>
  <c r="Y155" i="3"/>
  <c r="Y143" i="3"/>
  <c r="Z143" i="3"/>
  <c r="Y131" i="3"/>
  <c r="Z131" i="3"/>
  <c r="Y119" i="3"/>
  <c r="Z119" i="3"/>
  <c r="Y107" i="3"/>
  <c r="Z107" i="3"/>
  <c r="AA83" i="3"/>
  <c r="Y71" i="3"/>
  <c r="Z71" i="3"/>
  <c r="Z203" i="3"/>
  <c r="AA106" i="3"/>
  <c r="I302" i="27"/>
  <c r="P336" i="27"/>
  <c r="O24" i="25"/>
  <c r="Q98" i="25"/>
  <c r="AA43" i="3"/>
  <c r="D14" i="26"/>
  <c r="C12" i="26"/>
  <c r="AA62" i="3"/>
  <c r="Y83" i="3"/>
  <c r="B16" i="25"/>
  <c r="C193" i="25"/>
  <c r="B74" i="25"/>
  <c r="X139" i="25"/>
  <c r="L45" i="25"/>
  <c r="M96" i="25"/>
  <c r="P97" i="27"/>
  <c r="AA256" i="3"/>
  <c r="Y244" i="3"/>
  <c r="P63" i="27"/>
  <c r="I29" i="27"/>
  <c r="K29" i="27" s="1"/>
  <c r="C54" i="26"/>
  <c r="C68" i="26" s="1" a="1"/>
  <c r="C68" i="26" s="1"/>
  <c r="Z291" i="3"/>
  <c r="Y291" i="3"/>
  <c r="Y195" i="3"/>
  <c r="Z195" i="3"/>
  <c r="Z183" i="3"/>
  <c r="Y183" i="3"/>
  <c r="Y147" i="3"/>
  <c r="Z147" i="3"/>
  <c r="Z123" i="3"/>
  <c r="Y123" i="3"/>
  <c r="Y99" i="3"/>
  <c r="Z99" i="3"/>
  <c r="Z87" i="3"/>
  <c r="Y87" i="3"/>
  <c r="Z75" i="3"/>
  <c r="Y75" i="3"/>
  <c r="Z63" i="3"/>
  <c r="Y63" i="3"/>
  <c r="Y51" i="3"/>
  <c r="Z51" i="3"/>
  <c r="Z21" i="3"/>
  <c r="Y21" i="3"/>
  <c r="I19" i="25"/>
  <c r="T190" i="25"/>
  <c r="C83" i="26"/>
  <c r="C87" i="26" s="1" a="1"/>
  <c r="C87" i="26" s="1"/>
  <c r="Y290" i="3"/>
  <c r="Z290" i="3"/>
  <c r="Y266" i="3"/>
  <c r="Z266" i="3"/>
  <c r="Y230" i="3"/>
  <c r="Z230" i="3"/>
  <c r="Z182" i="3"/>
  <c r="Y182" i="3"/>
  <c r="Z134" i="3"/>
  <c r="Y134" i="3"/>
  <c r="Y122" i="3"/>
  <c r="Z122" i="3"/>
  <c r="Y98" i="3"/>
  <c r="Z98" i="3"/>
  <c r="Z38" i="3"/>
  <c r="Y38" i="3"/>
  <c r="B12" i="26"/>
  <c r="AA334" i="3"/>
  <c r="AC334" i="3" s="1"/>
  <c r="V154" i="25"/>
  <c r="X157" i="25"/>
  <c r="C232" i="25"/>
  <c r="C230" i="25"/>
  <c r="C213" i="25"/>
  <c r="C17" i="27"/>
  <c r="P92" i="27"/>
  <c r="I104" i="27"/>
  <c r="I12" i="27"/>
  <c r="J12" i="27" s="1"/>
  <c r="P80" i="27"/>
  <c r="Y337" i="3"/>
  <c r="AB337" i="3" s="1"/>
  <c r="Z337" i="3"/>
  <c r="AA337" i="3" s="1"/>
  <c r="AC337" i="3" s="1"/>
  <c r="Y325" i="3"/>
  <c r="AB325" i="3" s="1"/>
  <c r="Z325" i="3"/>
  <c r="AA325" i="3" s="1"/>
  <c r="AC325" i="3" s="1"/>
  <c r="Z289" i="3"/>
  <c r="Y289" i="3"/>
  <c r="Y193" i="3"/>
  <c r="Z193" i="3"/>
  <c r="Y133" i="3"/>
  <c r="Z133" i="3"/>
  <c r="Z109" i="3"/>
  <c r="Y109" i="3"/>
  <c r="Y97" i="3"/>
  <c r="Z97" i="3"/>
  <c r="Y73" i="3"/>
  <c r="Z73" i="3"/>
  <c r="Z37" i="3"/>
  <c r="Y37" i="3"/>
  <c r="N231" i="25"/>
  <c r="N210" i="25"/>
  <c r="R232" i="25"/>
  <c r="X155" i="25"/>
  <c r="I99" i="25"/>
  <c r="Q265" i="27"/>
  <c r="T231" i="27"/>
  <c r="C152" i="27"/>
  <c r="C240" i="27"/>
  <c r="Z169" i="3"/>
  <c r="I157" i="27"/>
  <c r="I162" i="27"/>
  <c r="I206" i="27"/>
  <c r="I151" i="27"/>
  <c r="C157" i="27"/>
  <c r="L41" i="25"/>
  <c r="AA135" i="3"/>
  <c r="J211" i="25"/>
  <c r="L229" i="25"/>
  <c r="I376" i="27"/>
  <c r="P354" i="27"/>
  <c r="T232" i="25"/>
  <c r="F209" i="25"/>
  <c r="H210" i="25"/>
  <c r="I102" i="26"/>
  <c r="U218" i="27"/>
  <c r="S231" i="25"/>
  <c r="U229" i="25"/>
  <c r="K211" i="25"/>
  <c r="E214" i="25"/>
  <c r="G215" i="25"/>
  <c r="AA247" i="3"/>
  <c r="T231" i="25"/>
  <c r="J232" i="25"/>
  <c r="I300" i="27"/>
  <c r="I289" i="27"/>
  <c r="I153" i="27"/>
  <c r="C206" i="27"/>
  <c r="P182" i="27"/>
  <c r="C27" i="27"/>
  <c r="R84" i="27"/>
  <c r="C22" i="27"/>
  <c r="P268" i="27"/>
  <c r="C104" i="27"/>
  <c r="Q83" i="27"/>
  <c r="AA225" i="3"/>
  <c r="R229" i="25"/>
  <c r="AA224" i="3"/>
  <c r="K229" i="25"/>
  <c r="I211" i="25"/>
  <c r="C16" i="27"/>
  <c r="Y130" i="3"/>
  <c r="I274" i="27"/>
  <c r="I342" i="27"/>
  <c r="C166" i="27"/>
  <c r="P200" i="27"/>
  <c r="AA310" i="3"/>
  <c r="AC310" i="3" s="1"/>
  <c r="Y142" i="3"/>
  <c r="Y58" i="3"/>
  <c r="Z58" i="3"/>
  <c r="Q232" i="25"/>
  <c r="Q212" i="25"/>
  <c r="Q210" i="25"/>
  <c r="O215" i="25"/>
  <c r="AA90" i="3"/>
  <c r="S60" i="26"/>
  <c r="C209" i="25"/>
  <c r="K213" i="25"/>
  <c r="B25" i="26"/>
  <c r="B231" i="25"/>
  <c r="B208" i="25"/>
  <c r="C25" i="27"/>
  <c r="C13" i="27"/>
  <c r="R367" i="27"/>
  <c r="C24" i="27"/>
  <c r="C12" i="27"/>
  <c r="Q46" i="27"/>
  <c r="C70" i="27"/>
  <c r="S253" i="27"/>
  <c r="Q327" i="27"/>
  <c r="P370" i="27"/>
  <c r="AA212" i="3"/>
  <c r="AA44" i="3"/>
  <c r="AA259" i="3"/>
  <c r="T362" i="27"/>
  <c r="AA330" i="3"/>
  <c r="AC330" i="3" s="1"/>
  <c r="AA104" i="3"/>
  <c r="C28" i="27"/>
  <c r="R228" i="27"/>
  <c r="I240" i="27"/>
  <c r="T185" i="27"/>
  <c r="Q322" i="27"/>
  <c r="P369" i="27"/>
  <c r="AA54" i="3"/>
  <c r="AC54" i="3" s="1"/>
  <c r="Q262" i="27"/>
  <c r="C274" i="27"/>
  <c r="AA150" i="3"/>
  <c r="AA102" i="3"/>
  <c r="P132" i="27"/>
  <c r="C29" i="27"/>
  <c r="C26" i="27"/>
  <c r="C15" i="27"/>
  <c r="P57" i="27"/>
  <c r="C138" i="27"/>
  <c r="R114" i="27"/>
  <c r="C376" i="27"/>
  <c r="P335" i="27"/>
  <c r="AA115" i="3"/>
  <c r="I26" i="27"/>
  <c r="J26" i="27" s="1"/>
  <c r="Y100" i="3"/>
  <c r="Z100" i="3"/>
  <c r="Y101" i="3"/>
  <c r="Y184" i="3"/>
  <c r="Y137" i="3"/>
  <c r="Z137" i="3"/>
  <c r="Y64" i="3"/>
  <c r="Z64" i="3"/>
  <c r="Y280" i="3"/>
  <c r="Y256" i="3"/>
  <c r="Z112" i="3"/>
  <c r="Z77" i="3"/>
  <c r="Y77" i="3"/>
  <c r="Z149" i="3"/>
  <c r="Y65" i="3"/>
  <c r="Z65" i="3"/>
  <c r="Z88" i="3"/>
  <c r="Y88" i="3"/>
  <c r="Y293" i="3"/>
  <c r="Z293" i="3"/>
  <c r="Z209" i="3"/>
  <c r="Y209" i="3"/>
  <c r="Z197" i="3"/>
  <c r="Y197" i="3"/>
  <c r="Z185" i="3"/>
  <c r="Y185" i="3"/>
  <c r="Y173" i="3"/>
  <c r="Z173" i="3"/>
  <c r="Z161" i="3"/>
  <c r="Y161" i="3"/>
  <c r="Z41" i="3"/>
  <c r="Y41" i="3"/>
  <c r="Z304" i="3"/>
  <c r="AA304" i="3" s="1"/>
  <c r="AC304" i="3" s="1"/>
  <c r="Y304" i="3"/>
  <c r="AB304" i="3" s="1"/>
  <c r="Z292" i="3"/>
  <c r="Y292" i="3"/>
  <c r="Y268" i="3"/>
  <c r="Z268" i="3"/>
  <c r="Z232" i="3"/>
  <c r="Y232" i="3"/>
  <c r="Z208" i="3"/>
  <c r="Y208" i="3"/>
  <c r="Z196" i="3"/>
  <c r="Y196" i="3"/>
  <c r="Z172" i="3"/>
  <c r="Y172" i="3"/>
  <c r="Y160" i="3"/>
  <c r="Z160" i="3"/>
  <c r="Y52" i="3"/>
  <c r="Z52" i="3"/>
  <c r="T47" i="25"/>
  <c r="Z244" i="3"/>
  <c r="Z269" i="3"/>
  <c r="Y269" i="3"/>
  <c r="Y257" i="3"/>
  <c r="Z257" i="3"/>
  <c r="Z245" i="3"/>
  <c r="Y245" i="3"/>
  <c r="Z221" i="3"/>
  <c r="Y221" i="3"/>
  <c r="Y23" i="3"/>
  <c r="Z23" i="3"/>
  <c r="K48" i="25"/>
  <c r="Y328" i="3"/>
  <c r="AB328" i="3" s="1"/>
  <c r="Z328" i="3"/>
  <c r="AA328" i="3" s="1"/>
  <c r="AC328" i="3" s="1"/>
  <c r="Y220" i="3"/>
  <c r="Z220" i="3"/>
  <c r="Y148" i="3"/>
  <c r="Z148" i="3"/>
  <c r="Y22" i="3"/>
  <c r="Z22" i="3"/>
  <c r="Z113" i="3"/>
  <c r="Y113" i="3"/>
  <c r="Y124" i="3"/>
  <c r="Z124" i="3"/>
  <c r="Z329" i="3"/>
  <c r="AA329" i="3" s="1"/>
  <c r="AC329" i="3" s="1"/>
  <c r="Y125" i="3"/>
  <c r="Z125" i="3"/>
  <c r="Z136" i="3"/>
  <c r="Y136" i="3"/>
  <c r="Y233" i="3"/>
  <c r="Z305" i="3"/>
  <c r="AA305" i="3" s="1"/>
  <c r="AC305" i="3" s="1"/>
  <c r="Z53" i="3"/>
  <c r="Y53" i="3"/>
  <c r="Z317" i="3"/>
  <c r="AA317" i="3" s="1"/>
  <c r="AC317" i="3" s="1"/>
  <c r="Y76" i="3"/>
  <c r="Z76" i="3"/>
  <c r="Y89" i="3"/>
  <c r="Z89" i="3"/>
  <c r="Z40" i="3"/>
  <c r="Y40" i="3"/>
  <c r="Y288" i="3"/>
  <c r="P53" i="27"/>
  <c r="P59" i="27"/>
  <c r="C19" i="27"/>
  <c r="I30" i="27"/>
  <c r="C18" i="27"/>
  <c r="I18" i="27"/>
  <c r="I20" i="27"/>
  <c r="I15" i="27"/>
  <c r="I27" i="27"/>
  <c r="P54" i="27"/>
  <c r="I23" i="27"/>
  <c r="P55" i="27"/>
  <c r="P69" i="27"/>
  <c r="P64" i="27"/>
  <c r="I70" i="27"/>
  <c r="P49" i="27"/>
  <c r="C23" i="27"/>
  <c r="I35" i="27"/>
  <c r="C30" i="27"/>
  <c r="T69" i="27"/>
  <c r="AA129" i="3" l="1"/>
  <c r="U42" i="25"/>
  <c r="AA282" i="3"/>
  <c r="AA176" i="3"/>
  <c r="Q88" i="27"/>
  <c r="AA204" i="3"/>
  <c r="AA264" i="3"/>
  <c r="AA200" i="3"/>
  <c r="AC200" i="3" s="1"/>
  <c r="AA262" i="3"/>
  <c r="AA270" i="3"/>
  <c r="AC45" i="3"/>
  <c r="N337" i="27"/>
  <c r="AB25" i="3"/>
  <c r="L201" i="27"/>
  <c r="AB45" i="3"/>
  <c r="L337" i="27"/>
  <c r="AB148" i="3"/>
  <c r="L269" i="27"/>
  <c r="S269" i="27" s="1"/>
  <c r="AB208" i="3"/>
  <c r="F65" i="27"/>
  <c r="F31" i="27" s="1"/>
  <c r="AC272" i="3"/>
  <c r="H133" i="27"/>
  <c r="U45" i="25"/>
  <c r="AA65" i="3"/>
  <c r="M65" i="27"/>
  <c r="AB272" i="3"/>
  <c r="F133" i="27"/>
  <c r="AA208" i="3"/>
  <c r="G65" i="27"/>
  <c r="G31" i="27" s="1"/>
  <c r="AC188" i="3"/>
  <c r="H337" i="27"/>
  <c r="AB188" i="3"/>
  <c r="F337" i="27"/>
  <c r="F303" i="27" s="1"/>
  <c r="AB228" i="3"/>
  <c r="F99" i="27"/>
  <c r="J303" i="27"/>
  <c r="Q303" i="27" s="1"/>
  <c r="AB65" i="3"/>
  <c r="L65" i="27"/>
  <c r="AA108" i="3"/>
  <c r="M371" i="27"/>
  <c r="AA202" i="3"/>
  <c r="AC202" i="3" s="1"/>
  <c r="R113" i="27"/>
  <c r="AA110" i="3"/>
  <c r="Q133" i="27"/>
  <c r="F52" i="27"/>
  <c r="AB108" i="3"/>
  <c r="L371" i="27"/>
  <c r="AB292" i="3"/>
  <c r="F269" i="27"/>
  <c r="AA138" i="3"/>
  <c r="AA292" i="3"/>
  <c r="G269" i="27"/>
  <c r="AB252" i="3"/>
  <c r="F371" i="27"/>
  <c r="M171" i="27"/>
  <c r="AB168" i="3"/>
  <c r="F201" i="27"/>
  <c r="F167" i="27" s="1"/>
  <c r="AA228" i="3"/>
  <c r="G99" i="27"/>
  <c r="T99" i="27" s="1"/>
  <c r="AC252" i="3"/>
  <c r="H371" i="27"/>
  <c r="J45" i="25"/>
  <c r="AB128" i="3"/>
  <c r="L133" i="27"/>
  <c r="S133" i="27" s="1"/>
  <c r="AA279" i="3"/>
  <c r="AC279" i="3" s="1"/>
  <c r="AA148" i="3"/>
  <c r="M269" i="27"/>
  <c r="AA168" i="3"/>
  <c r="G201" i="27"/>
  <c r="AC85" i="3"/>
  <c r="N99" i="27"/>
  <c r="AC128" i="3"/>
  <c r="N133" i="27"/>
  <c r="AC25" i="3"/>
  <c r="N201" i="27"/>
  <c r="AB85" i="3"/>
  <c r="L99" i="27"/>
  <c r="S99" i="27" s="1"/>
  <c r="R317" i="27"/>
  <c r="AA233" i="3"/>
  <c r="H103" i="27" s="1"/>
  <c r="T52" i="27"/>
  <c r="E241" i="27"/>
  <c r="AA27" i="3"/>
  <c r="Q126" i="27"/>
  <c r="U46" i="25"/>
  <c r="AA153" i="3"/>
  <c r="AC153" i="3" s="1"/>
  <c r="AA271" i="3"/>
  <c r="H127" i="27" s="1"/>
  <c r="AA163" i="3"/>
  <c r="AC163" i="3" s="1"/>
  <c r="T43" i="25"/>
  <c r="J43" i="25"/>
  <c r="AA206" i="3"/>
  <c r="AA201" i="3"/>
  <c r="H53" i="27" s="1"/>
  <c r="J42" i="25"/>
  <c r="AA57" i="3"/>
  <c r="AC57" i="3" s="1"/>
  <c r="Q266" i="27"/>
  <c r="AA187" i="3"/>
  <c r="J28" i="27"/>
  <c r="AA81" i="3"/>
  <c r="AC81" i="3" s="1"/>
  <c r="AB130" i="3"/>
  <c r="L130" i="27"/>
  <c r="AB259" i="3"/>
  <c r="F114" i="27"/>
  <c r="AA196" i="3"/>
  <c r="G47" i="27"/>
  <c r="AB41" i="3"/>
  <c r="L328" i="27"/>
  <c r="L294" i="27" s="1"/>
  <c r="AA293" i="3"/>
  <c r="G265" i="27"/>
  <c r="AC262" i="3"/>
  <c r="H118" i="27"/>
  <c r="AC287" i="3"/>
  <c r="H259" i="27"/>
  <c r="AB238" i="3"/>
  <c r="J115" i="25"/>
  <c r="F215" i="27"/>
  <c r="F241" i="27" s="1"/>
  <c r="K60" i="25"/>
  <c r="L76" i="26"/>
  <c r="AB118" i="3"/>
  <c r="L118" i="27"/>
  <c r="AC214" i="3"/>
  <c r="N113" i="25"/>
  <c r="G48" i="26"/>
  <c r="H45" i="27"/>
  <c r="G16" i="26"/>
  <c r="AB13" i="3"/>
  <c r="L183" i="27"/>
  <c r="L149" i="27" s="1"/>
  <c r="AA269" i="3"/>
  <c r="G125" i="27"/>
  <c r="G23" i="27" s="1"/>
  <c r="AB280" i="3"/>
  <c r="F251" i="27"/>
  <c r="AA203" i="3"/>
  <c r="G55" i="27"/>
  <c r="G21" i="27" s="1"/>
  <c r="AB155" i="3"/>
  <c r="F182" i="27"/>
  <c r="AB263" i="3"/>
  <c r="F119" i="27"/>
  <c r="AB47" i="3"/>
  <c r="L334" i="27"/>
  <c r="L300" i="27" s="1"/>
  <c r="AC263" i="3"/>
  <c r="H119" i="27"/>
  <c r="AA36" i="3"/>
  <c r="M323" i="27"/>
  <c r="AB60" i="3"/>
  <c r="L55" i="27"/>
  <c r="AA192" i="3"/>
  <c r="G336" i="27"/>
  <c r="T336" i="27" s="1"/>
  <c r="AB181" i="3"/>
  <c r="F325" i="27"/>
  <c r="AA178" i="3"/>
  <c r="G322" i="27"/>
  <c r="T322" i="27" s="1"/>
  <c r="AB12" i="3"/>
  <c r="L182" i="27"/>
  <c r="AC27" i="3"/>
  <c r="N198" i="27"/>
  <c r="H191" i="27"/>
  <c r="M267" i="27"/>
  <c r="AA151" i="3"/>
  <c r="AA77" i="3"/>
  <c r="M86" i="27"/>
  <c r="AC102" i="3"/>
  <c r="N360" i="27"/>
  <c r="AC19" i="3"/>
  <c r="N190" i="27"/>
  <c r="AB106" i="3"/>
  <c r="L364" i="27"/>
  <c r="L296" i="27" s="1"/>
  <c r="AC176" i="3"/>
  <c r="H319" i="27"/>
  <c r="AB178" i="3"/>
  <c r="F322" i="27"/>
  <c r="AC105" i="3"/>
  <c r="N363" i="27"/>
  <c r="AC30" i="3"/>
  <c r="N205" i="27"/>
  <c r="G199" i="27"/>
  <c r="G165" i="27" s="1"/>
  <c r="AA171" i="3"/>
  <c r="AA209" i="3"/>
  <c r="G61" i="27"/>
  <c r="AC115" i="3"/>
  <c r="N114" i="27"/>
  <c r="AA16" i="3"/>
  <c r="M187" i="27"/>
  <c r="M153" i="27" s="1"/>
  <c r="AB276" i="3"/>
  <c r="F132" i="27"/>
  <c r="AC278" i="3"/>
  <c r="N117" i="25"/>
  <c r="Q48" i="26"/>
  <c r="H113" i="27"/>
  <c r="H139" i="27" s="1"/>
  <c r="G18" i="26"/>
  <c r="L18" i="26" s="1"/>
  <c r="AB113" i="3"/>
  <c r="L375" i="27"/>
  <c r="AA244" i="3"/>
  <c r="G358" i="27"/>
  <c r="AA71" i="3"/>
  <c r="M113" i="25"/>
  <c r="M45" i="27"/>
  <c r="H38" i="26"/>
  <c r="AB36" i="3"/>
  <c r="L323" i="27"/>
  <c r="L289" i="27" s="1"/>
  <c r="AA216" i="3"/>
  <c r="G81" i="27"/>
  <c r="AB17" i="3"/>
  <c r="L188" i="27"/>
  <c r="AC260" i="3"/>
  <c r="H115" i="27"/>
  <c r="AB82" i="3"/>
  <c r="L91" i="27"/>
  <c r="AC152" i="3"/>
  <c r="N268" i="27"/>
  <c r="AC194" i="3"/>
  <c r="N112" i="25"/>
  <c r="G106" i="26"/>
  <c r="H317" i="27"/>
  <c r="H343" i="27" s="1"/>
  <c r="G13" i="26"/>
  <c r="AB53" i="3"/>
  <c r="L47" i="27"/>
  <c r="AA113" i="3"/>
  <c r="M375" i="27"/>
  <c r="M307" i="27" s="1"/>
  <c r="AB232" i="3"/>
  <c r="F98" i="27"/>
  <c r="AA161" i="3"/>
  <c r="G189" i="27"/>
  <c r="AB210" i="3"/>
  <c r="F62" i="27"/>
  <c r="AC186" i="3"/>
  <c r="H330" i="27"/>
  <c r="AC138" i="3"/>
  <c r="N254" i="27"/>
  <c r="N152" i="27" s="1"/>
  <c r="AC15" i="3"/>
  <c r="N186" i="27"/>
  <c r="AB225" i="3"/>
  <c r="F91" i="27"/>
  <c r="AB165" i="3"/>
  <c r="F193" i="27"/>
  <c r="AB116" i="3"/>
  <c r="L115" i="27"/>
  <c r="AB253" i="3"/>
  <c r="F367" i="27"/>
  <c r="AA235" i="3"/>
  <c r="AA51" i="3"/>
  <c r="M112" i="25"/>
  <c r="H96" i="26" a="1"/>
  <c r="H96" i="26" s="1"/>
  <c r="M317" i="27"/>
  <c r="M343" i="27" s="1"/>
  <c r="AA147" i="3"/>
  <c r="M263" i="27"/>
  <c r="AC256" i="3"/>
  <c r="H370" i="27"/>
  <c r="AC43" i="3"/>
  <c r="N330" i="27"/>
  <c r="U330" i="27" s="1"/>
  <c r="AC243" i="3"/>
  <c r="H357" i="27"/>
  <c r="AB214" i="3"/>
  <c r="J113" i="25"/>
  <c r="G47" i="26"/>
  <c r="K58" i="25"/>
  <c r="F45" i="27"/>
  <c r="AB158" i="3"/>
  <c r="F186" i="27"/>
  <c r="AB94" i="3"/>
  <c r="K115" i="25"/>
  <c r="M76" i="26" a="1"/>
  <c r="M76" i="26" s="1"/>
  <c r="L215" i="27"/>
  <c r="U60" i="25"/>
  <c r="AB69" i="3"/>
  <c r="L64" i="27"/>
  <c r="AB249" i="3"/>
  <c r="F363" i="27"/>
  <c r="AB260" i="3"/>
  <c r="F115" i="27"/>
  <c r="AB241" i="3"/>
  <c r="F354" i="27"/>
  <c r="AB23" i="3"/>
  <c r="L194" i="27"/>
  <c r="L160" i="27" s="1"/>
  <c r="AB142" i="3"/>
  <c r="L258" i="27"/>
  <c r="AB109" i="3"/>
  <c r="L367" i="27"/>
  <c r="AA230" i="3"/>
  <c r="G96" i="27"/>
  <c r="AB51" i="3"/>
  <c r="K112" i="25"/>
  <c r="H105" i="26" a="1"/>
  <c r="H105" i="26" s="1"/>
  <c r="L317" i="27"/>
  <c r="U57" i="25"/>
  <c r="AB147" i="3"/>
  <c r="L263" i="27"/>
  <c r="AA107" i="3"/>
  <c r="M365" i="27"/>
  <c r="AA179" i="3"/>
  <c r="G323" i="27"/>
  <c r="AC204" i="3"/>
  <c r="H56" i="27"/>
  <c r="AC239" i="3"/>
  <c r="H352" i="27"/>
  <c r="AB255" i="3"/>
  <c r="F369" i="27"/>
  <c r="AC80" i="3"/>
  <c r="N89" i="27"/>
  <c r="AC213" i="3"/>
  <c r="H69" i="27"/>
  <c r="AC103" i="3"/>
  <c r="N361" i="27"/>
  <c r="AB14" i="3"/>
  <c r="L184" i="27"/>
  <c r="L150" i="27" s="1"/>
  <c r="AC158" i="3"/>
  <c r="H186" i="27"/>
  <c r="AB251" i="3"/>
  <c r="F365" i="27"/>
  <c r="AA170" i="3"/>
  <c r="AB110" i="3"/>
  <c r="L368" i="27"/>
  <c r="AB233" i="3"/>
  <c r="F103" i="27"/>
  <c r="AC135" i="3"/>
  <c r="N250" i="27"/>
  <c r="AA109" i="3"/>
  <c r="M367" i="27"/>
  <c r="T367" i="27" s="1"/>
  <c r="AB230" i="3"/>
  <c r="F96" i="27"/>
  <c r="AC229" i="3"/>
  <c r="H95" i="27"/>
  <c r="AC72" i="3"/>
  <c r="N80" i="27"/>
  <c r="AB211" i="3"/>
  <c r="F63" i="27"/>
  <c r="AB223" i="3"/>
  <c r="F89" i="27"/>
  <c r="AB204" i="3"/>
  <c r="F56" i="27"/>
  <c r="AB135" i="3"/>
  <c r="L250" i="27"/>
  <c r="AB101" i="3"/>
  <c r="L359" i="27"/>
  <c r="AC114" i="3"/>
  <c r="O116" i="25"/>
  <c r="N351" i="27"/>
  <c r="H14" i="26"/>
  <c r="M106" i="26" a="1"/>
  <c r="M106" i="26" s="1"/>
  <c r="AB50" i="3"/>
  <c r="L341" i="27"/>
  <c r="AC66" i="3"/>
  <c r="N61" i="27"/>
  <c r="G260" i="27"/>
  <c r="G158" i="27" s="1"/>
  <c r="AA288" i="3"/>
  <c r="AA100" i="3"/>
  <c r="M358" i="27"/>
  <c r="AB75" i="3"/>
  <c r="L84" i="27"/>
  <c r="AA195" i="3"/>
  <c r="G46" i="27"/>
  <c r="AC231" i="3"/>
  <c r="H97" i="27"/>
  <c r="AB242" i="3"/>
  <c r="F356" i="27"/>
  <c r="F288" i="27" s="1"/>
  <c r="AC236" i="3"/>
  <c r="H231" i="27"/>
  <c r="AC206" i="3"/>
  <c r="H58" i="27"/>
  <c r="G88" i="27"/>
  <c r="T88" i="27" s="1"/>
  <c r="AA222" i="3"/>
  <c r="G334" i="27"/>
  <c r="G300" i="27" s="1"/>
  <c r="AA190" i="3"/>
  <c r="G258" i="27"/>
  <c r="T258" i="27" s="1"/>
  <c r="AA286" i="3"/>
  <c r="AB196" i="3"/>
  <c r="F47" i="27"/>
  <c r="S47" i="27" s="1"/>
  <c r="AC68" i="3"/>
  <c r="N63" i="27"/>
  <c r="AB88" i="3"/>
  <c r="L97" i="27"/>
  <c r="AA155" i="3"/>
  <c r="G182" i="27"/>
  <c r="AA84" i="3"/>
  <c r="M93" i="27"/>
  <c r="AC210" i="3"/>
  <c r="H62" i="27"/>
  <c r="AB55" i="3"/>
  <c r="L50" i="27"/>
  <c r="L16" i="27" s="1"/>
  <c r="AC130" i="3"/>
  <c r="N130" i="27"/>
  <c r="AB77" i="3"/>
  <c r="L86" i="27"/>
  <c r="AA193" i="3"/>
  <c r="G341" i="27"/>
  <c r="AA98" i="3"/>
  <c r="M356" i="27"/>
  <c r="AA290" i="3"/>
  <c r="G262" i="27"/>
  <c r="AB166" i="3"/>
  <c r="F194" i="27"/>
  <c r="F160" i="27" s="1"/>
  <c r="AB150" i="3"/>
  <c r="L266" i="27"/>
  <c r="AB159" i="3"/>
  <c r="F187" i="27"/>
  <c r="AA53" i="3"/>
  <c r="M47" i="27"/>
  <c r="AB293" i="3"/>
  <c r="F265" i="27"/>
  <c r="AA112" i="3"/>
  <c r="M370" i="27"/>
  <c r="AA266" i="3"/>
  <c r="G122" i="27"/>
  <c r="AB63" i="3"/>
  <c r="L58" i="27"/>
  <c r="AB183" i="3"/>
  <c r="F327" i="27"/>
  <c r="AB71" i="3"/>
  <c r="K113" i="25"/>
  <c r="U58" i="25"/>
  <c r="L45" i="27"/>
  <c r="S45" i="27" s="1"/>
  <c r="H47" i="26"/>
  <c r="AA167" i="3"/>
  <c r="G195" i="27"/>
  <c r="G161" i="27" s="1"/>
  <c r="AB180" i="3"/>
  <c r="F324" i="27"/>
  <c r="F290" i="27" s="1"/>
  <c r="AB84" i="3"/>
  <c r="L93" i="27"/>
  <c r="AB216" i="3"/>
  <c r="F81" i="27"/>
  <c r="AC26" i="3"/>
  <c r="N197" i="27"/>
  <c r="AA118" i="3"/>
  <c r="M118" i="27"/>
  <c r="T118" i="27" s="1"/>
  <c r="AB146" i="3"/>
  <c r="L262" i="27"/>
  <c r="AB132" i="3"/>
  <c r="L132" i="27"/>
  <c r="AC61" i="3"/>
  <c r="N56" i="27"/>
  <c r="U56" i="27" s="1"/>
  <c r="H52" i="27"/>
  <c r="AC127" i="3"/>
  <c r="N127" i="27"/>
  <c r="AC92" i="3"/>
  <c r="N232" i="27"/>
  <c r="AC145" i="3"/>
  <c r="N261" i="27"/>
  <c r="AC295" i="3"/>
  <c r="H267" i="27"/>
  <c r="AC20" i="3"/>
  <c r="N191" i="27"/>
  <c r="AC159" i="3"/>
  <c r="H187" i="27"/>
  <c r="AB86" i="3"/>
  <c r="L95" i="27"/>
  <c r="AB93" i="3"/>
  <c r="L239" i="27"/>
  <c r="S239" i="27" s="1"/>
  <c r="AB237" i="3"/>
  <c r="F239" i="27"/>
  <c r="AB44" i="3"/>
  <c r="L331" i="27"/>
  <c r="AB145" i="3"/>
  <c r="L261" i="27"/>
  <c r="AA41" i="3"/>
  <c r="M328" i="27"/>
  <c r="T328" i="27" s="1"/>
  <c r="AB100" i="3"/>
  <c r="L358" i="27"/>
  <c r="AA58" i="3"/>
  <c r="M53" i="27"/>
  <c r="T53" i="27" s="1"/>
  <c r="AA133" i="3"/>
  <c r="M137" i="27"/>
  <c r="T137" i="27" s="1"/>
  <c r="AB38" i="3"/>
  <c r="L325" i="27"/>
  <c r="S325" i="27" s="1"/>
  <c r="AA157" i="3"/>
  <c r="AC110" i="3"/>
  <c r="N368" i="27"/>
  <c r="AA86" i="3"/>
  <c r="AB267" i="3"/>
  <c r="F123" i="27"/>
  <c r="AA140" i="3"/>
  <c r="AB54" i="3"/>
  <c r="L48" i="27"/>
  <c r="AC237" i="3"/>
  <c r="H239" i="27"/>
  <c r="AC67" i="3"/>
  <c r="N62" i="27"/>
  <c r="AB278" i="3"/>
  <c r="J117" i="25"/>
  <c r="Q47" i="26"/>
  <c r="F113" i="27"/>
  <c r="F139" i="27" s="1"/>
  <c r="K62" i="25"/>
  <c r="AC284" i="3"/>
  <c r="H256" i="27"/>
  <c r="AA23" i="3"/>
  <c r="M194" i="27"/>
  <c r="M160" i="27" s="1"/>
  <c r="AB161" i="3"/>
  <c r="F189" i="27"/>
  <c r="AB256" i="3"/>
  <c r="F370" i="27"/>
  <c r="AB58" i="3"/>
  <c r="L53" i="27"/>
  <c r="AB133" i="3"/>
  <c r="L137" i="27"/>
  <c r="AA38" i="3"/>
  <c r="M325" i="27"/>
  <c r="T325" i="27" s="1"/>
  <c r="AB266" i="3"/>
  <c r="F122" i="27"/>
  <c r="AA63" i="3"/>
  <c r="M58" i="27"/>
  <c r="AA183" i="3"/>
  <c r="G327" i="27"/>
  <c r="AC83" i="3"/>
  <c r="N92" i="27"/>
  <c r="AB167" i="3"/>
  <c r="F195" i="27"/>
  <c r="AA180" i="3"/>
  <c r="G324" i="27"/>
  <c r="AB26" i="3"/>
  <c r="L197" i="27"/>
  <c r="C46" i="26" a="1"/>
  <c r="C46" i="26" s="1"/>
  <c r="AB169" i="3"/>
  <c r="F197" i="27"/>
  <c r="AB194" i="3"/>
  <c r="J112" i="25"/>
  <c r="F317" i="27"/>
  <c r="G105" i="26"/>
  <c r="K57" i="25"/>
  <c r="AC39" i="3"/>
  <c r="N326" i="27"/>
  <c r="N292" i="27" s="1"/>
  <c r="AB202" i="3"/>
  <c r="F54" i="27"/>
  <c r="F20" i="27" s="1"/>
  <c r="AB140" i="3"/>
  <c r="L256" i="27"/>
  <c r="AB186" i="3"/>
  <c r="F330" i="27"/>
  <c r="S330" i="27" s="1"/>
  <c r="AB70" i="3"/>
  <c r="L69" i="27"/>
  <c r="AC199" i="3"/>
  <c r="H51" i="27"/>
  <c r="AB42" i="3"/>
  <c r="L329" i="27"/>
  <c r="H54" i="27"/>
  <c r="AC277" i="3"/>
  <c r="H137" i="27"/>
  <c r="AC242" i="3"/>
  <c r="H356" i="27"/>
  <c r="AC234" i="3"/>
  <c r="N114" i="25"/>
  <c r="L48" i="26"/>
  <c r="G17" i="26"/>
  <c r="L17" i="26" s="1"/>
  <c r="H79" i="27"/>
  <c r="H105" i="27" s="1"/>
  <c r="J149" i="27"/>
  <c r="AB59" i="3"/>
  <c r="L54" i="27"/>
  <c r="AB91" i="3"/>
  <c r="K114" i="25"/>
  <c r="M47" i="26" a="1"/>
  <c r="M47" i="26" s="1"/>
  <c r="U59" i="25"/>
  <c r="L79" i="27"/>
  <c r="L105" i="27" s="1"/>
  <c r="AC111" i="3"/>
  <c r="N369" i="27"/>
  <c r="AC265" i="3"/>
  <c r="H121" i="27"/>
  <c r="AB295" i="3"/>
  <c r="F267" i="27"/>
  <c r="AC275" i="3"/>
  <c r="H131" i="27"/>
  <c r="AC79" i="3"/>
  <c r="N88" i="27"/>
  <c r="AC24" i="3"/>
  <c r="N195" i="27"/>
  <c r="AC218" i="3"/>
  <c r="H84" i="27"/>
  <c r="AB171" i="3"/>
  <c r="F199" i="27"/>
  <c r="F165" i="27" s="1"/>
  <c r="AB217" i="3"/>
  <c r="F82" i="27"/>
  <c r="AB157" i="3"/>
  <c r="F184" i="27"/>
  <c r="S184" i="27" s="1"/>
  <c r="AC91" i="3"/>
  <c r="O114" i="25"/>
  <c r="M48" i="26" a="1"/>
  <c r="M48" i="26" s="1"/>
  <c r="H17" i="26"/>
  <c r="N79" i="27"/>
  <c r="AB126" i="3"/>
  <c r="L126" i="27"/>
  <c r="AB247" i="3"/>
  <c r="F361" i="27"/>
  <c r="AB121" i="3"/>
  <c r="L121" i="27"/>
  <c r="AB248" i="3"/>
  <c r="F362" i="27"/>
  <c r="S362" i="27" s="1"/>
  <c r="L114" i="25"/>
  <c r="H44" i="25" s="1"/>
  <c r="I44" i="25" s="1" a="1"/>
  <c r="I44" i="25" s="1"/>
  <c r="G79" i="27"/>
  <c r="G105" i="27" s="1"/>
  <c r="L38" i="26"/>
  <c r="M115" i="25"/>
  <c r="M215" i="27"/>
  <c r="M67" i="26" a="1"/>
  <c r="M67" i="26" s="1"/>
  <c r="L118" i="25"/>
  <c r="H48" i="25" s="1"/>
  <c r="I48" i="25" s="1" a="1"/>
  <c r="I48" i="25" s="1"/>
  <c r="Q67" i="26"/>
  <c r="G249" i="27"/>
  <c r="G275" i="27" s="1"/>
  <c r="AB49" i="3"/>
  <c r="L336" i="27"/>
  <c r="AC247" i="3"/>
  <c r="H361" i="27"/>
  <c r="AA120" i="3"/>
  <c r="M120" i="27"/>
  <c r="T120" i="27" s="1"/>
  <c r="AA217" i="3"/>
  <c r="AB219" i="3"/>
  <c r="F85" i="27"/>
  <c r="AB236" i="3"/>
  <c r="F231" i="27"/>
  <c r="S231" i="27" s="1"/>
  <c r="AB164" i="3"/>
  <c r="F192" i="27"/>
  <c r="AA136" i="3"/>
  <c r="M251" i="27"/>
  <c r="T251" i="27" s="1"/>
  <c r="AB37" i="3"/>
  <c r="L324" i="27"/>
  <c r="AB289" i="3"/>
  <c r="F261" i="27"/>
  <c r="F159" i="27" s="1"/>
  <c r="AA122" i="3"/>
  <c r="M122" i="27"/>
  <c r="M20" i="27" s="1"/>
  <c r="AC59" i="3"/>
  <c r="N54" i="27"/>
  <c r="L116" i="25"/>
  <c r="H46" i="25" s="1"/>
  <c r="I46" i="25" s="1" a="1"/>
  <c r="I46" i="25" s="1"/>
  <c r="L96" i="26"/>
  <c r="G351" i="27"/>
  <c r="G377" i="27" s="1"/>
  <c r="AC282" i="3"/>
  <c r="H254" i="27"/>
  <c r="U254" i="27" s="1"/>
  <c r="AB95" i="3"/>
  <c r="L352" i="27"/>
  <c r="AB235" i="3"/>
  <c r="F216" i="27"/>
  <c r="F240" i="27" s="1"/>
  <c r="AB136" i="3"/>
  <c r="L251" i="27"/>
  <c r="AA232" i="3"/>
  <c r="G98" i="27"/>
  <c r="AA88" i="3"/>
  <c r="M97" i="27"/>
  <c r="AB290" i="3"/>
  <c r="F262" i="27"/>
  <c r="AB107" i="3"/>
  <c r="L365" i="27"/>
  <c r="AB229" i="3"/>
  <c r="F95" i="27"/>
  <c r="AC12" i="3"/>
  <c r="N182" i="27"/>
  <c r="M14" i="27"/>
  <c r="AC238" i="3"/>
  <c r="N115" i="25"/>
  <c r="H215" i="27"/>
  <c r="H241" i="27" s="1"/>
  <c r="G10" i="26"/>
  <c r="L10" i="26" s="1"/>
  <c r="L77" i="26"/>
  <c r="AC267" i="3"/>
  <c r="H123" i="27"/>
  <c r="AA117" i="3"/>
  <c r="AB275" i="3"/>
  <c r="F131" i="27"/>
  <c r="AB151" i="3"/>
  <c r="L267" i="27"/>
  <c r="S267" i="27" s="1"/>
  <c r="AB187" i="3"/>
  <c r="F331" i="27"/>
  <c r="F297" i="27" s="1"/>
  <c r="AB111" i="3"/>
  <c r="L369" i="27"/>
  <c r="AB243" i="3"/>
  <c r="F357" i="27"/>
  <c r="AB78" i="3"/>
  <c r="L87" i="27"/>
  <c r="AB270" i="3"/>
  <c r="F126" i="27"/>
  <c r="AB163" i="3"/>
  <c r="F191" i="27"/>
  <c r="AB296" i="3"/>
  <c r="F268" i="27"/>
  <c r="F166" i="27" s="1"/>
  <c r="AB92" i="3"/>
  <c r="L232" i="27"/>
  <c r="L113" i="25"/>
  <c r="G38" i="26"/>
  <c r="G45" i="27"/>
  <c r="G71" i="27" s="1"/>
  <c r="AB40" i="3"/>
  <c r="L327" i="27"/>
  <c r="AB22" i="3"/>
  <c r="L193" i="27"/>
  <c r="L159" i="27" s="1"/>
  <c r="AA221" i="3"/>
  <c r="G87" i="27"/>
  <c r="G19" i="27" s="1"/>
  <c r="AA52" i="3"/>
  <c r="M46" i="27"/>
  <c r="AA268" i="3"/>
  <c r="G124" i="27"/>
  <c r="AB173" i="3"/>
  <c r="F205" i="27"/>
  <c r="AB87" i="3"/>
  <c r="L96" i="27"/>
  <c r="S96" i="27" s="1"/>
  <c r="AB291" i="3"/>
  <c r="F263" i="27"/>
  <c r="AA119" i="3"/>
  <c r="M119" i="27"/>
  <c r="T119" i="27" s="1"/>
  <c r="AA191" i="3"/>
  <c r="G335" i="27"/>
  <c r="AC297" i="3"/>
  <c r="H273" i="27"/>
  <c r="AB120" i="3"/>
  <c r="L120" i="27"/>
  <c r="AB240" i="3"/>
  <c r="F353" i="27"/>
  <c r="AC241" i="3"/>
  <c r="H354" i="27"/>
  <c r="AA74" i="3"/>
  <c r="AB112" i="3"/>
  <c r="L370" i="27"/>
  <c r="AA144" i="3"/>
  <c r="M260" i="27"/>
  <c r="AB46" i="3"/>
  <c r="L333" i="27"/>
  <c r="AB250" i="3"/>
  <c r="F364" i="27"/>
  <c r="S364" i="27" s="1"/>
  <c r="AB102" i="3"/>
  <c r="L360" i="27"/>
  <c r="AC219" i="3"/>
  <c r="H85" i="27"/>
  <c r="AC283" i="3"/>
  <c r="H255" i="27"/>
  <c r="AC177" i="3"/>
  <c r="H320" i="27"/>
  <c r="H286" i="27" s="1"/>
  <c r="AB127" i="3"/>
  <c r="L127" i="27"/>
  <c r="AC166" i="3"/>
  <c r="H194" i="27"/>
  <c r="AA175" i="3"/>
  <c r="AB231" i="3"/>
  <c r="F97" i="27"/>
  <c r="F29" i="27" s="1"/>
  <c r="AB254" i="3"/>
  <c r="F368" i="27"/>
  <c r="AC164" i="3"/>
  <c r="H192" i="27"/>
  <c r="AB297" i="3"/>
  <c r="F273" i="27"/>
  <c r="AB138" i="3"/>
  <c r="L254" i="27"/>
  <c r="AB162" i="3"/>
  <c r="F190" i="27"/>
  <c r="AB283" i="3"/>
  <c r="F255" i="27"/>
  <c r="AB105" i="3"/>
  <c r="L363" i="27"/>
  <c r="L295" i="27" s="1"/>
  <c r="AB61" i="3"/>
  <c r="L56" i="27"/>
  <c r="AA40" i="3"/>
  <c r="M327" i="27"/>
  <c r="M293" i="27" s="1"/>
  <c r="AA125" i="3"/>
  <c r="M125" i="27"/>
  <c r="M23" i="27" s="1"/>
  <c r="AB245" i="3"/>
  <c r="F359" i="27"/>
  <c r="AB52" i="3"/>
  <c r="L46" i="27"/>
  <c r="AB268" i="3"/>
  <c r="F124" i="27"/>
  <c r="AB185" i="3"/>
  <c r="F329" i="27"/>
  <c r="AA64" i="3"/>
  <c r="M59" i="27"/>
  <c r="T59" i="27" s="1"/>
  <c r="AC224" i="3"/>
  <c r="H90" i="27"/>
  <c r="AA37" i="3"/>
  <c r="M324" i="27"/>
  <c r="AA289" i="3"/>
  <c r="G261" i="27"/>
  <c r="T261" i="27" s="1"/>
  <c r="AB122" i="3"/>
  <c r="L122" i="27"/>
  <c r="AA87" i="3"/>
  <c r="M96" i="27"/>
  <c r="M28" i="27" s="1"/>
  <c r="AA291" i="3"/>
  <c r="G263" i="27"/>
  <c r="J46" i="25"/>
  <c r="AB119" i="3"/>
  <c r="L119" i="27"/>
  <c r="AB191" i="3"/>
  <c r="F335" i="27"/>
  <c r="AB156" i="3"/>
  <c r="F183" i="27"/>
  <c r="AC95" i="3"/>
  <c r="N352" i="27"/>
  <c r="N284" i="27" s="1"/>
  <c r="AA184" i="3"/>
  <c r="AB144" i="3"/>
  <c r="L260" i="27"/>
  <c r="AB286" i="3"/>
  <c r="F258" i="27"/>
  <c r="AB298" i="3"/>
  <c r="J118" i="25"/>
  <c r="K63" i="25"/>
  <c r="Q76" i="26"/>
  <c r="F249" i="27"/>
  <c r="F275" i="27" s="1"/>
  <c r="AC70" i="3"/>
  <c r="N69" i="27"/>
  <c r="AB274" i="3"/>
  <c r="F130" i="27"/>
  <c r="S130" i="27" s="1"/>
  <c r="AB175" i="3"/>
  <c r="F318" i="27"/>
  <c r="AC139" i="3"/>
  <c r="N255" i="27"/>
  <c r="AC162" i="3"/>
  <c r="H190" i="27"/>
  <c r="M164" i="27"/>
  <c r="AC246" i="3"/>
  <c r="H360" i="27"/>
  <c r="AC50" i="3"/>
  <c r="N341" i="27"/>
  <c r="AB15" i="3"/>
  <c r="L186" i="27"/>
  <c r="AB27" i="3"/>
  <c r="L198" i="27"/>
  <c r="AA207" i="3"/>
  <c r="AC35" i="3"/>
  <c r="N322" i="27"/>
  <c r="AC205" i="3"/>
  <c r="H57" i="27"/>
  <c r="AC223" i="3"/>
  <c r="H89" i="27"/>
  <c r="U89" i="27" s="1"/>
  <c r="AB74" i="3"/>
  <c r="L82" i="27"/>
  <c r="AB62" i="3"/>
  <c r="L57" i="27"/>
  <c r="AB66" i="3"/>
  <c r="L61" i="27"/>
  <c r="AB114" i="3"/>
  <c r="K116" i="25"/>
  <c r="M105" i="26" a="1"/>
  <c r="M105" i="26" s="1"/>
  <c r="U61" i="25"/>
  <c r="L351" i="27"/>
  <c r="AB139" i="3"/>
  <c r="L255" i="27"/>
  <c r="AB284" i="3"/>
  <c r="F256" i="27"/>
  <c r="AC31" i="3"/>
  <c r="O111" i="25"/>
  <c r="H77" i="26" a="1"/>
  <c r="H77" i="26" s="1"/>
  <c r="H9" i="26"/>
  <c r="N181" i="27"/>
  <c r="N207" i="27" s="1"/>
  <c r="M114" i="25"/>
  <c r="R44" i="25" s="1"/>
  <c r="S44" i="25" s="1" a="1"/>
  <c r="S44" i="25" s="1"/>
  <c r="M38" i="26" a="1"/>
  <c r="M38" i="26" s="1"/>
  <c r="M79" i="27"/>
  <c r="M105" i="27" s="1"/>
  <c r="AB152" i="3"/>
  <c r="L268" i="27"/>
  <c r="L166" i="27" s="1"/>
  <c r="M116" i="25"/>
  <c r="R46" i="25" s="1"/>
  <c r="S46" i="25" s="1" a="1"/>
  <c r="S46" i="25" s="1"/>
  <c r="M351" i="27"/>
  <c r="M377" i="27" s="1"/>
  <c r="M96" i="26" a="1"/>
  <c r="M96" i="26" s="1"/>
  <c r="AB221" i="3"/>
  <c r="F87" i="27"/>
  <c r="AC104" i="3"/>
  <c r="N362" i="27"/>
  <c r="AB98" i="3"/>
  <c r="L356" i="27"/>
  <c r="AB195" i="3"/>
  <c r="F46" i="27"/>
  <c r="AA240" i="3"/>
  <c r="G353" i="27"/>
  <c r="AA89" i="3"/>
  <c r="M98" i="27"/>
  <c r="AA185" i="3"/>
  <c r="G329" i="27"/>
  <c r="G295" i="27" s="1"/>
  <c r="AC259" i="3"/>
  <c r="H114" i="27"/>
  <c r="U114" i="27" s="1"/>
  <c r="AA99" i="3"/>
  <c r="M357" i="27"/>
  <c r="T357" i="27" s="1"/>
  <c r="AC82" i="3"/>
  <c r="N91" i="27"/>
  <c r="AB261" i="3"/>
  <c r="F116" i="27"/>
  <c r="AC276" i="3"/>
  <c r="H132" i="27"/>
  <c r="AB246" i="3"/>
  <c r="F360" i="27"/>
  <c r="AB57" i="3"/>
  <c r="L52" i="27"/>
  <c r="AB67" i="3"/>
  <c r="L62" i="27"/>
  <c r="S62" i="27" s="1"/>
  <c r="N48" i="27"/>
  <c r="L115" i="25"/>
  <c r="H45" i="25" s="1"/>
  <c r="I45" i="25" s="1" a="1"/>
  <c r="I45" i="25" s="1"/>
  <c r="L67" i="26"/>
  <c r="G215" i="27"/>
  <c r="G241" i="27" s="1"/>
  <c r="AB288" i="3"/>
  <c r="F260" i="27"/>
  <c r="AB64" i="3"/>
  <c r="L59" i="27"/>
  <c r="AA131" i="3"/>
  <c r="M131" i="27"/>
  <c r="T131" i="27" s="1"/>
  <c r="AC280" i="3"/>
  <c r="H251" i="27"/>
  <c r="AB174" i="3"/>
  <c r="J111" i="25"/>
  <c r="K56" i="25"/>
  <c r="G76" i="26"/>
  <c r="I76" i="26" s="1"/>
  <c r="F181" i="27"/>
  <c r="F207" i="27" s="1"/>
  <c r="AC44" i="3"/>
  <c r="N331" i="27"/>
  <c r="AC225" i="3"/>
  <c r="H91" i="27"/>
  <c r="AB131" i="3"/>
  <c r="L131" i="27"/>
  <c r="S131" i="27" s="1"/>
  <c r="AA132" i="3"/>
  <c r="M132" i="27"/>
  <c r="T132" i="27" s="1"/>
  <c r="AB239" i="3"/>
  <c r="F352" i="27"/>
  <c r="AB28" i="3"/>
  <c r="L199" i="27"/>
  <c r="AC270" i="3"/>
  <c r="H126" i="27"/>
  <c r="AB234" i="3"/>
  <c r="J114" i="25"/>
  <c r="L47" i="26"/>
  <c r="N47" i="26" s="1"/>
  <c r="F79" i="27"/>
  <c r="F105" i="27" s="1"/>
  <c r="K59" i="25"/>
  <c r="L117" i="25"/>
  <c r="H47" i="25" s="1"/>
  <c r="I47" i="25" s="1" a="1"/>
  <c r="I47" i="25" s="1"/>
  <c r="Q38" i="26"/>
  <c r="G113" i="27"/>
  <c r="AB80" i="3"/>
  <c r="L89" i="27"/>
  <c r="AA173" i="3"/>
  <c r="G205" i="27"/>
  <c r="AB83" i="3"/>
  <c r="L92" i="27"/>
  <c r="AB215" i="3"/>
  <c r="F80" i="27"/>
  <c r="AC78" i="3"/>
  <c r="N87" i="27"/>
  <c r="AB115" i="3"/>
  <c r="L114" i="27"/>
  <c r="AB89" i="3"/>
  <c r="L98" i="27"/>
  <c r="AA257" i="3"/>
  <c r="G375" i="27"/>
  <c r="T375" i="27" s="1"/>
  <c r="AB160" i="3"/>
  <c r="F188" i="27"/>
  <c r="AB197" i="3"/>
  <c r="F48" i="27"/>
  <c r="S48" i="27" s="1"/>
  <c r="AC90" i="3"/>
  <c r="N103" i="27"/>
  <c r="AB73" i="3"/>
  <c r="L81" i="27"/>
  <c r="AA134" i="3"/>
  <c r="M117" i="25"/>
  <c r="R47" i="25" s="1"/>
  <c r="S47" i="25" s="1" a="1"/>
  <c r="S47" i="25" s="1"/>
  <c r="R38" i="26" a="1"/>
  <c r="R38" i="26" s="1"/>
  <c r="M113" i="27"/>
  <c r="M139" i="27" s="1"/>
  <c r="AB99" i="3"/>
  <c r="L357" i="27"/>
  <c r="AC62" i="3"/>
  <c r="N57" i="27"/>
  <c r="AA215" i="3"/>
  <c r="G80" i="27"/>
  <c r="AA250" i="3"/>
  <c r="G364" i="27"/>
  <c r="G296" i="27" s="1"/>
  <c r="AB199" i="3"/>
  <c r="F51" i="27"/>
  <c r="AC181" i="3"/>
  <c r="H325" i="27"/>
  <c r="AA124" i="3"/>
  <c r="M124" i="27"/>
  <c r="M22" i="27" s="1"/>
  <c r="AA197" i="3"/>
  <c r="G48" i="27"/>
  <c r="T48" i="27" s="1"/>
  <c r="N90" i="27"/>
  <c r="AB21" i="3"/>
  <c r="L192" i="27"/>
  <c r="AB227" i="3"/>
  <c r="F93" i="27"/>
  <c r="AA48" i="3"/>
  <c r="M335" i="27"/>
  <c r="T335" i="27" s="1"/>
  <c r="AB281" i="3"/>
  <c r="F252" i="27"/>
  <c r="AB154" i="3"/>
  <c r="K118" i="25"/>
  <c r="R76" i="26" a="1"/>
  <c r="R76" i="26" s="1"/>
  <c r="C76" i="26" s="1" a="1"/>
  <c r="C76" i="26" s="1"/>
  <c r="U63" i="25"/>
  <c r="L249" i="27"/>
  <c r="L147" i="27" s="1"/>
  <c r="AB262" i="3"/>
  <c r="F118" i="27"/>
  <c r="S118" i="27" s="1"/>
  <c r="AB198" i="3"/>
  <c r="F50" i="27"/>
  <c r="AB226" i="3"/>
  <c r="F92" i="27"/>
  <c r="S92" i="27" s="1"/>
  <c r="M118" i="25"/>
  <c r="R48" i="25" s="1"/>
  <c r="S48" i="25" s="1" a="1"/>
  <c r="S48" i="25" s="1"/>
  <c r="R67" i="26" a="1"/>
  <c r="R67" i="26" s="1"/>
  <c r="S67" i="26" s="1"/>
  <c r="M249" i="27"/>
  <c r="M275" i="27" s="1"/>
  <c r="AB170" i="3"/>
  <c r="F198" i="27"/>
  <c r="AB205" i="3"/>
  <c r="F57" i="27"/>
  <c r="AB222" i="3"/>
  <c r="F88" i="27"/>
  <c r="AB282" i="3"/>
  <c r="F254" i="27"/>
  <c r="L112" i="25"/>
  <c r="G96" i="26"/>
  <c r="G317" i="27"/>
  <c r="G283" i="27" s="1"/>
  <c r="AA22" i="3"/>
  <c r="M193" i="27"/>
  <c r="M159" i="27" s="1"/>
  <c r="AC150" i="3"/>
  <c r="N266" i="27"/>
  <c r="AB193" i="3"/>
  <c r="F341" i="27"/>
  <c r="S341" i="27" s="1"/>
  <c r="AA75" i="3"/>
  <c r="M84" i="27"/>
  <c r="T84" i="27" s="1"/>
  <c r="AB179" i="3"/>
  <c r="F323" i="27"/>
  <c r="AB35" i="3"/>
  <c r="L322" i="27"/>
  <c r="S322" i="27" s="1"/>
  <c r="AC254" i="3"/>
  <c r="H368" i="27"/>
  <c r="AB96" i="3"/>
  <c r="L353" i="27"/>
  <c r="AC55" i="3"/>
  <c r="N50" i="27"/>
  <c r="AA274" i="3"/>
  <c r="G130" i="27"/>
  <c r="T130" i="27" s="1"/>
  <c r="AC211" i="3"/>
  <c r="H63" i="27"/>
  <c r="H29" i="27" s="1"/>
  <c r="AB277" i="3"/>
  <c r="F137" i="27"/>
  <c r="AB125" i="3"/>
  <c r="L125" i="27"/>
  <c r="S125" i="27" s="1"/>
  <c r="AA245" i="3"/>
  <c r="G359" i="27"/>
  <c r="AA160" i="3"/>
  <c r="G188" i="27"/>
  <c r="T188" i="27" s="1"/>
  <c r="AA149" i="3"/>
  <c r="M265" i="27"/>
  <c r="T265" i="27" s="1"/>
  <c r="AA169" i="3"/>
  <c r="G197" i="27"/>
  <c r="T197" i="27" s="1"/>
  <c r="AA73" i="3"/>
  <c r="M81" i="27"/>
  <c r="AB134" i="3"/>
  <c r="K117" i="25"/>
  <c r="L113" i="27"/>
  <c r="L139" i="27" s="1"/>
  <c r="U62" i="25"/>
  <c r="R47" i="26" a="1"/>
  <c r="R47" i="26" s="1"/>
  <c r="AA156" i="3"/>
  <c r="G183" i="27"/>
  <c r="T183" i="27" s="1"/>
  <c r="AB203" i="3"/>
  <c r="F55" i="27"/>
  <c r="AC264" i="3"/>
  <c r="H120" i="27"/>
  <c r="AA28" i="3"/>
  <c r="M199" i="27"/>
  <c r="M165" i="27" s="1"/>
  <c r="AC298" i="3"/>
  <c r="N118" i="25"/>
  <c r="Q77" i="26"/>
  <c r="H249" i="27"/>
  <c r="H275" i="27" s="1"/>
  <c r="G11" i="26"/>
  <c r="L11" i="26" s="1"/>
  <c r="AC93" i="3"/>
  <c r="N239" i="27"/>
  <c r="M154" i="27"/>
  <c r="AC296" i="3"/>
  <c r="H268" i="27"/>
  <c r="AC285" i="3"/>
  <c r="H257" i="27"/>
  <c r="AB129" i="3"/>
  <c r="L129" i="27"/>
  <c r="AA220" i="3"/>
  <c r="G86" i="27"/>
  <c r="G18" i="27" s="1"/>
  <c r="AA137" i="3"/>
  <c r="M252" i="27"/>
  <c r="AB48" i="3"/>
  <c r="L335" i="27"/>
  <c r="AA18" i="3"/>
  <c r="M189" i="27"/>
  <c r="M155" i="27" s="1"/>
  <c r="AC165" i="3"/>
  <c r="H193" i="27"/>
  <c r="AC94" i="3"/>
  <c r="O115" i="25"/>
  <c r="N215" i="27"/>
  <c r="M77" i="26" a="1"/>
  <c r="M77" i="26" s="1"/>
  <c r="H10" i="26"/>
  <c r="AB79" i="3"/>
  <c r="L88" i="27"/>
  <c r="AB90" i="3"/>
  <c r="L103" i="27"/>
  <c r="AA189" i="3"/>
  <c r="AA174" i="3"/>
  <c r="L111" i="25"/>
  <c r="G67" i="26"/>
  <c r="I67" i="26" s="1"/>
  <c r="G181" i="27"/>
  <c r="G207" i="27" s="1"/>
  <c r="J19" i="27"/>
  <c r="AB201" i="3"/>
  <c r="F53" i="27"/>
  <c r="AC249" i="3"/>
  <c r="H363" i="27"/>
  <c r="AC294" i="3"/>
  <c r="H266" i="27"/>
  <c r="AC146" i="3"/>
  <c r="N262" i="27"/>
  <c r="AC258" i="3"/>
  <c r="N116" i="25"/>
  <c r="L106" i="26"/>
  <c r="H351" i="27"/>
  <c r="H377" i="27" s="1"/>
  <c r="G14" i="26"/>
  <c r="L14" i="26" s="1"/>
  <c r="AB177" i="3"/>
  <c r="F320" i="27"/>
  <c r="AB285" i="3"/>
  <c r="F257" i="27"/>
  <c r="AB19" i="3"/>
  <c r="L190" i="27"/>
  <c r="AA76" i="3"/>
  <c r="M85" i="27"/>
  <c r="AB220" i="3"/>
  <c r="F86" i="27"/>
  <c r="AB257" i="3"/>
  <c r="F375" i="27"/>
  <c r="S375" i="27" s="1"/>
  <c r="AB172" i="3"/>
  <c r="F200" i="27"/>
  <c r="S200" i="27" s="1"/>
  <c r="AB137" i="3"/>
  <c r="L252" i="27"/>
  <c r="AA97" i="3"/>
  <c r="M354" i="27"/>
  <c r="M286" i="27" s="1"/>
  <c r="AB182" i="3"/>
  <c r="F326" i="27"/>
  <c r="F292" i="27" s="1"/>
  <c r="AB123" i="3"/>
  <c r="L123" i="27"/>
  <c r="AA143" i="3"/>
  <c r="M259" i="27"/>
  <c r="T259" i="27" s="1"/>
  <c r="AB18" i="3"/>
  <c r="L189" i="27"/>
  <c r="AC101" i="3"/>
  <c r="N359" i="27"/>
  <c r="AC251" i="3"/>
  <c r="H365" i="27"/>
  <c r="AB39" i="3"/>
  <c r="L326" i="27"/>
  <c r="S326" i="27" s="1"/>
  <c r="AA46" i="3"/>
  <c r="M333" i="27"/>
  <c r="AC142" i="3"/>
  <c r="N258" i="27"/>
  <c r="AB258" i="3"/>
  <c r="J116" i="25"/>
  <c r="K61" i="25"/>
  <c r="F351" i="27"/>
  <c r="F377" i="27" s="1"/>
  <c r="L105" i="26"/>
  <c r="AB103" i="3"/>
  <c r="L361" i="27"/>
  <c r="S361" i="27" s="1"/>
  <c r="AC255" i="3"/>
  <c r="H369" i="27"/>
  <c r="U369" i="27" s="1"/>
  <c r="AC49" i="3"/>
  <c r="N336" i="27"/>
  <c r="AC126" i="3"/>
  <c r="N126" i="27"/>
  <c r="AB153" i="3"/>
  <c r="L273" i="27"/>
  <c r="S273" i="27" s="1"/>
  <c r="AC273" i="3"/>
  <c r="H129" i="27"/>
  <c r="AC116" i="3"/>
  <c r="N115" i="27"/>
  <c r="AC248" i="3"/>
  <c r="H362" i="27"/>
  <c r="U362" i="27" s="1"/>
  <c r="AB72" i="3"/>
  <c r="L80" i="27"/>
  <c r="AB190" i="3"/>
  <c r="F334" i="27"/>
  <c r="AB213" i="3"/>
  <c r="F69" i="27"/>
  <c r="AB24" i="3"/>
  <c r="L195" i="27"/>
  <c r="L161" i="27" s="1"/>
  <c r="AB273" i="3"/>
  <c r="F129" i="27"/>
  <c r="AB68" i="3"/>
  <c r="L63" i="27"/>
  <c r="L29" i="27" s="1"/>
  <c r="AB218" i="3"/>
  <c r="F84" i="27"/>
  <c r="F16" i="27" s="1"/>
  <c r="AB76" i="3"/>
  <c r="L85" i="27"/>
  <c r="AB124" i="3"/>
  <c r="L124" i="27"/>
  <c r="AB269" i="3"/>
  <c r="F125" i="27"/>
  <c r="AA172" i="3"/>
  <c r="G200" i="27"/>
  <c r="T200" i="27" s="1"/>
  <c r="AB209" i="3"/>
  <c r="F61" i="27"/>
  <c r="F27" i="27" s="1"/>
  <c r="AB184" i="3"/>
  <c r="F328" i="27"/>
  <c r="AC212" i="3"/>
  <c r="H64" i="27"/>
  <c r="AC187" i="3"/>
  <c r="H331" i="27"/>
  <c r="AC129" i="3"/>
  <c r="N129" i="27"/>
  <c r="U129" i="27" s="1"/>
  <c r="AB97" i="3"/>
  <c r="L354" i="27"/>
  <c r="L286" i="27" s="1"/>
  <c r="AA182" i="3"/>
  <c r="G326" i="27"/>
  <c r="G292" i="27" s="1"/>
  <c r="AA21" i="3"/>
  <c r="M192" i="27"/>
  <c r="T192" i="27" s="1"/>
  <c r="AA123" i="3"/>
  <c r="M123" i="27"/>
  <c r="M21" i="27" s="1"/>
  <c r="AB244" i="3"/>
  <c r="F358" i="27"/>
  <c r="AC106" i="3"/>
  <c r="N364" i="27"/>
  <c r="AB143" i="3"/>
  <c r="L259" i="27"/>
  <c r="AA227" i="3"/>
  <c r="G93" i="27"/>
  <c r="G25" i="27" s="1"/>
  <c r="AA47" i="3"/>
  <c r="M334" i="27"/>
  <c r="AA96" i="3"/>
  <c r="M353" i="27"/>
  <c r="M285" i="27" s="1"/>
  <c r="AA60" i="3"/>
  <c r="M55" i="27"/>
  <c r="AB192" i="3"/>
  <c r="F336" i="27"/>
  <c r="AA281" i="3"/>
  <c r="G252" i="27"/>
  <c r="AB149" i="3"/>
  <c r="L265" i="27"/>
  <c r="S265" i="27" s="1"/>
  <c r="AB287" i="3"/>
  <c r="F259" i="27"/>
  <c r="AA261" i="3"/>
  <c r="AB207" i="3"/>
  <c r="F59" i="27"/>
  <c r="AA141" i="3"/>
  <c r="AB16" i="3"/>
  <c r="L187" i="27"/>
  <c r="AC121" i="3"/>
  <c r="N121" i="27"/>
  <c r="AC154" i="3"/>
  <c r="O118" i="25"/>
  <c r="N249" i="27"/>
  <c r="R77" i="26" a="1"/>
  <c r="R77" i="26" s="1"/>
  <c r="H11" i="26"/>
  <c r="AC56" i="3"/>
  <c r="N51" i="27"/>
  <c r="AA69" i="3"/>
  <c r="AA198" i="3"/>
  <c r="G50" i="27"/>
  <c r="G16" i="27" s="1"/>
  <c r="AC13" i="3"/>
  <c r="N183" i="27"/>
  <c r="AB81" i="3"/>
  <c r="L90" i="27"/>
  <c r="S90" i="27" s="1"/>
  <c r="AC253" i="3"/>
  <c r="H367" i="27"/>
  <c r="AA226" i="3"/>
  <c r="G92" i="27"/>
  <c r="T92" i="27" s="1"/>
  <c r="AB271" i="3"/>
  <c r="F127" i="27"/>
  <c r="AC42" i="3"/>
  <c r="N329" i="27"/>
  <c r="AB264" i="3"/>
  <c r="F120" i="27"/>
  <c r="AB279" i="3"/>
  <c r="F250" i="27"/>
  <c r="AA17" i="3"/>
  <c r="AB265" i="3"/>
  <c r="F121" i="27"/>
  <c r="AB141" i="3"/>
  <c r="L257" i="27"/>
  <c r="AB117" i="3"/>
  <c r="L116" i="27"/>
  <c r="S116" i="27" s="1"/>
  <c r="AB294" i="3"/>
  <c r="F266" i="27"/>
  <c r="S266" i="27" s="1"/>
  <c r="AB189" i="3"/>
  <c r="F333" i="27"/>
  <c r="F299" i="27" s="1"/>
  <c r="AB176" i="3"/>
  <c r="F319" i="27"/>
  <c r="AB20" i="3"/>
  <c r="L191" i="27"/>
  <c r="AB212" i="3"/>
  <c r="F64" i="27"/>
  <c r="M184" i="27"/>
  <c r="R305" i="27"/>
  <c r="U170" i="27"/>
  <c r="T170" i="27"/>
  <c r="T306" i="27"/>
  <c r="R303" i="27"/>
  <c r="R304" i="27"/>
  <c r="T304" i="27"/>
  <c r="U168" i="27"/>
  <c r="R171" i="27"/>
  <c r="R306" i="27"/>
  <c r="Q306" i="27"/>
  <c r="U306" i="27"/>
  <c r="S168" i="27"/>
  <c r="R167" i="27"/>
  <c r="Q171" i="27"/>
  <c r="C60" i="26" a="1"/>
  <c r="C60" i="26" s="1"/>
  <c r="S169" i="27"/>
  <c r="Q304" i="27"/>
  <c r="C31" i="26" a="1"/>
  <c r="C31" i="26" s="1"/>
  <c r="Q168" i="27"/>
  <c r="B98" i="26"/>
  <c r="C99" i="26" a="1"/>
  <c r="C99" i="26" s="1"/>
  <c r="C88" i="26" a="1"/>
  <c r="C88" i="26" s="1"/>
  <c r="C86" i="26" a="1"/>
  <c r="C86" i="26" s="1"/>
  <c r="C101" i="26" a="1"/>
  <c r="C101" i="26" s="1"/>
  <c r="C97" i="26" a="1"/>
  <c r="C97" i="26" s="1"/>
  <c r="C45" i="26" a="1"/>
  <c r="C45" i="26" s="1"/>
  <c r="C28" i="26" a="1"/>
  <c r="C28" i="26" s="1"/>
  <c r="C102" i="26" a="1"/>
  <c r="C102" i="26" s="1"/>
  <c r="C69" i="26" a="1"/>
  <c r="C69" i="26" s="1"/>
  <c r="C42" i="26" a="1"/>
  <c r="C42" i="26" s="1"/>
  <c r="C100" i="26" a="1"/>
  <c r="C100" i="26" s="1"/>
  <c r="C55" i="26" a="1"/>
  <c r="C55" i="26" s="1"/>
  <c r="C63" i="26" a="1"/>
  <c r="C63" i="26" s="1"/>
  <c r="C64" i="26" s="1"/>
  <c r="C56" i="26" a="1"/>
  <c r="C56" i="26" s="1"/>
  <c r="C65" i="26" a="1"/>
  <c r="C65" i="26" s="1"/>
  <c r="C73" i="26" a="1"/>
  <c r="C73" i="26" s="1"/>
  <c r="C70" i="26" a="1"/>
  <c r="C70" i="26" s="1"/>
  <c r="C75" i="26" a="1"/>
  <c r="C75" i="26" s="1"/>
  <c r="C62" i="26" a="1"/>
  <c r="C62" i="26" s="1"/>
  <c r="C61" i="26" a="1"/>
  <c r="C61" i="26" s="1"/>
  <c r="C26" i="26" a="1"/>
  <c r="C26" i="26" s="1"/>
  <c r="U169" i="27"/>
  <c r="C71" i="26" a="1"/>
  <c r="C71" i="26" s="1"/>
  <c r="T169" i="27"/>
  <c r="C84" i="26" a="1"/>
  <c r="C84" i="26" s="1"/>
  <c r="C58" i="26" a="1"/>
  <c r="C58" i="26" s="1"/>
  <c r="C37" i="26" a="1"/>
  <c r="C37" i="26" s="1"/>
  <c r="C85" i="26" a="1"/>
  <c r="C85" i="26" s="1"/>
  <c r="C33" i="26" a="1"/>
  <c r="C33" i="26" s="1"/>
  <c r="C94" i="26" a="1"/>
  <c r="C94" i="26" s="1"/>
  <c r="R169" i="27"/>
  <c r="C72" i="26" a="1"/>
  <c r="C72" i="26" s="1"/>
  <c r="C92" i="26" a="1"/>
  <c r="C92" i="26" s="1"/>
  <c r="R168" i="27"/>
  <c r="Q169" i="27"/>
  <c r="C90" i="26" a="1"/>
  <c r="C90" i="26" s="1"/>
  <c r="C74" i="26" a="1"/>
  <c r="C74" i="26" s="1"/>
  <c r="C98" i="26" a="1"/>
  <c r="C98" i="26" s="1"/>
  <c r="C172" i="27"/>
  <c r="C95" i="26" a="1"/>
  <c r="C95" i="26" s="1"/>
  <c r="C104" i="26" a="1"/>
  <c r="C104" i="26" s="1"/>
  <c r="C66" i="26" a="1"/>
  <c r="C66" i="26" s="1"/>
  <c r="C57" i="26" a="1"/>
  <c r="C57" i="26" s="1"/>
  <c r="C91" i="26" a="1"/>
  <c r="C91" i="26" s="1"/>
  <c r="B45" i="26"/>
  <c r="C34" i="26" a="1"/>
  <c r="C34" i="26" s="1"/>
  <c r="C30" i="26" a="1"/>
  <c r="C30" i="26" s="1"/>
  <c r="C27" i="26" a="1"/>
  <c r="C27" i="26" s="1"/>
  <c r="C39" i="26" a="1"/>
  <c r="C39" i="26" s="1"/>
  <c r="C40" i="26" a="1"/>
  <c r="C40" i="26" s="1"/>
  <c r="C44" i="26" a="1"/>
  <c r="C44" i="26" s="1"/>
  <c r="C29" i="26" a="1"/>
  <c r="C29" i="26" s="1"/>
  <c r="C36" i="26" a="1"/>
  <c r="C36" i="26" s="1"/>
  <c r="C89" i="26" a="1"/>
  <c r="C89" i="26" s="1"/>
  <c r="C59" i="26" a="1"/>
  <c r="C59" i="26" s="1"/>
  <c r="C32" i="26" a="1"/>
  <c r="C32" i="26" s="1"/>
  <c r="C41" i="26" a="1"/>
  <c r="C41" i="26" s="1"/>
  <c r="T168" i="27"/>
  <c r="C43" i="26" a="1"/>
  <c r="C43" i="26" s="1"/>
  <c r="C103" i="26" a="1"/>
  <c r="C103" i="26" s="1"/>
  <c r="U33" i="27"/>
  <c r="R33" i="27"/>
  <c r="T33" i="27"/>
  <c r="S34" i="27"/>
  <c r="R32" i="27"/>
  <c r="R31" i="27"/>
  <c r="K207" i="27"/>
  <c r="I172" i="27"/>
  <c r="S32" i="27"/>
  <c r="T32" i="27"/>
  <c r="Q34" i="27"/>
  <c r="U34" i="27"/>
  <c r="T34" i="27"/>
  <c r="E71" i="27"/>
  <c r="O283" i="27"/>
  <c r="B31" i="26"/>
  <c r="J207" i="27"/>
  <c r="B37" i="26"/>
  <c r="B36" i="26"/>
  <c r="B92" i="26"/>
  <c r="B103" i="26"/>
  <c r="B33" i="26"/>
  <c r="O28" i="27"/>
  <c r="B40" i="26"/>
  <c r="B85" i="26"/>
  <c r="B29" i="26"/>
  <c r="B43" i="26"/>
  <c r="B30" i="26"/>
  <c r="B42" i="26"/>
  <c r="B28" i="26"/>
  <c r="B104" i="26"/>
  <c r="B26" i="26"/>
  <c r="B34" i="26"/>
  <c r="B94" i="26"/>
  <c r="B84" i="26"/>
  <c r="B44" i="26"/>
  <c r="B102" i="26"/>
  <c r="B41" i="26"/>
  <c r="B39" i="26"/>
  <c r="B97" i="26"/>
  <c r="B87" i="26"/>
  <c r="B100" i="26"/>
  <c r="B91" i="26"/>
  <c r="B86" i="26"/>
  <c r="B90" i="26"/>
  <c r="B95" i="26"/>
  <c r="B99" i="26"/>
  <c r="B32" i="26"/>
  <c r="B27" i="26"/>
  <c r="B46" i="26"/>
  <c r="B101" i="26"/>
  <c r="B88" i="26"/>
  <c r="B89" i="26"/>
  <c r="E139" i="27"/>
  <c r="E377" i="27"/>
  <c r="E343" i="27"/>
  <c r="F343" i="27"/>
  <c r="G343" i="27"/>
  <c r="D343" i="27"/>
  <c r="D71" i="27"/>
  <c r="D105" i="27"/>
  <c r="E105" i="27"/>
  <c r="F71" i="27"/>
  <c r="D241" i="27"/>
  <c r="D377" i="27"/>
  <c r="E275" i="27"/>
  <c r="D139" i="27"/>
  <c r="D207" i="27"/>
  <c r="E207" i="27"/>
  <c r="D275" i="27"/>
  <c r="K139" i="27"/>
  <c r="J377" i="27"/>
  <c r="K377" i="27"/>
  <c r="L377" i="27"/>
  <c r="L343" i="27"/>
  <c r="K343" i="27"/>
  <c r="M207" i="27"/>
  <c r="K105" i="27"/>
  <c r="L207" i="27"/>
  <c r="J139" i="27"/>
  <c r="J105" i="27"/>
  <c r="K71" i="27"/>
  <c r="J71" i="27"/>
  <c r="M71" i="27"/>
  <c r="J275" i="27"/>
  <c r="K275" i="27"/>
  <c r="K241" i="27"/>
  <c r="L241" i="27"/>
  <c r="J241" i="27"/>
  <c r="J343" i="27"/>
  <c r="E189" i="25"/>
  <c r="O19" i="27"/>
  <c r="G65" i="25"/>
  <c r="D75" i="25"/>
  <c r="C15" i="25"/>
  <c r="C84" i="25"/>
  <c r="G76" i="25"/>
  <c r="G73" i="25"/>
  <c r="E86" i="25"/>
  <c r="E17" i="25"/>
  <c r="E85" i="25"/>
  <c r="F75" i="25"/>
  <c r="J18" i="25"/>
  <c r="L31" i="25"/>
  <c r="K31" i="25" s="1"/>
  <c r="C73" i="25"/>
  <c r="P188" i="25"/>
  <c r="J15" i="25"/>
  <c r="L21" i="25"/>
  <c r="U232" i="27"/>
  <c r="U264" i="27"/>
  <c r="H17" i="25"/>
  <c r="Q225" i="27"/>
  <c r="R224" i="27"/>
  <c r="R205" i="27"/>
  <c r="Q250" i="27"/>
  <c r="T89" i="27"/>
  <c r="Q124" i="27"/>
  <c r="U319" i="27"/>
  <c r="T91" i="27"/>
  <c r="O164" i="27"/>
  <c r="T114" i="27"/>
  <c r="T216" i="27"/>
  <c r="T60" i="27"/>
  <c r="K164" i="27"/>
  <c r="O166" i="27"/>
  <c r="J164" i="27"/>
  <c r="N31" i="26"/>
  <c r="O16" i="27"/>
  <c r="N30" i="26"/>
  <c r="Q332" i="27"/>
  <c r="U253" i="27"/>
  <c r="R230" i="27"/>
  <c r="R53" i="27"/>
  <c r="R46" i="27"/>
  <c r="U223" i="27"/>
  <c r="R83" i="27"/>
  <c r="T227" i="27"/>
  <c r="Q119" i="27"/>
  <c r="N46" i="26"/>
  <c r="O159" i="27"/>
  <c r="R254" i="27"/>
  <c r="S127" i="27"/>
  <c r="O14" i="27"/>
  <c r="O286" i="27"/>
  <c r="T363" i="27"/>
  <c r="R227" i="27"/>
  <c r="T115" i="27"/>
  <c r="R59" i="27"/>
  <c r="R184" i="27"/>
  <c r="O26" i="27"/>
  <c r="O17" i="27"/>
  <c r="O291" i="27"/>
  <c r="O153" i="27"/>
  <c r="O23" i="27"/>
  <c r="O152" i="27"/>
  <c r="O149" i="27"/>
  <c r="Q336" i="27"/>
  <c r="I31" i="26"/>
  <c r="O287" i="27"/>
  <c r="T368" i="27"/>
  <c r="E190" i="25"/>
  <c r="R188" i="27"/>
  <c r="O148" i="27"/>
  <c r="O18" i="27"/>
  <c r="Q84" i="27"/>
  <c r="I61" i="26"/>
  <c r="S219" i="27"/>
  <c r="I72" i="26"/>
  <c r="Q341" i="27"/>
  <c r="O307" i="27"/>
  <c r="Q137" i="27"/>
  <c r="I73" i="26"/>
  <c r="O12" i="27"/>
  <c r="O21" i="27"/>
  <c r="O151" i="27"/>
  <c r="D163" i="27"/>
  <c r="O163" i="27"/>
  <c r="D289" i="27"/>
  <c r="O289" i="27"/>
  <c r="E285" i="27"/>
  <c r="O285" i="27"/>
  <c r="G15" i="27"/>
  <c r="O15" i="27"/>
  <c r="O20" i="27"/>
  <c r="D165" i="27"/>
  <c r="O165" i="27"/>
  <c r="D284" i="27"/>
  <c r="O284" i="27"/>
  <c r="O300" i="27"/>
  <c r="O13" i="27"/>
  <c r="D295" i="27"/>
  <c r="O295" i="27"/>
  <c r="O24" i="27"/>
  <c r="D30" i="27"/>
  <c r="O30" i="27"/>
  <c r="O157" i="27"/>
  <c r="O158" i="27"/>
  <c r="E292" i="27"/>
  <c r="R292" i="27" s="1"/>
  <c r="O292" i="27"/>
  <c r="D299" i="27"/>
  <c r="O299" i="27"/>
  <c r="O156" i="27"/>
  <c r="D161" i="27"/>
  <c r="O161" i="27"/>
  <c r="O29" i="27"/>
  <c r="O35" i="27"/>
  <c r="O27" i="27"/>
  <c r="O297" i="27"/>
  <c r="S41" i="26"/>
  <c r="E25" i="27"/>
  <c r="O25" i="27"/>
  <c r="H298" i="27"/>
  <c r="O298" i="27"/>
  <c r="O160" i="27"/>
  <c r="O154" i="27"/>
  <c r="O150" i="27"/>
  <c r="Q187" i="27"/>
  <c r="E296" i="27"/>
  <c r="O296" i="27"/>
  <c r="O290" i="27"/>
  <c r="G301" i="27"/>
  <c r="O301" i="27"/>
  <c r="E162" i="27"/>
  <c r="O162" i="27"/>
  <c r="U62" i="27"/>
  <c r="Q334" i="27"/>
  <c r="U321" i="27"/>
  <c r="O181" i="27"/>
  <c r="O22" i="27"/>
  <c r="R197" i="27"/>
  <c r="O11" i="27"/>
  <c r="E155" i="27"/>
  <c r="R155" i="27" s="1"/>
  <c r="O155" i="27"/>
  <c r="O294" i="27"/>
  <c r="O293" i="27"/>
  <c r="E302" i="27"/>
  <c r="O302" i="27"/>
  <c r="Q324" i="27"/>
  <c r="E288" i="27"/>
  <c r="O288" i="27"/>
  <c r="R266" i="27"/>
  <c r="Q375" i="27"/>
  <c r="R256" i="27"/>
  <c r="R93" i="27"/>
  <c r="H64" i="26"/>
  <c r="J41" i="25"/>
  <c r="R255" i="27"/>
  <c r="K41" i="25"/>
  <c r="J24" i="27"/>
  <c r="N42" i="25" a="1"/>
  <c r="N42" i="25" s="1"/>
  <c r="I74" i="26"/>
  <c r="I43" i="26"/>
  <c r="T126" i="27"/>
  <c r="I100" i="26"/>
  <c r="X188" i="25"/>
  <c r="Q86" i="27"/>
  <c r="I75" i="26"/>
  <c r="D20" i="25"/>
  <c r="C147" i="27"/>
  <c r="O147" i="27" s="1"/>
  <c r="I54" i="26"/>
  <c r="P181" i="27"/>
  <c r="E20" i="25"/>
  <c r="B54" i="26"/>
  <c r="B55" i="26" s="1"/>
  <c r="I58" i="26"/>
  <c r="I65" i="26"/>
  <c r="I55" i="26"/>
  <c r="D290" i="27"/>
  <c r="G20" i="25"/>
  <c r="I29" i="26"/>
  <c r="I62" i="26"/>
  <c r="R126" i="27"/>
  <c r="M195" i="25"/>
  <c r="O48" i="25"/>
  <c r="I59" i="26"/>
  <c r="L192" i="25"/>
  <c r="I57" i="26"/>
  <c r="Q252" i="27"/>
  <c r="S37" i="26"/>
  <c r="S75" i="26"/>
  <c r="R370" i="27"/>
  <c r="AC14" i="3"/>
  <c r="S227" i="27"/>
  <c r="J154" i="27"/>
  <c r="S55" i="26"/>
  <c r="N43" i="25" a="1"/>
  <c r="N43" i="25" s="1"/>
  <c r="N43" i="26"/>
  <c r="N27" i="26"/>
  <c r="E23" i="25"/>
  <c r="E299" i="27"/>
  <c r="E160" i="27"/>
  <c r="D160" i="27"/>
  <c r="I40" i="26"/>
  <c r="K285" i="27"/>
  <c r="R115" i="27"/>
  <c r="R60" i="27"/>
  <c r="Q320" i="27"/>
  <c r="I88" i="26"/>
  <c r="E294" i="27"/>
  <c r="S68" i="26"/>
  <c r="R322" i="27"/>
  <c r="N68" i="26"/>
  <c r="R217" i="27"/>
  <c r="L35" i="26"/>
  <c r="S69" i="26"/>
  <c r="N58" i="26"/>
  <c r="Q228" i="27"/>
  <c r="S44" i="26"/>
  <c r="R366" i="27"/>
  <c r="S30" i="26"/>
  <c r="G284" i="27"/>
  <c r="Q369" i="27"/>
  <c r="I30" i="26"/>
  <c r="R354" i="27"/>
  <c r="S233" i="27"/>
  <c r="R234" i="27"/>
  <c r="N28" i="26"/>
  <c r="I42" i="26"/>
  <c r="N34" i="26"/>
  <c r="R363" i="27"/>
  <c r="Q190" i="25"/>
  <c r="R233" i="27"/>
  <c r="T49" i="27"/>
  <c r="S29" i="26"/>
  <c r="G297" i="27"/>
  <c r="E290" i="27"/>
  <c r="E284" i="27"/>
  <c r="R284" i="27" s="1"/>
  <c r="R362" i="27"/>
  <c r="I84" i="26"/>
  <c r="E297" i="27"/>
  <c r="R297" i="27" s="1"/>
  <c r="S61" i="26"/>
  <c r="Q328" i="27"/>
  <c r="Q194" i="27"/>
  <c r="Q333" i="27"/>
  <c r="S224" i="27"/>
  <c r="R193" i="27"/>
  <c r="S74" i="26"/>
  <c r="B22" i="25"/>
  <c r="D22" i="25" s="1"/>
  <c r="H23" i="25"/>
  <c r="E289" i="27"/>
  <c r="R190" i="27"/>
  <c r="D23" i="25"/>
  <c r="K299" i="27"/>
  <c r="R122" i="27"/>
  <c r="T56" i="27"/>
  <c r="R116" i="27"/>
  <c r="N36" i="26"/>
  <c r="J299" i="27"/>
  <c r="Q47" i="27"/>
  <c r="S356" i="27"/>
  <c r="Q116" i="27"/>
  <c r="R92" i="27"/>
  <c r="R328" i="27"/>
  <c r="G160" i="27"/>
  <c r="R258" i="27"/>
  <c r="K154" i="27"/>
  <c r="E45" i="25"/>
  <c r="J159" i="27"/>
  <c r="I98" i="26"/>
  <c r="D285" i="27"/>
  <c r="N86" i="26"/>
  <c r="J17" i="27"/>
  <c r="R192" i="27"/>
  <c r="Q261" i="27"/>
  <c r="K17" i="27"/>
  <c r="R216" i="27"/>
  <c r="S28" i="26"/>
  <c r="J285" i="27"/>
  <c r="D194" i="25"/>
  <c r="T127" i="27"/>
  <c r="R320" i="27"/>
  <c r="E165" i="27"/>
  <c r="O42" i="25"/>
  <c r="N77" i="26"/>
  <c r="N37" i="26"/>
  <c r="Q226" i="27"/>
  <c r="T82" i="27"/>
  <c r="Q362" i="27"/>
  <c r="U320" i="27"/>
  <c r="P150" i="27"/>
  <c r="R194" i="27"/>
  <c r="J286" i="27"/>
  <c r="L191" i="25"/>
  <c r="K159" i="27"/>
  <c r="R94" i="27"/>
  <c r="D300" i="27"/>
  <c r="O45" i="25"/>
  <c r="K286" i="27"/>
  <c r="E42" i="25"/>
  <c r="D150" i="27"/>
  <c r="I32" i="26"/>
  <c r="P299" i="27"/>
  <c r="G288" i="27"/>
  <c r="E300" i="27"/>
  <c r="L23" i="25"/>
  <c r="O23" i="25"/>
  <c r="D288" i="27"/>
  <c r="Q288" i="27" s="1"/>
  <c r="T65" i="25"/>
  <c r="M35" i="26"/>
  <c r="J295" i="27"/>
  <c r="R98" i="27"/>
  <c r="R250" i="27"/>
  <c r="K23" i="25"/>
  <c r="R128" i="27"/>
  <c r="J13" i="27"/>
  <c r="L20" i="25"/>
  <c r="L307" i="27"/>
  <c r="R360" i="27"/>
  <c r="K13" i="27"/>
  <c r="T117" i="27"/>
  <c r="J307" i="27"/>
  <c r="J150" i="27"/>
  <c r="R226" i="27"/>
  <c r="S368" i="27"/>
  <c r="T369" i="27"/>
  <c r="M287" i="27"/>
  <c r="G299" i="27"/>
  <c r="D21" i="27"/>
  <c r="R333" i="27"/>
  <c r="R88" i="27"/>
  <c r="O31" i="25"/>
  <c r="N31" i="25" s="1"/>
  <c r="E150" i="27"/>
  <c r="R150" i="27" s="1"/>
  <c r="N75" i="26"/>
  <c r="M150" i="27"/>
  <c r="Q258" i="27"/>
  <c r="Z33" i="25"/>
  <c r="Y33" i="25" s="1"/>
  <c r="N42" i="26"/>
  <c r="R56" i="27"/>
  <c r="R232" i="27"/>
  <c r="Q122" i="27"/>
  <c r="Q81" i="27"/>
  <c r="T256" i="27"/>
  <c r="T83" i="27"/>
  <c r="Q356" i="27"/>
  <c r="Q91" i="27"/>
  <c r="Q92" i="27"/>
  <c r="Q330" i="27"/>
  <c r="R369" i="27"/>
  <c r="R239" i="27"/>
  <c r="R86" i="27"/>
  <c r="O20" i="25"/>
  <c r="R260" i="27"/>
  <c r="L284" i="27"/>
  <c r="L194" i="25"/>
  <c r="R375" i="27"/>
  <c r="R327" i="27"/>
  <c r="R368" i="27"/>
  <c r="L64" i="26"/>
  <c r="Q318" i="27"/>
  <c r="S332" i="27"/>
  <c r="R120" i="27"/>
  <c r="N95" i="26"/>
  <c r="I89" i="26"/>
  <c r="S36" i="26"/>
  <c r="D298" i="27"/>
  <c r="Q298" i="27" s="1"/>
  <c r="Q331" i="27"/>
  <c r="N99" i="26"/>
  <c r="K20" i="25"/>
  <c r="G298" i="27"/>
  <c r="C64" i="25"/>
  <c r="T330" i="27"/>
  <c r="Q56" i="27"/>
  <c r="Q190" i="27"/>
  <c r="T266" i="27"/>
  <c r="S230" i="27"/>
  <c r="N32" i="26"/>
  <c r="Q364" i="27"/>
  <c r="I95" i="26"/>
  <c r="Q183" i="27"/>
  <c r="T97" i="27"/>
  <c r="D44" i="25" a="1"/>
  <c r="D44" i="25" s="1"/>
  <c r="E44" i="25"/>
  <c r="Q54" i="27"/>
  <c r="G17" i="25"/>
  <c r="J148" i="27"/>
  <c r="K148" i="27"/>
  <c r="N33" i="26"/>
  <c r="S83" i="27"/>
  <c r="E43" i="25"/>
  <c r="D43" i="25" a="1"/>
  <c r="D43" i="25" s="1"/>
  <c r="R182" i="27"/>
  <c r="M148" i="27"/>
  <c r="Q96" i="27"/>
  <c r="D191" i="25"/>
  <c r="J291" i="27"/>
  <c r="K291" i="27"/>
  <c r="J297" i="27"/>
  <c r="O33" i="25"/>
  <c r="N33" i="25" s="1"/>
  <c r="L33" i="25"/>
  <c r="K33" i="25" s="1"/>
  <c r="Q59" i="27"/>
  <c r="S63" i="26"/>
  <c r="R330" i="27"/>
  <c r="S188" i="27"/>
  <c r="J25" i="27"/>
  <c r="K287" i="27"/>
  <c r="P297" i="27"/>
  <c r="R324" i="27"/>
  <c r="Q89" i="27"/>
  <c r="T184" i="27"/>
  <c r="P287" i="27"/>
  <c r="Z32" i="25"/>
  <c r="Y32" i="25" s="1"/>
  <c r="T128" i="27"/>
  <c r="S366" i="27"/>
  <c r="R331" i="27"/>
  <c r="Q358" i="27"/>
  <c r="P160" i="27"/>
  <c r="J160" i="27"/>
  <c r="R187" i="27"/>
  <c r="I85" i="26"/>
  <c r="Q370" i="27"/>
  <c r="R123" i="27"/>
  <c r="M296" i="27"/>
  <c r="Q255" i="27"/>
  <c r="J284" i="27"/>
  <c r="P284" i="27"/>
  <c r="R263" i="27"/>
  <c r="R89" i="27"/>
  <c r="K288" i="27"/>
  <c r="P288" i="27"/>
  <c r="S62" i="26"/>
  <c r="Q193" i="25"/>
  <c r="P193" i="25"/>
  <c r="R58" i="27"/>
  <c r="I86" i="26"/>
  <c r="R96" i="27"/>
  <c r="I36" i="26"/>
  <c r="Q189" i="25"/>
  <c r="P189" i="25"/>
  <c r="E26" i="27"/>
  <c r="G26" i="27"/>
  <c r="S45" i="26"/>
  <c r="Q182" i="27"/>
  <c r="P148" i="27"/>
  <c r="E295" i="27"/>
  <c r="R295" i="27" s="1"/>
  <c r="E14" i="27"/>
  <c r="S31" i="26"/>
  <c r="Q256" i="27"/>
  <c r="Q79" i="27"/>
  <c r="Q93" i="27"/>
  <c r="S33" i="26"/>
  <c r="R334" i="27"/>
  <c r="N23" i="25"/>
  <c r="R130" i="27"/>
  <c r="T318" i="27"/>
  <c r="N41" i="26"/>
  <c r="Q199" i="27"/>
  <c r="Q90" i="27"/>
  <c r="J296" i="27"/>
  <c r="K163" i="27"/>
  <c r="D17" i="25"/>
  <c r="Q64" i="26"/>
  <c r="D294" i="27"/>
  <c r="G294" i="27"/>
  <c r="S73" i="26"/>
  <c r="N44" i="26"/>
  <c r="K166" i="27"/>
  <c r="R335" i="27"/>
  <c r="R365" i="27"/>
  <c r="Q335" i="27"/>
  <c r="R97" i="27"/>
  <c r="K25" i="27"/>
  <c r="K22" i="27"/>
  <c r="I46" i="26"/>
  <c r="U60" i="27"/>
  <c r="K21" i="27"/>
  <c r="D148" i="27"/>
  <c r="N59" i="26"/>
  <c r="N57" i="26"/>
  <c r="R199" i="27"/>
  <c r="R117" i="27"/>
  <c r="Q263" i="27"/>
  <c r="R61" i="27"/>
  <c r="P295" i="27"/>
  <c r="D293" i="27"/>
  <c r="S43" i="26"/>
  <c r="Q234" i="27"/>
  <c r="Q184" i="27"/>
  <c r="R223" i="27"/>
  <c r="S42" i="26"/>
  <c r="R55" i="27"/>
  <c r="H35" i="26"/>
  <c r="Q189" i="27"/>
  <c r="S58" i="26"/>
  <c r="Q351" i="27"/>
  <c r="T354" i="27"/>
  <c r="R261" i="27"/>
  <c r="U332" i="27"/>
  <c r="S321" i="27"/>
  <c r="P16" i="27"/>
  <c r="S71" i="26"/>
  <c r="T361" i="27"/>
  <c r="R191" i="27"/>
  <c r="R69" i="27"/>
  <c r="Q227" i="27"/>
  <c r="N94" i="26"/>
  <c r="P165" i="27"/>
  <c r="T116" i="27"/>
  <c r="R251" i="27"/>
  <c r="Q233" i="27"/>
  <c r="R81" i="27"/>
  <c r="N26" i="26"/>
  <c r="I94" i="26"/>
  <c r="S128" i="27"/>
  <c r="S40" i="26"/>
  <c r="S65" i="26"/>
  <c r="Q224" i="27"/>
  <c r="N71" i="26"/>
  <c r="R52" i="27"/>
  <c r="R62" i="27"/>
  <c r="R103" i="27"/>
  <c r="R259" i="27"/>
  <c r="N70" i="26"/>
  <c r="Q117" i="27"/>
  <c r="S56" i="26"/>
  <c r="T218" i="27"/>
  <c r="Q259" i="27"/>
  <c r="N88" i="26"/>
  <c r="D83" i="26"/>
  <c r="I64" i="25"/>
  <c r="R336" i="27"/>
  <c r="Y194" i="25"/>
  <c r="R125" i="27"/>
  <c r="R50" i="27"/>
  <c r="D15" i="26"/>
  <c r="I39" i="26"/>
  <c r="S59" i="26"/>
  <c r="Q321" i="27"/>
  <c r="R119" i="27"/>
  <c r="Q192" i="25"/>
  <c r="E87" i="25"/>
  <c r="C85" i="25"/>
  <c r="Q188" i="25"/>
  <c r="D190" i="25"/>
  <c r="E84" i="25"/>
  <c r="C87" i="25"/>
  <c r="U231" i="27"/>
  <c r="Q125" i="27"/>
  <c r="Q197" i="27"/>
  <c r="T190" i="27"/>
  <c r="T332" i="27"/>
  <c r="S218" i="27"/>
  <c r="T80" i="27"/>
  <c r="Q97" i="27"/>
  <c r="Q132" i="27"/>
  <c r="S49" i="27"/>
  <c r="U224" i="27"/>
  <c r="T331" i="27"/>
  <c r="Q264" i="27"/>
  <c r="T273" i="27"/>
  <c r="T366" i="27"/>
  <c r="Q366" i="27"/>
  <c r="S217" i="27"/>
  <c r="U83" i="27"/>
  <c r="Q114" i="27"/>
  <c r="Q51" i="27"/>
  <c r="Q120" i="27"/>
  <c r="Q131" i="27"/>
  <c r="Q129" i="27"/>
  <c r="S226" i="27"/>
  <c r="Q361" i="27"/>
  <c r="T224" i="27"/>
  <c r="U117" i="27"/>
  <c r="T341" i="27"/>
  <c r="T191" i="27"/>
  <c r="T51" i="27"/>
  <c r="T228" i="27"/>
  <c r="S229" i="27"/>
  <c r="Q128" i="27"/>
  <c r="U221" i="27"/>
  <c r="S60" i="27"/>
  <c r="Q205" i="27"/>
  <c r="T121" i="27"/>
  <c r="T254" i="27"/>
  <c r="Q360" i="27"/>
  <c r="Q69" i="27"/>
  <c r="Q61" i="27"/>
  <c r="Q188" i="27"/>
  <c r="S94" i="27"/>
  <c r="Q230" i="27"/>
  <c r="T62" i="27"/>
  <c r="Q95" i="27"/>
  <c r="Q222" i="27"/>
  <c r="T264" i="27"/>
  <c r="Q232" i="27"/>
  <c r="T222" i="27"/>
  <c r="U233" i="27"/>
  <c r="T129" i="27"/>
  <c r="P11" i="27"/>
  <c r="S72" i="26"/>
  <c r="P293" i="27"/>
  <c r="Q220" i="27"/>
  <c r="R80" i="27"/>
  <c r="N72" i="26"/>
  <c r="T321" i="27"/>
  <c r="C65" i="25"/>
  <c r="K283" i="27"/>
  <c r="D189" i="25"/>
  <c r="Q329" i="27"/>
  <c r="U54" i="27"/>
  <c r="Q103" i="27"/>
  <c r="S57" i="26"/>
  <c r="R221" i="27"/>
  <c r="J293" i="27"/>
  <c r="L32" i="25"/>
  <c r="K32" i="25" s="1"/>
  <c r="Q98" i="27"/>
  <c r="Q319" i="27"/>
  <c r="Q254" i="27"/>
  <c r="E11" i="27"/>
  <c r="T250" i="27"/>
  <c r="I41" i="26"/>
  <c r="R252" i="27"/>
  <c r="R220" i="27"/>
  <c r="R85" i="27"/>
  <c r="D155" i="27"/>
  <c r="T90" i="27"/>
  <c r="K14" i="27"/>
  <c r="Q229" i="27"/>
  <c r="R87" i="27"/>
  <c r="L155" i="27"/>
  <c r="T226" i="27"/>
  <c r="R124" i="27"/>
  <c r="D156" i="27"/>
  <c r="U225" i="27"/>
  <c r="E47" i="25"/>
  <c r="J14" i="27"/>
  <c r="J294" i="27"/>
  <c r="R319" i="27"/>
  <c r="P294" i="27"/>
  <c r="Q192" i="27"/>
  <c r="I65" i="25"/>
  <c r="Q82" i="27"/>
  <c r="E161" i="27"/>
  <c r="S318" i="27"/>
  <c r="Q365" i="27"/>
  <c r="D11" i="27"/>
  <c r="T54" i="27"/>
  <c r="T95" i="27"/>
  <c r="Q218" i="27"/>
  <c r="S46" i="26"/>
  <c r="R137" i="27"/>
  <c r="C72" i="27"/>
  <c r="I87" i="26"/>
  <c r="P163" i="27"/>
  <c r="R218" i="27"/>
  <c r="M166" i="27"/>
  <c r="M163" i="27"/>
  <c r="R325" i="27"/>
  <c r="T262" i="27"/>
  <c r="T217" i="27"/>
  <c r="Q367" i="27"/>
  <c r="G35" i="26"/>
  <c r="I101" i="26"/>
  <c r="Q185" i="27"/>
  <c r="N47" i="25" a="1"/>
  <c r="N47" i="25" s="1"/>
  <c r="J163" i="27"/>
  <c r="S221" i="27"/>
  <c r="K21" i="25"/>
  <c r="J22" i="27"/>
  <c r="P155" i="27"/>
  <c r="R45" i="27"/>
  <c r="T230" i="27"/>
  <c r="R219" i="27"/>
  <c r="E156" i="27"/>
  <c r="R156" i="27" s="1"/>
  <c r="R358" i="27"/>
  <c r="D302" i="27"/>
  <c r="T255" i="27"/>
  <c r="D297" i="27"/>
  <c r="P290" i="27"/>
  <c r="J21" i="27"/>
  <c r="K149" i="27"/>
  <c r="D154" i="27"/>
  <c r="G154" i="27"/>
  <c r="E154" i="27"/>
  <c r="K28" i="27"/>
  <c r="H287" i="27"/>
  <c r="U287" i="27" s="1"/>
  <c r="G287" i="27"/>
  <c r="R200" i="27"/>
  <c r="S88" i="27"/>
  <c r="Q94" i="27"/>
  <c r="T186" i="27"/>
  <c r="K147" i="27"/>
  <c r="J147" i="27"/>
  <c r="Q123" i="27"/>
  <c r="H93" i="26"/>
  <c r="K160" i="27"/>
  <c r="U228" i="27"/>
  <c r="L17" i="25"/>
  <c r="R79" i="27"/>
  <c r="K294" i="27"/>
  <c r="J165" i="27"/>
  <c r="K165" i="27"/>
  <c r="P286" i="27"/>
  <c r="D188" i="25"/>
  <c r="R183" i="27"/>
  <c r="K293" i="27"/>
  <c r="K19" i="27"/>
  <c r="M19" i="27"/>
  <c r="Q52" i="27"/>
  <c r="R355" i="27"/>
  <c r="S185" i="27"/>
  <c r="K17" i="25"/>
  <c r="E283" i="27"/>
  <c r="Q50" i="27"/>
  <c r="T355" i="27"/>
  <c r="N61" i="26"/>
  <c r="F26" i="27"/>
  <c r="R222" i="27"/>
  <c r="R57" i="27"/>
  <c r="D26" i="27"/>
  <c r="Q26" i="27" s="1"/>
  <c r="Q253" i="27"/>
  <c r="P192" i="25"/>
  <c r="I37" i="26"/>
  <c r="T239" i="27"/>
  <c r="Q130" i="27"/>
  <c r="Q355" i="27"/>
  <c r="I28" i="26"/>
  <c r="Q200" i="27"/>
  <c r="Q354" i="27"/>
  <c r="U186" i="27"/>
  <c r="Q221" i="27"/>
  <c r="J155" i="27"/>
  <c r="I45" i="26"/>
  <c r="R329" i="27"/>
  <c r="U229" i="27"/>
  <c r="Q260" i="27"/>
  <c r="S205" i="27"/>
  <c r="M295" i="27"/>
  <c r="Q215" i="27"/>
  <c r="U217" i="27"/>
  <c r="S225" i="27"/>
  <c r="S186" i="27"/>
  <c r="E163" i="27"/>
  <c r="K296" i="27"/>
  <c r="T320" i="27"/>
  <c r="Q193" i="27"/>
  <c r="T61" i="27"/>
  <c r="Q49" i="27"/>
  <c r="R262" i="27"/>
  <c r="S51" i="27"/>
  <c r="I26" i="26"/>
  <c r="Q268" i="27"/>
  <c r="R185" i="27"/>
  <c r="T225" i="27"/>
  <c r="U220" i="27"/>
  <c r="T370" i="27"/>
  <c r="R91" i="27"/>
  <c r="S39" i="26"/>
  <c r="R357" i="27"/>
  <c r="Q45" i="27"/>
  <c r="P291" i="27"/>
  <c r="Q326" i="27"/>
  <c r="R353" i="27"/>
  <c r="R359" i="27"/>
  <c r="R273" i="27"/>
  <c r="E148" i="27"/>
  <c r="T64" i="25"/>
  <c r="N74" i="26"/>
  <c r="E298" i="27"/>
  <c r="F298" i="27"/>
  <c r="Q35" i="26"/>
  <c r="P154" i="27"/>
  <c r="U226" i="27"/>
  <c r="M297" i="27"/>
  <c r="D21" i="25"/>
  <c r="C18" i="25"/>
  <c r="Z31" i="25"/>
  <c r="Y31" i="25" s="1"/>
  <c r="C76" i="25"/>
  <c r="D76" i="25"/>
  <c r="Q231" i="27"/>
  <c r="H162" i="27"/>
  <c r="M301" i="27"/>
  <c r="D292" i="27"/>
  <c r="G162" i="27"/>
  <c r="O46" i="25"/>
  <c r="S216" i="27"/>
  <c r="K301" i="27"/>
  <c r="I97" i="26"/>
  <c r="Q186" i="27"/>
  <c r="P21" i="27"/>
  <c r="D48" i="25" a="1"/>
  <c r="D48" i="25" s="1"/>
  <c r="R64" i="26"/>
  <c r="F291" i="27"/>
  <c r="E291" i="27"/>
  <c r="D291" i="27"/>
  <c r="M298" i="27"/>
  <c r="L298" i="27"/>
  <c r="N298" i="27"/>
  <c r="P298" i="27"/>
  <c r="K298" i="27"/>
  <c r="J301" i="27"/>
  <c r="I91" i="26"/>
  <c r="N89" i="26"/>
  <c r="U366" i="27"/>
  <c r="T253" i="27"/>
  <c r="J156" i="27"/>
  <c r="M156" i="27"/>
  <c r="L156" i="27"/>
  <c r="S220" i="27"/>
  <c r="P301" i="27"/>
  <c r="N45" i="25" a="1"/>
  <c r="N45" i="25" s="1"/>
  <c r="P156" i="27"/>
  <c r="O21" i="25"/>
  <c r="P195" i="25"/>
  <c r="R326" i="27"/>
  <c r="E293" i="27"/>
  <c r="J287" i="27"/>
  <c r="L287" i="27"/>
  <c r="R231" i="27"/>
  <c r="Q273" i="27"/>
  <c r="N21" i="25"/>
  <c r="S32" i="26"/>
  <c r="Q118" i="27"/>
  <c r="T365" i="27"/>
  <c r="G286" i="27"/>
  <c r="E286" i="27"/>
  <c r="D286" i="27"/>
  <c r="D287" i="27"/>
  <c r="F287" i="27"/>
  <c r="E287" i="27"/>
  <c r="S355" i="27"/>
  <c r="N103" i="26"/>
  <c r="M292" i="27"/>
  <c r="P285" i="27"/>
  <c r="Q239" i="27"/>
  <c r="T94" i="27"/>
  <c r="D12" i="27"/>
  <c r="Q12" i="27" s="1"/>
  <c r="R268" i="27"/>
  <c r="S222" i="27"/>
  <c r="R195" i="27"/>
  <c r="D14" i="27"/>
  <c r="J292" i="27"/>
  <c r="J158" i="27"/>
  <c r="Q325" i="27"/>
  <c r="U355" i="27"/>
  <c r="P296" i="27"/>
  <c r="D283" i="27"/>
  <c r="Q283" i="27" s="1"/>
  <c r="P283" i="27"/>
  <c r="R264" i="27"/>
  <c r="U234" i="27"/>
  <c r="U219" i="27"/>
  <c r="P25" i="27"/>
  <c r="T79" i="27"/>
  <c r="I27" i="26"/>
  <c r="E158" i="27"/>
  <c r="R158" i="27" s="1"/>
  <c r="D158" i="27"/>
  <c r="P158" i="27"/>
  <c r="R51" i="27"/>
  <c r="T257" i="27"/>
  <c r="X193" i="25"/>
  <c r="E195" i="25"/>
  <c r="D195" i="25"/>
  <c r="H15" i="27"/>
  <c r="F15" i="27"/>
  <c r="Q352" i="27"/>
  <c r="T223" i="27"/>
  <c r="S26" i="26"/>
  <c r="J29" i="27"/>
  <c r="D15" i="27"/>
  <c r="Q55" i="27"/>
  <c r="Q60" i="27"/>
  <c r="R48" i="27"/>
  <c r="R63" i="27"/>
  <c r="E15" i="27"/>
  <c r="O17" i="25"/>
  <c r="Q127" i="27"/>
  <c r="P292" i="27"/>
  <c r="R364" i="27"/>
  <c r="D301" i="27"/>
  <c r="E301" i="27"/>
  <c r="J290" i="27"/>
  <c r="K290" i="27"/>
  <c r="J16" i="27"/>
  <c r="G29" i="27"/>
  <c r="T229" i="27"/>
  <c r="D307" i="27"/>
  <c r="E307" i="27"/>
  <c r="R307" i="27" s="1"/>
  <c r="P307" i="27"/>
  <c r="Q121" i="27"/>
  <c r="N87" i="26"/>
  <c r="M284" i="27"/>
  <c r="C344" i="27"/>
  <c r="C345" i="27"/>
  <c r="J11" i="27"/>
  <c r="K11" i="27"/>
  <c r="R129" i="27"/>
  <c r="S257" i="27"/>
  <c r="E13" i="27"/>
  <c r="N98" i="26"/>
  <c r="R90" i="27"/>
  <c r="D296" i="27"/>
  <c r="M152" i="27"/>
  <c r="J152" i="27"/>
  <c r="K152" i="27"/>
  <c r="F162" i="27"/>
  <c r="D162" i="27"/>
  <c r="R49" i="27"/>
  <c r="D13" i="27"/>
  <c r="R198" i="27"/>
  <c r="N104" i="26"/>
  <c r="C308" i="27"/>
  <c r="N45" i="26"/>
  <c r="R132" i="27"/>
  <c r="E21" i="27"/>
  <c r="J161" i="27"/>
  <c r="P161" i="27"/>
  <c r="K161" i="27"/>
  <c r="M161" i="27"/>
  <c r="R257" i="27"/>
  <c r="R118" i="27"/>
  <c r="E149" i="27"/>
  <c r="D149" i="27"/>
  <c r="R196" i="27"/>
  <c r="N56" i="26"/>
  <c r="G19" i="25"/>
  <c r="B18" i="25"/>
  <c r="B201" i="25" s="1"/>
  <c r="Q219" i="27"/>
  <c r="R341" i="27"/>
  <c r="Q198" i="27"/>
  <c r="X191" i="25"/>
  <c r="Y191" i="25"/>
  <c r="S191" i="27"/>
  <c r="D20" i="27"/>
  <c r="E20" i="27"/>
  <c r="P14" i="27"/>
  <c r="P149" i="27"/>
  <c r="D151" i="27"/>
  <c r="H151" i="27"/>
  <c r="E151" i="27"/>
  <c r="F151" i="27"/>
  <c r="G151" i="27"/>
  <c r="F25" i="27"/>
  <c r="L26" i="27"/>
  <c r="Q353" i="27"/>
  <c r="T352" i="27"/>
  <c r="D192" i="25"/>
  <c r="E192" i="25"/>
  <c r="D41" i="25" a="1"/>
  <c r="D41" i="25" s="1"/>
  <c r="E41" i="25"/>
  <c r="J240" i="27"/>
  <c r="J242" i="27" s="1"/>
  <c r="N66" i="26"/>
  <c r="T198" i="27"/>
  <c r="T196" i="27"/>
  <c r="Q267" i="27"/>
  <c r="Q323" i="27"/>
  <c r="N62" i="26"/>
  <c r="T64" i="27"/>
  <c r="S223" i="27"/>
  <c r="J274" i="27"/>
  <c r="I276" i="27"/>
  <c r="K274" i="27"/>
  <c r="K276" i="27" s="1"/>
  <c r="I277" i="27"/>
  <c r="D27" i="27"/>
  <c r="E27" i="27"/>
  <c r="G27" i="27"/>
  <c r="F64" i="25"/>
  <c r="F65" i="25"/>
  <c r="I99" i="26"/>
  <c r="D157" i="27"/>
  <c r="G157" i="27"/>
  <c r="E157" i="27"/>
  <c r="H157" i="27"/>
  <c r="J162" i="27"/>
  <c r="K162" i="27"/>
  <c r="L162" i="27"/>
  <c r="N162" i="27"/>
  <c r="M162" i="27"/>
  <c r="P162" i="27"/>
  <c r="T267" i="27"/>
  <c r="E193" i="25"/>
  <c r="D193" i="25"/>
  <c r="D153" i="27"/>
  <c r="E153" i="27"/>
  <c r="G153" i="27"/>
  <c r="L64" i="25"/>
  <c r="L65" i="25"/>
  <c r="I34" i="26"/>
  <c r="E166" i="27"/>
  <c r="D166" i="27"/>
  <c r="Q166" i="27" s="1"/>
  <c r="D28" i="27"/>
  <c r="Q28" i="27" s="1"/>
  <c r="R35" i="26"/>
  <c r="S34" i="26"/>
  <c r="J64" i="25"/>
  <c r="J65" i="25"/>
  <c r="D17" i="27"/>
  <c r="P17" i="27"/>
  <c r="E17" i="27"/>
  <c r="G17" i="27"/>
  <c r="D16" i="25"/>
  <c r="B15" i="25"/>
  <c r="E16" i="25"/>
  <c r="H16" i="25"/>
  <c r="G16" i="25"/>
  <c r="G74" i="25"/>
  <c r="F74" i="25"/>
  <c r="R64" i="25"/>
  <c r="R65" i="25"/>
  <c r="J104" i="27"/>
  <c r="I106" i="27"/>
  <c r="I107" i="27"/>
  <c r="K104" i="27"/>
  <c r="D16" i="27"/>
  <c r="E16" i="27"/>
  <c r="R16" i="27" s="1"/>
  <c r="B64" i="25"/>
  <c r="B65" i="25"/>
  <c r="E64" i="25"/>
  <c r="E65" i="25"/>
  <c r="G93" i="26"/>
  <c r="I92" i="26"/>
  <c r="K376" i="27"/>
  <c r="J376" i="27"/>
  <c r="I378" i="27"/>
  <c r="I379" i="27"/>
  <c r="R267" i="27"/>
  <c r="N91" i="26"/>
  <c r="J22" i="25"/>
  <c r="L22" i="25" s="1"/>
  <c r="K24" i="25"/>
  <c r="R131" i="27"/>
  <c r="G240" i="27"/>
  <c r="Q65" i="25"/>
  <c r="Q64" i="25"/>
  <c r="B19" i="26"/>
  <c r="N48" i="25" a="1"/>
  <c r="N48" i="25" s="1"/>
  <c r="N60" i="26"/>
  <c r="N73" i="26"/>
  <c r="Q57" i="27"/>
  <c r="C107" i="27"/>
  <c r="E104" i="27"/>
  <c r="D104" i="27"/>
  <c r="C106" i="27"/>
  <c r="P157" i="27"/>
  <c r="K157" i="27"/>
  <c r="J157" i="27"/>
  <c r="M93" i="26"/>
  <c r="N92" i="26"/>
  <c r="P64" i="25"/>
  <c r="P65" i="25"/>
  <c r="S196" i="27"/>
  <c r="D29" i="27"/>
  <c r="P289" i="27"/>
  <c r="J289" i="27"/>
  <c r="K289" i="27"/>
  <c r="H64" i="25"/>
  <c r="H65" i="25"/>
  <c r="N41" i="25" a="1"/>
  <c r="N41" i="25" s="1"/>
  <c r="O41" i="25"/>
  <c r="E159" i="27"/>
  <c r="D159" i="27"/>
  <c r="O65" i="25"/>
  <c r="O64" i="25"/>
  <c r="C36" i="27"/>
  <c r="C276" i="27"/>
  <c r="E274" i="27"/>
  <c r="C277" i="27"/>
  <c r="D274" i="27"/>
  <c r="E342" i="27"/>
  <c r="E29" i="27"/>
  <c r="R29" i="27" s="1"/>
  <c r="D35" i="27"/>
  <c r="G35" i="27"/>
  <c r="E35" i="27"/>
  <c r="R323" i="27"/>
  <c r="J151" i="27"/>
  <c r="P151" i="27"/>
  <c r="N151" i="27"/>
  <c r="K151" i="27"/>
  <c r="M151" i="27"/>
  <c r="L151" i="27"/>
  <c r="E164" i="27"/>
  <c r="D164" i="27"/>
  <c r="G164" i="27"/>
  <c r="P164" i="27"/>
  <c r="O16" i="25"/>
  <c r="N16" i="25"/>
  <c r="I15" i="25"/>
  <c r="L16" i="25"/>
  <c r="K16" i="25"/>
  <c r="I345" i="27"/>
  <c r="I344" i="27"/>
  <c r="J342" i="27"/>
  <c r="K342" i="27"/>
  <c r="E206" i="27"/>
  <c r="D206" i="27"/>
  <c r="C208" i="27"/>
  <c r="C209" i="27"/>
  <c r="D342" i="27"/>
  <c r="I242" i="27"/>
  <c r="I243" i="27"/>
  <c r="K240" i="27"/>
  <c r="K242" i="27" s="1"/>
  <c r="N240" i="27"/>
  <c r="M240" i="27"/>
  <c r="I66" i="26"/>
  <c r="E28" i="27"/>
  <c r="P153" i="27"/>
  <c r="K153" i="27"/>
  <c r="J153" i="27"/>
  <c r="D64" i="25"/>
  <c r="D65" i="25"/>
  <c r="T187" i="27"/>
  <c r="R351" i="27"/>
  <c r="N55" i="26"/>
  <c r="D19" i="25"/>
  <c r="N63" i="26"/>
  <c r="M64" i="26"/>
  <c r="P13" i="27"/>
  <c r="L93" i="26"/>
  <c r="I104" i="26"/>
  <c r="K206" i="27"/>
  <c r="K208" i="27" s="1"/>
  <c r="J206" i="27"/>
  <c r="I208" i="27"/>
  <c r="I209" i="27"/>
  <c r="E152" i="27"/>
  <c r="D152" i="27"/>
  <c r="H152" i="27"/>
  <c r="G152" i="27"/>
  <c r="P152" i="27"/>
  <c r="F152" i="27"/>
  <c r="N97" i="26"/>
  <c r="I18" i="25"/>
  <c r="L19" i="25"/>
  <c r="K19" i="25"/>
  <c r="N19" i="25"/>
  <c r="O19" i="25"/>
  <c r="R249" i="27"/>
  <c r="K201" i="25"/>
  <c r="M201" i="25" s="1"/>
  <c r="O22" i="25"/>
  <c r="N22" i="25"/>
  <c r="E19" i="25"/>
  <c r="M65" i="25"/>
  <c r="M64" i="25"/>
  <c r="P24" i="27"/>
  <c r="E24" i="27"/>
  <c r="R24" i="27" s="1"/>
  <c r="G24" i="25"/>
  <c r="H24" i="25"/>
  <c r="E24" i="25"/>
  <c r="D24" i="25"/>
  <c r="S64" i="25"/>
  <c r="S65" i="25"/>
  <c r="E376" i="27"/>
  <c r="C379" i="27"/>
  <c r="C378" i="27"/>
  <c r="C73" i="27"/>
  <c r="D22" i="27"/>
  <c r="E22" i="27"/>
  <c r="G22" i="27"/>
  <c r="P22" i="27"/>
  <c r="Q317" i="27"/>
  <c r="D25" i="26"/>
  <c r="D46" i="25" a="1"/>
  <c r="D46" i="25" s="1"/>
  <c r="E46" i="25"/>
  <c r="M26" i="27"/>
  <c r="I56" i="26"/>
  <c r="N102" i="26"/>
  <c r="D8" i="26"/>
  <c r="C19" i="26"/>
  <c r="Q191" i="25"/>
  <c r="P191" i="25"/>
  <c r="Q48" i="27"/>
  <c r="K26" i="27"/>
  <c r="C141" i="27"/>
  <c r="D138" i="27"/>
  <c r="E138" i="27"/>
  <c r="C140" i="27"/>
  <c r="R215" i="27"/>
  <c r="R265" i="27"/>
  <c r="N84" i="26"/>
  <c r="D12" i="26"/>
  <c r="K302" i="27"/>
  <c r="M302" i="27"/>
  <c r="J302" i="27"/>
  <c r="P302" i="27"/>
  <c r="J138" i="27"/>
  <c r="I141" i="27"/>
  <c r="I140" i="27"/>
  <c r="K138" i="27"/>
  <c r="Y195" i="25"/>
  <c r="X195" i="25"/>
  <c r="E70" i="27"/>
  <c r="E72" i="27" s="1"/>
  <c r="D24" i="27"/>
  <c r="D25" i="27"/>
  <c r="P26" i="27"/>
  <c r="T234" i="27"/>
  <c r="E12" i="27"/>
  <c r="I103" i="26"/>
  <c r="U185" i="27"/>
  <c r="E240" i="27"/>
  <c r="E242" i="27" s="1"/>
  <c r="C243" i="27"/>
  <c r="C242" i="27"/>
  <c r="D240" i="27"/>
  <c r="K12" i="27"/>
  <c r="P12" i="27"/>
  <c r="N90" i="26"/>
  <c r="Q249" i="27"/>
  <c r="I308" i="27"/>
  <c r="N65" i="25"/>
  <c r="N64" i="25"/>
  <c r="H26" i="27"/>
  <c r="N26" i="27"/>
  <c r="I33" i="26"/>
  <c r="I44" i="26"/>
  <c r="P29" i="27"/>
  <c r="P28" i="27"/>
  <c r="Q113" i="27"/>
  <c r="Q181" i="27"/>
  <c r="T268" i="27"/>
  <c r="J300" i="27"/>
  <c r="K300" i="27"/>
  <c r="P300" i="27"/>
  <c r="I90" i="26"/>
  <c r="U196" i="27"/>
  <c r="R253" i="27"/>
  <c r="N100" i="26"/>
  <c r="N85" i="26"/>
  <c r="C74" i="25"/>
  <c r="D74" i="25"/>
  <c r="P166" i="27"/>
  <c r="E188" i="25"/>
  <c r="D376" i="27"/>
  <c r="N44" i="25" a="1"/>
  <c r="N44" i="25" s="1"/>
  <c r="O44" i="25"/>
  <c r="P159" i="27"/>
  <c r="N65" i="26"/>
  <c r="T63" i="27"/>
  <c r="D70" i="27"/>
  <c r="D73" i="27" s="1"/>
  <c r="Q64" i="27"/>
  <c r="Q63" i="27"/>
  <c r="J35" i="27"/>
  <c r="P35" i="27"/>
  <c r="K35" i="27"/>
  <c r="M35" i="27"/>
  <c r="E19" i="27"/>
  <c r="D19" i="27"/>
  <c r="K27" i="27"/>
  <c r="J27" i="27"/>
  <c r="P27" i="27"/>
  <c r="M27" i="27"/>
  <c r="J30" i="27"/>
  <c r="K30" i="27"/>
  <c r="M30" i="27"/>
  <c r="P30" i="27"/>
  <c r="I73" i="27"/>
  <c r="I72" i="27"/>
  <c r="J70" i="27"/>
  <c r="K70" i="27"/>
  <c r="I36" i="27"/>
  <c r="E18" i="27"/>
  <c r="D18" i="27"/>
  <c r="E23" i="27"/>
  <c r="D23" i="27"/>
  <c r="E30" i="27"/>
  <c r="F30" i="27"/>
  <c r="G30" i="27"/>
  <c r="T57" i="27"/>
  <c r="P19" i="27"/>
  <c r="P15" i="27"/>
  <c r="K15" i="27"/>
  <c r="J15" i="27"/>
  <c r="N15" i="27"/>
  <c r="L15" i="27"/>
  <c r="M15" i="27"/>
  <c r="J18" i="27"/>
  <c r="P18" i="27"/>
  <c r="K18" i="27"/>
  <c r="J23" i="27"/>
  <c r="K23" i="27"/>
  <c r="P23" i="27"/>
  <c r="K20" i="27"/>
  <c r="J20" i="27"/>
  <c r="P20" i="27"/>
  <c r="U63" i="27" l="1"/>
  <c r="M104" i="27"/>
  <c r="S120" i="27"/>
  <c r="U121" i="27"/>
  <c r="S365" i="27"/>
  <c r="U190" i="27"/>
  <c r="S189" i="27"/>
  <c r="S331" i="27"/>
  <c r="S103" i="27"/>
  <c r="G138" i="27"/>
  <c r="AC233" i="3"/>
  <c r="S336" i="27"/>
  <c r="S197" i="27"/>
  <c r="S122" i="27"/>
  <c r="I38" i="26"/>
  <c r="B38" i="26"/>
  <c r="U91" i="27"/>
  <c r="S370" i="27"/>
  <c r="S54" i="27"/>
  <c r="S124" i="27"/>
  <c r="S89" i="27"/>
  <c r="T50" i="27"/>
  <c r="U90" i="27"/>
  <c r="N38" i="26"/>
  <c r="M167" i="27"/>
  <c r="T269" i="27"/>
  <c r="M157" i="27"/>
  <c r="L292" i="27"/>
  <c r="L28" i="27"/>
  <c r="L71" i="27"/>
  <c r="L37" i="27" s="1"/>
  <c r="S190" i="27"/>
  <c r="F150" i="27"/>
  <c r="S150" i="27" s="1"/>
  <c r="AC148" i="3"/>
  <c r="N269" i="27"/>
  <c r="U269" i="27" s="1"/>
  <c r="H303" i="27"/>
  <c r="T195" i="27"/>
  <c r="S50" i="27"/>
  <c r="H250" i="27"/>
  <c r="M303" i="27"/>
  <c r="T303" i="27" s="1"/>
  <c r="T371" i="27"/>
  <c r="AC208" i="3"/>
  <c r="H65" i="27"/>
  <c r="S337" i="27"/>
  <c r="L303" i="27"/>
  <c r="S303" i="27" s="1"/>
  <c r="N296" i="27"/>
  <c r="T194" i="27"/>
  <c r="G14" i="27"/>
  <c r="T14" i="27" s="1"/>
  <c r="M70" i="27"/>
  <c r="U363" i="27"/>
  <c r="U239" i="27"/>
  <c r="T98" i="27"/>
  <c r="N96" i="26"/>
  <c r="F24" i="27"/>
  <c r="M147" i="27"/>
  <c r="G156" i="27"/>
  <c r="T156" i="27" s="1"/>
  <c r="F286" i="27"/>
  <c r="S199" i="27"/>
  <c r="F154" i="27"/>
  <c r="L152" i="27"/>
  <c r="L297" i="27"/>
  <c r="H11" i="27"/>
  <c r="AC292" i="3"/>
  <c r="H269" i="27"/>
  <c r="AC108" i="3"/>
  <c r="N371" i="27"/>
  <c r="U371" i="27" s="1"/>
  <c r="AC228" i="3"/>
  <c r="H99" i="27"/>
  <c r="U99" i="27" s="1"/>
  <c r="M206" i="27"/>
  <c r="S357" i="27"/>
  <c r="S324" i="27"/>
  <c r="U79" i="27"/>
  <c r="S317" i="27"/>
  <c r="S53" i="27"/>
  <c r="L30" i="27"/>
  <c r="G290" i="27"/>
  <c r="U133" i="27"/>
  <c r="L31" i="27"/>
  <c r="S31" i="27" s="1"/>
  <c r="S65" i="27"/>
  <c r="L167" i="27"/>
  <c r="S167" i="27" s="1"/>
  <c r="S201" i="27"/>
  <c r="AC168" i="3"/>
  <c r="H201" i="27"/>
  <c r="T122" i="27"/>
  <c r="S121" i="27"/>
  <c r="S262" i="27"/>
  <c r="F293" i="27"/>
  <c r="T65" i="27"/>
  <c r="M31" i="27"/>
  <c r="T31" i="27" s="1"/>
  <c r="T201" i="27"/>
  <c r="G167" i="27"/>
  <c r="U57" i="27"/>
  <c r="T81" i="27"/>
  <c r="M291" i="27"/>
  <c r="Q149" i="27"/>
  <c r="G307" i="27"/>
  <c r="T307" i="27" s="1"/>
  <c r="F157" i="27"/>
  <c r="U266" i="27"/>
  <c r="F12" i="27"/>
  <c r="T260" i="27"/>
  <c r="L240" i="27"/>
  <c r="S369" i="27"/>
  <c r="N52" i="27"/>
  <c r="U52" i="27" s="1"/>
  <c r="AC65" i="3"/>
  <c r="N65" i="27"/>
  <c r="U337" i="27"/>
  <c r="N303" i="27"/>
  <c r="G274" i="27"/>
  <c r="S52" i="27"/>
  <c r="F156" i="27"/>
  <c r="M149" i="27"/>
  <c r="T85" i="27"/>
  <c r="L288" i="27"/>
  <c r="N156" i="27"/>
  <c r="L291" i="27"/>
  <c r="T87" i="27"/>
  <c r="C77" i="26" a="1"/>
  <c r="C77" i="26" s="1"/>
  <c r="F294" i="27"/>
  <c r="S353" i="27"/>
  <c r="G159" i="27"/>
  <c r="F18" i="27"/>
  <c r="B106" i="26"/>
  <c r="AC201" i="3"/>
  <c r="L283" i="27"/>
  <c r="S371" i="27"/>
  <c r="F19" i="27"/>
  <c r="M294" i="27"/>
  <c r="S64" i="27"/>
  <c r="S47" i="26"/>
  <c r="L19" i="27"/>
  <c r="S85" i="27"/>
  <c r="N67" i="26"/>
  <c r="S126" i="27"/>
  <c r="S195" i="27"/>
  <c r="S358" i="27"/>
  <c r="L27" i="27"/>
  <c r="U65" i="25"/>
  <c r="S363" i="27"/>
  <c r="K65" i="25"/>
  <c r="S91" i="27"/>
  <c r="L13" i="27"/>
  <c r="F376" i="27"/>
  <c r="U69" i="27"/>
  <c r="M18" i="27"/>
  <c r="T18" i="27" s="1"/>
  <c r="S320" i="27"/>
  <c r="U115" i="27"/>
  <c r="L20" i="27"/>
  <c r="F283" i="27"/>
  <c r="AC271" i="3"/>
  <c r="T358" i="27"/>
  <c r="L163" i="27"/>
  <c r="F28" i="27"/>
  <c r="T123" i="27"/>
  <c r="G20" i="27"/>
  <c r="T20" i="27" s="1"/>
  <c r="L153" i="27"/>
  <c r="G302" i="27"/>
  <c r="H71" i="27"/>
  <c r="H37" i="27" s="1"/>
  <c r="M17" i="27"/>
  <c r="G149" i="27"/>
  <c r="T86" i="27"/>
  <c r="N105" i="27"/>
  <c r="T249" i="27"/>
  <c r="G309" i="27"/>
  <c r="M16" i="27"/>
  <c r="T16" i="27" s="1"/>
  <c r="S351" i="27"/>
  <c r="L25" i="27"/>
  <c r="S25" i="27" s="1"/>
  <c r="S360" i="27"/>
  <c r="N273" i="27"/>
  <c r="U273" i="27" s="1"/>
  <c r="N76" i="26"/>
  <c r="M290" i="27"/>
  <c r="L148" i="27"/>
  <c r="G13" i="27"/>
  <c r="F70" i="27"/>
  <c r="F73" i="27" s="1"/>
  <c r="H17" i="27"/>
  <c r="S323" i="27"/>
  <c r="B48" i="26"/>
  <c r="G163" i="27"/>
  <c r="T22" i="27"/>
  <c r="S261" i="27"/>
  <c r="T317" i="27"/>
  <c r="F17" i="27"/>
  <c r="U255" i="27"/>
  <c r="S193" i="27"/>
  <c r="H35" i="27"/>
  <c r="F342" i="27"/>
  <c r="T334" i="27"/>
  <c r="L104" i="27"/>
  <c r="L17" i="27"/>
  <c r="F138" i="27"/>
  <c r="F140" i="27" s="1"/>
  <c r="M274" i="27"/>
  <c r="U268" i="27"/>
  <c r="C38" i="26" a="1"/>
  <c r="C38" i="26" s="1"/>
  <c r="D38" i="26" s="1"/>
  <c r="S251" i="27"/>
  <c r="S63" i="27"/>
  <c r="F284" i="27"/>
  <c r="F274" i="27"/>
  <c r="S123" i="27"/>
  <c r="S129" i="27"/>
  <c r="F164" i="27"/>
  <c r="F14" i="27"/>
  <c r="M25" i="27"/>
  <c r="T25" i="27" s="1"/>
  <c r="G12" i="27"/>
  <c r="F11" i="27"/>
  <c r="U360" i="27"/>
  <c r="S352" i="27"/>
  <c r="B105" i="26"/>
  <c r="S137" i="27"/>
  <c r="K64" i="25"/>
  <c r="F289" i="27"/>
  <c r="T124" i="27"/>
  <c r="S327" i="27"/>
  <c r="S97" i="27"/>
  <c r="G104" i="27"/>
  <c r="F161" i="27"/>
  <c r="S161" i="27" s="1"/>
  <c r="T326" i="27"/>
  <c r="N105" i="26"/>
  <c r="F296" i="27"/>
  <c r="S296" i="27" s="1"/>
  <c r="F302" i="27"/>
  <c r="S93" i="27"/>
  <c r="U127" i="27"/>
  <c r="S95" i="27"/>
  <c r="M29" i="27"/>
  <c r="T29" i="27" s="1"/>
  <c r="C67" i="26" a="1"/>
  <c r="C67" i="26" s="1"/>
  <c r="S252" i="27"/>
  <c r="T329" i="27"/>
  <c r="H297" i="27"/>
  <c r="F22" i="27"/>
  <c r="F300" i="27"/>
  <c r="S300" i="27" s="1"/>
  <c r="L302" i="27"/>
  <c r="S268" i="27"/>
  <c r="B96" i="26"/>
  <c r="F155" i="27"/>
  <c r="S155" i="27" s="1"/>
  <c r="U51" i="27"/>
  <c r="U126" i="27"/>
  <c r="S87" i="27"/>
  <c r="L14" i="27"/>
  <c r="S14" i="27" s="1"/>
  <c r="S82" i="27"/>
  <c r="F148" i="27"/>
  <c r="S148" i="27" s="1"/>
  <c r="S55" i="27"/>
  <c r="L21" i="27"/>
  <c r="G166" i="27"/>
  <c r="T364" i="27"/>
  <c r="H283" i="27"/>
  <c r="N166" i="27"/>
  <c r="S77" i="26"/>
  <c r="T193" i="27"/>
  <c r="AC227" i="3"/>
  <c r="H93" i="27"/>
  <c r="AC182" i="3"/>
  <c r="H326" i="27"/>
  <c r="B31" i="25"/>
  <c r="H41" i="25"/>
  <c r="I41" i="25" s="1" a="1"/>
  <c r="I41" i="25" s="1"/>
  <c r="AC22" i="3"/>
  <c r="N193" i="27"/>
  <c r="U103" i="27"/>
  <c r="F21" i="27"/>
  <c r="U352" i="27"/>
  <c r="C105" i="26" a="1"/>
  <c r="C105" i="26" s="1"/>
  <c r="I105" i="26"/>
  <c r="G155" i="27"/>
  <c r="T189" i="27"/>
  <c r="AC203" i="3"/>
  <c r="H55" i="27"/>
  <c r="H21" i="27" s="1"/>
  <c r="AC293" i="3"/>
  <c r="H265" i="27"/>
  <c r="AC220" i="3"/>
  <c r="H86" i="27"/>
  <c r="H18" i="27" s="1"/>
  <c r="G376" i="27"/>
  <c r="G285" i="27"/>
  <c r="T285" i="27" s="1"/>
  <c r="F104" i="27"/>
  <c r="S333" i="27"/>
  <c r="AC76" i="3"/>
  <c r="N85" i="27"/>
  <c r="AC174" i="3"/>
  <c r="N111" i="25"/>
  <c r="G77" i="26"/>
  <c r="H181" i="27"/>
  <c r="G9" i="26"/>
  <c r="AC28" i="3"/>
  <c r="N199" i="27"/>
  <c r="AC281" i="3"/>
  <c r="H252" i="27"/>
  <c r="M14" i="26"/>
  <c r="N14" i="26" s="1"/>
  <c r="I14" i="26"/>
  <c r="L285" i="27"/>
  <c r="S285" i="27" s="1"/>
  <c r="AC109" i="3"/>
  <c r="N367" i="27"/>
  <c r="U367" i="27" s="1"/>
  <c r="AC147" i="3"/>
  <c r="N263" i="27"/>
  <c r="N161" i="27" s="1"/>
  <c r="T45" i="27"/>
  <c r="M11" i="27"/>
  <c r="T47" i="27"/>
  <c r="M13" i="27"/>
  <c r="T13" i="27" s="1"/>
  <c r="G148" i="27"/>
  <c r="T148" i="27" s="1"/>
  <c r="T182" i="27"/>
  <c r="AC222" i="3"/>
  <c r="H88" i="27"/>
  <c r="U88" i="27" s="1"/>
  <c r="S84" i="27"/>
  <c r="U351" i="27"/>
  <c r="N377" i="27"/>
  <c r="U250" i="27"/>
  <c r="T96" i="27"/>
  <c r="G28" i="27"/>
  <c r="M283" i="27"/>
  <c r="T283" i="27" s="1"/>
  <c r="R43" i="25"/>
  <c r="S43" i="25" s="1" a="1"/>
  <c r="S43" i="25" s="1"/>
  <c r="P33" i="25"/>
  <c r="S182" i="27"/>
  <c r="L206" i="27"/>
  <c r="L208" i="27" s="1"/>
  <c r="AC17" i="3"/>
  <c r="N188" i="27"/>
  <c r="AC143" i="3"/>
  <c r="N259" i="27"/>
  <c r="U259" i="27" s="1"/>
  <c r="AC74" i="3"/>
  <c r="N82" i="27"/>
  <c r="T333" i="27"/>
  <c r="M299" i="27"/>
  <c r="T299" i="27" s="1"/>
  <c r="AC37" i="3"/>
  <c r="N324" i="27"/>
  <c r="S159" i="27"/>
  <c r="T351" i="27"/>
  <c r="S258" i="27"/>
  <c r="AC46" i="3"/>
  <c r="N333" i="27"/>
  <c r="L23" i="27"/>
  <c r="F285" i="27"/>
  <c r="S259" i="27"/>
  <c r="L157" i="27"/>
  <c r="AC161" i="3"/>
  <c r="H189" i="27"/>
  <c r="H155" i="27" s="1"/>
  <c r="S113" i="27"/>
  <c r="AC98" i="3"/>
  <c r="N356" i="27"/>
  <c r="AC84" i="3"/>
  <c r="N93" i="27"/>
  <c r="AC195" i="3"/>
  <c r="H46" i="27"/>
  <c r="AC36" i="3"/>
  <c r="N323" i="27"/>
  <c r="S61" i="27"/>
  <c r="L293" i="27"/>
  <c r="S293" i="27" s="1"/>
  <c r="S59" i="27"/>
  <c r="T199" i="27"/>
  <c r="S232" i="27"/>
  <c r="T215" i="27"/>
  <c r="M241" i="27"/>
  <c r="M173" i="27" s="1"/>
  <c r="G206" i="27"/>
  <c r="U331" i="27"/>
  <c r="T263" i="27"/>
  <c r="G150" i="27"/>
  <c r="L301" i="27"/>
  <c r="F295" i="27"/>
  <c r="S329" i="27"/>
  <c r="S56" i="27"/>
  <c r="L22" i="27"/>
  <c r="H43" i="25"/>
  <c r="I43" i="25" s="1" a="1"/>
  <c r="I43" i="25" s="1"/>
  <c r="B33" i="25"/>
  <c r="N148" i="27"/>
  <c r="L290" i="27"/>
  <c r="S290" i="27" s="1"/>
  <c r="AC217" i="3"/>
  <c r="H82" i="27"/>
  <c r="R45" i="25"/>
  <c r="S45" i="25" s="1" a="1"/>
  <c r="S45" i="25" s="1"/>
  <c r="P31" i="25"/>
  <c r="L35" i="27"/>
  <c r="S69" i="27"/>
  <c r="AC86" i="3"/>
  <c r="N95" i="27"/>
  <c r="H153" i="27"/>
  <c r="F13" i="27"/>
  <c r="AC53" i="3"/>
  <c r="N47" i="27"/>
  <c r="AC193" i="3"/>
  <c r="H341" i="27"/>
  <c r="AC155" i="3"/>
  <c r="H182" i="27"/>
  <c r="U361" i="27"/>
  <c r="G289" i="27"/>
  <c r="G342" i="27"/>
  <c r="AC230" i="3"/>
  <c r="H96" i="27"/>
  <c r="B47" i="26"/>
  <c r="I96" i="26"/>
  <c r="C96" i="26" a="1"/>
  <c r="C96" i="26" s="1"/>
  <c r="T359" i="27"/>
  <c r="G291" i="27"/>
  <c r="T291" i="27" s="1"/>
  <c r="L164" i="27"/>
  <c r="S198" i="27"/>
  <c r="N275" i="27"/>
  <c r="U249" i="27"/>
  <c r="AC47" i="3"/>
  <c r="N334" i="27"/>
  <c r="AC21" i="3"/>
  <c r="N192" i="27"/>
  <c r="AC245" i="3"/>
  <c r="H359" i="27"/>
  <c r="T353" i="27"/>
  <c r="N106" i="26"/>
  <c r="AC131" i="3"/>
  <c r="N131" i="27"/>
  <c r="U131" i="27" s="1"/>
  <c r="H8" i="26"/>
  <c r="M8" i="26" s="1"/>
  <c r="M9" i="26"/>
  <c r="AC268" i="3"/>
  <c r="H124" i="27"/>
  <c r="H22" i="27" s="1"/>
  <c r="M17" i="26"/>
  <c r="N17" i="26" s="1"/>
  <c r="I17" i="26"/>
  <c r="L11" i="27"/>
  <c r="S79" i="27"/>
  <c r="U368" i="27"/>
  <c r="AC41" i="3"/>
  <c r="N328" i="27"/>
  <c r="F153" i="27"/>
  <c r="S187" i="27"/>
  <c r="S86" i="27"/>
  <c r="L18" i="27"/>
  <c r="S18" i="27" s="1"/>
  <c r="F35" i="27"/>
  <c r="AC179" i="3"/>
  <c r="H323" i="27"/>
  <c r="H289" i="27" s="1"/>
  <c r="S367" i="27"/>
  <c r="L299" i="27"/>
  <c r="S299" i="27" s="1"/>
  <c r="S114" i="27"/>
  <c r="L138" i="27"/>
  <c r="L140" i="27" s="1"/>
  <c r="G70" i="27"/>
  <c r="T323" i="27"/>
  <c r="M342" i="27"/>
  <c r="S81" i="27"/>
  <c r="T93" i="27"/>
  <c r="G171" i="27"/>
  <c r="T171" i="27" s="1"/>
  <c r="T205" i="27"/>
  <c r="I77" i="26"/>
  <c r="F149" i="27"/>
  <c r="S149" i="27" s="1"/>
  <c r="F206" i="27"/>
  <c r="F209" i="27" s="1"/>
  <c r="S183" i="27"/>
  <c r="AC144" i="3"/>
  <c r="N260" i="27"/>
  <c r="M12" i="27"/>
  <c r="T46" i="27"/>
  <c r="AC120" i="3"/>
  <c r="N120" i="27"/>
  <c r="U120" i="27" s="1"/>
  <c r="G11" i="27"/>
  <c r="N48" i="26"/>
  <c r="U64" i="25"/>
  <c r="G293" i="27"/>
  <c r="T293" i="27" s="1"/>
  <c r="T327" i="27"/>
  <c r="U191" i="27"/>
  <c r="AC100" i="3"/>
  <c r="N358" i="27"/>
  <c r="U215" i="27"/>
  <c r="N241" i="27"/>
  <c r="AC250" i="3"/>
  <c r="H364" i="27"/>
  <c r="M288" i="27"/>
  <c r="T288" i="27" s="1"/>
  <c r="T356" i="27"/>
  <c r="AC190" i="3"/>
  <c r="H334" i="27"/>
  <c r="H300" i="27" s="1"/>
  <c r="L165" i="27"/>
  <c r="S165" i="27" s="1"/>
  <c r="N164" i="27"/>
  <c r="AC185" i="3"/>
  <c r="H329" i="27"/>
  <c r="H295" i="27" s="1"/>
  <c r="AC191" i="3"/>
  <c r="H335" i="27"/>
  <c r="H301" i="27" s="1"/>
  <c r="AC52" i="3"/>
  <c r="N46" i="27"/>
  <c r="C47" i="26" a="1"/>
  <c r="C47" i="26" s="1"/>
  <c r="F163" i="27"/>
  <c r="AC183" i="3"/>
  <c r="H327" i="27"/>
  <c r="H293" i="27" s="1"/>
  <c r="AC157" i="3"/>
  <c r="H184" i="27"/>
  <c r="S58" i="27"/>
  <c r="L24" i="27"/>
  <c r="S249" i="27"/>
  <c r="L275" i="27"/>
  <c r="L173" i="27" s="1"/>
  <c r="AC134" i="3"/>
  <c r="O117" i="25"/>
  <c r="R48" i="26" a="1"/>
  <c r="R48" i="26" s="1"/>
  <c r="S48" i="26" s="1"/>
  <c r="H18" i="26"/>
  <c r="N113" i="27"/>
  <c r="AC89" i="3"/>
  <c r="N98" i="27"/>
  <c r="M300" i="27"/>
  <c r="T300" i="27" s="1"/>
  <c r="T324" i="27"/>
  <c r="G139" i="27"/>
  <c r="G37" i="27" s="1"/>
  <c r="T113" i="27"/>
  <c r="Q19" i="27"/>
  <c r="M158" i="27"/>
  <c r="T158" i="27" s="1"/>
  <c r="S328" i="27"/>
  <c r="S119" i="27"/>
  <c r="S115" i="27"/>
  <c r="T55" i="27"/>
  <c r="S80" i="27"/>
  <c r="S354" i="27"/>
  <c r="N295" i="27"/>
  <c r="U295" i="27" s="1"/>
  <c r="M289" i="27"/>
  <c r="N147" i="27"/>
  <c r="S319" i="27"/>
  <c r="M376" i="27"/>
  <c r="S38" i="26"/>
  <c r="AC257" i="3"/>
  <c r="H375" i="27"/>
  <c r="AC173" i="3"/>
  <c r="H205" i="27"/>
  <c r="H171" i="27" s="1"/>
  <c r="L376" i="27"/>
  <c r="L378" i="27" s="1"/>
  <c r="F307" i="27"/>
  <c r="S307" i="27" s="1"/>
  <c r="AC160" i="3"/>
  <c r="H188" i="27"/>
  <c r="H154" i="27" s="1"/>
  <c r="F23" i="27"/>
  <c r="L158" i="27"/>
  <c r="S192" i="27"/>
  <c r="S98" i="27"/>
  <c r="F158" i="27"/>
  <c r="S260" i="27"/>
  <c r="S57" i="27"/>
  <c r="AC207" i="3"/>
  <c r="H59" i="27"/>
  <c r="F301" i="27"/>
  <c r="S335" i="27"/>
  <c r="AC289" i="3"/>
  <c r="H261" i="27"/>
  <c r="L70" i="27"/>
  <c r="L72" i="27" s="1"/>
  <c r="L12" i="27"/>
  <c r="S12" i="27" s="1"/>
  <c r="S46" i="27"/>
  <c r="M138" i="27"/>
  <c r="AC88" i="3"/>
  <c r="N97" i="27"/>
  <c r="L154" i="27"/>
  <c r="L274" i="27"/>
  <c r="L276" i="27" s="1"/>
  <c r="S256" i="27"/>
  <c r="T58" i="27"/>
  <c r="M24" i="27"/>
  <c r="G24" i="27"/>
  <c r="AC73" i="3"/>
  <c r="N81" i="27"/>
  <c r="AC215" i="3"/>
  <c r="H80" i="27"/>
  <c r="AC240" i="3"/>
  <c r="H353" i="27"/>
  <c r="H285" i="27" s="1"/>
  <c r="S255" i="27"/>
  <c r="AC175" i="3"/>
  <c r="H318" i="27"/>
  <c r="AC119" i="3"/>
  <c r="N119" i="27"/>
  <c r="U119" i="27" s="1"/>
  <c r="AC221" i="3"/>
  <c r="H87" i="27"/>
  <c r="U87" i="27" s="1"/>
  <c r="AC136" i="3"/>
  <c r="N251" i="27"/>
  <c r="AC63" i="3"/>
  <c r="N58" i="27"/>
  <c r="S132" i="27"/>
  <c r="AC288" i="3"/>
  <c r="H260" i="27"/>
  <c r="H158" i="27" s="1"/>
  <c r="S359" i="27"/>
  <c r="AC51" i="3"/>
  <c r="O112" i="25"/>
  <c r="H106" i="26" a="1"/>
  <c r="H106" i="26" s="1"/>
  <c r="N317" i="27"/>
  <c r="H13" i="26"/>
  <c r="AC113" i="3"/>
  <c r="N375" i="27"/>
  <c r="AC16" i="3"/>
  <c r="N187" i="27"/>
  <c r="AC77" i="3"/>
  <c r="N86" i="27"/>
  <c r="S334" i="27"/>
  <c r="AC196" i="3"/>
  <c r="H47" i="27"/>
  <c r="R42" i="25"/>
  <c r="S42" i="25" s="1" a="1"/>
  <c r="S42" i="25" s="1"/>
  <c r="P32" i="25"/>
  <c r="AC71" i="3"/>
  <c r="O113" i="25"/>
  <c r="N45" i="27"/>
  <c r="H48" i="26"/>
  <c r="H16" i="26"/>
  <c r="AC269" i="3"/>
  <c r="H125" i="27"/>
  <c r="H23" i="27" s="1"/>
  <c r="AC172" i="3"/>
  <c r="H200" i="27"/>
  <c r="AC189" i="3"/>
  <c r="H333" i="27"/>
  <c r="H299" i="27" s="1"/>
  <c r="L342" i="27"/>
  <c r="L345" i="27" s="1"/>
  <c r="T164" i="27"/>
  <c r="AC198" i="3"/>
  <c r="H50" i="27"/>
  <c r="AC97" i="3"/>
  <c r="N354" i="27"/>
  <c r="AC18" i="3"/>
  <c r="N189" i="27"/>
  <c r="AC232" i="3"/>
  <c r="H98" i="27"/>
  <c r="H30" i="27" s="1"/>
  <c r="AC107" i="3"/>
  <c r="N365" i="27"/>
  <c r="U365" i="27" s="1"/>
  <c r="AC235" i="3"/>
  <c r="H216" i="27"/>
  <c r="AC244" i="3"/>
  <c r="H358" i="27"/>
  <c r="AC151" i="3"/>
  <c r="N267" i="27"/>
  <c r="U267" i="27" s="1"/>
  <c r="AC178" i="3"/>
  <c r="H322" i="27"/>
  <c r="AC69" i="3"/>
  <c r="N64" i="27"/>
  <c r="AC141" i="3"/>
  <c r="N257" i="27"/>
  <c r="U257" i="27" s="1"/>
  <c r="AC169" i="3"/>
  <c r="H197" i="27"/>
  <c r="H163" i="27" s="1"/>
  <c r="H42" i="25"/>
  <c r="I42" i="25" s="1" a="1"/>
  <c r="I42" i="25" s="1"/>
  <c r="B32" i="25"/>
  <c r="AC197" i="3"/>
  <c r="H48" i="27"/>
  <c r="T125" i="27"/>
  <c r="S254" i="27"/>
  <c r="AC23" i="3"/>
  <c r="N194" i="27"/>
  <c r="AC266" i="3"/>
  <c r="H122" i="27"/>
  <c r="S250" i="27"/>
  <c r="S263" i="27"/>
  <c r="L16" i="26"/>
  <c r="G15" i="26"/>
  <c r="L15" i="26" s="1"/>
  <c r="AC60" i="3"/>
  <c r="N55" i="27"/>
  <c r="AC132" i="3"/>
  <c r="N132" i="27"/>
  <c r="U132" i="27" s="1"/>
  <c r="AC184" i="3"/>
  <c r="H328" i="27"/>
  <c r="H294" i="27" s="1"/>
  <c r="AC291" i="3"/>
  <c r="H263" i="27"/>
  <c r="AC125" i="3"/>
  <c r="N125" i="27"/>
  <c r="AC133" i="3"/>
  <c r="N137" i="27"/>
  <c r="U137" i="27" s="1"/>
  <c r="AC167" i="3"/>
  <c r="H195" i="27"/>
  <c r="AC170" i="3"/>
  <c r="H198" i="27"/>
  <c r="H164" i="27" s="1"/>
  <c r="S194" i="27"/>
  <c r="G12" i="26"/>
  <c r="L12" i="26" s="1"/>
  <c r="L13" i="26"/>
  <c r="T17" i="27"/>
  <c r="T252" i="27"/>
  <c r="AC117" i="3"/>
  <c r="N116" i="27"/>
  <c r="AC122" i="3"/>
  <c r="N122" i="27"/>
  <c r="AC180" i="3"/>
  <c r="H324" i="27"/>
  <c r="AC38" i="3"/>
  <c r="N325" i="27"/>
  <c r="L171" i="27"/>
  <c r="I47" i="26"/>
  <c r="AC286" i="3"/>
  <c r="H258" i="27"/>
  <c r="U258" i="27" s="1"/>
  <c r="AC209" i="3"/>
  <c r="H61" i="27"/>
  <c r="AC226" i="3"/>
  <c r="H92" i="27"/>
  <c r="U92" i="27" s="1"/>
  <c r="AC149" i="3"/>
  <c r="N265" i="27"/>
  <c r="U265" i="27" s="1"/>
  <c r="AC48" i="3"/>
  <c r="N335" i="27"/>
  <c r="AC124" i="3"/>
  <c r="N124" i="27"/>
  <c r="AC99" i="3"/>
  <c r="N357" i="27"/>
  <c r="U357" i="27" s="1"/>
  <c r="F242" i="27"/>
  <c r="S215" i="27"/>
  <c r="T154" i="27"/>
  <c r="M11" i="26"/>
  <c r="N11" i="26" s="1"/>
  <c r="I11" i="26"/>
  <c r="AC261" i="3"/>
  <c r="H116" i="27"/>
  <c r="AC96" i="3"/>
  <c r="N353" i="27"/>
  <c r="AC123" i="3"/>
  <c r="N123" i="27"/>
  <c r="U123" i="27" s="1"/>
  <c r="I10" i="26"/>
  <c r="M10" i="26"/>
  <c r="N10" i="26" s="1"/>
  <c r="AC137" i="3"/>
  <c r="N252" i="27"/>
  <c r="AC156" i="3"/>
  <c r="H183" i="27"/>
  <c r="H149" i="27" s="1"/>
  <c r="AC274" i="3"/>
  <c r="H130" i="27"/>
  <c r="U130" i="27" s="1"/>
  <c r="AC75" i="3"/>
  <c r="N84" i="27"/>
  <c r="AC87" i="3"/>
  <c r="N96" i="27"/>
  <c r="AC64" i="3"/>
  <c r="N59" i="27"/>
  <c r="AC40" i="3"/>
  <c r="N327" i="27"/>
  <c r="F171" i="27"/>
  <c r="AC140" i="3"/>
  <c r="N256" i="27"/>
  <c r="U256" i="27" s="1"/>
  <c r="AC58" i="3"/>
  <c r="N53" i="27"/>
  <c r="AC118" i="3"/>
  <c r="N118" i="27"/>
  <c r="U118" i="27" s="1"/>
  <c r="AC112" i="3"/>
  <c r="N370" i="27"/>
  <c r="AC290" i="3"/>
  <c r="H262" i="27"/>
  <c r="H160" i="27" s="1"/>
  <c r="AC216" i="3"/>
  <c r="H81" i="27"/>
  <c r="AC171" i="3"/>
  <c r="H199" i="27"/>
  <c r="H165" i="27" s="1"/>
  <c r="AC192" i="3"/>
  <c r="H336" i="27"/>
  <c r="H302" i="27" s="1"/>
  <c r="B65" i="26"/>
  <c r="B69" i="26"/>
  <c r="B73" i="26"/>
  <c r="B66" i="26"/>
  <c r="C175" i="27"/>
  <c r="C174" i="27"/>
  <c r="B71" i="26"/>
  <c r="B61" i="26"/>
  <c r="B62" i="26"/>
  <c r="B57" i="26"/>
  <c r="B72" i="26"/>
  <c r="B74" i="26"/>
  <c r="B77" i="26"/>
  <c r="B60" i="26"/>
  <c r="B58" i="26"/>
  <c r="B56" i="26"/>
  <c r="B76" i="26"/>
  <c r="B68" i="26"/>
  <c r="B75" i="26"/>
  <c r="D75" i="26" s="1"/>
  <c r="B67" i="26"/>
  <c r="B59" i="26"/>
  <c r="B70" i="26"/>
  <c r="B63" i="26"/>
  <c r="K172" i="27"/>
  <c r="U164" i="27"/>
  <c r="R302" i="27"/>
  <c r="Q164" i="27"/>
  <c r="T15" i="27"/>
  <c r="R164" i="27"/>
  <c r="T284" i="27"/>
  <c r="T301" i="27"/>
  <c r="U298" i="27"/>
  <c r="S22" i="27"/>
  <c r="Q284" i="27"/>
  <c r="R162" i="27"/>
  <c r="T159" i="27"/>
  <c r="S164" i="27"/>
  <c r="Q163" i="27"/>
  <c r="Q161" i="27"/>
  <c r="R296" i="27"/>
  <c r="Q165" i="27"/>
  <c r="E147" i="27"/>
  <c r="R147" i="27" s="1"/>
  <c r="S160" i="27"/>
  <c r="P147" i="27"/>
  <c r="R290" i="27"/>
  <c r="D147" i="27"/>
  <c r="Q147" i="27" s="1"/>
  <c r="R181" i="27"/>
  <c r="T290" i="27"/>
  <c r="S29" i="27"/>
  <c r="S297" i="27"/>
  <c r="R285" i="27"/>
  <c r="G64" i="26"/>
  <c r="Q286" i="27"/>
  <c r="T150" i="27"/>
  <c r="G22" i="25"/>
  <c r="H22" i="25"/>
  <c r="R160" i="27"/>
  <c r="R288" i="27"/>
  <c r="Q289" i="27"/>
  <c r="E22" i="25"/>
  <c r="Q299" i="27"/>
  <c r="T160" i="27"/>
  <c r="F147" i="27"/>
  <c r="S147" i="27" s="1"/>
  <c r="Q295" i="27"/>
  <c r="R25" i="27"/>
  <c r="Q159" i="27"/>
  <c r="S181" i="27"/>
  <c r="Q24" i="27"/>
  <c r="U182" i="27"/>
  <c r="R165" i="27"/>
  <c r="T295" i="27"/>
  <c r="D101" i="26"/>
  <c r="I70" i="26"/>
  <c r="I69" i="26"/>
  <c r="I68" i="26"/>
  <c r="S294" i="27"/>
  <c r="I60" i="26"/>
  <c r="I63" i="26"/>
  <c r="Q285" i="27"/>
  <c r="H147" i="27"/>
  <c r="S284" i="27"/>
  <c r="R13" i="27"/>
  <c r="D31" i="26"/>
  <c r="I71" i="26"/>
  <c r="G147" i="27"/>
  <c r="D54" i="26"/>
  <c r="D36" i="26"/>
  <c r="R299" i="27"/>
  <c r="T181" i="27"/>
  <c r="Q290" i="27"/>
  <c r="R294" i="27"/>
  <c r="S283" i="27"/>
  <c r="S289" i="27"/>
  <c r="T297" i="27"/>
  <c r="Q154" i="27"/>
  <c r="D102" i="26"/>
  <c r="R287" i="27"/>
  <c r="D27" i="26"/>
  <c r="R289" i="27"/>
  <c r="R19" i="27"/>
  <c r="L9" i="26"/>
  <c r="N9" i="26" s="1"/>
  <c r="I9" i="26"/>
  <c r="G8" i="26"/>
  <c r="R161" i="27"/>
  <c r="R154" i="27"/>
  <c r="D104" i="26"/>
  <c r="Q160" i="27"/>
  <c r="R21" i="27"/>
  <c r="E201" i="25"/>
  <c r="G201" i="25" s="1"/>
  <c r="D97" i="26"/>
  <c r="D42" i="26"/>
  <c r="S302" i="27"/>
  <c r="R159" i="27"/>
  <c r="R163" i="27"/>
  <c r="D86" i="26"/>
  <c r="T287" i="27"/>
  <c r="Q17" i="27"/>
  <c r="Q297" i="27"/>
  <c r="Q155" i="27"/>
  <c r="D19" i="26"/>
  <c r="D87" i="26"/>
  <c r="S286" i="27"/>
  <c r="T21" i="27"/>
  <c r="R17" i="27"/>
  <c r="D92" i="26"/>
  <c r="R291" i="27"/>
  <c r="R283" i="27"/>
  <c r="T155" i="27"/>
  <c r="T163" i="27"/>
  <c r="S288" i="27"/>
  <c r="T298" i="27"/>
  <c r="Q25" i="27"/>
  <c r="Q21" i="27"/>
  <c r="Q150" i="27"/>
  <c r="D105" i="26"/>
  <c r="Q300" i="27"/>
  <c r="Q13" i="27"/>
  <c r="R286" i="27"/>
  <c r="D99" i="26"/>
  <c r="R293" i="27"/>
  <c r="R148" i="27"/>
  <c r="S163" i="27"/>
  <c r="D100" i="26"/>
  <c r="D84" i="26"/>
  <c r="D95" i="26"/>
  <c r="E73" i="27"/>
  <c r="R300" i="27"/>
  <c r="D43" i="26"/>
  <c r="Q293" i="27"/>
  <c r="Q20" i="27"/>
  <c r="D85" i="26"/>
  <c r="D46" i="26"/>
  <c r="R14" i="27"/>
  <c r="C93" i="26"/>
  <c r="T161" i="27"/>
  <c r="D45" i="26"/>
  <c r="D32" i="26"/>
  <c r="T165" i="27"/>
  <c r="Q294" i="27"/>
  <c r="T302" i="27"/>
  <c r="Q296" i="27"/>
  <c r="T27" i="27"/>
  <c r="S20" i="27"/>
  <c r="D40" i="26"/>
  <c r="D98" i="26"/>
  <c r="Q148" i="27"/>
  <c r="U15" i="27"/>
  <c r="R27" i="27"/>
  <c r="B93" i="26"/>
  <c r="R22" i="27"/>
  <c r="T166" i="27"/>
  <c r="R149" i="27"/>
  <c r="Q14" i="27"/>
  <c r="Q291" i="27"/>
  <c r="H309" i="27"/>
  <c r="C310" i="27"/>
  <c r="S151" i="27"/>
  <c r="S166" i="27"/>
  <c r="T19" i="27"/>
  <c r="T26" i="27"/>
  <c r="U152" i="27"/>
  <c r="R157" i="27"/>
  <c r="T296" i="27"/>
  <c r="R26" i="27"/>
  <c r="R166" i="27"/>
  <c r="Q153" i="27"/>
  <c r="S17" i="27"/>
  <c r="S298" i="27"/>
  <c r="S154" i="27"/>
  <c r="T28" i="27"/>
  <c r="S26" i="27"/>
  <c r="S156" i="27"/>
  <c r="Q22" i="27"/>
  <c r="T152" i="27"/>
  <c r="Q292" i="27"/>
  <c r="S15" i="27"/>
  <c r="T151" i="27"/>
  <c r="Q302" i="27"/>
  <c r="S28" i="27"/>
  <c r="T149" i="27"/>
  <c r="Q11" i="27"/>
  <c r="S162" i="27"/>
  <c r="T292" i="27"/>
  <c r="Q15" i="27"/>
  <c r="S287" i="27"/>
  <c r="Q156" i="27"/>
  <c r="Q301" i="27"/>
  <c r="R28" i="27"/>
  <c r="F309" i="27"/>
  <c r="Q29" i="27"/>
  <c r="R11" i="27"/>
  <c r="R301" i="27"/>
  <c r="D89" i="26"/>
  <c r="R15" i="27"/>
  <c r="D94" i="26"/>
  <c r="Q158" i="27"/>
  <c r="U162" i="27"/>
  <c r="S27" i="27"/>
  <c r="U26" i="27"/>
  <c r="R298" i="27"/>
  <c r="D37" i="26"/>
  <c r="D308" i="27"/>
  <c r="D310" i="27" s="1"/>
  <c r="K22" i="25"/>
  <c r="S292" i="27"/>
  <c r="Q307" i="27"/>
  <c r="T286" i="27"/>
  <c r="K243" i="27"/>
  <c r="T162" i="27"/>
  <c r="Q287" i="27"/>
  <c r="S153" i="27"/>
  <c r="Q27" i="27"/>
  <c r="S291" i="27"/>
  <c r="D28" i="26"/>
  <c r="S16" i="27"/>
  <c r="J243" i="27"/>
  <c r="D33" i="26"/>
  <c r="F37" i="27"/>
  <c r="E37" i="27"/>
  <c r="T35" i="27"/>
  <c r="R35" i="27"/>
  <c r="D37" i="27"/>
  <c r="Q152" i="27"/>
  <c r="D39" i="26"/>
  <c r="E308" i="27"/>
  <c r="E310" i="27" s="1"/>
  <c r="C39" i="27"/>
  <c r="R20" i="27"/>
  <c r="R152" i="27"/>
  <c r="E36" i="27"/>
  <c r="E39" i="27" s="1"/>
  <c r="H18" i="25"/>
  <c r="D201" i="25"/>
  <c r="D18" i="25"/>
  <c r="E18" i="25"/>
  <c r="G18" i="25"/>
  <c r="C311" i="27"/>
  <c r="E309" i="27"/>
  <c r="D91" i="26"/>
  <c r="U151" i="27"/>
  <c r="D309" i="27"/>
  <c r="Q16" i="27"/>
  <c r="Q162" i="27"/>
  <c r="R151" i="27"/>
  <c r="D29" i="26"/>
  <c r="D30" i="26"/>
  <c r="K277" i="27"/>
  <c r="S152" i="27"/>
  <c r="Q151" i="27"/>
  <c r="D96" i="26"/>
  <c r="S157" i="27"/>
  <c r="Q35" i="27"/>
  <c r="T153" i="27"/>
  <c r="D72" i="27"/>
  <c r="Q157" i="27"/>
  <c r="D242" i="27"/>
  <c r="D243" i="27"/>
  <c r="N18" i="25"/>
  <c r="L18" i="25"/>
  <c r="K18" i="25"/>
  <c r="H201" i="25"/>
  <c r="J201" i="25" s="1"/>
  <c r="O18" i="25"/>
  <c r="E208" i="27"/>
  <c r="E209" i="27"/>
  <c r="K379" i="27"/>
  <c r="K378" i="27"/>
  <c r="D90" i="26"/>
  <c r="D209" i="27"/>
  <c r="D208" i="27"/>
  <c r="J379" i="27"/>
  <c r="J378" i="27"/>
  <c r="F344" i="27"/>
  <c r="F345" i="27"/>
  <c r="R153" i="27"/>
  <c r="D173" i="27"/>
  <c r="E173" i="27"/>
  <c r="G173" i="27"/>
  <c r="F173" i="27"/>
  <c r="L277" i="27"/>
  <c r="D106" i="27"/>
  <c r="D107" i="27"/>
  <c r="K309" i="27"/>
  <c r="J309" i="27"/>
  <c r="I310" i="27"/>
  <c r="K308" i="27"/>
  <c r="M309" i="27"/>
  <c r="L309" i="27"/>
  <c r="J308" i="27"/>
  <c r="I311" i="27"/>
  <c r="K140" i="27"/>
  <c r="K141" i="27"/>
  <c r="J209" i="27"/>
  <c r="J208" i="27"/>
  <c r="K344" i="27"/>
  <c r="K345" i="27"/>
  <c r="L15" i="25"/>
  <c r="K15" i="25"/>
  <c r="O15" i="25"/>
  <c r="N15" i="25"/>
  <c r="E276" i="27"/>
  <c r="E277" i="27"/>
  <c r="E106" i="27"/>
  <c r="E107" i="27"/>
  <c r="T157" i="27"/>
  <c r="F243" i="27"/>
  <c r="J344" i="27"/>
  <c r="J345" i="27"/>
  <c r="J106" i="27"/>
  <c r="J107" i="27"/>
  <c r="D345" i="27"/>
  <c r="D344" i="27"/>
  <c r="D41" i="26"/>
  <c r="E345" i="27"/>
  <c r="E344" i="27"/>
  <c r="H15" i="25"/>
  <c r="E15" i="25"/>
  <c r="D15" i="25"/>
  <c r="G15" i="25"/>
  <c r="L141" i="27"/>
  <c r="K173" i="27"/>
  <c r="I174" i="27"/>
  <c r="J173" i="27"/>
  <c r="I175" i="27"/>
  <c r="L209" i="27"/>
  <c r="F378" i="27"/>
  <c r="F379" i="27"/>
  <c r="K209" i="27"/>
  <c r="L242" i="27"/>
  <c r="L243" i="27"/>
  <c r="F276" i="27"/>
  <c r="F277" i="27"/>
  <c r="R23" i="27"/>
  <c r="D88" i="26"/>
  <c r="E141" i="27"/>
  <c r="E140" i="27"/>
  <c r="T23" i="27"/>
  <c r="R12" i="27"/>
  <c r="J140" i="27"/>
  <c r="J141" i="27"/>
  <c r="D141" i="27"/>
  <c r="D140" i="27"/>
  <c r="E378" i="27"/>
  <c r="E379" i="27"/>
  <c r="B35" i="26"/>
  <c r="D44" i="26"/>
  <c r="D276" i="27"/>
  <c r="D277" i="27"/>
  <c r="D26" i="26"/>
  <c r="C35" i="26"/>
  <c r="D34" i="26"/>
  <c r="L344" i="27"/>
  <c r="D379" i="27"/>
  <c r="D378" i="27"/>
  <c r="Q23" i="27"/>
  <c r="C38" i="27"/>
  <c r="D36" i="27"/>
  <c r="D38" i="27" s="1"/>
  <c r="D103" i="26"/>
  <c r="F106" i="27"/>
  <c r="F107" i="27"/>
  <c r="E243" i="27"/>
  <c r="L379" i="27"/>
  <c r="K107" i="27"/>
  <c r="K106" i="27"/>
  <c r="L107" i="27"/>
  <c r="L106" i="27"/>
  <c r="J276" i="27"/>
  <c r="J277" i="27"/>
  <c r="T30" i="27"/>
  <c r="S23" i="27"/>
  <c r="J72" i="27"/>
  <c r="J73" i="27"/>
  <c r="S30" i="27"/>
  <c r="R18" i="27"/>
  <c r="R30" i="27"/>
  <c r="Q30" i="27"/>
  <c r="Q18" i="27"/>
  <c r="J37" i="27"/>
  <c r="I38" i="27"/>
  <c r="K36" i="27"/>
  <c r="J36" i="27"/>
  <c r="I39" i="27"/>
  <c r="K37" i="27"/>
  <c r="M37" i="27"/>
  <c r="K72" i="27"/>
  <c r="K73" i="27"/>
  <c r="U303" i="27" l="1"/>
  <c r="T12" i="27"/>
  <c r="F141" i="27"/>
  <c r="M308" i="27"/>
  <c r="S13" i="27"/>
  <c r="S19" i="27"/>
  <c r="T289" i="27"/>
  <c r="U201" i="27"/>
  <c r="H167" i="27"/>
  <c r="U205" i="27"/>
  <c r="N31" i="27"/>
  <c r="U65" i="27"/>
  <c r="T11" i="27"/>
  <c r="S35" i="27"/>
  <c r="H31" i="27"/>
  <c r="T294" i="27"/>
  <c r="S24" i="27"/>
  <c r="N167" i="27"/>
  <c r="S21" i="27"/>
  <c r="T147" i="27"/>
  <c r="F72" i="27"/>
  <c r="T167" i="27"/>
  <c r="S171" i="27"/>
  <c r="M36" i="27"/>
  <c r="N163" i="27"/>
  <c r="U163" i="27" s="1"/>
  <c r="D47" i="26"/>
  <c r="H24" i="27"/>
  <c r="N171" i="27"/>
  <c r="U171" i="27" s="1"/>
  <c r="G36" i="27"/>
  <c r="S11" i="27"/>
  <c r="L308" i="27"/>
  <c r="L310" i="27" s="1"/>
  <c r="S158" i="27"/>
  <c r="U96" i="27"/>
  <c r="U124" i="27"/>
  <c r="N173" i="27"/>
  <c r="F308" i="27"/>
  <c r="F311" i="27" s="1"/>
  <c r="F36" i="27"/>
  <c r="F38" i="27" s="1"/>
  <c r="U262" i="27"/>
  <c r="V31" i="25"/>
  <c r="U31" i="25" s="1"/>
  <c r="S31" i="25"/>
  <c r="R31" i="25" s="1"/>
  <c r="S295" i="27"/>
  <c r="H274" i="27"/>
  <c r="N289" i="27"/>
  <c r="U289" i="27" s="1"/>
  <c r="N342" i="27"/>
  <c r="U323" i="27"/>
  <c r="H31" i="25"/>
  <c r="G31" i="25" s="1"/>
  <c r="E31" i="25"/>
  <c r="D31" i="25" s="1"/>
  <c r="F208" i="27"/>
  <c r="U84" i="27"/>
  <c r="N16" i="27"/>
  <c r="N285" i="27"/>
  <c r="N376" i="27"/>
  <c r="U353" i="27"/>
  <c r="H13" i="27"/>
  <c r="H296" i="27"/>
  <c r="U296" i="27" s="1"/>
  <c r="U364" i="27"/>
  <c r="U359" i="27"/>
  <c r="H291" i="27"/>
  <c r="U47" i="27"/>
  <c r="N13" i="27"/>
  <c r="U198" i="27"/>
  <c r="H292" i="27"/>
  <c r="U292" i="27" s="1"/>
  <c r="U326" i="27"/>
  <c r="U81" i="27"/>
  <c r="N104" i="27"/>
  <c r="N283" i="27"/>
  <c r="U283" i="27" s="1"/>
  <c r="U317" i="27"/>
  <c r="N343" i="27"/>
  <c r="N309" i="27" s="1"/>
  <c r="N165" i="27"/>
  <c r="U165" i="27" s="1"/>
  <c r="U199" i="27"/>
  <c r="U335" i="27"/>
  <c r="N301" i="27"/>
  <c r="U301" i="27" s="1"/>
  <c r="U263" i="27"/>
  <c r="N155" i="27"/>
  <c r="U155" i="27" s="1"/>
  <c r="U189" i="27"/>
  <c r="N28" i="27"/>
  <c r="U93" i="27"/>
  <c r="U370" i="27"/>
  <c r="N302" i="27"/>
  <c r="U302" i="27" s="1"/>
  <c r="L36" i="27"/>
  <c r="L38" i="27" s="1"/>
  <c r="U341" i="27"/>
  <c r="H307" i="27"/>
  <c r="H159" i="27"/>
  <c r="U261" i="27"/>
  <c r="U53" i="27"/>
  <c r="N19" i="27"/>
  <c r="N160" i="27"/>
  <c r="U160" i="27" s="1"/>
  <c r="U194" i="27"/>
  <c r="U82" i="27"/>
  <c r="N14" i="27"/>
  <c r="U318" i="27"/>
  <c r="H284" i="27"/>
  <c r="H342" i="27"/>
  <c r="S301" i="27"/>
  <c r="U192" i="27"/>
  <c r="N158" i="27"/>
  <c r="U158" i="27" s="1"/>
  <c r="T24" i="27"/>
  <c r="U147" i="27"/>
  <c r="U322" i="27"/>
  <c r="H288" i="27"/>
  <c r="U86" i="27"/>
  <c r="N18" i="27"/>
  <c r="U18" i="27" s="1"/>
  <c r="H25" i="27"/>
  <c r="H28" i="27"/>
  <c r="H33" i="25"/>
  <c r="G33" i="25" s="1"/>
  <c r="E33" i="25"/>
  <c r="D33" i="25" s="1"/>
  <c r="H290" i="27"/>
  <c r="U113" i="27"/>
  <c r="N139" i="27"/>
  <c r="U358" i="27"/>
  <c r="U334" i="27"/>
  <c r="N300" i="27"/>
  <c r="U300" i="27" s="1"/>
  <c r="U95" i="27"/>
  <c r="N27" i="27"/>
  <c r="U333" i="27"/>
  <c r="N299" i="27"/>
  <c r="U299" i="27" s="1"/>
  <c r="U181" i="27"/>
  <c r="H207" i="27"/>
  <c r="H173" i="27" s="1"/>
  <c r="H376" i="27"/>
  <c r="U183" i="27"/>
  <c r="N23" i="27"/>
  <c r="U23" i="27" s="1"/>
  <c r="U125" i="27"/>
  <c r="V33" i="25"/>
  <c r="U33" i="25" s="1"/>
  <c r="S33" i="25"/>
  <c r="R33" i="25" s="1"/>
  <c r="V32" i="25"/>
  <c r="U32" i="25" s="1"/>
  <c r="S32" i="25"/>
  <c r="R32" i="25" s="1"/>
  <c r="U200" i="27"/>
  <c r="H166" i="27"/>
  <c r="U166" i="27" s="1"/>
  <c r="H156" i="27"/>
  <c r="U156" i="27" s="1"/>
  <c r="N21" i="27"/>
  <c r="U21" i="27" s="1"/>
  <c r="U55" i="27"/>
  <c r="U48" i="27"/>
  <c r="H14" i="27"/>
  <c r="U354" i="27"/>
  <c r="N286" i="27"/>
  <c r="U286" i="27" s="1"/>
  <c r="I16" i="26"/>
  <c r="M16" i="26"/>
  <c r="N16" i="26" s="1"/>
  <c r="H15" i="26"/>
  <c r="U187" i="27"/>
  <c r="N153" i="27"/>
  <c r="U153" i="27" s="1"/>
  <c r="U97" i="27"/>
  <c r="N29" i="27"/>
  <c r="U29" i="27" s="1"/>
  <c r="M18" i="26"/>
  <c r="N18" i="26" s="1"/>
  <c r="I18" i="26"/>
  <c r="U356" i="27"/>
  <c r="N288" i="27"/>
  <c r="U188" i="27"/>
  <c r="N154" i="27"/>
  <c r="U154" i="27" s="1"/>
  <c r="N206" i="27"/>
  <c r="H12" i="26"/>
  <c r="M13" i="26"/>
  <c r="N13" i="26" s="1"/>
  <c r="I13" i="26"/>
  <c r="U197" i="27"/>
  <c r="N138" i="27"/>
  <c r="U325" i="27"/>
  <c r="N291" i="27"/>
  <c r="U327" i="27"/>
  <c r="N293" i="27"/>
  <c r="U293" i="27" s="1"/>
  <c r="N150" i="27"/>
  <c r="U252" i="27"/>
  <c r="U122" i="27"/>
  <c r="N20" i="27"/>
  <c r="C48" i="26" a="1"/>
  <c r="C48" i="26" s="1"/>
  <c r="D48" i="26" s="1"/>
  <c r="I48" i="26"/>
  <c r="U58" i="27"/>
  <c r="N24" i="27"/>
  <c r="N22" i="27"/>
  <c r="U22" i="27" s="1"/>
  <c r="U260" i="27"/>
  <c r="H20" i="27"/>
  <c r="N35" i="27"/>
  <c r="U35" i="27" s="1"/>
  <c r="H19" i="27"/>
  <c r="N12" i="27"/>
  <c r="U46" i="27"/>
  <c r="N70" i="27"/>
  <c r="H150" i="27"/>
  <c r="U184" i="27"/>
  <c r="H161" i="27"/>
  <c r="U161" i="27" s="1"/>
  <c r="U195" i="27"/>
  <c r="H32" i="25"/>
  <c r="G32" i="25" s="1"/>
  <c r="E32" i="25"/>
  <c r="D32" i="25" s="1"/>
  <c r="H16" i="27"/>
  <c r="U50" i="27"/>
  <c r="U45" i="27"/>
  <c r="N11" i="27"/>
  <c r="U11" i="27" s="1"/>
  <c r="N71" i="27"/>
  <c r="U375" i="27"/>
  <c r="N307" i="27"/>
  <c r="H104" i="27"/>
  <c r="U80" i="27"/>
  <c r="N157" i="27"/>
  <c r="U157" i="27" s="1"/>
  <c r="U328" i="27"/>
  <c r="N294" i="27"/>
  <c r="U294" i="27" s="1"/>
  <c r="U329" i="27"/>
  <c r="U336" i="27"/>
  <c r="U216" i="27"/>
  <c r="H240" i="27"/>
  <c r="N290" i="27"/>
  <c r="U324" i="27"/>
  <c r="I106" i="26"/>
  <c r="C106" i="26" a="1"/>
  <c r="C106" i="26" s="1"/>
  <c r="D106" i="26" s="1"/>
  <c r="L73" i="27"/>
  <c r="U64" i="27"/>
  <c r="N30" i="27"/>
  <c r="U30" i="27" s="1"/>
  <c r="H70" i="27"/>
  <c r="H12" i="27"/>
  <c r="H138" i="27"/>
  <c r="U98" i="27"/>
  <c r="G308" i="27"/>
  <c r="U59" i="27"/>
  <c r="N25" i="27"/>
  <c r="U61" i="27"/>
  <c r="H27" i="27"/>
  <c r="U116" i="27"/>
  <c r="U251" i="27"/>
  <c r="N274" i="27"/>
  <c r="N149" i="27"/>
  <c r="U149" i="27" s="1"/>
  <c r="H206" i="27"/>
  <c r="H148" i="27"/>
  <c r="U148" i="27" s="1"/>
  <c r="U85" i="27"/>
  <c r="N17" i="27"/>
  <c r="U17" i="27" s="1"/>
  <c r="U193" i="27"/>
  <c r="N159" i="27"/>
  <c r="N297" i="27"/>
  <c r="U297" i="27" s="1"/>
  <c r="F172" i="27"/>
  <c r="F175" i="27" s="1"/>
  <c r="E172" i="27"/>
  <c r="E174" i="27" s="1"/>
  <c r="D172" i="27"/>
  <c r="D174" i="27" s="1"/>
  <c r="G172" i="27"/>
  <c r="J172" i="27"/>
  <c r="J174" i="27" s="1"/>
  <c r="M172" i="27"/>
  <c r="L172" i="27"/>
  <c r="L174" i="27" s="1"/>
  <c r="D55" i="26"/>
  <c r="D66" i="26"/>
  <c r="D59" i="26"/>
  <c r="D57" i="26"/>
  <c r="D60" i="26"/>
  <c r="D61" i="26"/>
  <c r="D70" i="26"/>
  <c r="D63" i="26"/>
  <c r="D68" i="26"/>
  <c r="D67" i="26"/>
  <c r="D74" i="26"/>
  <c r="D69" i="26"/>
  <c r="D77" i="26"/>
  <c r="D65" i="26"/>
  <c r="D58" i="26"/>
  <c r="D56" i="26"/>
  <c r="D73" i="26"/>
  <c r="D71" i="26"/>
  <c r="D76" i="26"/>
  <c r="D62" i="26"/>
  <c r="D72" i="26"/>
  <c r="B64" i="26"/>
  <c r="G19" i="26"/>
  <c r="L8" i="26"/>
  <c r="N8" i="26" s="1"/>
  <c r="I8" i="26"/>
  <c r="D311" i="27"/>
  <c r="E311" i="27"/>
  <c r="E38" i="27"/>
  <c r="D39" i="27"/>
  <c r="K310" i="27"/>
  <c r="K311" i="27"/>
  <c r="L311" i="27"/>
  <c r="J310" i="27"/>
  <c r="J311" i="27"/>
  <c r="K174" i="27"/>
  <c r="K175" i="27"/>
  <c r="K38" i="27"/>
  <c r="K39" i="27"/>
  <c r="J38" i="27"/>
  <c r="J39" i="27"/>
  <c r="F310" i="27" l="1"/>
  <c r="U167" i="27"/>
  <c r="L39" i="27"/>
  <c r="U31" i="27"/>
  <c r="U13" i="27"/>
  <c r="U288" i="27"/>
  <c r="U24" i="27"/>
  <c r="F39" i="27"/>
  <c r="H172" i="27"/>
  <c r="N37" i="27"/>
  <c r="U14" i="27"/>
  <c r="U20" i="27"/>
  <c r="M12" i="26"/>
  <c r="N12" i="26" s="1"/>
  <c r="I12" i="26"/>
  <c r="U27" i="27"/>
  <c r="U290" i="27"/>
  <c r="U12" i="27"/>
  <c r="N36" i="27"/>
  <c r="U28" i="27"/>
  <c r="U284" i="27"/>
  <c r="H308" i="27"/>
  <c r="U307" i="27"/>
  <c r="U159" i="27"/>
  <c r="H19" i="26"/>
  <c r="M19" i="26" s="1"/>
  <c r="M15" i="26"/>
  <c r="N15" i="26" s="1"/>
  <c r="I15" i="26"/>
  <c r="U150" i="27"/>
  <c r="U19" i="27"/>
  <c r="N308" i="27"/>
  <c r="U285" i="27"/>
  <c r="H36" i="27"/>
  <c r="U16" i="27"/>
  <c r="N172" i="27"/>
  <c r="U25" i="27"/>
  <c r="U291" i="27"/>
  <c r="E175" i="27"/>
  <c r="F174" i="27"/>
  <c r="D175" i="27"/>
  <c r="J175" i="27"/>
  <c r="L175" i="27"/>
  <c r="L19" i="26"/>
  <c r="N19" i="26" l="1"/>
  <c r="I19" i="2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<sst xmlns="http://schemas.openxmlformats.org/spreadsheetml/2006/main" count="43071" uniqueCount="648">
  <si>
    <t>Validation Report</t>
  </si>
  <si>
    <r>
      <t>Benchmark Data Submission #</t>
    </r>
    <r>
      <rPr>
        <b/>
        <sz val="11"/>
        <color rgb="FFFF0000"/>
        <rFont val="Segoe UI"/>
        <family val="2"/>
        <scheme val="major"/>
      </rPr>
      <t>##nn##</t>
    </r>
  </si>
  <si>
    <t>Carriers are receiving this report to provide feedback on their submission of cost growth benchmark data. This tab includes two tables:</t>
  </si>
  <si>
    <r>
      <t xml:space="preserve">• </t>
    </r>
    <r>
      <rPr>
        <b/>
        <sz val="11"/>
        <color theme="1"/>
        <rFont val="Segoe UI"/>
        <family val="2"/>
        <scheme val="minor"/>
      </rPr>
      <t>Validation Overview</t>
    </r>
    <r>
      <rPr>
        <sz val="11"/>
        <color theme="1"/>
        <rFont val="Segoe UI"/>
        <family val="2"/>
        <scheme val="minor"/>
      </rPr>
      <t xml:space="preserve"> summarizes the results and status of the data validation checks.</t>
    </r>
  </si>
  <si>
    <r>
      <t xml:space="preserve">• </t>
    </r>
    <r>
      <rPr>
        <b/>
        <sz val="11"/>
        <color theme="1"/>
        <rFont val="Segoe UI"/>
        <family val="2"/>
        <scheme val="minor"/>
      </rPr>
      <t>Findings Log</t>
    </r>
    <r>
      <rPr>
        <sz val="11"/>
        <color theme="1"/>
        <rFont val="Segoe UI"/>
        <family val="2"/>
        <scheme val="minor"/>
      </rPr>
      <t xml:space="preserve"> details the specific data for which we identified errors or potential issues that may require clarification or confirmation from the carrier; please follow the guidance under the Carrier Instructions column to remediate any error(s) or potential issue(s).</t>
    </r>
  </si>
  <si>
    <t>Important Notes:</t>
  </si>
  <si>
    <r>
      <rPr>
        <sz val="11"/>
        <rFont val="Segoe UI"/>
        <family val="2"/>
        <scheme val="minor"/>
      </rPr>
      <t xml:space="preserve">̶   For more information on fixing data described in the Findings Log table below, please see the Data Submission and Validation Process section of the </t>
    </r>
    <r>
      <rPr>
        <b/>
        <sz val="11"/>
        <color theme="3"/>
        <rFont val="Segoe UI"/>
        <family val="2"/>
        <scheme val="minor"/>
      </rPr>
      <t>Carrier</t>
    </r>
    <r>
      <rPr>
        <sz val="11"/>
        <rFont val="Segoe UI"/>
        <family val="2"/>
        <scheme val="minor"/>
      </rPr>
      <t xml:space="preserve"> </t>
    </r>
    <r>
      <rPr>
        <b/>
        <sz val="11"/>
        <color theme="3"/>
        <rFont val="Segoe UI"/>
        <family val="2"/>
        <scheme val="minor"/>
      </rPr>
      <t>Benchmark Data Submission Guide</t>
    </r>
    <r>
      <rPr>
        <sz val="11"/>
        <rFont val="Segoe UI"/>
        <family val="2"/>
        <scheme val="minor"/>
      </rPr>
      <t>.</t>
    </r>
  </si>
  <si>
    <t>̶   If the validation checks identified more than one issue in the same row of data, the Findings Log table will show each issue in a separate row; therefore, the table may list the same row of data more than once.</t>
  </si>
  <si>
    <r>
      <t xml:space="preserve">̶   </t>
    </r>
    <r>
      <rPr>
        <b/>
        <sz val="11"/>
        <color theme="1"/>
        <rFont val="Segoe UI"/>
        <family val="2"/>
        <scheme val="minor"/>
      </rPr>
      <t xml:space="preserve">Questions? </t>
    </r>
    <r>
      <rPr>
        <sz val="11"/>
        <color theme="1"/>
        <rFont val="Segoe UI"/>
        <family val="2"/>
        <scheme val="minor"/>
      </rPr>
      <t>For questions or requests to discuss issue remediation and timelines</t>
    </r>
    <r>
      <rPr>
        <sz val="11"/>
        <rFont val="Segoe UI"/>
        <family val="2"/>
        <scheme val="minor"/>
      </rPr>
      <t>, please contact CarrierDataSubmission@dobi.nj.gov</t>
    </r>
    <r>
      <rPr>
        <sz val="11"/>
        <color theme="1"/>
        <rFont val="Segoe UI"/>
        <family val="2"/>
        <scheme val="minor"/>
      </rPr>
      <t>.</t>
    </r>
  </si>
  <si>
    <t>Validation Overview</t>
  </si>
  <si>
    <t>Result</t>
  </si>
  <si>
    <t>Check Category</t>
  </si>
  <si>
    <t>Comment</t>
  </si>
  <si>
    <t>Findings Log</t>
  </si>
  <si>
    <t>File, Tab, or Row ID</t>
  </si>
  <si>
    <t>Carrier Instructions</t>
  </si>
  <si>
    <t>New Jersey Health Care Cost Growth Target Benchmark Program</t>
  </si>
  <si>
    <t>Carrier Benchmark Data Submission Template</t>
  </si>
  <si>
    <t>Introduction</t>
  </si>
  <si>
    <t>Tab Overview</t>
  </si>
  <si>
    <t>This workbook contains the worksheet tabs described in the table below.</t>
  </si>
  <si>
    <t>Tab Name</t>
  </si>
  <si>
    <t>Contents</t>
  </si>
  <si>
    <t>Current tab that provides an overview of the Template.</t>
  </si>
  <si>
    <t>Reference Tables</t>
  </si>
  <si>
    <t>Lookup and mapping tables for the data fields in tabs two through six that have codified values to categorize data.</t>
  </si>
  <si>
    <t>1. Cover Page</t>
  </si>
  <si>
    <t>Carrier inputs their organization name and contact information for the individual(s) who the state will connect with for data validation questions and feedback.</t>
  </si>
  <si>
    <t>2. Total Medical Expenses</t>
  </si>
  <si>
    <t>Carrier inputs member months, claims payment amounts, and non-claims payment amounts for all members who were NJ residents by insurance category and large provider entity for each reporting year.</t>
  </si>
  <si>
    <t>3. Age and Sex Factors</t>
  </si>
  <si>
    <t>Carrier inputs member months and claims payment amounts by insurance category, large provider entity, age group, and sex for each reporting year.</t>
  </si>
  <si>
    <t>4. Standard Deviation</t>
  </si>
  <si>
    <t>Carrier inputs member months, claims payment amounts, and standard deviation per member per month (PMPM) by market and large provider entity for each reporting year.</t>
  </si>
  <si>
    <t>5. Line of Business Enrollment</t>
  </si>
  <si>
    <t>Carrier inputs member months by line of business (LOB) category for each reporting year.</t>
  </si>
  <si>
    <t>6. Pharmacy Rebates</t>
  </si>
  <si>
    <t>Carrier inputs drug rebate amounts by insurance category for each reporting year.</t>
  </si>
  <si>
    <t>7. Mandatory Questions</t>
  </si>
  <si>
    <t>After completing input tabs one through six, carrier attests they are submitting data that is accurate and complete, and responds to questions about the data they entered in the input tabs.</t>
  </si>
  <si>
    <t>Data Validation Checks</t>
  </si>
  <si>
    <t>Carrier reviews tables in tabs prior to submission to confirm consistency and reasonableness of data across and within tabs.</t>
  </si>
  <si>
    <t>Validation by Market</t>
  </si>
  <si>
    <t>Carrier reviews tables in tabs prior to submission to confirm accuracy of calculated member month and PMPM spending trends by payment service category for each market and insurance category.</t>
  </si>
  <si>
    <t>Validation by Provider</t>
  </si>
  <si>
    <t>Carrier reviews tables in tabs prior to submission to confirm accuracy of calculated member months and PMPM spending trends by provider entity for each market and insurance category.</t>
  </si>
  <si>
    <t>Version History</t>
  </si>
  <si>
    <t>Insurer Code Valid Values</t>
  </si>
  <si>
    <t>Insurer Code</t>
  </si>
  <si>
    <t>Description</t>
  </si>
  <si>
    <t>Aetna Better Health</t>
  </si>
  <si>
    <t>AmeriHealth Insurance Co.</t>
  </si>
  <si>
    <t>Cigna Health &amp; Life Insurance Co.</t>
  </si>
  <si>
    <t>Horizon Healthcare of New Jersey</t>
  </si>
  <si>
    <t>United HealthCare Insurance Co.</t>
  </si>
  <si>
    <t>Insurance Category Code Valid Values</t>
  </si>
  <si>
    <t>Insurance Category Code</t>
  </si>
  <si>
    <t>MA non-dual eligible members (excluding SHBP &amp; SEHBP members)</t>
  </si>
  <si>
    <t>Medicaid MCO non-dual eligible members</t>
  </si>
  <si>
    <t>Commercial full claims members (excluding SHBP &amp; SEHBP members)</t>
  </si>
  <si>
    <t>Commercial partial claims members (excluding SHBP &amp; SEHBP members)</t>
  </si>
  <si>
    <t>MA dual eligible members</t>
  </si>
  <si>
    <t>Medicaid MCO dual eligible members</t>
  </si>
  <si>
    <t>Commercial SHBP &amp; SEHBP members</t>
  </si>
  <si>
    <t>MA SHBP &amp; SEHBP members</t>
  </si>
  <si>
    <t>Large Provider Entity Code Valid Values</t>
  </si>
  <si>
    <t>Large Provider Entity Code</t>
  </si>
  <si>
    <t>Carrier overall</t>
  </si>
  <si>
    <t>Hunterdon Healthcare</t>
  </si>
  <si>
    <t>Inspira Care Connect, LLC/ Inspira Health Network</t>
  </si>
  <si>
    <t>Virtua Medical Group/ LHS Health Network</t>
  </si>
  <si>
    <t>Unattributed</t>
  </si>
  <si>
    <t>Age Band Code Valid Values</t>
  </si>
  <si>
    <t>Age Band Code</t>
  </si>
  <si>
    <t>0 to 1 year old</t>
  </si>
  <si>
    <t>2 to 18 years old</t>
  </si>
  <si>
    <t>19 to 39 years old</t>
  </si>
  <si>
    <t>40 to 54 years old</t>
  </si>
  <si>
    <t>55 to 64 years old</t>
  </si>
  <si>
    <t>65 to 74 years old</t>
  </si>
  <si>
    <t>75 to 84 years old</t>
  </si>
  <si>
    <t>Sex Code Valid Values</t>
  </si>
  <si>
    <t>Sex Code</t>
  </si>
  <si>
    <t>Female</t>
  </si>
  <si>
    <t>Male</t>
  </si>
  <si>
    <t>Market Code Valid Values</t>
  </si>
  <si>
    <t>Market Code</t>
  </si>
  <si>
    <t>Medicare</t>
  </si>
  <si>
    <t>Medicaid</t>
  </si>
  <si>
    <t>Commercial</t>
  </si>
  <si>
    <t>Line of Business Category Code Valid Values</t>
  </si>
  <si>
    <t>LOB Code</t>
  </si>
  <si>
    <t>Small group plans, 2-50 employees, fully insured</t>
  </si>
  <si>
    <t>Self-insured plans</t>
  </si>
  <si>
    <t>Individual plans (buy coverage on their own)</t>
  </si>
  <si>
    <t>Student plans</t>
  </si>
  <si>
    <t>MA non-dual eligible plans (excluding SHBP &amp; SEHBP)</t>
  </si>
  <si>
    <t>Medicaid MCO non-dual eligible plans</t>
  </si>
  <si>
    <t>MA dual eligible plans</t>
  </si>
  <si>
    <t>Medicaid MCO dual eligible plans</t>
  </si>
  <si>
    <t>Commercial SHBP &amp; SEHBP plans</t>
  </si>
  <si>
    <t>MA SHBP &amp; SEHBP plans</t>
  </si>
  <si>
    <t>Market, Insurance Category, and Line of Business Category Codes Crosswalk</t>
  </si>
  <si>
    <t>Line of Business Category Code</t>
  </si>
  <si>
    <t>1 = Medicare</t>
  </si>
  <si>
    <t>1 = MA non-dual eligible members (excluding SHBP &amp; SEHBP members)</t>
  </si>
  <si>
    <t>6 = MA non-dual eligible plans (excluding SHBP &amp; SEHBP plans)</t>
  </si>
  <si>
    <t>5 = MA dual eligible members</t>
  </si>
  <si>
    <t>8 = MA dual eligible plans</t>
  </si>
  <si>
    <t>8 = MA SHBP &amp; SEHBP members</t>
  </si>
  <si>
    <t>11 = MA SHBP &amp; SEHBP plans</t>
  </si>
  <si>
    <t>2 = Medicaid</t>
  </si>
  <si>
    <t>2 = Medicaid MCO non-dual eligible members</t>
  </si>
  <si>
    <t>7 = Medicaid MCO non-dual eligible plans</t>
  </si>
  <si>
    <t>6 = Medicaid MCO dual eligible members</t>
  </si>
  <si>
    <t>9 = Medicaid MCO dual eligible plans</t>
  </si>
  <si>
    <t>3 = Commercial</t>
  </si>
  <si>
    <t>3 = Commercial full claims members (excluding SHBP &amp; SEHBP members)
4 = Commercial partial claims members (excluding SHBP &amp; SEHBP members)</t>
  </si>
  <si>
    <t>7 = Commercial SHBP &amp; SEHBP members</t>
  </si>
  <si>
    <t>10 = Commercial SHBP &amp; SEHBP plans</t>
  </si>
  <si>
    <r>
      <t xml:space="preserve">Insurers must complete this tab following the specifications and requirements in the </t>
    </r>
    <r>
      <rPr>
        <b/>
        <sz val="11"/>
        <color theme="3"/>
        <rFont val="Segoe UI"/>
        <family val="2"/>
        <scheme val="minor"/>
      </rPr>
      <t>Carrier Benchmark Data Submission Guide</t>
    </r>
    <r>
      <rPr>
        <sz val="11"/>
        <rFont val="Segoe UI"/>
        <family val="2"/>
        <scheme val="minor"/>
      </rPr>
      <t xml:space="preserve"> (the Guide).</t>
    </r>
  </si>
  <si>
    <t>• “.xlsx” is the required file extension to use when saving and submitting this file.</t>
  </si>
  <si>
    <t>Gray text in cells indicates the field ID</t>
  </si>
  <si>
    <t>Green cells indicate field requires input.</t>
  </si>
  <si>
    <t>Yellow cells indicate input is optional.</t>
  </si>
  <si>
    <t>Contact Information</t>
  </si>
  <si>
    <t>CP01</t>
  </si>
  <si>
    <t>Insurer Name</t>
  </si>
  <si>
    <t>CP02</t>
  </si>
  <si>
    <t>Primary Contact Name</t>
  </si>
  <si>
    <t>CP03</t>
  </si>
  <si>
    <t>Primary Contact Email</t>
  </si>
  <si>
    <t>CP04</t>
  </si>
  <si>
    <t>Secondary Contact Name (Optional)</t>
  </si>
  <si>
    <t>CP05</t>
  </si>
  <si>
    <t>Secondary Contact Email (Optional)</t>
  </si>
  <si>
    <t>2. Total Medical Expenses (TME)</t>
  </si>
  <si>
    <r>
      <t xml:space="preserve">Insurers must complete this tab following the specifications and requirements in the </t>
    </r>
    <r>
      <rPr>
        <b/>
        <sz val="11"/>
        <color theme="3"/>
        <rFont val="Segoe UI"/>
        <family val="2"/>
        <scheme val="minor"/>
      </rPr>
      <t>Carrier Benchmark Data Submission Guide</t>
    </r>
    <r>
      <rPr>
        <sz val="11"/>
        <rFont val="Segoe UI"/>
        <family val="2"/>
        <scheme val="minor"/>
      </rPr>
      <t>.</t>
    </r>
  </si>
  <si>
    <t>Dark green cells indicate row ID fields that must contain values that uniquely identify each row of data (i.e., the combination of Insurer Code, Reporting Year, Insurance Category Code, and Large Provider Entity Code must be unique in each row).</t>
  </si>
  <si>
    <t>Blue cell indicates template calculates value.</t>
  </si>
  <si>
    <t>Red cells indicate data does not meet requirements (see the Benchmark Data Submission Guide for more details), but note if carriers copy and paste data into template, it may override the data validation checks that highlight cells when there are issues.</t>
  </si>
  <si>
    <t>TM01</t>
  </si>
  <si>
    <t>TM02</t>
  </si>
  <si>
    <t>TM03</t>
  </si>
  <si>
    <t>TM04</t>
  </si>
  <si>
    <t>TM05</t>
  </si>
  <si>
    <t>TM06</t>
  </si>
  <si>
    <t>TM07</t>
  </si>
  <si>
    <t>TM08</t>
  </si>
  <si>
    <t>TM09</t>
  </si>
  <si>
    <t>TM10</t>
  </si>
  <si>
    <t>TM11</t>
  </si>
  <si>
    <t>TM12</t>
  </si>
  <si>
    <t>TM13</t>
  </si>
  <si>
    <t>TM14</t>
  </si>
  <si>
    <t>TM15</t>
  </si>
  <si>
    <t>TM16</t>
  </si>
  <si>
    <t>TM17</t>
  </si>
  <si>
    <t>TM18</t>
  </si>
  <si>
    <t>TM19</t>
  </si>
  <si>
    <t>TM20</t>
  </si>
  <si>
    <t>TM21</t>
  </si>
  <si>
    <t>TM22</t>
  </si>
  <si>
    <t>TM23</t>
  </si>
  <si>
    <t>TM24</t>
  </si>
  <si>
    <t>TM25</t>
  </si>
  <si>
    <t>TM26</t>
  </si>
  <si>
    <t>TM27</t>
  </si>
  <si>
    <t>TM28</t>
  </si>
  <si>
    <t>TM29</t>
  </si>
  <si>
    <t>Reporting Year</t>
  </si>
  <si>
    <t>Member Months</t>
  </si>
  <si>
    <t>Claims: Hospital Inpatient</t>
  </si>
  <si>
    <t>Claims: Hospital Outpatient</t>
  </si>
  <si>
    <t>Claims: Professional, Primary Care Providers</t>
  </si>
  <si>
    <t>Claims: Professional, Specialty Providers</t>
  </si>
  <si>
    <t>Claims: Professional, Other Providers</t>
  </si>
  <si>
    <t>Claims: Long-Term Care</t>
  </si>
  <si>
    <t>Claims: Retail Pharmacy</t>
  </si>
  <si>
    <t>Claims: Other</t>
  </si>
  <si>
    <t>Non-Claims: Capitation or Bundled Arrangements</t>
  </si>
  <si>
    <t>Non-Claims: Performance Incentives</t>
  </si>
  <si>
    <t>Non-Claims: Pop Health and Practice Infrastructure</t>
  </si>
  <si>
    <t>Non-Claims: Provider Salaries</t>
  </si>
  <si>
    <t>Non-Claims: Recovery</t>
  </si>
  <si>
    <t>Non-Claims: Other</t>
  </si>
  <si>
    <t>Non-Claims: Total Primary Care</t>
  </si>
  <si>
    <t>Claims Amount Excluded Due to Truncation</t>
  </si>
  <si>
    <t>Member Count with Truncated Claims</t>
  </si>
  <si>
    <t>Total Non-Truncated Claims Spending</t>
  </si>
  <si>
    <t>Total Non-Claims Spending</t>
  </si>
  <si>
    <t>Total Non-Truncated Claims and Non-Claims Spending</t>
  </si>
  <si>
    <t>Total Truncated Claims Spending</t>
  </si>
  <si>
    <t>Total Truncated Expenses</t>
  </si>
  <si>
    <t>Non-Truncated TME PMPM</t>
  </si>
  <si>
    <t>Truncated TME PMPM</t>
  </si>
  <si>
    <t>Row ID</t>
  </si>
  <si>
    <t xml:space="preserve">Insurer Code </t>
  </si>
  <si>
    <t xml:space="preserve">Reporting Year </t>
  </si>
  <si>
    <t xml:space="preserve">Insurance Category Code </t>
  </si>
  <si>
    <t xml:space="preserve">Large Provider Entity Code </t>
  </si>
  <si>
    <t>Dark green cells indicate row ID fields that must contain values that uniquely identify each row of data (i.e., the combination of Insurer Code, Reporting Year, Insurance Category Code, Large Provider Entity Code, Age Band Code, and Sex Code must be unique in each row).</t>
  </si>
  <si>
    <t>AS01</t>
  </si>
  <si>
    <t>AS02</t>
  </si>
  <si>
    <t>AS03</t>
  </si>
  <si>
    <t>AS04</t>
  </si>
  <si>
    <t>AS05</t>
  </si>
  <si>
    <t>AS06</t>
  </si>
  <si>
    <t>AS07</t>
  </si>
  <si>
    <t>AS08</t>
  </si>
  <si>
    <t>AS09</t>
  </si>
  <si>
    <t>AS10</t>
  </si>
  <si>
    <t>AS11</t>
  </si>
  <si>
    <t xml:space="preserve">Age Band Code </t>
  </si>
  <si>
    <t xml:space="preserve">Sex Code </t>
  </si>
  <si>
    <t>4. Standard Deviation (SD)</t>
  </si>
  <si>
    <t>Dark green cells indicate row ID fields that must contain values that uniquely identify each row of data (i.e., the combination of Insurer Code, Reporting Year, Market Code, and Large Provider Entity Code must be unique in each row).</t>
  </si>
  <si>
    <t>SD01</t>
  </si>
  <si>
    <t>SD02</t>
  </si>
  <si>
    <t>SD03</t>
  </si>
  <si>
    <t>SD04</t>
  </si>
  <si>
    <t>SD05</t>
  </si>
  <si>
    <t>SD06</t>
  </si>
  <si>
    <t>SD07</t>
  </si>
  <si>
    <t>SD08</t>
  </si>
  <si>
    <t>Standard Deviation PMPM</t>
  </si>
  <si>
    <t>TCOC Member Months</t>
  </si>
  <si>
    <t xml:space="preserve">Market Code </t>
  </si>
  <si>
    <t>5. Line of Business (LOB) Enrollment</t>
  </si>
  <si>
    <t>Dark green cells indicate row ID fields that must contain values that uniquely identify each row of data (i.e., the combination of Insurer Code, Reporting Year, and Line of Business Category Code must be unique in each row).</t>
  </si>
  <si>
    <t>Green cell indicates field requires input.</t>
  </si>
  <si>
    <t>LB01</t>
  </si>
  <si>
    <t>LB02</t>
  </si>
  <si>
    <t>LB03</t>
  </si>
  <si>
    <t>LB04</t>
  </si>
  <si>
    <t xml:space="preserve">Line of Business Category Code </t>
  </si>
  <si>
    <t>6. Pharmacy Rebates Data</t>
  </si>
  <si>
    <t>Dark green cells indicate row ID fields that must contain values that uniquely identify each row of data (i.e., the combination of Insurer Code, Reporting Year, and Insurance Category Code must be unique in each row).</t>
  </si>
  <si>
    <t>Yellow cells indicate field conditionally requires input based on whether insurer can separate out medical and retail pharmacy rebates (see the Benchmark Data Submission Guide for more details).</t>
  </si>
  <si>
    <t>RX01</t>
  </si>
  <si>
    <t>RX02</t>
  </si>
  <si>
    <t>RX03</t>
  </si>
  <si>
    <t>RX04</t>
  </si>
  <si>
    <t>RX05</t>
  </si>
  <si>
    <t>RX06</t>
  </si>
  <si>
    <t>RX07</t>
  </si>
  <si>
    <t>Medical Pharmacy Rebate Amount</t>
  </si>
  <si>
    <t>Retail Pharmacy Rebate Amount</t>
  </si>
  <si>
    <t>Total Pharmacy Rebate Amount</t>
  </si>
  <si>
    <t>Total Medical and Retail Pharmacy Rebate Amount</t>
  </si>
  <si>
    <r>
      <t xml:space="preserve">Insurers must complete this tab </t>
    </r>
    <r>
      <rPr>
        <i/>
        <sz val="11"/>
        <rFont val="Segoe UI"/>
        <family val="2"/>
        <scheme val="minor"/>
      </rPr>
      <t>after</t>
    </r>
    <r>
      <rPr>
        <sz val="11"/>
        <rFont val="Segoe UI"/>
        <family val="2"/>
        <scheme val="minor"/>
      </rPr>
      <t xml:space="preserve"> they enter data in each input tab, following the specifications and requirements in the </t>
    </r>
    <r>
      <rPr>
        <b/>
        <sz val="11"/>
        <color theme="3"/>
        <rFont val="Segoe UI"/>
        <family val="2"/>
        <scheme val="minor"/>
      </rPr>
      <t>Carrier Benchmark Data Submission Guide</t>
    </r>
    <r>
      <rPr>
        <sz val="11"/>
        <rFont val="Segoe UI"/>
        <family val="2"/>
        <scheme val="minor"/>
      </rPr>
      <t>.</t>
    </r>
  </si>
  <si>
    <t>Yellow cells indicate input is optional; insurers should enter comments where applicable to provide context on submitted data.</t>
  </si>
  <si>
    <t>Red cells indicate data does not meet requirements (see the Benchmark Data Submission Guide for more details).</t>
  </si>
  <si>
    <t>Attestation</t>
  </si>
  <si>
    <t xml:space="preserve">I hereby attest that the information submitted in this data submission template is current, complete and accurate to the best of my knowledge. Failure to attest will result in DOBI's non-acceptance of the data submission. </t>
  </si>
  <si>
    <t>MQ01</t>
  </si>
  <si>
    <t>Authorized Signatory</t>
  </si>
  <si>
    <t>MQ02</t>
  </si>
  <si>
    <t>Sign Date</t>
  </si>
  <si>
    <t>Data Completeness and Estimation Questions</t>
  </si>
  <si>
    <t>Question</t>
  </si>
  <si>
    <t>Response</t>
  </si>
  <si>
    <t>Comments</t>
  </si>
  <si>
    <t>MQ03</t>
  </si>
  <si>
    <t>MQ04</t>
  </si>
  <si>
    <t>MQ05</t>
  </si>
  <si>
    <t>MQ06</t>
  </si>
  <si>
    <t>Are IBNR and IBNP factors applied to claims payments?</t>
  </si>
  <si>
    <t>MQ07</t>
  </si>
  <si>
    <t>Is pharmacy rebate data estimated?</t>
  </si>
  <si>
    <t>MQ08</t>
  </si>
  <si>
    <t>MQ09</t>
  </si>
  <si>
    <t>Are carve-out services for commercial partial claims estimated?</t>
  </si>
  <si>
    <t>MQ10</t>
  </si>
  <si>
    <t>TME Inclusion and Exclusion Questions</t>
  </si>
  <si>
    <t>MQ11</t>
  </si>
  <si>
    <t>Are claims payments reported as allowed amounts, including both payments that insurer paid to providers and member cost sharing?</t>
  </si>
  <si>
    <t>MQ12</t>
  </si>
  <si>
    <t>Is the spending reported in a manner consistent with the payment service category definitions in the Benchmark Data Submission Guide?</t>
  </si>
  <si>
    <t>MQ13</t>
  </si>
  <si>
    <t>Does the TME include NJ residents only?</t>
  </si>
  <si>
    <t>MQ14</t>
  </si>
  <si>
    <t>Does the TME include services rendered by providers, regardless of location of provider?</t>
  </si>
  <si>
    <t>MQ15</t>
  </si>
  <si>
    <t>Does the TME include services rendered by providers, regardless of the situs of the member's plan?</t>
  </si>
  <si>
    <t>MQ16</t>
  </si>
  <si>
    <t>Are data limited only to members for whom the insurer is primary on the claim?</t>
  </si>
  <si>
    <t>MQ17</t>
  </si>
  <si>
    <t>MQ18</t>
  </si>
  <si>
    <t>Are TME submitted based on the incurred date/ date of service?</t>
  </si>
  <si>
    <t>MQ19</t>
  </si>
  <si>
    <t>Is truncation applied at the member level?</t>
  </si>
  <si>
    <t>MQ20</t>
  </si>
  <si>
    <t>Does the truncated spending include only claims data?</t>
  </si>
  <si>
    <t>MQ21</t>
  </si>
  <si>
    <t>Are spending estimates on carved out services (commercial partial claims) included in the calculation of claims at the member level before applying truncation?</t>
  </si>
  <si>
    <t>Standard Deviation Questions</t>
  </si>
  <si>
    <t>MQ22</t>
  </si>
  <si>
    <t>Are standard deviations calculated using the formula for population standard deviation?</t>
  </si>
  <si>
    <t>MQ23</t>
  </si>
  <si>
    <t>Are non-claims expenses excluded from the standard deviation calculations?</t>
  </si>
  <si>
    <t>MQ24</t>
  </si>
  <si>
    <t>Are spending estimates on carved out services (commercial partial claims) at the member month level included in the standard deviation calculations?</t>
  </si>
  <si>
    <t>MQ25</t>
  </si>
  <si>
    <t>When calculating the standard deviation, did you include all the member months, regardless of whether the member has paid claims for that month?</t>
  </si>
  <si>
    <t>MQ26</t>
  </si>
  <si>
    <t>When calculating the standard deviation, did you use each member’s average cost per month applied to each month they were enrolled, instead of the actual utilization each month?</t>
  </si>
  <si>
    <t>MQ27</t>
  </si>
  <si>
    <t>Is standard deviation calculated by market, which combines certain Insurance Category Codes?</t>
  </si>
  <si>
    <t>Income from Fees of Uninsured Plans Questions</t>
  </si>
  <si>
    <t>MQ28</t>
  </si>
  <si>
    <t>MQ29</t>
  </si>
  <si>
    <t>MQ30</t>
  </si>
  <si>
    <t>MQ31</t>
  </si>
  <si>
    <t>MQ32</t>
  </si>
  <si>
    <t>For Medicare managed care organizations, what are all the names under which you are "doing business as” in the state of NJ?</t>
  </si>
  <si>
    <t>MQ35</t>
  </si>
  <si>
    <t>What are all the NAIC codes under which you are doing business as in the state of NJ (include all markets)?</t>
  </si>
  <si>
    <t>This tab includes various data validation checks to confirm consistency and reasonableness of data across and within tabs. Please review the data in this tab prior to submission to ensure that you are comfortable with the values and trends reflected in the tables below.</t>
  </si>
  <si>
    <t>Table 1. Alignment of Insurer Code from TME Tab with Insurer Name from Cover Page</t>
  </si>
  <si>
    <t>Red cells indicate the insurer code and name do not align and the carrier must correct in the applicable input tab(s) (see the Insurer Code Valid Values table in the Reference Tables tab for your organization's Insurer Code).</t>
  </si>
  <si>
    <t>Carrier Inputted Insurer Code (Field ID TM01)</t>
  </si>
  <si>
    <t>Carrier Inputted Insurer Name (Field ID CP01)</t>
  </si>
  <si>
    <t>Insurer Name Associated With TM01</t>
  </si>
  <si>
    <t>Insurer Name Aligns with Insurer Code?</t>
  </si>
  <si>
    <t>Table 2. Consistency of Member Months for Carrier Overall (Large Provider Entity Code 100) Across TME, Age &amp; Sex Factors, and LOB Enrollment Tabs</t>
  </si>
  <si>
    <t>Red cells indicate that member months do not match across tabs and the carrier must correct in the applicable input tab(s).</t>
  </si>
  <si>
    <t>Category</t>
  </si>
  <si>
    <t>TME Tab Member Months</t>
  </si>
  <si>
    <t>Age &amp; Sex Factors Tab Member Months</t>
  </si>
  <si>
    <t>Age &amp; Sex Factors Tab Consistent with TME Tab?</t>
  </si>
  <si>
    <t>Age &amp; Sex Factors and TME Tabs Variation</t>
  </si>
  <si>
    <t>LOB Enrollment Tab Member Months</t>
  </si>
  <si>
    <t>Commercial total</t>
  </si>
  <si>
    <t>Commercial, excluding SHBP &amp; SEHBP (Insurance Category Codes 3+4; LOB Category Codes 1+2+3+4+5)</t>
  </si>
  <si>
    <t>Commercial SHBP &amp; SEHBP (Insurance Category Code 7; LOB Category Code 10)</t>
  </si>
  <si>
    <t>MA total</t>
  </si>
  <si>
    <t>MA non-dual eligibles, excluding SHBP &amp; SEHBP (Insurance Category Code 1; LOB Category Code 6)</t>
  </si>
  <si>
    <t>MA dual eligibles (Insurance Category Code 5; LOB Category Code 8)</t>
  </si>
  <si>
    <t>MA SHBP &amp; SEHBP (Insurance Category Code 8; LOB Category Code 11)</t>
  </si>
  <si>
    <t>Medicaid MCO total</t>
  </si>
  <si>
    <t>Medicaid MCO non-dual eligibles (Insurance Category Code 2; LOB Category Code 7)</t>
  </si>
  <si>
    <t>Medicaid MCO dual eligibles (Insurance Category Code 6; LOB Category Code 9)</t>
  </si>
  <si>
    <t>Table 3. Consistency of Total Truncated Claims Spending and Member Months for Carrier Overall (Large Provider Entity Code 100) Across TME, Age &amp; Sex Factors, and Standard Deviation Tabs</t>
  </si>
  <si>
    <t>`</t>
  </si>
  <si>
    <t>Red cells indicate that claims spending and/or member months for carrier overall (Large Provider Entity Code 100) do not match across tabs and the carrier must correct in the applicable input tab(s).</t>
  </si>
  <si>
    <t>Market</t>
  </si>
  <si>
    <t>TME Tab Total Truncated Claims Spending</t>
  </si>
  <si>
    <t>Age &amp; Sex Factors Tab Total Truncated Claims Spending</t>
  </si>
  <si>
    <t>Age &amp; Sex Factors Tab Total Truncated Claims Spending Consistent with TME Tab?</t>
  </si>
  <si>
    <t>Total Truncated Claims Spending Variation</t>
  </si>
  <si>
    <t>Standard Deviation Tab Total Truncated Claims Spending</t>
  </si>
  <si>
    <t>Standard Deviation Tab Total Truncated Claims Spending Consistent with TME Tab?</t>
  </si>
  <si>
    <t>Total Truncated Claims Spending Variation Between Standard Deviation and TME Tabs</t>
  </si>
  <si>
    <t>Age &amp; Sex Factors Tab Member Months Consistent with TME Tab?</t>
  </si>
  <si>
    <t>Member Months Variation</t>
  </si>
  <si>
    <t>Standard Deviation Member Months</t>
  </si>
  <si>
    <t>Standard Deviation Tab Member Months Consistent with TME Tab?</t>
  </si>
  <si>
    <t>Standard Deviation Tab Consistent with TME Tab?</t>
  </si>
  <si>
    <t>Standard Deviation and TME Tabs Variation</t>
  </si>
  <si>
    <t>MA (Insurance Category Codes 1+5+8; Market Code 1)</t>
  </si>
  <si>
    <t>Medicaid MCO (Insurance Category Codes 2+6; Market Code 2)</t>
  </si>
  <si>
    <t>Commercial (Insurance Category Codes 3+4+7; Market Code 3)</t>
  </si>
  <si>
    <t>Table 4. Truncation Validation for Carrier Overall (Large Provider Entity Code 100) in TME Tab</t>
  </si>
  <si>
    <t>Red cells indicate the following errors that the carrier must correct in the applicable input tab(s):</t>
  </si>
  <si>
    <t>• Member Count with Truncated Claims (TM22) for carrier overall (Large Provider Entity Code 100) is more than the Total Member Count (TM05 divided by 12) for the respective Reporting Year (TM02) and Insurance Category Code (TM03); and/or
• Member Count with Truncated Claims as a proportion of Total Member Count (TM22/[TM05/12]) is greater than 3%; and/or
• Total Truncated Claims Spending (TM26) for carrier overall (Large Provider Entity Code 100) is more than Total Non-Truncated Claims Spending (TM23) for the respective Reporting Year (TM02) and Insurance Category Code (TM03); and/or
• Total Non-Truncated Claims Spending (AS10) for carrier overall (Large Provider Entity Code 100) does not match Total Non-Truncated Claims Spending (TM23) for the respective Reporting Year and Insurance Category Code</t>
  </si>
  <si>
    <t>Member Count (Member Months Divided by 12)</t>
  </si>
  <si>
    <t>Member Count with Truncated Claims Less Than Total Member Count?</t>
  </si>
  <si>
    <t>Member Count with Truncated Claims as a Proportion of Total Member Count</t>
  </si>
  <si>
    <t>TME Tab Total Non-Truncated Claims Spending</t>
  </si>
  <si>
    <t>Age &amp; Sex Factors Tab Total Non-Truncated Claims Spending</t>
  </si>
  <si>
    <t>Total Truncated Claims Spending Less Than Or Equal To Total Non-Truncated Claims Spending?</t>
  </si>
  <si>
    <t>Age &amp; Sex Factors Tab Total Non-Truncated Claims Spending Consistent with TME Tab?</t>
  </si>
  <si>
    <t>Table 5. Reasonableness of PMPMs for Carrier Overall (Large Provider Entity Code 100)</t>
  </si>
  <si>
    <t>Red cells indicate the following potential errors that the carrier must either notify DOBI that data are accurate or correct in the applicable input tab(s):
-PMPM is less than $10; and/or
-Difference in PMPM between commercial full and partial claims (Insurance Category Codes 3 &amp; 4) increased or decreased by more than 9%</t>
  </si>
  <si>
    <t>Claims: Hospital Inpatient (TM06) PMPM</t>
  </si>
  <si>
    <t>Claims: Hospital Outpatient (TM07) PMPM</t>
  </si>
  <si>
    <t>Claims: Professional, Primary Care Providers (TM08) PMPM</t>
  </si>
  <si>
    <t>Claims: Professional, Specialty Providers (TM09) PMPM</t>
  </si>
  <si>
    <t>Claims: Professional, Other Providers (TM10) PMPM</t>
  </si>
  <si>
    <t>Claims: Long-Term Care (TM11) PMPM</t>
  </si>
  <si>
    <t>Claims: Retail Pharmacy (TM12) PMPM</t>
  </si>
  <si>
    <t>Claims: Other (TM13) PMPM</t>
  </si>
  <si>
    <t>Total Non-Claims Spending (TM24) PMPM</t>
  </si>
  <si>
    <t>Total Non-Truncated Claims and Non-Claims Spending (TM25) PMPM</t>
  </si>
  <si>
    <t>Percentage change between categories 3+4</t>
  </si>
  <si>
    <t>Less than 50% difference between categories 3+4?</t>
  </si>
  <si>
    <t>Table 6. Reasonableness of Member Sex for Carrier Overall (Large Provider Entity Code 100)</t>
  </si>
  <si>
    <t>Red cells indicate any of the following potential errors that the carrier must either notify DOBI that data are accurate or correct in the applicable input tab(s); note that you can ignore red cells where value is "NA":</t>
  </si>
  <si>
    <t>• Less than 40% and/or more than 70% of members were female in the respective group; and/or 
• Less than 30% and/or more than 60% of members were male in the respective group</t>
  </si>
  <si>
    <t>Group</t>
  </si>
  <si>
    <t>Percentage of Female Members (Sex Code 1)</t>
  </si>
  <si>
    <t>Percentage of Male Members (Sex Code 2)</t>
  </si>
  <si>
    <t>MA non-dual eligible members (Insurance Category Codes 1+8)</t>
  </si>
  <si>
    <t>Dual eligible members (Insurance Category Codes 5+6)</t>
  </si>
  <si>
    <t>Medicaid MCO non-dual eligible members (Insurance Category Code 2)</t>
  </si>
  <si>
    <t>Commercial members (Insurance Category Codes 3+4+7)</t>
  </si>
  <si>
    <t>Table 7. Reasonableness of Member Age for Carrier Overall (Large Provider Entity Code 100)</t>
  </si>
  <si>
    <r>
      <rPr>
        <sz val="11"/>
        <color theme="1"/>
        <rFont val="Segoe UI"/>
        <family val="2"/>
        <scheme val="minor"/>
      </rPr>
      <t>•</t>
    </r>
    <r>
      <rPr>
        <sz val="7.7"/>
        <color theme="1"/>
        <rFont val="Segoe UI"/>
        <family val="2"/>
        <scheme val="minor"/>
      </rPr>
      <t xml:space="preserve"> </t>
    </r>
    <r>
      <rPr>
        <sz val="11"/>
        <color theme="1"/>
        <rFont val="Segoe UI"/>
        <family val="2"/>
        <scheme val="minor"/>
      </rPr>
      <t>More than 20% of MA non-dual eligible members were under 65 years old; and/or 
• More than 60% of dual eligible members were under 65 years old; and/or
• Less than 80% of Medicaid MCO non-dual and/or commercial members were under 65 years old</t>
    </r>
  </si>
  <si>
    <t>Percentage of Members Under 65 Years Old (Age Band Codes 1+2+3+4+5)</t>
  </si>
  <si>
    <t>Sources for reasonableness thresholds: https://www.cms.gov/files/document/medicaremedicaiddualenrollmenteverenrolledtrendsdatabrief.pdf; https://www.kff.org/medicare/issue-brief/a-profile-of-medicare-medicaid-enrollees-dual-eligibles; https://aspe.hhs.gov/sites/default/files/documents/f81aafbba0b331c71c6e8bc66512e25d/medicare-beneficiary-enrollment-ib.pdf</t>
  </si>
  <si>
    <t>Table 8. Total Non-Truncated Claims Spending PMPM by Age Band &amp; Sex Codes for Carrier Overall (Large Provider Entity Code 100)</t>
  </si>
  <si>
    <t>0 to 1 Year Old (Age Band Code 1) Total Non-Truncated Claims Spending PMPM</t>
  </si>
  <si>
    <t>2 to 18 Years Old (Age Band Code 2) Total Non-Truncated Claims Spending PMPM</t>
  </si>
  <si>
    <t>19 to 39 Years Old (Age Band Code 3) Total Non-Truncated Claims Spending PMPM</t>
  </si>
  <si>
    <t>Female (Sex Code 1) 19 to 39 Years Old (Age Band Code 3) Total Non-Truncated Claims Spending</t>
  </si>
  <si>
    <t>Male (Sex Code 2) 19 to 39 Years Old (Age Band Code 3) Total Non-Truncated Claims Spending</t>
  </si>
  <si>
    <t>40 to 54 Years Old (Age Band Code 4) Total Non-Truncated Claims Spending PMPM</t>
  </si>
  <si>
    <t>55 to 64 Years Old (Age Band Code 5) Total Non-Truncated Claims Spending PMPM</t>
  </si>
  <si>
    <t>65 to 74 Years Old (Age Band Code 6) Total Non-Truncated Claims Spending PMPM</t>
  </si>
  <si>
    <t>75 to 84 Years Old (Age Band Code 7) Total Non-Truncated Claims Spending PMPM</t>
  </si>
  <si>
    <t>85+ Years Old (Age Band Code 8) Total Non-Truncated Claims Spending PMPM</t>
  </si>
  <si>
    <t>MA (Insurance Category Codes 1+5+8)</t>
  </si>
  <si>
    <t>Medicaid MCO (Insurance Category Codes 2+6)</t>
  </si>
  <si>
    <t>Commercial (Insurance Category Codes 3+4+7)</t>
  </si>
  <si>
    <t>Table 9. TME Tab Fields for Carrier Overall (Large Provider Entity Code 100)</t>
  </si>
  <si>
    <t>Table 10. Age &amp; Sex Factors Tab Fields for Carrier Overall (Large Provider Entity Code 100)</t>
  </si>
  <si>
    <t xml:space="preserve">Female (Sex Code 1) Member Months </t>
  </si>
  <si>
    <t xml:space="preserve">Male (Sex Code 2) Member Months </t>
  </si>
  <si>
    <t>Table 11. Member Months by Age Band &amp; Sex Codes for Carrier Overall (Large Provider Entity Code 100)</t>
  </si>
  <si>
    <t xml:space="preserve">0 to 1 Year Old (Age Band Code 1) Member Months </t>
  </si>
  <si>
    <t xml:space="preserve">2 to 18 Years Old (Age Band Code 2) Member Months </t>
  </si>
  <si>
    <t xml:space="preserve">19 to 39 Years Old (Age Band Code 3) Member Months </t>
  </si>
  <si>
    <t xml:space="preserve">Female (Sex Code 1) 19 to 39 Years Old (Age Band Code 3) Member Months </t>
  </si>
  <si>
    <t xml:space="preserve">Male (Sex Code 2) 19 to 39 Years Old (Age Band Code 3) Member Months </t>
  </si>
  <si>
    <t>40 to 54 Years Old (Age Band Code 4) Member Months</t>
  </si>
  <si>
    <t>55 to 64 Years Old (Age Band Code 5) Member Months</t>
  </si>
  <si>
    <t>65 to 74 Years Old (Age Band Code 6) Member Months</t>
  </si>
  <si>
    <t>75 to 84 Years Old (Age Band Code 7) Member Months</t>
  </si>
  <si>
    <t>85+ Years Old (Age Band Code 8) Member Months</t>
  </si>
  <si>
    <t xml:space="preserve">Under 65 Years Old (Age Band Codes 1+2+3+4+5) Member Months </t>
  </si>
  <si>
    <t xml:space="preserve">65+ Years Old (Age Band Codes 6+7+8) Member Months </t>
  </si>
  <si>
    <t>Table 12. Total Non-Truncated Claims Spending by Age Band &amp; Sex Codes for Carrier Overall (Large Provider Entity Code 100)</t>
  </si>
  <si>
    <t>0 to 1 Year Old (Age Band Code 1) Total Non-Truncated Claims Spending</t>
  </si>
  <si>
    <t>2 to 18 Years Old (Age Band Code 2) Total Non-Truncated Claims Spending</t>
  </si>
  <si>
    <t>19 to 39 Years Old (Age Band Code 3) Total Non-Truncated Claims Spending</t>
  </si>
  <si>
    <t>40 to 54 Years Old (Age Band Code 4) Total Non-Truncated Claims Spending</t>
  </si>
  <si>
    <t>55 to 64 Years Old (Age Band Code 5) Total Non-Truncated Claims Spending</t>
  </si>
  <si>
    <t>65 to 74 Years Old (Age Band Code 6) Total Non-Truncated Claims Spending</t>
  </si>
  <si>
    <t>75 to 84 Years Old (Age Band Code 7) Total Non-Truncated Claims Spending</t>
  </si>
  <si>
    <t>85+ Years Old (Age Band Code 8) Total Non-Truncated Claims Spending</t>
  </si>
  <si>
    <t>Under 65 Years Old (Age Band Codes 1+2+3+4+5) Total Non-Truncated Claims Spending</t>
  </si>
  <si>
    <t>65+ Years Old (Age Band Codes 6+7+8) Total Non-Truncated Claims Spending</t>
  </si>
  <si>
    <t>Table 13. Standard Deviation Tab Fields for Carrier Overall (Large Provider Entity Code 100)</t>
  </si>
  <si>
    <t>Table 14. LOB Enrollment Tab Member Months</t>
  </si>
  <si>
    <t>LOB Category Code</t>
  </si>
  <si>
    <t xml:space="preserve">Table 15. Consistency for Carrier Overall (Large Provider Entity Code 100) Across Fields in TME and Age &amp; Sex Factors Tabs </t>
  </si>
  <si>
    <t>Red cells indicate that field totals do not match across tabs and the carrier must correct in the applicable input tab(s).</t>
  </si>
  <si>
    <t>TME Tab Claims Amount Excluded Due to Truncation</t>
  </si>
  <si>
    <t>Age &amp; Sex Factors Tab Claims Amount Excluded Due to Truncation</t>
  </si>
  <si>
    <t>TME Tab Member Count with Truncated Claims</t>
  </si>
  <si>
    <t>Age &amp; Sex Factors Tab Member Count with Truncated Claims</t>
  </si>
  <si>
    <t>Table 16. Reasonability of Member Months &amp; Member Counts Compared to CMS MA and Medicaid MCO Enrollment Data</t>
  </si>
  <si>
    <t>TME Tab Member Months for MA (Insurance Category Codes 1+5+8)</t>
  </si>
  <si>
    <t>CMS Member Months for MA</t>
  </si>
  <si>
    <t>MA Member Months Variation</t>
  </si>
  <si>
    <t>TME Tab Member Count (Member Months Divided by 12) for Medicaid MCO (Insurance Category Codes 2+6)</t>
  </si>
  <si>
    <t>CMS Member Count for Medicaid MCO</t>
  </si>
  <si>
    <t>Medicaid MCO Member Count Variation</t>
  </si>
  <si>
    <t xml:space="preserve">TME Tab Member Months for MA (Insurance Category Codes 1+5+8) </t>
  </si>
  <si>
    <t xml:space="preserve">CMS Member Months for MA </t>
  </si>
  <si>
    <t xml:space="preserve">MA Member Months Variation </t>
  </si>
  <si>
    <t xml:space="preserve">TME Tab Member Count (Member Months Divided by 12) for Medicaid MCO (Insurance Category Codes 2+6) </t>
  </si>
  <si>
    <t xml:space="preserve">CMS Member Count for Medicaid MCO </t>
  </si>
  <si>
    <t xml:space="preserve">Medicaid MCO Member Count Variation </t>
  </si>
  <si>
    <t>Sources for data carriers reported to CMS: https://www.cms.gov/data-research/statistics-trends-and-reports/medicare-advantagepart-d-contract-and-enrollment-data/monthly-ma-enrollment-state/county/contract; https://www.medicaid.gov/medicaid/managed-care/enrollment-report/index.html</t>
  </si>
  <si>
    <r>
      <t>•</t>
    </r>
    <r>
      <rPr>
        <sz val="7.7"/>
        <color theme="1"/>
        <rFont val="Segoe UI"/>
        <family val="2"/>
        <scheme val="minor"/>
      </rPr>
      <t xml:space="preserve"> </t>
    </r>
    <r>
      <rPr>
        <sz val="11"/>
        <color theme="1"/>
        <rFont val="Segoe UI"/>
        <family val="2"/>
        <scheme val="minor"/>
      </rPr>
      <t>MPM is less than $10, except for TM11 &amp; TM24 PMPMs; and/or
• Difference in PMPM between commercial full and partial claims (Insurance Category Codes 3 &amp; 4) was more than 49%</t>
    </r>
  </si>
  <si>
    <t>year</t>
  </si>
  <si>
    <t>INSURER_CODE</t>
  </si>
  <si>
    <t>Enrolled_Totals</t>
  </si>
  <si>
    <t>NA</t>
  </si>
  <si>
    <t>2023 MA table</t>
  </si>
  <si>
    <t>2023 MC table</t>
  </si>
  <si>
    <t>This tab uses data from the TME and Pharmacy Rebates tabs to calculate member months and per member per month (PMPM) spending trends by payment service category for each market and insurance category. Please review the data in this tab prior to submission to ensure that you are comfortable with the PMPM values and trends reflected in the tables below.</t>
  </si>
  <si>
    <t>Table 1. Member Months by Insurance Category &amp; Market</t>
  </si>
  <si>
    <t>Insurance Category</t>
  </si>
  <si>
    <t>Trend</t>
  </si>
  <si>
    <t>Medicare market total</t>
  </si>
  <si>
    <t>MA non-dual eligibles, excluding SHBP &amp; SEHBP (Insurance Category Code 1)</t>
  </si>
  <si>
    <t>MA dual eligibles (Insurance Category Code 5)</t>
  </si>
  <si>
    <t>MA SHBP &amp; SEHBP (Insurance Category Code 8)</t>
  </si>
  <si>
    <t>Medicaid market total</t>
  </si>
  <si>
    <t>Medicaid MCO non-dual eligibles (Insurance Category Code 2)</t>
  </si>
  <si>
    <t>Medicaid MCO dual eligibles (Insurance Category Code 6)</t>
  </si>
  <si>
    <t>Commercial market total</t>
  </si>
  <si>
    <t>Commercial full claims, excluding SHBP &amp; SEHBP (Insurance Category Code 3)</t>
  </si>
  <si>
    <t>Commercial partial claims, excluding SHBP &amp; SEHBP (Insurance Category Code 4)</t>
  </si>
  <si>
    <t>Commercial SHBP &amp; SEHBP (Insurance Category Code 7)</t>
  </si>
  <si>
    <t>Total</t>
  </si>
  <si>
    <t>Table 4. Commercial Total (Insurance Category Codes 3+4+7) - TME PMPM Trends</t>
  </si>
  <si>
    <t>Table 5. Commercial Full Claims Members (Insurance Category Code 3) - TME PMPM Trends</t>
  </si>
  <si>
    <t>Table 6. Commercial Partial Claims Members (Insurance Category Code 4) - TME PMPM Trends</t>
  </si>
  <si>
    <t>Table 7. Commercial SHBP &amp; SEHBP Members (Insurance Category Code 7) - TME PMPM Trends</t>
  </si>
  <si>
    <t>Service Category</t>
  </si>
  <si>
    <t xml:space="preserve">Rebates as a proportion of pharmacy spending (RX07/TM12) </t>
  </si>
  <si>
    <t>Table 8. Medicare Total (Insurance Category Codes 1+5+8) - TME PMPM Trends</t>
  </si>
  <si>
    <t>Table 9. MA Non-Dual Eligible Members (Insurance Category Code 1) - TME PMPM Trends</t>
  </si>
  <si>
    <t>Table 10. MA Dual Eligible Members (Insurance Category Code 5) - TME PMPM Trends</t>
  </si>
  <si>
    <t>Table 11. MA SHBP &amp; SEHBP Members (Insurance Category Code 8) - TME PMPM Trends</t>
  </si>
  <si>
    <t>Table 12. Medicaid Total (Insurance Category Codes 2+6) - TME PMPM Trends</t>
  </si>
  <si>
    <t>Table 13. Medicaid MCO Non-Dual Eligible Members (Insurance Category Code 2) - TME PMPM Trends</t>
  </si>
  <si>
    <t>Table 14. Medicaid MCO Dual Eligible Members (Insurance Category Code 6) - TME PMPM Trends</t>
  </si>
  <si>
    <t>This tab uses data from the TME tab to calculate member months and PMPM spending trends by provider entity for each market and insurance category. Please review the data in this tab prior to submission to ensure that you are comfortable with the PMPM values and trends reflected in the tables below.</t>
  </si>
  <si>
    <t>Red cells in the tables below indicate any of the following potential errors that the carrier must either notify DOBI that data are accurate or correct in the applicable input tab(s):</t>
  </si>
  <si>
    <t>Table 1. Commercial Total (Insurance Category Codes 3+4+7) - TME Trends PMPM</t>
  </si>
  <si>
    <t>Large Provider Entity Name</t>
  </si>
  <si>
    <t>TME Tab Member Months (TM05)</t>
  </si>
  <si>
    <t>TME Tab Total Non-Truncated Claims Spending PMPM</t>
  </si>
  <si>
    <t>TME Tab Total Non-Claims Spending PMPM</t>
  </si>
  <si>
    <t>TME Tab Total Non-Truncated Claims and Non-Claims Spending PMPM</t>
  </si>
  <si>
    <t>TME Tab Total Truncated Claims Spending PMPM</t>
  </si>
  <si>
    <t>TME Tab Total Truncated Expenses PMPM</t>
  </si>
  <si>
    <t>Member Months (TM05) Trend</t>
  </si>
  <si>
    <t>Total Non-Truncated Claims Spending (TM23) PMPM Trend</t>
  </si>
  <si>
    <t>Total Non-Claims Spending (TM24) PMPM Trend</t>
  </si>
  <si>
    <t>Total Non-Truncated Claims and Non-Claims Spending (TM25) PMPM Trend</t>
  </si>
  <si>
    <t>Total Truncated Claims Spending (TM26) PMPM Trend</t>
  </si>
  <si>
    <t>Total Truncated Expenses (TM27) PMPM Trend</t>
  </si>
  <si>
    <t>Total Member Months (TM05) for LPEs 101-999/ PMPM Weighted Average for LPEs 101-999, Gross of Rebates</t>
  </si>
  <si>
    <t>PMPM for LPE 100, Net of Rebates</t>
  </si>
  <si>
    <t>LPEs 101-999 and LPE 100 Variation</t>
  </si>
  <si>
    <t>Sum of LPEs 101-999 Consistent with LPE 100?</t>
  </si>
  <si>
    <t>Table 2. Commercial Full Claims Members (Insurance Category Code 3) - TME Trends PMPM</t>
  </si>
  <si>
    <t>Total Member Months for LPEs 101-999/ PMPM Weighted Average for LPEs 101-999, Gross of Rebates</t>
  </si>
  <si>
    <t>Table 3. Commercial Partial Claims Members (Insurance Category Code 4) - TME Trends PMPM</t>
  </si>
  <si>
    <t>Table 4. Commercial SHBP &amp; SEHBP Members (Insurance Category Code 7) - TME Trends PMPM</t>
  </si>
  <si>
    <t>Table 5. Medicare Total (Insurance Category Codes 1+5+8) - TME Trends PMPM</t>
  </si>
  <si>
    <t>Table 6. MA Non-Dual Eligible Members (Insurance Category Code 1) - TME Trends PMPM</t>
  </si>
  <si>
    <t>Table 7. MA Dual Eligible Members (Insurance Category Code 5) - TME Trends PMPM</t>
  </si>
  <si>
    <t>Table 8. MA SHBP &amp; SEHBP Members (Insurance Category Code 8) - TME Trends PMPM</t>
  </si>
  <si>
    <t>Table 9. Medicaid Total (Insurance Category Codes 2+6) - TME Trends PMPM</t>
  </si>
  <si>
    <t>Table 10. Medicaid MCO Non-Dual Eligible Members (Insurance Category Code 2) - TME Trends PMPM</t>
  </si>
  <si>
    <t>Table 11. Medicaid MCO Dual Eligible Members (Insurance Category Code 6) - TME Trends PMPM</t>
  </si>
  <si>
    <t>Member Months (TM05)</t>
  </si>
  <si>
    <t>Table 2. Total Truncated Expenses (Gross of Rebates) Trends by Insurance Category &amp; Market</t>
  </si>
  <si>
    <t>Table 3. Total Truncated Expenses (Gross of Rebates) PMPM Trends by Insurance Category &amp; Market</t>
  </si>
  <si>
    <t>Red cells indicate trend increased or decreased by more than 10%, potentially indicating an error that the carrier must either notify DOBI that data are accurate or correct in the applicable input tab(s); note that you can ignore red cells where value is "NA".</t>
  </si>
  <si>
    <r>
      <rPr>
        <sz val="11"/>
        <color theme="1"/>
        <rFont val="Calibri"/>
        <family val="2"/>
      </rPr>
      <t>•</t>
    </r>
    <r>
      <rPr>
        <sz val="6.6"/>
        <color theme="1"/>
        <rFont val="Calibri"/>
        <family val="2"/>
      </rPr>
      <t xml:space="preserve"> </t>
    </r>
    <r>
      <rPr>
        <sz val="11"/>
        <color theme="1"/>
        <rFont val="Segoe UI"/>
        <family val="2"/>
        <scheme val="minor"/>
      </rPr>
      <t>Provider-level trend (Large Provider Entity Codes 101 through 999) increased or decreased by more than 50%; and/or
• PMPM trend data is "NA" (i.e., data is missing)</t>
    </r>
  </si>
  <si>
    <t>Claims: Hospital Inpatient (TM06/TM05)</t>
  </si>
  <si>
    <t>Claims: Hospital Outpatient (TM07/TM05)</t>
  </si>
  <si>
    <t>Claims: Professional, Primary Care Providers (TM08/TM05)</t>
  </si>
  <si>
    <t>Claims: Professional, Specialty Providers (TM09/TM05)</t>
  </si>
  <si>
    <t>Claims: Professional, Other Providers (TM10/TM05)</t>
  </si>
  <si>
    <t>Claims: Long-Term Care (TM11/TM05)</t>
  </si>
  <si>
    <t>Claims: Retail Pharmacy (Gross of Rebates) (TM12/TM05)</t>
  </si>
  <si>
    <t>Claims: Retail Pharmacy (Net of Pharmacy Rebate Amount) (TM12+RX07/TM05)</t>
  </si>
  <si>
    <t>Total Medical and Retail Pharmacy Rebate Amount (RX07/TM05)</t>
  </si>
  <si>
    <t>Claims: Other (TM13/TM05)</t>
  </si>
  <si>
    <t>Total Non-Truncated Claims Spending (TM23/TM05)</t>
  </si>
  <si>
    <t>Total Truncated Claims Spending (TM26/TM05)</t>
  </si>
  <si>
    <t>Non-Claims: Capitation or Bundled Arrangements (TM14/TM05)</t>
  </si>
  <si>
    <t>Non-Claims: Performance Incentives (TM15/TM05)</t>
  </si>
  <si>
    <t>Non-Claims: Pop Health and Practice Infrastructure (TM16/TM05)</t>
  </si>
  <si>
    <t>Non-Claims: Provider Salaries (TM17/TM05)</t>
  </si>
  <si>
    <t>Non-Claims: Recovery (TM18/TM05)</t>
  </si>
  <si>
    <t>Non-Claims: Other (TM19/TM05)</t>
  </si>
  <si>
    <t>Non-Claims: Total Primary Care (TM20/TM05)</t>
  </si>
  <si>
    <t>Total Non-Claims Spending (TM24/TM05)</t>
  </si>
  <si>
    <t>Total Non-Truncated Claims and Non-Claims Spending (TM25/TM05)</t>
  </si>
  <si>
    <t>Total Truncated Expenses (TM27/TM05)</t>
  </si>
  <si>
    <t xml:space="preserve">Are members attributed to provider organizations using an approach that is consistent with your internal attribution methodology? </t>
  </si>
  <si>
    <t>Optum</t>
  </si>
  <si>
    <t>Advocare</t>
  </si>
  <si>
    <t>Englewood Health Medical Center</t>
  </si>
  <si>
    <t>Shore Quality Partners ACO</t>
  </si>
  <si>
    <t>Penn Medicine/ Princeton Health/ Princeton Healthcare Partners</t>
  </si>
  <si>
    <t>This Carrier Benchmark Data Submission Template is for commercial carriers to submit total medical expenses (TME) and other required information to the New Jersey (NJ) Department of Banking and Insurance (DOBI). DOBI is collecting these data for each annual health care cost growth benchmark reporting cycle as part of the Health Care Affordability, Responsibility, and Transparency (HART) Program.</t>
  </si>
  <si>
    <r>
      <t>Insurers must also submit this completed template with the following case sensitive naming convention: D</t>
    </r>
    <r>
      <rPr>
        <sz val="11"/>
        <color rgb="FFC00000"/>
        <rFont val="Segoe UI"/>
        <family val="2"/>
        <scheme val="minor"/>
      </rPr>
      <t>yyyy</t>
    </r>
    <r>
      <rPr>
        <sz val="11"/>
        <rFont val="Segoe UI"/>
        <family val="2"/>
        <scheme val="minor"/>
      </rPr>
      <t>_I</t>
    </r>
    <r>
      <rPr>
        <sz val="11"/>
        <color rgb="FFC00000"/>
        <rFont val="Segoe UI"/>
        <family val="2"/>
        <scheme val="minor"/>
      </rPr>
      <t>nnn</t>
    </r>
    <r>
      <rPr>
        <sz val="11"/>
        <rFont val="Segoe UI"/>
        <family val="2"/>
        <scheme val="minor"/>
      </rPr>
      <t>_V</t>
    </r>
    <r>
      <rPr>
        <sz val="11"/>
        <color rgb="FFC00000"/>
        <rFont val="Segoe UI"/>
        <family val="2"/>
        <scheme val="minor"/>
      </rPr>
      <t>nn</t>
    </r>
    <r>
      <rPr>
        <sz val="11"/>
        <rFont val="Segoe UI"/>
        <family val="2"/>
        <scheme val="minor"/>
      </rPr>
      <t>_TME.xlsx, where:</t>
    </r>
  </si>
  <si>
    <t>85+ years old</t>
  </si>
  <si>
    <t>Large group plans, 51+ employees, fully insured (excluding SHBP &amp; SEHBP)</t>
  </si>
  <si>
    <t>1 = Large group plans (51+ employees), fully insured (excluding SHBP &amp; SEHBP plans)
2 = Small group plans (2-50 employees), fully insured
3 = Self-insured plans
4 = Individual plans (buy coverage on their own)
5 = Student plans</t>
  </si>
  <si>
    <r>
      <t xml:space="preserve">For the list of updates and changes to this Template, please see the Version History section in the </t>
    </r>
    <r>
      <rPr>
        <b/>
        <sz val="11"/>
        <color theme="3"/>
        <rFont val="Segoe UI"/>
        <family val="2"/>
        <scheme val="minor"/>
      </rPr>
      <t>Carrier Benchmark Data Submission Guide</t>
    </r>
    <r>
      <rPr>
        <sz val="11"/>
        <color theme="1"/>
        <rFont val="Segoe UI"/>
        <family val="2"/>
        <scheme val="minor"/>
      </rPr>
      <t xml:space="preserve"> posted to the following sites:</t>
    </r>
  </si>
  <si>
    <r>
      <t xml:space="preserve">This tab includes lookup and mapping tables for the row ID fields in input tabs two through six. The row ID fields are a combination of data elements that have a set of valid value options or category codes. For more information on the row ID fields that uniquely identify records, please see the Reporting Categories subsection in the </t>
    </r>
    <r>
      <rPr>
        <b/>
        <sz val="11"/>
        <color theme="3"/>
        <rFont val="Segoe UI"/>
        <family val="2"/>
        <scheme val="minor"/>
      </rPr>
      <t>Carrier Benchmark Data Submission Guide</t>
    </r>
    <r>
      <rPr>
        <sz val="11"/>
        <color theme="1"/>
        <rFont val="Segoe UI"/>
        <family val="2"/>
        <scheme val="minor"/>
      </rPr>
      <t>.</t>
    </r>
  </si>
  <si>
    <r>
      <t>• “I</t>
    </r>
    <r>
      <rPr>
        <sz val="11"/>
        <color rgb="FFC00000"/>
        <rFont val="Segoe UI"/>
        <family val="2"/>
        <scheme val="minor"/>
      </rPr>
      <t>nnn</t>
    </r>
    <r>
      <rPr>
        <sz val="11"/>
        <color theme="1"/>
        <rFont val="Segoe UI"/>
        <family val="2"/>
        <scheme val="minor"/>
      </rPr>
      <t>” is the three-digit Insurer Code (see the Reference Tables tab for the Insurer Codes).</t>
    </r>
  </si>
  <si>
    <r>
      <t>• “V</t>
    </r>
    <r>
      <rPr>
        <sz val="11"/>
        <color rgb="FFC00000"/>
        <rFont val="Segoe UI"/>
        <family val="2"/>
        <scheme val="minor"/>
      </rPr>
      <t>nn</t>
    </r>
    <r>
      <rPr>
        <sz val="11"/>
        <color theme="1"/>
        <rFont val="Segoe UI"/>
        <family val="2"/>
        <scheme val="minor"/>
      </rPr>
      <t>” is the submission number (i.e., use “V01” for first submission, “V02” if first submission requires corrections, and so on).</t>
    </r>
  </si>
  <si>
    <r>
      <t>• “D</t>
    </r>
    <r>
      <rPr>
        <sz val="11"/>
        <color rgb="FFC00000"/>
        <rFont val="Segoe UI"/>
        <family val="2"/>
        <scheme val="minor"/>
      </rPr>
      <t>yyyy</t>
    </r>
    <r>
      <rPr>
        <sz val="11"/>
        <color theme="1"/>
        <rFont val="Segoe UI"/>
        <family val="2"/>
        <scheme val="minor"/>
      </rPr>
      <t>” is the four-digit year (yyyy) when DOBI issued the data request to carriers (i.e., use “2023” for the pre-benchmark submission, “2024” for the transition year and PY1 submission, and so on).</t>
    </r>
  </si>
  <si>
    <r>
      <rPr>
        <b/>
        <sz val="11"/>
        <rFont val="Segoe UI"/>
        <family val="2"/>
        <scheme val="minor"/>
      </rPr>
      <t>Note:</t>
    </r>
    <r>
      <rPr>
        <sz val="11"/>
        <rFont val="Segoe UI"/>
        <family val="2"/>
        <scheme val="minor"/>
      </rPr>
      <t xml:space="preserve"> The State requires carriers to correct and resubmit data in this Template if it does not adhere to the requirements in the </t>
    </r>
    <r>
      <rPr>
        <b/>
        <sz val="11"/>
        <color theme="3"/>
        <rFont val="Segoe UI"/>
        <family val="2"/>
        <scheme val="minor"/>
      </rPr>
      <t>Carrier Benchmark Data Submission Guide</t>
    </r>
    <r>
      <rPr>
        <sz val="11"/>
        <rFont val="Segoe UI"/>
        <family val="2"/>
        <scheme val="minor"/>
      </rPr>
      <t xml:space="preserve"> (that is, failure to follow requirements will result in state's non-acceptance of the data submission).</t>
    </r>
  </si>
  <si>
    <t>Dual eligibles (Insurance Category Codes 5+6)</t>
  </si>
  <si>
    <t>̶   DOBI performs validation checks in stages, described further in the Guide; therefore, additional findings in your next submission may be uncovered.</t>
  </si>
  <si>
    <t>Feedback from Carrier</t>
  </si>
  <si>
    <t>Red cells indicate market-level trend increased or decreased by more than 30%, potentially indicating an error that the carrier must either notify DOBI that data are accurate or correct in the applicable input tab(s); note that you can ignore red cells where value is "NA".</t>
  </si>
  <si>
    <t>• TM05 through TM20 PMPM trend increased or decreased by more than 30%; and/or
• Rebates as a proportion of pharmacy spending (RX07/TM12) is greater than 100%</t>
  </si>
  <si>
    <r>
      <t xml:space="preserve">̶   </t>
    </r>
    <r>
      <rPr>
        <b/>
        <sz val="11"/>
        <color theme="1"/>
        <rFont val="Segoe UI"/>
        <family val="2"/>
        <scheme val="minor"/>
      </rPr>
      <t xml:space="preserve">Due date for resubmission: </t>
    </r>
    <r>
      <rPr>
        <sz val="11"/>
        <color theme="1"/>
        <rFont val="Segoe UI"/>
        <family val="2"/>
        <scheme val="minor"/>
      </rPr>
      <t>Please resubmit using this file or the most recent version of the Template within two weeks of receiving this report.</t>
    </r>
  </si>
  <si>
    <t>Age &amp; Sex Factors Tab Claims Amount Excluded Due to Truncation Consistent with TME Tab?</t>
  </si>
  <si>
    <t>Claims Amount Excluded Due to Truncation Variation</t>
  </si>
  <si>
    <t>Age &amp; Sex Factors Tab Member Count with Truncated Claims Consistent with TME Tab?</t>
  </si>
  <si>
    <t>Member Count with Truncated Claims Variation</t>
  </si>
  <si>
    <t>Total Non-Truncated Claims Spending Variation</t>
  </si>
  <si>
    <t>LOB Enrollment Tab Member Months Consistent with TME Tab?</t>
  </si>
  <si>
    <t>0 to 1 Year Old (Age Band Code 1) Member Months</t>
  </si>
  <si>
    <t>2 to 18 Years Old (Age Band Code 2) Member Months</t>
  </si>
  <si>
    <t>19 to 39 Years Old (Age Band Code 3) Member Months</t>
  </si>
  <si>
    <t>Female (Sex Code 1) 19 to 39 Years Old (Age Band Code 3) Member Months</t>
  </si>
  <si>
    <t>Male (Sex Code 2) 19 to 39 Years Old (Age Band Code 3) Member Months</t>
  </si>
  <si>
    <t>Table 17. Total Non-Truncated Claims Spending PMPM by Age Band &amp; Sex Codes for Carrier Overall (Large Provider Entity Code 100)</t>
  </si>
  <si>
    <t>Table 18. Member Months by Age Band &amp; Sex Codes for Carrier Overall (Large Provider Entity Code 100)</t>
  </si>
  <si>
    <t>Table 19. Total Non-Truncated Claims Spending by Age Band &amp; Sex Codes for Carrier Overall (Large Provider Entity Code 100)</t>
  </si>
  <si>
    <t>Reporting Year Valid Values</t>
  </si>
  <si>
    <t>Did you have members in self-insured plans during calendar year 2024?</t>
  </si>
  <si>
    <t xml:space="preserve">Calendar year of data </t>
  </si>
  <si>
    <t>2024</t>
  </si>
  <si>
    <t>WellCare Health Plans of NJ, Inc./ Fidelis Care</t>
  </si>
  <si>
    <t>Amerigroup/ Wellpoint</t>
  </si>
  <si>
    <t>TIN List and Attribution Questions</t>
  </si>
  <si>
    <t>"Doing Business As" Questions</t>
  </si>
  <si>
    <t>MQ36</t>
  </si>
  <si>
    <t>MQ37</t>
  </si>
  <si>
    <t>Aledade/ NJ MSSP Enhanced</t>
  </si>
  <si>
    <t>AtlantiCare Health Solutions, Inc./ AtlantiCare</t>
  </si>
  <si>
    <t>Capital Health/ Capital Health Accountable Care Organization, LLC</t>
  </si>
  <si>
    <t>Cooper University Health Care/ AllCare Health Alliance</t>
  </si>
  <si>
    <t>Hackensack Alliance ACO/ Hackensack Meridian Health/ Hackensack Meridian Health Partners/ Meridian ACO, LLC</t>
  </si>
  <si>
    <t>RWJBH Accountable Care, LLC/ RWJBarnabas Health/ Barnabas Health/ RWJBarnabas Health Partners</t>
  </si>
  <si>
    <t>ColigoCare/ Valley Health System</t>
  </si>
  <si>
    <t>Atlantic Health System/ Atlantic ACO/ AHS Health Network LLC</t>
  </si>
  <si>
    <t>Optimus Healthcare Partners, LLC/ Vista IPA</t>
  </si>
  <si>
    <t>Did you use the TIN list in the attribution process?</t>
  </si>
  <si>
    <t>Did you identify any discrepancies between the TIN list provided by LPEs and your internal records?</t>
  </si>
  <si>
    <t>MQ38</t>
  </si>
  <si>
    <t xml:space="preserve">If yes, enter information about the discrepancies you identified. </t>
  </si>
  <si>
    <t>What is the overall completeness of the claims data (report as %)?</t>
  </si>
  <si>
    <t>How long was the run-out period for claims payments (report as days)?</t>
  </si>
  <si>
    <t>If yes, enter how you estimated the rebate amounts.</t>
  </si>
  <si>
    <t>If yes, enter which carve-out services you estimated and describe how you calculated the estimate.</t>
  </si>
  <si>
    <t>If yes, enter the income from fees of uninsured plans for 2024.</t>
  </si>
  <si>
    <r>
      <t xml:space="preserve">• </t>
    </r>
    <r>
      <rPr>
        <b/>
        <sz val="11"/>
        <color theme="1"/>
        <rFont val="Segoe UI"/>
        <family val="2"/>
        <scheme val="minor"/>
      </rPr>
      <t xml:space="preserve">DOH OHCAT webpage: </t>
    </r>
    <r>
      <rPr>
        <sz val="11"/>
        <color theme="1"/>
        <rFont val="Segoe UI"/>
        <family val="2"/>
        <scheme val="minor"/>
      </rPr>
      <t xml:space="preserve">https://www.nj.gov/health/about/organization/offices/ohcat/#implementation-resources
• </t>
    </r>
    <r>
      <rPr>
        <b/>
        <sz val="11"/>
        <color theme="1"/>
        <rFont val="Segoe UI"/>
        <family val="2"/>
        <scheme val="minor"/>
      </rPr>
      <t>Benchmark Data Submission Site (requires login, see the Access to the Benchmark Data Submission Site subsection in the Guide for more info):</t>
    </r>
    <r>
      <rPr>
        <sz val="11"/>
        <color theme="1"/>
        <rFont val="Segoe UI"/>
        <family val="2"/>
        <scheme val="minor"/>
      </rPr>
      <t xml:space="preserve"> https://sonj.sharepoint.com/sites/DOBI-HART/General%20Information</t>
    </r>
  </si>
  <si>
    <t>2024 MC table</t>
  </si>
  <si>
    <t>2024 MA table</t>
  </si>
  <si>
    <t>2025 MA table</t>
  </si>
  <si>
    <t>2025 MC table</t>
  </si>
  <si>
    <t>2026 MA table</t>
  </si>
  <si>
    <t>2026 MC table</t>
  </si>
  <si>
    <t>2027 MA table</t>
  </si>
  <si>
    <t>2027 MC table</t>
  </si>
  <si>
    <t>#s in tables below are used to populate applicable cells in Table 16 from the Data Validation Checks tab.</t>
  </si>
  <si>
    <t>TM05 Greater than 12k for Both Years</t>
  </si>
  <si>
    <t>How long was the run-out period for non-claims payments (report as days)?</t>
  </si>
  <si>
    <t>Partners in Care ACO/ Continuum Health Alliance</t>
  </si>
  <si>
    <t>NJPACO R, LLC/ NJ Physicians ACO/ Vanova Health Partners</t>
  </si>
  <si>
    <t>Consensus Medical Group LLC/ ilumed MSSP</t>
  </si>
  <si>
    <t>Jefferson Health’s Kennedy Medical Group Practice/ Einstein Care Partners ACO</t>
  </si>
  <si>
    <t>Vytalize Health ACO/ Vytalize Health Enhanced ACO LLC</t>
  </si>
  <si>
    <t>Version 4.0 (2024-2025 Reporting Cycle)</t>
  </si>
  <si>
    <t>2025</t>
  </si>
  <si>
    <t>2024-2025 Trend</t>
  </si>
  <si>
    <t>Did you have members in self-insured plans during calendar year 2025?</t>
  </si>
  <si>
    <t>If yes, enter the income from fees of uninsured plans for 2025.</t>
  </si>
  <si>
    <t>Summit Medical Group, PA dba Summit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</si>
</sst>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quot;$&quot;* #,##0.00_);_(&quot;$&quot;* \(#,##0.00\);_(&quot;$&quot;* &quot;-&quot;??_);_(@_)"/>
    <numFmt numFmtId="43" formatCode="_(* #,##0.00_);_(* \(#,##0.00\);_(* &quot;-&quot;??_);_(@_)"/>
    <numFmt numFmtId="164" formatCode="0.0%"/>
    <numFmt numFmtId="165" formatCode="yyyy\-mm\-dd"/>
    <numFmt numFmtId="166" formatCode="_(* #,##0_);_(* \(#,##0\);_(* &quot;-&quot;??_);_(@_)"/>
    <numFmt numFmtId="167" formatCode="_(&quot;$&quot;* #,##0_);_(&quot;$&quot;* \(#,##0\);_(&quot;$&quot;* &quot;-&quot;??_);_(@_)"/>
  </numFmts>
  <fonts count="46" x14ac:knownFonts="1">
    <font>
      <sz val="11"/>
      <color theme="1"/>
      <name val="Segoe UI"/>
      <family val="2"/>
      <scheme val="minor"/>
    </font>
    <font>
      <sz val="11"/>
      <color theme="1"/>
      <name val="Segoe UI"/>
      <family val="2"/>
      <scheme val="minor"/>
    </font>
    <font>
      <b/>
      <sz val="11"/>
      <color theme="1"/>
      <name val="Segoe UI"/>
      <family val="2"/>
      <scheme val="minor"/>
    </font>
    <font>
      <b/>
      <sz val="14"/>
      <color theme="1"/>
      <name val="Segoe UI"/>
      <family val="2"/>
      <scheme val="minor"/>
    </font>
    <font>
      <b/>
      <sz val="11"/>
      <name val="Segoe UI"/>
      <family val="2"/>
      <scheme val="minor"/>
    </font>
    <font>
      <sz val="11"/>
      <color theme="8" tint="-0.249977111117893"/>
      <name val="Segoe UI"/>
      <family val="2"/>
      <scheme val="minor"/>
    </font>
    <font>
      <sz val="11"/>
      <name val="Segoe UI"/>
      <family val="2"/>
      <scheme val="minor"/>
    </font>
    <font>
      <b/>
      <sz val="11"/>
      <color theme="0"/>
      <name val="Segoe UI"/>
      <family val="2"/>
      <scheme val="minor"/>
    </font>
    <font>
      <sz val="12"/>
      <color theme="1"/>
      <name val="Segoe UI"/>
      <family val="2"/>
      <scheme val="minor"/>
    </font>
    <font>
      <sz val="11"/>
      <color theme="1" tint="0.499984740745262"/>
      <name val="Segoe UI"/>
      <family val="2"/>
      <scheme val="minor"/>
    </font>
    <font>
      <sz val="11"/>
      <color theme="1"/>
      <name val="Segoe UI"/>
      <family val="1"/>
      <scheme val="major"/>
    </font>
    <font>
      <b/>
      <sz val="14"/>
      <color theme="1"/>
      <name val="Segoe UI"/>
      <family val="2"/>
      <scheme val="major"/>
    </font>
    <font>
      <sz val="11"/>
      <color theme="1"/>
      <name val="Segoe UI"/>
      <family val="2"/>
      <scheme val="major"/>
    </font>
    <font>
      <sz val="11"/>
      <name val="Segoe UI"/>
      <family val="2"/>
      <scheme val="major"/>
    </font>
    <font>
      <b/>
      <sz val="20"/>
      <color theme="3"/>
      <name val="Segoe UI"/>
      <family val="1"/>
      <scheme val="major"/>
    </font>
    <font>
      <b/>
      <sz val="16"/>
      <color theme="4"/>
      <name val="Segoe UI"/>
      <family val="1"/>
      <scheme val="major"/>
    </font>
    <font>
      <b/>
      <sz val="11"/>
      <name val="Segoe UI"/>
      <family val="1"/>
      <scheme val="major"/>
    </font>
    <font>
      <sz val="8"/>
      <name val="Segoe UI"/>
      <family val="2"/>
      <scheme val="minor"/>
    </font>
    <font>
      <sz val="11"/>
      <color theme="0" tint="-0.34998626667073579"/>
      <name val="Segoe UI"/>
      <family val="2"/>
      <scheme val="minor"/>
    </font>
    <font>
      <i/>
      <sz val="11"/>
      <name val="Segoe UI"/>
      <family val="2"/>
      <scheme val="minor"/>
    </font>
    <font>
      <b/>
      <sz val="11"/>
      <color theme="1" tint="0.499984740745262"/>
      <name val="Segoe UI"/>
      <family val="2"/>
      <scheme val="minor"/>
    </font>
    <font>
      <b/>
      <sz val="11"/>
      <color theme="3"/>
      <name val="Segoe UI"/>
      <family val="2"/>
      <scheme val="minor"/>
    </font>
    <font>
      <u/>
      <sz val="11"/>
      <color theme="10"/>
      <name val="Segoe UI"/>
      <family val="2"/>
      <scheme val="minor"/>
    </font>
    <font>
      <sz val="11"/>
      <color theme="0"/>
      <name val="Segoe UI"/>
      <family val="2"/>
      <scheme val="minor"/>
    </font>
    <font>
      <sz val="11"/>
      <color rgb="FFFF7C80"/>
      <name val="Segoe UI"/>
      <family val="2"/>
      <scheme val="minor"/>
    </font>
    <font>
      <sz val="11"/>
      <color theme="1"/>
      <name val="Calibri"/>
      <family val="2"/>
    </font>
    <font>
      <sz val="11"/>
      <color theme="3"/>
      <name val="Segoe UI"/>
      <family val="2"/>
      <scheme val="minor"/>
    </font>
    <font>
      <sz val="11"/>
      <color rgb="FF000000"/>
      <name val="Segoe UI"/>
      <family val="2"/>
      <scheme val="minor"/>
    </font>
    <font>
      <i/>
      <sz val="11"/>
      <color theme="1"/>
      <name val="Segoe UI"/>
      <family val="2"/>
      <scheme val="minor"/>
    </font>
    <font>
      <sz val="6.6"/>
      <color theme="1"/>
      <name val="Calibri"/>
      <family val="2"/>
    </font>
    <font>
      <sz val="11"/>
      <color rgb="FFC00000"/>
      <name val="Segoe UI"/>
      <family val="2"/>
      <scheme val="minor"/>
    </font>
    <font>
      <sz val="7.7"/>
      <color theme="1"/>
      <name val="Segoe UI"/>
      <family val="2"/>
      <scheme val="minor"/>
    </font>
    <font>
      <sz val="11"/>
      <color theme="0" tint="-4.9989318521683403E-2"/>
      <name val="Segoe UI"/>
      <family val="2"/>
      <scheme val="minor"/>
    </font>
    <font>
      <sz val="11"/>
      <color rgb="FFFF0000"/>
      <name val="Segoe UI"/>
      <family val="2"/>
      <scheme val="minor"/>
    </font>
    <font>
      <b/>
      <sz val="14"/>
      <color theme="4"/>
      <name val="Segoe UI"/>
      <family val="2"/>
      <scheme val="major"/>
    </font>
    <font>
      <b/>
      <sz val="14"/>
      <name val="Segoe UI"/>
      <family val="2"/>
      <scheme val="major"/>
    </font>
    <font>
      <b/>
      <sz val="12"/>
      <name val="Segoe UI"/>
      <family val="2"/>
      <scheme val="minor"/>
    </font>
    <font>
      <b/>
      <sz val="12"/>
      <name val="Segoe UI"/>
      <family val="2"/>
      <scheme val="major"/>
    </font>
    <font>
      <b/>
      <sz val="11"/>
      <color theme="1" tint="0.34998626667073579"/>
      <name val="Segoe UI"/>
      <family val="2"/>
      <scheme val="major"/>
    </font>
    <font>
      <b/>
      <sz val="11"/>
      <color rgb="FFFF0000"/>
      <name val="Segoe UI"/>
      <family val="2"/>
      <scheme val="major"/>
    </font>
    <font>
      <b/>
      <sz val="16"/>
      <color theme="3"/>
      <name val="Segoe UI"/>
      <family val="2"/>
      <scheme val="major"/>
    </font>
    <font>
      <b/>
      <sz val="16"/>
      <color theme="4"/>
      <name val="Segoe UI"/>
      <family val="2"/>
      <scheme val="major"/>
    </font>
    <font>
      <b/>
      <sz val="22"/>
      <color theme="4"/>
      <name val="Segoe UI"/>
      <family val="1"/>
      <scheme val="major"/>
    </font>
    <font>
      <b/>
      <sz val="20"/>
      <color theme="3"/>
      <name val="Segoe UI"/>
      <family val="2"/>
      <scheme val="major"/>
    </font>
    <font>
      <sz val="11"/>
      <name val="Calibri"/>
      <family val="2"/>
    </font>
    <font>
      <b/>
      <sz val="14"/>
      <name val="Segoe UI"/>
      <family val="2"/>
      <scheme val="minor"/>
    </font>
  </fonts>
  <fills count="3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4"/>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9B9B"/>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rgb="FFFFEDB3"/>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4" tint="-0.499984740745262"/>
        <bgColor indexed="64"/>
      </patternFill>
    </fill>
    <fill>
      <patternFill patternType="solid">
        <fgColor theme="0" tint="-0.14999847407452621"/>
        <bgColor indexed="64"/>
      </patternFill>
    </fill>
    <fill>
      <patternFill patternType="solid">
        <fgColor theme="8"/>
        <bgColor indexed="64"/>
      </patternFill>
    </fill>
    <fill>
      <patternFill patternType="solid">
        <fgColor theme="3"/>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6" tint="-0.249977111117893"/>
        <bgColor indexed="64"/>
      </patternFill>
    </fill>
    <fill>
      <patternFill patternType="solid">
        <fgColor theme="3" tint="-0.499984740745262"/>
        <bgColor indexed="64"/>
      </patternFill>
    </fill>
    <fill>
      <patternFill patternType="solid">
        <fgColor theme="3" tint="-0.249977111117893"/>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rgb="FFFFFFFF"/>
        <bgColor rgb="FF000000"/>
      </patternFill>
    </fill>
    <fill>
      <patternFill patternType="solid">
        <fgColor theme="2"/>
        <bgColor indexed="64"/>
      </patternFill>
    </fill>
    <fill>
      <patternFill patternType="solid">
        <fgColor rgb="FFA9D08E"/>
        <bgColor indexed="64"/>
      </patternFill>
    </fill>
    <fill>
      <patternFill patternType="solid">
        <fgColor theme="6" tint="-0.499984740745262"/>
        <bgColor indexed="64"/>
      </patternFill>
    </fill>
    <fill>
      <patternFill patternType="solid">
        <fgColor rgb="FF00000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double">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diagonal/>
    </border>
    <border>
      <left style="dotted">
        <color indexed="64"/>
      </left>
      <right/>
      <top/>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right/>
      <top style="thin">
        <color theme="0" tint="-0.499984740745262"/>
      </top>
      <bottom/>
      <diagonal/>
    </border>
    <border>
      <left/>
      <right/>
      <top/>
      <bottom style="thin">
        <color theme="0" tint="-0.499984740745262"/>
      </bottom>
      <diagonal/>
    </border>
    <border>
      <left style="thin">
        <color indexed="64"/>
      </left>
      <right style="thin">
        <color indexed="64"/>
      </right>
      <top style="thin">
        <color indexed="64"/>
      </top>
      <bottom style="medium">
        <color indexed="64"/>
      </bottom>
      <diagonal/>
    </border>
    <border>
      <left style="medium">
        <color theme="3"/>
      </left>
      <right/>
      <top style="medium">
        <color theme="3"/>
      </top>
      <bottom/>
      <diagonal/>
    </border>
    <border>
      <left/>
      <right/>
      <top style="medium">
        <color theme="3"/>
      </top>
      <bottom/>
      <diagonal/>
    </border>
    <border>
      <left/>
      <right style="medium">
        <color theme="3"/>
      </right>
      <top style="medium">
        <color theme="3"/>
      </top>
      <bottom/>
      <diagonal/>
    </border>
    <border>
      <left style="medium">
        <color theme="3"/>
      </left>
      <right/>
      <top/>
      <bottom/>
      <diagonal/>
    </border>
    <border>
      <left/>
      <right style="medium">
        <color theme="3"/>
      </right>
      <top/>
      <bottom/>
      <diagonal/>
    </border>
    <border>
      <left style="medium">
        <color theme="3"/>
      </left>
      <right/>
      <top/>
      <bottom style="medium">
        <color theme="3"/>
      </bottom>
      <diagonal/>
    </border>
    <border>
      <left/>
      <right/>
      <top/>
      <bottom style="medium">
        <color theme="3"/>
      </bottom>
      <diagonal/>
    </border>
    <border>
      <left/>
      <right style="medium">
        <color theme="3"/>
      </right>
      <top/>
      <bottom style="medium">
        <color theme="3"/>
      </bottom>
      <diagonal/>
    </border>
    <border>
      <left style="medium">
        <color theme="3"/>
      </left>
      <right style="thin">
        <color indexed="64"/>
      </right>
      <top/>
      <bottom style="thin">
        <color indexed="64"/>
      </bottom>
      <diagonal/>
    </border>
    <border>
      <left style="medium">
        <color theme="3"/>
      </left>
      <right style="thin">
        <color indexed="64"/>
      </right>
      <top style="thin">
        <color indexed="64"/>
      </top>
      <bottom style="thin">
        <color indexed="64"/>
      </bottom>
      <diagonal/>
    </border>
    <border>
      <left style="medium">
        <color theme="3"/>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22" fillId="0" borderId="0" applyNumberFormat="0" applyFill="0" applyBorder="0" applyAlignment="0" applyProtection="0"/>
    <xf numFmtId="43" fontId="1" fillId="0" borderId="0" applyFont="0" applyFill="0" applyBorder="0" applyAlignment="0" applyProtection="0"/>
  </cellStyleXfs>
  <cellXfs count="664">
    <xf numFmtId="0" fontId="0" fillId="0" borderId="0" xfId="0"/>
    <xf numFmtId="0" fontId="0" fillId="0" borderId="0" xfId="0" applyAlignment="1">
      <alignment horizontal="left"/>
    </xf>
    <xf numFmtId="0" fontId="0" fillId="0" borderId="0" xfId="0" applyAlignment="1">
      <alignment horizontal="center"/>
    </xf>
    <xf numFmtId="0" fontId="2" fillId="0" borderId="0" xfId="0" applyFont="1"/>
    <xf numFmtId="0" fontId="2" fillId="0" borderId="0" xfId="0" applyFont="1" applyAlignment="1">
      <alignment horizontal="left"/>
    </xf>
    <xf numFmtId="0" fontId="3" fillId="0" borderId="0" xfId="0" applyFont="1"/>
    <xf numFmtId="0" fontId="0" fillId="0" borderId="1" xfId="0" applyBorder="1" applyAlignment="1">
      <alignment horizontal="left"/>
    </xf>
    <xf numFmtId="44" fontId="0" fillId="0" borderId="1" xfId="0" applyNumberFormat="1" applyBorder="1" applyAlignment="1">
      <alignment horizontal="center"/>
    </xf>
    <xf numFmtId="3" fontId="0" fillId="0" borderId="1" xfId="0" applyNumberFormat="1" applyBorder="1" applyAlignment="1">
      <alignment horizontal="center"/>
    </xf>
    <xf numFmtId="0" fontId="3" fillId="0" borderId="0" xfId="0" applyFont="1" applyAlignment="1">
      <alignment horizontal="left"/>
    </xf>
    <xf numFmtId="0" fontId="0" fillId="3" borderId="0" xfId="0" applyFill="1" applyAlignment="1">
      <alignment horizontal="left"/>
    </xf>
    <xf numFmtId="0" fontId="0" fillId="3" borderId="0" xfId="0" applyFill="1"/>
    <xf numFmtId="0" fontId="8" fillId="0" borderId="0" xfId="0" applyFont="1" applyAlignment="1">
      <alignment vertical="top" wrapText="1"/>
    </xf>
    <xf numFmtId="1" fontId="10" fillId="0" borderId="0" xfId="0" applyNumberFormat="1" applyFont="1" applyAlignment="1">
      <alignment horizontal="left"/>
    </xf>
    <xf numFmtId="0" fontId="10" fillId="3" borderId="0" xfId="0" applyFont="1" applyFill="1" applyAlignment="1">
      <alignment horizontal="left"/>
    </xf>
    <xf numFmtId="0" fontId="10" fillId="0" borderId="0" xfId="0" applyFont="1" applyAlignment="1">
      <alignment horizontal="left"/>
    </xf>
    <xf numFmtId="0" fontId="15" fillId="0" borderId="0" xfId="0" applyFont="1" applyAlignment="1">
      <alignment horizontal="left"/>
    </xf>
    <xf numFmtId="0" fontId="16" fillId="0" borderId="0" xfId="0" applyFont="1" applyAlignment="1">
      <alignment horizontal="left"/>
    </xf>
    <xf numFmtId="0" fontId="7" fillId="0" borderId="0" xfId="0" applyFont="1" applyAlignment="1">
      <alignment horizontal="left" vertical="top"/>
    </xf>
    <xf numFmtId="0" fontId="14" fillId="0" borderId="0" xfId="0" applyFont="1" applyAlignment="1">
      <alignment horizontal="left" vertical="top"/>
    </xf>
    <xf numFmtId="0" fontId="18" fillId="3" borderId="0" xfId="0" applyFont="1" applyFill="1" applyAlignment="1">
      <alignment wrapText="1"/>
    </xf>
    <xf numFmtId="0" fontId="6" fillId="0" borderId="0" xfId="0" applyFont="1"/>
    <xf numFmtId="0" fontId="4" fillId="0" borderId="0" xfId="0" applyFont="1" applyAlignment="1">
      <alignment horizontal="left" vertical="top"/>
    </xf>
    <xf numFmtId="0" fontId="4" fillId="6" borderId="5" xfId="0" applyFont="1" applyFill="1" applyBorder="1" applyAlignment="1">
      <alignment horizontal="left" wrapText="1"/>
    </xf>
    <xf numFmtId="1" fontId="4" fillId="6" borderId="5" xfId="0" applyNumberFormat="1" applyFont="1" applyFill="1" applyBorder="1" applyAlignment="1">
      <alignment horizontal="left" wrapText="1"/>
    </xf>
    <xf numFmtId="0" fontId="4" fillId="7" borderId="0" xfId="0" applyFont="1" applyFill="1" applyAlignment="1">
      <alignment horizontal="left" vertical="top"/>
    </xf>
    <xf numFmtId="0" fontId="4" fillId="0" borderId="0" xfId="0" applyFont="1" applyAlignment="1">
      <alignment horizontal="left" wrapText="1"/>
    </xf>
    <xf numFmtId="0" fontId="7" fillId="0" borderId="0" xfId="0" applyFont="1" applyAlignment="1">
      <alignment horizontal="left"/>
    </xf>
    <xf numFmtId="0" fontId="9" fillId="0" borderId="0" xfId="0" applyFont="1" applyAlignment="1">
      <alignment horizontal="left"/>
    </xf>
    <xf numFmtId="0" fontId="4" fillId="0" borderId="0" xfId="0" applyFont="1" applyAlignment="1">
      <alignment horizontal="left"/>
    </xf>
    <xf numFmtId="0" fontId="7" fillId="6" borderId="0" xfId="0" applyFont="1" applyFill="1" applyAlignment="1">
      <alignment horizontal="left"/>
    </xf>
    <xf numFmtId="0" fontId="7" fillId="6" borderId="0" xfId="0" applyFont="1" applyFill="1" applyAlignment="1">
      <alignment horizontal="left" vertical="top"/>
    </xf>
    <xf numFmtId="0" fontId="4" fillId="8" borderId="0" xfId="0" applyFont="1" applyFill="1" applyAlignment="1">
      <alignment horizontal="left"/>
    </xf>
    <xf numFmtId="0" fontId="4" fillId="0" borderId="0" xfId="0" applyFont="1" applyAlignment="1">
      <alignment horizontal="left" vertical="center"/>
    </xf>
    <xf numFmtId="0" fontId="6" fillId="0" borderId="0" xfId="0" applyFont="1" applyAlignment="1">
      <alignment horizontal="left" vertical="center"/>
    </xf>
    <xf numFmtId="0" fontId="20" fillId="0" borderId="0" xfId="0" applyFont="1" applyAlignment="1">
      <alignment horizontal="left" wrapText="1"/>
    </xf>
    <xf numFmtId="0" fontId="20" fillId="0" borderId="0" xfId="0" applyFont="1" applyAlignment="1">
      <alignment horizontal="left"/>
    </xf>
    <xf numFmtId="0" fontId="9" fillId="2" borderId="0" xfId="0" applyFont="1" applyFill="1" applyAlignment="1">
      <alignment horizontal="left" wrapText="1"/>
    </xf>
    <xf numFmtId="0" fontId="9" fillId="3" borderId="0" xfId="0" applyFont="1" applyFill="1" applyAlignment="1">
      <alignment horizontal="left"/>
    </xf>
    <xf numFmtId="1" fontId="9" fillId="0" borderId="0" xfId="0" applyNumberFormat="1" applyFont="1" applyAlignment="1">
      <alignment horizontal="left"/>
    </xf>
    <xf numFmtId="1" fontId="4" fillId="14" borderId="5" xfId="0" applyNumberFormat="1" applyFont="1" applyFill="1" applyBorder="1" applyAlignment="1">
      <alignment horizontal="left" wrapText="1"/>
    </xf>
    <xf numFmtId="0" fontId="6" fillId="3" borderId="0" xfId="0" applyFont="1" applyFill="1" applyAlignment="1">
      <alignment horizontal="left"/>
    </xf>
    <xf numFmtId="0" fontId="0" fillId="0" borderId="0" xfId="0" applyAlignment="1">
      <alignment wrapText="1"/>
    </xf>
    <xf numFmtId="0" fontId="0" fillId="3" borderId="0" xfId="0" applyFill="1" applyAlignment="1">
      <alignment wrapText="1"/>
    </xf>
    <xf numFmtId="0" fontId="6" fillId="0" borderId="0" xfId="0" applyFont="1" applyAlignment="1">
      <alignment horizontal="left"/>
    </xf>
    <xf numFmtId="0" fontId="4" fillId="6" borderId="0" xfId="0" applyFont="1" applyFill="1" applyAlignment="1">
      <alignment horizontal="left"/>
    </xf>
    <xf numFmtId="0" fontId="4" fillId="3" borderId="0" xfId="0" applyFont="1" applyFill="1" applyAlignment="1">
      <alignment horizontal="left" wrapText="1"/>
    </xf>
    <xf numFmtId="0" fontId="0" fillId="0" borderId="3" xfId="0" applyBorder="1" applyAlignment="1">
      <alignment horizontal="left"/>
    </xf>
    <xf numFmtId="0" fontId="0" fillId="0" borderId="3" xfId="0" applyBorder="1" applyAlignment="1">
      <alignment horizontal="left" wrapText="1"/>
    </xf>
    <xf numFmtId="0" fontId="0" fillId="0" borderId="9" xfId="0" applyBorder="1" applyAlignment="1">
      <alignment horizontal="left" wrapText="1"/>
    </xf>
    <xf numFmtId="0" fontId="3" fillId="0" borderId="0" xfId="0" applyFont="1" applyAlignment="1">
      <alignment horizontal="left" vertical="top"/>
    </xf>
    <xf numFmtId="0" fontId="4" fillId="11" borderId="0" xfId="0" applyFont="1" applyFill="1"/>
    <xf numFmtId="9" fontId="0" fillId="0" borderId="1" xfId="2" applyFont="1" applyBorder="1" applyAlignment="1" applyProtection="1">
      <alignment horizontal="left"/>
      <protection locked="0"/>
    </xf>
    <xf numFmtId="0" fontId="6" fillId="6" borderId="2" xfId="0" applyFont="1" applyFill="1" applyBorder="1" applyAlignment="1">
      <alignment horizontal="left" wrapText="1"/>
    </xf>
    <xf numFmtId="0" fontId="6" fillId="6" borderId="2" xfId="0" applyFont="1" applyFill="1" applyBorder="1" applyAlignment="1">
      <alignment horizontal="left" wrapText="1" indent="2"/>
    </xf>
    <xf numFmtId="0" fontId="6" fillId="6" borderId="7" xfId="0" applyFont="1" applyFill="1" applyBorder="1" applyAlignment="1">
      <alignment horizontal="left" wrapText="1"/>
    </xf>
    <xf numFmtId="0" fontId="0" fillId="0" borderId="9" xfId="1" applyNumberFormat="1" applyFont="1" applyFill="1" applyBorder="1" applyAlignment="1" applyProtection="1">
      <alignment horizontal="left"/>
      <protection locked="0"/>
    </xf>
    <xf numFmtId="0" fontId="2" fillId="10" borderId="4" xfId="0" applyFont="1" applyFill="1" applyBorder="1" applyAlignment="1">
      <alignment horizontal="left"/>
    </xf>
    <xf numFmtId="0" fontId="2" fillId="10" borderId="5" xfId="0" applyFont="1" applyFill="1" applyBorder="1" applyAlignment="1">
      <alignment horizontal="left"/>
    </xf>
    <xf numFmtId="0" fontId="4" fillId="11" borderId="6" xfId="0" applyFont="1" applyFill="1" applyBorder="1" applyAlignment="1">
      <alignment horizontal="left" wrapText="1"/>
    </xf>
    <xf numFmtId="0" fontId="6" fillId="6" borderId="7" xfId="0" applyFont="1" applyFill="1" applyBorder="1" applyAlignment="1">
      <alignment horizontal="left" wrapText="1" indent="2"/>
    </xf>
    <xf numFmtId="0" fontId="4" fillId="0" borderId="6" xfId="0" applyFont="1" applyBorder="1" applyAlignment="1">
      <alignment horizontal="left" wrapText="1"/>
    </xf>
    <xf numFmtId="0" fontId="0" fillId="0" borderId="3" xfId="1" applyNumberFormat="1" applyFont="1" applyBorder="1" applyAlignment="1" applyProtection="1">
      <alignment horizontal="left"/>
      <protection locked="0"/>
    </xf>
    <xf numFmtId="0" fontId="9" fillId="0" borderId="0" xfId="0" applyFont="1" applyAlignment="1">
      <alignment horizontal="left" wrapText="1"/>
    </xf>
    <xf numFmtId="0" fontId="11" fillId="0" borderId="0" xfId="0" applyFont="1" applyAlignment="1">
      <alignment horizontal="left" wrapText="1"/>
    </xf>
    <xf numFmtId="1" fontId="12" fillId="0" borderId="0" xfId="0" applyNumberFormat="1" applyFont="1" applyAlignment="1">
      <alignment horizontal="left" wrapText="1"/>
    </xf>
    <xf numFmtId="0" fontId="4" fillId="0" borderId="0" xfId="0" applyFont="1" applyAlignment="1">
      <alignment horizontal="left" vertical="center" wrapText="1"/>
    </xf>
    <xf numFmtId="0" fontId="6" fillId="0" borderId="0" xfId="0" applyFont="1" applyAlignment="1">
      <alignment horizontal="left" vertical="center" wrapText="1"/>
    </xf>
    <xf numFmtId="0" fontId="12" fillId="3" borderId="0" xfId="0" applyFont="1" applyFill="1" applyAlignment="1">
      <alignment horizontal="left" wrapText="1"/>
    </xf>
    <xf numFmtId="1" fontId="24" fillId="8" borderId="0" xfId="0" applyNumberFormat="1" applyFont="1" applyFill="1" applyAlignment="1">
      <alignment horizontal="left"/>
    </xf>
    <xf numFmtId="0" fontId="23" fillId="5" borderId="1" xfId="0" applyFont="1" applyFill="1" applyBorder="1" applyAlignment="1">
      <alignment horizontal="center" wrapText="1"/>
    </xf>
    <xf numFmtId="0" fontId="23" fillId="5" borderId="9" xfId="0" applyFont="1" applyFill="1" applyBorder="1" applyAlignment="1">
      <alignment horizontal="center" wrapText="1"/>
    </xf>
    <xf numFmtId="0" fontId="7" fillId="19" borderId="1" xfId="0" applyFont="1" applyFill="1" applyBorder="1" applyAlignment="1">
      <alignment horizontal="center" vertical="center" wrapText="1"/>
    </xf>
    <xf numFmtId="0" fontId="7" fillId="19" borderId="11" xfId="0" applyFont="1" applyFill="1" applyBorder="1" applyAlignment="1">
      <alignment horizontal="center" vertical="center" wrapText="1"/>
    </xf>
    <xf numFmtId="0" fontId="23" fillId="17" borderId="10" xfId="0" applyFont="1" applyFill="1" applyBorder="1" applyAlignment="1">
      <alignment horizontal="center" vertical="center" wrapText="1"/>
    </xf>
    <xf numFmtId="0" fontId="23" fillId="17" borderId="1" xfId="0" applyFont="1" applyFill="1" applyBorder="1" applyAlignment="1">
      <alignment horizontal="center" vertical="center" wrapText="1"/>
    </xf>
    <xf numFmtId="0" fontId="2" fillId="16" borderId="7" xfId="0" applyFont="1" applyFill="1" applyBorder="1" applyAlignment="1">
      <alignment horizontal="left" wrapText="1"/>
    </xf>
    <xf numFmtId="0" fontId="23" fillId="18" borderId="10" xfId="0" applyFont="1" applyFill="1" applyBorder="1" applyAlignment="1">
      <alignment horizontal="center" vertical="center" wrapText="1"/>
    </xf>
    <xf numFmtId="0" fontId="23" fillId="18" borderId="1" xfId="0" applyFont="1" applyFill="1" applyBorder="1" applyAlignment="1">
      <alignment horizontal="center" vertical="center" wrapText="1"/>
    </xf>
    <xf numFmtId="0" fontId="7" fillId="23" borderId="1" xfId="0" applyFont="1" applyFill="1" applyBorder="1" applyAlignment="1">
      <alignment horizontal="center" vertical="center" wrapText="1"/>
    </xf>
    <xf numFmtId="0" fontId="7" fillId="23" borderId="1" xfId="0" applyFont="1" applyFill="1" applyBorder="1" applyAlignment="1">
      <alignment horizontal="center" wrapText="1"/>
    </xf>
    <xf numFmtId="0" fontId="23" fillId="18" borderId="10" xfId="0" applyFont="1" applyFill="1" applyBorder="1" applyAlignment="1">
      <alignment horizontal="center" wrapText="1"/>
    </xf>
    <xf numFmtId="0" fontId="23" fillId="18" borderId="1" xfId="0" applyFont="1" applyFill="1" applyBorder="1" applyAlignment="1">
      <alignment horizontal="center" wrapText="1"/>
    </xf>
    <xf numFmtId="0" fontId="23" fillId="18" borderId="11" xfId="0" applyFont="1" applyFill="1" applyBorder="1" applyAlignment="1">
      <alignment horizontal="center" wrapText="1"/>
    </xf>
    <xf numFmtId="0" fontId="23" fillId="17" borderId="10" xfId="0" applyFont="1" applyFill="1" applyBorder="1" applyAlignment="1">
      <alignment horizontal="center" wrapText="1"/>
    </xf>
    <xf numFmtId="0" fontId="23" fillId="17" borderId="1" xfId="0" applyFont="1" applyFill="1" applyBorder="1" applyAlignment="1">
      <alignment horizontal="center" wrapText="1"/>
    </xf>
    <xf numFmtId="0" fontId="23" fillId="17" borderId="11" xfId="0" applyFont="1" applyFill="1" applyBorder="1" applyAlignment="1">
      <alignment horizontal="center" wrapText="1"/>
    </xf>
    <xf numFmtId="0" fontId="7" fillId="19" borderId="1" xfId="0" applyFont="1" applyFill="1" applyBorder="1" applyAlignment="1">
      <alignment horizontal="center" wrapText="1"/>
    </xf>
    <xf numFmtId="44" fontId="0" fillId="0" borderId="1" xfId="1" applyFont="1" applyFill="1" applyBorder="1" applyAlignment="1">
      <alignment horizontal="center" wrapText="1"/>
    </xf>
    <xf numFmtId="3" fontId="0" fillId="0" borderId="10" xfId="0" applyNumberFormat="1" applyBorder="1" applyAlignment="1">
      <alignment horizontal="center"/>
    </xf>
    <xf numFmtId="44" fontId="0" fillId="0" borderId="11" xfId="0" applyNumberFormat="1" applyBorder="1" applyAlignment="1">
      <alignment horizontal="center"/>
    </xf>
    <xf numFmtId="164" fontId="0" fillId="0" borderId="1" xfId="2" applyNumberFormat="1" applyFont="1" applyBorder="1" applyAlignment="1">
      <alignment horizontal="center"/>
    </xf>
    <xf numFmtId="0" fontId="7" fillId="4" borderId="4" xfId="0" applyFont="1" applyFill="1" applyBorder="1" applyAlignment="1">
      <alignment horizontal="left" wrapText="1"/>
    </xf>
    <xf numFmtId="0" fontId="7" fillId="17" borderId="5" xfId="0" applyFont="1" applyFill="1" applyBorder="1" applyAlignment="1">
      <alignment horizontal="center" wrapText="1"/>
    </xf>
    <xf numFmtId="0" fontId="7" fillId="18" borderId="5" xfId="0" applyFont="1" applyFill="1" applyBorder="1" applyAlignment="1">
      <alignment horizontal="center" wrapText="1"/>
    </xf>
    <xf numFmtId="0" fontId="7" fillId="5" borderId="6" xfId="0" applyFont="1" applyFill="1" applyBorder="1" applyAlignment="1">
      <alignment horizontal="center" wrapText="1"/>
    </xf>
    <xf numFmtId="3" fontId="0" fillId="0" borderId="1" xfId="0" applyNumberFormat="1" applyBorder="1" applyAlignment="1">
      <alignment horizontal="center" wrapText="1"/>
    </xf>
    <xf numFmtId="164" fontId="0" fillId="0" borderId="3" xfId="2" applyNumberFormat="1" applyFont="1" applyBorder="1" applyAlignment="1">
      <alignment horizontal="center" wrapText="1"/>
    </xf>
    <xf numFmtId="3" fontId="0" fillId="0" borderId="18" xfId="0" applyNumberFormat="1" applyBorder="1" applyAlignment="1">
      <alignment horizontal="center" wrapText="1"/>
    </xf>
    <xf numFmtId="3" fontId="2" fillId="16" borderId="20" xfId="0" applyNumberFormat="1" applyFont="1" applyFill="1" applyBorder="1" applyAlignment="1">
      <alignment horizontal="center" wrapText="1"/>
    </xf>
    <xf numFmtId="9" fontId="0" fillId="0" borderId="3" xfId="2" applyFont="1" applyBorder="1" applyAlignment="1">
      <alignment horizontal="center" wrapText="1"/>
    </xf>
    <xf numFmtId="44" fontId="2" fillId="16" borderId="20" xfId="1" applyFont="1" applyFill="1" applyBorder="1" applyAlignment="1">
      <alignment horizontal="center" wrapText="1"/>
    </xf>
    <xf numFmtId="164" fontId="2" fillId="16" borderId="9" xfId="2" applyNumberFormat="1" applyFont="1" applyFill="1" applyBorder="1" applyAlignment="1">
      <alignment horizontal="center" wrapText="1"/>
    </xf>
    <xf numFmtId="0" fontId="7" fillId="4" borderId="4" xfId="0" applyFont="1" applyFill="1" applyBorder="1" applyAlignment="1">
      <alignment wrapText="1"/>
    </xf>
    <xf numFmtId="0" fontId="7" fillId="4" borderId="19" xfId="0" applyFont="1" applyFill="1" applyBorder="1" applyAlignment="1">
      <alignment wrapText="1"/>
    </xf>
    <xf numFmtId="0" fontId="7" fillId="18" borderId="20" xfId="0" applyFont="1" applyFill="1" applyBorder="1" applyAlignment="1">
      <alignment horizontal="center" wrapText="1"/>
    </xf>
    <xf numFmtId="0" fontId="7" fillId="5" borderId="13" xfId="0" applyFont="1" applyFill="1" applyBorder="1" applyAlignment="1">
      <alignment horizontal="center" wrapText="1"/>
    </xf>
    <xf numFmtId="0" fontId="4" fillId="16" borderId="2" xfId="0" applyFont="1" applyFill="1" applyBorder="1" applyAlignment="1">
      <alignment wrapText="1"/>
    </xf>
    <xf numFmtId="3" fontId="0" fillId="0" borderId="0" xfId="0" applyNumberFormat="1" applyAlignment="1">
      <alignment horizontal="center"/>
    </xf>
    <xf numFmtId="44" fontId="0" fillId="0" borderId="0" xfId="0" applyNumberFormat="1" applyAlignment="1">
      <alignment horizontal="center"/>
    </xf>
    <xf numFmtId="164" fontId="0" fillId="0" borderId="0" xfId="2" applyNumberFormat="1" applyFont="1" applyFill="1" applyBorder="1" applyAlignment="1">
      <alignment horizontal="center"/>
    </xf>
    <xf numFmtId="0" fontId="4" fillId="24" borderId="4" xfId="0" applyFont="1" applyFill="1" applyBorder="1" applyAlignment="1">
      <alignment horizontal="left" wrapText="1"/>
    </xf>
    <xf numFmtId="0" fontId="4" fillId="24" borderId="5" xfId="0" applyFont="1" applyFill="1" applyBorder="1" applyAlignment="1">
      <alignment horizontal="left" wrapText="1"/>
    </xf>
    <xf numFmtId="0" fontId="4" fillId="24" borderId="0" xfId="0" applyFont="1" applyFill="1"/>
    <xf numFmtId="0" fontId="7" fillId="24" borderId="0" xfId="0" applyFont="1" applyFill="1" applyAlignment="1">
      <alignment horizontal="left"/>
    </xf>
    <xf numFmtId="0" fontId="6" fillId="24" borderId="0" xfId="0" applyFont="1" applyFill="1" applyAlignment="1">
      <alignment horizontal="left"/>
    </xf>
    <xf numFmtId="1" fontId="6" fillId="24" borderId="0" xfId="0" applyNumberFormat="1" applyFont="1" applyFill="1" applyAlignment="1">
      <alignment horizontal="left"/>
    </xf>
    <xf numFmtId="0" fontId="23" fillId="17" borderId="8" xfId="0" applyFont="1" applyFill="1" applyBorder="1" applyAlignment="1">
      <alignment horizontal="center" wrapText="1"/>
    </xf>
    <xf numFmtId="0" fontId="23" fillId="18" borderId="8" xfId="0" applyFont="1" applyFill="1" applyBorder="1" applyAlignment="1">
      <alignment horizontal="center" wrapText="1"/>
    </xf>
    <xf numFmtId="44" fontId="0" fillId="0" borderId="5" xfId="0" applyNumberFormat="1" applyBorder="1" applyAlignment="1">
      <alignment horizontal="center"/>
    </xf>
    <xf numFmtId="164" fontId="0" fillId="0" borderId="5" xfId="2" applyNumberFormat="1" applyFont="1" applyBorder="1" applyAlignment="1">
      <alignment horizontal="center"/>
    </xf>
    <xf numFmtId="0" fontId="0" fillId="0" borderId="2" xfId="0" applyBorder="1" applyAlignment="1">
      <alignment horizontal="left" wrapText="1" indent="2"/>
    </xf>
    <xf numFmtId="0" fontId="7" fillId="3" borderId="0" xfId="0" applyFont="1" applyFill="1"/>
    <xf numFmtId="44" fontId="2" fillId="3" borderId="1" xfId="0" applyNumberFormat="1" applyFont="1" applyFill="1" applyBorder="1" applyAlignment="1">
      <alignment horizontal="center"/>
    </xf>
    <xf numFmtId="44" fontId="2" fillId="13" borderId="1" xfId="0" applyNumberFormat="1" applyFont="1" applyFill="1" applyBorder="1" applyAlignment="1">
      <alignment horizontal="center"/>
    </xf>
    <xf numFmtId="44" fontId="0" fillId="0" borderId="0" xfId="1" applyFont="1"/>
    <xf numFmtId="0" fontId="4" fillId="7" borderId="5" xfId="0" applyFont="1" applyFill="1" applyBorder="1" applyAlignment="1" applyProtection="1">
      <alignment horizontal="left" wrapText="1"/>
      <protection locked="0"/>
    </xf>
    <xf numFmtId="0" fontId="4" fillId="7" borderId="6" xfId="0" applyFont="1" applyFill="1" applyBorder="1" applyAlignment="1" applyProtection="1">
      <alignment horizontal="left" wrapText="1"/>
      <protection locked="0"/>
    </xf>
    <xf numFmtId="44" fontId="4" fillId="16" borderId="6" xfId="0" applyNumberFormat="1" applyFont="1" applyFill="1" applyBorder="1" applyAlignment="1">
      <alignment horizontal="center" wrapText="1"/>
    </xf>
    <xf numFmtId="0" fontId="0" fillId="0" borderId="2" xfId="0" applyBorder="1"/>
    <xf numFmtId="3" fontId="0" fillId="0" borderId="1" xfId="0" applyNumberFormat="1" applyBorder="1"/>
    <xf numFmtId="3" fontId="0" fillId="0" borderId="12" xfId="0" applyNumberFormat="1" applyBorder="1"/>
    <xf numFmtId="0" fontId="0" fillId="0" borderId="2" xfId="0" applyBorder="1" applyAlignment="1">
      <alignment horizontal="left"/>
    </xf>
    <xf numFmtId="44" fontId="4" fillId="16" borderId="6" xfId="1" applyFont="1" applyFill="1" applyBorder="1" applyAlignment="1">
      <alignment horizontal="center"/>
    </xf>
    <xf numFmtId="44" fontId="4" fillId="16" borderId="6" xfId="0" applyNumberFormat="1" applyFont="1" applyFill="1" applyBorder="1" applyAlignment="1">
      <alignment horizontal="center"/>
    </xf>
    <xf numFmtId="0" fontId="4" fillId="16" borderId="7" xfId="0" applyFont="1" applyFill="1" applyBorder="1"/>
    <xf numFmtId="44" fontId="4" fillId="16" borderId="9" xfId="1" applyFont="1" applyFill="1" applyBorder="1" applyAlignment="1">
      <alignment horizontal="center"/>
    </xf>
    <xf numFmtId="44" fontId="4" fillId="16" borderId="9" xfId="0" applyNumberFormat="1" applyFont="1" applyFill="1" applyBorder="1" applyAlignment="1">
      <alignment horizontal="center"/>
    </xf>
    <xf numFmtId="0" fontId="7" fillId="4" borderId="19" xfId="0" applyFont="1" applyFill="1" applyBorder="1"/>
    <xf numFmtId="0" fontId="7" fillId="17" borderId="20" xfId="0" applyFont="1" applyFill="1" applyBorder="1" applyAlignment="1">
      <alignment horizontal="center"/>
    </xf>
    <xf numFmtId="0" fontId="7" fillId="18" borderId="20" xfId="0" applyFont="1" applyFill="1" applyBorder="1" applyAlignment="1">
      <alignment horizontal="center"/>
    </xf>
    <xf numFmtId="0" fontId="7" fillId="5" borderId="13" xfId="0" applyFont="1" applyFill="1" applyBorder="1" applyAlignment="1">
      <alignment horizontal="center"/>
    </xf>
    <xf numFmtId="164" fontId="0" fillId="0" borderId="0" xfId="0" applyNumberFormat="1"/>
    <xf numFmtId="44" fontId="0" fillId="0" borderId="0" xfId="0" applyNumberFormat="1"/>
    <xf numFmtId="3" fontId="4" fillId="3" borderId="10" xfId="0" applyNumberFormat="1"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xf>
    <xf numFmtId="3" fontId="2" fillId="3" borderId="1" xfId="0" applyNumberFormat="1" applyFont="1" applyFill="1" applyBorder="1" applyAlignment="1">
      <alignment horizontal="center" vertical="center"/>
    </xf>
    <xf numFmtId="0" fontId="2" fillId="3" borderId="0" xfId="0" applyFont="1" applyFill="1"/>
    <xf numFmtId="3" fontId="2" fillId="3" borderId="10" xfId="0" applyNumberFormat="1" applyFont="1" applyFill="1" applyBorder="1" applyAlignment="1">
      <alignment horizontal="center" vertical="center"/>
    </xf>
    <xf numFmtId="0" fontId="2" fillId="3" borderId="2" xfId="0" applyFont="1" applyFill="1" applyBorder="1" applyAlignment="1">
      <alignment wrapText="1"/>
    </xf>
    <xf numFmtId="3" fontId="2" fillId="3" borderId="1" xfId="0" applyNumberFormat="1" applyFont="1" applyFill="1" applyBorder="1" applyAlignment="1">
      <alignment horizontal="center" wrapText="1"/>
    </xf>
    <xf numFmtId="164" fontId="2" fillId="3" borderId="3" xfId="2" applyNumberFormat="1" applyFont="1" applyFill="1" applyBorder="1" applyAlignment="1">
      <alignment horizontal="center" wrapText="1"/>
    </xf>
    <xf numFmtId="3" fontId="2" fillId="3" borderId="5" xfId="0" applyNumberFormat="1" applyFont="1" applyFill="1" applyBorder="1" applyAlignment="1">
      <alignment horizontal="center" wrapText="1"/>
    </xf>
    <xf numFmtId="44" fontId="2" fillId="3" borderId="1" xfId="1" applyFont="1" applyFill="1" applyBorder="1" applyAlignment="1">
      <alignment horizontal="center" wrapText="1"/>
    </xf>
    <xf numFmtId="9" fontId="2" fillId="3" borderId="3" xfId="2" applyFont="1" applyFill="1" applyBorder="1" applyAlignment="1">
      <alignment horizontal="center" wrapText="1"/>
    </xf>
    <xf numFmtId="3" fontId="0" fillId="0" borderId="2" xfId="0" applyNumberFormat="1" applyBorder="1" applyAlignment="1">
      <alignment horizontal="center"/>
    </xf>
    <xf numFmtId="3" fontId="2" fillId="3" borderId="2" xfId="0" applyNumberFormat="1" applyFont="1" applyFill="1" applyBorder="1" applyAlignment="1">
      <alignment horizontal="center"/>
    </xf>
    <xf numFmtId="3" fontId="2" fillId="3" borderId="10" xfId="0" applyNumberFormat="1" applyFont="1" applyFill="1" applyBorder="1" applyAlignment="1">
      <alignment horizontal="center"/>
    </xf>
    <xf numFmtId="44" fontId="0" fillId="0" borderId="10" xfId="1" applyFont="1" applyBorder="1" applyAlignment="1">
      <alignment horizontal="center"/>
    </xf>
    <xf numFmtId="44" fontId="0" fillId="0" borderId="11" xfId="1" applyFont="1" applyBorder="1" applyAlignment="1">
      <alignment horizontal="center"/>
    </xf>
    <xf numFmtId="44" fontId="0" fillId="0" borderId="10" xfId="1" applyFont="1" applyFill="1" applyBorder="1" applyAlignment="1">
      <alignment horizontal="center"/>
    </xf>
    <xf numFmtId="44" fontId="0" fillId="0" borderId="1" xfId="1" applyFont="1" applyFill="1" applyBorder="1" applyAlignment="1">
      <alignment horizontal="center"/>
    </xf>
    <xf numFmtId="44" fontId="0" fillId="0" borderId="1" xfId="1" applyFont="1" applyBorder="1" applyAlignment="1">
      <alignment horizontal="center"/>
    </xf>
    <xf numFmtId="3" fontId="4" fillId="3" borderId="11" xfId="4" applyNumberFormat="1" applyFont="1" applyFill="1" applyBorder="1" applyAlignment="1">
      <alignment horizontal="center" vertical="center" wrapText="1"/>
    </xf>
    <xf numFmtId="3" fontId="6" fillId="3" borderId="11" xfId="4" applyNumberFormat="1" applyFont="1" applyFill="1" applyBorder="1" applyAlignment="1">
      <alignment horizontal="center" vertical="center" wrapText="1"/>
    </xf>
    <xf numFmtId="9" fontId="0" fillId="0" borderId="1" xfId="2" applyFont="1" applyBorder="1" applyAlignment="1">
      <alignment horizontal="center"/>
    </xf>
    <xf numFmtId="9" fontId="0" fillId="0" borderId="11" xfId="2" applyFont="1" applyBorder="1" applyAlignment="1">
      <alignment horizontal="center"/>
    </xf>
    <xf numFmtId="9" fontId="0" fillId="0" borderId="8" xfId="2" applyFont="1" applyBorder="1" applyAlignment="1">
      <alignment horizontal="center"/>
    </xf>
    <xf numFmtId="166" fontId="0" fillId="0" borderId="10" xfId="4" applyNumberFormat="1" applyFont="1" applyBorder="1" applyAlignment="1">
      <alignment horizontal="center"/>
    </xf>
    <xf numFmtId="166" fontId="0" fillId="0" borderId="15" xfId="4" applyNumberFormat="1" applyFont="1" applyBorder="1" applyAlignment="1">
      <alignment horizontal="center"/>
    </xf>
    <xf numFmtId="166" fontId="0" fillId="0" borderId="10" xfId="4" applyNumberFormat="1" applyFont="1" applyBorder="1" applyAlignment="1"/>
    <xf numFmtId="166" fontId="0" fillId="0" borderId="15" xfId="4" applyNumberFormat="1" applyFont="1" applyBorder="1" applyAlignment="1"/>
    <xf numFmtId="3" fontId="6" fillId="16" borderId="2" xfId="0" applyNumberFormat="1" applyFont="1" applyFill="1" applyBorder="1" applyAlignment="1">
      <alignment horizontal="center"/>
    </xf>
    <xf numFmtId="3" fontId="6" fillId="16" borderId="1" xfId="0" applyNumberFormat="1" applyFont="1" applyFill="1" applyBorder="1" applyAlignment="1">
      <alignment horizontal="center"/>
    </xf>
    <xf numFmtId="3" fontId="6" fillId="16" borderId="10" xfId="0" applyNumberFormat="1" applyFont="1" applyFill="1" applyBorder="1" applyAlignment="1">
      <alignment horizontal="center"/>
    </xf>
    <xf numFmtId="44" fontId="0" fillId="0" borderId="0" xfId="1" applyFont="1" applyBorder="1" applyAlignment="1">
      <alignment horizontal="center"/>
    </xf>
    <xf numFmtId="3" fontId="0" fillId="3" borderId="0" xfId="0" applyNumberFormat="1" applyFill="1" applyAlignment="1">
      <alignment horizontal="center"/>
    </xf>
    <xf numFmtId="44" fontId="0" fillId="0" borderId="10" xfId="0" applyNumberFormat="1" applyBorder="1" applyAlignment="1">
      <alignment horizontal="center"/>
    </xf>
    <xf numFmtId="0" fontId="8" fillId="0" borderId="0" xfId="0" applyFont="1" applyAlignment="1">
      <alignment horizontal="left" vertical="top" wrapText="1"/>
    </xf>
    <xf numFmtId="0" fontId="28" fillId="0" borderId="25" xfId="0" applyFont="1" applyBorder="1" applyAlignment="1">
      <alignment horizontal="left"/>
    </xf>
    <xf numFmtId="0" fontId="28" fillId="0" borderId="0" xfId="0" applyFont="1" applyAlignment="1">
      <alignment horizontal="left"/>
    </xf>
    <xf numFmtId="0" fontId="0" fillId="8" borderId="0" xfId="0" applyFill="1" applyAlignment="1">
      <alignment horizontal="left"/>
    </xf>
    <xf numFmtId="0" fontId="2" fillId="3" borderId="3" xfId="0" applyFont="1" applyFill="1" applyBorder="1" applyAlignment="1">
      <alignment wrapText="1"/>
    </xf>
    <xf numFmtId="9" fontId="2" fillId="3" borderId="10" xfId="2" applyFont="1" applyFill="1" applyBorder="1" applyAlignment="1">
      <alignment horizontal="center"/>
    </xf>
    <xf numFmtId="9" fontId="2" fillId="3" borderId="1" xfId="2" applyFont="1" applyFill="1" applyBorder="1" applyAlignment="1">
      <alignment horizontal="center"/>
    </xf>
    <xf numFmtId="9" fontId="2" fillId="3" borderId="11" xfId="2" applyFont="1" applyFill="1" applyBorder="1" applyAlignment="1">
      <alignment horizontal="center"/>
    </xf>
    <xf numFmtId="3" fontId="4" fillId="3" borderId="1" xfId="4" applyNumberFormat="1" applyFont="1" applyFill="1" applyBorder="1" applyAlignment="1">
      <alignment horizontal="center" vertical="center" wrapText="1"/>
    </xf>
    <xf numFmtId="3" fontId="6" fillId="3" borderId="1" xfId="4" applyNumberFormat="1" applyFont="1" applyFill="1" applyBorder="1" applyAlignment="1">
      <alignment horizontal="center" vertical="center" wrapText="1"/>
    </xf>
    <xf numFmtId="0" fontId="2" fillId="3" borderId="3" xfId="0" applyFont="1" applyFill="1" applyBorder="1" applyAlignment="1">
      <alignment horizontal="left" wrapText="1"/>
    </xf>
    <xf numFmtId="0" fontId="2" fillId="16" borderId="1" xfId="0" applyFont="1" applyFill="1" applyBorder="1" applyAlignment="1">
      <alignment horizontal="center" vertical="center"/>
    </xf>
    <xf numFmtId="0" fontId="7" fillId="17" borderId="10" xfId="0" applyFont="1" applyFill="1" applyBorder="1" applyAlignment="1">
      <alignment horizontal="center"/>
    </xf>
    <xf numFmtId="0" fontId="7" fillId="18" borderId="11" xfId="0" applyFont="1" applyFill="1" applyBorder="1" applyAlignment="1">
      <alignment horizontal="center"/>
    </xf>
    <xf numFmtId="0" fontId="7" fillId="18" borderId="1" xfId="0" applyFont="1" applyFill="1" applyBorder="1" applyAlignment="1">
      <alignment horizontal="center"/>
    </xf>
    <xf numFmtId="0" fontId="23" fillId="18" borderId="11" xfId="0" applyFont="1" applyFill="1" applyBorder="1" applyAlignment="1">
      <alignment horizontal="center"/>
    </xf>
    <xf numFmtId="0" fontId="7" fillId="17" borderId="1" xfId="0" applyFont="1" applyFill="1" applyBorder="1" applyAlignment="1">
      <alignment horizontal="center"/>
    </xf>
    <xf numFmtId="44" fontId="0" fillId="0" borderId="3" xfId="0" applyNumberFormat="1" applyBorder="1" applyAlignment="1">
      <alignment horizontal="center"/>
    </xf>
    <xf numFmtId="0" fontId="23" fillId="17" borderId="3" xfId="0" applyFont="1" applyFill="1" applyBorder="1" applyAlignment="1">
      <alignment horizontal="center" wrapText="1"/>
    </xf>
    <xf numFmtId="44" fontId="2" fillId="13" borderId="11" xfId="0" applyNumberFormat="1" applyFont="1" applyFill="1" applyBorder="1" applyAlignment="1">
      <alignment horizontal="center"/>
    </xf>
    <xf numFmtId="44" fontId="6" fillId="16" borderId="11" xfId="0" applyNumberFormat="1" applyFont="1" applyFill="1" applyBorder="1" applyAlignment="1">
      <alignment horizontal="center"/>
    </xf>
    <xf numFmtId="44" fontId="2" fillId="3" borderId="11" xfId="0" applyNumberFormat="1" applyFont="1" applyFill="1" applyBorder="1" applyAlignment="1">
      <alignment horizontal="center"/>
    </xf>
    <xf numFmtId="44" fontId="2" fillId="3" borderId="3" xfId="0" applyNumberFormat="1" applyFont="1" applyFill="1" applyBorder="1" applyAlignment="1">
      <alignment horizontal="center"/>
    </xf>
    <xf numFmtId="0" fontId="23" fillId="5" borderId="28" xfId="0" applyFont="1" applyFill="1" applyBorder="1" applyAlignment="1">
      <alignment horizontal="center" wrapText="1"/>
    </xf>
    <xf numFmtId="0" fontId="23" fillId="18" borderId="15" xfId="0" applyFont="1" applyFill="1" applyBorder="1" applyAlignment="1">
      <alignment horizontal="center" wrapText="1"/>
    </xf>
    <xf numFmtId="0" fontId="23" fillId="18" borderId="16" xfId="0" applyFont="1" applyFill="1" applyBorder="1" applyAlignment="1">
      <alignment horizontal="center" wrapText="1"/>
    </xf>
    <xf numFmtId="3" fontId="0" fillId="0" borderId="21" xfId="0" applyNumberFormat="1" applyBorder="1" applyAlignment="1">
      <alignment horizontal="center"/>
    </xf>
    <xf numFmtId="44" fontId="0" fillId="0" borderId="22" xfId="0" applyNumberFormat="1" applyBorder="1" applyAlignment="1">
      <alignment horizontal="center"/>
    </xf>
    <xf numFmtId="0" fontId="23" fillId="17" borderId="15" xfId="0" applyFont="1" applyFill="1" applyBorder="1" applyAlignment="1">
      <alignment horizontal="center" wrapText="1"/>
    </xf>
    <xf numFmtId="0" fontId="23" fillId="17" borderId="16" xfId="0" applyFont="1" applyFill="1" applyBorder="1" applyAlignment="1">
      <alignment horizontal="center" wrapText="1"/>
    </xf>
    <xf numFmtId="0" fontId="23" fillId="5" borderId="8" xfId="0" applyFont="1" applyFill="1" applyBorder="1" applyAlignment="1">
      <alignment horizontal="center" wrapText="1"/>
    </xf>
    <xf numFmtId="1" fontId="13" fillId="0" borderId="1" xfId="0" applyNumberFormat="1" applyFont="1" applyBorder="1" applyAlignment="1">
      <alignment horizontal="left" vertical="center" wrapText="1"/>
    </xf>
    <xf numFmtId="0" fontId="13" fillId="0" borderId="1" xfId="0" applyFont="1" applyBorder="1" applyAlignment="1">
      <alignment horizontal="left" vertical="center" wrapText="1"/>
    </xf>
    <xf numFmtId="0" fontId="23" fillId="5" borderId="29" xfId="0" applyFont="1" applyFill="1" applyBorder="1" applyAlignment="1">
      <alignment horizontal="center" wrapText="1"/>
    </xf>
    <xf numFmtId="4" fontId="6" fillId="16" borderId="10" xfId="0" applyNumberFormat="1" applyFont="1" applyFill="1" applyBorder="1" applyAlignment="1">
      <alignment horizontal="center"/>
    </xf>
    <xf numFmtId="0" fontId="7" fillId="4" borderId="5" xfId="0" applyFont="1" applyFill="1" applyBorder="1" applyAlignment="1">
      <alignment wrapText="1"/>
    </xf>
    <xf numFmtId="0" fontId="7" fillId="4" borderId="6" xfId="0" applyFont="1" applyFill="1" applyBorder="1" applyAlignment="1">
      <alignment wrapText="1"/>
    </xf>
    <xf numFmtId="0" fontId="6" fillId="3" borderId="7" xfId="0" applyFont="1" applyFill="1" applyBorder="1" applyAlignment="1">
      <alignment wrapText="1"/>
    </xf>
    <xf numFmtId="0" fontId="6" fillId="0" borderId="0" xfId="0" applyFont="1" applyAlignment="1">
      <alignment vertical="top"/>
    </xf>
    <xf numFmtId="44" fontId="2" fillId="3" borderId="10" xfId="0" applyNumberFormat="1" applyFont="1" applyFill="1" applyBorder="1" applyAlignment="1">
      <alignment horizontal="center"/>
    </xf>
    <xf numFmtId="4" fontId="6" fillId="16" borderId="1" xfId="0" applyNumberFormat="1" applyFont="1" applyFill="1" applyBorder="1" applyAlignment="1">
      <alignment horizontal="center"/>
    </xf>
    <xf numFmtId="1" fontId="2" fillId="3" borderId="10" xfId="0" applyNumberFormat="1" applyFont="1" applyFill="1" applyBorder="1" applyAlignment="1">
      <alignment horizontal="center"/>
    </xf>
    <xf numFmtId="4" fontId="6" fillId="16" borderId="2" xfId="0" applyNumberFormat="1" applyFont="1" applyFill="1" applyBorder="1" applyAlignment="1">
      <alignment horizontal="center"/>
    </xf>
    <xf numFmtId="4" fontId="6" fillId="16" borderId="14" xfId="0" applyNumberFormat="1" applyFont="1" applyFill="1" applyBorder="1" applyAlignment="1">
      <alignment horizontal="center"/>
    </xf>
    <xf numFmtId="4" fontId="6" fillId="16" borderId="11" xfId="0" applyNumberFormat="1" applyFont="1" applyFill="1" applyBorder="1" applyAlignment="1">
      <alignment horizontal="center"/>
    </xf>
    <xf numFmtId="4" fontId="6" fillId="16" borderId="3" xfId="0" applyNumberFormat="1" applyFont="1" applyFill="1" applyBorder="1" applyAlignment="1">
      <alignment horizontal="center"/>
    </xf>
    <xf numFmtId="3" fontId="6" fillId="16" borderId="11" xfId="0" applyNumberFormat="1" applyFont="1" applyFill="1" applyBorder="1" applyAlignment="1">
      <alignment horizontal="center"/>
    </xf>
    <xf numFmtId="44" fontId="4" fillId="16" borderId="9" xfId="0" applyNumberFormat="1" applyFont="1" applyFill="1" applyBorder="1" applyAlignment="1">
      <alignment horizontal="center" wrapText="1"/>
    </xf>
    <xf numFmtId="44" fontId="6" fillId="3" borderId="1" xfId="0" applyNumberFormat="1" applyFont="1" applyFill="1" applyBorder="1" applyAlignment="1">
      <alignment horizontal="center" wrapText="1"/>
    </xf>
    <xf numFmtId="44" fontId="6" fillId="3" borderId="11" xfId="0" applyNumberFormat="1" applyFont="1" applyFill="1" applyBorder="1" applyAlignment="1">
      <alignment horizontal="center" wrapText="1"/>
    </xf>
    <xf numFmtId="9" fontId="0" fillId="0" borderId="0" xfId="2" applyFont="1" applyFill="1"/>
    <xf numFmtId="0" fontId="23" fillId="5" borderId="2" xfId="0" applyFont="1" applyFill="1" applyBorder="1" applyAlignment="1">
      <alignment horizontal="center" wrapText="1"/>
    </xf>
    <xf numFmtId="164" fontId="0" fillId="0" borderId="2" xfId="2" applyNumberFormat="1" applyFont="1" applyBorder="1" applyAlignment="1">
      <alignment horizontal="center"/>
    </xf>
    <xf numFmtId="44" fontId="6" fillId="16" borderId="1" xfId="0" applyNumberFormat="1" applyFont="1" applyFill="1" applyBorder="1" applyAlignment="1">
      <alignment horizontal="center"/>
    </xf>
    <xf numFmtId="164" fontId="0" fillId="0" borderId="4" xfId="2" applyNumberFormat="1" applyFont="1" applyBorder="1" applyAlignment="1">
      <alignment horizontal="center"/>
    </xf>
    <xf numFmtId="0" fontId="23" fillId="5" borderId="30" xfId="0" applyFont="1" applyFill="1" applyBorder="1" applyAlignment="1">
      <alignment horizontal="center" wrapText="1"/>
    </xf>
    <xf numFmtId="0" fontId="23" fillId="5" borderId="17" xfId="0" applyFont="1" applyFill="1" applyBorder="1" applyAlignment="1">
      <alignment horizontal="center" wrapText="1"/>
    </xf>
    <xf numFmtId="0" fontId="4" fillId="10" borderId="1" xfId="0" applyFont="1" applyFill="1" applyBorder="1" applyAlignment="1">
      <alignment horizontal="left" vertical="center" wrapText="1"/>
    </xf>
    <xf numFmtId="44" fontId="5" fillId="9" borderId="3" xfId="1" applyFont="1" applyFill="1" applyBorder="1" applyAlignment="1" applyProtection="1">
      <alignment horizontal="left"/>
    </xf>
    <xf numFmtId="3" fontId="6" fillId="16" borderId="14" xfId="0" applyNumberFormat="1" applyFont="1" applyFill="1" applyBorder="1" applyAlignment="1">
      <alignment horizontal="center"/>
    </xf>
    <xf numFmtId="44" fontId="2" fillId="13" borderId="3" xfId="0" applyNumberFormat="1" applyFont="1" applyFill="1" applyBorder="1" applyAlignment="1">
      <alignment horizontal="center"/>
    </xf>
    <xf numFmtId="3" fontId="6" fillId="16" borderId="3" xfId="0" applyNumberFormat="1" applyFont="1" applyFill="1" applyBorder="1" applyAlignment="1">
      <alignment horizontal="center"/>
    </xf>
    <xf numFmtId="44" fontId="6" fillId="16" borderId="1" xfId="1" applyFont="1" applyFill="1" applyBorder="1" applyAlignment="1">
      <alignment horizontal="center"/>
    </xf>
    <xf numFmtId="3" fontId="6" fillId="25" borderId="10" xfId="0" applyNumberFormat="1" applyFont="1" applyFill="1" applyBorder="1" applyAlignment="1">
      <alignment horizontal="center"/>
    </xf>
    <xf numFmtId="3" fontId="6" fillId="25" borderId="14" xfId="0" applyNumberFormat="1" applyFont="1" applyFill="1" applyBorder="1" applyAlignment="1">
      <alignment horizontal="center"/>
    </xf>
    <xf numFmtId="3" fontId="6" fillId="25" borderId="1" xfId="0" applyNumberFormat="1" applyFont="1" applyFill="1" applyBorder="1" applyAlignment="1">
      <alignment horizontal="center"/>
    </xf>
    <xf numFmtId="3" fontId="6" fillId="25" borderId="2" xfId="0" applyNumberFormat="1" applyFont="1" applyFill="1" applyBorder="1" applyAlignment="1">
      <alignment horizontal="center"/>
    </xf>
    <xf numFmtId="44" fontId="0" fillId="0" borderId="16" xfId="0" applyNumberFormat="1" applyBorder="1" applyAlignment="1">
      <alignment horizontal="center"/>
    </xf>
    <xf numFmtId="44" fontId="2" fillId="3" borderId="22" xfId="0" applyNumberFormat="1" applyFont="1" applyFill="1" applyBorder="1" applyAlignment="1">
      <alignment horizontal="center"/>
    </xf>
    <xf numFmtId="0" fontId="6" fillId="3" borderId="3" xfId="0" applyFont="1" applyFill="1" applyBorder="1" applyAlignment="1">
      <alignment horizontal="left" wrapText="1"/>
    </xf>
    <xf numFmtId="0" fontId="0" fillId="3" borderId="3" xfId="0" applyFill="1" applyBorder="1" applyAlignment="1">
      <alignment horizontal="left" wrapText="1"/>
    </xf>
    <xf numFmtId="0" fontId="4" fillId="6" borderId="0" xfId="0" applyFont="1" applyFill="1"/>
    <xf numFmtId="0" fontId="0" fillId="0" borderId="0" xfId="0" applyAlignment="1">
      <alignment horizontal="left" vertical="top"/>
    </xf>
    <xf numFmtId="0" fontId="0" fillId="3" borderId="0" xfId="0" applyFill="1" applyAlignment="1">
      <alignment horizontal="left" vertical="top"/>
    </xf>
    <xf numFmtId="0" fontId="9" fillId="0" borderId="0" xfId="0" applyFont="1" applyAlignment="1">
      <alignment horizontal="left" vertical="top"/>
    </xf>
    <xf numFmtId="0" fontId="2" fillId="0" borderId="0" xfId="0" applyFont="1" applyAlignment="1">
      <alignment horizontal="left" vertical="top"/>
    </xf>
    <xf numFmtId="0" fontId="9" fillId="0" borderId="0" xfId="0" applyFont="1" applyAlignment="1">
      <alignment horizontal="left" vertical="top" wrapText="1"/>
    </xf>
    <xf numFmtId="0" fontId="4" fillId="6" borderId="1" xfId="0" applyFont="1" applyFill="1" applyBorder="1" applyAlignment="1">
      <alignment horizontal="right" wrapText="1"/>
    </xf>
    <xf numFmtId="0" fontId="4" fillId="6" borderId="2" xfId="0" applyFont="1" applyFill="1" applyBorder="1" applyAlignment="1">
      <alignment horizontal="right" wrapText="1"/>
    </xf>
    <xf numFmtId="0" fontId="4" fillId="11" borderId="2" xfId="0" applyFont="1" applyFill="1" applyBorder="1" applyAlignment="1">
      <alignment horizontal="right" wrapText="1"/>
    </xf>
    <xf numFmtId="0" fontId="4" fillId="11" borderId="1" xfId="0" applyFont="1" applyFill="1" applyBorder="1" applyAlignment="1">
      <alignment horizontal="right" wrapText="1"/>
    </xf>
    <xf numFmtId="1" fontId="0" fillId="0" borderId="0" xfId="0" applyNumberFormat="1" applyAlignment="1">
      <alignment horizontal="left"/>
    </xf>
    <xf numFmtId="0" fontId="0" fillId="24" borderId="0" xfId="0" applyFill="1" applyAlignment="1">
      <alignment horizontal="left"/>
    </xf>
    <xf numFmtId="1" fontId="0" fillId="24" borderId="0" xfId="0" applyNumberFormat="1" applyFill="1" applyAlignment="1">
      <alignment horizontal="left"/>
    </xf>
    <xf numFmtId="3" fontId="0" fillId="24" borderId="0" xfId="0" applyNumberFormat="1" applyFill="1" applyAlignment="1">
      <alignment horizontal="left"/>
    </xf>
    <xf numFmtId="0" fontId="0" fillId="24" borderId="0" xfId="0" applyFill="1"/>
    <xf numFmtId="0" fontId="0" fillId="6" borderId="0" xfId="0" applyFill="1" applyAlignment="1">
      <alignment horizontal="left"/>
    </xf>
    <xf numFmtId="1" fontId="0" fillId="6" borderId="0" xfId="0" applyNumberFormat="1" applyFill="1" applyAlignment="1">
      <alignment horizontal="left"/>
    </xf>
    <xf numFmtId="3" fontId="0" fillId="6" borderId="0" xfId="0" applyNumberFormat="1" applyFill="1" applyAlignment="1">
      <alignment horizontal="left"/>
    </xf>
    <xf numFmtId="0" fontId="0" fillId="6" borderId="0" xfId="0" applyFill="1"/>
    <xf numFmtId="1" fontId="0" fillId="7" borderId="0" xfId="0" applyNumberFormat="1" applyFill="1" applyAlignment="1">
      <alignment horizontal="left"/>
    </xf>
    <xf numFmtId="3" fontId="0" fillId="7" borderId="0" xfId="0" applyNumberFormat="1" applyFill="1" applyAlignment="1">
      <alignment horizontal="left"/>
    </xf>
    <xf numFmtId="0" fontId="0" fillId="7" borderId="0" xfId="0" applyFill="1" applyAlignment="1">
      <alignment horizontal="left"/>
    </xf>
    <xf numFmtId="0" fontId="0" fillId="7" borderId="0" xfId="0" applyFill="1"/>
    <xf numFmtId="1" fontId="0" fillId="8" borderId="0" xfId="0" applyNumberFormat="1" applyFill="1" applyAlignment="1">
      <alignment horizontal="left"/>
    </xf>
    <xf numFmtId="0" fontId="0" fillId="8" borderId="0" xfId="0" applyFill="1"/>
    <xf numFmtId="0" fontId="0" fillId="3" borderId="8" xfId="0" applyFill="1" applyBorder="1"/>
    <xf numFmtId="0" fontId="0" fillId="0" borderId="3" xfId="0" applyBorder="1" applyAlignment="1">
      <alignment horizontal="left" wrapText="1" indent="2"/>
    </xf>
    <xf numFmtId="3" fontId="0" fillId="0" borderId="10" xfId="0" applyNumberFormat="1" applyBorder="1" applyAlignment="1">
      <alignment horizontal="center" vertical="center"/>
    </xf>
    <xf numFmtId="3" fontId="0" fillId="0" borderId="1" xfId="0" applyNumberFormat="1" applyBorder="1" applyAlignment="1">
      <alignment horizontal="center" vertical="center"/>
    </xf>
    <xf numFmtId="0" fontId="0" fillId="0" borderId="1" xfId="0" applyBorder="1" applyAlignment="1">
      <alignment horizontal="center" vertical="center"/>
    </xf>
    <xf numFmtId="0" fontId="0" fillId="3" borderId="1" xfId="0" applyFill="1" applyBorder="1" applyAlignment="1">
      <alignment horizontal="center" vertical="center"/>
    </xf>
    <xf numFmtId="0" fontId="0" fillId="0" borderId="1" xfId="0" applyBorder="1" applyAlignment="1">
      <alignment horizontal="center"/>
    </xf>
    <xf numFmtId="0" fontId="0" fillId="0" borderId="0" xfId="0" applyAlignment="1">
      <alignment horizontal="left" indent="2"/>
    </xf>
    <xf numFmtId="0" fontId="0" fillId="3" borderId="0" xfId="0" applyFill="1" applyAlignment="1">
      <alignment horizontal="left" indent="2"/>
    </xf>
    <xf numFmtId="1" fontId="0" fillId="0" borderId="1" xfId="0" applyNumberFormat="1" applyBorder="1" applyAlignment="1">
      <alignment horizontal="center"/>
    </xf>
    <xf numFmtId="3" fontId="0" fillId="0" borderId="11" xfId="0" applyNumberFormat="1" applyBorder="1" applyAlignment="1">
      <alignment horizontal="center"/>
    </xf>
    <xf numFmtId="3" fontId="0" fillId="0" borderId="0" xfId="0" applyNumberFormat="1" applyAlignment="1">
      <alignment horizontal="right"/>
    </xf>
    <xf numFmtId="0" fontId="0" fillId="0" borderId="6" xfId="0" applyBorder="1" applyAlignment="1">
      <alignment horizontal="left"/>
    </xf>
    <xf numFmtId="44" fontId="0" fillId="3" borderId="0" xfId="0" applyNumberFormat="1" applyFill="1" applyAlignment="1">
      <alignment horizontal="center"/>
    </xf>
    <xf numFmtId="0" fontId="0" fillId="3" borderId="9" xfId="0" applyFill="1" applyBorder="1" applyAlignment="1">
      <alignment horizontal="left" wrapText="1"/>
    </xf>
    <xf numFmtId="0" fontId="0" fillId="3" borderId="11" xfId="0" applyFill="1" applyBorder="1" applyAlignment="1">
      <alignment horizontal="left" wrapText="1"/>
    </xf>
    <xf numFmtId="0" fontId="0" fillId="0" borderId="2" xfId="0" applyBorder="1" applyAlignment="1" applyProtection="1">
      <alignment horizontal="right"/>
      <protection locked="0"/>
    </xf>
    <xf numFmtId="0" fontId="0" fillId="0" borderId="1" xfId="0" applyBorder="1" applyAlignment="1" applyProtection="1">
      <alignment horizontal="right"/>
      <protection locked="0"/>
    </xf>
    <xf numFmtId="3" fontId="0" fillId="0" borderId="1" xfId="0" applyNumberFormat="1" applyBorder="1" applyAlignment="1" applyProtection="1">
      <alignment horizontal="right"/>
      <protection locked="0"/>
    </xf>
    <xf numFmtId="0" fontId="0" fillId="0" borderId="5" xfId="0" applyBorder="1" applyAlignment="1" applyProtection="1">
      <alignment horizontal="right"/>
      <protection locked="0"/>
    </xf>
    <xf numFmtId="44" fontId="6" fillId="0" borderId="3" xfId="1" applyFont="1" applyFill="1" applyBorder="1" applyAlignment="1" applyProtection="1">
      <alignment horizontal="right"/>
      <protection locked="0"/>
    </xf>
    <xf numFmtId="44" fontId="6" fillId="0" borderId="1" xfId="0" applyNumberFormat="1" applyFont="1" applyBorder="1" applyAlignment="1" applyProtection="1">
      <alignment horizontal="right"/>
      <protection locked="0"/>
    </xf>
    <xf numFmtId="0" fontId="32" fillId="3" borderId="0" xfId="0" applyFont="1" applyFill="1"/>
    <xf numFmtId="0" fontId="6" fillId="3" borderId="0" xfId="0" applyFont="1" applyFill="1"/>
    <xf numFmtId="0" fontId="32" fillId="3" borderId="0" xfId="0" applyFont="1" applyFill="1" applyAlignment="1">
      <alignment horizontal="left"/>
    </xf>
    <xf numFmtId="0" fontId="20" fillId="3" borderId="0" xfId="0" applyFont="1" applyFill="1"/>
    <xf numFmtId="0" fontId="9" fillId="3" borderId="0" xfId="0" applyFont="1" applyFill="1"/>
    <xf numFmtId="0" fontId="20" fillId="3" borderId="0" xfId="0" applyFont="1" applyFill="1" applyAlignment="1">
      <alignment horizontal="left"/>
    </xf>
    <xf numFmtId="166" fontId="9" fillId="3" borderId="0" xfId="0" applyNumberFormat="1" applyFont="1" applyFill="1" applyAlignment="1">
      <alignment horizontal="left"/>
    </xf>
    <xf numFmtId="3" fontId="0" fillId="0" borderId="1" xfId="4" applyNumberFormat="1" applyFont="1" applyBorder="1" applyAlignment="1">
      <alignment horizontal="center"/>
    </xf>
    <xf numFmtId="0" fontId="4" fillId="8" borderId="0" xfId="0" applyFont="1" applyFill="1" applyAlignment="1">
      <alignment horizontal="left" wrapText="1"/>
    </xf>
    <xf numFmtId="0" fontId="3" fillId="3" borderId="0" xfId="0" applyFont="1" applyFill="1" applyAlignment="1">
      <alignment horizontal="left"/>
    </xf>
    <xf numFmtId="0" fontId="0" fillId="8" borderId="24" xfId="0" applyFill="1" applyBorder="1"/>
    <xf numFmtId="0" fontId="9" fillId="2" borderId="0" xfId="0" applyFont="1" applyFill="1" applyAlignment="1">
      <alignment horizontal="left"/>
    </xf>
    <xf numFmtId="1" fontId="4" fillId="6" borderId="6" xfId="0" applyNumberFormat="1" applyFont="1" applyFill="1" applyBorder="1" applyAlignment="1">
      <alignment horizontal="left" wrapText="1"/>
    </xf>
    <xf numFmtId="0" fontId="4" fillId="6" borderId="6" xfId="0" applyFont="1" applyFill="1" applyBorder="1" applyAlignment="1">
      <alignment horizontal="left" wrapText="1"/>
    </xf>
    <xf numFmtId="0" fontId="0" fillId="3" borderId="0" xfId="0" applyFill="1" applyAlignment="1">
      <alignment horizontal="left" wrapText="1"/>
    </xf>
    <xf numFmtId="0" fontId="0" fillId="0" borderId="0" xfId="0" applyAlignment="1">
      <alignment horizontal="right"/>
    </xf>
    <xf numFmtId="1" fontId="0" fillId="3" borderId="0" xfId="0" applyNumberFormat="1" applyFill="1" applyAlignment="1">
      <alignment horizontal="left"/>
    </xf>
    <xf numFmtId="0" fontId="4" fillId="6" borderId="4" xfId="0" applyFont="1" applyFill="1" applyBorder="1" applyAlignment="1">
      <alignment horizontal="left" wrapText="1"/>
    </xf>
    <xf numFmtId="0" fontId="4" fillId="6" borderId="7" xfId="0" applyFont="1" applyFill="1" applyBorder="1" applyAlignment="1">
      <alignment horizontal="left" wrapText="1"/>
    </xf>
    <xf numFmtId="0" fontId="0" fillId="0" borderId="1" xfId="0" applyBorder="1" applyAlignment="1" applyProtection="1">
      <alignment horizontal="left"/>
      <protection locked="0"/>
    </xf>
    <xf numFmtId="0" fontId="0" fillId="0" borderId="8" xfId="0" applyBorder="1" applyAlignment="1" applyProtection="1">
      <alignment horizontal="left"/>
      <protection locked="0"/>
    </xf>
    <xf numFmtId="0" fontId="0" fillId="6" borderId="4" xfId="0" applyFill="1" applyBorder="1" applyAlignment="1">
      <alignment horizontal="left" wrapText="1"/>
    </xf>
    <xf numFmtId="0" fontId="23" fillId="17" borderId="5" xfId="0" applyFont="1" applyFill="1" applyBorder="1" applyAlignment="1">
      <alignment horizontal="center" vertical="center" wrapText="1"/>
    </xf>
    <xf numFmtId="0" fontId="23" fillId="18" borderId="5" xfId="0" applyFont="1" applyFill="1" applyBorder="1" applyAlignment="1">
      <alignment horizontal="center" vertical="center" wrapText="1"/>
    </xf>
    <xf numFmtId="0" fontId="23" fillId="19" borderId="5" xfId="0" applyFont="1" applyFill="1" applyBorder="1" applyAlignment="1">
      <alignment horizontal="center" vertical="center" wrapText="1"/>
    </xf>
    <xf numFmtId="0" fontId="23" fillId="23" borderId="5" xfId="0" applyFont="1" applyFill="1" applyBorder="1" applyAlignment="1">
      <alignment horizontal="center" vertical="center" wrapText="1"/>
    </xf>
    <xf numFmtId="0" fontId="23" fillId="23" borderId="6" xfId="0" applyFont="1" applyFill="1" applyBorder="1" applyAlignment="1">
      <alignment horizontal="center" vertical="center" wrapText="1"/>
    </xf>
    <xf numFmtId="166" fontId="0" fillId="0" borderId="8" xfId="4" applyNumberFormat="1" applyFont="1" applyBorder="1"/>
    <xf numFmtId="166" fontId="0" fillId="0" borderId="0" xfId="4" applyNumberFormat="1" applyFont="1"/>
    <xf numFmtId="0" fontId="6" fillId="0" borderId="8" xfId="0" applyFont="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4" fillId="27" borderId="6" xfId="0" applyFont="1" applyFill="1" applyBorder="1" applyAlignment="1">
      <alignment horizontal="center" vertical="center" wrapText="1"/>
    </xf>
    <xf numFmtId="0" fontId="4" fillId="27" borderId="5" xfId="0" applyFont="1" applyFill="1" applyBorder="1" applyAlignment="1">
      <alignment horizontal="center" vertical="center" wrapText="1"/>
    </xf>
    <xf numFmtId="0" fontId="4" fillId="27" borderId="4" xfId="0" applyFont="1" applyFill="1" applyBorder="1" applyAlignment="1">
      <alignment horizontal="center" vertical="center"/>
    </xf>
    <xf numFmtId="0" fontId="0" fillId="0" borderId="0" xfId="0" applyAlignment="1">
      <alignment horizontal="left" vertical="center"/>
    </xf>
    <xf numFmtId="0" fontId="34" fillId="0" borderId="0" xfId="0" applyFont="1" applyAlignment="1">
      <alignment horizontal="left" vertical="center"/>
    </xf>
    <xf numFmtId="0" fontId="35" fillId="0" borderId="0" xfId="0" applyFont="1" applyAlignment="1">
      <alignment horizontal="left" vertical="center"/>
    </xf>
    <xf numFmtId="0" fontId="33" fillId="0" borderId="0" xfId="0" applyFont="1" applyAlignment="1">
      <alignment horizontal="left" vertical="center" wrapText="1"/>
    </xf>
    <xf numFmtId="0" fontId="6" fillId="0" borderId="1" xfId="0" applyFont="1" applyBorder="1" applyAlignment="1">
      <alignment wrapText="1"/>
    </xf>
    <xf numFmtId="0" fontId="6" fillId="0" borderId="3" xfId="0" applyFont="1" applyBorder="1" applyAlignment="1">
      <alignment horizontal="center" wrapText="1"/>
    </xf>
    <xf numFmtId="0" fontId="6" fillId="0" borderId="8" xfId="0" applyFont="1" applyBorder="1" applyAlignment="1">
      <alignment wrapText="1"/>
    </xf>
    <xf numFmtId="0" fontId="4" fillId="27" borderId="4" xfId="0" applyFont="1" applyFill="1" applyBorder="1" applyAlignment="1">
      <alignment horizontal="center" vertical="center" wrapText="1"/>
    </xf>
    <xf numFmtId="0" fontId="13" fillId="0" borderId="0" xfId="0" applyFont="1" applyAlignment="1">
      <alignment horizontal="left" vertical="center"/>
    </xf>
    <xf numFmtId="0" fontId="0" fillId="0" borderId="0" xfId="0" applyAlignment="1">
      <alignment vertical="center"/>
    </xf>
    <xf numFmtId="0" fontId="0" fillId="0" borderId="0" xfId="0" applyAlignment="1">
      <alignment horizontal="left" vertical="center" indent="2"/>
    </xf>
    <xf numFmtId="0" fontId="0" fillId="13" borderId="33" xfId="0" applyFill="1" applyBorder="1" applyAlignment="1">
      <alignment vertical="center"/>
    </xf>
    <xf numFmtId="0" fontId="0" fillId="13" borderId="34" xfId="0" applyFill="1" applyBorder="1" applyAlignment="1">
      <alignment horizontal="left" vertical="center" indent="2"/>
    </xf>
    <xf numFmtId="0" fontId="0" fillId="13" borderId="35" xfId="0" applyFill="1" applyBorder="1" applyAlignment="1">
      <alignment horizontal="left" vertical="center" indent="2"/>
    </xf>
    <xf numFmtId="0" fontId="0" fillId="13" borderId="36" xfId="0" applyFill="1" applyBorder="1" applyAlignment="1">
      <alignment vertical="center"/>
    </xf>
    <xf numFmtId="0" fontId="0" fillId="13" borderId="0" xfId="0" applyFill="1" applyAlignment="1">
      <alignment horizontal="left" vertical="center" indent="2"/>
    </xf>
    <xf numFmtId="0" fontId="0" fillId="13" borderId="37" xfId="0" applyFill="1" applyBorder="1" applyAlignment="1">
      <alignment horizontal="left" vertical="center" indent="2"/>
    </xf>
    <xf numFmtId="0" fontId="0" fillId="13" borderId="38" xfId="0" applyFill="1" applyBorder="1" applyAlignment="1">
      <alignment vertical="center"/>
    </xf>
    <xf numFmtId="0" fontId="36" fillId="13" borderId="39" xfId="0" applyFont="1" applyFill="1" applyBorder="1" applyAlignment="1">
      <alignment vertical="center"/>
    </xf>
    <xf numFmtId="0" fontId="36" fillId="13" borderId="40" xfId="0" applyFont="1" applyFill="1" applyBorder="1" applyAlignment="1">
      <alignment vertical="center"/>
    </xf>
    <xf numFmtId="0" fontId="0" fillId="0" borderId="0" xfId="0" applyAlignment="1">
      <alignment horizontal="left" vertical="center" wrapText="1" indent="2"/>
    </xf>
    <xf numFmtId="0" fontId="10" fillId="0" borderId="0" xfId="0" applyFont="1" applyAlignment="1">
      <alignment horizontal="left" vertical="center"/>
    </xf>
    <xf numFmtId="0" fontId="16" fillId="0" borderId="0" xfId="0" applyFont="1" applyAlignment="1">
      <alignment horizontal="left" vertical="center"/>
    </xf>
    <xf numFmtId="0" fontId="37" fillId="0" borderId="0" xfId="0" applyFont="1" applyAlignment="1">
      <alignment horizontal="left"/>
    </xf>
    <xf numFmtId="0" fontId="38" fillId="0" borderId="0" xfId="0" applyFont="1" applyAlignment="1">
      <alignment horizontal="left"/>
    </xf>
    <xf numFmtId="0" fontId="40" fillId="0" borderId="0" xfId="0" applyFont="1" applyAlignment="1">
      <alignment horizontal="left" vertical="center"/>
    </xf>
    <xf numFmtId="0" fontId="41" fillId="0" borderId="0" xfId="0" applyFont="1" applyAlignment="1">
      <alignment horizontal="left" vertical="center"/>
    </xf>
    <xf numFmtId="1" fontId="10" fillId="0" borderId="0" xfId="0" applyNumberFormat="1" applyFont="1" applyAlignment="1">
      <alignment horizontal="left" vertical="center"/>
    </xf>
    <xf numFmtId="0" fontId="42" fillId="0" borderId="0" xfId="0" applyFont="1" applyAlignment="1">
      <alignment horizontal="left" vertical="center"/>
    </xf>
    <xf numFmtId="0" fontId="43" fillId="0" borderId="0" xfId="0" applyFont="1" applyAlignment="1">
      <alignment horizontal="left" vertical="center"/>
    </xf>
    <xf numFmtId="3" fontId="0" fillId="0" borderId="21" xfId="0" applyNumberFormat="1" applyBorder="1" applyAlignment="1">
      <alignment horizontal="center" vertical="center"/>
    </xf>
    <xf numFmtId="3" fontId="0" fillId="0" borderId="5" xfId="0" applyNumberFormat="1" applyBorder="1" applyAlignment="1">
      <alignment horizontal="center" vertical="center"/>
    </xf>
    <xf numFmtId="44" fontId="0" fillId="0" borderId="1" xfId="1" applyFont="1" applyBorder="1"/>
    <xf numFmtId="1" fontId="0" fillId="0" borderId="1" xfId="1" applyNumberFormat="1" applyFont="1" applyBorder="1"/>
    <xf numFmtId="0" fontId="0" fillId="0" borderId="3" xfId="1" applyNumberFormat="1" applyFont="1" applyFill="1" applyBorder="1" applyAlignment="1" applyProtection="1">
      <alignment horizontal="left" wrapText="1"/>
      <protection locked="0"/>
    </xf>
    <xf numFmtId="0" fontId="0" fillId="0" borderId="9" xfId="1" applyNumberFormat="1" applyFont="1" applyFill="1" applyBorder="1" applyAlignment="1" applyProtection="1">
      <alignment horizontal="left" wrapText="1"/>
      <protection locked="0"/>
    </xf>
    <xf numFmtId="165" fontId="0" fillId="0" borderId="0" xfId="0" applyNumberFormat="1"/>
    <xf numFmtId="44" fontId="0" fillId="0" borderId="1" xfId="0" applyNumberFormat="1" applyBorder="1" applyAlignment="1" applyProtection="1">
      <alignment horizontal="left"/>
      <protection locked="0"/>
    </xf>
    <xf numFmtId="44" fontId="0" fillId="0" borderId="8" xfId="0" applyNumberFormat="1" applyBorder="1" applyAlignment="1" applyProtection="1">
      <alignment horizontal="left"/>
      <protection locked="0"/>
    </xf>
    <xf numFmtId="166" fontId="0" fillId="3" borderId="8" xfId="4" applyNumberFormat="1" applyFont="1" applyFill="1" applyBorder="1"/>
    <xf numFmtId="166" fontId="0" fillId="3" borderId="9" xfId="4" applyNumberFormat="1" applyFont="1" applyFill="1" applyBorder="1"/>
    <xf numFmtId="9" fontId="0" fillId="0" borderId="26" xfId="2" applyFont="1" applyBorder="1" applyAlignment="1">
      <alignment horizontal="center"/>
    </xf>
    <xf numFmtId="9" fontId="0" fillId="0" borderId="3" xfId="2" applyFont="1" applyBorder="1" applyAlignment="1">
      <alignment horizontal="center"/>
    </xf>
    <xf numFmtId="9" fontId="4" fillId="16" borderId="3" xfId="2" applyFont="1" applyFill="1" applyBorder="1" applyAlignment="1">
      <alignment horizontal="center"/>
    </xf>
    <xf numFmtId="9" fontId="4" fillId="16" borderId="9" xfId="2" applyFont="1" applyFill="1" applyBorder="1" applyAlignment="1">
      <alignment horizontal="center"/>
    </xf>
    <xf numFmtId="9" fontId="4" fillId="16" borderId="23" xfId="2" applyFont="1" applyFill="1" applyBorder="1" applyAlignment="1">
      <alignment horizontal="center"/>
    </xf>
    <xf numFmtId="9" fontId="4" fillId="16" borderId="3" xfId="2" applyFont="1" applyFill="1" applyBorder="1" applyAlignment="1">
      <alignment horizontal="center" wrapText="1"/>
    </xf>
    <xf numFmtId="9" fontId="4" fillId="16" borderId="9" xfId="2" applyFont="1" applyFill="1" applyBorder="1" applyAlignment="1">
      <alignment horizontal="center" wrapText="1"/>
    </xf>
    <xf numFmtId="0" fontId="23" fillId="17" borderId="4" xfId="0" applyFont="1" applyFill="1" applyBorder="1" applyAlignment="1">
      <alignment horizontal="center" vertical="center" wrapText="1"/>
    </xf>
    <xf numFmtId="0" fontId="6" fillId="3" borderId="19" xfId="0" applyFont="1" applyFill="1" applyBorder="1" applyAlignment="1">
      <alignment wrapText="1"/>
    </xf>
    <xf numFmtId="0" fontId="23" fillId="4" borderId="41" xfId="0" applyFont="1" applyFill="1" applyBorder="1" applyAlignment="1">
      <alignment wrapText="1"/>
    </xf>
    <xf numFmtId="0" fontId="2" fillId="4" borderId="42" xfId="0" applyFont="1" applyFill="1" applyBorder="1"/>
    <xf numFmtId="0" fontId="0" fillId="3" borderId="1" xfId="0" applyFill="1" applyBorder="1" applyAlignment="1">
      <alignment horizontal="center"/>
    </xf>
    <xf numFmtId="0" fontId="0" fillId="3" borderId="2" xfId="0" applyFill="1" applyBorder="1" applyAlignment="1">
      <alignment horizontal="center"/>
    </xf>
    <xf numFmtId="9" fontId="2" fillId="3" borderId="0" xfId="2" applyFont="1" applyFill="1" applyAlignment="1">
      <alignment horizontal="center"/>
    </xf>
    <xf numFmtId="9" fontId="2" fillId="16" borderId="0" xfId="2" applyFont="1" applyFill="1" applyAlignment="1">
      <alignment horizontal="center"/>
    </xf>
    <xf numFmtId="0" fontId="2" fillId="3" borderId="1" xfId="0" applyFont="1" applyFill="1" applyBorder="1" applyAlignment="1">
      <alignment horizontal="center"/>
    </xf>
    <xf numFmtId="0" fontId="2" fillId="3" borderId="2" xfId="0" applyFont="1" applyFill="1" applyBorder="1" applyAlignment="1">
      <alignment horizontal="center"/>
    </xf>
    <xf numFmtId="0" fontId="0" fillId="0" borderId="11" xfId="1" applyNumberFormat="1" applyFont="1" applyBorder="1" applyAlignment="1">
      <alignment horizontal="center"/>
    </xf>
    <xf numFmtId="3" fontId="0" fillId="0" borderId="0" xfId="0" applyNumberFormat="1"/>
    <xf numFmtId="44" fontId="6" fillId="9" borderId="1" xfId="1" applyFont="1" applyFill="1" applyBorder="1" applyAlignment="1">
      <alignment horizontal="right"/>
    </xf>
    <xf numFmtId="44" fontId="0" fillId="2" borderId="3" xfId="1" applyFont="1" applyFill="1" applyBorder="1" applyAlignment="1" applyProtection="1">
      <alignment horizontal="left"/>
      <protection locked="0"/>
    </xf>
    <xf numFmtId="0" fontId="4" fillId="0" borderId="9" xfId="0" applyFont="1" applyBorder="1" applyAlignment="1">
      <alignment horizontal="left" wrapText="1"/>
    </xf>
    <xf numFmtId="0" fontId="6" fillId="0" borderId="2" xfId="0" applyFont="1" applyBorder="1" applyAlignment="1">
      <alignment wrapText="1"/>
    </xf>
    <xf numFmtId="0" fontId="4" fillId="24" borderId="0" xfId="0" applyFont="1" applyFill="1" applyAlignment="1">
      <alignment wrapText="1"/>
    </xf>
    <xf numFmtId="44" fontId="0" fillId="0" borderId="18" xfId="1" applyFont="1" applyFill="1" applyBorder="1" applyAlignment="1">
      <alignment horizontal="center" wrapText="1"/>
    </xf>
    <xf numFmtId="44" fontId="1" fillId="0" borderId="1" xfId="1" applyFont="1" applyFill="1" applyBorder="1" applyAlignment="1">
      <alignment horizontal="center" wrapText="1"/>
    </xf>
    <xf numFmtId="44" fontId="1" fillId="0" borderId="18" xfId="1" applyFont="1" applyFill="1" applyBorder="1" applyAlignment="1">
      <alignment horizontal="center" wrapText="1"/>
    </xf>
    <xf numFmtId="44" fontId="0" fillId="3" borderId="1" xfId="1" applyFont="1" applyFill="1" applyBorder="1" applyAlignment="1">
      <alignment horizontal="center" wrapText="1"/>
    </xf>
    <xf numFmtId="0" fontId="2" fillId="3" borderId="2" xfId="0" applyFont="1" applyFill="1" applyBorder="1"/>
    <xf numFmtId="9" fontId="2" fillId="3" borderId="3" xfId="2" applyFont="1" applyFill="1" applyBorder="1" applyAlignment="1">
      <alignment horizontal="center"/>
    </xf>
    <xf numFmtId="44" fontId="2" fillId="3" borderId="1" xfId="1" applyFont="1" applyFill="1" applyBorder="1" applyAlignment="1">
      <alignment horizontal="center"/>
    </xf>
    <xf numFmtId="44" fontId="2" fillId="3" borderId="18" xfId="0" applyNumberFormat="1" applyFont="1" applyFill="1" applyBorder="1" applyAlignment="1">
      <alignment horizontal="center"/>
    </xf>
    <xf numFmtId="44" fontId="2" fillId="3" borderId="18" xfId="1" applyFont="1" applyFill="1" applyBorder="1" applyAlignment="1">
      <alignment horizontal="center"/>
    </xf>
    <xf numFmtId="9" fontId="2" fillId="3" borderId="23" xfId="2" applyFont="1" applyFill="1" applyBorder="1" applyAlignment="1">
      <alignment horizontal="center"/>
    </xf>
    <xf numFmtId="44" fontId="2" fillId="0" borderId="18" xfId="0" applyNumberFormat="1" applyFont="1" applyBorder="1" applyAlignment="1">
      <alignment horizontal="center"/>
    </xf>
    <xf numFmtId="166" fontId="0" fillId="3" borderId="0" xfId="4" applyNumberFormat="1" applyFont="1" applyFill="1"/>
    <xf numFmtId="0" fontId="23" fillId="5" borderId="10" xfId="0" applyFont="1" applyFill="1" applyBorder="1" applyAlignment="1">
      <alignment horizontal="center" wrapText="1"/>
    </xf>
    <xf numFmtId="3" fontId="0" fillId="0" borderId="10" xfId="0" applyNumberFormat="1" applyBorder="1" applyAlignment="1">
      <alignment horizontal="right"/>
    </xf>
    <xf numFmtId="3" fontId="2" fillId="13" borderId="10" xfId="0" applyNumberFormat="1" applyFont="1" applyFill="1" applyBorder="1" applyAlignment="1">
      <alignment horizontal="right"/>
    </xf>
    <xf numFmtId="44" fontId="0" fillId="0" borderId="1" xfId="0" applyNumberFormat="1" applyBorder="1" applyAlignment="1">
      <alignment horizontal="right"/>
    </xf>
    <xf numFmtId="44" fontId="0" fillId="0" borderId="11" xfId="0" applyNumberFormat="1" applyBorder="1" applyAlignment="1">
      <alignment horizontal="right"/>
    </xf>
    <xf numFmtId="164" fontId="0" fillId="0" borderId="2" xfId="2" applyNumberFormat="1" applyFont="1" applyBorder="1" applyAlignment="1">
      <alignment horizontal="right"/>
    </xf>
    <xf numFmtId="164" fontId="0" fillId="0" borderId="1" xfId="2" applyNumberFormat="1" applyFont="1" applyBorder="1" applyAlignment="1">
      <alignment horizontal="right"/>
    </xf>
    <xf numFmtId="3" fontId="2" fillId="3" borderId="10" xfId="0" applyNumberFormat="1" applyFont="1" applyFill="1" applyBorder="1" applyAlignment="1">
      <alignment horizontal="right"/>
    </xf>
    <xf numFmtId="44" fontId="2" fillId="13" borderId="1" xfId="0" applyNumberFormat="1" applyFont="1" applyFill="1" applyBorder="1" applyAlignment="1">
      <alignment horizontal="right"/>
    </xf>
    <xf numFmtId="44" fontId="2" fillId="13" borderId="11" xfId="0" applyNumberFormat="1" applyFont="1" applyFill="1" applyBorder="1" applyAlignment="1">
      <alignment horizontal="right"/>
    </xf>
    <xf numFmtId="3" fontId="6" fillId="16" borderId="10" xfId="0" applyNumberFormat="1" applyFont="1" applyFill="1" applyBorder="1" applyAlignment="1">
      <alignment horizontal="right"/>
    </xf>
    <xf numFmtId="44" fontId="6" fillId="16" borderId="1" xfId="0" applyNumberFormat="1" applyFont="1" applyFill="1" applyBorder="1" applyAlignment="1">
      <alignment horizontal="right"/>
    </xf>
    <xf numFmtId="4" fontId="6" fillId="16" borderId="1" xfId="0" applyNumberFormat="1" applyFont="1" applyFill="1" applyBorder="1" applyAlignment="1">
      <alignment horizontal="right"/>
    </xf>
    <xf numFmtId="4" fontId="6" fillId="16" borderId="10" xfId="0" applyNumberFormat="1" applyFont="1" applyFill="1" applyBorder="1" applyAlignment="1">
      <alignment horizontal="right"/>
    </xf>
    <xf numFmtId="44" fontId="6" fillId="0" borderId="10" xfId="0" applyNumberFormat="1" applyFont="1" applyBorder="1" applyAlignment="1">
      <alignment horizontal="center"/>
    </xf>
    <xf numFmtId="44" fontId="6" fillId="0" borderId="1" xfId="0" applyNumberFormat="1" applyFont="1" applyBorder="1" applyAlignment="1">
      <alignment horizontal="center"/>
    </xf>
    <xf numFmtId="9" fontId="6" fillId="0" borderId="1" xfId="2" applyFont="1" applyBorder="1" applyAlignment="1">
      <alignment horizontal="center"/>
    </xf>
    <xf numFmtId="0" fontId="0" fillId="0" borderId="2" xfId="0" applyBorder="1" applyAlignment="1">
      <alignment horizontal="left" vertical="top" indent="2"/>
    </xf>
    <xf numFmtId="44" fontId="0" fillId="3" borderId="0" xfId="0" applyNumberFormat="1" applyFill="1" applyAlignment="1">
      <alignment horizontal="left"/>
    </xf>
    <xf numFmtId="3" fontId="0" fillId="8" borderId="0" xfId="0" applyNumberFormat="1" applyFill="1"/>
    <xf numFmtId="0" fontId="0" fillId="8" borderId="0" xfId="0" applyFill="1" applyAlignment="1">
      <alignment horizontal="left" indent="2"/>
    </xf>
    <xf numFmtId="3" fontId="0" fillId="8" borderId="0" xfId="0" applyNumberFormat="1" applyFill="1" applyAlignment="1">
      <alignment horizontal="left" indent="2"/>
    </xf>
    <xf numFmtId="166" fontId="1" fillId="0" borderId="0" xfId="4" applyNumberFormat="1" applyFont="1" applyFill="1" applyBorder="1" applyAlignment="1">
      <alignment horizontal="center"/>
    </xf>
    <xf numFmtId="166" fontId="26" fillId="0" borderId="0" xfId="4" applyNumberFormat="1" applyFont="1" applyFill="1" applyBorder="1" applyAlignment="1">
      <alignment horizontal="center"/>
    </xf>
    <xf numFmtId="166" fontId="1" fillId="3" borderId="10" xfId="4" applyNumberFormat="1" applyFont="1" applyFill="1" applyBorder="1" applyAlignment="1">
      <alignment horizontal="center"/>
    </xf>
    <xf numFmtId="166" fontId="6" fillId="16" borderId="10" xfId="4" applyNumberFormat="1" applyFont="1" applyFill="1" applyBorder="1" applyAlignment="1">
      <alignment horizontal="center"/>
    </xf>
    <xf numFmtId="0" fontId="6" fillId="16" borderId="2" xfId="0" applyFont="1" applyFill="1" applyBorder="1" applyAlignment="1">
      <alignment horizontal="center"/>
    </xf>
    <xf numFmtId="3" fontId="0" fillId="3" borderId="10" xfId="0" applyNumberFormat="1" applyFill="1" applyBorder="1" applyAlignment="1">
      <alignment horizontal="center"/>
    </xf>
    <xf numFmtId="0" fontId="6" fillId="16" borderId="1" xfId="0" applyFont="1" applyFill="1" applyBorder="1" applyAlignment="1">
      <alignment horizontal="center"/>
    </xf>
    <xf numFmtId="3" fontId="4" fillId="3" borderId="10" xfId="0" applyNumberFormat="1" applyFont="1" applyFill="1" applyBorder="1" applyAlignment="1">
      <alignment horizontal="center"/>
    </xf>
    <xf numFmtId="44" fontId="4" fillId="3" borderId="1" xfId="0" applyNumberFormat="1" applyFont="1" applyFill="1" applyBorder="1" applyAlignment="1">
      <alignment horizontal="center"/>
    </xf>
    <xf numFmtId="44" fontId="4" fillId="3" borderId="11" xfId="0" applyNumberFormat="1" applyFont="1" applyFill="1" applyBorder="1" applyAlignment="1">
      <alignment horizontal="center"/>
    </xf>
    <xf numFmtId="166" fontId="6" fillId="3" borderId="10" xfId="4" applyNumberFormat="1" applyFont="1" applyFill="1" applyBorder="1" applyAlignment="1">
      <alignment horizontal="center"/>
    </xf>
    <xf numFmtId="0" fontId="6" fillId="3" borderId="2" xfId="0" applyFont="1" applyFill="1" applyBorder="1" applyAlignment="1">
      <alignment horizontal="center"/>
    </xf>
    <xf numFmtId="0" fontId="6" fillId="3" borderId="1" xfId="0" applyFont="1" applyFill="1" applyBorder="1" applyAlignment="1">
      <alignment horizontal="center"/>
    </xf>
    <xf numFmtId="3" fontId="2" fillId="13" borderId="10" xfId="0" applyNumberFormat="1" applyFont="1" applyFill="1" applyBorder="1" applyAlignment="1">
      <alignment horizontal="center"/>
    </xf>
    <xf numFmtId="9" fontId="2" fillId="16" borderId="3" xfId="2" applyFont="1" applyFill="1" applyBorder="1" applyAlignment="1">
      <alignment horizontal="center"/>
    </xf>
    <xf numFmtId="9" fontId="0" fillId="0" borderId="0" xfId="2" applyFont="1" applyAlignment="1">
      <alignment horizontal="center"/>
    </xf>
    <xf numFmtId="0" fontId="6" fillId="0" borderId="0" xfId="0" applyFont="1" applyAlignment="1">
      <alignment horizontal="center"/>
    </xf>
    <xf numFmtId="0" fontId="2" fillId="2" borderId="0" xfId="0" applyFont="1" applyFill="1"/>
    <xf numFmtId="0" fontId="0" fillId="2" borderId="0" xfId="0" applyFill="1"/>
    <xf numFmtId="0" fontId="0" fillId="0" borderId="0" xfId="0" applyAlignment="1">
      <alignment horizontal="left" wrapText="1"/>
    </xf>
    <xf numFmtId="0" fontId="0" fillId="3" borderId="0" xfId="0" applyFill="1" applyAlignment="1">
      <alignment vertical="center" wrapText="1"/>
    </xf>
    <xf numFmtId="0" fontId="4" fillId="10" borderId="4" xfId="0" applyFont="1" applyFill="1" applyBorder="1" applyAlignment="1">
      <alignment horizontal="left" vertical="center" wrapText="1"/>
    </xf>
    <xf numFmtId="0" fontId="4" fillId="10" borderId="6" xfId="0" applyFont="1" applyFill="1" applyBorder="1" applyAlignment="1">
      <alignment horizontal="left" vertical="center" wrapText="1"/>
    </xf>
    <xf numFmtId="0" fontId="6" fillId="0" borderId="9" xfId="0" applyFont="1" applyBorder="1" applyAlignment="1">
      <alignment horizontal="left" vertical="center" wrapText="1"/>
    </xf>
    <xf numFmtId="1" fontId="6" fillId="0" borderId="2" xfId="0" applyNumberFormat="1" applyFont="1" applyBorder="1" applyAlignment="1">
      <alignment horizontal="left" vertical="center" wrapText="1"/>
    </xf>
    <xf numFmtId="1" fontId="6" fillId="0" borderId="7" xfId="0" applyNumberFormat="1" applyFont="1" applyBorder="1" applyAlignment="1">
      <alignment horizontal="left" vertical="center" wrapText="1"/>
    </xf>
    <xf numFmtId="1" fontId="6" fillId="0" borderId="0" xfId="0" applyNumberFormat="1" applyFont="1" applyAlignment="1">
      <alignment horizontal="left" vertical="center" wrapText="1"/>
    </xf>
    <xf numFmtId="0" fontId="0" fillId="0" borderId="1" xfId="0" applyBorder="1" applyAlignment="1">
      <alignment horizontal="left" wrapText="1"/>
    </xf>
    <xf numFmtId="0" fontId="4" fillId="10" borderId="19" xfId="0" applyFont="1" applyFill="1" applyBorder="1" applyAlignment="1">
      <alignment horizontal="left" vertical="center" wrapText="1"/>
    </xf>
    <xf numFmtId="0" fontId="4" fillId="10" borderId="13" xfId="0" applyFont="1" applyFill="1" applyBorder="1" applyAlignment="1">
      <alignment horizontal="left" vertical="center" wrapText="1"/>
    </xf>
    <xf numFmtId="1" fontId="6" fillId="0" borderId="1" xfId="0" applyNumberFormat="1" applyFont="1" applyBorder="1" applyAlignment="1">
      <alignment horizontal="left" vertical="center" wrapText="1"/>
    </xf>
    <xf numFmtId="0" fontId="6" fillId="2" borderId="0" xfId="0" applyFont="1" applyFill="1" applyAlignment="1">
      <alignment horizontal="left" vertical="center" wrapText="1"/>
    </xf>
    <xf numFmtId="0" fontId="0" fillId="0" borderId="0" xfId="0" applyAlignment="1">
      <alignment vertical="center" wrapText="1"/>
    </xf>
    <xf numFmtId="0" fontId="4" fillId="12" borderId="11" xfId="0" applyFont="1" applyFill="1" applyBorder="1" applyAlignment="1">
      <alignment horizontal="left" vertical="center" wrapText="1"/>
    </xf>
    <xf numFmtId="0" fontId="4" fillId="12" borderId="31" xfId="0" applyFont="1" applyFill="1" applyBorder="1" applyAlignment="1">
      <alignment horizontal="left" vertical="center" wrapText="1"/>
    </xf>
    <xf numFmtId="0" fontId="4" fillId="12" borderId="10" xfId="0" applyFont="1" applyFill="1" applyBorder="1" applyAlignment="1">
      <alignment horizontal="left" vertical="center" wrapText="1"/>
    </xf>
    <xf numFmtId="0" fontId="0" fillId="2" borderId="31" xfId="0" applyFill="1" applyBorder="1" applyAlignment="1">
      <alignment horizontal="left" vertical="center" wrapText="1"/>
    </xf>
    <xf numFmtId="0" fontId="0" fillId="2" borderId="10" xfId="0" applyFill="1" applyBorder="1" applyAlignment="1">
      <alignment horizontal="left" vertical="center" wrapText="1"/>
    </xf>
    <xf numFmtId="0" fontId="0" fillId="3" borderId="31" xfId="0" applyFill="1" applyBorder="1" applyAlignment="1">
      <alignment horizontal="left" vertical="center" wrapText="1"/>
    </xf>
    <xf numFmtId="0" fontId="0" fillId="3" borderId="10" xfId="0" applyFill="1" applyBorder="1" applyAlignment="1">
      <alignment horizontal="left" vertical="center" wrapText="1"/>
    </xf>
    <xf numFmtId="0" fontId="6" fillId="2" borderId="31"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0" fillId="0" borderId="0" xfId="0" applyAlignment="1">
      <alignment vertical="top"/>
    </xf>
    <xf numFmtId="0" fontId="0" fillId="0" borderId="0" xfId="0" applyAlignment="1">
      <alignment horizontal="left" vertical="top" indent="2"/>
    </xf>
    <xf numFmtId="1" fontId="0" fillId="0" borderId="0" xfId="0" applyNumberFormat="1" applyAlignment="1">
      <alignment horizontal="left" vertical="top"/>
    </xf>
    <xf numFmtId="1" fontId="0" fillId="3" borderId="0" xfId="0" applyNumberFormat="1" applyFill="1" applyAlignment="1">
      <alignment horizontal="left" vertical="top"/>
    </xf>
    <xf numFmtId="0" fontId="0" fillId="0" borderId="1" xfId="0" applyBorder="1" applyAlignment="1">
      <alignment horizontal="left" vertical="top"/>
    </xf>
    <xf numFmtId="0" fontId="22" fillId="0" borderId="1" xfId="3" quotePrefix="1" applyBorder="1" applyAlignment="1">
      <alignment horizontal="left" vertical="top"/>
    </xf>
    <xf numFmtId="0" fontId="22" fillId="0" borderId="1" xfId="3" applyBorder="1" applyAlignment="1">
      <alignment horizontal="left" vertical="top"/>
    </xf>
    <xf numFmtId="44" fontId="6" fillId="3" borderId="14" xfId="0" applyNumberFormat="1" applyFont="1" applyFill="1" applyBorder="1" applyAlignment="1">
      <alignment horizontal="center" wrapText="1"/>
    </xf>
    <xf numFmtId="44" fontId="6" fillId="3" borderId="14" xfId="0" applyNumberFormat="1" applyFont="1" applyFill="1" applyBorder="1" applyAlignment="1">
      <alignment horizontal="center"/>
    </xf>
    <xf numFmtId="44" fontId="6" fillId="3" borderId="23" xfId="0" applyNumberFormat="1" applyFont="1" applyFill="1" applyBorder="1" applyAlignment="1">
      <alignment horizontal="center"/>
    </xf>
    <xf numFmtId="44" fontId="6" fillId="3" borderId="3" xfId="0" applyNumberFormat="1" applyFont="1" applyFill="1" applyBorder="1" applyAlignment="1">
      <alignment horizontal="center" wrapText="1"/>
    </xf>
    <xf numFmtId="0" fontId="44" fillId="0" borderId="0" xfId="0" applyFont="1"/>
    <xf numFmtId="44" fontId="6" fillId="9" borderId="3" xfId="1" applyFont="1" applyFill="1" applyBorder="1" applyAlignment="1">
      <alignment horizontal="right"/>
    </xf>
    <xf numFmtId="166" fontId="0" fillId="0" borderId="1" xfId="4" applyNumberFormat="1" applyFont="1" applyBorder="1" applyAlignment="1">
      <alignment horizontal="center"/>
    </xf>
    <xf numFmtId="166" fontId="0" fillId="0" borderId="11" xfId="4" applyNumberFormat="1" applyFont="1" applyBorder="1" applyAlignment="1">
      <alignment horizontal="center"/>
    </xf>
    <xf numFmtId="0" fontId="27" fillId="0" borderId="0" xfId="0" applyFont="1" applyAlignment="1">
      <alignment horizontal="right"/>
    </xf>
    <xf numFmtId="3" fontId="27" fillId="26" borderId="0" xfId="0" applyNumberFormat="1" applyFont="1" applyFill="1" applyAlignment="1">
      <alignment horizontal="right"/>
    </xf>
    <xf numFmtId="0" fontId="28" fillId="0" borderId="0" xfId="0" applyFont="1" applyAlignment="1">
      <alignment horizontal="left" wrapText="1"/>
    </xf>
    <xf numFmtId="166" fontId="0" fillId="0" borderId="0" xfId="0" applyNumberFormat="1"/>
    <xf numFmtId="0" fontId="6" fillId="3" borderId="1" xfId="0" applyFont="1" applyFill="1" applyBorder="1" applyAlignment="1">
      <alignment horizontal="left" wrapText="1"/>
    </xf>
    <xf numFmtId="166" fontId="0" fillId="3" borderId="1" xfId="4" applyNumberFormat="1" applyFont="1" applyFill="1" applyBorder="1" applyAlignment="1">
      <alignment horizontal="center"/>
    </xf>
    <xf numFmtId="0" fontId="0" fillId="3" borderId="1" xfId="0" applyFill="1" applyBorder="1" applyAlignment="1">
      <alignment horizontal="left" wrapText="1"/>
    </xf>
    <xf numFmtId="166" fontId="0" fillId="3" borderId="1" xfId="0" applyNumberFormat="1" applyFill="1" applyBorder="1"/>
    <xf numFmtId="0" fontId="4" fillId="28" borderId="0" xfId="0" applyFont="1" applyFill="1"/>
    <xf numFmtId="166" fontId="0" fillId="3" borderId="5" xfId="4" applyNumberFormat="1" applyFont="1" applyFill="1" applyBorder="1" applyAlignment="1">
      <alignment horizontal="center"/>
    </xf>
    <xf numFmtId="166" fontId="0" fillId="0" borderId="43" xfId="4" applyNumberFormat="1" applyFont="1" applyBorder="1" applyAlignment="1">
      <alignment horizontal="center"/>
    </xf>
    <xf numFmtId="0" fontId="0" fillId="3" borderId="45" xfId="0" applyFill="1" applyBorder="1" applyAlignment="1">
      <alignment horizontal="left"/>
    </xf>
    <xf numFmtId="0" fontId="0" fillId="3" borderId="46" xfId="0" applyFill="1" applyBorder="1" applyAlignment="1">
      <alignment horizontal="left"/>
    </xf>
    <xf numFmtId="0" fontId="0" fillId="3" borderId="0" xfId="0" applyFill="1" applyAlignment="1">
      <alignment horizontal="left" vertical="top" wrapText="1"/>
    </xf>
    <xf numFmtId="0" fontId="0" fillId="3" borderId="48" xfId="0" applyFill="1" applyBorder="1" applyAlignment="1">
      <alignment horizontal="left"/>
    </xf>
    <xf numFmtId="0" fontId="6" fillId="3" borderId="49" xfId="0" applyFont="1" applyFill="1" applyBorder="1" applyAlignment="1">
      <alignment horizontal="left" vertical="center"/>
    </xf>
    <xf numFmtId="0" fontId="6" fillId="3" borderId="50" xfId="0" applyFont="1" applyFill="1" applyBorder="1" applyAlignment="1">
      <alignment horizontal="left" vertical="center"/>
    </xf>
    <xf numFmtId="0" fontId="0" fillId="3" borderId="51" xfId="0" applyFill="1" applyBorder="1" applyAlignment="1">
      <alignment horizontal="left"/>
    </xf>
    <xf numFmtId="0" fontId="6" fillId="14" borderId="53" xfId="0" applyFont="1" applyFill="1" applyBorder="1" applyAlignment="1">
      <alignment horizontal="left"/>
    </xf>
    <xf numFmtId="0" fontId="6" fillId="6" borderId="53" xfId="0" applyFont="1" applyFill="1" applyBorder="1" applyAlignment="1">
      <alignment horizontal="left"/>
    </xf>
    <xf numFmtId="0" fontId="6" fillId="7" borderId="53" xfId="0" applyFont="1" applyFill="1" applyBorder="1" applyAlignment="1">
      <alignment horizontal="left"/>
    </xf>
    <xf numFmtId="0" fontId="6" fillId="7" borderId="54" xfId="0" applyFont="1" applyFill="1" applyBorder="1" applyAlignment="1">
      <alignment horizontal="left"/>
    </xf>
    <xf numFmtId="0" fontId="6" fillId="3" borderId="45" xfId="0" applyFont="1" applyFill="1" applyBorder="1" applyAlignment="1">
      <alignment horizontal="left" vertical="center"/>
    </xf>
    <xf numFmtId="0" fontId="6" fillId="3" borderId="47" xfId="0" applyFont="1" applyFill="1" applyBorder="1" applyAlignment="1">
      <alignment horizontal="left" vertical="center"/>
    </xf>
    <xf numFmtId="0" fontId="6" fillId="3" borderId="0" xfId="0" applyFont="1" applyFill="1" applyAlignment="1">
      <alignment horizontal="left" vertical="center"/>
    </xf>
    <xf numFmtId="0" fontId="0" fillId="3" borderId="49" xfId="0" applyFill="1" applyBorder="1" applyAlignment="1">
      <alignment horizontal="left"/>
    </xf>
    <xf numFmtId="0" fontId="0" fillId="3" borderId="50" xfId="0" applyFill="1" applyBorder="1" applyAlignment="1">
      <alignment horizontal="left"/>
    </xf>
    <xf numFmtId="0" fontId="7" fillId="29" borderId="52" xfId="0" applyFont="1" applyFill="1" applyBorder="1" applyAlignment="1">
      <alignment horizontal="left"/>
    </xf>
    <xf numFmtId="0" fontId="7" fillId="29" borderId="6" xfId="0" applyFont="1" applyFill="1" applyBorder="1" applyAlignment="1">
      <alignment horizontal="left"/>
    </xf>
    <xf numFmtId="0" fontId="3" fillId="3" borderId="44" xfId="0" applyFont="1" applyFill="1" applyBorder="1" applyAlignment="1">
      <alignment horizontal="left"/>
    </xf>
    <xf numFmtId="0" fontId="45" fillId="3" borderId="44" xfId="0" applyFont="1" applyFill="1" applyBorder="1" applyAlignment="1">
      <alignment horizontal="left" vertical="center"/>
    </xf>
    <xf numFmtId="44" fontId="6" fillId="0" borderId="0" xfId="1" applyFont="1" applyAlignment="1">
      <alignment horizontal="right"/>
    </xf>
    <xf numFmtId="44" fontId="27" fillId="0" borderId="0" xfId="0" applyNumberFormat="1" applyFont="1" applyAlignment="1">
      <alignment horizontal="right"/>
    </xf>
    <xf numFmtId="44" fontId="6" fillId="0" borderId="3" xfId="0" applyNumberFormat="1" applyFont="1" applyBorder="1" applyAlignment="1">
      <alignment horizontal="right"/>
    </xf>
    <xf numFmtId="44" fontId="27" fillId="26" borderId="0" xfId="0" applyNumberFormat="1" applyFont="1" applyFill="1" applyAlignment="1">
      <alignment horizontal="right" indent="1"/>
    </xf>
    <xf numFmtId="0" fontId="0" fillId="0" borderId="0" xfId="0"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44" fontId="0" fillId="2" borderId="1" xfId="1" applyFont="1" applyFill="1" applyBorder="1" applyAlignment="1" applyProtection="1">
      <alignment horizontal="right"/>
      <protection locked="0"/>
    </xf>
    <xf numFmtId="44" fontId="0" fillId="0" borderId="1" xfId="1" applyFont="1" applyFill="1" applyBorder="1" applyAlignment="1" applyProtection="1">
      <alignment horizontal="right"/>
      <protection locked="0"/>
    </xf>
    <xf numFmtId="166" fontId="0" fillId="2" borderId="1" xfId="4" applyNumberFormat="1" applyFont="1" applyFill="1" applyBorder="1" applyAlignment="1" applyProtection="1">
      <alignment horizontal="right"/>
      <protection locked="0"/>
    </xf>
    <xf numFmtId="44" fontId="6" fillId="9" borderId="1" xfId="1" applyFont="1" applyFill="1" applyBorder="1" applyAlignment="1" applyProtection="1">
      <alignment horizontal="right"/>
      <protection locked="0"/>
    </xf>
    <xf numFmtId="44" fontId="6" fillId="9" borderId="3" xfId="1" applyFont="1" applyFill="1" applyBorder="1" applyAlignment="1" applyProtection="1">
      <alignment horizontal="right"/>
      <protection locked="0"/>
    </xf>
    <xf numFmtId="0" fontId="6" fillId="0" borderId="9" xfId="0" applyFont="1" applyBorder="1" applyAlignment="1">
      <alignment horizontal="center" wrapText="1"/>
    </xf>
    <xf numFmtId="0" fontId="6" fillId="0" borderId="7" xfId="0" applyFont="1" applyBorder="1" applyAlignment="1">
      <alignment wrapText="1"/>
    </xf>
    <xf numFmtId="0" fontId="0" fillId="30" borderId="0" xfId="0" applyFill="1" applyAlignment="1">
      <alignment vertical="center" wrapText="1"/>
    </xf>
    <xf numFmtId="3" fontId="0" fillId="0" borderId="0" xfId="0" applyNumberFormat="1" applyAlignment="1">
      <alignment vertical="center" wrapText="1"/>
    </xf>
    <xf numFmtId="0" fontId="0" fillId="0" borderId="7" xfId="0" applyBorder="1" applyAlignment="1" applyProtection="1">
      <alignment horizontal="right"/>
      <protection locked="0"/>
    </xf>
    <xf numFmtId="0" fontId="0" fillId="0" borderId="8" xfId="0" applyBorder="1" applyAlignment="1" applyProtection="1">
      <alignment horizontal="right"/>
      <protection locked="0"/>
    </xf>
    <xf numFmtId="166" fontId="0" fillId="2" borderId="8" xfId="4" applyNumberFormat="1" applyFont="1" applyFill="1" applyBorder="1" applyAlignment="1" applyProtection="1">
      <alignment horizontal="right"/>
      <protection locked="0"/>
    </xf>
    <xf numFmtId="44" fontId="0" fillId="2" borderId="8" xfId="1" applyFont="1" applyFill="1" applyBorder="1" applyAlignment="1" applyProtection="1">
      <alignment horizontal="right"/>
      <protection locked="0"/>
    </xf>
    <xf numFmtId="44" fontId="0" fillId="0" borderId="8" xfId="1" applyFont="1" applyFill="1" applyBorder="1" applyAlignment="1" applyProtection="1">
      <alignment horizontal="right"/>
      <protection locked="0"/>
    </xf>
    <xf numFmtId="44" fontId="6" fillId="9" borderId="8" xfId="1" applyFont="1" applyFill="1" applyBorder="1" applyAlignment="1" applyProtection="1">
      <alignment horizontal="right"/>
      <protection locked="0"/>
    </xf>
    <xf numFmtId="44" fontId="6" fillId="9" borderId="9" xfId="1" applyFont="1" applyFill="1" applyBorder="1" applyAlignment="1" applyProtection="1">
      <alignment horizontal="right"/>
      <protection locked="0"/>
    </xf>
    <xf numFmtId="166" fontId="0" fillId="0" borderId="55" xfId="4" applyNumberFormat="1" applyFont="1" applyBorder="1" applyAlignment="1">
      <alignment horizontal="center"/>
    </xf>
    <xf numFmtId="166" fontId="0" fillId="0" borderId="56" xfId="4" applyNumberFormat="1" applyFont="1" applyBorder="1" applyAlignment="1">
      <alignment horizontal="center"/>
    </xf>
    <xf numFmtId="0" fontId="8" fillId="0" borderId="0" xfId="0" applyFont="1" applyAlignment="1">
      <alignment horizontal="center" vertical="top" wrapText="1"/>
    </xf>
    <xf numFmtId="0" fontId="0" fillId="3" borderId="0" xfId="0" applyFill="1" applyAlignment="1">
      <alignment horizontal="center"/>
    </xf>
    <xf numFmtId="1" fontId="6" fillId="0" borderId="3" xfId="0" applyNumberFormat="1" applyFont="1" applyBorder="1" applyAlignment="1">
      <alignment horizontal="left" vertical="center" wrapText="1"/>
    </xf>
    <xf numFmtId="0" fontId="27" fillId="0" borderId="2" xfId="0" applyFont="1" applyBorder="1" applyAlignment="1" applyProtection="1">
      <alignment horizontal="right"/>
      <protection locked="0"/>
    </xf>
    <xf numFmtId="0" fontId="27" fillId="0" borderId="1" xfId="0" applyFont="1" applyBorder="1" applyAlignment="1" applyProtection="1">
      <alignment horizontal="right"/>
      <protection locked="0"/>
    </xf>
    <xf numFmtId="3" fontId="27" fillId="2" borderId="1" xfId="0" applyNumberFormat="1" applyFont="1" applyFill="1" applyBorder="1" applyAlignment="1" applyProtection="1">
      <alignment horizontal="right"/>
      <protection locked="0"/>
    </xf>
    <xf numFmtId="167" fontId="6" fillId="0" borderId="1" xfId="1" applyNumberFormat="1" applyFont="1" applyFill="1" applyBorder="1" applyAlignment="1" applyProtection="1">
      <alignment horizontal="right"/>
      <protection locked="0"/>
    </xf>
    <xf numFmtId="166" fontId="27" fillId="2" borderId="1" xfId="4" applyNumberFormat="1" applyFont="1" applyFill="1" applyBorder="1" applyAlignment="1" applyProtection="1">
      <alignment horizontal="right" indent="1"/>
      <protection locked="0"/>
    </xf>
    <xf numFmtId="44" fontId="27" fillId="0" borderId="1" xfId="1" applyFont="1" applyFill="1" applyBorder="1" applyAlignment="1" applyProtection="1">
      <alignment horizontal="right"/>
      <protection locked="0"/>
    </xf>
    <xf numFmtId="44" fontId="6" fillId="0" borderId="1" xfId="1" applyFont="1" applyFill="1" applyBorder="1" applyAlignment="1">
      <alignment horizontal="right"/>
    </xf>
    <xf numFmtId="44" fontId="0" fillId="2" borderId="1" xfId="1" applyFont="1" applyFill="1" applyBorder="1" applyAlignment="1" applyProtection="1">
      <alignment horizontal="left"/>
      <protection locked="0"/>
    </xf>
    <xf numFmtId="44" fontId="27" fillId="2" borderId="3" xfId="1" applyFont="1" applyFill="1" applyBorder="1" applyAlignment="1" applyProtection="1">
      <alignment horizontal="left"/>
      <protection locked="0"/>
    </xf>
    <xf numFmtId="0" fontId="0" fillId="0" borderId="8" xfId="0" applyBorder="1" applyAlignment="1" applyProtection="1">
      <alignment horizontal="left" wrapText="1"/>
      <protection locked="0"/>
    </xf>
    <xf numFmtId="0" fontId="23" fillId="19" borderId="3" xfId="0" applyFont="1" applyFill="1" applyBorder="1" applyAlignment="1">
      <alignment horizontal="right" wrapText="1"/>
    </xf>
    <xf numFmtId="0" fontId="23" fillId="19" borderId="27" xfId="0" applyFont="1" applyFill="1" applyBorder="1" applyAlignment="1">
      <alignment horizontal="right" wrapText="1"/>
    </xf>
    <xf numFmtId="0" fontId="7" fillId="19" borderId="3" xfId="0" applyFont="1" applyFill="1" applyBorder="1" applyAlignment="1">
      <alignment horizontal="right" wrapText="1"/>
    </xf>
    <xf numFmtId="0" fontId="7" fillId="19" borderId="27" xfId="0" applyFont="1" applyFill="1" applyBorder="1" applyAlignment="1">
      <alignment horizontal="right" wrapText="1"/>
    </xf>
    <xf numFmtId="0" fontId="7" fillId="4" borderId="8" xfId="0" applyFont="1" applyFill="1" applyBorder="1" applyAlignment="1">
      <alignment horizontal="center" wrapText="1"/>
    </xf>
    <xf numFmtId="0" fontId="7" fillId="4" borderId="5" xfId="0" applyFont="1" applyFill="1" applyBorder="1" applyAlignment="1">
      <alignment horizontal="center" wrapText="1"/>
    </xf>
    <xf numFmtId="0" fontId="7" fillId="4" borderId="16" xfId="0" applyFont="1" applyFill="1" applyBorder="1" applyAlignment="1">
      <alignment horizontal="center"/>
    </xf>
    <xf numFmtId="0" fontId="7" fillId="4" borderId="22" xfId="0" applyFont="1" applyFill="1" applyBorder="1" applyAlignment="1">
      <alignment horizontal="center"/>
    </xf>
    <xf numFmtId="0" fontId="7" fillId="20" borderId="14" xfId="0" applyFont="1" applyFill="1" applyBorder="1" applyAlignment="1">
      <alignment horizontal="center" wrapText="1"/>
    </xf>
    <xf numFmtId="0" fontId="7" fillId="20" borderId="23" xfId="0" applyFont="1" applyFill="1" applyBorder="1" applyAlignment="1">
      <alignment horizontal="center" wrapText="1"/>
    </xf>
    <xf numFmtId="0" fontId="7" fillId="20" borderId="27" xfId="0" applyFont="1" applyFill="1" applyBorder="1" applyAlignment="1">
      <alignment horizontal="center" wrapText="1"/>
    </xf>
    <xf numFmtId="0" fontId="7" fillId="22" borderId="14" xfId="0" applyFont="1" applyFill="1" applyBorder="1" applyAlignment="1">
      <alignment horizontal="center" wrapText="1"/>
    </xf>
    <xf numFmtId="0" fontId="7" fillId="22" borderId="23" xfId="0" applyFont="1" applyFill="1" applyBorder="1" applyAlignment="1">
      <alignment horizontal="center" wrapText="1"/>
    </xf>
    <xf numFmtId="0" fontId="7" fillId="22" borderId="27" xfId="0" applyFont="1" applyFill="1" applyBorder="1" applyAlignment="1">
      <alignment horizontal="center" wrapText="1"/>
    </xf>
    <xf numFmtId="0" fontId="2" fillId="3" borderId="3" xfId="0" applyFont="1" applyFill="1" applyBorder="1" applyAlignment="1">
      <alignment horizontal="right" wrapText="1"/>
    </xf>
    <xf numFmtId="0" fontId="2" fillId="3" borderId="27" xfId="0" applyFont="1" applyFill="1" applyBorder="1" applyAlignment="1">
      <alignment horizontal="right" wrapText="1"/>
    </xf>
    <xf numFmtId="0" fontId="2" fillId="3" borderId="3" xfId="0" applyFont="1" applyFill="1" applyBorder="1" applyAlignment="1">
      <alignment horizontal="right"/>
    </xf>
    <xf numFmtId="0" fontId="2" fillId="3" borderId="27" xfId="0" applyFont="1" applyFill="1" applyBorder="1" applyAlignment="1">
      <alignment horizontal="right"/>
    </xf>
    <xf numFmtId="0" fontId="7" fillId="15" borderId="14" xfId="0" applyFont="1" applyFill="1" applyBorder="1" applyAlignment="1">
      <alignment horizontal="center" wrapText="1"/>
    </xf>
    <xf numFmtId="0" fontId="7" fillId="15" borderId="23" xfId="0" applyFont="1" applyFill="1" applyBorder="1" applyAlignment="1">
      <alignment horizontal="center" wrapText="1"/>
    </xf>
    <xf numFmtId="0" fontId="7" fillId="15" borderId="2" xfId="0" applyFont="1" applyFill="1" applyBorder="1" applyAlignment="1">
      <alignment horizontal="center" wrapText="1"/>
    </xf>
    <xf numFmtId="0" fontId="7" fillId="4" borderId="8" xfId="0" applyFont="1" applyFill="1" applyBorder="1" applyAlignment="1">
      <alignment horizontal="left" wrapText="1"/>
    </xf>
    <xf numFmtId="0" fontId="7" fillId="4" borderId="5" xfId="0" applyFont="1" applyFill="1" applyBorder="1" applyAlignment="1">
      <alignment horizontal="left" wrapText="1"/>
    </xf>
    <xf numFmtId="0" fontId="7" fillId="4" borderId="16" xfId="0" applyFont="1" applyFill="1" applyBorder="1" applyAlignment="1">
      <alignment horizontal="left"/>
    </xf>
    <xf numFmtId="0" fontId="7" fillId="4" borderId="22" xfId="0" applyFont="1" applyFill="1" applyBorder="1" applyAlignment="1">
      <alignment horizontal="left"/>
    </xf>
    <xf numFmtId="0" fontId="7" fillId="4" borderId="1" xfId="0" applyFont="1" applyFill="1" applyBorder="1" applyAlignment="1">
      <alignment horizontal="left" wrapText="1"/>
    </xf>
    <xf numFmtId="0" fontId="7" fillId="4" borderId="11" xfId="0" applyFont="1" applyFill="1" applyBorder="1" applyAlignment="1">
      <alignment horizontal="left"/>
    </xf>
    <xf numFmtId="0" fontId="8" fillId="0" borderId="0" xfId="0" applyFont="1" applyAlignment="1">
      <alignment vertical="top" wrapText="1"/>
    </xf>
    <xf numFmtId="0" fontId="0" fillId="8" borderId="0" xfId="0" applyFill="1" applyAlignment="1">
      <alignment wrapText="1"/>
    </xf>
    <xf numFmtId="0" fontId="0" fillId="8" borderId="0" xfId="0" applyFill="1" applyAlignment="1">
      <alignment horizontal="left" wrapText="1" indent="2"/>
    </xf>
    <xf numFmtId="0" fontId="2" fillId="3" borderId="1" xfId="0" applyFont="1" applyFill="1" applyBorder="1" applyAlignment="1">
      <alignment horizontal="right"/>
    </xf>
    <xf numFmtId="0" fontId="23" fillId="19" borderId="1" xfId="0" applyFont="1" applyFill="1" applyBorder="1" applyAlignment="1">
      <alignment horizontal="right" wrapText="1"/>
    </xf>
    <xf numFmtId="0" fontId="7" fillId="19" borderId="1" xfId="0" applyFont="1" applyFill="1" applyBorder="1" applyAlignment="1">
      <alignment horizontal="right" wrapText="1"/>
    </xf>
    <xf numFmtId="0" fontId="2" fillId="3" borderId="1" xfId="0" applyFont="1" applyFill="1" applyBorder="1" applyAlignment="1">
      <alignment horizontal="right" wrapText="1"/>
    </xf>
    <xf numFmtId="0" fontId="7" fillId="4" borderId="3" xfId="0" applyFont="1" applyFill="1" applyBorder="1" applyAlignment="1">
      <alignment horizontal="left"/>
    </xf>
    <xf numFmtId="0" fontId="0" fillId="0" borderId="0" xfId="0" applyAlignment="1">
      <alignment horizontal="left" vertical="center" wrapText="1" indent="2"/>
    </xf>
    <xf numFmtId="0" fontId="0" fillId="3" borderId="47" xfId="0" applyFill="1" applyBorder="1" applyAlignment="1">
      <alignment horizontal="left" vertical="top" wrapText="1" indent="2"/>
    </xf>
    <xf numFmtId="0" fontId="0" fillId="3" borderId="0" xfId="0" applyFill="1" applyAlignment="1">
      <alignment horizontal="left" vertical="top" wrapText="1" indent="2"/>
    </xf>
    <xf numFmtId="0" fontId="0" fillId="3" borderId="47" xfId="0" applyFill="1" applyBorder="1" applyAlignment="1">
      <alignment horizontal="left" wrapText="1"/>
    </xf>
    <xf numFmtId="0" fontId="0" fillId="3" borderId="0" xfId="0" applyFill="1" applyAlignment="1">
      <alignment horizontal="left" wrapText="1"/>
    </xf>
    <xf numFmtId="0" fontId="0" fillId="3" borderId="47" xfId="0" applyFill="1" applyBorder="1" applyAlignment="1">
      <alignment horizontal="left" vertical="top" wrapText="1"/>
    </xf>
    <xf numFmtId="0" fontId="0" fillId="3" borderId="0" xfId="0" applyFill="1" applyAlignment="1">
      <alignment horizontal="left" vertical="top" wrapText="1"/>
    </xf>
    <xf numFmtId="0" fontId="0" fillId="3" borderId="48" xfId="0" applyFill="1" applyBorder="1" applyAlignment="1">
      <alignment horizontal="left" vertical="top" wrapText="1"/>
    </xf>
    <xf numFmtId="0" fontId="6" fillId="3" borderId="0" xfId="0" applyFont="1" applyFill="1" applyAlignment="1">
      <alignment horizontal="left" vertical="center" wrapText="1"/>
    </xf>
    <xf numFmtId="0" fontId="6" fillId="3" borderId="48" xfId="0" applyFont="1" applyFill="1" applyBorder="1" applyAlignment="1">
      <alignment horizontal="left" vertical="center" wrapText="1"/>
    </xf>
    <xf numFmtId="0" fontId="0" fillId="0" borderId="0" xfId="0" applyAlignment="1">
      <alignment horizontal="left" wrapText="1"/>
    </xf>
    <xf numFmtId="0" fontId="0" fillId="2" borderId="11" xfId="0" applyFill="1" applyBorder="1" applyAlignment="1">
      <alignment horizontal="left" vertical="center" wrapText="1"/>
    </xf>
    <xf numFmtId="0" fontId="0" fillId="3" borderId="11" xfId="0" applyFill="1" applyBorder="1" applyAlignment="1">
      <alignment horizontal="left" vertical="center" wrapText="1"/>
    </xf>
    <xf numFmtId="0" fontId="6" fillId="2" borderId="11" xfId="0" applyFont="1" applyFill="1" applyBorder="1" applyAlignment="1">
      <alignment horizontal="left" vertical="center" wrapText="1"/>
    </xf>
    <xf numFmtId="1" fontId="4" fillId="0" borderId="0" xfId="0" applyNumberFormat="1" applyFont="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left" vertical="center" wrapText="1"/>
    </xf>
    <xf numFmtId="0" fontId="4" fillId="24" borderId="0" xfId="0" applyFont="1" applyFill="1" applyAlignment="1">
      <alignment wrapText="1"/>
    </xf>
    <xf numFmtId="0" fontId="4" fillId="8" borderId="0" xfId="0" applyFont="1" applyFill="1" applyAlignment="1">
      <alignment horizontal="left" wrapText="1"/>
    </xf>
    <xf numFmtId="0" fontId="4" fillId="6" borderId="0" xfId="0" applyFont="1" applyFill="1"/>
    <xf numFmtId="0" fontId="4" fillId="6" borderId="0" xfId="0" applyFont="1" applyFill="1" applyAlignment="1">
      <alignment horizontal="left" wrapText="1"/>
    </xf>
    <xf numFmtId="0" fontId="6" fillId="0" borderId="0" xfId="0" applyFont="1" applyAlignment="1">
      <alignment wrapText="1"/>
    </xf>
    <xf numFmtId="0" fontId="3" fillId="3" borderId="0" xfId="0" applyFont="1" applyFill="1" applyAlignment="1">
      <alignment horizontal="left"/>
    </xf>
    <xf numFmtId="0" fontId="4" fillId="14" borderId="0" xfId="0" applyFont="1" applyFill="1" applyAlignment="1">
      <alignment horizontal="left" wrapText="1"/>
    </xf>
    <xf numFmtId="0" fontId="4" fillId="11" borderId="0" xfId="0" applyFont="1" applyFill="1" applyAlignment="1">
      <alignment horizontal="left" wrapText="1"/>
    </xf>
    <xf numFmtId="0" fontId="7" fillId="4" borderId="3" xfId="0" applyFont="1" applyFill="1" applyBorder="1" applyAlignment="1">
      <alignment horizontal="left" wrapText="1"/>
    </xf>
    <xf numFmtId="0" fontId="7" fillId="20" borderId="32" xfId="0" applyFont="1" applyFill="1" applyBorder="1" applyAlignment="1">
      <alignment horizontal="center"/>
    </xf>
    <xf numFmtId="0" fontId="7" fillId="20" borderId="24" xfId="0" applyFont="1" applyFill="1" applyBorder="1" applyAlignment="1">
      <alignment horizontal="center"/>
    </xf>
    <xf numFmtId="0" fontId="7" fillId="22" borderId="24" xfId="0" applyFont="1" applyFill="1" applyBorder="1" applyAlignment="1">
      <alignment horizontal="center"/>
    </xf>
    <xf numFmtId="0" fontId="7" fillId="4" borderId="26" xfId="0" applyFont="1" applyFill="1" applyBorder="1" applyAlignment="1">
      <alignment horizontal="left"/>
    </xf>
    <xf numFmtId="0" fontId="7" fillId="20" borderId="14" xfId="0" applyFont="1" applyFill="1" applyBorder="1" applyAlignment="1">
      <alignment horizontal="center" vertical="center"/>
    </xf>
    <xf numFmtId="0" fontId="7" fillId="20" borderId="23" xfId="0" applyFont="1" applyFill="1" applyBorder="1" applyAlignment="1">
      <alignment horizontal="center" vertical="center"/>
    </xf>
    <xf numFmtId="0" fontId="7" fillId="20" borderId="27" xfId="0" applyFont="1" applyFill="1" applyBorder="1" applyAlignment="1">
      <alignment horizontal="center" vertical="center"/>
    </xf>
    <xf numFmtId="0" fontId="7" fillId="22" borderId="32" xfId="0" applyFont="1" applyFill="1" applyBorder="1" applyAlignment="1">
      <alignment horizontal="center" vertical="center"/>
    </xf>
    <xf numFmtId="0" fontId="7" fillId="22" borderId="24" xfId="0" applyFont="1" applyFill="1" applyBorder="1" applyAlignment="1">
      <alignment horizontal="center" vertical="center"/>
    </xf>
    <xf numFmtId="0" fontId="7" fillId="22" borderId="23" xfId="0" applyFont="1" applyFill="1" applyBorder="1" applyAlignment="1">
      <alignment horizontal="center" vertical="center"/>
    </xf>
    <xf numFmtId="0" fontId="7" fillId="22" borderId="27" xfId="0" applyFont="1" applyFill="1" applyBorder="1" applyAlignment="1">
      <alignment horizontal="center" vertical="center"/>
    </xf>
    <xf numFmtId="0" fontId="28" fillId="0" borderId="17" xfId="0" applyFont="1" applyBorder="1" applyAlignment="1">
      <alignment horizontal="left" wrapText="1"/>
    </xf>
    <xf numFmtId="0" fontId="23" fillId="4" borderId="14"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7" fillId="4" borderId="26" xfId="0" applyFont="1" applyFill="1" applyBorder="1" applyAlignment="1">
      <alignment horizontal="left" wrapText="1"/>
    </xf>
    <xf numFmtId="0" fontId="23" fillId="4" borderId="11" xfId="0" applyFont="1" applyFill="1" applyBorder="1" applyAlignment="1">
      <alignment horizontal="center" vertical="center" wrapText="1"/>
    </xf>
    <xf numFmtId="0" fontId="23" fillId="4" borderId="10" xfId="0" applyFont="1" applyFill="1" applyBorder="1" applyAlignment="1">
      <alignment horizontal="center" vertical="center" wrapText="1"/>
    </xf>
    <xf numFmtId="0" fontId="7" fillId="4" borderId="12" xfId="0" applyFont="1" applyFill="1" applyBorder="1" applyAlignment="1">
      <alignment horizontal="left" wrapText="1"/>
    </xf>
    <xf numFmtId="0" fontId="23" fillId="4" borderId="3" xfId="0" applyFont="1" applyFill="1" applyBorder="1" applyAlignment="1">
      <alignment horizontal="center" vertical="center" wrapText="1"/>
    </xf>
    <xf numFmtId="0" fontId="7" fillId="21" borderId="3" xfId="0" applyFont="1" applyFill="1" applyBorder="1" applyAlignment="1">
      <alignment horizontal="left" wrapText="1"/>
    </xf>
    <xf numFmtId="0" fontId="7" fillId="20" borderId="14" xfId="0" applyFont="1" applyFill="1" applyBorder="1" applyAlignment="1">
      <alignment horizontal="center"/>
    </xf>
    <xf numFmtId="0" fontId="7" fillId="20" borderId="27" xfId="0" applyFont="1" applyFill="1" applyBorder="1" applyAlignment="1">
      <alignment horizontal="center"/>
    </xf>
    <xf numFmtId="0" fontId="7" fillId="22" borderId="14" xfId="0" applyFont="1" applyFill="1" applyBorder="1" applyAlignment="1">
      <alignment horizontal="center"/>
    </xf>
    <xf numFmtId="0" fontId="7" fillId="22" borderId="2" xfId="0" applyFont="1" applyFill="1" applyBorder="1" applyAlignment="1">
      <alignment horizontal="center"/>
    </xf>
    <xf numFmtId="0" fontId="0" fillId="8" borderId="24" xfId="0" applyFill="1" applyBorder="1" applyAlignment="1">
      <alignment horizontal="left" wrapText="1" indent="2"/>
    </xf>
    <xf numFmtId="0" fontId="7" fillId="20" borderId="10" xfId="0" applyFont="1" applyFill="1" applyBorder="1" applyAlignment="1">
      <alignment horizontal="center"/>
    </xf>
    <xf numFmtId="0" fontId="7" fillId="20" borderId="1" xfId="0" applyFont="1" applyFill="1" applyBorder="1" applyAlignment="1">
      <alignment horizontal="center"/>
    </xf>
    <xf numFmtId="0" fontId="7" fillId="20" borderId="11" xfId="0" applyFont="1" applyFill="1" applyBorder="1" applyAlignment="1">
      <alignment horizontal="center"/>
    </xf>
    <xf numFmtId="0" fontId="7" fillId="22" borderId="10" xfId="0" applyFont="1" applyFill="1" applyBorder="1" applyAlignment="1">
      <alignment horizontal="center"/>
    </xf>
    <xf numFmtId="0" fontId="7" fillId="22" borderId="1" xfId="0" applyFont="1" applyFill="1" applyBorder="1" applyAlignment="1">
      <alignment horizontal="center"/>
    </xf>
    <xf numFmtId="0" fontId="0" fillId="8" borderId="0" xfId="0" applyFill="1" applyAlignment="1">
      <alignment vertical="top" wrapText="1"/>
    </xf>
    <xf numFmtId="0" fontId="0" fillId="8" borderId="0" xfId="0" applyFill="1" applyAlignment="1">
      <alignment horizontal="left" vertical="top" wrapText="1" indent="2"/>
    </xf>
    <xf numFmtId="0" fontId="7" fillId="20" borderId="23" xfId="0" applyFont="1" applyFill="1" applyBorder="1" applyAlignment="1">
      <alignment horizontal="center"/>
    </xf>
    <xf numFmtId="0" fontId="7" fillId="22" borderId="23" xfId="0" applyFont="1" applyFill="1" applyBorder="1" applyAlignment="1">
      <alignment horizontal="center"/>
    </xf>
    <xf numFmtId="0" fontId="7" fillId="4" borderId="1" xfId="0" applyFont="1" applyFill="1" applyBorder="1" applyAlignment="1">
      <alignment horizontal="left"/>
    </xf>
    <xf numFmtId="0" fontId="7" fillId="20" borderId="3" xfId="0" applyFont="1" applyFill="1" applyBorder="1" applyAlignment="1">
      <alignment horizontal="center"/>
    </xf>
    <xf numFmtId="0" fontId="7" fillId="20" borderId="2" xfId="0" applyFont="1" applyFill="1" applyBorder="1" applyAlignment="1">
      <alignment horizontal="center"/>
    </xf>
    <xf numFmtId="0" fontId="7" fillId="22" borderId="6" xfId="0" applyFont="1" applyFill="1" applyBorder="1" applyAlignment="1">
      <alignment horizontal="center"/>
    </xf>
    <xf numFmtId="0" fontId="0" fillId="8" borderId="24" xfId="0" applyFill="1" applyBorder="1"/>
    <xf numFmtId="0" fontId="0" fillId="8" borderId="24" xfId="0" applyFill="1" applyBorder="1" applyAlignment="1">
      <alignment wrapText="1"/>
    </xf>
    <xf numFmtId="0" fontId="7" fillId="22" borderId="14" xfId="0" applyFont="1" applyFill="1" applyBorder="1" applyAlignment="1">
      <alignment horizontal="center" vertical="center"/>
    </xf>
    <xf numFmtId="0" fontId="7" fillId="22" borderId="10" xfId="0" applyFont="1" applyFill="1" applyBorder="1" applyAlignment="1">
      <alignment horizontal="center" vertical="center"/>
    </xf>
    <xf numFmtId="0" fontId="2" fillId="0" borderId="0" xfId="0" applyFont="1" applyAlignment="1">
      <alignment horizontal="left"/>
    </xf>
    <xf numFmtId="0" fontId="8" fillId="0" borderId="0" xfId="0" applyFont="1" applyAlignment="1">
      <alignment horizontal="left" vertical="top" wrapText="1"/>
    </xf>
    <xf numFmtId="0" fontId="2" fillId="0" borderId="0" xfId="0" applyFont="1" applyAlignment="1">
      <alignment wrapText="1"/>
    </xf>
  </cellXfs>
  <cellStyles count="5">
    <cellStyle name="Comma" xfId="4" builtinId="3"/>
    <cellStyle name="Currency" xfId="1" builtinId="4"/>
    <cellStyle name="Hyperlink" xfId="3" builtinId="8"/>
    <cellStyle name="Normal" xfId="0" builtinId="0"/>
    <cellStyle name="Percent" xfId="2" builtinId="5"/>
  </cellStyles>
  <dxfs count="521">
    <dxf>
      <font>
        <color auto="1"/>
      </font>
      <fill>
        <patternFill>
          <bgColor rgb="FFFF9B9B"/>
        </patternFill>
      </fill>
    </dxf>
    <dxf>
      <font>
        <color auto="1"/>
      </font>
      <fill>
        <patternFill>
          <bgColor rgb="FFFF9B9B"/>
        </patternFill>
      </fill>
    </dxf>
    <dxf>
      <fill>
        <patternFill>
          <bgColor theme="0"/>
        </patternFill>
      </fill>
    </dxf>
    <dxf>
      <fill>
        <patternFill>
          <bgColor rgb="FFFF9B9B"/>
        </patternFill>
      </fill>
    </dxf>
    <dxf>
      <fill>
        <patternFill>
          <bgColor rgb="FFFF9B9B"/>
        </patternFill>
      </fill>
    </dxf>
    <dxf>
      <fill>
        <patternFill>
          <bgColor theme="9" tint="0.79998168889431442"/>
        </patternFill>
      </fill>
    </dxf>
    <dxf>
      <fill>
        <patternFill>
          <bgColor rgb="FFFF9B9B"/>
        </patternFill>
      </fill>
    </dxf>
    <dxf>
      <fill>
        <patternFill>
          <bgColor rgb="FFFF9B9B"/>
        </patternFill>
      </fill>
    </dxf>
    <dxf>
      <fill>
        <patternFill>
          <bgColor rgb="FFFF9B9B"/>
        </patternFill>
      </fill>
    </dxf>
    <dxf>
      <fill>
        <patternFill>
          <bgColor rgb="FFFF9B9B"/>
        </patternFill>
      </fill>
    </dxf>
    <dxf>
      <fill>
        <patternFill>
          <bgColor rgb="FFFF9B9B"/>
        </patternFill>
      </fill>
    </dxf>
    <dxf>
      <fill>
        <patternFill>
          <bgColor rgb="FFFF9B9B"/>
        </patternFill>
      </fill>
    </dxf>
    <dxf>
      <fill>
        <patternFill>
          <bgColor rgb="FFFF9B9B"/>
        </patternFill>
      </fill>
    </dxf>
    <dxf>
      <fill>
        <patternFill>
          <bgColor rgb="FFFF9B9B"/>
        </patternFill>
      </fill>
    </dxf>
    <dxf>
      <fill>
        <patternFill>
          <bgColor rgb="FFFF9B9B"/>
        </patternFill>
      </fill>
    </dxf>
    <dxf>
      <fill>
        <patternFill>
          <bgColor theme="5" tint="0.79998168889431442"/>
        </patternFill>
      </fill>
    </dxf>
    <dxf>
      <fill>
        <patternFill>
          <bgColor theme="9" tint="0.79998168889431442"/>
        </patternFill>
      </fill>
    </dxf>
    <dxf>
      <fill>
        <patternFill>
          <bgColor rgb="FFFF9B9B"/>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rgb="FFFF9B9B"/>
        </patternFill>
      </fill>
    </dxf>
    <dxf>
      <fill>
        <patternFill>
          <bgColor theme="9" tint="0.79998168889431442"/>
        </patternFill>
      </fill>
    </dxf>
    <dxf>
      <fill>
        <patternFill>
          <bgColor rgb="FFFF9B9B"/>
        </patternFill>
      </fill>
    </dxf>
    <dxf>
      <fill>
        <patternFill>
          <bgColor rgb="FFFF9B9B"/>
        </patternFill>
      </fill>
    </dxf>
    <dxf>
      <fill>
        <patternFill>
          <bgColor rgb="FFFF9B9B"/>
        </patternFill>
      </fill>
    </dxf>
    <dxf>
      <fill>
        <patternFill>
          <bgColor rgb="FFFF9B9B"/>
        </patternFill>
      </fill>
    </dxf>
    <dxf>
      <fill>
        <patternFill patternType="none">
          <bgColor auto="1"/>
        </patternFill>
      </fill>
    </dxf>
    <dxf>
      <fill>
        <patternFill>
          <bgColor rgb="FFFF9B9B"/>
        </patternFill>
      </fill>
    </dxf>
    <dxf>
      <fill>
        <patternFill>
          <bgColor rgb="FFFF9B9B"/>
        </patternFill>
      </fill>
    </dxf>
    <dxf>
      <font>
        <color auto="1"/>
      </font>
      <fill>
        <patternFill>
          <bgColor rgb="FFFF9B9B"/>
        </patternFill>
      </fill>
    </dxf>
    <dxf>
      <font>
        <color auto="1"/>
      </font>
      <fill>
        <patternFill>
          <bgColor rgb="FFFF9B9B"/>
        </patternFill>
      </fill>
    </dxf>
    <dxf>
      <font>
        <color auto="1"/>
      </font>
      <fill>
        <patternFill>
          <bgColor rgb="FFFF9B9B"/>
        </patternFill>
      </fill>
    </dxf>
    <dxf>
      <font>
        <color auto="1"/>
      </font>
      <fill>
        <patternFill>
          <bgColor theme="9" tint="0.59996337778862885"/>
        </patternFill>
      </fill>
    </dxf>
    <dxf>
      <font>
        <color auto="1"/>
      </font>
      <fill>
        <patternFill>
          <bgColor rgb="FFFF9999"/>
        </patternFill>
      </fill>
    </dxf>
    <dxf>
      <fill>
        <patternFill>
          <bgColor theme="9" tint="0.59996337778862885"/>
        </patternFill>
      </fill>
    </dxf>
    <dxf>
      <font>
        <color auto="1"/>
      </font>
      <fill>
        <patternFill>
          <bgColor rgb="FFFF9999"/>
        </patternFill>
      </fill>
    </dxf>
    <dxf>
      <font>
        <color auto="1"/>
      </font>
      <fill>
        <patternFill>
          <bgColor theme="9" tint="0.59996337778862885"/>
        </patternFill>
      </fill>
    </dxf>
    <dxf>
      <font>
        <color auto="1"/>
      </font>
      <fill>
        <patternFill>
          <bgColor theme="9" tint="0.59996337778862885"/>
        </patternFill>
      </fill>
    </dxf>
    <dxf>
      <font>
        <color auto="1"/>
      </font>
      <fill>
        <patternFill>
          <bgColor rgb="FFFF9999"/>
        </patternFill>
      </fill>
    </dxf>
    <dxf>
      <font>
        <color auto="1"/>
      </font>
      <fill>
        <patternFill>
          <bgColor rgb="FFFF9B9B"/>
        </patternFill>
      </fill>
    </dxf>
    <dxf>
      <font>
        <color auto="1"/>
      </font>
      <fill>
        <patternFill>
          <bgColor theme="9" tint="0.59996337778862885"/>
        </patternFill>
      </fill>
    </dxf>
    <dxf>
      <font>
        <color auto="1"/>
      </font>
      <fill>
        <patternFill>
          <bgColor rgb="FFFF9999"/>
        </patternFill>
      </fill>
    </dxf>
    <dxf>
      <font>
        <color auto="1"/>
      </font>
      <fill>
        <patternFill>
          <bgColor rgb="FFFF9B9B"/>
        </patternFill>
      </fill>
    </dxf>
    <dxf>
      <fill>
        <patternFill>
          <bgColor theme="9" tint="0.59996337778862885"/>
        </patternFill>
      </fill>
    </dxf>
    <dxf>
      <fill>
        <patternFill>
          <bgColor rgb="FFFF9999"/>
        </patternFill>
      </fill>
    </dxf>
    <dxf>
      <font>
        <color auto="1"/>
      </font>
      <fill>
        <patternFill>
          <bgColor theme="9" tint="0.59996337778862885"/>
        </patternFill>
      </fill>
    </dxf>
    <dxf>
      <font>
        <color auto="1"/>
      </font>
      <fill>
        <patternFill>
          <bgColor theme="9" tint="0.59996337778862885"/>
        </patternFill>
      </fill>
    </dxf>
    <dxf>
      <font>
        <color auto="1"/>
      </font>
      <fill>
        <patternFill>
          <bgColor rgb="FFFF9999"/>
        </patternFill>
      </fill>
    </dxf>
    <dxf>
      <fill>
        <patternFill>
          <bgColor theme="9" tint="0.59996337778862885"/>
        </patternFill>
      </fill>
    </dxf>
    <dxf>
      <fill>
        <patternFill>
          <bgColor rgb="FFFF9999"/>
        </patternFill>
      </fill>
    </dxf>
    <dxf>
      <fill>
        <patternFill>
          <bgColor rgb="FFFF9B9B"/>
        </patternFill>
      </fill>
    </dxf>
    <dxf>
      <fill>
        <patternFill>
          <bgColor theme="9" tint="0.59996337778862885"/>
        </patternFill>
      </fill>
    </dxf>
    <dxf>
      <font>
        <color auto="1"/>
      </font>
      <fill>
        <patternFill>
          <bgColor theme="9" tint="0.59996337778862885"/>
        </patternFill>
      </fill>
    </dxf>
    <dxf>
      <font>
        <color auto="1"/>
      </font>
      <fill>
        <patternFill>
          <bgColor rgb="FFFF9999"/>
        </patternFill>
      </fill>
    </dxf>
    <dxf>
      <font>
        <color auto="1"/>
      </font>
      <fill>
        <patternFill>
          <bgColor theme="9" tint="0.59996337778862885"/>
        </patternFill>
      </fill>
    </dxf>
    <dxf>
      <font>
        <color auto="1"/>
      </font>
      <fill>
        <patternFill>
          <bgColor rgb="FFFF9999"/>
        </patternFill>
      </fill>
    </dxf>
    <dxf>
      <fill>
        <patternFill>
          <bgColor rgb="FFFF9B9B"/>
        </patternFill>
      </fill>
    </dxf>
    <dxf>
      <font>
        <color auto="1"/>
      </font>
      <fill>
        <patternFill>
          <bgColor rgb="FFFF9999"/>
        </patternFill>
      </fill>
    </dxf>
    <dxf>
      <font>
        <color auto="1"/>
      </font>
      <fill>
        <patternFill>
          <bgColor theme="9" tint="0.59996337778862885"/>
        </patternFill>
      </fill>
    </dxf>
    <dxf>
      <fill>
        <patternFill>
          <bgColor rgb="FFFF9999"/>
        </patternFill>
      </fill>
    </dxf>
    <dxf>
      <fill>
        <patternFill>
          <bgColor theme="9" tint="0.59996337778862885"/>
        </patternFill>
      </fill>
    </dxf>
    <dxf>
      <fill>
        <patternFill>
          <bgColor rgb="FFFF9B9B"/>
        </patternFill>
      </fill>
    </dxf>
    <dxf>
      <fill>
        <patternFill>
          <bgColor rgb="FFFF9B9B"/>
        </patternFill>
      </fill>
    </dxf>
    <dxf>
      <fill>
        <patternFill>
          <bgColor rgb="FFFFC7CE"/>
        </patternFill>
      </fill>
    </dxf>
    <dxf>
      <font>
        <color auto="1"/>
      </font>
      <fill>
        <patternFill>
          <bgColor theme="9" tint="0.59996337778862885"/>
        </patternFill>
      </fill>
    </dxf>
    <dxf>
      <font>
        <color auto="1"/>
      </font>
      <fill>
        <patternFill>
          <bgColor rgb="FFFF9999"/>
        </patternFill>
      </fill>
    </dxf>
    <dxf>
      <fill>
        <patternFill>
          <bgColor rgb="FFFF9B9B"/>
        </patternFill>
      </fill>
    </dxf>
    <dxf>
      <fill>
        <patternFill>
          <bgColor rgb="FFFF9B9B"/>
        </patternFill>
      </fill>
    </dxf>
    <dxf>
      <fill>
        <patternFill>
          <bgColor rgb="FFFF9999"/>
        </patternFill>
      </fill>
    </dxf>
    <dxf>
      <fill>
        <patternFill>
          <bgColor rgb="FFFF9B9B"/>
        </patternFill>
      </fill>
    </dxf>
    <dxf>
      <fill>
        <patternFill>
          <bgColor rgb="FFFF9999"/>
        </patternFill>
      </fill>
    </dxf>
    <dxf>
      <font>
        <color auto="1"/>
      </font>
      <fill>
        <patternFill>
          <bgColor rgb="FFFF9B9B"/>
        </patternFill>
      </fill>
    </dxf>
    <dxf>
      <font>
        <color auto="1"/>
      </font>
      <fill>
        <patternFill>
          <bgColor rgb="FFFF9999"/>
        </patternFill>
      </fill>
    </dxf>
    <dxf>
      <font>
        <color auto="1"/>
      </font>
      <fill>
        <patternFill>
          <bgColor theme="9" tint="0.59996337778862885"/>
        </patternFill>
      </fill>
    </dxf>
    <dxf>
      <font>
        <color auto="1"/>
      </font>
      <fill>
        <patternFill>
          <bgColor theme="9" tint="0.59996337778862885"/>
        </patternFill>
      </fill>
    </dxf>
    <dxf>
      <font>
        <color auto="1"/>
      </font>
      <fill>
        <patternFill>
          <bgColor rgb="FFFF9999"/>
        </patternFill>
      </fill>
    </dxf>
    <dxf>
      <fill>
        <patternFill>
          <bgColor rgb="FFFF9B9B"/>
        </patternFill>
      </fill>
    </dxf>
    <dxf>
      <fill>
        <patternFill>
          <bgColor rgb="FFFF9B9B"/>
        </patternFill>
      </fill>
    </dxf>
    <dxf>
      <font>
        <color auto="1"/>
      </font>
      <fill>
        <patternFill>
          <bgColor rgb="FFFF9999"/>
        </patternFill>
      </fill>
    </dxf>
    <dxf>
      <font>
        <color auto="1"/>
      </font>
      <fill>
        <patternFill>
          <bgColor theme="9" tint="0.59996337778862885"/>
        </patternFill>
      </fill>
    </dxf>
    <dxf>
      <font>
        <color auto="1"/>
      </font>
      <fill>
        <patternFill>
          <bgColor rgb="FFFF9999"/>
        </patternFill>
      </fill>
    </dxf>
    <dxf>
      <font>
        <color auto="1"/>
      </font>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9B9B"/>
        </patternFill>
      </fill>
    </dxf>
    <dxf>
      <fill>
        <patternFill>
          <bgColor rgb="FFFF9999"/>
        </patternFill>
      </fill>
    </dxf>
    <dxf>
      <fill>
        <patternFill>
          <bgColor rgb="FFFF9999"/>
        </patternFill>
      </fill>
    </dxf>
    <dxf>
      <fill>
        <patternFill>
          <bgColor rgb="FFFF9B9B"/>
        </patternFill>
      </fill>
    </dxf>
    <dxf>
      <fill>
        <patternFill>
          <bgColor rgb="FFFF9B9B"/>
        </patternFill>
      </fill>
    </dxf>
    <dxf>
      <fill>
        <patternFill>
          <bgColor theme="9" tint="0.79998168889431442"/>
        </patternFill>
      </fill>
    </dxf>
    <dxf>
      <font>
        <color auto="1"/>
      </font>
      <fill>
        <patternFill>
          <bgColor rgb="FFFF9B9B"/>
        </patternFill>
      </fill>
    </dxf>
    <dxf>
      <fill>
        <patternFill>
          <bgColor theme="9" tint="0.59996337778862885"/>
        </patternFill>
      </fill>
    </dxf>
    <dxf>
      <fill>
        <patternFill>
          <bgColor theme="9" tint="0.59996337778862885"/>
        </patternFill>
      </fill>
    </dxf>
    <dxf>
      <font>
        <color auto="1"/>
      </font>
      <fill>
        <patternFill>
          <bgColor rgb="FFFF9B9B"/>
        </patternFill>
      </fill>
    </dxf>
    <dxf>
      <fill>
        <patternFill>
          <bgColor rgb="FFFF9B9B"/>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patternType="solid">
          <bgColor rgb="FFFF7C80"/>
        </patternFill>
      </fill>
    </dxf>
    <dxf>
      <fill>
        <patternFill patternType="solid">
          <bgColor rgb="FFFF7C80"/>
        </patternFill>
      </fill>
    </dxf>
    <dxf>
      <fill>
        <patternFill patternType="solid">
          <bgColor rgb="FFFF7C80"/>
        </patternFill>
      </fill>
    </dxf>
    <dxf>
      <fill>
        <patternFill patternType="none">
          <bgColor auto="1"/>
        </patternFill>
      </fill>
    </dxf>
    <dxf>
      <fill>
        <patternFill patternType="solid">
          <bgColor rgb="FFFF7C80"/>
        </patternFill>
      </fill>
    </dxf>
    <dxf>
      <fill>
        <patternFill patternType="solid">
          <bgColor rgb="FFFF7C80"/>
        </patternFill>
      </fill>
    </dxf>
    <dxf>
      <fill>
        <patternFill patternType="solid">
          <bgColor rgb="FFFF7C80"/>
        </patternFill>
      </fill>
    </dxf>
    <dxf>
      <fill>
        <patternFill patternType="none">
          <bgColor auto="1"/>
        </patternFill>
      </fill>
    </dxf>
    <dxf>
      <fill>
        <patternFill patternType="solid">
          <bgColor rgb="FFFF7C80"/>
        </patternFill>
      </fill>
    </dxf>
    <dxf>
      <fill>
        <patternFill patternType="none">
          <bgColor auto="1"/>
        </patternFill>
      </fill>
    </dxf>
    <dxf>
      <fill>
        <patternFill patternType="none">
          <bgColor auto="1"/>
        </patternFill>
      </fill>
    </dxf>
    <dxf>
      <fill>
        <patternFill patternType="solid">
          <bgColor rgb="FFFF7C80"/>
        </patternFill>
      </fill>
    </dxf>
    <dxf>
      <fill>
        <patternFill patternType="solid">
          <bgColor rgb="FFFF7C80"/>
        </patternFill>
      </fill>
    </dxf>
    <dxf>
      <fill>
        <patternFill patternType="none">
          <bgColor auto="1"/>
        </patternFill>
      </fill>
    </dxf>
    <dxf>
      <fill>
        <patternFill patternType="solid">
          <bgColor rgb="FFFF7C80"/>
        </patternFill>
      </fill>
    </dxf>
    <dxf>
      <fill>
        <patternFill patternType="none">
          <bgColor auto="1"/>
        </patternFill>
      </fill>
    </dxf>
    <dxf>
      <fill>
        <patternFill patternType="solid">
          <bgColor rgb="FFFF7C80"/>
        </patternFill>
      </fill>
    </dxf>
    <dxf>
      <fill>
        <patternFill patternType="solid">
          <bgColor rgb="FFFF7C80"/>
        </patternFill>
      </fill>
    </dxf>
    <dxf>
      <fill>
        <patternFill patternType="none">
          <bgColor auto="1"/>
        </patternFill>
      </fill>
    </dxf>
    <dxf>
      <font>
        <color auto="1"/>
      </font>
      <fill>
        <patternFill patternType="solid">
          <bgColor rgb="FFFF7C80"/>
        </patternFill>
      </fill>
    </dxf>
    <dxf>
      <fill>
        <patternFill patternType="none">
          <bgColor auto="1"/>
        </patternFill>
      </fill>
    </dxf>
    <dxf>
      <fill>
        <patternFill patternType="solid">
          <bgColor rgb="FFFF7C80"/>
        </patternFill>
      </fill>
    </dxf>
    <dxf>
      <fill>
        <patternFill patternType="solid">
          <bgColor rgb="FFFF7C80"/>
        </patternFill>
      </fill>
    </dxf>
    <dxf>
      <fill>
        <patternFill patternType="none">
          <bgColor auto="1"/>
        </patternFill>
      </fill>
    </dxf>
    <dxf>
      <fill>
        <patternFill patternType="solid">
          <bgColor rgb="FFFF7C80"/>
        </patternFill>
      </fill>
    </dxf>
    <dxf>
      <fill>
        <patternFill patternType="solid">
          <bgColor rgb="FFFF7C80"/>
        </patternFill>
      </fill>
    </dxf>
    <dxf>
      <fill>
        <patternFill patternType="solid">
          <bgColor rgb="FFFF7C80"/>
        </patternFill>
      </fill>
    </dxf>
    <dxf>
      <fill>
        <patternFill patternType="none">
          <bgColor auto="1"/>
        </patternFill>
      </fill>
    </dxf>
    <dxf>
      <font>
        <color auto="1"/>
      </font>
      <fill>
        <patternFill patternType="solid">
          <bgColor rgb="FFFF7C80"/>
        </patternFill>
      </fill>
    </dxf>
    <dxf>
      <fill>
        <patternFill patternType="none">
          <bgColor auto="1"/>
        </patternFill>
      </fill>
    </dxf>
    <dxf>
      <fill>
        <patternFill patternType="none">
          <bgColor auto="1"/>
        </patternFill>
      </fill>
    </dxf>
    <dxf>
      <fill>
        <patternFill patternType="solid">
          <bgColor rgb="FFFF7C80"/>
        </patternFill>
      </fill>
    </dxf>
    <dxf>
      <fill>
        <patternFill patternType="none">
          <bgColor auto="1"/>
        </patternFill>
      </fill>
    </dxf>
    <dxf>
      <fill>
        <patternFill patternType="solid">
          <bgColor rgb="FFFF7C80"/>
        </patternFill>
      </fill>
    </dxf>
    <dxf>
      <fill>
        <patternFill patternType="solid">
          <bgColor rgb="FFFF7C80"/>
        </patternFill>
      </fill>
    </dxf>
    <dxf>
      <fill>
        <patternFill patternType="solid">
          <bgColor rgb="FFFF7C80"/>
        </patternFill>
      </fill>
    </dxf>
    <dxf>
      <fill>
        <patternFill patternType="none">
          <bgColor auto="1"/>
        </patternFill>
      </fill>
    </dxf>
    <dxf>
      <fill>
        <patternFill>
          <bgColor rgb="FFFF7C80"/>
        </patternFill>
      </fill>
    </dxf>
    <dxf>
      <fill>
        <patternFill patternType="none">
          <bgColor auto="1"/>
        </patternFill>
      </fill>
    </dxf>
    <dxf>
      <fill>
        <patternFill patternType="solid">
          <bgColor rgb="FFFF7C80"/>
        </patternFill>
      </fill>
    </dxf>
    <dxf>
      <fill>
        <patternFill patternType="none">
          <bgColor auto="1"/>
        </patternFill>
      </fill>
    </dxf>
    <dxf>
      <fill>
        <patternFill patternType="solid">
          <bgColor rgb="FFFF7C80"/>
        </patternFill>
      </fill>
    </dxf>
    <dxf>
      <fill>
        <patternFill patternType="solid">
          <bgColor rgb="FFFF7C80"/>
        </patternFill>
      </fill>
    </dxf>
    <dxf>
      <fill>
        <patternFill patternType="solid">
          <bgColor rgb="FFFF7C80"/>
        </patternFill>
      </fill>
    </dxf>
    <dxf>
      <fill>
        <patternFill patternType="none">
          <bgColor auto="1"/>
        </patternFill>
      </fill>
    </dxf>
    <dxf>
      <fill>
        <patternFill patternType="solid">
          <fgColor rgb="FFC6E0B4"/>
          <bgColor rgb="FFC6E0B4"/>
        </patternFill>
      </fill>
    </dxf>
    <dxf>
      <fill>
        <patternFill patternType="solid">
          <fgColor rgb="FFFF9B9B"/>
          <bgColor rgb="FFFF9B9B"/>
        </patternFill>
      </fill>
    </dxf>
    <dxf>
      <fill>
        <patternFill>
          <bgColor theme="5" tint="0.59996337778862885"/>
        </patternFill>
      </fill>
    </dxf>
    <dxf>
      <fill>
        <patternFill patternType="gray0625">
          <fgColor theme="0" tint="-0.14996795556505021"/>
          <bgColor theme="0"/>
        </patternFill>
      </fill>
    </dxf>
    <dxf>
      <fill>
        <patternFill patternType="solid">
          <fgColor rgb="FFC6E0B4"/>
          <bgColor rgb="FFC6E0B4"/>
        </patternFill>
      </fill>
    </dxf>
    <dxf>
      <fill>
        <patternFill patternType="solid">
          <fgColor rgb="FFFF9B9B"/>
          <bgColor rgb="FFFF9B9B"/>
        </patternFill>
      </fill>
    </dxf>
    <dxf>
      <fill>
        <patternFill>
          <bgColor theme="5" tint="0.59996337778862885"/>
        </patternFill>
      </fill>
    </dxf>
    <dxf>
      <fill>
        <patternFill patternType="gray0625">
          <fgColor theme="0" tint="-0.14996795556505021"/>
          <bgColor theme="0"/>
        </patternFill>
      </fill>
    </dxf>
    <dxf>
      <numFmt numFmtId="166" formatCode="_(* #,##0_);_(* \(#,##0\);_(* &quot;-&quot;??_);_(@_)"/>
    </dxf>
    <dxf>
      <numFmt numFmtId="166" formatCode="_(* #,##0_);_(* \(#,##0\);_(* &quot;-&quot;??_);_(@_)"/>
    </dxf>
    <dxf>
      <numFmt numFmtId="166" formatCode="_(* #,##0_);_(* \(#,##0\);_(* &quot;-&quot;??_);_(@_)"/>
    </dxf>
    <dxf>
      <numFmt numFmtId="166" formatCode="_(* #,##0_);_(* \(#,##0\);_(* &quot;-&quot;??_);_(@_)"/>
    </dxf>
    <dxf>
      <numFmt numFmtId="166" formatCode="_(* #,##0_);_(* \(#,##0\);_(* &quot;-&quot;??_);_(@_)"/>
    </dxf>
    <dxf>
      <numFmt numFmtId="166" formatCode="_(* #,##0_);_(* \(#,##0\);_(* &quot;-&quot;??_);_(@_)"/>
    </dxf>
    <dxf>
      <numFmt numFmtId="166" formatCode="_(* #,##0_);_(* \(#,##0\);_(* &quot;-&quot;??_);_(@_)"/>
    </dxf>
    <dxf>
      <alignment horizontal="center" vertical="bottom" textRotation="0" wrapText="1" indent="0" justifyLastLine="0" shrinkToFit="0" readingOrder="0"/>
      <border diagonalUp="0" diagonalDown="0" outline="0">
        <left style="thin">
          <color indexed="64"/>
        </left>
        <right/>
        <top style="thin">
          <color indexed="64"/>
        </top>
        <bottom style="thin">
          <color indexed="64"/>
        </bottom>
      </border>
    </dxf>
    <dxf>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alignmen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alignment horizontal="left"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alignment vertical="bottom" textRotation="0" wrapText="1" indent="0" justifyLastLine="0" shrinkToFit="0" readingOrder="0"/>
    </dxf>
    <dxf>
      <border outline="0">
        <bottom style="thin">
          <color rgb="FF000000"/>
        </bottom>
      </border>
    </dxf>
    <dxf>
      <alignment vertical="bottom" textRotation="0" wrapText="1" indent="0" justifyLastLine="0" shrinkToFit="0" readingOrder="0"/>
      <border diagonalUp="0" diagonalDown="0">
        <left style="thin">
          <color indexed="64"/>
        </left>
        <right style="thin">
          <color indexed="64"/>
        </right>
        <vertical style="thin">
          <color indexed="64"/>
        </vertical>
      </border>
    </dxf>
    <dxf>
      <numFmt numFmtId="164" formatCode="0.0%"/>
      <alignment horizontal="center"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border>
    </dxf>
    <dxf>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alignment horizontal="left"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alignment vertical="bottom" textRotation="0" wrapText="1" indent="0" justifyLastLine="0" shrinkToFit="0" readingOrder="0"/>
    </dxf>
    <dxf>
      <border outline="0">
        <bottom style="thin">
          <color rgb="FF000000"/>
        </bottom>
      </border>
    </dxf>
    <dxf>
      <alignment vertical="bottom" textRotation="0" wrapText="1" indent="0" justifyLastLine="0" shrinkToFit="0" readingOrder="0"/>
      <border diagonalUp="0" diagonalDown="0">
        <left style="thin">
          <color indexed="64"/>
        </left>
        <right style="thin">
          <color indexed="64"/>
        </right>
        <vertical style="thin">
          <color indexed="64"/>
        </vertical>
      </border>
    </dxf>
    <dxf>
      <numFmt numFmtId="13" formatCode="0%"/>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7"/>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theme="7"/>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Segoe UI"/>
        <family val="2"/>
        <scheme val="minor"/>
      </font>
      <alignment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alignment vertical="bottom" textRotation="0" wrapText="0" indent="0" justifyLastLine="0" shrinkToFit="0" readingOrder="0"/>
    </dxf>
    <dxf>
      <border outline="0">
        <bottom style="thin">
          <color rgb="FF000000"/>
        </bottom>
      </border>
    </dxf>
    <dxf>
      <alignment vertical="bottom" textRotation="0" wrapText="0" indent="0" justifyLastLine="0" shrinkToFit="0" readingOrder="0"/>
    </dxf>
    <dxf>
      <numFmt numFmtId="13" formatCode="0%"/>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7"/>
        </patternFill>
      </fill>
      <alignmen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theme="7"/>
        </patternFill>
      </fill>
      <alignmen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Segoe UI"/>
        <family val="2"/>
        <scheme val="minor"/>
      </font>
      <alignment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alignment vertical="bottom" textRotation="0" wrapText="0" indent="0" justifyLastLine="0" shrinkToFit="0" readingOrder="0"/>
    </dxf>
    <dxf>
      <border>
        <bottom style="thin">
          <color rgb="FF000000"/>
        </bottom>
      </border>
    </dxf>
    <dxf>
      <alignment vertical="bottom" textRotation="0" wrapText="1" indent="0" justifyLastLine="0" shrinkToFit="0" readingOrder="0"/>
    </dxf>
    <dxf>
      <numFmt numFmtId="13" formatCode="0%"/>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7"/>
        </patternFill>
      </fill>
      <alignmen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theme="7"/>
        </patternFill>
      </fill>
      <alignmen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Segoe UI"/>
        <family val="2"/>
        <scheme val="minor"/>
      </font>
      <alignment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alignment vertical="bottom" textRotation="0" wrapText="0" indent="0" justifyLastLine="0" shrinkToFit="0" readingOrder="0"/>
    </dxf>
    <dxf>
      <border outline="0">
        <bottom style="thin">
          <color rgb="FF000000"/>
        </bottom>
      </border>
    </dxf>
    <dxf>
      <alignment vertical="bottom" textRotation="0" wrapText="0" indent="0" justifyLastLine="0" shrinkToFit="0" readingOrder="0"/>
    </dxf>
    <dxf>
      <numFmt numFmtId="13" formatCode="0%"/>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7"/>
        </patternFill>
      </fill>
      <alignmen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theme="7"/>
        </patternFill>
      </fill>
      <alignmen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Segoe UI"/>
        <family val="2"/>
        <scheme val="minor"/>
      </font>
      <alignment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alignment vertical="bottom" textRotation="0" wrapText="0" indent="0" justifyLastLine="0" shrinkToFit="0" readingOrder="0"/>
    </dxf>
    <dxf>
      <border outline="0">
        <bottom style="thin">
          <color rgb="FF000000"/>
        </bottom>
      </border>
    </dxf>
    <dxf>
      <alignment vertical="bottom" textRotation="0" wrapText="0" indent="0" justifyLastLine="0" shrinkToFit="0" readingOrder="0"/>
    </dxf>
    <dxf>
      <numFmt numFmtId="13" formatCode="0%"/>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Segoe UI"/>
        <family val="2"/>
        <scheme val="minor"/>
      </font>
      <alignment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alignment vertical="bottom" textRotation="0" wrapText="0" indent="0" justifyLastLine="0" shrinkToFit="0" readingOrder="0"/>
    </dxf>
    <dxf>
      <border outline="0">
        <bottom style="thin">
          <color rgb="FF000000"/>
        </bottom>
      </border>
    </dxf>
    <dxf>
      <alignment vertical="bottom" textRotation="0" wrapText="0" indent="0" justifyLastLine="0" shrinkToFit="0" readingOrder="0"/>
    </dxf>
    <dxf>
      <numFmt numFmtId="13" formatCode="0%"/>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ill>
        <patternFill patternType="solid">
          <fgColor indexed="64"/>
          <bgColor theme="7"/>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theme="7"/>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Segoe UI"/>
        <family val="2"/>
        <scheme val="minor"/>
      </font>
      <alignment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alignment vertical="bottom" textRotation="0" wrapText="0" indent="0" justifyLastLine="0" shrinkToFit="0" readingOrder="0"/>
    </dxf>
    <dxf>
      <border outline="0">
        <bottom style="thin">
          <color rgb="FF000000"/>
        </bottom>
      </border>
    </dxf>
    <dxf>
      <alignment vertical="bottom" textRotation="0" wrapText="0" indent="0" justifyLastLine="0" shrinkToFit="0" readingOrder="0"/>
    </dxf>
    <dxf>
      <numFmt numFmtId="13" formatCode="0%"/>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7"/>
        </patternFill>
      </fill>
      <alignmen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theme="7"/>
        </patternFill>
      </fill>
      <alignmen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Segoe UI"/>
        <family val="2"/>
        <scheme val="minor"/>
      </font>
      <alignment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alignment vertical="bottom" textRotation="0" wrapText="0" indent="0" justifyLastLine="0" shrinkToFit="0" readingOrder="0"/>
    </dxf>
    <dxf>
      <border outline="0">
        <bottom style="thin">
          <color rgb="FF000000"/>
        </bottom>
      </border>
    </dxf>
    <dxf>
      <alignment vertical="bottom" textRotation="0" wrapText="0" indent="0" justifyLastLine="0" shrinkToFit="0" readingOrder="0"/>
    </dxf>
    <dxf>
      <numFmt numFmtId="13" formatCode="0%"/>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Segoe UI"/>
        <family val="2"/>
        <scheme val="minor"/>
      </font>
      <alignment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alignment vertical="bottom" textRotation="0" wrapText="0" indent="0" justifyLastLine="0" shrinkToFit="0" readingOrder="0"/>
    </dxf>
    <dxf>
      <border outline="0">
        <bottom style="thin">
          <color rgb="FF000000"/>
        </bottom>
      </border>
    </dxf>
    <dxf>
      <alignment vertical="bottom" textRotation="0" wrapText="0" indent="0" justifyLastLine="0" shrinkToFit="0" readingOrder="0"/>
    </dxf>
    <dxf>
      <numFmt numFmtId="13" formatCode="0%"/>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ill>
        <patternFill patternType="solid">
          <fgColor indexed="64"/>
          <bgColor theme="7"/>
        </patternFill>
      </fill>
      <alignmen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theme="7"/>
        </patternFill>
      </fill>
      <alignmen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Segoe UI"/>
        <family val="2"/>
        <scheme val="minor"/>
      </font>
      <alignment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alignment vertical="bottom" textRotation="0" wrapText="0" indent="0" justifyLastLine="0" shrinkToFit="0" readingOrder="0"/>
    </dxf>
    <dxf>
      <border>
        <bottom style="thin">
          <color rgb="FF000000"/>
        </bottom>
      </border>
    </dxf>
    <dxf>
      <alignment vertical="bottom" textRotation="0" wrapText="1" indent="0" justifyLastLine="0" shrinkToFit="0" readingOrder="0"/>
    </dxf>
    <dxf>
      <numFmt numFmtId="13" formatCode="0%"/>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7"/>
        </patternFill>
      </fill>
      <alignmen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7"/>
        </patternFill>
      </fill>
      <alignmen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Segoe UI"/>
        <family val="2"/>
        <scheme val="minor"/>
      </font>
      <alignment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alignment vertical="bottom" textRotation="0" wrapText="0" indent="0" justifyLastLine="0" shrinkToFit="0" readingOrder="0"/>
    </dxf>
    <dxf>
      <border outline="0">
        <bottom style="thin">
          <color rgb="FF000000"/>
        </bottom>
      </border>
    </dxf>
    <dxf>
      <alignment vertical="bottom" textRotation="0" wrapText="1" indent="0" justifyLastLine="0" shrinkToFit="0" readingOrder="0"/>
    </dxf>
    <dxf>
      <numFmt numFmtId="13" formatCode="0%"/>
      <alignment vertical="bottom" textRotation="0" wrapText="0" indent="0" justifyLastLine="0" shrinkToFit="0" readingOrder="0"/>
      <border diagonalUp="0" diagonalDown="0" outline="0">
        <left style="thin">
          <color indexed="64"/>
        </left>
        <right/>
        <top style="thin">
          <color indexed="64"/>
        </top>
        <bottom style="thin">
          <color indexed="64"/>
        </bottom>
      </border>
    </dxf>
    <dxf>
      <alignmen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Segoe UI"/>
        <family val="2"/>
        <scheme val="minor"/>
      </font>
      <alignmen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alignment vertical="bottom" textRotation="0" wrapText="0" indent="0" justifyLastLine="0" shrinkToFit="0" readingOrder="0"/>
    </dxf>
    <dxf>
      <border>
        <bottom style="thin">
          <color rgb="FF000000"/>
        </bottom>
      </border>
    </dxf>
    <dxf>
      <alignment vertical="bottom" textRotation="0" wrapText="1" indent="0" justifyLastLine="0" shrinkToFit="0" readingOrder="0"/>
      <border diagonalUp="0" diagonalDown="0" outline="0">
        <left style="thin">
          <color indexed="64"/>
        </left>
        <right style="thin">
          <color indexed="64"/>
        </right>
        <top/>
        <bottom/>
      </border>
    </dxf>
    <dxf>
      <alignment vertical="bottom" textRotation="0" wrapText="1" indent="0" justifyLastLine="0" shrinkToFit="0" readingOrder="0"/>
      <border diagonalUp="0" diagonalDown="0">
        <left style="thin">
          <color indexed="64"/>
        </left>
        <right/>
        <top style="thin">
          <color indexed="64"/>
        </top>
        <bottom style="thin">
          <color indexed="64"/>
        </bottom>
      </border>
    </dxf>
    <dxf>
      <numFmt numFmtId="3" formatCode="#,##0"/>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3" formatCode="#,##0"/>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alignment horizontal="left"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alignment vertical="bottom" textRotation="0" wrapText="1" indent="0" justifyLastLine="0" shrinkToFit="0" readingOrder="0"/>
    </dxf>
    <dxf>
      <border>
        <bottom style="thin">
          <color rgb="FF000000"/>
        </bottom>
      </border>
    </dxf>
    <dxf>
      <font>
        <b/>
        <i val="0"/>
        <strike val="0"/>
        <condense val="0"/>
        <extend val="0"/>
        <outline val="0"/>
        <shadow val="0"/>
        <u val="none"/>
        <vertAlign val="baseline"/>
        <sz val="11"/>
        <color theme="0"/>
        <name val="Segoe UI"/>
        <family val="2"/>
        <scheme val="minor"/>
      </font>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border>
    </dxf>
    <dxf>
      <numFmt numFmtId="166" formatCode="_(* #,##0_);_(* \(#,##0\);_(* &quot;-&quot;??_);_(@_)"/>
      <fill>
        <patternFill patternType="solid">
          <fgColor indexed="64"/>
          <bgColor theme="0" tint="-4.9989318521683403E-2"/>
        </patternFill>
      </fill>
      <border diagonalUp="0" diagonalDown="0" outline="0">
        <left style="thin">
          <color indexed="64"/>
        </left>
        <right/>
        <top style="thin">
          <color indexed="64"/>
        </top>
        <bottom/>
      </border>
    </dxf>
    <dxf>
      <numFmt numFmtId="166" formatCode="_(* #,##0_);_(* \(#,##0\);_(* &quot;-&quot;??_);_(@_)"/>
      <border diagonalUp="0" diagonalDown="0" outline="0">
        <left style="thin">
          <color indexed="64"/>
        </left>
        <right style="thin">
          <color indexed="64"/>
        </right>
        <top style="thin">
          <color indexed="64"/>
        </top>
        <bottom/>
      </border>
    </dxf>
    <dxf>
      <numFmt numFmtId="166" formatCode="_(* #,##0_);_(* \(#,##0\);_(* &quot;-&quot;??_);_(@_)"/>
      <border diagonalUp="0" diagonalDown="0" outline="0">
        <left style="thin">
          <color indexed="64"/>
        </left>
        <right style="thin">
          <color indexed="64"/>
        </right>
        <top style="thin">
          <color indexed="64"/>
        </top>
        <bottom/>
      </border>
    </dxf>
    <dxf>
      <numFmt numFmtId="166" formatCode="_(* #,##0_);_(* \(#,##0\);_(* &quot;-&quot;??_);_(@_)"/>
      <fill>
        <patternFill patternType="solid">
          <fgColor indexed="64"/>
          <bgColor theme="0" tint="-4.9989318521683403E-2"/>
        </patternFill>
      </fill>
      <border diagonalUp="0" diagonalDown="0" outline="0">
        <left style="thin">
          <color indexed="64"/>
        </left>
        <right style="thin">
          <color indexed="64"/>
        </right>
        <top style="thin">
          <color indexed="64"/>
        </top>
        <bottom/>
      </border>
    </dxf>
    <dxf>
      <numFmt numFmtId="166" formatCode="_(* #,##0_);_(* \(#,##0\);_(* &quot;-&quot;??_);_(@_)"/>
      <border diagonalUp="0" diagonalDown="0" outline="0">
        <left style="thin">
          <color indexed="64"/>
        </left>
        <right style="thin">
          <color indexed="64"/>
        </right>
        <top style="thin">
          <color indexed="64"/>
        </top>
        <bottom/>
      </border>
    </dxf>
    <dxf>
      <numFmt numFmtId="166" formatCode="_(* #,##0_);_(* \(#,##0\);_(* &quot;-&quot;??_);_(@_)"/>
      <border diagonalUp="0" diagonalDown="0" outline="0">
        <left style="thin">
          <color indexed="64"/>
        </left>
        <right style="thin">
          <color indexed="64"/>
        </right>
        <top style="thin">
          <color indexed="64"/>
        </top>
        <bottom/>
      </border>
    </dxf>
    <dxf>
      <numFmt numFmtId="166" formatCode="_(* #,##0_);_(* \(#,##0\);_(* &quot;-&quot;??_);_(@_)"/>
      <fill>
        <patternFill patternType="solid">
          <fgColor indexed="64"/>
          <bgColor theme="0" tint="-4.9989318521683403E-2"/>
        </patternFill>
      </fill>
      <border diagonalUp="0" diagonalDown="0" outline="0">
        <left style="thin">
          <color indexed="64"/>
        </left>
        <right style="thin">
          <color indexed="64"/>
        </right>
        <top style="thin">
          <color indexed="64"/>
        </top>
        <bottom/>
      </border>
    </dxf>
    <dxf>
      <numFmt numFmtId="166" formatCode="_(* #,##0_);_(* \(#,##0\);_(* &quot;-&quot;??_);_(@_)"/>
      <border diagonalUp="0" diagonalDown="0" outline="0">
        <left style="thin">
          <color indexed="64"/>
        </left>
        <right style="thin">
          <color indexed="64"/>
        </right>
        <top style="thin">
          <color indexed="64"/>
        </top>
        <bottom/>
      </border>
    </dxf>
    <dxf>
      <numFmt numFmtId="166" formatCode="_(* #,##0_);_(* \(#,##0\);_(* &quot;-&quot;??_);_(@_)"/>
      <border diagonalUp="0" diagonalDown="0" outline="0">
        <left style="thin">
          <color indexed="64"/>
        </left>
        <right style="thin">
          <color indexed="64"/>
        </right>
        <top style="thin">
          <color indexed="64"/>
        </top>
        <bottom/>
      </border>
    </dxf>
    <dxf>
      <numFmt numFmtId="166" formatCode="_(* #,##0_);_(* \(#,##0\);_(* &quot;-&quot;??_);_(@_)"/>
      <fill>
        <patternFill patternType="solid">
          <fgColor indexed="64"/>
          <bgColor theme="0" tint="-4.9989318521683403E-2"/>
        </patternFill>
      </fill>
      <border diagonalUp="0" diagonalDown="0" outline="0">
        <left style="thin">
          <color indexed="64"/>
        </left>
        <right style="thin">
          <color indexed="64"/>
        </right>
        <top style="thin">
          <color indexed="64"/>
        </top>
        <bottom/>
      </border>
    </dxf>
    <dxf>
      <numFmt numFmtId="166" formatCode="_(* #,##0_);_(* \(#,##0\);_(* &quot;-&quot;??_);_(@_)"/>
      <border diagonalUp="0" diagonalDown="0" outline="0">
        <left style="thin">
          <color indexed="64"/>
        </left>
        <right style="thin">
          <color indexed="64"/>
        </right>
        <top style="thin">
          <color indexed="64"/>
        </top>
        <bottom/>
      </border>
    </dxf>
    <dxf>
      <numFmt numFmtId="166" formatCode="_(* #,##0_);_(* \(#,##0\);_(* &quot;-&quot;??_);_(@_)"/>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Segoe UI"/>
        <family val="2"/>
        <scheme val="minor"/>
      </font>
      <fill>
        <patternFill patternType="solid">
          <fgColor indexed="64"/>
          <bgColor theme="0" tint="-4.9989318521683403E-2"/>
        </patternFill>
      </fill>
      <alignment horizontal="general" vertical="bottom" textRotation="0" wrapText="1" indent="0" justifyLastLine="0" shrinkToFit="0" readingOrder="0"/>
      <border diagonalUp="0" diagonalDown="0" outline="0">
        <left/>
        <right style="thin">
          <color indexed="64"/>
        </right>
        <top style="thin">
          <color indexed="64"/>
        </top>
        <bottom/>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1"/>
        <color theme="0"/>
        <name val="Segoe UI"/>
        <family val="2"/>
        <scheme val="minor"/>
      </font>
      <fill>
        <patternFill patternType="solid">
          <fgColor indexed="64"/>
          <bgColor theme="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strike val="0"/>
        <outline val="0"/>
        <shadow val="0"/>
        <u val="none"/>
        <vertAlign val="baseline"/>
        <name val="Segoe UI"/>
        <family val="2"/>
        <scheme val="minor"/>
      </font>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Segoe UI"/>
        <family val="2"/>
        <scheme val="minor"/>
      </font>
      <fill>
        <patternFill patternType="solid">
          <fgColor indexed="64"/>
          <bgColor theme="0" tint="-4.9989318521683403E-2"/>
        </patternFill>
      </fill>
      <border diagonalUp="0" diagonalDown="0" outline="0">
        <left style="thin">
          <color indexed="64"/>
        </left>
        <right style="thin">
          <color indexed="64"/>
        </right>
        <top style="thin">
          <color indexed="64"/>
        </top>
        <bottom/>
      </border>
    </dxf>
    <dxf>
      <font>
        <strike val="0"/>
        <outline val="0"/>
        <shadow val="0"/>
        <u val="none"/>
        <vertAlign val="baseline"/>
        <name val="Segoe UI"/>
        <family val="2"/>
        <scheme val="minor"/>
      </font>
      <fill>
        <patternFill patternType="solid">
          <fgColor indexed="64"/>
          <bgColor theme="0" tint="-4.9989318521683403E-2"/>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Segoe UI"/>
        <family val="2"/>
        <scheme val="minor"/>
      </font>
      <fill>
        <patternFill patternType="solid">
          <fgColor indexed="64"/>
          <bgColor theme="0" tint="-4.9989318521683403E-2"/>
        </patternFill>
      </fill>
      <alignment horizontal="general" vertical="bottom" textRotation="0" wrapText="1" indent="0" justifyLastLine="0" shrinkToFit="0" readingOrder="0"/>
      <border diagonalUp="0" diagonalDown="0" outline="0">
        <left/>
        <right style="thin">
          <color indexed="64"/>
        </right>
        <top style="thin">
          <color indexed="64"/>
        </top>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name val="Calibri"/>
        <family val="2"/>
        <scheme val="none"/>
      </font>
    </dxf>
    <dxf>
      <border outline="0">
        <bottom style="thin">
          <color rgb="FF000000"/>
        </bottom>
      </border>
    </dxf>
    <dxf>
      <font>
        <b/>
        <i val="0"/>
        <strike val="0"/>
        <condense val="0"/>
        <extend val="0"/>
        <outline val="0"/>
        <shadow val="0"/>
        <u val="none"/>
        <vertAlign val="baseline"/>
        <sz val="11"/>
        <color theme="0"/>
        <name val="Segoe UI"/>
        <family val="2"/>
        <scheme val="minor"/>
      </font>
      <fill>
        <patternFill patternType="solid">
          <fgColor indexed="64"/>
          <bgColor theme="0" tint="-0.499984740745262"/>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Segoe UI"/>
        <family val="2"/>
        <scheme val="major"/>
      </font>
      <fill>
        <patternFill patternType="solid">
          <fgColor indexed="64"/>
          <bgColor theme="0" tint="-4.9989318521683403E-2"/>
        </patternFill>
      </fill>
      <alignment horizontal="left" vertical="bottom"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name val="Segoe UI"/>
        <family val="2"/>
        <scheme val="minor"/>
      </font>
      <alignment horizontal="left"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Segoe UI"/>
        <family val="2"/>
        <scheme val="major"/>
      </font>
      <fill>
        <patternFill patternType="solid">
          <fgColor indexed="64"/>
          <bgColor theme="0" tint="-4.9989318521683403E-2"/>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strike val="0"/>
        <outline val="0"/>
        <shadow val="0"/>
        <u val="none"/>
        <vertAlign val="baseline"/>
        <name val="Segoe UI"/>
        <family val="2"/>
        <scheme val="minor"/>
      </font>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Segoe UI"/>
        <family val="2"/>
        <scheme val="minor"/>
      </font>
      <fill>
        <patternFill patternType="solid">
          <fgColor indexed="64"/>
          <bgColor theme="9" tint="0.59999389629810485"/>
        </patternFill>
      </fill>
      <alignment horizontal="left" vertical="bottom"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1"/>
        <color auto="1"/>
        <name val="Segoe UI"/>
        <family val="2"/>
        <scheme val="minor"/>
      </font>
      <fill>
        <patternFill patternType="solid">
          <fgColor indexed="64"/>
          <bgColor theme="9" tint="0.59999389629810485"/>
        </patternFill>
      </fill>
      <alignment horizontal="left" vertical="bottom" textRotation="0" wrapText="1" indent="0" justifyLastLine="0" shrinkToFit="0" readingOrder="0"/>
      <border diagonalUp="0" diagonalDown="0" outline="0">
        <left/>
        <right style="thin">
          <color indexed="64"/>
        </right>
        <top style="thin">
          <color indexed="64"/>
        </top>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name val="Segoe UI"/>
        <family val="2"/>
        <scheme val="minor"/>
      </font>
    </dxf>
    <dxf>
      <border outline="0">
        <bottom style="thin">
          <color indexed="64"/>
        </bottom>
      </border>
    </dxf>
    <dxf>
      <font>
        <strike val="0"/>
        <outline val="0"/>
        <shadow val="0"/>
        <u val="none"/>
        <vertAlign val="baseline"/>
        <name val="Segoe UI"/>
        <family val="2"/>
        <scheme val="minor"/>
      </font>
    </dxf>
    <dxf>
      <font>
        <b val="0"/>
        <i val="0"/>
        <strike val="0"/>
        <condense val="0"/>
        <extend val="0"/>
        <outline val="0"/>
        <shadow val="0"/>
        <u val="none"/>
        <vertAlign val="baseline"/>
        <sz val="11"/>
        <color theme="1"/>
        <name val="Segoe UI"/>
        <family val="2"/>
        <scheme val="major"/>
      </font>
      <fill>
        <patternFill patternType="solid">
          <fgColor indexed="64"/>
          <bgColor theme="0" tint="-4.9989318521683403E-2"/>
        </patternFill>
      </fill>
      <alignment horizontal="left" vertical="bottom"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name val="Segoe UI"/>
        <family val="2"/>
        <scheme val="minor"/>
      </font>
      <alignment horizontal="left"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Segoe UI"/>
        <family val="2"/>
        <scheme val="major"/>
      </font>
      <fill>
        <patternFill patternType="solid">
          <fgColor indexed="64"/>
          <bgColor theme="0" tint="-4.9989318521683403E-2"/>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strike val="0"/>
        <outline val="0"/>
        <shadow val="0"/>
        <u val="none"/>
        <vertAlign val="baseline"/>
        <name val="Segoe UI"/>
        <family val="2"/>
        <scheme val="minor"/>
      </font>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Segoe UI"/>
        <family val="2"/>
        <scheme val="minor"/>
      </font>
      <fill>
        <patternFill patternType="solid">
          <fgColor indexed="64"/>
          <bgColor theme="9" tint="0.59999389629810485"/>
        </patternFill>
      </fill>
      <alignment horizontal="left" vertical="bottom"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1"/>
        <color auto="1"/>
        <name val="Segoe UI"/>
        <family val="2"/>
        <scheme val="minor"/>
      </font>
      <fill>
        <patternFill patternType="solid">
          <fgColor indexed="64"/>
          <bgColor theme="9" tint="0.59999389629810485"/>
        </patternFill>
      </fill>
      <alignment horizontal="left" vertical="bottom" textRotation="0" wrapText="1" indent="0" justifyLastLine="0" shrinkToFit="0" readingOrder="0"/>
      <border diagonalUp="0" diagonalDown="0" outline="0">
        <left/>
        <right style="thin">
          <color indexed="64"/>
        </right>
        <top style="thin">
          <color indexed="64"/>
        </top>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name val="Segoe UI"/>
        <family val="2"/>
        <scheme val="minor"/>
      </font>
    </dxf>
    <dxf>
      <border outline="0">
        <bottom style="thin">
          <color indexed="64"/>
        </bottom>
      </border>
    </dxf>
    <dxf>
      <font>
        <strike val="0"/>
        <outline val="0"/>
        <shadow val="0"/>
        <u val="none"/>
        <vertAlign val="baseline"/>
        <name val="Segoe UI"/>
        <family val="2"/>
        <scheme val="minor"/>
      </font>
    </dxf>
    <dxf>
      <font>
        <strike val="0"/>
        <outline val="0"/>
        <shadow val="0"/>
        <u val="none"/>
        <vertAlign val="baseline"/>
        <name val="Segoe UI"/>
        <family val="2"/>
        <scheme val="minor"/>
      </font>
      <border diagonalUp="0" diagonalDown="0">
        <left style="thin">
          <color indexed="64"/>
        </left>
        <right/>
        <vertical style="thin">
          <color indexed="64"/>
        </vertical>
      </border>
    </dxf>
    <dxf>
      <font>
        <strike val="0"/>
        <outline val="0"/>
        <shadow val="0"/>
        <u val="none"/>
        <vertAlign val="baseline"/>
        <name val="Segoe UI"/>
        <family val="2"/>
        <scheme val="minor"/>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ont>
        <strike val="0"/>
        <outline val="0"/>
        <shadow val="0"/>
        <u val="none"/>
        <vertAlign val="baseline"/>
        <name val="Segoe UI"/>
        <family val="2"/>
        <scheme val="minor"/>
      </font>
      <border diagonalUp="0" diagonalDown="0">
        <left/>
        <right style="thin">
          <color indexed="64"/>
        </right>
        <vertical style="thin">
          <color indexed="64"/>
        </vertic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Segoe UI"/>
        <family val="2"/>
        <scheme val="minor"/>
      </font>
    </dxf>
    <dxf>
      <border outline="0">
        <bottom style="thin">
          <color indexed="64"/>
        </bottom>
      </border>
    </dxf>
    <dxf>
      <font>
        <strike val="0"/>
        <outline val="0"/>
        <shadow val="0"/>
        <u val="none"/>
        <vertAlign val="baseline"/>
        <name val="Segoe UI"/>
        <family val="2"/>
        <scheme val="minor"/>
      </font>
      <border diagonalUp="0" diagonalDown="0">
        <left style="thin">
          <color indexed="64"/>
        </left>
        <right style="thin">
          <color indexed="64"/>
        </right>
        <vertical style="thin">
          <color indexed="64"/>
        </vertical>
      </border>
    </dxf>
    <dxf>
      <font>
        <strike val="0"/>
        <outline val="0"/>
        <shadow val="0"/>
        <u val="none"/>
        <vertAlign val="baseline"/>
        <name val="Segoe UI"/>
        <family val="2"/>
        <scheme val="minor"/>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name val="Segoe UI"/>
        <family val="2"/>
        <scheme val="minor"/>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Segoe UI"/>
        <family val="2"/>
        <scheme val="minor"/>
      </font>
      <fill>
        <patternFill patternType="solid">
          <fgColor indexed="64"/>
          <bgColor theme="9" tint="0.59999389629810485"/>
        </patternFill>
      </fill>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name val="Segoe UI"/>
        <family val="2"/>
        <scheme val="minor"/>
      </font>
    </dxf>
    <dxf>
      <border outline="0">
        <bottom style="thin">
          <color indexed="64"/>
        </bottom>
      </border>
    </dxf>
    <dxf>
      <font>
        <strike val="0"/>
        <outline val="0"/>
        <shadow val="0"/>
        <u val="none"/>
        <vertAlign val="baseline"/>
        <name val="Segoe UI"/>
        <family val="2"/>
        <scheme val="minor"/>
      </font>
    </dxf>
    <dxf>
      <font>
        <strike val="0"/>
        <outline val="0"/>
        <shadow val="0"/>
        <u val="none"/>
        <vertAlign val="baseline"/>
        <name val="Segoe UI"/>
        <family val="2"/>
        <scheme val="minor"/>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name val="Segoe UI"/>
        <family val="2"/>
        <scheme val="minor"/>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Segoe UI"/>
        <family val="2"/>
        <scheme val="minor"/>
      </font>
      <fill>
        <patternFill patternType="solid">
          <fgColor indexed="64"/>
          <bgColor theme="9" tint="0.59999389629810485"/>
        </patternFill>
      </fill>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name val="Segoe UI"/>
        <family val="2"/>
        <scheme val="minor"/>
      </font>
    </dxf>
    <dxf>
      <border outline="0">
        <bottom style="thin">
          <color indexed="64"/>
        </bottom>
      </border>
    </dxf>
    <dxf>
      <font>
        <strike val="0"/>
        <outline val="0"/>
        <shadow val="0"/>
        <u val="none"/>
        <vertAlign val="baseline"/>
        <name val="Segoe UI"/>
        <family val="2"/>
        <scheme val="minor"/>
      </font>
    </dxf>
    <dxf>
      <font>
        <strike val="0"/>
        <outline val="0"/>
        <shadow val="0"/>
        <u val="none"/>
        <vertAlign val="baseline"/>
        <name val="Segoe UI"/>
        <family val="2"/>
        <scheme val="minor"/>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name val="Segoe UI"/>
        <family val="2"/>
        <scheme val="minor"/>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Segoe UI"/>
        <family val="2"/>
        <scheme val="minor"/>
      </font>
      <fill>
        <patternFill patternType="solid">
          <fgColor indexed="64"/>
          <bgColor theme="9" tint="0.59999389629810485"/>
        </patternFill>
      </fill>
      <alignment horizontal="left" vertical="bottom" textRotation="0" wrapText="1" indent="0" justifyLastLine="0" shrinkToFit="0" readingOrder="0"/>
      <border diagonalUp="0" diagonalDown="0" outline="0">
        <left/>
        <right style="thin">
          <color indexed="64"/>
        </right>
        <top style="thin">
          <color indexed="64"/>
        </top>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name val="Segoe UI"/>
        <family val="2"/>
        <scheme val="minor"/>
      </font>
    </dxf>
    <dxf>
      <border outline="0">
        <bottom style="thin">
          <color indexed="64"/>
        </bottom>
      </border>
    </dxf>
    <dxf>
      <font>
        <strike val="0"/>
        <outline val="0"/>
        <shadow val="0"/>
        <u val="none"/>
        <vertAlign val="baseline"/>
        <name val="Segoe UI"/>
        <family val="2"/>
        <scheme val="minor"/>
      </font>
    </dxf>
    <dxf>
      <font>
        <b val="0"/>
        <i val="0"/>
        <strike val="0"/>
        <condense val="0"/>
        <extend val="0"/>
        <outline val="0"/>
        <shadow val="0"/>
        <u val="none"/>
        <vertAlign val="baseline"/>
        <sz val="11"/>
        <color theme="1"/>
        <name val="Segoe UI"/>
        <family val="2"/>
        <scheme val="major"/>
      </font>
      <alignment horizontal="left" vertical="bottom" textRotation="0" wrapText="0"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1"/>
        <color auto="1"/>
        <name val="Segoe UI"/>
        <family val="2"/>
        <scheme val="minor"/>
      </font>
      <fill>
        <patternFill patternType="solid">
          <fgColor indexed="64"/>
          <bgColor theme="9" tint="0.59999389629810485"/>
        </patternFill>
      </fill>
      <alignment horizontal="left" vertical="bottom" textRotation="0" wrapText="1" indent="0" justifyLastLine="0" shrinkToFit="0" readingOrder="0"/>
      <border diagonalUp="0" diagonalDown="0" outline="0">
        <left/>
        <right style="thin">
          <color indexed="64"/>
        </right>
        <top style="thin">
          <color indexed="64"/>
        </top>
        <bottom/>
      </border>
    </dxf>
    <dxf>
      <font>
        <b/>
        <i val="0"/>
        <strike val="0"/>
        <condense val="0"/>
        <extend val="0"/>
        <outline val="0"/>
        <shadow val="0"/>
        <u val="none"/>
        <vertAlign val="baseline"/>
        <sz val="11"/>
        <color auto="1"/>
        <name val="Segoe UI"/>
        <family val="2"/>
        <scheme val="major"/>
      </font>
      <fill>
        <patternFill patternType="solid">
          <fgColor indexed="64"/>
          <bgColor theme="9" tint="0.59999389629810485"/>
        </patternFill>
      </fill>
      <alignment horizontal="left"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name val="Segoe UI"/>
        <family val="2"/>
        <scheme val="minor"/>
      </font>
    </dxf>
    <dxf>
      <border outline="0">
        <bottom style="thin">
          <color indexed="64"/>
        </bottom>
      </border>
    </dxf>
    <dxf>
      <font>
        <strike val="0"/>
        <outline val="0"/>
        <shadow val="0"/>
        <u val="none"/>
        <vertAlign val="baseline"/>
        <name val="Segoe UI"/>
        <family val="2"/>
        <scheme val="minor"/>
      </font>
    </dxf>
    <dxf>
      <font>
        <b val="0"/>
        <i val="0"/>
        <strike val="0"/>
        <condense val="0"/>
        <extend val="0"/>
        <outline val="0"/>
        <shadow val="0"/>
        <u val="none"/>
        <vertAlign val="baseline"/>
        <sz val="11"/>
        <color theme="8" tint="-0.249977111117893"/>
        <name val="Segoe UI"/>
        <family val="2"/>
        <scheme val="minor"/>
      </font>
      <numFmt numFmtId="34" formatCode="_(&quot;$&quot;* #,##0.00_);_(&quot;$&quot;* \(#,##0.00\);_(&quot;$&quot;* &quot;-&quot;??_);_(@_)"/>
      <fill>
        <patternFill patternType="solid">
          <fgColor indexed="64"/>
          <bgColor theme="8" tint="0.79998168889431442"/>
        </patternFill>
      </fill>
      <alignment horizontal="left" vertical="bottom" textRotation="0" wrapText="0" indent="0" justifyLastLine="0" shrinkToFit="0" readingOrder="0"/>
      <border diagonalUp="0" diagonalDown="0">
        <left style="thin">
          <color indexed="64"/>
        </left>
        <right/>
        <top style="thin">
          <color indexed="64"/>
        </top>
        <bottom style="thin">
          <color indexed="64"/>
        </bottom>
      </border>
      <protection locked="1" hidden="0"/>
    </dxf>
    <dxf>
      <font>
        <strike val="0"/>
        <outline val="0"/>
        <shadow val="0"/>
        <u val="none"/>
        <vertAlign val="baseline"/>
        <sz val="11"/>
        <color auto="1"/>
        <name val="Segoe UI"/>
        <family val="2"/>
        <scheme val="minor"/>
      </font>
      <numFmt numFmtId="34" formatCode="_(&quot;$&quot;* #,##0.00_);_(&quot;$&quot;* \(#,##0.00\);_(&quot;$&quot;* &quot;-&quot;??_);_(@_)"/>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Segoe UI"/>
        <family val="2"/>
        <scheme val="minor"/>
      </font>
      <numFmt numFmtId="34" formatCode="_(&quot;$&quot;* #,##0.00_);_(&quot;$&quot;* \(#,##0.00\);_(&quot;$&quot;* &quot;-&quot;??_);_(@_)"/>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auto="1"/>
        <name val="Segoe UI"/>
        <family val="2"/>
        <scheme val="minor"/>
      </font>
      <numFmt numFmtId="34" formatCode="_(&quot;$&quot;* #,##0.00_);_(&quot;$&quot;* \(#,##0.00\);_(&quot;$&quot;* &quot;-&quot;??_);_(@_)"/>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auto="1"/>
        </patternFill>
      </fill>
      <alignment horizontal="right" vertical="bottom" textRotation="0" wrapText="0" indent="0" justifyLastLine="0" shrinkToFit="0" readingOrder="0"/>
      <border outline="0">
        <right style="thin">
          <color indexed="64"/>
        </right>
      </border>
    </dxf>
    <dxf>
      <font>
        <strike val="0"/>
        <outline val="0"/>
        <shadow val="0"/>
        <u val="none"/>
        <vertAlign val="baseline"/>
        <name val="Segoe U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name val="Segoe UI"/>
        <family val="2"/>
        <scheme val="minor"/>
      </font>
    </dxf>
    <dxf>
      <border outline="0">
        <bottom style="thin">
          <color indexed="64"/>
        </bottom>
      </border>
    </dxf>
    <dxf>
      <font>
        <b/>
        <i val="0"/>
        <strike val="0"/>
        <condense val="0"/>
        <extend val="0"/>
        <outline val="0"/>
        <shadow val="0"/>
        <u val="none"/>
        <vertAlign val="baseline"/>
        <sz val="11"/>
        <color theme="0"/>
        <name val="Segoe UI"/>
        <family val="2"/>
        <scheme val="minor"/>
      </font>
      <numFmt numFmtId="1" formatCode="0"/>
      <fill>
        <patternFill patternType="solid">
          <fgColor indexed="64"/>
          <bgColor theme="3"/>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name val="Segoe UI"/>
        <family val="2"/>
        <scheme val="minor"/>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bottom style="thin">
          <color indexed="64"/>
        </bottom>
      </border>
      <protection locked="0" hidden="0"/>
    </dxf>
    <dxf>
      <font>
        <strike val="0"/>
        <outline val="0"/>
        <shadow val="0"/>
        <u val="none"/>
        <vertAlign val="baseline"/>
        <name val="Segoe U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auto="1"/>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Segoe UI"/>
        <family val="2"/>
        <scheme val="minor"/>
      </font>
      <fill>
        <patternFill patternType="solid">
          <fgColor indexed="64"/>
          <bgColor theme="9" tint="0.39997558519241921"/>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name val="Segoe UI"/>
        <family val="2"/>
        <scheme val="minor"/>
      </font>
      <numFmt numFmtId="3" formatCode="#,##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1"/>
        <color rgb="FF000000"/>
        <name val="Segoe UI"/>
        <family val="2"/>
        <scheme val="minor"/>
      </font>
      <border>
        <left style="thin">
          <color indexed="64"/>
        </left>
      </border>
    </dxf>
    <dxf>
      <font>
        <strike val="0"/>
        <outline val="0"/>
        <shadow val="0"/>
        <u val="none"/>
        <vertAlign val="baseline"/>
        <name val="Segoe UI"/>
        <family val="2"/>
        <scheme val="minor"/>
      </font>
      <border>
        <left style="thin">
          <color indexed="64"/>
        </left>
        <right style="thin">
          <color indexed="64"/>
        </right>
      </border>
    </dxf>
    <dxf>
      <font>
        <strike val="0"/>
        <outline val="0"/>
        <shadow val="0"/>
        <u val="none"/>
        <vertAlign val="baseline"/>
        <name val="Segoe UI"/>
        <family val="2"/>
        <scheme val="minor"/>
      </font>
      <alignment horizontal="right" vertical="bottom" textRotation="0" wrapText="0" indent="0" justifyLastLine="0" shrinkToFit="0" readingOrder="0"/>
      <border outline="0">
        <left style="thin">
          <color indexed="64"/>
        </left>
        <right style="thin">
          <color indexed="64"/>
        </right>
      </border>
    </dxf>
    <dxf>
      <font>
        <strike val="0"/>
        <outline val="0"/>
        <shadow val="0"/>
        <u val="none"/>
        <vertAlign val="baseline"/>
        <name val="Segoe UI"/>
        <family val="2"/>
        <scheme val="minor"/>
      </font>
      <alignment horizontal="right" vertical="bottom" textRotation="0" wrapText="0" indent="0" justifyLastLine="0" shrinkToFit="0" readingOrder="0"/>
      <border outline="0">
        <left style="thin">
          <color indexed="64"/>
        </left>
      </border>
    </dxf>
    <dxf>
      <font>
        <strike val="0"/>
        <outline val="0"/>
        <shadow val="0"/>
        <u val="none"/>
        <vertAlign val="baseline"/>
        <name val="Segoe UI"/>
        <family val="2"/>
        <scheme val="minor"/>
      </font>
      <alignment horizontal="right" vertical="bottom" textRotation="0" wrapText="0" indent="0" justifyLastLine="0" shrinkToFit="0" readingOrder="0"/>
      <border outline="0">
        <left style="thin">
          <color indexed="64"/>
        </left>
      </border>
    </dxf>
    <dxf>
      <font>
        <strike val="0"/>
        <outline val="0"/>
        <shadow val="0"/>
        <u val="none"/>
        <vertAlign val="baseline"/>
        <name val="Segoe UI"/>
        <family val="2"/>
        <scheme val="minor"/>
      </font>
      <alignment horizontal="right" vertical="bottom" textRotation="0" wrapText="0" indent="0" justifyLastLine="0" shrinkToFit="0" readingOrder="0"/>
      <border outline="0">
        <left style="thin">
          <color indexed="64"/>
        </left>
      </border>
    </dxf>
    <dxf>
      <font>
        <b val="0"/>
        <i val="0"/>
        <strike val="0"/>
        <condense val="0"/>
        <extend val="0"/>
        <outline val="0"/>
        <shadow val="0"/>
        <u val="none"/>
        <vertAlign val="baseline"/>
        <sz val="11"/>
        <color rgb="FF000000"/>
        <name val="Segoe UI"/>
        <family val="2"/>
        <scheme val="minor"/>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name val="Segoe UI"/>
        <family val="2"/>
        <scheme val="minor"/>
      </font>
    </dxf>
    <dxf>
      <border outline="0">
        <bottom style="thin">
          <color indexed="64"/>
        </bottom>
      </border>
    </dxf>
    <dxf>
      <font>
        <b/>
        <i val="0"/>
        <strike val="0"/>
        <condense val="0"/>
        <extend val="0"/>
        <outline val="0"/>
        <shadow val="0"/>
        <u val="none"/>
        <vertAlign val="baseline"/>
        <sz val="11"/>
        <color theme="0"/>
        <name val="Segoe UI"/>
        <family val="2"/>
        <scheme val="minor"/>
      </font>
      <fill>
        <patternFill patternType="solid">
          <fgColor indexed="64"/>
          <bgColor theme="3"/>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Segoe UI"/>
        <family val="2"/>
        <scheme val="minor"/>
      </font>
      <fill>
        <patternFill patternType="none">
          <fgColor indexed="64"/>
          <bgColor auto="1"/>
        </patternFill>
      </fill>
      <alignment horizontal="right" vertical="bottom" textRotation="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name val="Segoe UI"/>
        <family val="2"/>
        <scheme val="minor"/>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numFmt numFmtId="166" formatCode="_(* #,##0_);_(* \(#,##0\);_(* &quot;-&quot;??_);_(@_)"/>
      <fill>
        <patternFill patternType="solid">
          <fgColor indexed="64"/>
          <bgColor theme="0"/>
        </patternFill>
      </fill>
      <alignment horizontal="right" vertical="bottom" textRotation="0" wrapText="0" indent="1"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Segoe UI"/>
        <family val="2"/>
        <scheme val="minor"/>
      </font>
      <numFmt numFmtId="167" formatCode="_(&quot;$&quot;* #,##0_);_(&quot;$&quot;* \(#,##0\);_(&quot;$&quot;* &quot;-&quot;??_);_(@_)"/>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auto="1"/>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name val="Segoe U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auto="1"/>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color rgb="FF000000"/>
        <name val="Segoe UI"/>
        <family val="2"/>
        <scheme val="minor"/>
      </font>
      <numFmt numFmtId="0" formatCode="General"/>
      <fill>
        <patternFill patternType="none">
          <fgColor indexed="64"/>
          <bgColor auto="1"/>
        </patternFill>
      </fill>
      <alignment horizontal="right" vertical="bottom" textRotation="0" wrapText="0" indent="0" justifyLastLine="0" shrinkToFit="0" readingOrder="0"/>
      <border diagonalUp="0" diagonalDown="0">
        <left/>
        <right style="thin">
          <color indexed="64"/>
        </right>
        <top style="thin">
          <color indexed="64"/>
        </top>
        <bottom style="thin">
          <color indexed="64"/>
        </bottom>
        <vertical/>
        <horizontal/>
      </border>
      <protection locked="0"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2F75B5"/>
        <name val="Segoe UI"/>
        <family val="2"/>
        <scheme val="minor"/>
      </font>
      <fill>
        <patternFill patternType="solid">
          <fgColor rgb="FF000000"/>
          <bgColor rgb="FFFFFFFF"/>
        </patternFill>
      </fill>
      <alignment horizontal="right" vertical="bottom" textRotation="0" indent="0" justifyLastLine="0" shrinkToFit="0" readingOrder="0"/>
    </dxf>
    <dxf>
      <border>
        <bottom style="thin">
          <color rgb="FF000000"/>
        </bottom>
      </border>
    </dxf>
    <dxf>
      <font>
        <b/>
        <i val="0"/>
        <strike val="0"/>
        <condense val="0"/>
        <extend val="0"/>
        <outline val="0"/>
        <shadow val="0"/>
        <u val="none"/>
        <vertAlign val="baseline"/>
        <sz val="11"/>
        <color theme="0"/>
        <name val="Segoe UI"/>
        <family val="2"/>
        <scheme val="minor"/>
      </font>
      <fill>
        <patternFill patternType="solid">
          <fgColor indexed="64"/>
          <bgColor theme="4"/>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Segoe UI"/>
        <family val="2"/>
        <scheme val="minor"/>
      </font>
      <fill>
        <patternFill patternType="solid">
          <fgColor indexed="64"/>
          <bgColor theme="8" tint="0.79998168889431442"/>
        </patternFill>
      </fill>
      <alignment horizontal="right" vertical="bottom"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Segoe UI"/>
        <family val="2"/>
        <scheme val="minor"/>
      </font>
      <fill>
        <patternFill patternType="solid">
          <fgColor indexed="64"/>
          <bgColor theme="8" tint="0.79998168889431442"/>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Segoe UI"/>
        <family val="2"/>
        <scheme val="minor"/>
      </font>
      <fill>
        <patternFill patternType="solid">
          <fgColor indexed="64"/>
          <bgColor theme="8" tint="0.79998168889431442"/>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Segoe UI"/>
        <family val="2"/>
        <scheme val="minor"/>
      </font>
      <fill>
        <patternFill patternType="solid">
          <fgColor indexed="64"/>
          <bgColor theme="8" tint="0.79998168889431442"/>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Segoe UI"/>
        <family val="2"/>
        <scheme val="minor"/>
      </font>
      <fill>
        <patternFill patternType="solid">
          <fgColor indexed="64"/>
          <bgColor theme="8" tint="0.79998168889431442"/>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Segoe UI"/>
        <family val="2"/>
        <scheme val="minor"/>
      </font>
      <numFmt numFmtId="34" formatCode="_(&quot;$&quot;* #,##0.00_);_(&quot;$&quot;* \(#,##0.00\);_(&quot;$&quot;* &quot;-&quot;??_);_(@_)"/>
      <fill>
        <patternFill patternType="solid">
          <fgColor indexed="64"/>
          <bgColor theme="8" tint="0.79998168889431442"/>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Segoe UI"/>
        <family val="2"/>
        <scheme val="minor"/>
      </font>
      <numFmt numFmtId="34" formatCode="_(&quot;$&quot;* #,##0.00_);_(&quot;$&quot;* \(#,##0.00\);_(&quot;$&quot;* &quot;-&quot;??_);_(@_)"/>
      <fill>
        <patternFill patternType="solid">
          <fgColor indexed="64"/>
          <bgColor theme="8" tint="0.79998168889431442"/>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name val="Segoe UI"/>
        <family val="2"/>
        <scheme val="minor"/>
      </font>
      <numFmt numFmtId="166" formatCode="_(* #,##0_);_(* \(#,##0\);_(* &quot;-&quot;??_);_(@_)"/>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indexed="65"/>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numFmt numFmtId="166" formatCode="_(* #,##0_);_(* \(#,##0\);_(* &quot;-&quot;??_);_(@_)"/>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name val="Segoe UI"/>
        <family val="2"/>
        <scheme val="minor"/>
      </font>
      <fill>
        <patternFill patternType="none">
          <fgColor indexed="64"/>
          <bgColor auto="1"/>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name val="Segoe UI"/>
        <family val="2"/>
        <scheme val="minor"/>
      </font>
      <numFmt numFmtId="0" formatCode="General"/>
      <fill>
        <patternFill patternType="none">
          <fgColor indexed="64"/>
          <bgColor auto="1"/>
        </patternFill>
      </fill>
      <alignment horizontal="right" vertical="bottom" textRotation="0" wrapText="0" indent="0" justifyLastLine="0" shrinkToFit="0" readingOrder="0"/>
      <border diagonalUp="0" diagonalDown="0">
        <left/>
        <right style="thin">
          <color indexed="64"/>
        </right>
        <top style="thin">
          <color indexed="64"/>
        </top>
        <bottom style="thin">
          <color indexed="64"/>
        </bottom>
        <vertical/>
        <horizontal/>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8" tint="-0.249977111117893"/>
        <name val="Segoe UI"/>
        <family val="2"/>
        <scheme val="minor"/>
      </font>
      <fill>
        <patternFill patternType="solid">
          <fgColor indexed="64"/>
          <bgColor theme="0"/>
        </patternFill>
      </fill>
      <alignment horizontal="right" vertical="bottom" textRotation="0" wrapText="0" indent="0" justifyLastLine="0" shrinkToFit="0" readingOrder="0"/>
    </dxf>
    <dxf>
      <border>
        <bottom style="thin">
          <color indexed="64"/>
        </bottom>
      </border>
    </dxf>
    <dxf>
      <font>
        <b/>
        <i val="0"/>
        <strike val="0"/>
        <condense val="0"/>
        <extend val="0"/>
        <outline val="0"/>
        <shadow val="0"/>
        <u val="none"/>
        <vertAlign val="baseline"/>
        <sz val="11"/>
        <color theme="0"/>
        <name val="Segoe UI"/>
        <family val="2"/>
        <scheme val="minor"/>
      </font>
      <fill>
        <patternFill patternType="solid">
          <fgColor indexed="64"/>
          <bgColor theme="4"/>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Segoe UI"/>
        <family val="2"/>
        <scheme val="minor"/>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Segoe UI"/>
        <family val="2"/>
        <scheme val="major"/>
      </font>
      <alignment horizontal="left" vertical="top" textRotation="0" wrapText="0" indent="0" justifyLastLine="0" shrinkToFit="0" readingOrder="0"/>
      <border diagonalUp="0" diagonalDown="0" outline="0">
        <left style="thin">
          <color indexed="64"/>
        </left>
        <right/>
        <top/>
        <bottom style="thin">
          <color indexed="64"/>
        </bottom>
      </border>
    </dxf>
    <dxf>
      <font>
        <strike val="0"/>
        <outline val="0"/>
        <shadow val="0"/>
        <vertAlign val="baseline"/>
        <name val="Segoe UI"/>
        <family val="2"/>
        <scheme val="minor"/>
      </font>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auto="1"/>
        <name val="Segoe UI"/>
        <family val="2"/>
        <scheme val="major"/>
      </font>
      <fill>
        <patternFill patternType="solid">
          <fgColor indexed="64"/>
          <bgColor theme="9" tint="0.59999389629810485"/>
        </patternFill>
      </fill>
      <alignment horizontal="right"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strike val="0"/>
        <outline val="0"/>
        <shadow val="0"/>
        <vertAlign val="baseline"/>
        <name val="Segoe UI"/>
        <family val="2"/>
        <scheme val="minor"/>
      </font>
    </dxf>
    <dxf>
      <border outline="0">
        <bottom style="thin">
          <color indexed="64"/>
        </bottom>
      </border>
    </dxf>
    <dxf>
      <font>
        <strike val="0"/>
        <outline val="0"/>
        <shadow val="0"/>
        <vertAlign val="baseline"/>
        <name val="Segoe U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Segoe UI"/>
        <family val="2"/>
        <scheme val="minor"/>
      </font>
      <alignment horizontal="left"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auto="1"/>
        <name val="Segoe UI"/>
        <family val="2"/>
        <scheme val="minor"/>
      </font>
      <numFmt numFmtId="1" formatCode="0"/>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Segoe UI"/>
        <family val="2"/>
        <scheme val="minor"/>
      </font>
    </dxf>
    <dxf>
      <border>
        <bottom style="thin">
          <color indexed="64"/>
        </bottom>
      </border>
    </dxf>
    <dxf>
      <font>
        <b/>
        <i val="0"/>
        <strike val="0"/>
        <condense val="0"/>
        <extend val="0"/>
        <outline val="0"/>
        <shadow val="0"/>
        <u val="none"/>
        <vertAlign val="baseline"/>
        <sz val="11"/>
        <color auto="1"/>
        <name val="Segoe UI"/>
        <family val="2"/>
        <scheme val="minor"/>
      </font>
      <fill>
        <patternFill patternType="solid">
          <fgColor indexed="64"/>
          <bgColor theme="6" tint="0.5999938962981048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Segoe UI"/>
        <family val="2"/>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Segoe UI"/>
        <family val="2"/>
        <scheme val="minor"/>
      </font>
      <numFmt numFmtId="1" formatCode="0"/>
      <fill>
        <patternFill patternType="solid">
          <fgColor indexed="64"/>
          <bgColor rgb="FFFFFF0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Segoe UI"/>
        <family val="2"/>
        <scheme val="minor"/>
      </font>
      <alignment textRotation="0" wrapText="1" indent="0" justifyLastLine="0" shrinkToFit="0" readingOrder="0"/>
    </dxf>
    <dxf>
      <border>
        <bottom style="thin">
          <color indexed="64"/>
        </bottom>
      </border>
    </dxf>
    <dxf>
      <font>
        <b/>
        <i val="0"/>
        <strike val="0"/>
        <condense val="0"/>
        <extend val="0"/>
        <outline val="0"/>
        <shadow val="0"/>
        <u val="none"/>
        <vertAlign val="baseline"/>
        <sz val="11"/>
        <color auto="1"/>
        <name val="Segoe UI"/>
        <family val="2"/>
        <scheme val="minor"/>
      </font>
      <fill>
        <patternFill patternType="solid">
          <fgColor indexed="64"/>
          <bgColor theme="6" tint="0.5999938962981048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Segoe UI"/>
        <family val="2"/>
        <scheme val="minor"/>
      </font>
      <alignment horizontal="left" vertical="bottom" textRotation="0" wrapText="0"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name val="Segoe UI"/>
        <family val="2"/>
        <scheme val="minor"/>
      </font>
      <alignment horizontal="left"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Segoe UI"/>
        <family val="2"/>
        <scheme val="minor"/>
      </font>
      <alignment horizontal="left" vertical="bottom" textRotation="0" wrapText="0" indent="0" justifyLastLine="0" shrinkToFit="0" readingOrder="0"/>
    </dxf>
    <dxf>
      <border>
        <bottom style="thin">
          <color indexed="64"/>
        </bottom>
      </border>
    </dxf>
    <dxf>
      <font>
        <b/>
        <strike val="0"/>
        <outline val="0"/>
        <shadow val="0"/>
        <u val="none"/>
        <vertAlign val="baseline"/>
        <sz val="11"/>
        <color theme="0"/>
        <name val="Segoe UI"/>
        <family val="2"/>
        <scheme val="minor"/>
      </font>
      <fill>
        <patternFill patternType="solid">
          <fgColor indexed="64"/>
          <bgColor theme="6" tint="-0.499984740745262"/>
        </patternFill>
      </fill>
      <alignment horizontal="left"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none"/>
      </font>
      <fill>
        <patternFill patternType="none">
          <fgColor rgb="FF000000"/>
          <bgColor auto="1"/>
        </patternFill>
      </fill>
    </dxf>
    <dxf>
      <font>
        <b val="0"/>
        <i val="0"/>
        <strike val="0"/>
        <condense val="0"/>
        <extend val="0"/>
        <outline val="0"/>
        <shadow val="0"/>
        <u val="none"/>
        <vertAlign val="baseline"/>
        <sz val="11"/>
        <color auto="1"/>
        <name val="Segoe U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Segoe U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Segoe U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1"/>
        <color auto="1"/>
        <name val="Calibri"/>
        <family val="2"/>
        <scheme val="none"/>
      </font>
      <fill>
        <patternFill patternType="none">
          <fgColor rgb="FF000000"/>
          <bgColor auto="1"/>
        </patternFill>
      </fill>
    </dxf>
    <dxf>
      <border>
        <bottom style="thin">
          <color rgb="FF000000"/>
        </bottom>
      </border>
    </dxf>
    <dxf>
      <font>
        <strike val="0"/>
        <outline val="0"/>
        <shadow val="0"/>
        <u val="none"/>
        <vertAlign val="baseline"/>
        <sz val="11"/>
        <color auto="1"/>
        <name val="Segoe UI"/>
        <family val="2"/>
        <scheme val="minor"/>
      </font>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Segoe U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Segoe U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1"/>
        <color auto="1"/>
        <name val="Segoe UI"/>
        <family val="2"/>
        <scheme val="minor"/>
      </font>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1"/>
        <color auto="1"/>
        <name val="Calibri"/>
        <family val="2"/>
        <scheme val="none"/>
      </font>
      <fill>
        <patternFill patternType="none">
          <fgColor rgb="FF000000"/>
          <bgColor auto="1"/>
        </patternFill>
      </fill>
    </dxf>
    <dxf>
      <border>
        <bottom style="thin">
          <color rgb="FF000000"/>
        </bottom>
      </border>
    </dxf>
    <dxf>
      <font>
        <strike val="0"/>
        <outline val="0"/>
        <shadow val="0"/>
        <u val="none"/>
        <vertAlign val="baseline"/>
        <sz val="11"/>
        <color auto="1"/>
        <name val="Segoe UI"/>
        <family val="2"/>
        <scheme val="minor"/>
      </font>
      <border diagonalUp="0" diagonalDown="0">
        <left style="thin">
          <color indexed="64"/>
        </left>
        <right style="thin">
          <color indexed="64"/>
        </right>
        <top/>
        <bottom/>
        <vertical style="thin">
          <color indexed="64"/>
        </vertical>
        <horizontal style="thin">
          <color indexed="64"/>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xr9:uid="{11066FF2-2CB9-4B27-BA45-3B1C6E61079A}">
      <tableStyleElement type="wholeTable" dxfId="520"/>
    </tableStyle>
  </tableStyles>
  <colors>
    <mruColors>
      <color rgb="FFFF7C80"/>
      <color rgb="FFA9D08E"/>
      <color rgb="FFFFB3B3"/>
      <color rgb="FFFF9B9B"/>
      <color rgb="FFFFFFFF"/>
      <color rgb="FFFFC7CE"/>
      <color rgb="FFFF9999"/>
      <color rgb="FFFFEDB3"/>
      <color rgb="FFE0B4C6"/>
      <color rgb="FFDEEA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4F9C8F53-8216-4F44-B7AB-D5682CD88D35}" name="Val_Overview262" displayName="Val_Overview262" ref="A20:C43" totalsRowShown="0" headerRowDxfId="519" dataDxfId="517" headerRowBorderDxfId="518" tableBorderDxfId="516" totalsRowBorderDxfId="515">
  <autoFilter ref="A20:C43" xr:uid="{44484D70-C387-4BF4-A3C5-5EB1ABEA859B}"/>
  <sortState xmlns:xlrd2="http://schemas.microsoft.com/office/spreadsheetml/2017/richdata2" ref="A21:C43">
    <sortCondition ref="A20:A43"/>
  </sortState>
  <tableColumns count="3">
    <tableColumn id="1" xr3:uid="{EE8CB651-4B2E-467B-8208-FBC10DA43895}" name="Result" dataDxfId="514"/>
    <tableColumn id="2" xr3:uid="{6ED39F33-8680-4E69-B86D-A3A7ED2E014F}" name="Check Category" dataDxfId="513"/>
    <tableColumn id="3" xr3:uid="{164D76FF-5EAE-4C88-9B1E-50F2D8626199}" name="Comment" dataDxfId="512"/>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9C1352A5-DB36-4A7C-8CBD-C853BF195BE4}" name="Findings_Log293" displayName="Findings_Log293" ref="A46:D48" totalsRowShown="0" headerRowDxfId="511" dataDxfId="509" headerRowBorderDxfId="510" tableBorderDxfId="508" totalsRowBorderDxfId="507">
  <autoFilter ref="A46:D48" xr:uid="{1FE48460-676E-491B-8076-CE8FDD41D60D}"/>
  <tableColumns count="4">
    <tableColumn id="1" xr3:uid="{2D1614F7-5348-4924-B6A7-556853B1092C}" name="File, Tab, or Row ID" dataDxfId="506"/>
    <tableColumn id="2" xr3:uid="{D5BE9160-96ED-4F4A-B4D0-8B99476A0D7D}" name="Check Category" dataDxfId="505"/>
    <tableColumn id="3" xr3:uid="{A09AAC04-01AC-428C-8A92-9884DD1265C5}" name="Carrier Instructions" dataDxfId="504"/>
    <tableColumn id="4" xr3:uid="{3D0FE1DC-7815-4E47-B8F6-24B6324CAD34}" name="Feedback from Carrier" dataDxfId="503"/>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2FFAE6EF-DB6C-411C-AC4E-D79E7C295F1D}" name="Contents" displayName="Contents" ref="A13:B25" totalsRowShown="0" headerRowDxfId="502" dataDxfId="500" headerRowBorderDxfId="501" tableBorderDxfId="499" totalsRowBorderDxfId="498">
  <tableColumns count="2">
    <tableColumn id="1" xr3:uid="{D7E47C0B-972F-4529-AF85-2D419BDD7A5C}" name="Tab Name" dataDxfId="497"/>
    <tableColumn id="2" xr3:uid="{9A41763C-6D0C-4C79-8532-EFC1DE8700AD}" name="Contents" dataDxfId="496"/>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16FD7C46-73F9-4C94-8197-C3552DED607E}" name="LPE" displayName="LPE" ref="A31:B56" totalsRowShown="0" headerRowDxfId="495" dataDxfId="493" headerRowBorderDxfId="494" tableBorderDxfId="492" totalsRowBorderDxfId="491">
  <autoFilter ref="A31:B56" xr:uid="{16FD7C46-73F9-4C94-8197-C3552DED607E}">
    <filterColumn colId="0" hiddenButton="1"/>
    <filterColumn colId="1" hiddenButton="1"/>
  </autoFilter>
  <tableColumns count="2">
    <tableColumn id="1" xr3:uid="{B502CDD1-F148-4B2D-A9BD-9B1F72045A9A}" name="Large Provider Entity Code" dataDxfId="490"/>
    <tableColumn id="2" xr3:uid="{6AD0368B-6E32-4350-966C-7A648AF00A5F}" name="Description" dataDxfId="489"/>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C3E3A549-4C75-420D-84F9-2823212A0DF1}" name="INS_Code" displayName="INS_Code" ref="A5:B12" totalsRowShown="0" headerRowDxfId="488" dataDxfId="486" headerRowBorderDxfId="487" tableBorderDxfId="485" totalsRowBorderDxfId="484">
  <tableColumns count="2">
    <tableColumn id="1" xr3:uid="{43E02CF7-D918-4E8D-B437-6D3BE51AEEA4}" name="Insurer Code" dataDxfId="483"/>
    <tableColumn id="2" xr3:uid="{3B212B61-5525-43ED-8664-D19F8732F66D}" name="Description" dataDxfId="482"/>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5BA40DD9-2B0E-4D8F-AF29-398AABEC29DD}" name="CP" displayName="CP" ref="B17:C21" headerRowCount="0" totalsRowShown="0" headerRowDxfId="481" dataDxfId="479" headerRowBorderDxfId="480" tableBorderDxfId="478" totalsRowBorderDxfId="477">
  <tableColumns count="2">
    <tableColumn id="1" xr3:uid="{8E30C6BC-78CA-40F5-A829-935D089B563F}" name="Insurer Name" headerRowDxfId="476" dataDxfId="475"/>
    <tableColumn id="2" xr3:uid="{CAEC3531-474D-4C14-A788-80E307DD508B}" name="Column1" headerRowDxfId="474" dataDxfId="47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31220D4-CE52-4CBD-8C34-0A1FFDA2BD5B}" name="TM" displayName="TM" ref="A11:AC411" totalsRowShown="0" headerRowDxfId="472" dataDxfId="470" headerRowBorderDxfId="471" tableBorderDxfId="469" totalsRowBorderDxfId="468">
  <autoFilter ref="A11:AC411" xr:uid="{131220D4-CE52-4CBD-8C34-0A1FFDA2BD5B}"/>
  <tableColumns count="29">
    <tableColumn id="1" xr3:uid="{E1616F8D-D488-4D8F-9487-03E45C70BB3C}" name="Insurer Code" dataDxfId="467"/>
    <tableColumn id="2" xr3:uid="{5B683E7A-0403-4A9C-AB9F-680201E6D7AF}" name="Reporting Year" dataDxfId="466"/>
    <tableColumn id="3" xr3:uid="{8789AD8C-E1DF-4602-B493-24EB770EDEF6}" name="Insurance Category Code" dataDxfId="465"/>
    <tableColumn id="4" xr3:uid="{E29CEFB3-5B5B-449D-A4F8-1A06E6903279}" name="Large Provider Entity Code" dataDxfId="464"/>
    <tableColumn id="7" xr3:uid="{274949C7-0726-437B-86CC-90B6C0F003CC}" name="Member Months" dataDxfId="463" dataCellStyle="Comma"/>
    <tableColumn id="8" xr3:uid="{11A072D2-78B9-417F-8C78-1D0E6BCCF9FC}" name="Claims: Hospital Inpatient" dataDxfId="462" dataCellStyle="Currency"/>
    <tableColumn id="9" xr3:uid="{6A4791F7-B6E7-42DB-BC56-5C7083AFCDD9}" name="Claims: Hospital Outpatient" dataDxfId="461" dataCellStyle="Currency"/>
    <tableColumn id="10" xr3:uid="{204B570B-AED1-450E-89E7-C44E501C53DD}" name="Claims: Professional, Primary Care Providers" dataDxfId="460" dataCellStyle="Currency"/>
    <tableColumn id="11" xr3:uid="{646F25FA-2A9F-4995-BD1C-149C13A12103}" name="Claims: Professional, Specialty Providers" dataDxfId="459" dataCellStyle="Currency"/>
    <tableColumn id="12" xr3:uid="{E42BB40E-E918-44C5-8DF3-8D677E2368E9}" name="Claims: Professional, Other Providers" dataDxfId="458" dataCellStyle="Currency"/>
    <tableColumn id="13" xr3:uid="{8C0D58C5-9A32-4EAE-B244-8885C17DF1D3}" name="Claims: Long-Term Care" dataDxfId="457" dataCellStyle="Currency"/>
    <tableColumn id="14" xr3:uid="{B59E230E-96E6-4CB5-BA3E-D8D5FB1EB5F0}" name="Claims: Retail Pharmacy" dataDxfId="456" dataCellStyle="Currency"/>
    <tableColumn id="15" xr3:uid="{42FCCC49-F931-4DDA-8585-AE5E36ED676A}" name="Claims: Other" dataDxfId="455" dataCellStyle="Currency"/>
    <tableColumn id="16" xr3:uid="{5BB5B712-7315-4EA2-8112-4A3AA1A39434}" name="Non-Claims: Capitation or Bundled Arrangements" dataDxfId="454" dataCellStyle="Currency"/>
    <tableColumn id="17" xr3:uid="{81DA32BB-B754-47E1-91C0-C665D27BA24F}" name="Non-Claims: Performance Incentives" dataDxfId="453" dataCellStyle="Currency"/>
    <tableColumn id="18" xr3:uid="{896B550B-B5AF-43AA-92C9-0C0D8A9596D8}" name="Non-Claims: Pop Health and Practice Infrastructure" dataDxfId="452" dataCellStyle="Currency"/>
    <tableColumn id="19" xr3:uid="{BD5B5680-FEC9-4AA4-97C1-5EF0165666A3}" name="Non-Claims: Provider Salaries" dataDxfId="451" dataCellStyle="Currency"/>
    <tableColumn id="20" xr3:uid="{0A2D74E4-7C80-487D-8CBD-8C500E3B99C8}" name="Non-Claims: Recovery" dataDxfId="450" dataCellStyle="Currency"/>
    <tableColumn id="21" xr3:uid="{F49CEDE6-CD41-410A-B78D-1CE35328F149}" name="Non-Claims: Other" dataDxfId="449" dataCellStyle="Currency"/>
    <tableColumn id="5" xr3:uid="{F0F81CA9-0061-4036-8357-9299D1A78F36}" name="Non-Claims: Total Primary Care" dataDxfId="448" dataCellStyle="Currency"/>
    <tableColumn id="22" xr3:uid="{B758953F-EB7C-4D67-8B1B-50F30FEBA618}" name="Claims Amount Excluded Due to Truncation" dataDxfId="447" dataCellStyle="Currency"/>
    <tableColumn id="23" xr3:uid="{D953A340-A962-443A-BC8D-EC7FE6EA4299}" name="Member Count with Truncated Claims" dataDxfId="446" dataCellStyle="Comma"/>
    <tableColumn id="24" xr3:uid="{E53C98B7-C443-4E7C-A91A-00A692542B01}" name="Total Non-Truncated Claims Spending" dataDxfId="445" dataCellStyle="Currency">
      <calculatedColumnFormula>SUM(F12:M12)</calculatedColumnFormula>
    </tableColumn>
    <tableColumn id="25" xr3:uid="{6B8D1DE8-53D5-4B8D-9D36-96EF41E439D0}" name="Total Non-Claims Spending" dataDxfId="444" dataCellStyle="Currency">
      <calculatedColumnFormula>SUM(N12:S12)</calculatedColumnFormula>
    </tableColumn>
    <tableColumn id="26" xr3:uid="{B3731A3D-4784-4616-A8D4-0E52B6023490}" name="Total Non-Truncated Claims and Non-Claims Spending" dataDxfId="443" dataCellStyle="Currency">
      <calculatedColumnFormula>W12+X12</calculatedColumnFormula>
    </tableColumn>
    <tableColumn id="27" xr3:uid="{A9779583-2ABF-45D5-AC5B-FF135F381C39}" name="Total Truncated Claims Spending" dataDxfId="442" dataCellStyle="Currency">
      <calculatedColumnFormula>W12-U12</calculatedColumnFormula>
    </tableColumn>
    <tableColumn id="28" xr3:uid="{1FBB3831-5DE1-4432-8B5B-353227BCE4A4}" name="Total Truncated Expenses" dataDxfId="441" dataCellStyle="Currency">
      <calculatedColumnFormula>Z12+X12</calculatedColumnFormula>
    </tableColumn>
    <tableColumn id="29" xr3:uid="{53C8ADC3-ADA2-4058-AB5F-FC67B4DEAC16}" name="Non-Truncated TME PMPM" dataDxfId="440" dataCellStyle="Currency">
      <calculatedColumnFormula>Y12/E12</calculatedColumnFormula>
    </tableColumn>
    <tableColumn id="30" xr3:uid="{19136209-2C13-45C2-A754-A7EB197D120A}" name="Truncated TME PMPM" dataDxfId="439" dataCellStyle="Currency">
      <calculatedColumnFormula>AA12/E12</calculatedColumnFormula>
    </tableColumn>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2CCBD63A-D004-4DC1-92C6-D31CFE827695}" name="AS" displayName="AS" ref="A11:K6411" totalsRowShown="0" headerRowDxfId="438" dataDxfId="436" headerRowBorderDxfId="437" tableBorderDxfId="435" totalsRowBorderDxfId="434">
  <autoFilter ref="A11:K6411" xr:uid="{131220D4-CE52-4CBD-8C34-0A1FFDA2BD5B}"/>
  <tableColumns count="11">
    <tableColumn id="1" xr3:uid="{FAE9A81B-DE8C-416E-9296-41FB45E1F7F5}" name="Insurer Code" dataDxfId="433"/>
    <tableColumn id="2" xr3:uid="{0C02E030-9FA7-44ED-8290-2B54F7D097A5}" name="Reporting Year" dataDxfId="432"/>
    <tableColumn id="3" xr3:uid="{C3FE00D8-EAAD-4D79-91C8-BA636CC6C2EB}" name="Insurance Category Code" dataDxfId="431"/>
    <tableColumn id="4" xr3:uid="{7BA26AA0-EDAB-4652-9627-B88CFE7A2664}" name="Large Provider Entity Code" dataDxfId="430"/>
    <tableColumn id="31" xr3:uid="{1A68992C-8BE4-4553-AB61-1070736D9C1B}" name="Age Band Code" dataDxfId="429"/>
    <tableColumn id="6" xr3:uid="{4FA64870-CAD3-4226-B6D4-C94703F72C90}" name="Sex Code" dataDxfId="428"/>
    <tableColumn id="7" xr3:uid="{956B7ECB-B1EB-4D3A-801B-B80FD058B9A0}" name="Member Months" dataDxfId="427"/>
    <tableColumn id="25" xr3:uid="{A5C04E3A-89C3-4772-924E-E8C505AA1471}" name="Claims Amount Excluded Due to Truncation" dataDxfId="426" dataCellStyle="Currency"/>
    <tableColumn id="23" xr3:uid="{09EB4063-BD39-4AD6-84EF-7A2DDC6F4EE5}" name="Member Count with Truncated Claims" dataDxfId="425" dataCellStyle="Comma"/>
    <tableColumn id="22" xr3:uid="{773CDF31-E779-4139-9E9A-C4352C67042D}" name="Total Non-Truncated Claims Spending" dataDxfId="424" dataCellStyle="Currency"/>
    <tableColumn id="24" xr3:uid="{3D80DE85-62D5-4388-BD60-85143E214FEB}" name="Total Truncated Claims Spending" dataDxfId="423" dataCellStyle="Currency"/>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9E6A5E8-4177-4C40-88E0-7C4954066AFB}" name="SD" displayName="SD" ref="A11:H161" totalsRowShown="0" headerRowDxfId="422" dataDxfId="420" headerRowBorderDxfId="421" tableBorderDxfId="419" totalsRowBorderDxfId="418">
  <autoFilter ref="A11:H161" xr:uid="{89E6A5E8-4177-4C40-88E0-7C4954066AFB}"/>
  <tableColumns count="8">
    <tableColumn id="1" xr3:uid="{B0388178-7CE2-4FF4-A351-375234C4582D}" name="Insurer Code" dataDxfId="417"/>
    <tableColumn id="2" xr3:uid="{A6AB152C-FFF6-4736-8BCF-FA563855AB68}" name="Reporting Year" dataDxfId="416"/>
    <tableColumn id="3" xr3:uid="{31C5F007-3DF8-4C42-A0D5-DE55CB166AE6}" name="Market Code" dataDxfId="415"/>
    <tableColumn id="4" xr3:uid="{53D9D91A-EC4C-45AD-BFD2-9D53DED8A8CE}" name="Large Provider Entity Code" dataDxfId="414"/>
    <tableColumn id="5" xr3:uid="{ED0299E4-EAE0-4EDE-ACA5-031356751CB8}" name="Member Months" dataDxfId="413"/>
    <tableColumn id="6" xr3:uid="{632DECA0-0DDF-405B-B38F-94F471972C30}" name="Total Truncated Claims Spending" dataDxfId="412" dataCellStyle="Currency"/>
    <tableColumn id="7" xr3:uid="{748B022C-8D83-434B-8179-37AFDB782D5C}" name="Standard Deviation PMPM" dataDxfId="411" dataCellStyle="Currency"/>
    <tableColumn id="8" xr3:uid="{DDF62A3F-7638-44BC-95EE-5BFA39139960}" name="TCOC Member Months" dataDxfId="410"/>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5693A72-C5F0-43E8-9CB6-FA4988ED9312}" name="LB" displayName="LB" ref="A11:D33" totalsRowShown="0" headerRowDxfId="409" dataDxfId="407" headerRowBorderDxfId="408">
  <autoFilter ref="A11:D33" xr:uid="{65693A72-C5F0-43E8-9CB6-FA4988ED9312}"/>
  <sortState xmlns:xlrd2="http://schemas.microsoft.com/office/spreadsheetml/2017/richdata2" ref="A12:D34">
    <sortCondition ref="C11:C34"/>
  </sortState>
  <tableColumns count="4">
    <tableColumn id="1" xr3:uid="{F507DEE5-F529-4F1D-800D-C1FB9162F7DB}" name="Insurer Code" dataDxfId="406" dataCellStyle="Normal"/>
    <tableColumn id="2" xr3:uid="{5FC88871-6138-4566-BA09-480DB50C5281}" name="Reporting Year" dataDxfId="405" dataCellStyle="Normal"/>
    <tableColumn id="3" xr3:uid="{6DE85EAC-0C64-4A11-95C0-985AF9460868}" name="Line of Business Category Code" dataDxfId="404" dataCellStyle="Normal"/>
    <tableColumn id="4" xr3:uid="{667AE8B2-7C72-435E-BFEC-0506A96BF55D}" name="Member Months" dataDxfId="403" dataCellStyle="Comma"/>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3FB6216-F516-4FDA-991E-04F608FE0556}" name="RX" displayName="RX" ref="A11:G27" totalsRowShown="0" headerRowDxfId="402" dataDxfId="400" headerRowBorderDxfId="401" tableBorderDxfId="399" totalsRowBorderDxfId="398">
  <autoFilter ref="A11:G27" xr:uid="{63FB6216-F516-4FDA-991E-04F608FE0556}"/>
  <tableColumns count="7">
    <tableColumn id="1" xr3:uid="{9E2B7B6B-983C-4A3E-A22A-4C64397CE23B}" name="Insurer Code" dataDxfId="397"/>
    <tableColumn id="2" xr3:uid="{180D75FD-E3FA-420D-AA86-D5F62A54077C}" name="Reporting Year" dataDxfId="396"/>
    <tableColumn id="3" xr3:uid="{D816DCE1-3013-4618-904C-9970499B04BB}" name="Insurance Category Code" dataDxfId="395"/>
    <tableColumn id="4" xr3:uid="{8DB73AC9-4CDF-4933-AF69-2A0E4219B104}" name="Medical Pharmacy Rebate Amount" dataDxfId="394" dataCellStyle="Currency"/>
    <tableColumn id="5" xr3:uid="{9CFE13FA-10B6-4603-92F3-290AB213E490}" name="Retail Pharmacy Rebate Amount" dataDxfId="393" dataCellStyle="Currency"/>
    <tableColumn id="6" xr3:uid="{E3E67EED-9C82-4934-85D4-D2A0F1DF5B2C}" name="Total Pharmacy Rebate Amount" dataDxfId="392"/>
    <tableColumn id="7" xr3:uid="{1D49F510-89B6-401D-94DF-A7F4DB6BB5E9}" name="Total Medical and Retail Pharmacy Rebate Amount" dataDxfId="391" dataCellStyle="Currency">
      <calculatedColumnFormula>IF(RX[[#This Row],[Total Pharmacy Rebate Amount]]=0,SUM(RX[[#This Row],[Medical Pharmacy Rebate Amount]:[Retail Pharmacy Rebate Amount]]),RX[[#This Row],[Total Pharmacy Rebate Amount]])</calculatedColumnFormula>
    </tableColumn>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30D3091-D88C-4980-A8BF-5F0099DF7A6E}" name="MQa" displayName="MQa" ref="B12:C13" headerRowCount="0" totalsRowShown="0" headerRowDxfId="390" dataDxfId="388" headerRowBorderDxfId="389" tableBorderDxfId="387" totalsRowBorderDxfId="386">
  <tableColumns count="2">
    <tableColumn id="1" xr3:uid="{A29B4DD4-997B-4779-819B-4E1A86288DD7}" name="Authorized Signatory" headerRowDxfId="385" dataDxfId="384"/>
    <tableColumn id="2" xr3:uid="{33B87ADE-5179-4FC7-A5C1-41930296F7C0}" name="Column1" headerRowDxfId="383"/>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2CA0907-FEA7-4781-91F4-EEAF6FD690AD}" name="MQb" displayName="MQb" ref="B16:D24" totalsRowShown="0" headerRowDxfId="382" dataDxfId="380" headerRowBorderDxfId="381" tableBorderDxfId="379" totalsRowBorderDxfId="378">
  <autoFilter ref="B16:D24" xr:uid="{52CA0907-FEA7-4781-91F4-EEAF6FD690AD}">
    <filterColumn colId="0" hiddenButton="1"/>
    <filterColumn colId="1" hiddenButton="1"/>
    <filterColumn colId="2" hiddenButton="1"/>
  </autoFilter>
  <tableColumns count="3">
    <tableColumn id="1" xr3:uid="{4E05DBA4-04E8-4825-B84E-A045654AFC3D}" name="Question" dataDxfId="377"/>
    <tableColumn id="2" xr3:uid="{5E001655-36B1-413A-ACCD-03B91DC183CE}" name="Response" dataDxfId="376"/>
    <tableColumn id="3" xr3:uid="{C1ECB6AD-9B53-4112-A762-36E499D6667F}" name="Comments" dataDxfId="37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30CEAB37-0541-4447-A393-6D764ECC12BE}" name="MQc" displayName="MQc" ref="B27:D38" totalsRowShown="0" headerRowDxfId="374" dataDxfId="372" headerRowBorderDxfId="373" tableBorderDxfId="371" totalsRowBorderDxfId="370">
  <autoFilter ref="B27:D38" xr:uid="{30CEAB37-0541-4447-A393-6D764ECC12BE}">
    <filterColumn colId="0" hiddenButton="1"/>
    <filterColumn colId="1" hiddenButton="1"/>
    <filterColumn colId="2" hiddenButton="1"/>
  </autoFilter>
  <tableColumns count="3">
    <tableColumn id="1" xr3:uid="{63F4B98B-5EF1-436A-9D8B-E75CD176AB56}" name="Question" dataDxfId="369"/>
    <tableColumn id="2" xr3:uid="{FBD918AE-24DD-499A-927E-0ED3CC292048}" name="Response" dataDxfId="368"/>
    <tableColumn id="3" xr3:uid="{3499AC9D-E2F8-4512-83FF-30089DD13E81}" name="Comments" dataDxfId="367"/>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A35A5E62-80D0-44CD-A02F-F94A542201FC}" name="MQd" displayName="MQd" ref="B41:D47" totalsRowShown="0" headerRowDxfId="366" dataDxfId="364" headerRowBorderDxfId="365" tableBorderDxfId="363" totalsRowBorderDxfId="362">
  <autoFilter ref="B41:D47" xr:uid="{A35A5E62-80D0-44CD-A02F-F94A542201FC}">
    <filterColumn colId="0" hiddenButton="1"/>
    <filterColumn colId="1" hiddenButton="1"/>
    <filterColumn colId="2" hiddenButton="1"/>
  </autoFilter>
  <tableColumns count="3">
    <tableColumn id="1" xr3:uid="{26F17F66-03D4-4B6B-9217-65222996FBA8}" name="Question" dataDxfId="361"/>
    <tableColumn id="2" xr3:uid="{8448E16C-D237-4DB9-8924-AD71F05494A4}" name="Response" dataDxfId="360"/>
    <tableColumn id="3" xr3:uid="{690374A9-61C2-4C03-AFCF-069E9468DF68}" name="Comments" dataDxfId="35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F5FF210-C34E-4DF2-9D7F-046EE9900FAD}" name="MQe" displayName="MQe" ref="B50:D54" totalsRowShown="0" headerRowDxfId="358" dataDxfId="356" headerRowBorderDxfId="357" tableBorderDxfId="355">
  <autoFilter ref="B50:D54" xr:uid="{8F5FF210-C34E-4DF2-9D7F-046EE9900FAD}">
    <filterColumn colId="0" hiddenButton="1"/>
    <filterColumn colId="1" hiddenButton="1"/>
    <filterColumn colId="2" hiddenButton="1"/>
  </autoFilter>
  <tableColumns count="3">
    <tableColumn id="1" xr3:uid="{B52F4B2B-592D-4DC3-B7C8-EB66F3E4D766}" name="Question" dataDxfId="354"/>
    <tableColumn id="2" xr3:uid="{0E685E98-E632-40A9-9E5E-EB383D0FE829}" name="Response" dataDxfId="353"/>
    <tableColumn id="3" xr3:uid="{9C4E26BB-4B29-470A-931E-37F9F3C9051B}" name="Comments" dataDxfId="352"/>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C17FE5C5-2AB4-4E42-A47B-6EC8606B10E8}" name="MQg" displayName="MQg" ref="B57:D59" totalsRowShown="0" headerRowDxfId="351" dataDxfId="349" headerRowBorderDxfId="350" tableBorderDxfId="348" totalsRowBorderDxfId="347">
  <autoFilter ref="B57:D59" xr:uid="{C17FE5C5-2AB4-4E42-A47B-6EC8606B10E8}">
    <filterColumn colId="0" hiddenButton="1"/>
    <filterColumn colId="1" hiddenButton="1"/>
    <filterColumn colId="2" hiddenButton="1"/>
  </autoFilter>
  <tableColumns count="3">
    <tableColumn id="1" xr3:uid="{93C1019D-5382-401E-A954-868D5B2BAE9C}" name="Question" dataDxfId="346" totalsRowDxfId="345"/>
    <tableColumn id="2" xr3:uid="{B258E1FE-15B1-413A-833D-00E0BF7AD909}" name="Response" dataDxfId="344" totalsRowDxfId="343"/>
    <tableColumn id="3" xr3:uid="{1B94F433-D33F-495A-B0D2-4574667B4E93}" name="Comments" dataDxfId="342" totalsRowDxfId="341"/>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54390FF-FAC0-4B28-BFF1-EAF29876A5D1}" name="MQh" displayName="MQh" ref="B62:D65" totalsRowShown="0" headerRowDxfId="340" dataDxfId="338" headerRowBorderDxfId="339" tableBorderDxfId="337" totalsRowBorderDxfId="336">
  <autoFilter ref="B62:D65" xr:uid="{554390FF-FAC0-4B28-BFF1-EAF29876A5D1}"/>
  <tableColumns count="3">
    <tableColumn id="1" xr3:uid="{3C2F1BCF-22E7-4806-A229-F7B1436AD588}" name="Question" dataDxfId="335" totalsRowDxfId="334"/>
    <tableColumn id="2" xr3:uid="{AA7B9227-1FE0-4271-A5FA-21DBAD67FF75}" name="Response" dataDxfId="333" totalsRowDxfId="332"/>
    <tableColumn id="3" xr3:uid="{3AFF45A7-86EB-4975-AE53-3B2310344514}" name="Comments" dataDxfId="331" totalsRowDxfId="330"/>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60C43B5-48A3-4B99-A674-6E0921C2C0C0}" name="INS_CD39" displayName="INS_CD39" ref="A7:D8" totalsRowShown="0" headerRowDxfId="329" dataDxfId="327" headerRowBorderDxfId="328" tableBorderDxfId="326" totalsRowBorderDxfId="325">
  <tableColumns count="4">
    <tableColumn id="1" xr3:uid="{CE15061F-69F2-45CA-BEB6-DF2CB3C498E8}" name="Carrier Inputted Insurer Code (Field ID TM01)" dataDxfId="324">
      <calculatedColumnFormula>'2. Total Medical Expenses'!A12</calculatedColumnFormula>
    </tableColumn>
    <tableColumn id="2" xr3:uid="{E751FBBC-D2F2-423A-BDF0-0D93FE3BD5FB}" name="Carrier Inputted Insurer Name (Field ID CP01)" dataDxfId="323">
      <calculatedColumnFormula>'1. Cover Page'!C17</calculatedColumnFormula>
    </tableColumn>
    <tableColumn id="3" xr3:uid="{FBC35B70-FAB1-49C2-815B-8043EDE522EB}" name="Insurer Name Associated With TM01" dataDxfId="322">
      <calculatedColumnFormula array="1">INDEX(INS_Code[Description],MATCH(INS_CD39[Carrier Inputted Insurer Name (Field ID CP01)],INS_Code[Description],0))</calculatedColumnFormula>
    </tableColumn>
    <tableColumn id="4" xr3:uid="{602E3F66-9D88-474D-89A8-CDA5CF22F84C}" name="Insurer Name Aligns with Insurer Code?" dataDxfId="321">
      <calculatedColumnFormula>IF(AND(B8=C8),"Yes", "No")</calculatedColumnFormula>
    </tableColumn>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3C6B5ABD-E029-4188-8A39-4C7F06EA0CB4}" name="PAD_40" displayName="PAD_40" ref="A200:M201" totalsRowShown="0" headerRowDxfId="320" headerRowBorderDxfId="319" tableBorderDxfId="318" totalsRowBorderDxfId="317">
  <autoFilter ref="A200:M201" xr:uid="{1FBA6C11-2A3D-4E07-BB04-BB5ED2DBF2E5}"/>
  <tableColumns count="13">
    <tableColumn id="1" xr3:uid="{925B5290-2D79-4620-B669-DFF02A09E1D9}" name="Carrier Inputted Insurer Code (Field ID TM01)" dataDxfId="316">
      <calculatedColumnFormula>'2. Total Medical Expenses'!A12</calculatedColumnFormula>
    </tableColumn>
    <tableColumn id="2" xr3:uid="{E02549C6-DDF6-46E4-A401-70146E0AE54E}" name="TME Tab Member Months for MA (Insurance Category Codes 1+5+8)" dataDxfId="315" dataCellStyle="Comma">
      <calculatedColumnFormula>IFERROR(B18,"NA")</calculatedColumnFormula>
    </tableColumn>
    <tableColumn id="3" xr3:uid="{0DB170FF-E6AC-4F44-919A-76F330301B2B}" name="CMS Member Months for MA" dataDxfId="314" dataCellStyle="Comma"/>
    <tableColumn id="4" xr3:uid="{A32DE141-9C0B-4D47-9AD8-9A2333A6C19E}" name="MA Member Months Variation" dataDxfId="313" dataCellStyle="Comma">
      <calculatedColumnFormula>IFERROR(ABS(PAD_40[[#This Row],[TME Tab Member Months for MA (Insurance Category Codes 1+5+8)]]-PAD_40[[#This Row],[CMS Member Months for MA]]),"NA")</calculatedColumnFormula>
    </tableColumn>
    <tableColumn id="5" xr3:uid="{4313E9AF-FE49-4C09-9C58-C4DE2B925F4C}" name="TME Tab Member Count (Member Months Divided by 12) for Medicaid MCO (Insurance Category Codes 2+6)" dataDxfId="312" dataCellStyle="Comma">
      <calculatedColumnFormula>IFERROR((B22/12),"NA")</calculatedColumnFormula>
    </tableColumn>
    <tableColumn id="6" xr3:uid="{29CD4E9A-53DE-479D-B2F1-73AF39656C8F}" name="CMS Member Count for Medicaid MCO" dataDxfId="311" dataCellStyle="Comma"/>
    <tableColumn id="7" xr3:uid="{C983E76D-C739-43B0-9D1C-487C3039680C}" name="Medicaid MCO Member Count Variation" dataDxfId="310" dataCellStyle="Comma">
      <calculatedColumnFormula>IFERROR(ABS(PAD_40[[#This Row],[TME Tab Member Count (Member Months Divided by 12) for Medicaid MCO (Insurance Category Codes 2+6)]]-PAD_40[[#This Row],[CMS Member Count for Medicaid MCO]]),"NA")</calculatedColumnFormula>
    </tableColumn>
    <tableColumn id="8" xr3:uid="{57456B14-BAD2-48EE-B5D1-93A32A4C268F}" name="TME Tab Member Months for MA (Insurance Category Codes 1+5+8) " dataDxfId="309" dataCellStyle="Comma">
      <calculatedColumnFormula>IFERROR(I18,"NA")</calculatedColumnFormula>
    </tableColumn>
    <tableColumn id="9" xr3:uid="{E626E462-903E-4A64-A3A6-9EB680A4320E}" name="CMS Member Months for MA " dataDxfId="308" dataCellStyle="Comma"/>
    <tableColumn id="10" xr3:uid="{D45C0C2E-1E6B-492D-8FC0-00F13412E83A}" name="MA Member Months Variation " dataDxfId="307" dataCellStyle="Comma">
      <calculatedColumnFormula>IFERROR(ABS(PAD_40[[#This Row],[TME Tab Member Months for MA (Insurance Category Codes 1+5+8) ]]-PAD_40[[#This Row],[CMS Member Months for MA ]]),"NA")</calculatedColumnFormula>
    </tableColumn>
    <tableColumn id="11" xr3:uid="{25314375-0BBE-4E8D-92CF-8B0DF1DA656A}" name="TME Tab Member Count (Member Months Divided by 12) for Medicaid MCO (Insurance Category Codes 2+6) " dataDxfId="306" dataCellStyle="Comma">
      <calculatedColumnFormula>IFERROR((I22/12),"NA")</calculatedColumnFormula>
    </tableColumn>
    <tableColumn id="12" xr3:uid="{C752D742-3912-4DA3-B032-90342930AE16}" name="CMS Member Count for Medicaid MCO " dataDxfId="305" dataCellStyle="Comma"/>
    <tableColumn id="13" xr3:uid="{6030247B-A947-4F9D-90E9-F2B9B17B2C21}" name="Medicaid MCO Member Count Variation " dataDxfId="304" dataCellStyle="Comma">
      <calculatedColumnFormula>IFERROR(ABS(PAD_40[[#This Row],[TME Tab Member Count (Member Months Divided by 12) for Medicaid MCO (Insurance Category Codes 2+6) ]]-PAD_40[[#This Row],[CMS Member Count for Medicaid MCO ]]),"NA")</calculatedColumnFormula>
    </tableColumn>
  </tableColumns>
  <tableStyleInfo name="TableStyleLight1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E95C037B-E8C6-419B-A4BD-98C8D6B3507A}" name="Table147" displayName="Table147" ref="A7:D19" totalsRowShown="0" headerRowDxfId="303" dataDxfId="301" headerRowBorderDxfId="302" tableBorderDxfId="300" totalsRowBorderDxfId="299">
  <autoFilter ref="A7:D19" xr:uid="{F8A6EEAB-3FCD-4EE6-B4B6-8D0E40A04794}"/>
  <tableColumns count="4">
    <tableColumn id="1" xr3:uid="{D521C54A-E38B-4082-8500-206C4B19A31A}" name="Insurance Category" dataDxfId="298"/>
    <tableColumn id="2" xr3:uid="{39821DB3-83C8-4E3A-B409-80418568099E}" name="2024" dataDxfId="297"/>
    <tableColumn id="3" xr3:uid="{D26D3836-0F8F-4834-8C05-FC8E0B2230D5}" name="2025" dataDxfId="296"/>
    <tableColumn id="4" xr3:uid="{15339577-D8C3-454F-A66F-745E39DE9D80}" name="Trend" dataDxfId="295" dataCellStyle="Percent">
      <calculatedColumnFormula>IFERROR(Table147[[#This Row],[2025]]/Table147[[#This Row],[2024]]-1,"NA")</calculatedColumnFormula>
    </tableColumn>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88F41DAA-ADE9-446C-8854-102549582932}" name="Table948" displayName="Table948" ref="A24:D48" totalsRowShown="0" headerRowDxfId="294" dataDxfId="292" headerRowBorderDxfId="293" tableBorderDxfId="291" totalsRowBorderDxfId="290">
  <autoFilter ref="A24:D48" xr:uid="{172502A7-3A31-4DA6-BCA3-3530E2BA6C83}"/>
  <tableColumns count="4">
    <tableColumn id="1" xr3:uid="{64B7B605-FF7E-4633-9DC3-94B1C2F2EC32}" name="Service Category" dataDxfId="289"/>
    <tableColumn id="2" xr3:uid="{73CD2B2E-DF1E-4E75-89C1-FDEE535B20F0}" name="2024" dataDxfId="288"/>
    <tableColumn id="3" xr3:uid="{5AA2AC59-F56B-4E12-A555-401CB379275E}" name="2025" dataDxfId="287"/>
    <tableColumn id="4" xr3:uid="{88BEF8A8-7CA2-492D-A646-1F16270031A7}" name="Trend" dataDxfId="286" dataCellStyle="Percent"/>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6944F64A-5F05-4E17-9560-9C33630D6EAC}" name="Table91149" displayName="Table91149" ref="F24:I48" totalsRowShown="0" headerRowDxfId="285" dataDxfId="283" headerRowBorderDxfId="284" tableBorderDxfId="282" totalsRowBorderDxfId="281">
  <autoFilter ref="F24:I48" xr:uid="{411F9C71-08E9-4599-82C5-E5A1DE347FA2}"/>
  <tableColumns count="4">
    <tableColumn id="1" xr3:uid="{3D3A2865-8714-49A5-BBFD-E01F77121243}" name="Service Category" dataDxfId="280"/>
    <tableColumn id="2" xr3:uid="{40AA7258-9E47-471C-9A4C-443E4800BD9E}" name="2024" dataDxfId="279"/>
    <tableColumn id="3" xr3:uid="{1FEFA0FD-A96D-4A85-86F4-DFCB49CE78C5}" name="2025" dataDxfId="278"/>
    <tableColumn id="4" xr3:uid="{9E85BD99-929F-4363-8AAF-E3C2A862440E}" name="Trend" dataDxfId="277" dataCellStyle="Percent"/>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B00F5EA9-D7B3-4815-95ED-13360F2C6E9D}" name="Table9111250" displayName="Table9111250" ref="K24:N48" totalsRowShown="0" headerRowDxfId="276" dataDxfId="274" headerRowBorderDxfId="275" tableBorderDxfId="273" totalsRowBorderDxfId="272">
  <autoFilter ref="K24:N48" xr:uid="{51B6B9E7-41B2-4662-844A-099D1CB9855B}"/>
  <tableColumns count="4">
    <tableColumn id="1" xr3:uid="{D231DDEB-6D74-47C3-8310-B1DDD08B5CD1}" name="Service Category" dataDxfId="271"/>
    <tableColumn id="2" xr3:uid="{36347533-6DD6-46C4-AFCA-6517E3AEFD8E}" name="2024" dataDxfId="270"/>
    <tableColumn id="3" xr3:uid="{9411CBD9-0340-4992-9C51-0B13DCBC811E}" name="2025" dataDxfId="269"/>
    <tableColumn id="4" xr3:uid="{53C67F70-74C3-43B6-9188-F9B1D90FD4F4}" name="Trend" dataDxfId="268" dataCellStyle="Percent">
      <calculatedColumnFormula>IFERROR(Table91149[[#This Row],[2025]]/Table91149[[#This Row],[2024]]-1,"NA")</calculatedColumnFormula>
    </tableColumn>
  </tableColumns>
  <tableStyleInfo name="Table Style 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6E30C15A-A190-4869-8EDC-50303AEF7FD5}" name="Table91351" displayName="Table91351" ref="A53:D77" totalsRowShown="0" headerRowDxfId="267" dataDxfId="265" headerRowBorderDxfId="266" tableBorderDxfId="264" totalsRowBorderDxfId="263">
  <autoFilter ref="A53:D77" xr:uid="{E0F416C0-94E3-4E92-8AD8-A5B317BF7A23}"/>
  <tableColumns count="4">
    <tableColumn id="1" xr3:uid="{24D7AEEE-94F8-483C-9DBC-7BAAC9E21A34}" name="Service Category" dataDxfId="262"/>
    <tableColumn id="2" xr3:uid="{A79A033A-2FD5-466F-87BF-A18DFBA8319B}" name="2024" dataDxfId="261"/>
    <tableColumn id="3" xr3:uid="{802E0E31-166B-479F-B62F-655FAF99ACFC}" name="2025" dataDxfId="260"/>
    <tableColumn id="4" xr3:uid="{491C64AE-7A41-485D-90EA-4CB84F9C6C95}" name="Trend" dataDxfId="259" dataCellStyle="Percent">
      <calculatedColumnFormula>IFERROR(Table91351[[#This Row],[2025]]/Table91351[[#This Row],[2024]]-1,"NA")</calculatedColumnFormula>
    </tableColumn>
  </tableColumns>
  <tableStyleInfo name="Table Style 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C32BEE23-17E6-45DA-AEBB-3A36DF6A245E}" name="Table9111452" displayName="Table9111452" ref="F53:I77" totalsRowShown="0" headerRowDxfId="258" dataDxfId="256" headerRowBorderDxfId="257" tableBorderDxfId="255" totalsRowBorderDxfId="254">
  <autoFilter ref="F53:I77" xr:uid="{4127BC55-7775-4171-A3AB-CFEA4FF7A9F7}"/>
  <tableColumns count="4">
    <tableColumn id="1" xr3:uid="{6B9609AA-0739-4F01-AA47-3A6D4D0B2B01}" name="Service Category" dataDxfId="253"/>
    <tableColumn id="2" xr3:uid="{CD4ABF2F-6EDF-49F2-ADB4-E7DA48E74095}" name="2024" dataDxfId="252"/>
    <tableColumn id="3" xr3:uid="{689E814C-2AD4-4043-9C0C-1F52E1D3DA89}" name="2025" dataDxfId="251"/>
    <tableColumn id="4" xr3:uid="{CB5CA673-473D-41DD-8BDC-38D183B4118F}" name="Trend" dataDxfId="250" dataCellStyle="Percent"/>
  </tableColumns>
  <tableStyleInfo name="Table Style 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AC7ED383-2985-4D51-AE4A-598319E4AB2A}" name="Table911121553" displayName="Table911121553" ref="K53:N77" totalsRowShown="0" headerRowDxfId="249" dataDxfId="247" headerRowBorderDxfId="248" tableBorderDxfId="246" totalsRowBorderDxfId="245">
  <autoFilter ref="K53:N77" xr:uid="{D475C88F-AE01-424A-B658-3EB099F80FE6}"/>
  <tableColumns count="4">
    <tableColumn id="1" xr3:uid="{12BB045A-8690-4A4B-B3B3-56CE2DFCF6D1}" name="Service Category" dataDxfId="244"/>
    <tableColumn id="2" xr3:uid="{475B3C57-B7F4-45F9-8B4A-885E82596B75}" name="2024" dataDxfId="243" dataCellStyle="Currency"/>
    <tableColumn id="3" xr3:uid="{6E8CBCCF-0C2F-4031-95E7-EBB24CD8F99E}" name="2025" dataDxfId="242" dataCellStyle="Currency"/>
    <tableColumn id="4" xr3:uid="{A405ED75-E2FD-4A03-BBBC-E4BCE2C29D89}" name="Trend" dataDxfId="241" dataCellStyle="Percent">
      <calculatedColumnFormula>IFERROR(N53/R51,"NA")</calculatedColumnFormula>
    </tableColumn>
  </tableColumns>
  <tableStyleInfo name="Table Style 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71A80C70-F3E2-4734-95DC-B71D8FBC73A6}" name="Table9131654" displayName="Table9131654" ref="A82:D106" totalsRowShown="0" headerRowDxfId="240" dataDxfId="238" headerRowBorderDxfId="239" tableBorderDxfId="237" totalsRowBorderDxfId="236">
  <autoFilter ref="A82:D106" xr:uid="{F0A6272A-F5C4-4B40-A181-D00C4DE09CC4}"/>
  <tableColumns count="4">
    <tableColumn id="1" xr3:uid="{89B9BB8F-4338-4C3C-BE2D-6CAA7E7D773B}" name="Service Category" dataDxfId="235"/>
    <tableColumn id="2" xr3:uid="{8B6B8CD0-1099-4C1C-9F5E-47DF7B57A920}" name="2024" dataDxfId="234"/>
    <tableColumn id="3" xr3:uid="{FD2B8D30-CD8E-4BE4-A657-BEE5053F7E5D}" name="2025" dataDxfId="233"/>
    <tableColumn id="4" xr3:uid="{B394D7FD-3A72-4D20-BFAB-A6E59395FBEA}" name="Trend" dataDxfId="232" dataCellStyle="Percent"/>
  </tableColumns>
  <tableStyleInfo name="Table Style 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64A87F69-8E52-4B04-B85F-245147B36363}" name="Table911141755" displayName="Table911141755" ref="F82:I106" totalsRowShown="0" headerRowDxfId="231" dataDxfId="229" headerRowBorderDxfId="230" tableBorderDxfId="228" totalsRowBorderDxfId="227">
  <autoFilter ref="F82:I106" xr:uid="{A54386EF-4090-447C-8827-539F6CA1B6B5}"/>
  <tableColumns count="4">
    <tableColumn id="1" xr3:uid="{8E7D5B34-F312-4170-A2B8-3458D23546E2}" name="Service Category" dataDxfId="226"/>
    <tableColumn id="2" xr3:uid="{0E9CB8D9-CC83-473F-A95C-A6F712392980}" name="2024" dataDxfId="225"/>
    <tableColumn id="3" xr3:uid="{4C15D8C4-2082-4342-A6D1-9479991DB708}" name="2025" dataDxfId="224"/>
    <tableColumn id="4" xr3:uid="{401F1281-F31D-4216-B444-00F9C175756E}" name="Trend" dataDxfId="223" dataCellStyle="Percent"/>
  </tableColumns>
  <tableStyleInfo name="Table Style 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C91273A3-FFB5-483F-AF47-EB6BB20689C5}" name="Table91112151856" displayName="Table91112151856" ref="K82:N106" totalsRowShown="0" headerRowDxfId="222" dataDxfId="220" headerRowBorderDxfId="221" tableBorderDxfId="219" totalsRowBorderDxfId="218">
  <autoFilter ref="K82:N106" xr:uid="{249079E1-2A48-455D-9E2F-95B4F246A2DF}"/>
  <tableColumns count="4">
    <tableColumn id="1" xr3:uid="{E805C3D9-C402-4F0C-A8EE-54A7686BEB3A}" name="Service Category" dataDxfId="217"/>
    <tableColumn id="2" xr3:uid="{80987E14-EB4D-4ABA-8BC9-40AC91E6CA53}" name="2024" dataDxfId="216"/>
    <tableColumn id="3" xr3:uid="{C475EB79-B17D-4CFE-8007-9DB6B8572569}" name="2025" dataDxfId="215"/>
    <tableColumn id="4" xr3:uid="{21A3905B-9C57-4DD0-BF39-3B979A4FD7A8}" name="Trend" dataDxfId="214" dataCellStyle="Percent">
      <calculatedColumnFormula>IFERROR(Table91112151856[[#This Row],[2025]]/Table91112151856[[#This Row],[2024]]-1,"NA")</calculatedColumnFormula>
    </tableColumn>
  </tableColumns>
  <tableStyleInfo name="Table Style 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2BD86A4B-F2FC-4AA1-A65C-C71E43BD3B35}" name="Table911122757" displayName="Table911122757" ref="P24:S48" totalsRowShown="0" headerRowDxfId="213" dataDxfId="211" headerRowBorderDxfId="212" tableBorderDxfId="210" totalsRowBorderDxfId="209">
  <autoFilter ref="P24:S48" xr:uid="{EA46EDCC-F95B-4CA9-AF32-9F86111AF30A}"/>
  <tableColumns count="4">
    <tableColumn id="1" xr3:uid="{9FBEF2EA-4981-4245-8A9C-12309C132AB4}" name="Service Category" dataDxfId="208"/>
    <tableColumn id="2" xr3:uid="{3E82E5A7-CC6B-48B8-B6BC-0B1BDA2A1F6E}" name="2024" dataDxfId="207"/>
    <tableColumn id="3" xr3:uid="{7F337F8C-E7C2-42E5-9B48-2328AF3AA8F5}" name="2025" dataDxfId="206"/>
    <tableColumn id="4" xr3:uid="{D7091569-9B52-429F-87ED-0C2B18D37B51}" name="Trend" dataDxfId="205" dataCellStyle="Percent">
      <calculatedColumnFormula>IFERROR(Table911122757[[#This Row],[2025]]/Table911122757[[#This Row],[2024]]-1,"NA")</calculatedColumnFormula>
    </tableColumn>
  </tableColumns>
  <tableStyleInfo name="Table Style 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304B11A0-CBDE-49F2-B8AE-0BD05BF6F816}" name="Table91112152858" displayName="Table91112152858" ref="P53:S77" totalsRowShown="0" headerRowDxfId="204" dataDxfId="202" headerRowBorderDxfId="203" tableBorderDxfId="201" totalsRowBorderDxfId="200">
  <autoFilter ref="P53:S77" xr:uid="{94D9640B-37E2-4016-BFCE-097A246F040C}"/>
  <tableColumns count="4">
    <tableColumn id="1" xr3:uid="{9E317AD5-4409-448D-8DFB-1B7B01EE8D44}" name="Service Category" dataDxfId="199"/>
    <tableColumn id="2" xr3:uid="{259020E5-51D9-4056-B9B3-CE1AC1A53489}" name="2024" dataDxfId="198" dataCellStyle="Currency"/>
    <tableColumn id="3" xr3:uid="{1753E092-5B79-4C25-BBB7-42CF20F2B8EE}" name="2025" dataDxfId="197" dataCellStyle="Currency"/>
    <tableColumn id="4" xr3:uid="{20924BA4-9104-4446-8859-E201C30F2D20}" name="Trend" dataDxfId="196" dataCellStyle="Percent">
      <calculatedColumnFormula>IFERROR(Table91112152858[[#This Row],[2025]]/Table91112152858[[#This Row],[2024]]-1,"NA")</calculatedColumnFormula>
    </tableColumn>
  </tableColumns>
  <tableStyleInfo name="Table Style 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77E81E53-6218-4C6C-9B9C-99C109104990}" name="Table174159" displayName="Table174159" ref="F7:I19" totalsRowShown="0" headerRowDxfId="195" dataDxfId="193" headerRowBorderDxfId="194" tableBorderDxfId="192" totalsRowBorderDxfId="191">
  <autoFilter ref="F7:I19" xr:uid="{5EC0B0A8-BA18-4195-B6CA-7DE3170AF062}"/>
  <tableColumns count="4">
    <tableColumn id="1" xr3:uid="{3ADAB6FE-3024-4D9B-B063-E7F05B7E0E27}" name="Insurance Category" dataDxfId="190"/>
    <tableColumn id="2" xr3:uid="{9C6DEDD8-0AB7-4183-86FF-F811E7DDCE91}" name="2024" dataDxfId="189" dataCellStyle="Currency"/>
    <tableColumn id="3" xr3:uid="{66E6158B-A4BF-4BC5-971B-C0CD52A5A408}" name="2025" dataDxfId="188" dataCellStyle="Currency"/>
    <tableColumn id="4" xr3:uid="{95D18AE8-B0F8-46D8-958B-788EC7E3A653}" name="Trend" dataDxfId="187" dataCellStyle="Percent">
      <calculatedColumnFormula>IFERROR(Table174159[[#This Row],[2025]]/Table174159[[#This Row],[2024]]-1,"NA")</calculatedColumnFormula>
    </tableColumn>
  </tableColumns>
  <tableStyleInfo name="Table Style 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75E4067F-AB05-4E25-91BB-6FF017B7A126}" name="Table1784260" displayName="Table1784260" ref="K7:N19" totalsRowShown="0" headerRowDxfId="186" dataDxfId="184" headerRowBorderDxfId="185" tableBorderDxfId="183" totalsRowBorderDxfId="182">
  <autoFilter ref="K7:N19" xr:uid="{A7132EF3-6F75-4A22-98B5-C1E5A74B671E}"/>
  <tableColumns count="4">
    <tableColumn id="1" xr3:uid="{C453C91B-EA65-4659-9836-381E857EA463}" name="Insurance Category" dataDxfId="181"/>
    <tableColumn id="2" xr3:uid="{B078499D-30F6-49AF-A97F-1128FE440A6B}" name="2024" dataDxfId="180" dataCellStyle="Currency"/>
    <tableColumn id="3" xr3:uid="{DA6A5B86-D1DF-47E1-8D25-56CDC82E537B}" name="2025" dataDxfId="179" dataCellStyle="Currency">
      <calculatedColumnFormula>IFERROR(Table174159[[#This Row],[2025]]/Table147[[#This Row],[2025]],"NA")</calculatedColumnFormula>
    </tableColumn>
    <tableColumn id="4" xr3:uid="{658DE60C-49A3-43DF-A40A-1E91CF0FA5BC}" name="Trend" dataDxfId="178" dataCellStyle="Percent">
      <calculatedColumnFormula>IFERROR(Table1784260[[#This Row],[2025]]/Table1784260[[#This Row],[2024]]-1,"NA")</calculatedColumnFormula>
    </tableColumn>
  </tableColumns>
  <tableStyleInfo name="Table Style 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C561A1BD-9B40-4236-B5AE-3511F2DD447D}" name="MC_2023" displayName="MC_2023" ref="A14:C21" totalsRowShown="0">
  <autoFilter ref="A14:C21" xr:uid="{C561A1BD-9B40-4236-B5AE-3511F2DD447D}"/>
  <tableColumns count="3">
    <tableColumn id="1" xr3:uid="{DBFB7CCE-7856-4ADA-AF69-24C26679D397}" name="year"/>
    <tableColumn id="2" xr3:uid="{3E78AC45-0C10-4938-9AE2-7EEC4B6A4FF9}" name="INSURER_CODE"/>
    <tableColumn id="3" xr3:uid="{1144A7C7-9B6C-4BDF-962D-C4B775EB6F73}" name="Enrolled_Totals"/>
  </tableColumns>
  <tableStyleInfo name="TableStyleLight1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F77FA876-F429-4BF8-B5D6-2A79F6B071E0}" name="MA_2024" displayName="MA_2024" ref="A24:C31" totalsRowShown="0">
  <autoFilter ref="A24:C31" xr:uid="{F77FA876-F429-4BF8-B5D6-2A79F6B071E0}"/>
  <sortState xmlns:xlrd2="http://schemas.microsoft.com/office/spreadsheetml/2017/richdata2" ref="A25:C31">
    <sortCondition ref="B24:B31"/>
  </sortState>
  <tableColumns count="3">
    <tableColumn id="1" xr3:uid="{85A65744-2659-4026-9ECC-18129B2F5050}" name="year"/>
    <tableColumn id="2" xr3:uid="{FDA85775-E745-457D-BAFB-49BBDBADFEEA}" name="INSURER_CODE"/>
    <tableColumn id="3" xr3:uid="{D962BE87-7997-42D3-AC6D-16B46FD5DE59}" name="Enrolled_Totals"/>
  </tableColumns>
  <tableStyleInfo name="TableStyleLight1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DFC30AF9-E7C7-4174-8DE7-8110C1D517E9}" name="MA_2023" displayName="MA_2023" ref="A4:C11" totalsRowShown="0">
  <autoFilter ref="A4:C11" xr:uid="{DFC30AF9-E7C7-4174-8DE7-8110C1D517E9}"/>
  <tableColumns count="3">
    <tableColumn id="1" xr3:uid="{7DA56F43-EDBD-402C-9AF8-95665EE9ABD6}" name="year"/>
    <tableColumn id="2" xr3:uid="{C2592022-FACC-4839-9E73-BDEE290402AA}" name="INSURER_CODE"/>
    <tableColumn id="3" xr3:uid="{5B37084A-A165-40D0-8B20-FF68CF7E6AD5}" name="Enrolled_Totals" dataDxfId="177" dataCellStyle="Comma"/>
  </tableColumns>
  <tableStyleInfo name="TableStyleLight1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1226D123-EC09-4936-8840-5B2871DDAD05}" name="MC_2024" displayName="MC_2024" ref="A34:C41" totalsRowShown="0">
  <autoFilter ref="A34:C41" xr:uid="{1226D123-EC09-4936-8840-5B2871DDAD05}"/>
  <sortState xmlns:xlrd2="http://schemas.microsoft.com/office/spreadsheetml/2017/richdata2" ref="A35:C41">
    <sortCondition ref="B24:B31"/>
  </sortState>
  <tableColumns count="3">
    <tableColumn id="1" xr3:uid="{30ABA21B-A2BE-46B9-B94C-41CECB49CBC5}" name="year"/>
    <tableColumn id="2" xr3:uid="{661F0B95-60AB-4383-B2C0-8DCBCBA902F4}" name="INSURER_CODE"/>
    <tableColumn id="3" xr3:uid="{EB71BA4D-27CF-41A5-9E32-4C9390AB7DCA}" name="Enrolled_Totals"/>
  </tableColumns>
  <tableStyleInfo name="TableStyleLight1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F1DC77AC-F436-45DA-8108-4AC0F8975D2C}" name="MA_2025" displayName="MA_2025" ref="A44:C51" totalsRowShown="0">
  <autoFilter ref="A44:C51" xr:uid="{F1DC77AC-F436-45DA-8108-4AC0F8975D2C}"/>
  <sortState xmlns:xlrd2="http://schemas.microsoft.com/office/spreadsheetml/2017/richdata2" ref="A45:C51">
    <sortCondition ref="B24:B31"/>
  </sortState>
  <tableColumns count="3">
    <tableColumn id="1" xr3:uid="{7361117C-61EA-4A2C-865D-A6047DA51114}" name="year"/>
    <tableColumn id="2" xr3:uid="{05ADB1D0-83F5-48EB-A1C6-09BA37169E1E}" name="INSURER_CODE"/>
    <tableColumn id="3" xr3:uid="{07F5E3AE-1608-4771-B43A-C83DA9069DD8}" name="Enrolled_Totals" dataDxfId="176" dataCellStyle="Comma"/>
  </tableColumns>
  <tableStyleInfo name="TableStyleLight1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DCECAF93-816C-4172-8861-BC98FD93B47E}" name="MC_2025" displayName="MC_2025" ref="A54:C61" totalsRowShown="0">
  <autoFilter ref="A54:C61" xr:uid="{DCECAF93-816C-4172-8861-BC98FD93B47E}"/>
  <sortState xmlns:xlrd2="http://schemas.microsoft.com/office/spreadsheetml/2017/richdata2" ref="A55:C61">
    <sortCondition ref="B24:B31"/>
  </sortState>
  <tableColumns count="3">
    <tableColumn id="1" xr3:uid="{63F3DDFC-7F58-42C7-81A3-50BD793AA318}" name="year"/>
    <tableColumn id="2" xr3:uid="{8EC1A691-5A1B-49D2-9E99-F7DBEE9BA874}" name="INSURER_CODE"/>
    <tableColumn id="3" xr3:uid="{23442ED9-D821-414C-B71D-86583DCD1CBD}" name="Enrolled_Totals" dataDxfId="175" dataCellStyle="Comma"/>
  </tableColumns>
  <tableStyleInfo name="TableStyleLight1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60A3562-AAB1-45B0-B8D1-056CA0AEF35D}" name="MA_2026" displayName="MA_2026" ref="A64:C71" totalsRowShown="0">
  <autoFilter ref="A64:C71" xr:uid="{460A3562-AAB1-45B0-B8D1-056CA0AEF35D}"/>
  <sortState xmlns:xlrd2="http://schemas.microsoft.com/office/spreadsheetml/2017/richdata2" ref="A65:C71">
    <sortCondition ref="B24:B31"/>
  </sortState>
  <tableColumns count="3">
    <tableColumn id="1" xr3:uid="{66404A2C-1CF7-4A97-AE3C-0BEBDEA345FB}" name="year"/>
    <tableColumn id="2" xr3:uid="{3C205362-7EBB-48A9-839A-BBC8612CC1BA}" name="INSURER_CODE"/>
    <tableColumn id="3" xr3:uid="{55C65BBF-EE35-40B2-80C9-62E04FD399DF}" name="Enrolled_Totals" dataDxfId="174" dataCellStyle="Comma"/>
  </tableColumns>
  <tableStyleInfo name="TableStyleLight1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9219FCC-40C3-4B93-9F95-10F15576B909}" name="MC_2026" displayName="MC_2026" ref="A74:C81" totalsRowShown="0">
  <autoFilter ref="A74:C81" xr:uid="{39219FCC-40C3-4B93-9F95-10F15576B909}"/>
  <sortState xmlns:xlrd2="http://schemas.microsoft.com/office/spreadsheetml/2017/richdata2" ref="A75:C81">
    <sortCondition ref="B24:B31"/>
  </sortState>
  <tableColumns count="3">
    <tableColumn id="1" xr3:uid="{2881FD4A-69DE-4354-8162-C80C6ED559A9}" name="year"/>
    <tableColumn id="2" xr3:uid="{571BEFAB-7D79-4DBB-957C-AC6E5737B685}" name="INSURER_CODE"/>
    <tableColumn id="3" xr3:uid="{87DA55AB-10B1-492F-99B2-6099D58FD05D}" name="Enrolled_Totals" dataDxfId="173" dataCellStyle="Comma"/>
  </tableColumns>
  <tableStyleInfo name="TableStyleLight1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768C242-2B1A-4C7F-9FD2-8C4CA8C4AC6B}" name="MA_2027" displayName="MA_2027" ref="A84:C91" totalsRowShown="0">
  <autoFilter ref="A84:C91" xr:uid="{6768C242-2B1A-4C7F-9FD2-8C4CA8C4AC6B}"/>
  <sortState xmlns:xlrd2="http://schemas.microsoft.com/office/spreadsheetml/2017/richdata2" ref="A85:C91">
    <sortCondition ref="B24:B31"/>
  </sortState>
  <tableColumns count="3">
    <tableColumn id="1" xr3:uid="{4B691FA4-365E-4799-A039-71FD6537F38B}" name="year"/>
    <tableColumn id="2" xr3:uid="{D7C5E647-7CF1-46DC-A5DB-34F6D8F4A115}" name="INSURER_CODE"/>
    <tableColumn id="3" xr3:uid="{96C15427-0208-4F43-8A1B-0F2B55274795}" name="Enrolled_Totals" dataDxfId="172" dataCellStyle="Comma"/>
  </tableColumns>
  <tableStyleInfo name="TableStyleLight1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9C74476-BB81-4CC2-9E77-C1E0CB8884AA}" name="MC_2027" displayName="MC_2027" ref="A94:C101" totalsRowShown="0">
  <autoFilter ref="A94:C101" xr:uid="{09C74476-BB81-4CC2-9E77-C1E0CB8884AA}"/>
  <sortState xmlns:xlrd2="http://schemas.microsoft.com/office/spreadsheetml/2017/richdata2" ref="A95:C101">
    <sortCondition ref="B24:B31"/>
  </sortState>
  <tableColumns count="3">
    <tableColumn id="1" xr3:uid="{CF48F9F7-E892-4DD8-8D0E-C1DE767EBCF7}" name="year"/>
    <tableColumn id="2" xr3:uid="{1343FD20-B14C-444B-8A73-E2989B876DF6}" name="INSURER_CODE"/>
    <tableColumn id="3" xr3:uid="{222FEF8C-099E-4999-B341-E58C07A1ACBA}" name="Enrolled_Totals" dataDxfId="171" dataCellStyle="Comma"/>
  </tableColumns>
  <tableStyleInfo name="TableStyleLight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ustom 1">
      <a:majorFont>
        <a:latin typeface="Segoe UI"/>
        <a:ea typeface=""/>
        <a:cs typeface=""/>
      </a:majorFont>
      <a:minorFont>
        <a:latin typeface="Segoe UI"/>
        <a:ea typeface=""/>
        <a:cs typeface=""/>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table" Target="../tables/table18.xml"/><Relationship Id="rId3" Type="http://schemas.openxmlformats.org/officeDocument/2006/relationships/table" Target="../tables/table13.xml"/><Relationship Id="rId7" Type="http://schemas.openxmlformats.org/officeDocument/2006/relationships/table" Target="../tables/table17.xml"/><Relationship Id="rId2" Type="http://schemas.openxmlformats.org/officeDocument/2006/relationships/table" Target="../tables/table12.xml"/><Relationship Id="rId1" Type="http://schemas.openxmlformats.org/officeDocument/2006/relationships/printerSettings" Target="../printerSettings/printerSettings10.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table" Target="../tables/table1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table" Target="../tables/table27.xml"/><Relationship Id="rId13" Type="http://schemas.openxmlformats.org/officeDocument/2006/relationships/table" Target="../tables/table32.xml"/><Relationship Id="rId3" Type="http://schemas.openxmlformats.org/officeDocument/2006/relationships/table" Target="../tables/table22.xml"/><Relationship Id="rId7" Type="http://schemas.openxmlformats.org/officeDocument/2006/relationships/table" Target="../tables/table26.xml"/><Relationship Id="rId12" Type="http://schemas.openxmlformats.org/officeDocument/2006/relationships/table" Target="../tables/table31.xml"/><Relationship Id="rId2" Type="http://schemas.openxmlformats.org/officeDocument/2006/relationships/table" Target="../tables/table21.xml"/><Relationship Id="rId1" Type="http://schemas.openxmlformats.org/officeDocument/2006/relationships/printerSettings" Target="../printerSettings/printerSettings12.bin"/><Relationship Id="rId6" Type="http://schemas.openxmlformats.org/officeDocument/2006/relationships/table" Target="../tables/table25.xml"/><Relationship Id="rId11" Type="http://schemas.openxmlformats.org/officeDocument/2006/relationships/table" Target="../tables/table30.xml"/><Relationship Id="rId5" Type="http://schemas.openxmlformats.org/officeDocument/2006/relationships/table" Target="../tables/table24.xml"/><Relationship Id="rId15" Type="http://schemas.openxmlformats.org/officeDocument/2006/relationships/table" Target="../tables/table34.xml"/><Relationship Id="rId10" Type="http://schemas.openxmlformats.org/officeDocument/2006/relationships/table" Target="../tables/table29.xml"/><Relationship Id="rId4" Type="http://schemas.openxmlformats.org/officeDocument/2006/relationships/table" Target="../tables/table23.xml"/><Relationship Id="rId9" Type="http://schemas.openxmlformats.org/officeDocument/2006/relationships/table" Target="../tables/table28.xml"/><Relationship Id="rId14" Type="http://schemas.openxmlformats.org/officeDocument/2006/relationships/table" Target="../tables/table3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table" Target="../tables/table42.xml"/><Relationship Id="rId3" Type="http://schemas.openxmlformats.org/officeDocument/2006/relationships/table" Target="../tables/table37.xml"/><Relationship Id="rId7" Type="http://schemas.openxmlformats.org/officeDocument/2006/relationships/table" Target="../tables/table41.xml"/><Relationship Id="rId2" Type="http://schemas.openxmlformats.org/officeDocument/2006/relationships/table" Target="../tables/table36.xml"/><Relationship Id="rId1" Type="http://schemas.openxmlformats.org/officeDocument/2006/relationships/table" Target="../tables/table35.xml"/><Relationship Id="rId6" Type="http://schemas.openxmlformats.org/officeDocument/2006/relationships/table" Target="../tables/table40.xml"/><Relationship Id="rId5" Type="http://schemas.openxmlformats.org/officeDocument/2006/relationships/table" Target="../tables/table39.xml"/><Relationship Id="rId10" Type="http://schemas.openxmlformats.org/officeDocument/2006/relationships/table" Target="../tables/table44.xml"/><Relationship Id="rId4" Type="http://schemas.openxmlformats.org/officeDocument/2006/relationships/table" Target="../tables/table38.xml"/><Relationship Id="rId9" Type="http://schemas.openxmlformats.org/officeDocument/2006/relationships/table" Target="../tables/table4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32B84-F0BF-48B3-BB25-51196C10C013}">
  <sheetPr>
    <tabColor theme="5" tint="0.39997558519241921"/>
    <pageSetUpPr fitToPage="1"/>
  </sheetPr>
  <dimension ref="A1:D48"/>
  <sheetViews>
    <sheetView showGridLines="0" topLeftCell="A16" zoomScale="70" zoomScaleNormal="70" workbookViewId="0"/>
  </sheetViews>
  <sheetFormatPr defaultColWidth="9.8984375" defaultRowHeight="16.8" x14ac:dyDescent="0.4"/>
  <cols>
    <col min="1" max="1" width="49.59765625" style="14" customWidth="1"/>
    <col min="2" max="2" width="67.59765625" style="14" customWidth="1"/>
    <col min="3" max="3" width="187.8984375" style="14" customWidth="1"/>
    <col min="4" max="4" width="41.5" style="11" customWidth="1"/>
    <col min="5" max="5" width="9.8984375" style="11" customWidth="1"/>
    <col min="6" max="16384" width="9.8984375" style="11"/>
  </cols>
  <sheetData>
    <row r="1" spans="1:4" ht="32.4" x14ac:dyDescent="0.4">
      <c r="A1" s="362" t="s">
        <v>0</v>
      </c>
      <c r="B1" s="361"/>
      <c r="C1" s="360"/>
      <c r="D1"/>
    </row>
    <row r="2" spans="1:4" ht="24.6" x14ac:dyDescent="0.4">
      <c r="A2" s="359">
        <f>'1. Cover Page'!C17</f>
        <v>0</v>
      </c>
      <c r="B2" s="358"/>
      <c r="C2" s="354"/>
      <c r="D2"/>
    </row>
    <row r="3" spans="1:4" ht="19.2" x14ac:dyDescent="0.45">
      <c r="A3" s="357" t="s">
        <v>1</v>
      </c>
      <c r="B3" s="356"/>
      <c r="C3" s="354"/>
      <c r="D3"/>
    </row>
    <row r="4" spans="1:4" ht="15" customHeight="1" x14ac:dyDescent="0.4">
      <c r="A4" s="355"/>
      <c r="B4" s="355"/>
      <c r="C4" s="354"/>
      <c r="D4"/>
    </row>
    <row r="5" spans="1:4" x14ac:dyDescent="0.4">
      <c r="A5" s="342" t="s">
        <v>2</v>
      </c>
      <c r="B5" s="342"/>
      <c r="C5" s="342"/>
      <c r="D5"/>
    </row>
    <row r="6" spans="1:4" ht="5.0999999999999996" customHeight="1" x14ac:dyDescent="0.4">
      <c r="A6" s="342"/>
      <c r="B6" s="342"/>
      <c r="C6" s="342"/>
      <c r="D6"/>
    </row>
    <row r="7" spans="1:4" ht="15" customHeight="1" x14ac:dyDescent="0.4">
      <c r="A7" s="343" t="s">
        <v>3</v>
      </c>
      <c r="B7" s="343"/>
      <c r="C7" s="353"/>
      <c r="D7"/>
    </row>
    <row r="8" spans="1:4" ht="15" customHeight="1" x14ac:dyDescent="0.4">
      <c r="A8" s="593" t="s">
        <v>4</v>
      </c>
      <c r="B8" s="593"/>
      <c r="C8" s="593"/>
      <c r="D8"/>
    </row>
    <row r="9" spans="1:4" ht="8.1" customHeight="1" x14ac:dyDescent="0.4">
      <c r="A9" s="353"/>
      <c r="B9" s="353"/>
      <c r="C9" s="353"/>
      <c r="D9"/>
    </row>
    <row r="10" spans="1:4" ht="8.1" customHeight="1" x14ac:dyDescent="0.4">
      <c r="A10" s="342"/>
      <c r="B10" s="342"/>
      <c r="C10" s="342"/>
      <c r="D10"/>
    </row>
    <row r="11" spans="1:4" ht="19.2" x14ac:dyDescent="0.4">
      <c r="A11" s="352" t="s">
        <v>5</v>
      </c>
      <c r="B11" s="351"/>
      <c r="C11" s="351"/>
      <c r="D11" s="350"/>
    </row>
    <row r="12" spans="1:4" x14ac:dyDescent="0.4">
      <c r="A12" s="349" t="s">
        <v>6</v>
      </c>
      <c r="B12" s="348"/>
      <c r="C12" s="348"/>
      <c r="D12" s="347"/>
    </row>
    <row r="13" spans="1:4" x14ac:dyDescent="0.4">
      <c r="A13" s="349" t="s">
        <v>578</v>
      </c>
      <c r="B13" s="348"/>
      <c r="C13" s="348"/>
      <c r="D13" s="347"/>
    </row>
    <row r="14" spans="1:4" x14ac:dyDescent="0.4">
      <c r="A14" s="349" t="s">
        <v>7</v>
      </c>
      <c r="B14" s="348"/>
      <c r="C14" s="348"/>
      <c r="D14" s="347"/>
    </row>
    <row r="15" spans="1:4" x14ac:dyDescent="0.4">
      <c r="A15" s="349" t="s">
        <v>582</v>
      </c>
      <c r="B15" s="348"/>
      <c r="C15" s="348"/>
      <c r="D15" s="347"/>
    </row>
    <row r="16" spans="1:4" x14ac:dyDescent="0.4">
      <c r="A16" s="346" t="s">
        <v>8</v>
      </c>
      <c r="B16" s="345"/>
      <c r="C16" s="345"/>
      <c r="D16" s="344"/>
    </row>
    <row r="17" spans="1:4" ht="8.1" customHeight="1" x14ac:dyDescent="0.4">
      <c r="A17" s="343"/>
      <c r="B17" s="343"/>
      <c r="C17" s="342"/>
      <c r="D17"/>
    </row>
    <row r="18" spans="1:4" ht="8.1" customHeight="1" x14ac:dyDescent="0.4">
      <c r="A18" s="334"/>
      <c r="B18" s="342"/>
      <c r="C18" s="342"/>
      <c r="D18"/>
    </row>
    <row r="19" spans="1:4" ht="20.399999999999999" x14ac:dyDescent="0.4">
      <c r="A19" s="335" t="s">
        <v>9</v>
      </c>
      <c r="B19" s="334"/>
      <c r="C19" s="341"/>
      <c r="D19"/>
    </row>
    <row r="20" spans="1:4" x14ac:dyDescent="0.4">
      <c r="A20" s="340" t="s">
        <v>10</v>
      </c>
      <c r="B20" s="331" t="s">
        <v>11</v>
      </c>
      <c r="C20" s="330" t="s">
        <v>12</v>
      </c>
      <c r="D20"/>
    </row>
    <row r="21" spans="1:4" x14ac:dyDescent="0.4">
      <c r="A21" s="338"/>
      <c r="B21" s="337"/>
      <c r="C21" s="327"/>
      <c r="D21"/>
    </row>
    <row r="22" spans="1:4" x14ac:dyDescent="0.4">
      <c r="A22" s="338"/>
      <c r="B22" s="337"/>
      <c r="C22" s="327"/>
      <c r="D22"/>
    </row>
    <row r="23" spans="1:4" x14ac:dyDescent="0.4">
      <c r="A23" s="338"/>
      <c r="B23" s="396"/>
      <c r="C23" s="327"/>
      <c r="D23"/>
    </row>
    <row r="24" spans="1:4" x14ac:dyDescent="0.4">
      <c r="A24" s="338"/>
      <c r="B24" s="337"/>
      <c r="C24" s="327"/>
      <c r="D24"/>
    </row>
    <row r="25" spans="1:4" x14ac:dyDescent="0.4">
      <c r="A25" s="338"/>
      <c r="B25" s="337"/>
      <c r="C25" s="327"/>
      <c r="D25"/>
    </row>
    <row r="26" spans="1:4" x14ac:dyDescent="0.4">
      <c r="A26" s="338"/>
      <c r="B26" s="337"/>
      <c r="C26" s="327"/>
      <c r="D26"/>
    </row>
    <row r="27" spans="1:4" x14ac:dyDescent="0.4">
      <c r="A27" s="338"/>
      <c r="B27" s="337"/>
      <c r="C27" s="327"/>
      <c r="D27"/>
    </row>
    <row r="28" spans="1:4" x14ac:dyDescent="0.4">
      <c r="A28" s="338"/>
      <c r="B28" s="337"/>
      <c r="C28" s="327"/>
      <c r="D28"/>
    </row>
    <row r="29" spans="1:4" x14ac:dyDescent="0.4">
      <c r="A29" s="338"/>
      <c r="B29" s="337"/>
      <c r="C29" s="327"/>
      <c r="D29"/>
    </row>
    <row r="30" spans="1:4" x14ac:dyDescent="0.4">
      <c r="A30" s="338"/>
      <c r="B30" s="339"/>
      <c r="C30" s="327"/>
      <c r="D30"/>
    </row>
    <row r="31" spans="1:4" x14ac:dyDescent="0.4">
      <c r="A31" s="338"/>
      <c r="B31" s="339"/>
      <c r="C31" s="327"/>
      <c r="D31"/>
    </row>
    <row r="32" spans="1:4" x14ac:dyDescent="0.4">
      <c r="A32" s="338"/>
      <c r="B32" s="339"/>
      <c r="C32" s="327"/>
      <c r="D32"/>
    </row>
    <row r="33" spans="1:4" x14ac:dyDescent="0.4">
      <c r="A33" s="338"/>
      <c r="B33" s="339"/>
      <c r="C33" s="327"/>
      <c r="D33"/>
    </row>
    <row r="34" spans="1:4" x14ac:dyDescent="0.4">
      <c r="A34" s="338"/>
      <c r="B34" s="337"/>
      <c r="C34" s="327"/>
      <c r="D34"/>
    </row>
    <row r="35" spans="1:4" x14ac:dyDescent="0.4">
      <c r="A35" s="338"/>
      <c r="B35" s="337"/>
      <c r="C35" s="327"/>
      <c r="D35"/>
    </row>
    <row r="36" spans="1:4" x14ac:dyDescent="0.4">
      <c r="A36" s="338"/>
      <c r="B36" s="339"/>
      <c r="C36" s="327"/>
      <c r="D36"/>
    </row>
    <row r="37" spans="1:4" x14ac:dyDescent="0.4">
      <c r="A37" s="338"/>
      <c r="B37" s="337"/>
      <c r="C37" s="327"/>
      <c r="D37"/>
    </row>
    <row r="38" spans="1:4" x14ac:dyDescent="0.4">
      <c r="A38" s="338"/>
      <c r="B38" s="337"/>
      <c r="C38" s="327"/>
      <c r="D38"/>
    </row>
    <row r="39" spans="1:4" x14ac:dyDescent="0.4">
      <c r="A39" s="338"/>
      <c r="B39" s="339"/>
      <c r="C39" s="327"/>
      <c r="D39"/>
    </row>
    <row r="40" spans="1:4" x14ac:dyDescent="0.4">
      <c r="A40" s="338"/>
      <c r="B40" s="396"/>
      <c r="C40" s="327"/>
      <c r="D40"/>
    </row>
    <row r="41" spans="1:4" x14ac:dyDescent="0.4">
      <c r="A41" s="338"/>
      <c r="B41" s="396"/>
      <c r="C41" s="327"/>
      <c r="D41"/>
    </row>
    <row r="42" spans="1:4" x14ac:dyDescent="0.4">
      <c r="A42" s="338"/>
      <c r="B42" s="337"/>
      <c r="C42" s="327"/>
      <c r="D42"/>
    </row>
    <row r="43" spans="1:4" x14ac:dyDescent="0.4">
      <c r="A43" s="532"/>
      <c r="B43" s="533"/>
      <c r="C43" s="455"/>
      <c r="D43"/>
    </row>
    <row r="44" spans="1:4" x14ac:dyDescent="0.4">
      <c r="A44" s="336"/>
      <c r="B44" s="336"/>
      <c r="C44" s="333"/>
      <c r="D44"/>
    </row>
    <row r="45" spans="1:4" ht="20.399999999999999" x14ac:dyDescent="0.4">
      <c r="A45" s="335" t="s">
        <v>13</v>
      </c>
      <c r="B45" s="334"/>
      <c r="C45" s="333"/>
      <c r="D45"/>
    </row>
    <row r="46" spans="1:4" x14ac:dyDescent="0.4">
      <c r="A46" s="332" t="s">
        <v>14</v>
      </c>
      <c r="B46" s="331" t="s">
        <v>11</v>
      </c>
      <c r="C46" s="330" t="s">
        <v>15</v>
      </c>
      <c r="D46" s="330" t="s">
        <v>579</v>
      </c>
    </row>
    <row r="47" spans="1:4" x14ac:dyDescent="0.4">
      <c r="A47" s="329"/>
      <c r="B47" s="328"/>
      <c r="C47" s="327"/>
      <c r="D47" s="485"/>
    </row>
    <row r="48" spans="1:4" x14ac:dyDescent="0.4">
      <c r="A48" s="329"/>
      <c r="B48" s="326"/>
      <c r="C48" s="327"/>
      <c r="D48" s="485"/>
    </row>
  </sheetData>
  <mergeCells count="1">
    <mergeCell ref="A8:C8"/>
  </mergeCells>
  <conditionalFormatting sqref="A21:A43">
    <cfRule type="expression" dxfId="170" priority="526">
      <formula>ISNUMBER(SEARCH("Unable to assess", A21:A42))</formula>
    </cfRule>
    <cfRule type="expression" dxfId="169" priority="527">
      <formula>ISNUMBER(SEARCH("See the Comment column", A21:A42))</formula>
    </cfRule>
    <cfRule type="expression" dxfId="168" priority="528">
      <formula>ISNUMBER(SEARCH("Fail", A21:A42))</formula>
    </cfRule>
    <cfRule type="expression" dxfId="167" priority="529">
      <formula>ISNUMBER(SEARCH("Pass", A21:A42))</formula>
    </cfRule>
  </conditionalFormatting>
  <conditionalFormatting sqref="A22:A23">
    <cfRule type="expression" dxfId="166" priority="534">
      <formula>ISNUMBER(SEARCH("Unable to assess", A22:A44))</formula>
    </cfRule>
    <cfRule type="expression" dxfId="165" priority="535">
      <formula>ISNUMBER(SEARCH("See the Comment column", A22:A44))</formula>
    </cfRule>
    <cfRule type="expression" dxfId="164" priority="536">
      <formula>ISNUMBER(SEARCH("Fail", A22:A44))</formula>
    </cfRule>
    <cfRule type="expression" dxfId="163" priority="537">
      <formula>ISNUMBER(SEARCH("Pass", A22:A44))</formula>
    </cfRule>
  </conditionalFormatting>
  <pageMargins left="0.7" right="0.7" top="0.75" bottom="0.75" header="0.3" footer="0.3"/>
  <pageSetup scale="26" orientation="landscape" r:id="rId1"/>
  <headerFooter>
    <oddHeader>&amp;LValidation Report</oddHeader>
    <oddFooter>&amp;L&amp;"-,Bold"Data Submission Template&amp;"-,Regular" | NJ Hart Program &amp;RPage &amp;P</oddFooter>
  </headerFooter>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E7B87-71CA-44C5-8E22-C1E3AE80FAF5}">
  <sheetPr>
    <tabColor theme="7" tint="0.39997558519241921"/>
    <pageSetUpPr fitToPage="1"/>
  </sheetPr>
  <dimension ref="A1:C47"/>
  <sheetViews>
    <sheetView showGridLines="0" tabSelected="1" zoomScale="80" zoomScaleNormal="80" workbookViewId="0">
      <selection activeCell="E9" sqref="E9"/>
    </sheetView>
  </sheetViews>
  <sheetFormatPr defaultColWidth="8.69921875" defaultRowHeight="16.8" x14ac:dyDescent="0.4"/>
  <cols>
    <col min="1" max="1" width="27" style="15" customWidth="1"/>
    <col min="2" max="2" width="180.19921875" style="15" customWidth="1"/>
    <col min="3" max="16384" width="8.69921875" style="15"/>
  </cols>
  <sheetData>
    <row r="1" spans="1:3" ht="29.4" x14ac:dyDescent="0.4">
      <c r="A1" s="19" t="s">
        <v>16</v>
      </c>
      <c r="B1" s="13"/>
    </row>
    <row r="2" spans="1:3" ht="24.6" x14ac:dyDescent="0.55000000000000004">
      <c r="A2" s="16" t="s">
        <v>17</v>
      </c>
      <c r="B2" s="13"/>
    </row>
    <row r="3" spans="1:3" x14ac:dyDescent="0.4">
      <c r="A3" s="17" t="s">
        <v>642</v>
      </c>
    </row>
    <row r="4" spans="1:3" s="1" customFormat="1" ht="17.399999999999999" thickBot="1" x14ac:dyDescent="0.45"/>
    <row r="5" spans="1:3" s="1" customFormat="1" ht="20.399999999999999" x14ac:dyDescent="0.45">
      <c r="A5" s="518" t="s">
        <v>18</v>
      </c>
      <c r="B5" s="500"/>
      <c r="C5" s="501"/>
    </row>
    <row r="6" spans="1:3" s="1" customFormat="1" ht="32.1" customHeight="1" x14ac:dyDescent="0.4">
      <c r="A6" s="598" t="s">
        <v>566</v>
      </c>
      <c r="B6" s="599"/>
      <c r="C6" s="600"/>
    </row>
    <row r="7" spans="1:3" s="1" customFormat="1" x14ac:dyDescent="0.4">
      <c r="A7" s="502"/>
      <c r="B7" s="502"/>
      <c r="C7" s="503"/>
    </row>
    <row r="8" spans="1:3" s="1" customFormat="1" ht="30" customHeight="1" x14ac:dyDescent="0.4">
      <c r="A8" s="601" t="s">
        <v>576</v>
      </c>
      <c r="B8" s="601"/>
      <c r="C8" s="602"/>
    </row>
    <row r="9" spans="1:3" s="1" customFormat="1" ht="17.399999999999999" thickBot="1" x14ac:dyDescent="0.45">
      <c r="A9" s="504"/>
      <c r="B9" s="505"/>
      <c r="C9" s="506"/>
    </row>
    <row r="10" spans="1:3" s="1" customFormat="1" ht="17.399999999999999" thickBot="1" x14ac:dyDescent="0.45">
      <c r="A10" s="34"/>
      <c r="B10" s="34"/>
    </row>
    <row r="11" spans="1:3" s="1" customFormat="1" ht="20.399999999999999" x14ac:dyDescent="0.4">
      <c r="A11" s="519" t="s">
        <v>19</v>
      </c>
      <c r="B11" s="511"/>
      <c r="C11" s="501"/>
    </row>
    <row r="12" spans="1:3" s="1" customFormat="1" x14ac:dyDescent="0.4">
      <c r="A12" s="512" t="s">
        <v>20</v>
      </c>
      <c r="B12" s="513"/>
      <c r="C12" s="503"/>
    </row>
    <row r="13" spans="1:3" s="1" customFormat="1" x14ac:dyDescent="0.4">
      <c r="A13" s="516" t="s">
        <v>21</v>
      </c>
      <c r="B13" s="517" t="s">
        <v>22</v>
      </c>
      <c r="C13" s="503"/>
    </row>
    <row r="14" spans="1:3" s="1" customFormat="1" x14ac:dyDescent="0.4">
      <c r="A14" s="507" t="s">
        <v>22</v>
      </c>
      <c r="B14" s="47" t="s">
        <v>23</v>
      </c>
      <c r="C14" s="503"/>
    </row>
    <row r="15" spans="1:3" s="1" customFormat="1" x14ac:dyDescent="0.4">
      <c r="A15" s="507" t="s">
        <v>24</v>
      </c>
      <c r="B15" s="47" t="s">
        <v>25</v>
      </c>
      <c r="C15" s="503"/>
    </row>
    <row r="16" spans="1:3" s="1" customFormat="1" x14ac:dyDescent="0.4">
      <c r="A16" s="508" t="s">
        <v>26</v>
      </c>
      <c r="B16" s="47" t="s">
        <v>27</v>
      </c>
      <c r="C16" s="503"/>
    </row>
    <row r="17" spans="1:3" s="1" customFormat="1" x14ac:dyDescent="0.4">
      <c r="A17" s="508" t="s">
        <v>28</v>
      </c>
      <c r="B17" s="47" t="s">
        <v>29</v>
      </c>
      <c r="C17" s="503"/>
    </row>
    <row r="18" spans="1:3" s="1" customFormat="1" ht="15" customHeight="1" x14ac:dyDescent="0.4">
      <c r="A18" s="508" t="s">
        <v>30</v>
      </c>
      <c r="B18" s="47" t="s">
        <v>31</v>
      </c>
      <c r="C18" s="503"/>
    </row>
    <row r="19" spans="1:3" s="1" customFormat="1" x14ac:dyDescent="0.4">
      <c r="A19" s="508" t="s">
        <v>32</v>
      </c>
      <c r="B19" s="47" t="s">
        <v>33</v>
      </c>
      <c r="C19" s="503"/>
    </row>
    <row r="20" spans="1:3" s="1" customFormat="1" x14ac:dyDescent="0.4">
      <c r="A20" s="508" t="s">
        <v>34</v>
      </c>
      <c r="B20" s="47" t="s">
        <v>35</v>
      </c>
      <c r="C20" s="503"/>
    </row>
    <row r="21" spans="1:3" s="1" customFormat="1" ht="15" customHeight="1" x14ac:dyDescent="0.4">
      <c r="A21" s="508" t="s">
        <v>36</v>
      </c>
      <c r="B21" s="48" t="s">
        <v>37</v>
      </c>
      <c r="C21" s="503"/>
    </row>
    <row r="22" spans="1:3" s="1" customFormat="1" ht="15" customHeight="1" x14ac:dyDescent="0.4">
      <c r="A22" s="508" t="s">
        <v>38</v>
      </c>
      <c r="B22" s="48" t="s">
        <v>39</v>
      </c>
      <c r="C22" s="503"/>
    </row>
    <row r="23" spans="1:3" s="1" customFormat="1" x14ac:dyDescent="0.4">
      <c r="A23" s="509" t="s">
        <v>40</v>
      </c>
      <c r="B23" s="47" t="s">
        <v>41</v>
      </c>
      <c r="C23" s="503"/>
    </row>
    <row r="24" spans="1:3" s="1" customFormat="1" x14ac:dyDescent="0.4">
      <c r="A24" s="509" t="s">
        <v>42</v>
      </c>
      <c r="B24" s="48" t="s">
        <v>43</v>
      </c>
      <c r="C24" s="503"/>
    </row>
    <row r="25" spans="1:3" s="1" customFormat="1" x14ac:dyDescent="0.4">
      <c r="A25" s="510" t="s">
        <v>44</v>
      </c>
      <c r="B25" s="49" t="s">
        <v>45</v>
      </c>
      <c r="C25" s="503"/>
    </row>
    <row r="26" spans="1:3" s="1" customFormat="1" ht="17.399999999999999" thickBot="1" x14ac:dyDescent="0.45">
      <c r="A26" s="514"/>
      <c r="B26" s="515"/>
      <c r="C26" s="506"/>
    </row>
    <row r="27" spans="1:3" s="1" customFormat="1" ht="17.399999999999999" thickBot="1" x14ac:dyDescent="0.45"/>
    <row r="28" spans="1:3" s="1" customFormat="1" ht="20.399999999999999" x14ac:dyDescent="0.45">
      <c r="A28" s="518" t="s">
        <v>46</v>
      </c>
      <c r="B28" s="500"/>
      <c r="C28" s="501"/>
    </row>
    <row r="29" spans="1:3" s="1" customFormat="1" x14ac:dyDescent="0.4">
      <c r="A29" s="596" t="s">
        <v>571</v>
      </c>
      <c r="B29" s="597"/>
      <c r="C29" s="503"/>
    </row>
    <row r="30" spans="1:3" s="1" customFormat="1" ht="30" customHeight="1" x14ac:dyDescent="0.4">
      <c r="A30" s="594" t="s">
        <v>625</v>
      </c>
      <c r="B30" s="595"/>
      <c r="C30" s="503"/>
    </row>
    <row r="31" spans="1:3" s="1" customFormat="1" ht="17.399999999999999" thickBot="1" x14ac:dyDescent="0.45">
      <c r="A31" s="514"/>
      <c r="B31" s="515"/>
      <c r="C31" s="506"/>
    </row>
    <row r="32" spans="1:3" s="1" customFormat="1" x14ac:dyDescent="0.4"/>
    <row r="33" s="1" customFormat="1" x14ac:dyDescent="0.4"/>
    <row r="34" s="1" customFormat="1" x14ac:dyDescent="0.4"/>
    <row r="35" s="1" customFormat="1" x14ac:dyDescent="0.4"/>
    <row r="36" s="1" customFormat="1" x14ac:dyDescent="0.4"/>
    <row r="37" s="1" customFormat="1" x14ac:dyDescent="0.4"/>
    <row r="38" s="1" customFormat="1" x14ac:dyDescent="0.4"/>
    <row r="39" s="1" customFormat="1" x14ac:dyDescent="0.4"/>
    <row r="40" s="1" customFormat="1" x14ac:dyDescent="0.4"/>
    <row r="41" s="1" customFormat="1" x14ac:dyDescent="0.4"/>
    <row r="42" s="1" customFormat="1" x14ac:dyDescent="0.4"/>
    <row r="43" s="1" customFormat="1" x14ac:dyDescent="0.4"/>
    <row r="44" s="1" customFormat="1" x14ac:dyDescent="0.4"/>
    <row r="45" s="1" customFormat="1" x14ac:dyDescent="0.4"/>
    <row r="46" s="1" customFormat="1" x14ac:dyDescent="0.4"/>
    <row r="47" s="1" customFormat="1" x14ac:dyDescent="0.4"/>
  </sheetData>
  <mergeCells count="4">
    <mergeCell ref="A30:B30"/>
    <mergeCell ref="A29:B29"/>
    <mergeCell ref="A6:C6"/>
    <mergeCell ref="A8:C8"/>
  </mergeCells>
  <pageMargins left="0.7" right="0.7" top="0.75" bottom="0.75" header="0.3" footer="0.3"/>
  <pageSetup scale="82" orientation="landscape" r:id="rId1"/>
  <headerFooter>
    <oddFooter>&amp;L&amp;"-,Bold"Carrier Benchmark Data Submission Template&amp;"-,Regular" | NJ Hart Program &amp;RPage &amp;P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03F45-8207-4E22-9F46-61E28FAEF425}">
  <sheetPr>
    <tabColor theme="7" tint="0.39997558519241921"/>
    <pageSetUpPr fitToPage="1"/>
  </sheetPr>
  <dimension ref="A1:D104"/>
  <sheetViews>
    <sheetView showGridLines="0" topLeftCell="A37" zoomScaleNormal="100" workbookViewId="0">
      <selection activeCell="C44" sqref="C44"/>
    </sheetView>
  </sheetViews>
  <sheetFormatPr defaultColWidth="9" defaultRowHeight="16.8" x14ac:dyDescent="0.4"/>
  <cols>
    <col min="1" max="1" width="30.59765625" style="68" customWidth="1"/>
    <col min="2" max="2" width="68.5" style="68" customWidth="1"/>
    <col min="3" max="3" width="52.19921875" style="68" customWidth="1"/>
    <col min="4" max="4" width="104.3984375" style="43" customWidth="1"/>
    <col min="5" max="16384" width="9" style="43"/>
  </cols>
  <sheetData>
    <row r="1" spans="1:3" ht="20.399999999999999" x14ac:dyDescent="0.45">
      <c r="A1" s="64" t="s">
        <v>24</v>
      </c>
      <c r="B1" s="65"/>
      <c r="C1" s="65"/>
    </row>
    <row r="2" spans="1:3" ht="52.5" customHeight="1" x14ac:dyDescent="0.4">
      <c r="A2" s="603" t="s">
        <v>572</v>
      </c>
      <c r="B2" s="603"/>
      <c r="C2" s="603"/>
    </row>
    <row r="3" spans="1:3" x14ac:dyDescent="0.4">
      <c r="A3" s="451"/>
      <c r="B3" s="451"/>
      <c r="C3" s="451"/>
    </row>
    <row r="4" spans="1:3" s="452" customFormat="1" x14ac:dyDescent="0.4">
      <c r="A4" s="608" t="s">
        <v>47</v>
      </c>
      <c r="B4" s="608"/>
      <c r="C4" s="608"/>
    </row>
    <row r="5" spans="1:3" s="452" customFormat="1" x14ac:dyDescent="0.4">
      <c r="A5" s="453" t="s">
        <v>48</v>
      </c>
      <c r="B5" s="454" t="s">
        <v>49</v>
      </c>
      <c r="C5" s="66"/>
    </row>
    <row r="6" spans="1:3" s="452" customFormat="1" x14ac:dyDescent="0.4">
      <c r="A6" s="329">
        <v>201</v>
      </c>
      <c r="B6" s="455" t="s">
        <v>50</v>
      </c>
      <c r="C6" s="67"/>
    </row>
    <row r="7" spans="1:3" s="452" customFormat="1" x14ac:dyDescent="0.4">
      <c r="A7" s="329">
        <v>202</v>
      </c>
      <c r="B7" s="455" t="s">
        <v>602</v>
      </c>
      <c r="C7" s="67"/>
    </row>
    <row r="8" spans="1:3" s="452" customFormat="1" x14ac:dyDescent="0.4">
      <c r="A8" s="329">
        <v>203</v>
      </c>
      <c r="B8" s="455" t="s">
        <v>51</v>
      </c>
      <c r="C8" s="67"/>
    </row>
    <row r="9" spans="1:3" s="452" customFormat="1" x14ac:dyDescent="0.4">
      <c r="A9" s="456">
        <v>204</v>
      </c>
      <c r="B9" s="455" t="s">
        <v>52</v>
      </c>
      <c r="C9" s="67"/>
    </row>
    <row r="10" spans="1:3" s="452" customFormat="1" x14ac:dyDescent="0.4">
      <c r="A10" s="456">
        <v>205</v>
      </c>
      <c r="B10" s="455" t="s">
        <v>53</v>
      </c>
      <c r="C10" s="67"/>
    </row>
    <row r="11" spans="1:3" s="452" customFormat="1" x14ac:dyDescent="0.4">
      <c r="A11" s="456">
        <v>206</v>
      </c>
      <c r="B11" s="455" t="s">
        <v>54</v>
      </c>
      <c r="C11" s="67"/>
    </row>
    <row r="12" spans="1:3" s="452" customFormat="1" x14ac:dyDescent="0.4">
      <c r="A12" s="457">
        <v>207</v>
      </c>
      <c r="B12" s="455" t="s">
        <v>601</v>
      </c>
      <c r="C12" s="67"/>
    </row>
    <row r="13" spans="1:3" s="452" customFormat="1" x14ac:dyDescent="0.4">
      <c r="A13" s="458"/>
      <c r="B13" s="67"/>
      <c r="C13" s="67"/>
    </row>
    <row r="14" spans="1:3" s="452" customFormat="1" x14ac:dyDescent="0.4">
      <c r="A14" s="608" t="s">
        <v>597</v>
      </c>
      <c r="B14" s="608"/>
      <c r="C14" s="608"/>
    </row>
    <row r="15" spans="1:3" s="452" customFormat="1" x14ac:dyDescent="0.4">
      <c r="A15" s="460" t="s">
        <v>170</v>
      </c>
      <c r="B15" s="461" t="s">
        <v>49</v>
      </c>
      <c r="C15" s="66"/>
    </row>
    <row r="16" spans="1:3" s="452" customFormat="1" x14ac:dyDescent="0.4">
      <c r="A16" s="328">
        <v>2024</v>
      </c>
      <c r="B16" s="328" t="s">
        <v>599</v>
      </c>
      <c r="C16" s="67"/>
    </row>
    <row r="17" spans="1:4" s="452" customFormat="1" x14ac:dyDescent="0.4">
      <c r="A17" s="328">
        <v>2025</v>
      </c>
      <c r="B17" s="328" t="s">
        <v>599</v>
      </c>
      <c r="C17" s="67"/>
    </row>
    <row r="18" spans="1:4" s="452" customFormat="1" x14ac:dyDescent="0.4">
      <c r="A18" s="67"/>
      <c r="B18" s="67"/>
      <c r="C18" s="67"/>
    </row>
    <row r="19" spans="1:4" s="452" customFormat="1" x14ac:dyDescent="0.4">
      <c r="A19" s="607" t="s">
        <v>55</v>
      </c>
      <c r="B19" s="607"/>
      <c r="C19" s="607"/>
    </row>
    <row r="20" spans="1:4" s="452" customFormat="1" x14ac:dyDescent="0.4">
      <c r="A20" s="236" t="s">
        <v>56</v>
      </c>
      <c r="B20" s="236" t="s">
        <v>49</v>
      </c>
      <c r="C20" s="66"/>
    </row>
    <row r="21" spans="1:4" s="452" customFormat="1" x14ac:dyDescent="0.4">
      <c r="A21" s="459">
        <v>1</v>
      </c>
      <c r="B21" s="459" t="s">
        <v>57</v>
      </c>
      <c r="C21" s="67"/>
    </row>
    <row r="22" spans="1:4" s="452" customFormat="1" x14ac:dyDescent="0.4">
      <c r="A22" s="459">
        <v>2</v>
      </c>
      <c r="B22" s="459" t="s">
        <v>58</v>
      </c>
      <c r="C22" s="67"/>
    </row>
    <row r="23" spans="1:4" s="452" customFormat="1" x14ac:dyDescent="0.4">
      <c r="A23" s="459">
        <v>3</v>
      </c>
      <c r="B23" s="459" t="s">
        <v>59</v>
      </c>
      <c r="C23" s="67"/>
    </row>
    <row r="24" spans="1:4" s="452" customFormat="1" x14ac:dyDescent="0.4">
      <c r="A24" s="459">
        <v>4</v>
      </c>
      <c r="B24" s="459" t="s">
        <v>60</v>
      </c>
      <c r="C24" s="67"/>
    </row>
    <row r="25" spans="1:4" s="452" customFormat="1" x14ac:dyDescent="0.4">
      <c r="A25" s="459">
        <v>5</v>
      </c>
      <c r="B25" s="459" t="s">
        <v>61</v>
      </c>
      <c r="C25" s="67"/>
    </row>
    <row r="26" spans="1:4" s="452" customFormat="1" x14ac:dyDescent="0.4">
      <c r="A26" s="459">
        <v>6</v>
      </c>
      <c r="B26" s="459" t="s">
        <v>62</v>
      </c>
      <c r="C26" s="67"/>
    </row>
    <row r="27" spans="1:4" s="452" customFormat="1" x14ac:dyDescent="0.4">
      <c r="A27" s="459">
        <v>7</v>
      </c>
      <c r="B27" s="459" t="s">
        <v>63</v>
      </c>
      <c r="C27" s="67"/>
    </row>
    <row r="28" spans="1:4" s="452" customFormat="1" x14ac:dyDescent="0.4">
      <c r="A28" s="459">
        <v>8</v>
      </c>
      <c r="B28" s="459" t="s">
        <v>64</v>
      </c>
      <c r="C28" s="67"/>
    </row>
    <row r="29" spans="1:4" s="452" customFormat="1" x14ac:dyDescent="0.4">
      <c r="A29" s="67"/>
      <c r="B29" s="67"/>
      <c r="C29" s="67"/>
    </row>
    <row r="30" spans="1:4" s="452" customFormat="1" x14ac:dyDescent="0.4">
      <c r="A30" s="609" t="s">
        <v>65</v>
      </c>
      <c r="B30" s="609"/>
      <c r="C30" s="609"/>
    </row>
    <row r="31" spans="1:4" s="452" customFormat="1" x14ac:dyDescent="0.4">
      <c r="A31" s="460" t="s">
        <v>66</v>
      </c>
      <c r="B31" s="461" t="s">
        <v>49</v>
      </c>
      <c r="C31"/>
      <c r="D31" s="11"/>
    </row>
    <row r="32" spans="1:4" s="452" customFormat="1" x14ac:dyDescent="0.4">
      <c r="A32" s="328">
        <v>100</v>
      </c>
      <c r="B32" s="464" t="s">
        <v>67</v>
      </c>
      <c r="C32"/>
      <c r="D32" s="11"/>
    </row>
    <row r="33" spans="1:4" s="452" customFormat="1" x14ac:dyDescent="0.4">
      <c r="A33" s="462">
        <v>101</v>
      </c>
      <c r="B33" s="464" t="s">
        <v>562</v>
      </c>
      <c r="C33"/>
      <c r="D33" s="11"/>
    </row>
    <row r="34" spans="1:4" s="452" customFormat="1" x14ac:dyDescent="0.4">
      <c r="A34" s="462">
        <v>102</v>
      </c>
      <c r="B34" s="464" t="s">
        <v>607</v>
      </c>
      <c r="C34"/>
      <c r="D34" s="11"/>
    </row>
    <row r="35" spans="1:4" s="452" customFormat="1" x14ac:dyDescent="0.4">
      <c r="A35" s="462">
        <v>104</v>
      </c>
      <c r="B35" s="464" t="s">
        <v>608</v>
      </c>
      <c r="C35"/>
      <c r="D35" s="11"/>
    </row>
    <row r="36" spans="1:4" s="452" customFormat="1" x14ac:dyDescent="0.4">
      <c r="A36" s="462">
        <v>105</v>
      </c>
      <c r="B36" s="464" t="s">
        <v>609</v>
      </c>
      <c r="C36"/>
      <c r="D36" s="11"/>
    </row>
    <row r="37" spans="1:4" s="452" customFormat="1" x14ac:dyDescent="0.4">
      <c r="A37" s="462">
        <v>106</v>
      </c>
      <c r="B37" s="464" t="s">
        <v>613</v>
      </c>
      <c r="C37"/>
      <c r="D37" s="11"/>
    </row>
    <row r="38" spans="1:4" s="452" customFormat="1" x14ac:dyDescent="0.4">
      <c r="A38" s="462">
        <v>107</v>
      </c>
      <c r="B38" s="524" t="s">
        <v>610</v>
      </c>
      <c r="C38"/>
      <c r="D38" s="11"/>
    </row>
    <row r="39" spans="1:4" s="452" customFormat="1" x14ac:dyDescent="0.4">
      <c r="A39" s="462">
        <v>108</v>
      </c>
      <c r="B39" s="524" t="s">
        <v>563</v>
      </c>
      <c r="C39"/>
      <c r="D39" s="11"/>
    </row>
    <row r="40" spans="1:4" s="452" customFormat="1" ht="33.6" x14ac:dyDescent="0.4">
      <c r="A40" s="462">
        <v>109</v>
      </c>
      <c r="B40" s="524" t="s">
        <v>611</v>
      </c>
      <c r="C40"/>
      <c r="D40" s="11"/>
    </row>
    <row r="41" spans="1:4" s="452" customFormat="1" x14ac:dyDescent="0.4">
      <c r="A41" s="462">
        <v>110</v>
      </c>
      <c r="B41" s="524" t="s">
        <v>68</v>
      </c>
      <c r="C41"/>
      <c r="D41" s="11"/>
    </row>
    <row r="42" spans="1:4" s="452" customFormat="1" x14ac:dyDescent="0.4">
      <c r="A42" s="462">
        <v>111</v>
      </c>
      <c r="B42" s="524" t="s">
        <v>69</v>
      </c>
      <c r="C42"/>
      <c r="D42" s="11"/>
    </row>
    <row r="43" spans="1:4" s="452" customFormat="1" x14ac:dyDescent="0.4">
      <c r="A43" s="462">
        <v>112</v>
      </c>
      <c r="B43" s="524" t="s">
        <v>637</v>
      </c>
      <c r="C43"/>
      <c r="D43" s="11"/>
    </row>
    <row r="44" spans="1:4" s="452" customFormat="1" ht="33.6" x14ac:dyDescent="0.4">
      <c r="A44" s="462">
        <v>115</v>
      </c>
      <c r="B44" s="524" t="s">
        <v>612</v>
      </c>
      <c r="C44"/>
      <c r="D44" s="11"/>
    </row>
    <row r="45" spans="1:4" s="452" customFormat="1" x14ac:dyDescent="0.4">
      <c r="A45" s="462">
        <v>116</v>
      </c>
      <c r="B45" s="524" t="s">
        <v>564</v>
      </c>
      <c r="C45"/>
      <c r="D45" s="11"/>
    </row>
    <row r="46" spans="1:4" s="452" customFormat="1" x14ac:dyDescent="0.4">
      <c r="A46" s="462">
        <v>118</v>
      </c>
      <c r="B46" s="524" t="s">
        <v>70</v>
      </c>
      <c r="C46"/>
      <c r="D46" s="11"/>
    </row>
    <row r="47" spans="1:4" s="452" customFormat="1" x14ac:dyDescent="0.4">
      <c r="A47" s="462">
        <v>120</v>
      </c>
      <c r="B47" s="524" t="s">
        <v>561</v>
      </c>
      <c r="C47"/>
      <c r="D47" s="11"/>
    </row>
    <row r="48" spans="1:4" s="452" customFormat="1" x14ac:dyDescent="0.4">
      <c r="A48" s="462">
        <v>121</v>
      </c>
      <c r="B48" s="524" t="s">
        <v>565</v>
      </c>
      <c r="C48"/>
      <c r="D48" s="11"/>
    </row>
    <row r="49" spans="1:4" s="452" customFormat="1" x14ac:dyDescent="0.4">
      <c r="A49" s="462">
        <v>122</v>
      </c>
      <c r="B49" s="464" t="s">
        <v>647</v>
      </c>
      <c r="C49"/>
      <c r="D49" s="11"/>
    </row>
    <row r="50" spans="1:4" s="452" customFormat="1" x14ac:dyDescent="0.4">
      <c r="A50" s="462">
        <v>123</v>
      </c>
      <c r="B50" s="464" t="s">
        <v>614</v>
      </c>
      <c r="C50"/>
      <c r="D50" s="11"/>
    </row>
    <row r="51" spans="1:4" s="452" customFormat="1" x14ac:dyDescent="0.4">
      <c r="A51" s="462">
        <v>124</v>
      </c>
      <c r="B51" s="464" t="s">
        <v>615</v>
      </c>
      <c r="C51"/>
      <c r="D51" s="11"/>
    </row>
    <row r="52" spans="1:4" s="452" customFormat="1" x14ac:dyDescent="0.4">
      <c r="A52" s="547">
        <v>125</v>
      </c>
      <c r="B52" s="525" t="s">
        <v>638</v>
      </c>
      <c r="C52"/>
      <c r="D52" s="11"/>
    </row>
    <row r="53" spans="1:4" s="452" customFormat="1" x14ac:dyDescent="0.4">
      <c r="A53" s="547">
        <v>126</v>
      </c>
      <c r="B53" s="525" t="s">
        <v>639</v>
      </c>
      <c r="C53"/>
      <c r="D53" s="11"/>
    </row>
    <row r="54" spans="1:4" s="452" customFormat="1" x14ac:dyDescent="0.4">
      <c r="A54" s="547">
        <v>127</v>
      </c>
      <c r="B54" s="525" t="s">
        <v>640</v>
      </c>
      <c r="C54"/>
      <c r="D54" s="11"/>
    </row>
    <row r="55" spans="1:4" s="452" customFormat="1" x14ac:dyDescent="0.4">
      <c r="A55" s="547">
        <v>128</v>
      </c>
      <c r="B55" s="525" t="s">
        <v>641</v>
      </c>
      <c r="C55"/>
      <c r="D55" s="11"/>
    </row>
    <row r="56" spans="1:4" s="452" customFormat="1" x14ac:dyDescent="0.4">
      <c r="A56" s="462">
        <v>999</v>
      </c>
      <c r="B56" s="464" t="s">
        <v>71</v>
      </c>
      <c r="C56"/>
      <c r="D56" s="11"/>
    </row>
    <row r="57" spans="1:4" s="452" customFormat="1" x14ac:dyDescent="0.4">
      <c r="A57" s="67"/>
      <c r="B57" s="463"/>
      <c r="C57" s="66"/>
    </row>
    <row r="58" spans="1:4" s="452" customFormat="1" x14ac:dyDescent="0.4">
      <c r="A58" s="66" t="s">
        <v>72</v>
      </c>
      <c r="B58" s="66"/>
      <c r="C58" s="66"/>
    </row>
    <row r="59" spans="1:4" s="452" customFormat="1" x14ac:dyDescent="0.4">
      <c r="A59" s="236" t="s">
        <v>73</v>
      </c>
      <c r="B59" s="236" t="s">
        <v>49</v>
      </c>
      <c r="C59" s="67"/>
    </row>
    <row r="60" spans="1:4" s="452" customFormat="1" x14ac:dyDescent="0.4">
      <c r="A60" s="328">
        <v>1</v>
      </c>
      <c r="B60" s="328" t="s">
        <v>74</v>
      </c>
      <c r="C60" s="67"/>
    </row>
    <row r="61" spans="1:4" s="452" customFormat="1" x14ac:dyDescent="0.4">
      <c r="A61" s="328">
        <v>2</v>
      </c>
      <c r="B61" s="328" t="s">
        <v>75</v>
      </c>
      <c r="C61" s="67"/>
    </row>
    <row r="62" spans="1:4" s="452" customFormat="1" x14ac:dyDescent="0.4">
      <c r="A62" s="328">
        <v>3</v>
      </c>
      <c r="B62" s="328" t="s">
        <v>76</v>
      </c>
      <c r="C62" s="67"/>
    </row>
    <row r="63" spans="1:4" s="452" customFormat="1" x14ac:dyDescent="0.4">
      <c r="A63" s="328">
        <v>4</v>
      </c>
      <c r="B63" s="328" t="s">
        <v>77</v>
      </c>
      <c r="C63" s="67"/>
    </row>
    <row r="64" spans="1:4" s="452" customFormat="1" x14ac:dyDescent="0.4">
      <c r="A64" s="328">
        <v>5</v>
      </c>
      <c r="B64" s="328" t="s">
        <v>78</v>
      </c>
      <c r="C64" s="67"/>
    </row>
    <row r="65" spans="1:3" s="452" customFormat="1" x14ac:dyDescent="0.4">
      <c r="A65" s="328">
        <v>6</v>
      </c>
      <c r="B65" s="328" t="s">
        <v>79</v>
      </c>
      <c r="C65" s="67"/>
    </row>
    <row r="66" spans="1:3" s="452" customFormat="1" x14ac:dyDescent="0.4">
      <c r="A66" s="328">
        <v>7</v>
      </c>
      <c r="B66" s="328" t="s">
        <v>80</v>
      </c>
      <c r="C66" s="67"/>
    </row>
    <row r="67" spans="1:3" s="452" customFormat="1" x14ac:dyDescent="0.4">
      <c r="A67" s="328">
        <v>8</v>
      </c>
      <c r="B67" s="328" t="s">
        <v>568</v>
      </c>
      <c r="C67" s="67"/>
    </row>
    <row r="68" spans="1:3" s="452" customFormat="1" x14ac:dyDescent="0.4">
      <c r="A68" s="67"/>
      <c r="B68" s="67"/>
      <c r="C68" s="66"/>
    </row>
    <row r="69" spans="1:3" s="452" customFormat="1" x14ac:dyDescent="0.4">
      <c r="A69" s="66" t="s">
        <v>81</v>
      </c>
      <c r="B69" s="66"/>
      <c r="C69" s="66"/>
    </row>
    <row r="70" spans="1:3" s="452" customFormat="1" x14ac:dyDescent="0.4">
      <c r="A70" s="236" t="s">
        <v>82</v>
      </c>
      <c r="B70" s="236" t="s">
        <v>49</v>
      </c>
      <c r="C70" s="67"/>
    </row>
    <row r="71" spans="1:3" s="452" customFormat="1" x14ac:dyDescent="0.4">
      <c r="A71" s="328">
        <v>1</v>
      </c>
      <c r="B71" s="328" t="s">
        <v>83</v>
      </c>
      <c r="C71" s="67"/>
    </row>
    <row r="72" spans="1:3" s="452" customFormat="1" x14ac:dyDescent="0.4">
      <c r="A72" s="328">
        <v>2</v>
      </c>
      <c r="B72" s="328" t="s">
        <v>84</v>
      </c>
      <c r="C72" s="67"/>
    </row>
    <row r="73" spans="1:3" s="452" customFormat="1" x14ac:dyDescent="0.4">
      <c r="A73" s="67"/>
      <c r="B73" s="67"/>
      <c r="C73" s="66"/>
    </row>
    <row r="74" spans="1:3" s="452" customFormat="1" x14ac:dyDescent="0.4">
      <c r="A74" s="66" t="s">
        <v>85</v>
      </c>
      <c r="B74" s="66"/>
      <c r="C74" s="66"/>
    </row>
    <row r="75" spans="1:3" s="452" customFormat="1" x14ac:dyDescent="0.4">
      <c r="A75" s="236" t="s">
        <v>86</v>
      </c>
      <c r="B75" s="236" t="s">
        <v>49</v>
      </c>
      <c r="C75" s="67"/>
    </row>
    <row r="76" spans="1:3" s="452" customFormat="1" x14ac:dyDescent="0.4">
      <c r="A76" s="328">
        <v>1</v>
      </c>
      <c r="B76" s="328" t="s">
        <v>87</v>
      </c>
      <c r="C76" s="67"/>
    </row>
    <row r="77" spans="1:3" s="452" customFormat="1" x14ac:dyDescent="0.4">
      <c r="A77" s="328">
        <v>2</v>
      </c>
      <c r="B77" s="328" t="s">
        <v>88</v>
      </c>
      <c r="C77" s="67"/>
    </row>
    <row r="78" spans="1:3" s="452" customFormat="1" x14ac:dyDescent="0.4">
      <c r="A78" s="328">
        <v>3</v>
      </c>
      <c r="B78" s="328" t="s">
        <v>89</v>
      </c>
      <c r="C78" s="67"/>
    </row>
    <row r="79" spans="1:3" s="452" customFormat="1" x14ac:dyDescent="0.4">
      <c r="A79" s="67"/>
      <c r="B79" s="67"/>
      <c r="C79" s="66"/>
    </row>
    <row r="80" spans="1:3" s="452" customFormat="1" x14ac:dyDescent="0.4">
      <c r="A80" s="33" t="s">
        <v>90</v>
      </c>
      <c r="B80" s="66"/>
      <c r="C80" s="66"/>
    </row>
    <row r="81" spans="1:3" s="452" customFormat="1" x14ac:dyDescent="0.4">
      <c r="A81" s="236" t="s">
        <v>91</v>
      </c>
      <c r="B81" s="236" t="s">
        <v>49</v>
      </c>
      <c r="C81" s="67"/>
    </row>
    <row r="82" spans="1:3" s="452" customFormat="1" x14ac:dyDescent="0.4">
      <c r="A82" s="459">
        <v>1</v>
      </c>
      <c r="B82" s="459" t="s">
        <v>569</v>
      </c>
      <c r="C82" s="67"/>
    </row>
    <row r="83" spans="1:3" s="452" customFormat="1" x14ac:dyDescent="0.4">
      <c r="A83" s="459">
        <v>2</v>
      </c>
      <c r="B83" s="459" t="s">
        <v>92</v>
      </c>
      <c r="C83" s="67"/>
    </row>
    <row r="84" spans="1:3" s="452" customFormat="1" x14ac:dyDescent="0.4">
      <c r="A84" s="459">
        <v>3</v>
      </c>
      <c r="B84" s="459" t="s">
        <v>93</v>
      </c>
      <c r="C84" s="67"/>
    </row>
    <row r="85" spans="1:3" s="452" customFormat="1" x14ac:dyDescent="0.4">
      <c r="A85" s="459">
        <v>4</v>
      </c>
      <c r="B85" s="459" t="s">
        <v>94</v>
      </c>
      <c r="C85" s="67"/>
    </row>
    <row r="86" spans="1:3" s="452" customFormat="1" x14ac:dyDescent="0.4">
      <c r="A86" s="459">
        <v>5</v>
      </c>
      <c r="B86" s="459" t="s">
        <v>95</v>
      </c>
      <c r="C86" s="67"/>
    </row>
    <row r="87" spans="1:3" s="452" customFormat="1" x14ac:dyDescent="0.4">
      <c r="A87" s="459">
        <v>6</v>
      </c>
      <c r="B87" s="459" t="s">
        <v>96</v>
      </c>
      <c r="C87" s="67"/>
    </row>
    <row r="88" spans="1:3" s="452" customFormat="1" x14ac:dyDescent="0.4">
      <c r="A88" s="459">
        <v>7</v>
      </c>
      <c r="B88" s="459" t="s">
        <v>97</v>
      </c>
      <c r="C88" s="67"/>
    </row>
    <row r="89" spans="1:3" s="452" customFormat="1" x14ac:dyDescent="0.4">
      <c r="A89" s="459">
        <v>8</v>
      </c>
      <c r="B89" s="459" t="s">
        <v>98</v>
      </c>
      <c r="C89" s="67"/>
    </row>
    <row r="90" spans="1:3" s="452" customFormat="1" x14ac:dyDescent="0.4">
      <c r="A90" s="459">
        <v>9</v>
      </c>
      <c r="B90" s="459" t="s">
        <v>99</v>
      </c>
      <c r="C90" s="67"/>
    </row>
    <row r="91" spans="1:3" s="452" customFormat="1" x14ac:dyDescent="0.4">
      <c r="A91" s="459">
        <v>10</v>
      </c>
      <c r="B91" s="459" t="s">
        <v>100</v>
      </c>
      <c r="C91" s="67"/>
    </row>
    <row r="92" spans="1:3" s="452" customFormat="1" x14ac:dyDescent="0.4">
      <c r="A92" s="459">
        <v>11</v>
      </c>
      <c r="B92" s="459" t="s">
        <v>101</v>
      </c>
      <c r="C92" s="67"/>
    </row>
    <row r="93" spans="1:3" s="452" customFormat="1" x14ac:dyDescent="0.4">
      <c r="A93" s="67"/>
      <c r="B93" s="67"/>
      <c r="C93" s="66"/>
    </row>
    <row r="94" spans="1:3" s="452" customFormat="1" x14ac:dyDescent="0.4">
      <c r="A94" s="33" t="s">
        <v>102</v>
      </c>
      <c r="B94" s="66"/>
      <c r="C94" s="464"/>
    </row>
    <row r="95" spans="1:3" s="452" customFormat="1" x14ac:dyDescent="0.4">
      <c r="A95" s="465" t="s">
        <v>86</v>
      </c>
      <c r="B95" s="466" t="s">
        <v>56</v>
      </c>
      <c r="C95" s="467" t="s">
        <v>103</v>
      </c>
    </row>
    <row r="96" spans="1:3" s="452" customFormat="1" ht="33.6" x14ac:dyDescent="0.4">
      <c r="A96" s="604" t="s">
        <v>104</v>
      </c>
      <c r="B96" s="468" t="s">
        <v>105</v>
      </c>
      <c r="C96" s="469" t="s">
        <v>106</v>
      </c>
    </row>
    <row r="97" spans="1:3" s="452" customFormat="1" x14ac:dyDescent="0.4">
      <c r="A97" s="604"/>
      <c r="B97" s="468" t="s">
        <v>107</v>
      </c>
      <c r="C97" s="469" t="s">
        <v>108</v>
      </c>
    </row>
    <row r="98" spans="1:3" s="452" customFormat="1" x14ac:dyDescent="0.4">
      <c r="A98" s="604"/>
      <c r="B98" s="468" t="s">
        <v>109</v>
      </c>
      <c r="C98" s="469" t="s">
        <v>110</v>
      </c>
    </row>
    <row r="99" spans="1:3" s="452" customFormat="1" x14ac:dyDescent="0.4">
      <c r="A99" s="605" t="s">
        <v>111</v>
      </c>
      <c r="B99" s="470" t="s">
        <v>112</v>
      </c>
      <c r="C99" s="471" t="s">
        <v>113</v>
      </c>
    </row>
    <row r="100" spans="1:3" s="452" customFormat="1" x14ac:dyDescent="0.4">
      <c r="A100" s="605"/>
      <c r="B100" s="470" t="s">
        <v>114</v>
      </c>
      <c r="C100" s="471" t="s">
        <v>115</v>
      </c>
    </row>
    <row r="101" spans="1:3" s="452" customFormat="1" ht="100.8" x14ac:dyDescent="0.4">
      <c r="A101" s="606" t="s">
        <v>116</v>
      </c>
      <c r="B101" s="472" t="s">
        <v>117</v>
      </c>
      <c r="C101" s="473" t="s">
        <v>570</v>
      </c>
    </row>
    <row r="102" spans="1:3" x14ac:dyDescent="0.4">
      <c r="A102" s="606"/>
      <c r="B102" s="472" t="s">
        <v>118</v>
      </c>
      <c r="C102" s="473" t="s">
        <v>119</v>
      </c>
    </row>
    <row r="103" spans="1:3" x14ac:dyDescent="0.4">
      <c r="A103" s="311"/>
      <c r="B103" s="311"/>
      <c r="C103" s="311"/>
    </row>
    <row r="104" spans="1:3" x14ac:dyDescent="0.4">
      <c r="A104" s="311"/>
      <c r="B104" s="311"/>
      <c r="C104" s="311"/>
    </row>
  </sheetData>
  <mergeCells count="8">
    <mergeCell ref="A2:C2"/>
    <mergeCell ref="A96:A98"/>
    <mergeCell ref="A99:A100"/>
    <mergeCell ref="A101:A102"/>
    <mergeCell ref="A19:C19"/>
    <mergeCell ref="A4:C4"/>
    <mergeCell ref="A30:C30"/>
    <mergeCell ref="A14:C14"/>
  </mergeCells>
  <phoneticPr fontId="17" type="noConversion"/>
  <pageMargins left="0.7" right="0.7" top="0.75" bottom="0.75" header="0.3" footer="0.3"/>
  <pageSetup scale="80" fitToHeight="5" orientation="landscape" r:id="rId1"/>
  <headerFooter>
    <oddFooter>&amp;L&amp;"-,Bold"Carrier Benchmark Data Submission Template&amp;"-,Regular" | NJ Hart Program &amp;RPage &amp;P</oddFooter>
  </headerFooter>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57345-C91C-417B-8650-3506440E9DDB}">
  <sheetPr>
    <tabColor theme="9" tint="0.39997558519241921"/>
    <pageSetUpPr fitToPage="1"/>
  </sheetPr>
  <dimension ref="A1:F21"/>
  <sheetViews>
    <sheetView showGridLines="0" zoomScale="80" zoomScaleNormal="80" workbookViewId="0">
      <selection activeCell="C17" sqref="C17"/>
    </sheetView>
  </sheetViews>
  <sheetFormatPr defaultColWidth="28.69921875" defaultRowHeight="16.8" x14ac:dyDescent="0.4"/>
  <cols>
    <col min="1" max="1" width="6.5" style="252" customWidth="1"/>
    <col min="2" max="2" width="67.5" style="252" customWidth="1"/>
    <col min="3" max="3" width="87.59765625" style="252" customWidth="1"/>
    <col min="4" max="4" width="56.5" style="252" customWidth="1"/>
    <col min="5" max="5" width="76" style="252" customWidth="1"/>
    <col min="6" max="6" width="77.19921875" style="252" customWidth="1"/>
    <col min="7" max="16384" width="28.69921875" style="252"/>
  </cols>
  <sheetData>
    <row r="1" spans="1:6" ht="20.399999999999999" x14ac:dyDescent="0.4">
      <c r="A1" s="50" t="s">
        <v>26</v>
      </c>
      <c r="B1" s="50"/>
      <c r="C1" s="50"/>
      <c r="D1" s="251"/>
      <c r="E1" s="251"/>
    </row>
    <row r="2" spans="1:6" ht="20.399999999999999" x14ac:dyDescent="0.4">
      <c r="A2" s="21" t="s">
        <v>120</v>
      </c>
      <c r="B2" s="50"/>
      <c r="C2" s="50"/>
      <c r="D2" s="251"/>
      <c r="E2" s="251"/>
    </row>
    <row r="3" spans="1:6" ht="20.399999999999999" x14ac:dyDescent="0.4">
      <c r="A3" s="21"/>
      <c r="B3" s="50"/>
      <c r="C3" s="50"/>
      <c r="D3" s="251"/>
      <c r="E3" s="251"/>
    </row>
    <row r="4" spans="1:6" s="10" customFormat="1" x14ac:dyDescent="0.4">
      <c r="A4" s="217" t="s">
        <v>567</v>
      </c>
      <c r="B4" s="474"/>
      <c r="C4" s="1"/>
      <c r="D4" s="1"/>
      <c r="E4" s="1"/>
    </row>
    <row r="5" spans="1:6" s="10" customFormat="1" ht="8.25" customHeight="1" x14ac:dyDescent="0.4">
      <c r="A5" s="474"/>
      <c r="B5" s="474"/>
      <c r="C5" s="1"/>
      <c r="D5" s="1"/>
      <c r="E5" s="1"/>
    </row>
    <row r="6" spans="1:6" s="10" customFormat="1" x14ac:dyDescent="0.4">
      <c r="A6" s="475" t="s">
        <v>575</v>
      </c>
      <c r="B6" s="475"/>
      <c r="C6" s="1"/>
      <c r="D6" s="1"/>
      <c r="E6" s="1"/>
    </row>
    <row r="7" spans="1:6" s="10" customFormat="1" x14ac:dyDescent="0.4">
      <c r="A7" s="475" t="s">
        <v>573</v>
      </c>
      <c r="B7" s="475"/>
      <c r="C7" s="1"/>
      <c r="D7" s="1"/>
      <c r="E7" s="1"/>
    </row>
    <row r="8" spans="1:6" s="10" customFormat="1" x14ac:dyDescent="0.4">
      <c r="A8" s="475" t="s">
        <v>574</v>
      </c>
      <c r="B8" s="475"/>
      <c r="C8" s="1"/>
      <c r="D8" s="1"/>
      <c r="E8" s="1"/>
    </row>
    <row r="9" spans="1:6" s="10" customFormat="1" x14ac:dyDescent="0.4">
      <c r="A9" s="475" t="s">
        <v>121</v>
      </c>
      <c r="B9" s="475"/>
      <c r="C9" s="1"/>
      <c r="D9" s="1"/>
      <c r="E9" s="1"/>
    </row>
    <row r="10" spans="1:6" ht="20.399999999999999" x14ac:dyDescent="0.4">
      <c r="A10" s="21"/>
      <c r="B10" s="50"/>
      <c r="C10" s="50"/>
      <c r="D10" s="251"/>
      <c r="E10" s="251"/>
    </row>
    <row r="11" spans="1:6" x14ac:dyDescent="0.4">
      <c r="A11" s="253" t="s">
        <v>122</v>
      </c>
      <c r="B11" s="18"/>
      <c r="C11" s="476"/>
      <c r="D11" s="476"/>
      <c r="E11" s="476"/>
      <c r="F11" s="477"/>
    </row>
    <row r="12" spans="1:6" x14ac:dyDescent="0.4">
      <c r="A12" s="250" t="s">
        <v>123</v>
      </c>
      <c r="B12" s="31"/>
      <c r="C12" s="250"/>
      <c r="D12" s="251"/>
      <c r="E12" s="251"/>
    </row>
    <row r="13" spans="1:6" s="10" customFormat="1" ht="15" customHeight="1" x14ac:dyDescent="0.4">
      <c r="A13" s="51" t="s">
        <v>124</v>
      </c>
      <c r="B13" s="51"/>
      <c r="C13" s="51"/>
      <c r="D13" s="1"/>
      <c r="E13" s="1"/>
    </row>
    <row r="14" spans="1:6" x14ac:dyDescent="0.4">
      <c r="A14" s="22"/>
      <c r="B14" s="18"/>
      <c r="C14" s="18"/>
      <c r="D14" s="251"/>
      <c r="E14" s="251"/>
    </row>
    <row r="15" spans="1:6" x14ac:dyDescent="0.4">
      <c r="A15" s="251"/>
      <c r="B15" s="251"/>
      <c r="C15" s="251"/>
      <c r="D15" s="251"/>
      <c r="E15" s="251"/>
    </row>
    <row r="16" spans="1:6" x14ac:dyDescent="0.4">
      <c r="A16" s="251"/>
      <c r="B16" s="254" t="s">
        <v>125</v>
      </c>
      <c r="C16" s="251"/>
      <c r="D16" s="251"/>
      <c r="E16" s="251"/>
    </row>
    <row r="17" spans="1:5" x14ac:dyDescent="0.4">
      <c r="A17" s="255" t="s">
        <v>126</v>
      </c>
      <c r="B17" s="256" t="s">
        <v>127</v>
      </c>
      <c r="C17" s="478"/>
      <c r="D17" s="251"/>
      <c r="E17" s="251"/>
    </row>
    <row r="18" spans="1:5" x14ac:dyDescent="0.4">
      <c r="A18" s="255" t="s">
        <v>128</v>
      </c>
      <c r="B18" s="257" t="s">
        <v>129</v>
      </c>
      <c r="C18"/>
      <c r="D18" s="251"/>
      <c r="E18" s="251"/>
    </row>
    <row r="19" spans="1:5" x14ac:dyDescent="0.4">
      <c r="A19" s="255" t="s">
        <v>130</v>
      </c>
      <c r="B19" s="257" t="s">
        <v>131</v>
      </c>
      <c r="C19" s="479"/>
      <c r="D19" s="251"/>
      <c r="E19" s="251"/>
    </row>
    <row r="20" spans="1:5" x14ac:dyDescent="0.4">
      <c r="A20" s="255" t="s">
        <v>132</v>
      </c>
      <c r="B20" s="258" t="s">
        <v>133</v>
      </c>
      <c r="C20" s="478"/>
      <c r="D20" s="251"/>
      <c r="E20" s="251"/>
    </row>
    <row r="21" spans="1:5" x14ac:dyDescent="0.4">
      <c r="A21" s="255" t="s">
        <v>134</v>
      </c>
      <c r="B21" s="259" t="s">
        <v>135</v>
      </c>
      <c r="C21" s="480"/>
      <c r="D21" s="251"/>
      <c r="E21" s="251"/>
    </row>
  </sheetData>
  <dataValidations count="3">
    <dataValidation allowBlank="1" showInputMessage="1" showErrorMessage="1" errorTitle="Input missing" promptTitle="Input required" prompt="Input email address for primary contact." sqref="C19" xr:uid="{98E0D241-36FC-453C-B11A-C5908FB884DA}"/>
    <dataValidation allowBlank="1" showInputMessage="1" sqref="C20:C21" xr:uid="{C9EFE231-B61A-4AC4-A45D-E9CBF993FCA5}"/>
    <dataValidation allowBlank="1" showInputMessage="1" showErrorMessage="1" errorTitle="Input missing" promptTitle="Input required" prompt="Input name of the person who can answer data validation questions from the state." sqref="C18" xr:uid="{65A98E42-A6D4-425B-8516-EA344D470CB2}"/>
  </dataValidations>
  <pageMargins left="0.7" right="0.7" top="0.75" bottom="0.75" header="0.3" footer="0.3"/>
  <pageSetup scale="41" orientation="landscape" r:id="rId1"/>
  <headerFooter>
    <oddFooter>&amp;L&amp;"-,Bold"Carrier Benchmark Data Submission Template&amp;"-,Regular" | NJ Hart Program &amp;RPage &amp;P</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showInputMessage="1" showErrorMessage="1" errorTitle="Input missing" promptTitle="Input required" prompt="Input must be an option from the drop down list" xr:uid="{A01B00BA-F714-4E58-A66E-CB10C9F1E04E}">
          <x14:formula1>
            <xm:f>'Reference Tables'!$B$6:$B$12</xm:f>
          </x14:formula1>
          <xm:sqref>C17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DFCAC-667E-4878-8DC0-2F586C2BDEC0}">
  <sheetPr>
    <tabColor theme="9" tint="0.39997558519241921"/>
    <pageSetUpPr fitToPage="1"/>
  </sheetPr>
  <dimension ref="A1:AO411"/>
  <sheetViews>
    <sheetView showGridLines="0" zoomScale="80" zoomScaleNormal="80" workbookViewId="0">
      <selection activeCell="B314" sqref="B314"/>
    </sheetView>
  </sheetViews>
  <sheetFormatPr defaultColWidth="9" defaultRowHeight="16.8" x14ac:dyDescent="0.4"/>
  <cols>
    <col min="1" max="4" width="15.59765625" style="10" customWidth="1"/>
    <col min="5" max="29" width="25.59765625" style="10" customWidth="1"/>
    <col min="30" max="30" width="9" style="10"/>
    <col min="31" max="31" width="87.3984375" style="10" customWidth="1"/>
    <col min="32" max="16384" width="9" style="10"/>
  </cols>
  <sheetData>
    <row r="1" spans="1:41" ht="20.399999999999999" x14ac:dyDescent="0.45">
      <c r="A1" s="9" t="s">
        <v>136</v>
      </c>
      <c r="B1" s="260"/>
      <c r="C1" s="260"/>
      <c r="D1" s="260"/>
      <c r="E1" s="1"/>
      <c r="F1" s="1"/>
      <c r="G1" s="1"/>
      <c r="H1" s="1"/>
      <c r="I1" s="1"/>
      <c r="J1" s="1"/>
      <c r="K1" s="1"/>
      <c r="L1" s="1"/>
      <c r="M1" s="1"/>
      <c r="N1" s="1"/>
      <c r="O1" s="1"/>
      <c r="P1" s="1"/>
      <c r="Q1" s="1"/>
      <c r="R1" s="1"/>
      <c r="S1" s="1"/>
      <c r="T1" s="1"/>
      <c r="U1" s="1"/>
      <c r="V1" s="1"/>
      <c r="W1" s="1"/>
      <c r="X1" s="1"/>
      <c r="Y1" s="1"/>
      <c r="Z1" s="1"/>
      <c r="AA1" s="1"/>
      <c r="AB1" s="1"/>
      <c r="AC1" s="1"/>
      <c r="AF1" s="299"/>
      <c r="AG1" s="299"/>
      <c r="AH1" s="299"/>
      <c r="AI1" s="299"/>
      <c r="AJ1" s="299"/>
      <c r="AK1" s="299"/>
      <c r="AL1" s="299"/>
    </row>
    <row r="2" spans="1:41" ht="15" customHeight="1" x14ac:dyDescent="0.4">
      <c r="A2" s="21" t="s">
        <v>137</v>
      </c>
      <c r="B2" s="260"/>
      <c r="C2" s="260"/>
      <c r="D2" s="260"/>
      <c r="E2" s="1"/>
      <c r="F2" s="1"/>
      <c r="G2" s="1"/>
      <c r="H2" s="1"/>
      <c r="I2" s="1"/>
      <c r="J2" s="1"/>
      <c r="K2" s="1"/>
      <c r="L2" s="1"/>
      <c r="M2" s="1"/>
      <c r="N2" s="1"/>
      <c r="O2" s="1"/>
      <c r="P2" s="1"/>
      <c r="Q2" s="1"/>
      <c r="R2" s="1"/>
      <c r="S2" s="1"/>
      <c r="T2" s="1"/>
      <c r="U2" s="1"/>
      <c r="V2" s="1"/>
      <c r="W2" s="1"/>
      <c r="X2" s="1"/>
      <c r="Y2" s="1"/>
      <c r="Z2" s="1"/>
      <c r="AA2" s="1"/>
      <c r="AB2" s="1"/>
      <c r="AC2" s="1"/>
      <c r="AF2" s="299"/>
      <c r="AG2" s="299"/>
      <c r="AH2" s="299"/>
      <c r="AI2" s="299"/>
      <c r="AJ2" s="299"/>
      <c r="AK2" s="299"/>
      <c r="AL2" s="299"/>
    </row>
    <row r="3" spans="1:41" ht="15" customHeight="1" x14ac:dyDescent="0.4">
      <c r="A3" s="21"/>
      <c r="B3" s="260"/>
      <c r="C3" s="260"/>
      <c r="D3" s="260"/>
      <c r="E3" s="1"/>
      <c r="F3" s="1"/>
      <c r="G3" s="1"/>
      <c r="H3" s="1"/>
      <c r="I3" s="1"/>
      <c r="J3" s="1"/>
      <c r="K3" s="1"/>
      <c r="L3" s="1"/>
      <c r="M3" s="1"/>
      <c r="N3" s="1"/>
      <c r="O3" s="1"/>
      <c r="P3" s="1"/>
      <c r="Q3" s="1"/>
      <c r="R3" s="1"/>
      <c r="S3" s="1"/>
      <c r="T3" s="1"/>
      <c r="U3" s="1"/>
      <c r="V3" s="1"/>
      <c r="W3" s="1"/>
      <c r="X3" s="1"/>
      <c r="Y3" s="1"/>
      <c r="Z3" s="1"/>
      <c r="AA3" s="1"/>
      <c r="AB3" s="1"/>
      <c r="AC3" s="1"/>
      <c r="AE3" s="41"/>
      <c r="AF3" s="299"/>
      <c r="AG3" s="299"/>
      <c r="AH3" s="299"/>
      <c r="AI3" s="299"/>
      <c r="AJ3" s="299"/>
      <c r="AK3" s="299"/>
      <c r="AL3" s="299"/>
    </row>
    <row r="4" spans="1:41" s="38" customFormat="1" x14ac:dyDescent="0.4">
      <c r="A4" s="253" t="s">
        <v>122</v>
      </c>
      <c r="B4" s="39"/>
      <c r="C4" s="39"/>
      <c r="D4" s="39"/>
      <c r="E4" s="28"/>
      <c r="F4" s="28"/>
      <c r="G4" s="28"/>
      <c r="H4" s="28"/>
      <c r="I4" s="28"/>
      <c r="J4" s="28"/>
      <c r="K4" s="28"/>
      <c r="L4" s="28"/>
      <c r="M4" s="28"/>
      <c r="N4" s="28"/>
      <c r="O4" s="28"/>
      <c r="P4" s="28"/>
      <c r="Q4" s="28"/>
      <c r="R4" s="28"/>
      <c r="S4" s="28"/>
      <c r="T4" s="28"/>
      <c r="U4" s="28"/>
      <c r="V4" s="28"/>
      <c r="W4" s="28"/>
      <c r="X4" s="28"/>
      <c r="Y4" s="28"/>
      <c r="Z4" s="28"/>
      <c r="AA4" s="28"/>
      <c r="AB4" s="28"/>
      <c r="AC4" s="28"/>
      <c r="AE4" s="41"/>
      <c r="AF4" s="299"/>
      <c r="AG4" s="299"/>
      <c r="AH4" s="299"/>
      <c r="AI4" s="299"/>
      <c r="AJ4" s="299"/>
      <c r="AK4" s="299"/>
      <c r="AL4" s="299"/>
    </row>
    <row r="5" spans="1:41" x14ac:dyDescent="0.4">
      <c r="A5" s="497" t="s">
        <v>138</v>
      </c>
      <c r="B5" s="114"/>
      <c r="C5" s="261"/>
      <c r="D5" s="262"/>
      <c r="E5" s="263"/>
      <c r="F5" s="261"/>
      <c r="G5" s="261"/>
      <c r="H5" s="264"/>
      <c r="I5" s="261"/>
      <c r="J5" s="261"/>
      <c r="K5" s="261"/>
      <c r="L5" s="261"/>
      <c r="M5" s="261"/>
      <c r="N5" s="261"/>
      <c r="O5" s="261"/>
      <c r="P5" s="261"/>
      <c r="Q5" s="261"/>
      <c r="R5" s="261"/>
      <c r="S5" s="261"/>
      <c r="T5" s="261"/>
      <c r="U5" s="261"/>
      <c r="V5" s="261"/>
      <c r="W5" s="261"/>
      <c r="X5" s="261"/>
      <c r="Y5" s="261"/>
      <c r="Z5" s="261"/>
      <c r="AA5" s="261"/>
      <c r="AB5" s="261"/>
      <c r="AC5" s="261"/>
      <c r="AE5" s="41"/>
      <c r="AF5" s="299"/>
      <c r="AG5" s="299"/>
      <c r="AH5" s="299"/>
      <c r="AI5" s="299"/>
      <c r="AJ5" s="299"/>
      <c r="AK5" s="299"/>
      <c r="AL5" s="299"/>
    </row>
    <row r="6" spans="1:41" x14ac:dyDescent="0.4">
      <c r="A6" s="250" t="s">
        <v>123</v>
      </c>
      <c r="B6" s="30"/>
      <c r="C6" s="265"/>
      <c r="D6" s="266"/>
      <c r="E6" s="267"/>
      <c r="F6" s="265"/>
      <c r="G6" s="265"/>
      <c r="H6" s="268"/>
      <c r="I6" s="265"/>
      <c r="J6" s="265"/>
      <c r="K6" s="265"/>
      <c r="L6" s="265"/>
      <c r="M6" s="265"/>
      <c r="N6" s="265"/>
      <c r="O6" s="265"/>
      <c r="P6" s="265"/>
      <c r="Q6" s="265"/>
      <c r="R6" s="265"/>
      <c r="S6" s="265"/>
      <c r="T6" s="265"/>
      <c r="U6" s="265"/>
      <c r="V6" s="265"/>
      <c r="W6" s="265"/>
      <c r="X6" s="265"/>
      <c r="Y6" s="265"/>
      <c r="Z6" s="265"/>
      <c r="AA6" s="265"/>
      <c r="AB6" s="265"/>
      <c r="AC6" s="265"/>
      <c r="AE6" s="41"/>
      <c r="AF6" s="299"/>
      <c r="AG6" s="299"/>
      <c r="AH6" s="299"/>
      <c r="AI6" s="299"/>
      <c r="AJ6" s="299"/>
      <c r="AK6" s="299"/>
      <c r="AL6" s="299"/>
    </row>
    <row r="7" spans="1:41" x14ac:dyDescent="0.4">
      <c r="A7" s="25" t="s">
        <v>139</v>
      </c>
      <c r="B7" s="269"/>
      <c r="C7" s="269"/>
      <c r="D7" s="269"/>
      <c r="E7" s="270"/>
      <c r="F7" s="271"/>
      <c r="G7" s="271"/>
      <c r="H7" s="272"/>
      <c r="I7" s="271"/>
      <c r="J7" s="271"/>
      <c r="K7" s="271"/>
      <c r="L7" s="271"/>
      <c r="M7" s="271"/>
      <c r="N7" s="271"/>
      <c r="O7" s="271"/>
      <c r="P7" s="271"/>
      <c r="Q7" s="271"/>
      <c r="R7" s="271"/>
      <c r="S7" s="271"/>
      <c r="T7" s="271"/>
      <c r="U7" s="271"/>
      <c r="V7" s="271"/>
      <c r="W7" s="271"/>
      <c r="X7" s="271"/>
      <c r="Y7" s="271"/>
      <c r="Z7" s="271"/>
      <c r="AA7" s="271"/>
      <c r="AB7" s="271"/>
      <c r="AC7" s="271"/>
      <c r="AE7" s="41"/>
      <c r="AF7" s="299"/>
      <c r="AG7" s="299"/>
      <c r="AH7" s="299"/>
      <c r="AI7" s="299"/>
      <c r="AJ7" s="299"/>
      <c r="AK7" s="299"/>
      <c r="AL7" s="299"/>
    </row>
    <row r="8" spans="1:41" x14ac:dyDescent="0.4">
      <c r="A8" s="32" t="s">
        <v>140</v>
      </c>
      <c r="B8" s="273"/>
      <c r="C8" s="69"/>
      <c r="D8" s="69"/>
      <c r="E8" s="182"/>
      <c r="F8" s="182"/>
      <c r="G8" s="182"/>
      <c r="H8" s="274"/>
      <c r="I8" s="182"/>
      <c r="J8" s="182"/>
      <c r="K8" s="182"/>
      <c r="L8" s="182"/>
      <c r="M8" s="182"/>
      <c r="N8" s="182"/>
      <c r="O8" s="182"/>
      <c r="P8" s="182"/>
      <c r="Q8" s="182"/>
      <c r="R8" s="182"/>
      <c r="S8" s="182"/>
      <c r="T8" s="182"/>
      <c r="U8" s="182"/>
      <c r="V8" s="182"/>
      <c r="W8" s="182"/>
      <c r="X8" s="182"/>
      <c r="Y8" s="182"/>
      <c r="Z8" s="182"/>
      <c r="AA8" s="182"/>
      <c r="AB8" s="182"/>
      <c r="AC8" s="182"/>
      <c r="AE8" s="41"/>
      <c r="AF8" s="299"/>
      <c r="AG8" s="299"/>
      <c r="AH8" s="299"/>
      <c r="AI8" s="299"/>
      <c r="AJ8" s="299"/>
      <c r="AK8" s="299"/>
      <c r="AL8" s="299"/>
    </row>
    <row r="9" spans="1:41" s="11" customFormat="1" x14ac:dyDescent="0.4">
      <c r="A9"/>
      <c r="B9"/>
      <c r="C9"/>
      <c r="D9"/>
      <c r="E9"/>
      <c r="F9"/>
      <c r="G9"/>
      <c r="H9"/>
      <c r="I9"/>
      <c r="J9"/>
      <c r="K9"/>
      <c r="L9"/>
      <c r="M9"/>
      <c r="N9"/>
      <c r="O9"/>
      <c r="P9"/>
      <c r="Q9"/>
      <c r="R9"/>
      <c r="S9"/>
      <c r="T9"/>
      <c r="U9"/>
      <c r="V9"/>
      <c r="W9"/>
      <c r="X9"/>
      <c r="Y9"/>
      <c r="Z9"/>
      <c r="AA9"/>
      <c r="AB9"/>
      <c r="AC9"/>
      <c r="AE9" s="298"/>
      <c r="AF9" s="297"/>
      <c r="AG9" s="297"/>
      <c r="AH9" s="297"/>
      <c r="AI9" s="297"/>
      <c r="AJ9" s="297"/>
      <c r="AK9" s="297"/>
      <c r="AL9" s="297"/>
    </row>
    <row r="10" spans="1:41" s="38" customFormat="1" x14ac:dyDescent="0.4">
      <c r="A10" s="37" t="s">
        <v>141</v>
      </c>
      <c r="B10" s="37" t="s">
        <v>142</v>
      </c>
      <c r="C10" s="37" t="s">
        <v>143</v>
      </c>
      <c r="D10" s="37" t="s">
        <v>144</v>
      </c>
      <c r="E10" s="37" t="s">
        <v>145</v>
      </c>
      <c r="F10" s="37" t="s">
        <v>146</v>
      </c>
      <c r="G10" s="37" t="s">
        <v>147</v>
      </c>
      <c r="H10" s="37" t="s">
        <v>148</v>
      </c>
      <c r="I10" s="37" t="s">
        <v>149</v>
      </c>
      <c r="J10" s="37" t="s">
        <v>150</v>
      </c>
      <c r="K10" s="37" t="s">
        <v>151</v>
      </c>
      <c r="L10" s="37" t="s">
        <v>152</v>
      </c>
      <c r="M10" s="37" t="s">
        <v>153</v>
      </c>
      <c r="N10" s="37" t="s">
        <v>154</v>
      </c>
      <c r="O10" s="37" t="s">
        <v>155</v>
      </c>
      <c r="P10" s="37" t="s">
        <v>156</v>
      </c>
      <c r="Q10" s="37" t="s">
        <v>157</v>
      </c>
      <c r="R10" s="37" t="s">
        <v>158</v>
      </c>
      <c r="S10" s="37" t="s">
        <v>159</v>
      </c>
      <c r="T10" s="37" t="s">
        <v>160</v>
      </c>
      <c r="U10" s="37" t="s">
        <v>161</v>
      </c>
      <c r="V10" s="37" t="s">
        <v>162</v>
      </c>
      <c r="W10" s="37" t="s">
        <v>163</v>
      </c>
      <c r="X10" s="37" t="s">
        <v>164</v>
      </c>
      <c r="Y10" s="37" t="s">
        <v>165</v>
      </c>
      <c r="Z10" s="37" t="s">
        <v>166</v>
      </c>
      <c r="AA10" s="37" t="s">
        <v>167</v>
      </c>
      <c r="AB10" s="37" t="s">
        <v>168</v>
      </c>
      <c r="AC10" s="37" t="s">
        <v>169</v>
      </c>
      <c r="AE10" s="41"/>
      <c r="AF10" s="299"/>
      <c r="AG10" s="299"/>
      <c r="AH10" s="299"/>
      <c r="AI10" s="299"/>
      <c r="AJ10" s="299"/>
      <c r="AK10" s="299"/>
      <c r="AL10" s="299"/>
    </row>
    <row r="11" spans="1:41" ht="33.6" x14ac:dyDescent="0.4">
      <c r="A11" s="111" t="s">
        <v>48</v>
      </c>
      <c r="B11" s="112" t="s">
        <v>170</v>
      </c>
      <c r="C11" s="112" t="s">
        <v>56</v>
      </c>
      <c r="D11" s="112" t="s">
        <v>66</v>
      </c>
      <c r="E11" s="24" t="s">
        <v>171</v>
      </c>
      <c r="F11" s="23" t="s">
        <v>172</v>
      </c>
      <c r="G11" s="23" t="s">
        <v>173</v>
      </c>
      <c r="H11" s="23" t="s">
        <v>174</v>
      </c>
      <c r="I11" s="23" t="s">
        <v>175</v>
      </c>
      <c r="J11" s="23" t="s">
        <v>176</v>
      </c>
      <c r="K11" s="23" t="s">
        <v>177</v>
      </c>
      <c r="L11" s="23" t="s">
        <v>178</v>
      </c>
      <c r="M11" s="23" t="s">
        <v>179</v>
      </c>
      <c r="N11" s="23" t="s">
        <v>180</v>
      </c>
      <c r="O11" s="23" t="s">
        <v>181</v>
      </c>
      <c r="P11" s="23" t="s">
        <v>182</v>
      </c>
      <c r="Q11" s="23" t="s">
        <v>183</v>
      </c>
      <c r="R11" s="23" t="s">
        <v>184</v>
      </c>
      <c r="S11" s="23" t="s">
        <v>185</v>
      </c>
      <c r="T11" s="23" t="s">
        <v>186</v>
      </c>
      <c r="U11" s="23" t="s">
        <v>187</v>
      </c>
      <c r="V11" s="23" t="s">
        <v>188</v>
      </c>
      <c r="W11" s="126" t="s">
        <v>189</v>
      </c>
      <c r="X11" s="126" t="s">
        <v>190</v>
      </c>
      <c r="Y11" s="126" t="s">
        <v>191</v>
      </c>
      <c r="Z11" s="126" t="s">
        <v>192</v>
      </c>
      <c r="AA11" s="126" t="s">
        <v>193</v>
      </c>
      <c r="AB11" s="126" t="s">
        <v>194</v>
      </c>
      <c r="AC11" s="127" t="s">
        <v>195</v>
      </c>
      <c r="AD11" s="11"/>
      <c r="AE11" s="300" t="s">
        <v>196</v>
      </c>
      <c r="AF11" s="297"/>
      <c r="AG11" s="297"/>
      <c r="AH11" s="297"/>
      <c r="AI11" s="297"/>
      <c r="AJ11" s="297"/>
      <c r="AK11" s="297"/>
      <c r="AL11" s="297"/>
      <c r="AM11" s="11"/>
      <c r="AN11" s="11"/>
      <c r="AO11" s="11"/>
    </row>
    <row r="12" spans="1:41" x14ac:dyDescent="0.4">
      <c r="A12" s="291"/>
      <c r="B12" s="292"/>
      <c r="C12" s="312"/>
      <c r="D12"/>
      <c r="E12" s="325"/>
      <c r="F12" s="143"/>
      <c r="G12" s="143"/>
      <c r="H12" s="143"/>
      <c r="I12" s="143"/>
      <c r="J12" s="143"/>
      <c r="K12" s="143"/>
      <c r="L12" s="143"/>
      <c r="M12" s="143"/>
      <c r="N12" s="143"/>
      <c r="O12" s="143"/>
      <c r="P12" s="143"/>
      <c r="Q12" s="143"/>
      <c r="R12" s="143"/>
      <c r="S12" s="143"/>
      <c r="T12" s="143"/>
      <c r="U12" s="143"/>
      <c r="V12" s="325"/>
      <c r="W12" s="393">
        <f t="shared" ref="W12:W81" si="0">SUM(F12:M12)</f>
        <v>0</v>
      </c>
      <c r="X12" s="393">
        <f t="shared" ref="X12:X81" si="1">SUM(N12:S12)</f>
        <v>0</v>
      </c>
      <c r="Y12" s="393">
        <f t="shared" ref="Y12:Y81" si="2">W12+X12</f>
        <v>0</v>
      </c>
      <c r="Z12" s="393">
        <f t="shared" ref="Z12:Z81" si="3">W12-U12</f>
        <v>0</v>
      </c>
      <c r="AA12" s="393">
        <f t="shared" ref="AA12:AA81" si="4">Z12+X12</f>
        <v>0</v>
      </c>
      <c r="AB12" s="393" t="e">
        <f>Y12/E12</f>
        <v>#DIV/0!</v>
      </c>
      <c r="AC12" s="486" t="e">
        <f t="shared" ref="AC12:AC81" si="5">AA12/E12</f>
        <v>#DIV/0!</v>
      </c>
      <c r="AD12" s="11"/>
      <c r="AE12" s="301" t="str">
        <f>AF12&amp;TM[[#This Row],[Insurer Code]]&amp;"; "&amp;AG12&amp;TM[[#This Row],[Reporting Year]]&amp;"; "&amp;AH12&amp;TM[[#This Row],[Insurance Category Code]]&amp;"; "&amp;AI12&amp;TM[[#This Row],[Large Provider Entity Code]]</f>
        <v xml:space="preserve">Insurer Code ; Reporting Year ; Insurance Category Code ; Large Provider Entity Code </v>
      </c>
      <c r="AF12" s="297" t="s">
        <v>197</v>
      </c>
      <c r="AG12" s="297" t="s">
        <v>198</v>
      </c>
      <c r="AH12" s="297" t="s">
        <v>199</v>
      </c>
      <c r="AI12" s="297" t="s">
        <v>200</v>
      </c>
      <c r="AJ12" s="297"/>
      <c r="AK12" s="297"/>
      <c r="AL12" s="297"/>
      <c r="AM12" s="11"/>
      <c r="AN12" s="11"/>
      <c r="AO12" s="11"/>
    </row>
    <row r="13" spans="1:41" x14ac:dyDescent="0.4">
      <c r="A13" s="291"/>
      <c r="B13" s="292"/>
      <c r="C13" s="312"/>
      <c r="D13"/>
      <c r="E13" s="325"/>
      <c r="F13" s="143"/>
      <c r="G13" s="143"/>
      <c r="H13" s="143"/>
      <c r="I13" s="143"/>
      <c r="J13" s="143"/>
      <c r="K13" s="143"/>
      <c r="L13" s="143"/>
      <c r="M13" s="143"/>
      <c r="N13" s="143"/>
      <c r="O13" s="143"/>
      <c r="P13" s="143"/>
      <c r="Q13" s="143"/>
      <c r="R13" s="143"/>
      <c r="S13" s="143"/>
      <c r="T13" s="143"/>
      <c r="U13" s="143"/>
      <c r="V13" s="325"/>
      <c r="W13" s="393">
        <f t="shared" si="0"/>
        <v>0</v>
      </c>
      <c r="X13" s="393">
        <f t="shared" si="1"/>
        <v>0</v>
      </c>
      <c r="Y13" s="393">
        <f t="shared" si="2"/>
        <v>0</v>
      </c>
      <c r="Z13" s="393">
        <f t="shared" si="3"/>
        <v>0</v>
      </c>
      <c r="AA13" s="393">
        <f t="shared" si="4"/>
        <v>0</v>
      </c>
      <c r="AB13" s="393" t="e">
        <f t="shared" ref="AB13:AB81" si="6">Y13/E13</f>
        <v>#DIV/0!</v>
      </c>
      <c r="AC13" s="486" t="e">
        <f t="shared" si="5"/>
        <v>#DIV/0!</v>
      </c>
      <c r="AD13" s="11"/>
      <c r="AE13" s="301" t="str">
        <f>AF13&amp;TM[[#This Row],[Insurer Code]]&amp;"; "&amp;AG13&amp;TM[[#This Row],[Reporting Year]]&amp;"; "&amp;AH13&amp;TM[[#This Row],[Insurance Category Code]]&amp;"; "&amp;AI13&amp;TM[[#This Row],[Large Provider Entity Code]]</f>
        <v xml:space="preserve">Insurer Code ; Reporting Year ; Insurance Category Code ; Large Provider Entity Code </v>
      </c>
      <c r="AF13" s="297" t="s">
        <v>197</v>
      </c>
      <c r="AG13" s="297" t="s">
        <v>198</v>
      </c>
      <c r="AH13" s="297" t="s">
        <v>199</v>
      </c>
      <c r="AI13" s="297" t="s">
        <v>200</v>
      </c>
      <c r="AJ13" s="297"/>
      <c r="AK13" s="297"/>
      <c r="AL13" s="297"/>
      <c r="AM13" s="11"/>
      <c r="AN13" s="11"/>
      <c r="AO13" s="11"/>
    </row>
    <row r="14" spans="1:41" x14ac:dyDescent="0.4">
      <c r="A14" s="291"/>
      <c r="B14" s="292"/>
      <c r="C14" s="312"/>
      <c r="D14"/>
      <c r="E14" s="325"/>
      <c r="F14" s="143"/>
      <c r="G14" s="143"/>
      <c r="H14" s="143"/>
      <c r="I14" s="143"/>
      <c r="J14" s="143"/>
      <c r="K14" s="143"/>
      <c r="L14" s="143"/>
      <c r="M14" s="143"/>
      <c r="N14" s="143"/>
      <c r="O14" s="143"/>
      <c r="P14" s="143"/>
      <c r="Q14" s="143"/>
      <c r="R14" s="143"/>
      <c r="S14" s="143"/>
      <c r="T14" s="143"/>
      <c r="U14" s="143"/>
      <c r="V14" s="325"/>
      <c r="W14" s="393">
        <f t="shared" si="0"/>
        <v>0</v>
      </c>
      <c r="X14" s="393">
        <f t="shared" si="1"/>
        <v>0</v>
      </c>
      <c r="Y14" s="393">
        <f t="shared" si="2"/>
        <v>0</v>
      </c>
      <c r="Z14" s="393">
        <f t="shared" si="3"/>
        <v>0</v>
      </c>
      <c r="AA14" s="393">
        <f t="shared" si="4"/>
        <v>0</v>
      </c>
      <c r="AB14" s="393" t="e">
        <f t="shared" si="6"/>
        <v>#DIV/0!</v>
      </c>
      <c r="AC14" s="486" t="e">
        <f t="shared" si="5"/>
        <v>#DIV/0!</v>
      </c>
      <c r="AD14" s="11"/>
      <c r="AE14" s="301" t="str">
        <f>AF14&amp;TM[[#This Row],[Insurer Code]]&amp;"; "&amp;AG14&amp;TM[[#This Row],[Reporting Year]]&amp;"; "&amp;AH14&amp;TM[[#This Row],[Insurance Category Code]]&amp;"; "&amp;AI14&amp;TM[[#This Row],[Large Provider Entity Code]]</f>
        <v xml:space="preserve">Insurer Code ; Reporting Year ; Insurance Category Code ; Large Provider Entity Code </v>
      </c>
      <c r="AF14" s="297" t="s">
        <v>197</v>
      </c>
      <c r="AG14" s="297" t="s">
        <v>198</v>
      </c>
      <c r="AH14" s="297" t="s">
        <v>199</v>
      </c>
      <c r="AI14" s="297" t="s">
        <v>200</v>
      </c>
      <c r="AJ14" s="297"/>
      <c r="AK14" s="297"/>
      <c r="AL14" s="297"/>
      <c r="AM14" s="11"/>
      <c r="AN14" s="11"/>
      <c r="AO14" s="11"/>
    </row>
    <row r="15" spans="1:41" x14ac:dyDescent="0.4">
      <c r="A15" s="291"/>
      <c r="B15" s="292"/>
      <c r="C15" s="312"/>
      <c r="D15"/>
      <c r="E15" s="325"/>
      <c r="F15" s="143"/>
      <c r="G15" s="143"/>
      <c r="H15" s="143"/>
      <c r="I15" s="143"/>
      <c r="J15" s="143"/>
      <c r="K15" s="143"/>
      <c r="L15" s="143"/>
      <c r="M15" s="143"/>
      <c r="N15" s="143"/>
      <c r="O15" s="143"/>
      <c r="P15" s="143"/>
      <c r="Q15" s="143"/>
      <c r="R15" s="143"/>
      <c r="S15" s="143"/>
      <c r="T15" s="143"/>
      <c r="U15" s="143"/>
      <c r="V15" s="325"/>
      <c r="W15" s="393">
        <f t="shared" si="0"/>
        <v>0</v>
      </c>
      <c r="X15" s="393">
        <f t="shared" si="1"/>
        <v>0</v>
      </c>
      <c r="Y15" s="393">
        <f t="shared" si="2"/>
        <v>0</v>
      </c>
      <c r="Z15" s="393">
        <f t="shared" si="3"/>
        <v>0</v>
      </c>
      <c r="AA15" s="393">
        <f t="shared" si="4"/>
        <v>0</v>
      </c>
      <c r="AB15" s="393" t="e">
        <f t="shared" si="6"/>
        <v>#DIV/0!</v>
      </c>
      <c r="AC15" s="486" t="e">
        <f t="shared" si="5"/>
        <v>#DIV/0!</v>
      </c>
      <c r="AD15" s="11"/>
      <c r="AE15" s="301" t="str">
        <f>AF15&amp;TM[[#This Row],[Insurer Code]]&amp;"; "&amp;AG15&amp;TM[[#This Row],[Reporting Year]]&amp;"; "&amp;AH15&amp;TM[[#This Row],[Insurance Category Code]]&amp;"; "&amp;AI15&amp;TM[[#This Row],[Large Provider Entity Code]]</f>
        <v xml:space="preserve">Insurer Code ; Reporting Year ; Insurance Category Code ; Large Provider Entity Code </v>
      </c>
      <c r="AF15" s="297" t="s">
        <v>197</v>
      </c>
      <c r="AG15" s="297" t="s">
        <v>198</v>
      </c>
      <c r="AH15" s="297" t="s">
        <v>199</v>
      </c>
      <c r="AI15" s="297" t="s">
        <v>200</v>
      </c>
      <c r="AJ15" s="297"/>
      <c r="AK15" s="297"/>
      <c r="AL15" s="297"/>
      <c r="AM15" s="11"/>
      <c r="AN15" s="11"/>
      <c r="AO15" s="11"/>
    </row>
    <row r="16" spans="1:41" x14ac:dyDescent="0.4">
      <c r="A16" s="291"/>
      <c r="B16" s="292"/>
      <c r="C16" s="312"/>
      <c r="D16"/>
      <c r="E16" s="325"/>
      <c r="F16" s="143"/>
      <c r="G16" s="143"/>
      <c r="H16" s="143"/>
      <c r="I16" s="143"/>
      <c r="J16" s="143"/>
      <c r="K16" s="143"/>
      <c r="L16" s="143"/>
      <c r="M16" s="143"/>
      <c r="N16" s="143"/>
      <c r="O16" s="143"/>
      <c r="P16" s="143"/>
      <c r="Q16" s="143"/>
      <c r="R16" s="143"/>
      <c r="S16" s="143"/>
      <c r="T16" s="143"/>
      <c r="U16" s="143"/>
      <c r="V16" s="325"/>
      <c r="W16" s="393">
        <f t="shared" si="0"/>
        <v>0</v>
      </c>
      <c r="X16" s="393">
        <f t="shared" si="1"/>
        <v>0</v>
      </c>
      <c r="Y16" s="393">
        <f t="shared" si="2"/>
        <v>0</v>
      </c>
      <c r="Z16" s="393">
        <f t="shared" si="3"/>
        <v>0</v>
      </c>
      <c r="AA16" s="393">
        <f t="shared" si="4"/>
        <v>0</v>
      </c>
      <c r="AB16" s="393" t="e">
        <f t="shared" si="6"/>
        <v>#DIV/0!</v>
      </c>
      <c r="AC16" s="486" t="e">
        <f t="shared" si="5"/>
        <v>#DIV/0!</v>
      </c>
      <c r="AD16" s="11"/>
      <c r="AE16" s="301" t="str">
        <f>AF16&amp;TM[[#This Row],[Insurer Code]]&amp;"; "&amp;AG16&amp;TM[[#This Row],[Reporting Year]]&amp;"; "&amp;AH16&amp;TM[[#This Row],[Insurance Category Code]]&amp;"; "&amp;AI16&amp;TM[[#This Row],[Large Provider Entity Code]]</f>
        <v xml:space="preserve">Insurer Code ; Reporting Year ; Insurance Category Code ; Large Provider Entity Code </v>
      </c>
      <c r="AF16" s="297" t="s">
        <v>197</v>
      </c>
      <c r="AG16" s="297" t="s">
        <v>198</v>
      </c>
      <c r="AH16" s="297" t="s">
        <v>199</v>
      </c>
      <c r="AI16" s="297" t="s">
        <v>200</v>
      </c>
      <c r="AJ16" s="297"/>
      <c r="AK16" s="297"/>
      <c r="AL16" s="297"/>
      <c r="AM16" s="11"/>
      <c r="AN16" s="11"/>
      <c r="AO16" s="11"/>
    </row>
    <row r="17" spans="1:41" x14ac:dyDescent="0.4">
      <c r="A17" s="291"/>
      <c r="B17" s="292"/>
      <c r="C17" s="312"/>
      <c r="D17"/>
      <c r="E17" s="325"/>
      <c r="F17" s="143"/>
      <c r="G17" s="143"/>
      <c r="H17" s="143"/>
      <c r="I17" s="143"/>
      <c r="J17" s="143"/>
      <c r="K17" s="143"/>
      <c r="L17" s="143"/>
      <c r="M17" s="143"/>
      <c r="N17" s="143"/>
      <c r="O17" s="143"/>
      <c r="P17" s="143"/>
      <c r="Q17" s="143"/>
      <c r="R17" s="143"/>
      <c r="S17" s="143"/>
      <c r="T17" s="143"/>
      <c r="U17" s="143"/>
      <c r="V17" s="325"/>
      <c r="W17" s="393">
        <f t="shared" si="0"/>
        <v>0</v>
      </c>
      <c r="X17" s="393">
        <f t="shared" si="1"/>
        <v>0</v>
      </c>
      <c r="Y17" s="393">
        <f t="shared" si="2"/>
        <v>0</v>
      </c>
      <c r="Z17" s="393">
        <f t="shared" si="3"/>
        <v>0</v>
      </c>
      <c r="AA17" s="393">
        <f t="shared" si="4"/>
        <v>0</v>
      </c>
      <c r="AB17" s="393" t="e">
        <f t="shared" si="6"/>
        <v>#DIV/0!</v>
      </c>
      <c r="AC17" s="486" t="e">
        <f t="shared" si="5"/>
        <v>#DIV/0!</v>
      </c>
      <c r="AD17" s="11"/>
      <c r="AE17" s="301" t="str">
        <f>AF17&amp;TM[[#This Row],[Insurer Code]]&amp;"; "&amp;AG17&amp;TM[[#This Row],[Reporting Year]]&amp;"; "&amp;AH17&amp;TM[[#This Row],[Insurance Category Code]]&amp;"; "&amp;AI17&amp;TM[[#This Row],[Large Provider Entity Code]]</f>
        <v xml:space="preserve">Insurer Code ; Reporting Year ; Insurance Category Code ; Large Provider Entity Code </v>
      </c>
      <c r="AF17" s="297" t="s">
        <v>197</v>
      </c>
      <c r="AG17" s="297" t="s">
        <v>198</v>
      </c>
      <c r="AH17" s="297" t="s">
        <v>199</v>
      </c>
      <c r="AI17" s="297" t="s">
        <v>200</v>
      </c>
      <c r="AJ17" s="297"/>
      <c r="AK17" s="297"/>
      <c r="AL17" s="297"/>
      <c r="AM17" s="11"/>
      <c r="AN17" s="11"/>
      <c r="AO17" s="11"/>
    </row>
    <row r="18" spans="1:41" x14ac:dyDescent="0.4">
      <c r="A18" s="291"/>
      <c r="B18" s="292"/>
      <c r="C18" s="312"/>
      <c r="D18"/>
      <c r="E18" s="325"/>
      <c r="F18" s="143"/>
      <c r="G18" s="143"/>
      <c r="H18" s="143"/>
      <c r="I18" s="143"/>
      <c r="J18" s="143"/>
      <c r="K18" s="143"/>
      <c r="L18" s="143"/>
      <c r="M18" s="143"/>
      <c r="N18" s="143"/>
      <c r="O18" s="143"/>
      <c r="P18" s="143"/>
      <c r="Q18" s="143"/>
      <c r="R18" s="143"/>
      <c r="S18" s="143"/>
      <c r="T18" s="143"/>
      <c r="U18" s="143"/>
      <c r="V18" s="325"/>
      <c r="W18" s="393">
        <f t="shared" si="0"/>
        <v>0</v>
      </c>
      <c r="X18" s="393">
        <f t="shared" si="1"/>
        <v>0</v>
      </c>
      <c r="Y18" s="393">
        <f t="shared" si="2"/>
        <v>0</v>
      </c>
      <c r="Z18" s="393">
        <f t="shared" si="3"/>
        <v>0</v>
      </c>
      <c r="AA18" s="393">
        <f t="shared" si="4"/>
        <v>0</v>
      </c>
      <c r="AB18" s="393" t="e">
        <f t="shared" si="6"/>
        <v>#DIV/0!</v>
      </c>
      <c r="AC18" s="486" t="e">
        <f t="shared" si="5"/>
        <v>#DIV/0!</v>
      </c>
      <c r="AD18" s="11"/>
      <c r="AE18" s="301" t="str">
        <f>AF18&amp;TM[[#This Row],[Insurer Code]]&amp;"; "&amp;AG18&amp;TM[[#This Row],[Reporting Year]]&amp;"; "&amp;AH18&amp;TM[[#This Row],[Insurance Category Code]]&amp;"; "&amp;AI18&amp;TM[[#This Row],[Large Provider Entity Code]]</f>
        <v xml:space="preserve">Insurer Code ; Reporting Year ; Insurance Category Code ; Large Provider Entity Code </v>
      </c>
      <c r="AF18" s="297" t="s">
        <v>197</v>
      </c>
      <c r="AG18" s="297" t="s">
        <v>198</v>
      </c>
      <c r="AH18" s="297" t="s">
        <v>199</v>
      </c>
      <c r="AI18" s="297" t="s">
        <v>200</v>
      </c>
      <c r="AJ18" s="297"/>
      <c r="AK18" s="297"/>
      <c r="AL18" s="297"/>
      <c r="AM18" s="11"/>
      <c r="AN18" s="11"/>
      <c r="AO18" s="11"/>
    </row>
    <row r="19" spans="1:41" x14ac:dyDescent="0.4">
      <c r="A19" s="291"/>
      <c r="B19" s="292"/>
      <c r="C19" s="312"/>
      <c r="D19"/>
      <c r="E19" s="325"/>
      <c r="F19" s="143"/>
      <c r="G19" s="143"/>
      <c r="H19" s="143"/>
      <c r="I19" s="143"/>
      <c r="J19" s="143"/>
      <c r="K19" s="143"/>
      <c r="L19" s="143"/>
      <c r="M19" s="143"/>
      <c r="N19" s="143"/>
      <c r="O19" s="143"/>
      <c r="P19" s="143"/>
      <c r="Q19" s="143"/>
      <c r="R19" s="143"/>
      <c r="S19" s="143"/>
      <c r="T19" s="143"/>
      <c r="U19" s="143"/>
      <c r="V19" s="325"/>
      <c r="W19" s="393">
        <f t="shared" si="0"/>
        <v>0</v>
      </c>
      <c r="X19" s="393">
        <f t="shared" si="1"/>
        <v>0</v>
      </c>
      <c r="Y19" s="393">
        <f t="shared" si="2"/>
        <v>0</v>
      </c>
      <c r="Z19" s="393">
        <f t="shared" si="3"/>
        <v>0</v>
      </c>
      <c r="AA19" s="393">
        <f t="shared" si="4"/>
        <v>0</v>
      </c>
      <c r="AB19" s="393" t="e">
        <f t="shared" si="6"/>
        <v>#DIV/0!</v>
      </c>
      <c r="AC19" s="486" t="e">
        <f t="shared" si="5"/>
        <v>#DIV/0!</v>
      </c>
      <c r="AD19" s="11"/>
      <c r="AE19" s="301" t="str">
        <f>AF19&amp;TM[[#This Row],[Insurer Code]]&amp;"; "&amp;AG19&amp;TM[[#This Row],[Reporting Year]]&amp;"; "&amp;AH19&amp;TM[[#This Row],[Insurance Category Code]]&amp;"; "&amp;AI19&amp;TM[[#This Row],[Large Provider Entity Code]]</f>
        <v xml:space="preserve">Insurer Code ; Reporting Year ; Insurance Category Code ; Large Provider Entity Code </v>
      </c>
      <c r="AF19" s="297" t="s">
        <v>197</v>
      </c>
      <c r="AG19" s="297" t="s">
        <v>198</v>
      </c>
      <c r="AH19" s="297" t="s">
        <v>199</v>
      </c>
      <c r="AI19" s="297" t="s">
        <v>200</v>
      </c>
      <c r="AJ19" s="297"/>
      <c r="AK19" s="297"/>
      <c r="AL19" s="297"/>
      <c r="AM19" s="11"/>
      <c r="AN19" s="11"/>
      <c r="AO19" s="11"/>
    </row>
    <row r="20" spans="1:41" x14ac:dyDescent="0.4">
      <c r="A20" s="291"/>
      <c r="B20" s="292"/>
      <c r="C20" s="312"/>
      <c r="D20"/>
      <c r="E20" s="325"/>
      <c r="F20" s="143"/>
      <c r="G20" s="143"/>
      <c r="H20" s="143"/>
      <c r="I20" s="143"/>
      <c r="J20" s="143"/>
      <c r="K20" s="143"/>
      <c r="L20" s="143"/>
      <c r="M20" s="143"/>
      <c r="N20" s="143"/>
      <c r="O20" s="143"/>
      <c r="P20" s="143"/>
      <c r="Q20" s="143"/>
      <c r="R20" s="143"/>
      <c r="S20" s="143"/>
      <c r="T20" s="143"/>
      <c r="U20" s="143"/>
      <c r="V20" s="325"/>
      <c r="W20" s="393">
        <f t="shared" si="0"/>
        <v>0</v>
      </c>
      <c r="X20" s="393">
        <f t="shared" si="1"/>
        <v>0</v>
      </c>
      <c r="Y20" s="393">
        <f t="shared" si="2"/>
        <v>0</v>
      </c>
      <c r="Z20" s="393">
        <f t="shared" si="3"/>
        <v>0</v>
      </c>
      <c r="AA20" s="393">
        <f t="shared" si="4"/>
        <v>0</v>
      </c>
      <c r="AB20" s="393" t="e">
        <f t="shared" si="6"/>
        <v>#DIV/0!</v>
      </c>
      <c r="AC20" s="486" t="e">
        <f t="shared" si="5"/>
        <v>#DIV/0!</v>
      </c>
      <c r="AD20" s="11"/>
      <c r="AE20" s="301" t="str">
        <f>AF20&amp;TM[[#This Row],[Insurer Code]]&amp;"; "&amp;AG20&amp;TM[[#This Row],[Reporting Year]]&amp;"; "&amp;AH20&amp;TM[[#This Row],[Insurance Category Code]]&amp;"; "&amp;AI20&amp;TM[[#This Row],[Large Provider Entity Code]]</f>
        <v xml:space="preserve">Insurer Code ; Reporting Year ; Insurance Category Code ; Large Provider Entity Code </v>
      </c>
      <c r="AF20" s="297" t="s">
        <v>197</v>
      </c>
      <c r="AG20" s="297" t="s">
        <v>198</v>
      </c>
      <c r="AH20" s="297" t="s">
        <v>199</v>
      </c>
      <c r="AI20" s="297" t="s">
        <v>200</v>
      </c>
      <c r="AJ20" s="297"/>
      <c r="AK20" s="297"/>
      <c r="AL20" s="297"/>
      <c r="AM20" s="11"/>
      <c r="AN20" s="11"/>
      <c r="AO20" s="11"/>
    </row>
    <row r="21" spans="1:41" x14ac:dyDescent="0.4">
      <c r="A21" s="291"/>
      <c r="B21" s="292"/>
      <c r="C21" s="312"/>
      <c r="D21"/>
      <c r="E21" s="325"/>
      <c r="F21" s="143"/>
      <c r="G21" s="143"/>
      <c r="H21" s="143"/>
      <c r="I21" s="143"/>
      <c r="J21" s="143"/>
      <c r="K21" s="143"/>
      <c r="L21" s="143"/>
      <c r="M21" s="143"/>
      <c r="N21" s="143"/>
      <c r="O21" s="143"/>
      <c r="P21" s="143"/>
      <c r="Q21" s="143"/>
      <c r="R21" s="143"/>
      <c r="S21" s="143"/>
      <c r="T21" s="143"/>
      <c r="U21" s="143"/>
      <c r="V21" s="325"/>
      <c r="W21" s="393">
        <f t="shared" si="0"/>
        <v>0</v>
      </c>
      <c r="X21" s="393">
        <f t="shared" si="1"/>
        <v>0</v>
      </c>
      <c r="Y21" s="393">
        <f t="shared" si="2"/>
        <v>0</v>
      </c>
      <c r="Z21" s="393">
        <f t="shared" si="3"/>
        <v>0</v>
      </c>
      <c r="AA21" s="393">
        <f t="shared" si="4"/>
        <v>0</v>
      </c>
      <c r="AB21" s="393" t="e">
        <f t="shared" si="6"/>
        <v>#DIV/0!</v>
      </c>
      <c r="AC21" s="486" t="e">
        <f t="shared" si="5"/>
        <v>#DIV/0!</v>
      </c>
      <c r="AD21" s="11"/>
      <c r="AE21" s="301" t="str">
        <f>AF21&amp;TM[[#This Row],[Insurer Code]]&amp;"; "&amp;AG21&amp;TM[[#This Row],[Reporting Year]]&amp;"; "&amp;AH21&amp;TM[[#This Row],[Insurance Category Code]]&amp;"; "&amp;AI21&amp;TM[[#This Row],[Large Provider Entity Code]]</f>
        <v xml:space="preserve">Insurer Code ; Reporting Year ; Insurance Category Code ; Large Provider Entity Code </v>
      </c>
      <c r="AF21" s="297" t="s">
        <v>197</v>
      </c>
      <c r="AG21" s="297" t="s">
        <v>198</v>
      </c>
      <c r="AH21" s="297" t="s">
        <v>199</v>
      </c>
      <c r="AI21" s="297" t="s">
        <v>200</v>
      </c>
      <c r="AJ21" s="297"/>
      <c r="AK21" s="297"/>
      <c r="AL21" s="297"/>
      <c r="AM21" s="11"/>
      <c r="AN21" s="11"/>
      <c r="AO21" s="11"/>
    </row>
    <row r="22" spans="1:41" x14ac:dyDescent="0.4">
      <c r="A22" s="291"/>
      <c r="B22" s="292"/>
      <c r="C22" s="312"/>
      <c r="D22"/>
      <c r="E22" s="325"/>
      <c r="F22" s="143"/>
      <c r="G22" s="143"/>
      <c r="H22" s="143"/>
      <c r="I22" s="143"/>
      <c r="J22" s="143"/>
      <c r="K22" s="143"/>
      <c r="L22" s="143"/>
      <c r="M22" s="143"/>
      <c r="N22" s="143"/>
      <c r="O22" s="143"/>
      <c r="P22" s="143"/>
      <c r="Q22" s="143"/>
      <c r="R22" s="143"/>
      <c r="S22" s="143"/>
      <c r="T22" s="143"/>
      <c r="U22" s="143"/>
      <c r="V22" s="325"/>
      <c r="W22" s="393">
        <f t="shared" si="0"/>
        <v>0</v>
      </c>
      <c r="X22" s="393">
        <f t="shared" si="1"/>
        <v>0</v>
      </c>
      <c r="Y22" s="393">
        <f t="shared" si="2"/>
        <v>0</v>
      </c>
      <c r="Z22" s="393">
        <f t="shared" si="3"/>
        <v>0</v>
      </c>
      <c r="AA22" s="393">
        <f t="shared" si="4"/>
        <v>0</v>
      </c>
      <c r="AB22" s="393" t="e">
        <f t="shared" si="6"/>
        <v>#DIV/0!</v>
      </c>
      <c r="AC22" s="486" t="e">
        <f t="shared" si="5"/>
        <v>#DIV/0!</v>
      </c>
      <c r="AD22" s="11"/>
      <c r="AE22" s="301" t="str">
        <f>AF22&amp;TM[[#This Row],[Insurer Code]]&amp;"; "&amp;AG22&amp;TM[[#This Row],[Reporting Year]]&amp;"; "&amp;AH22&amp;TM[[#This Row],[Insurance Category Code]]&amp;"; "&amp;AI22&amp;TM[[#This Row],[Large Provider Entity Code]]</f>
        <v xml:space="preserve">Insurer Code ; Reporting Year ; Insurance Category Code ; Large Provider Entity Code </v>
      </c>
      <c r="AF22" s="297" t="s">
        <v>197</v>
      </c>
      <c r="AG22" s="297" t="s">
        <v>198</v>
      </c>
      <c r="AH22" s="297" t="s">
        <v>199</v>
      </c>
      <c r="AI22" s="297" t="s">
        <v>200</v>
      </c>
      <c r="AJ22" s="297"/>
      <c r="AK22" s="297"/>
      <c r="AL22" s="297"/>
      <c r="AM22" s="11"/>
      <c r="AN22" s="11"/>
      <c r="AO22" s="11"/>
    </row>
    <row r="23" spans="1:41" x14ac:dyDescent="0.4">
      <c r="A23" s="291"/>
      <c r="B23" s="292"/>
      <c r="C23" s="312"/>
      <c r="D23"/>
      <c r="E23" s="325"/>
      <c r="F23" s="143"/>
      <c r="G23" s="143"/>
      <c r="H23" s="143"/>
      <c r="I23" s="143"/>
      <c r="J23" s="143"/>
      <c r="K23" s="143"/>
      <c r="L23" s="143"/>
      <c r="M23" s="143"/>
      <c r="N23" s="143"/>
      <c r="O23" s="143"/>
      <c r="P23" s="143"/>
      <c r="Q23" s="143"/>
      <c r="R23" s="143"/>
      <c r="S23" s="143"/>
      <c r="T23" s="143"/>
      <c r="U23" s="143"/>
      <c r="V23" s="325"/>
      <c r="W23" s="393">
        <f t="shared" si="0"/>
        <v>0</v>
      </c>
      <c r="X23" s="393">
        <f t="shared" si="1"/>
        <v>0</v>
      </c>
      <c r="Y23" s="393">
        <f t="shared" si="2"/>
        <v>0</v>
      </c>
      <c r="Z23" s="393">
        <f t="shared" si="3"/>
        <v>0</v>
      </c>
      <c r="AA23" s="393">
        <f t="shared" si="4"/>
        <v>0</v>
      </c>
      <c r="AB23" s="393" t="e">
        <f t="shared" si="6"/>
        <v>#DIV/0!</v>
      </c>
      <c r="AC23" s="486" t="e">
        <f t="shared" si="5"/>
        <v>#DIV/0!</v>
      </c>
      <c r="AD23" s="11"/>
      <c r="AE23" s="301" t="str">
        <f>AF23&amp;TM[[#This Row],[Insurer Code]]&amp;"; "&amp;AG23&amp;TM[[#This Row],[Reporting Year]]&amp;"; "&amp;AH23&amp;TM[[#This Row],[Insurance Category Code]]&amp;"; "&amp;AI23&amp;TM[[#This Row],[Large Provider Entity Code]]</f>
        <v xml:space="preserve">Insurer Code ; Reporting Year ; Insurance Category Code ; Large Provider Entity Code </v>
      </c>
      <c r="AF23" s="297" t="s">
        <v>197</v>
      </c>
      <c r="AG23" s="297" t="s">
        <v>198</v>
      </c>
      <c r="AH23" s="297" t="s">
        <v>199</v>
      </c>
      <c r="AI23" s="297" t="s">
        <v>200</v>
      </c>
      <c r="AJ23" s="297"/>
      <c r="AK23" s="297"/>
      <c r="AL23" s="297"/>
      <c r="AM23" s="11"/>
      <c r="AN23" s="11"/>
      <c r="AO23" s="11"/>
    </row>
    <row r="24" spans="1:41" x14ac:dyDescent="0.4">
      <c r="A24" s="291"/>
      <c r="B24" s="292"/>
      <c r="C24" s="312"/>
      <c r="D24"/>
      <c r="E24" s="325"/>
      <c r="F24" s="143"/>
      <c r="G24" s="143"/>
      <c r="H24" s="143"/>
      <c r="I24" s="143"/>
      <c r="J24" s="143"/>
      <c r="K24" s="143"/>
      <c r="L24" s="143"/>
      <c r="M24" s="143"/>
      <c r="N24" s="143"/>
      <c r="O24" s="143"/>
      <c r="P24" s="143"/>
      <c r="Q24" s="143"/>
      <c r="R24" s="143"/>
      <c r="S24" s="143"/>
      <c r="T24" s="143"/>
      <c r="U24" s="143"/>
      <c r="V24" s="325"/>
      <c r="W24" s="393">
        <f t="shared" si="0"/>
        <v>0</v>
      </c>
      <c r="X24" s="393">
        <f t="shared" si="1"/>
        <v>0</v>
      </c>
      <c r="Y24" s="393">
        <f t="shared" si="2"/>
        <v>0</v>
      </c>
      <c r="Z24" s="393">
        <f t="shared" si="3"/>
        <v>0</v>
      </c>
      <c r="AA24" s="393">
        <f t="shared" si="4"/>
        <v>0</v>
      </c>
      <c r="AB24" s="393" t="e">
        <f t="shared" si="6"/>
        <v>#DIV/0!</v>
      </c>
      <c r="AC24" s="486" t="e">
        <f t="shared" si="5"/>
        <v>#DIV/0!</v>
      </c>
      <c r="AD24" s="11"/>
      <c r="AE24" s="301" t="str">
        <f>AF24&amp;TM[[#This Row],[Insurer Code]]&amp;"; "&amp;AG24&amp;TM[[#This Row],[Reporting Year]]&amp;"; "&amp;AH24&amp;TM[[#This Row],[Insurance Category Code]]&amp;"; "&amp;AI24&amp;TM[[#This Row],[Large Provider Entity Code]]</f>
        <v xml:space="preserve">Insurer Code ; Reporting Year ; Insurance Category Code ; Large Provider Entity Code </v>
      </c>
      <c r="AF24" s="297" t="s">
        <v>197</v>
      </c>
      <c r="AG24" s="297" t="s">
        <v>198</v>
      </c>
      <c r="AH24" s="297" t="s">
        <v>199</v>
      </c>
      <c r="AI24" s="297" t="s">
        <v>200</v>
      </c>
      <c r="AJ24" s="297"/>
      <c r="AK24" s="297"/>
      <c r="AL24" s="297"/>
      <c r="AM24" s="11"/>
      <c r="AN24" s="11"/>
      <c r="AO24" s="11"/>
    </row>
    <row r="25" spans="1:41" x14ac:dyDescent="0.4">
      <c r="A25" s="291"/>
      <c r="B25" s="292"/>
      <c r="C25" s="312"/>
      <c r="D25"/>
      <c r="E25" s="325"/>
      <c r="F25" s="143"/>
      <c r="G25" s="143"/>
      <c r="H25" s="143"/>
      <c r="I25" s="143"/>
      <c r="J25" s="143"/>
      <c r="K25" s="143"/>
      <c r="L25" s="143"/>
      <c r="M25" s="143"/>
      <c r="N25" s="143"/>
      <c r="O25" s="143"/>
      <c r="P25" s="143"/>
      <c r="Q25" s="143"/>
      <c r="R25" s="143"/>
      <c r="S25" s="143"/>
      <c r="T25" s="143"/>
      <c r="U25" s="143"/>
      <c r="V25" s="325"/>
      <c r="W25" s="393">
        <f t="shared" si="0"/>
        <v>0</v>
      </c>
      <c r="X25" s="393">
        <f t="shared" si="1"/>
        <v>0</v>
      </c>
      <c r="Y25" s="393">
        <f t="shared" si="2"/>
        <v>0</v>
      </c>
      <c r="Z25" s="393">
        <f t="shared" si="3"/>
        <v>0</v>
      </c>
      <c r="AA25" s="393">
        <f t="shared" si="4"/>
        <v>0</v>
      </c>
      <c r="AB25" s="393" t="e">
        <f t="shared" si="6"/>
        <v>#DIV/0!</v>
      </c>
      <c r="AC25" s="486" t="e">
        <f t="shared" si="5"/>
        <v>#DIV/0!</v>
      </c>
      <c r="AD25" s="11"/>
      <c r="AE25" s="301" t="str">
        <f>AF25&amp;TM[[#This Row],[Insurer Code]]&amp;"; "&amp;AG25&amp;TM[[#This Row],[Reporting Year]]&amp;"; "&amp;AH25&amp;TM[[#This Row],[Insurance Category Code]]&amp;"; "&amp;AI25&amp;TM[[#This Row],[Large Provider Entity Code]]</f>
        <v xml:space="preserve">Insurer Code ; Reporting Year ; Insurance Category Code ; Large Provider Entity Code </v>
      </c>
      <c r="AF25" s="297" t="s">
        <v>197</v>
      </c>
      <c r="AG25" s="297" t="s">
        <v>198</v>
      </c>
      <c r="AH25" s="297" t="s">
        <v>199</v>
      </c>
      <c r="AI25" s="297" t="s">
        <v>200</v>
      </c>
      <c r="AJ25" s="297"/>
      <c r="AK25" s="297"/>
      <c r="AL25" s="297"/>
      <c r="AM25" s="11"/>
      <c r="AN25" s="11"/>
      <c r="AO25" s="11"/>
    </row>
    <row r="26" spans="1:41" x14ac:dyDescent="0.4">
      <c r="A26" s="291"/>
      <c r="B26" s="292"/>
      <c r="C26" s="312"/>
      <c r="D26"/>
      <c r="E26" s="325"/>
      <c r="F26" s="143"/>
      <c r="G26" s="143"/>
      <c r="H26" s="143"/>
      <c r="I26" s="143"/>
      <c r="J26" s="143"/>
      <c r="K26" s="143"/>
      <c r="L26" s="143"/>
      <c r="M26" s="143"/>
      <c r="N26" s="143"/>
      <c r="O26" s="143"/>
      <c r="P26" s="143"/>
      <c r="Q26" s="143"/>
      <c r="R26" s="143"/>
      <c r="S26" s="143"/>
      <c r="T26" s="143"/>
      <c r="U26" s="143"/>
      <c r="V26" s="325"/>
      <c r="W26" s="393">
        <f t="shared" si="0"/>
        <v>0</v>
      </c>
      <c r="X26" s="393">
        <f t="shared" si="1"/>
        <v>0</v>
      </c>
      <c r="Y26" s="393">
        <f t="shared" si="2"/>
        <v>0</v>
      </c>
      <c r="Z26" s="393">
        <f t="shared" si="3"/>
        <v>0</v>
      </c>
      <c r="AA26" s="393">
        <f t="shared" si="4"/>
        <v>0</v>
      </c>
      <c r="AB26" s="393" t="e">
        <f t="shared" si="6"/>
        <v>#DIV/0!</v>
      </c>
      <c r="AC26" s="486" t="e">
        <f t="shared" si="5"/>
        <v>#DIV/0!</v>
      </c>
      <c r="AD26" s="11"/>
      <c r="AE26" s="301" t="str">
        <f>AF26&amp;TM[[#This Row],[Insurer Code]]&amp;"; "&amp;AG26&amp;TM[[#This Row],[Reporting Year]]&amp;"; "&amp;AH26&amp;TM[[#This Row],[Insurance Category Code]]&amp;"; "&amp;AI26&amp;TM[[#This Row],[Large Provider Entity Code]]</f>
        <v xml:space="preserve">Insurer Code ; Reporting Year ; Insurance Category Code ; Large Provider Entity Code </v>
      </c>
      <c r="AF26" s="297" t="s">
        <v>197</v>
      </c>
      <c r="AG26" s="297" t="s">
        <v>198</v>
      </c>
      <c r="AH26" s="297" t="s">
        <v>199</v>
      </c>
      <c r="AI26" s="297" t="s">
        <v>200</v>
      </c>
      <c r="AJ26" s="297"/>
      <c r="AK26" s="297"/>
      <c r="AL26" s="297"/>
      <c r="AM26" s="11"/>
      <c r="AN26" s="11"/>
      <c r="AO26" s="11"/>
    </row>
    <row r="27" spans="1:41" x14ac:dyDescent="0.4">
      <c r="A27" s="291"/>
      <c r="B27" s="292"/>
      <c r="C27" s="312"/>
      <c r="D27"/>
      <c r="E27" s="325"/>
      <c r="F27" s="143"/>
      <c r="G27" s="143"/>
      <c r="H27" s="143"/>
      <c r="I27" s="143"/>
      <c r="J27" s="143"/>
      <c r="K27" s="143"/>
      <c r="L27" s="143"/>
      <c r="M27" s="143"/>
      <c r="N27" s="143"/>
      <c r="O27" s="143"/>
      <c r="P27" s="143"/>
      <c r="Q27" s="143"/>
      <c r="R27" s="143"/>
      <c r="S27" s="143"/>
      <c r="T27" s="143"/>
      <c r="U27" s="143"/>
      <c r="V27" s="325"/>
      <c r="W27" s="393">
        <f t="shared" si="0"/>
        <v>0</v>
      </c>
      <c r="X27" s="393">
        <f t="shared" si="1"/>
        <v>0</v>
      </c>
      <c r="Y27" s="393">
        <f t="shared" si="2"/>
        <v>0</v>
      </c>
      <c r="Z27" s="393">
        <f t="shared" si="3"/>
        <v>0</v>
      </c>
      <c r="AA27" s="393">
        <f t="shared" si="4"/>
        <v>0</v>
      </c>
      <c r="AB27" s="393" t="e">
        <f t="shared" si="6"/>
        <v>#DIV/0!</v>
      </c>
      <c r="AC27" s="486" t="e">
        <f t="shared" si="5"/>
        <v>#DIV/0!</v>
      </c>
      <c r="AD27" s="11"/>
      <c r="AE27" s="301" t="str">
        <f>AF27&amp;TM[[#This Row],[Insurer Code]]&amp;"; "&amp;AG27&amp;TM[[#This Row],[Reporting Year]]&amp;"; "&amp;AH27&amp;TM[[#This Row],[Insurance Category Code]]&amp;"; "&amp;AI27&amp;TM[[#This Row],[Large Provider Entity Code]]</f>
        <v xml:space="preserve">Insurer Code ; Reporting Year ; Insurance Category Code ; Large Provider Entity Code </v>
      </c>
      <c r="AF27" s="297" t="s">
        <v>197</v>
      </c>
      <c r="AG27" s="297" t="s">
        <v>198</v>
      </c>
      <c r="AH27" s="297" t="s">
        <v>199</v>
      </c>
      <c r="AI27" s="297" t="s">
        <v>200</v>
      </c>
      <c r="AJ27" s="297"/>
      <c r="AK27" s="297"/>
      <c r="AL27" s="297"/>
      <c r="AM27" s="11"/>
      <c r="AN27" s="11"/>
      <c r="AO27" s="11"/>
    </row>
    <row r="28" spans="1:41" x14ac:dyDescent="0.4">
      <c r="A28" s="291"/>
      <c r="B28" s="292"/>
      <c r="C28" s="312"/>
      <c r="D28"/>
      <c r="E28" s="325"/>
      <c r="F28" s="143"/>
      <c r="G28" s="143"/>
      <c r="H28" s="143"/>
      <c r="I28" s="143"/>
      <c r="J28" s="143"/>
      <c r="K28" s="143"/>
      <c r="L28" s="143"/>
      <c r="M28" s="143"/>
      <c r="N28" s="143"/>
      <c r="O28" s="143"/>
      <c r="P28" s="143"/>
      <c r="Q28" s="143"/>
      <c r="R28" s="143"/>
      <c r="S28" s="143"/>
      <c r="T28" s="143"/>
      <c r="U28" s="143"/>
      <c r="V28" s="325"/>
      <c r="W28" s="393">
        <f t="shared" si="0"/>
        <v>0</v>
      </c>
      <c r="X28" s="393">
        <f t="shared" si="1"/>
        <v>0</v>
      </c>
      <c r="Y28" s="393">
        <f t="shared" si="2"/>
        <v>0</v>
      </c>
      <c r="Z28" s="393">
        <f t="shared" si="3"/>
        <v>0</v>
      </c>
      <c r="AA28" s="393">
        <f t="shared" si="4"/>
        <v>0</v>
      </c>
      <c r="AB28" s="393" t="e">
        <f t="shared" si="6"/>
        <v>#DIV/0!</v>
      </c>
      <c r="AC28" s="486" t="e">
        <f t="shared" si="5"/>
        <v>#DIV/0!</v>
      </c>
      <c r="AD28" s="11"/>
      <c r="AE28" s="301" t="str">
        <f>AF28&amp;TM[[#This Row],[Insurer Code]]&amp;"; "&amp;AG28&amp;TM[[#This Row],[Reporting Year]]&amp;"; "&amp;AH28&amp;TM[[#This Row],[Insurance Category Code]]&amp;"; "&amp;AI28&amp;TM[[#This Row],[Large Provider Entity Code]]</f>
        <v xml:space="preserve">Insurer Code ; Reporting Year ; Insurance Category Code ; Large Provider Entity Code </v>
      </c>
      <c r="AF28" s="297" t="s">
        <v>197</v>
      </c>
      <c r="AG28" s="297" t="s">
        <v>198</v>
      </c>
      <c r="AH28" s="297" t="s">
        <v>199</v>
      </c>
      <c r="AI28" s="297" t="s">
        <v>200</v>
      </c>
      <c r="AJ28" s="297"/>
      <c r="AK28" s="297"/>
      <c r="AL28" s="297"/>
      <c r="AM28" s="11"/>
      <c r="AN28" s="11"/>
      <c r="AO28" s="11"/>
    </row>
    <row r="29" spans="1:41" x14ac:dyDescent="0.4">
      <c r="A29" s="291"/>
      <c r="B29" s="292"/>
      <c r="C29" s="312"/>
      <c r="D29"/>
      <c r="E29" s="325"/>
      <c r="F29" s="143"/>
      <c r="G29" s="143"/>
      <c r="H29" s="143"/>
      <c r="I29" s="143"/>
      <c r="J29" s="143"/>
      <c r="K29" s="143"/>
      <c r="L29" s="143"/>
      <c r="M29" s="143"/>
      <c r="N29" s="143"/>
      <c r="O29" s="143"/>
      <c r="P29" s="143"/>
      <c r="Q29" s="143"/>
      <c r="R29" s="143"/>
      <c r="S29" s="143"/>
      <c r="T29" s="143"/>
      <c r="U29" s="143"/>
      <c r="V29" s="325"/>
      <c r="W29" s="393">
        <f t="shared" ref="W29" si="7">SUM(F29:M29)</f>
        <v>0</v>
      </c>
      <c r="X29" s="393">
        <f t="shared" ref="X29" si="8">SUM(N29:S29)</f>
        <v>0</v>
      </c>
      <c r="Y29" s="393">
        <f t="shared" ref="Y29" si="9">W29+X29</f>
        <v>0</v>
      </c>
      <c r="Z29" s="393">
        <f t="shared" ref="Z29" si="10">W29-U29</f>
        <v>0</v>
      </c>
      <c r="AA29" s="393">
        <f t="shared" ref="AA29" si="11">Z29+X29</f>
        <v>0</v>
      </c>
      <c r="AB29" s="393" t="e">
        <f t="shared" ref="AB29" si="12">Y29/E29</f>
        <v>#DIV/0!</v>
      </c>
      <c r="AC29" s="486" t="e">
        <f t="shared" ref="AC29" si="13">AA29/E29</f>
        <v>#DIV/0!</v>
      </c>
      <c r="AD29" s="11"/>
      <c r="AE29" s="301" t="str">
        <f>AF29&amp;TM[[#This Row],[Insurer Code]]&amp;"; "&amp;AG29&amp;TM[[#This Row],[Reporting Year]]&amp;"; "&amp;AH29&amp;TM[[#This Row],[Insurance Category Code]]&amp;"; "&amp;AI29&amp;TM[[#This Row],[Large Provider Entity Code]]</f>
        <v xml:space="preserve">Insurer Code ; Reporting Year ; Insurance Category Code ; Large Provider Entity Code </v>
      </c>
      <c r="AF29" s="297" t="s">
        <v>197</v>
      </c>
      <c r="AG29" s="297" t="s">
        <v>198</v>
      </c>
      <c r="AH29" s="297" t="s">
        <v>199</v>
      </c>
      <c r="AI29" s="297" t="s">
        <v>200</v>
      </c>
      <c r="AJ29" s="297"/>
      <c r="AK29" s="297"/>
      <c r="AL29" s="297"/>
      <c r="AM29" s="11"/>
      <c r="AN29" s="11"/>
      <c r="AO29" s="11"/>
    </row>
    <row r="30" spans="1:41" x14ac:dyDescent="0.4">
      <c r="A30" s="291"/>
      <c r="B30" s="292"/>
      <c r="C30" s="292"/>
      <c r="D30" s="292"/>
      <c r="E30" s="325"/>
      <c r="F30" s="527"/>
      <c r="G30" s="528"/>
      <c r="H30" s="528"/>
      <c r="I30" s="528"/>
      <c r="J30" s="528"/>
      <c r="K30" s="528"/>
      <c r="L30" s="528"/>
      <c r="M30" s="528"/>
      <c r="N30" s="528"/>
      <c r="O30" s="528"/>
      <c r="P30" s="528"/>
      <c r="Q30" s="528"/>
      <c r="R30" s="527"/>
      <c r="S30" s="528"/>
      <c r="T30" s="528"/>
      <c r="U30" s="528"/>
      <c r="V30" s="529"/>
      <c r="W30" s="530">
        <f>SUM(F30:M30)</f>
        <v>0</v>
      </c>
      <c r="X30" s="530">
        <f>SUM(N30:S30)</f>
        <v>0</v>
      </c>
      <c r="Y30" s="530">
        <f>W30+X30</f>
        <v>0</v>
      </c>
      <c r="Z30" s="530">
        <f>W30-U30</f>
        <v>0</v>
      </c>
      <c r="AA30" s="530">
        <f>Z30+X30</f>
        <v>0</v>
      </c>
      <c r="AB30" s="530" t="e">
        <f>Y30/E30</f>
        <v>#DIV/0!</v>
      </c>
      <c r="AC30" s="531" t="e">
        <f>AA30/E30</f>
        <v>#DIV/0!</v>
      </c>
      <c r="AD30" s="11"/>
      <c r="AE30" s="301" t="str">
        <f>AF30&amp;TM[[#This Row],[Insurer Code]]&amp;"; "&amp;AG30&amp;TM[[#This Row],[Reporting Year]]&amp;"; "&amp;AH30&amp;TM[[#This Row],[Insurance Category Code]]&amp;"; "&amp;AI30&amp;TM[[#This Row],[Large Provider Entity Code]]</f>
        <v xml:space="preserve">Insurer Code ; Reporting Year ; Insurance Category Code ; Large Provider Entity Code </v>
      </c>
      <c r="AF30" s="297" t="s">
        <v>197</v>
      </c>
      <c r="AG30" s="297" t="s">
        <v>198</v>
      </c>
      <c r="AH30" s="297" t="s">
        <v>199</v>
      </c>
      <c r="AI30" s="297" t="s">
        <v>200</v>
      </c>
      <c r="AJ30" s="297"/>
      <c r="AK30" s="297"/>
      <c r="AL30" s="297"/>
      <c r="AM30" s="11"/>
      <c r="AN30" s="11"/>
      <c r="AO30" s="11"/>
    </row>
    <row r="31" spans="1:41" x14ac:dyDescent="0.4">
      <c r="A31" s="291"/>
      <c r="B31" s="292"/>
      <c r="C31" s="292"/>
      <c r="D31" s="292"/>
      <c r="E31" s="529"/>
      <c r="F31" s="527"/>
      <c r="G31" s="528"/>
      <c r="H31" s="528"/>
      <c r="I31" s="528"/>
      <c r="J31" s="528"/>
      <c r="K31" s="528"/>
      <c r="L31" s="528"/>
      <c r="M31" s="528"/>
      <c r="N31" s="528"/>
      <c r="O31" s="528"/>
      <c r="P31" s="528"/>
      <c r="Q31" s="528"/>
      <c r="R31" s="527"/>
      <c r="S31" s="528"/>
      <c r="T31" s="528"/>
      <c r="U31" s="528"/>
      <c r="V31" s="529"/>
      <c r="W31" s="530">
        <f>SUM(F31:M31)</f>
        <v>0</v>
      </c>
      <c r="X31" s="530">
        <f>SUM(N31:S31)</f>
        <v>0</v>
      </c>
      <c r="Y31" s="530">
        <f>W31+X31</f>
        <v>0</v>
      </c>
      <c r="Z31" s="530">
        <f>W31-U31</f>
        <v>0</v>
      </c>
      <c r="AA31" s="530">
        <f>Z31+X31</f>
        <v>0</v>
      </c>
      <c r="AB31" s="530" t="e">
        <f>Y31/E31</f>
        <v>#DIV/0!</v>
      </c>
      <c r="AC31" s="531" t="e">
        <f>AA31/E31</f>
        <v>#DIV/0!</v>
      </c>
      <c r="AD31" s="11"/>
      <c r="AE31" s="301" t="str">
        <f>AF31&amp;TM[[#This Row],[Insurer Code]]&amp;"; "&amp;AG31&amp;TM[[#This Row],[Reporting Year]]&amp;"; "&amp;AH31&amp;TM[[#This Row],[Insurance Category Code]]&amp;"; "&amp;AI31&amp;TM[[#This Row],[Large Provider Entity Code]]</f>
        <v xml:space="preserve">Insurer Code ; Reporting Year ; Insurance Category Code ; Large Provider Entity Code </v>
      </c>
      <c r="AF31" s="297" t="s">
        <v>197</v>
      </c>
      <c r="AG31" s="297" t="s">
        <v>198</v>
      </c>
      <c r="AH31" s="297" t="s">
        <v>199</v>
      </c>
      <c r="AI31" s="297" t="s">
        <v>200</v>
      </c>
      <c r="AJ31" s="297"/>
      <c r="AK31" s="297"/>
      <c r="AL31" s="297"/>
      <c r="AM31" s="11"/>
      <c r="AN31" s="11"/>
      <c r="AO31" s="11"/>
    </row>
    <row r="32" spans="1:41" x14ac:dyDescent="0.4">
      <c r="A32" s="291"/>
      <c r="B32" s="292"/>
      <c r="C32" s="292"/>
      <c r="D32" s="292"/>
      <c r="E32" s="529"/>
      <c r="F32" s="527"/>
      <c r="G32" s="528"/>
      <c r="H32" s="528"/>
      <c r="I32" s="528"/>
      <c r="J32" s="528"/>
      <c r="K32" s="528"/>
      <c r="L32" s="528"/>
      <c r="M32" s="528"/>
      <c r="N32" s="528"/>
      <c r="O32" s="528"/>
      <c r="P32" s="528"/>
      <c r="Q32" s="528"/>
      <c r="R32" s="527"/>
      <c r="S32" s="528"/>
      <c r="T32" s="528"/>
      <c r="U32" s="528"/>
      <c r="V32" s="529"/>
      <c r="W32" s="530">
        <f>SUM(F32:M32)</f>
        <v>0</v>
      </c>
      <c r="X32" s="530">
        <f>SUM(N32:S32)</f>
        <v>0</v>
      </c>
      <c r="Y32" s="530">
        <f>W32+X32</f>
        <v>0</v>
      </c>
      <c r="Z32" s="530">
        <f>W32-U32</f>
        <v>0</v>
      </c>
      <c r="AA32" s="530">
        <f>Z32+X32</f>
        <v>0</v>
      </c>
      <c r="AB32" s="530" t="e">
        <f>Y32/E32</f>
        <v>#DIV/0!</v>
      </c>
      <c r="AC32" s="531" t="e">
        <f>AA32/E32</f>
        <v>#DIV/0!</v>
      </c>
      <c r="AD32" s="11"/>
      <c r="AE32" s="301" t="str">
        <f>AF32&amp;TM[[#This Row],[Insurer Code]]&amp;"; "&amp;AG32&amp;TM[[#This Row],[Reporting Year]]&amp;"; "&amp;AH32&amp;TM[[#This Row],[Insurance Category Code]]&amp;"; "&amp;AI32&amp;TM[[#This Row],[Large Provider Entity Code]]</f>
        <v xml:space="preserve">Insurer Code ; Reporting Year ; Insurance Category Code ; Large Provider Entity Code </v>
      </c>
      <c r="AF32" s="297" t="s">
        <v>197</v>
      </c>
      <c r="AG32" s="297" t="s">
        <v>198</v>
      </c>
      <c r="AH32" s="297" t="s">
        <v>199</v>
      </c>
      <c r="AI32" s="297" t="s">
        <v>200</v>
      </c>
      <c r="AJ32" s="297"/>
      <c r="AK32" s="297"/>
      <c r="AL32" s="297"/>
      <c r="AM32" s="11"/>
      <c r="AN32" s="11"/>
      <c r="AO32" s="11"/>
    </row>
    <row r="33" spans="1:41" x14ac:dyDescent="0.4">
      <c r="A33" s="291"/>
      <c r="B33" s="292"/>
      <c r="C33" s="292"/>
      <c r="D33" s="292"/>
      <c r="E33" s="529"/>
      <c r="F33" s="527"/>
      <c r="G33" s="528"/>
      <c r="H33" s="528"/>
      <c r="I33" s="528"/>
      <c r="J33" s="528"/>
      <c r="K33" s="528"/>
      <c r="L33" s="528"/>
      <c r="M33" s="528"/>
      <c r="N33" s="528"/>
      <c r="O33" s="528"/>
      <c r="P33" s="528"/>
      <c r="Q33" s="528"/>
      <c r="R33" s="527"/>
      <c r="S33" s="528"/>
      <c r="T33" s="528"/>
      <c r="U33" s="528"/>
      <c r="V33" s="529"/>
      <c r="W33" s="530">
        <f>SUM(F33:M33)</f>
        <v>0</v>
      </c>
      <c r="X33" s="530">
        <f>SUM(N33:S33)</f>
        <v>0</v>
      </c>
      <c r="Y33" s="530">
        <f>W33+X33</f>
        <v>0</v>
      </c>
      <c r="Z33" s="530">
        <f>W33-U33</f>
        <v>0</v>
      </c>
      <c r="AA33" s="530">
        <f>Z33+X33</f>
        <v>0</v>
      </c>
      <c r="AB33" s="530" t="e">
        <f>Y33/E33</f>
        <v>#DIV/0!</v>
      </c>
      <c r="AC33" s="531" t="e">
        <f>AA33/E33</f>
        <v>#DIV/0!</v>
      </c>
      <c r="AD33" s="11"/>
      <c r="AE33" s="301" t="str">
        <f>AF33&amp;TM[[#This Row],[Insurer Code]]&amp;"; "&amp;AG33&amp;TM[[#This Row],[Reporting Year]]&amp;"; "&amp;AH33&amp;TM[[#This Row],[Insurance Category Code]]&amp;"; "&amp;AI33&amp;TM[[#This Row],[Large Provider Entity Code]]</f>
        <v xml:space="preserve">Insurer Code ; Reporting Year ; Insurance Category Code ; Large Provider Entity Code </v>
      </c>
      <c r="AF33" s="297" t="s">
        <v>197</v>
      </c>
      <c r="AG33" s="297" t="s">
        <v>198</v>
      </c>
      <c r="AH33" s="297" t="s">
        <v>199</v>
      </c>
      <c r="AI33" s="297" t="s">
        <v>200</v>
      </c>
      <c r="AJ33" s="297"/>
      <c r="AK33" s="297"/>
      <c r="AL33" s="297"/>
      <c r="AM33" s="11"/>
      <c r="AN33" s="11"/>
      <c r="AO33" s="11"/>
    </row>
    <row r="34" spans="1:41" x14ac:dyDescent="0.4">
      <c r="A34" s="291"/>
      <c r="B34" s="292"/>
      <c r="C34" s="292"/>
      <c r="D34" s="292"/>
      <c r="E34" s="529"/>
      <c r="F34" s="527"/>
      <c r="G34" s="528"/>
      <c r="H34" s="528"/>
      <c r="I34" s="528"/>
      <c r="J34" s="528"/>
      <c r="K34" s="528"/>
      <c r="L34" s="528"/>
      <c r="M34" s="528"/>
      <c r="N34" s="528"/>
      <c r="O34" s="528"/>
      <c r="P34" s="528"/>
      <c r="Q34" s="528"/>
      <c r="R34" s="527"/>
      <c r="S34" s="528"/>
      <c r="T34" s="528"/>
      <c r="U34" s="528"/>
      <c r="V34" s="529"/>
      <c r="W34" s="530">
        <f>SUM(F34:M34)</f>
        <v>0</v>
      </c>
      <c r="X34" s="530">
        <f>SUM(N34:S34)</f>
        <v>0</v>
      </c>
      <c r="Y34" s="530">
        <f>W34+X34</f>
        <v>0</v>
      </c>
      <c r="Z34" s="530">
        <f>W34-U34</f>
        <v>0</v>
      </c>
      <c r="AA34" s="530">
        <f>Z34+X34</f>
        <v>0</v>
      </c>
      <c r="AB34" s="530" t="e">
        <f>Y34/E34</f>
        <v>#DIV/0!</v>
      </c>
      <c r="AC34" s="531" t="e">
        <f>AA34/E34</f>
        <v>#DIV/0!</v>
      </c>
      <c r="AD34" s="11"/>
      <c r="AE34" s="301" t="str">
        <f>AF34&amp;TM[[#This Row],[Insurer Code]]&amp;"; "&amp;AG34&amp;TM[[#This Row],[Reporting Year]]&amp;"; "&amp;AH34&amp;TM[[#This Row],[Insurance Category Code]]&amp;"; "&amp;AI34&amp;TM[[#This Row],[Large Provider Entity Code]]</f>
        <v xml:space="preserve">Insurer Code ; Reporting Year ; Insurance Category Code ; Large Provider Entity Code </v>
      </c>
      <c r="AF34" s="297" t="s">
        <v>197</v>
      </c>
      <c r="AG34" s="297" t="s">
        <v>198</v>
      </c>
      <c r="AH34" s="297" t="s">
        <v>199</v>
      </c>
      <c r="AI34" s="297" t="s">
        <v>200</v>
      </c>
      <c r="AJ34" s="297"/>
      <c r="AK34" s="297"/>
      <c r="AL34" s="297"/>
      <c r="AM34" s="11"/>
      <c r="AN34" s="11"/>
      <c r="AO34" s="11"/>
    </row>
    <row r="35" spans="1:41" x14ac:dyDescent="0.4">
      <c r="A35" s="291"/>
      <c r="B35" s="292"/>
      <c r="C35" s="312"/>
      <c r="D35"/>
      <c r="E35" s="325"/>
      <c r="F35" s="143"/>
      <c r="G35" s="143"/>
      <c r="H35" s="143"/>
      <c r="I35" s="143"/>
      <c r="J35" s="143"/>
      <c r="K35" s="143"/>
      <c r="L35" s="143"/>
      <c r="M35" s="143"/>
      <c r="N35" s="143"/>
      <c r="O35" s="143"/>
      <c r="P35" s="143"/>
      <c r="Q35" s="143"/>
      <c r="R35" s="143"/>
      <c r="S35" s="143"/>
      <c r="T35" s="143"/>
      <c r="U35" s="143"/>
      <c r="V35" s="325"/>
      <c r="W35" s="393">
        <f t="shared" si="0"/>
        <v>0</v>
      </c>
      <c r="X35" s="393">
        <f t="shared" si="1"/>
        <v>0</v>
      </c>
      <c r="Y35" s="393">
        <f t="shared" si="2"/>
        <v>0</v>
      </c>
      <c r="Z35" s="393">
        <f t="shared" si="3"/>
        <v>0</v>
      </c>
      <c r="AA35" s="393">
        <f t="shared" si="4"/>
        <v>0</v>
      </c>
      <c r="AB35" s="393" t="e">
        <f t="shared" si="6"/>
        <v>#DIV/0!</v>
      </c>
      <c r="AC35" s="486" t="e">
        <f t="shared" si="5"/>
        <v>#DIV/0!</v>
      </c>
      <c r="AD35" s="11"/>
      <c r="AE35" s="301" t="str">
        <f>AF35&amp;TM[[#This Row],[Insurer Code]]&amp;"; "&amp;AG35&amp;TM[[#This Row],[Reporting Year]]&amp;"; "&amp;AH35&amp;TM[[#This Row],[Insurance Category Code]]&amp;"; "&amp;AI35&amp;TM[[#This Row],[Large Provider Entity Code]]</f>
        <v xml:space="preserve">Insurer Code ; Reporting Year ; Insurance Category Code ; Large Provider Entity Code </v>
      </c>
      <c r="AF35" s="297" t="s">
        <v>197</v>
      </c>
      <c r="AG35" s="297" t="s">
        <v>198</v>
      </c>
      <c r="AH35" s="297" t="s">
        <v>199</v>
      </c>
      <c r="AI35" s="297" t="s">
        <v>200</v>
      </c>
      <c r="AJ35" s="297"/>
      <c r="AK35" s="297"/>
      <c r="AL35" s="297"/>
      <c r="AM35" s="11"/>
      <c r="AN35" s="11"/>
      <c r="AO35" s="11"/>
    </row>
    <row r="36" spans="1:41" x14ac:dyDescent="0.4">
      <c r="A36" s="291"/>
      <c r="B36" s="292"/>
      <c r="C36" s="312"/>
      <c r="D36"/>
      <c r="E36" s="325"/>
      <c r="F36" s="143"/>
      <c r="G36" s="143"/>
      <c r="H36" s="143"/>
      <c r="I36" s="143"/>
      <c r="J36" s="143"/>
      <c r="K36" s="143"/>
      <c r="L36" s="143"/>
      <c r="M36" s="143"/>
      <c r="N36" s="143"/>
      <c r="O36" s="143"/>
      <c r="P36" s="143"/>
      <c r="Q36" s="143"/>
      <c r="R36" s="143"/>
      <c r="S36" s="143"/>
      <c r="T36" s="143"/>
      <c r="U36" s="143"/>
      <c r="V36" s="325"/>
      <c r="W36" s="393">
        <f t="shared" si="0"/>
        <v>0</v>
      </c>
      <c r="X36" s="393">
        <f t="shared" si="1"/>
        <v>0</v>
      </c>
      <c r="Y36" s="393">
        <f t="shared" si="2"/>
        <v>0</v>
      </c>
      <c r="Z36" s="393">
        <f t="shared" si="3"/>
        <v>0</v>
      </c>
      <c r="AA36" s="393">
        <f t="shared" si="4"/>
        <v>0</v>
      </c>
      <c r="AB36" s="393" t="e">
        <f t="shared" si="6"/>
        <v>#DIV/0!</v>
      </c>
      <c r="AC36" s="486" t="e">
        <f t="shared" si="5"/>
        <v>#DIV/0!</v>
      </c>
      <c r="AD36" s="11"/>
      <c r="AE36" s="301" t="str">
        <f>AF36&amp;TM[[#This Row],[Insurer Code]]&amp;"; "&amp;AG36&amp;TM[[#This Row],[Reporting Year]]&amp;"; "&amp;AH36&amp;TM[[#This Row],[Insurance Category Code]]&amp;"; "&amp;AI36&amp;TM[[#This Row],[Large Provider Entity Code]]</f>
        <v xml:space="preserve">Insurer Code ; Reporting Year ; Insurance Category Code ; Large Provider Entity Code </v>
      </c>
      <c r="AF36" s="297" t="s">
        <v>197</v>
      </c>
      <c r="AG36" s="297" t="s">
        <v>198</v>
      </c>
      <c r="AH36" s="297" t="s">
        <v>199</v>
      </c>
      <c r="AI36" s="297" t="s">
        <v>200</v>
      </c>
      <c r="AJ36" s="297"/>
      <c r="AK36" s="297"/>
      <c r="AL36" s="297"/>
      <c r="AM36" s="11"/>
      <c r="AN36" s="11"/>
      <c r="AO36" s="11"/>
    </row>
    <row r="37" spans="1:41" x14ac:dyDescent="0.4">
      <c r="A37" s="291"/>
      <c r="B37" s="292"/>
      <c r="C37" s="312"/>
      <c r="D37"/>
      <c r="E37" s="325"/>
      <c r="F37" s="143"/>
      <c r="G37" s="143"/>
      <c r="H37" s="143"/>
      <c r="I37" s="143"/>
      <c r="J37" s="143"/>
      <c r="K37" s="143"/>
      <c r="L37" s="143"/>
      <c r="M37" s="143"/>
      <c r="N37" s="143"/>
      <c r="O37" s="143"/>
      <c r="P37" s="143"/>
      <c r="Q37" s="143"/>
      <c r="R37" s="143"/>
      <c r="S37" s="143"/>
      <c r="T37" s="143"/>
      <c r="U37" s="143"/>
      <c r="V37" s="325"/>
      <c r="W37" s="393">
        <f t="shared" si="0"/>
        <v>0</v>
      </c>
      <c r="X37" s="393">
        <f t="shared" si="1"/>
        <v>0</v>
      </c>
      <c r="Y37" s="393">
        <f t="shared" si="2"/>
        <v>0</v>
      </c>
      <c r="Z37" s="393">
        <f t="shared" si="3"/>
        <v>0</v>
      </c>
      <c r="AA37" s="393">
        <f t="shared" si="4"/>
        <v>0</v>
      </c>
      <c r="AB37" s="393" t="e">
        <f t="shared" si="6"/>
        <v>#DIV/0!</v>
      </c>
      <c r="AC37" s="486" t="e">
        <f t="shared" si="5"/>
        <v>#DIV/0!</v>
      </c>
      <c r="AD37" s="11"/>
      <c r="AE37" s="301" t="str">
        <f>AF37&amp;TM[[#This Row],[Insurer Code]]&amp;"; "&amp;AG37&amp;TM[[#This Row],[Reporting Year]]&amp;"; "&amp;AH37&amp;TM[[#This Row],[Insurance Category Code]]&amp;"; "&amp;AI37&amp;TM[[#This Row],[Large Provider Entity Code]]</f>
        <v xml:space="preserve">Insurer Code ; Reporting Year ; Insurance Category Code ; Large Provider Entity Code </v>
      </c>
      <c r="AF37" s="297" t="s">
        <v>197</v>
      </c>
      <c r="AG37" s="297" t="s">
        <v>198</v>
      </c>
      <c r="AH37" s="297" t="s">
        <v>199</v>
      </c>
      <c r="AI37" s="297" t="s">
        <v>200</v>
      </c>
      <c r="AJ37" s="297"/>
      <c r="AK37" s="297"/>
      <c r="AL37" s="297"/>
      <c r="AM37" s="11"/>
      <c r="AN37" s="11"/>
      <c r="AO37" s="11"/>
    </row>
    <row r="38" spans="1:41" x14ac:dyDescent="0.4">
      <c r="A38" s="291"/>
      <c r="B38" s="292"/>
      <c r="C38" s="312"/>
      <c r="D38"/>
      <c r="E38" s="325"/>
      <c r="F38" s="143"/>
      <c r="G38" s="143"/>
      <c r="H38" s="143"/>
      <c r="I38" s="143"/>
      <c r="J38" s="143"/>
      <c r="K38" s="143"/>
      <c r="L38" s="143"/>
      <c r="M38" s="143"/>
      <c r="N38" s="143"/>
      <c r="O38" s="143"/>
      <c r="P38" s="143"/>
      <c r="Q38" s="143"/>
      <c r="R38" s="143"/>
      <c r="S38" s="143"/>
      <c r="T38" s="143"/>
      <c r="U38" s="143"/>
      <c r="V38" s="325"/>
      <c r="W38" s="393">
        <f t="shared" si="0"/>
        <v>0</v>
      </c>
      <c r="X38" s="393">
        <f t="shared" si="1"/>
        <v>0</v>
      </c>
      <c r="Y38" s="393">
        <f t="shared" si="2"/>
        <v>0</v>
      </c>
      <c r="Z38" s="393">
        <f t="shared" si="3"/>
        <v>0</v>
      </c>
      <c r="AA38" s="393">
        <f t="shared" si="4"/>
        <v>0</v>
      </c>
      <c r="AB38" s="393" t="e">
        <f t="shared" si="6"/>
        <v>#DIV/0!</v>
      </c>
      <c r="AC38" s="486" t="e">
        <f t="shared" si="5"/>
        <v>#DIV/0!</v>
      </c>
      <c r="AD38" s="11"/>
      <c r="AE38" s="301" t="str">
        <f>AF38&amp;TM[[#This Row],[Insurer Code]]&amp;"; "&amp;AG38&amp;TM[[#This Row],[Reporting Year]]&amp;"; "&amp;AH38&amp;TM[[#This Row],[Insurance Category Code]]&amp;"; "&amp;AI38&amp;TM[[#This Row],[Large Provider Entity Code]]</f>
        <v xml:space="preserve">Insurer Code ; Reporting Year ; Insurance Category Code ; Large Provider Entity Code </v>
      </c>
      <c r="AF38" s="297" t="s">
        <v>197</v>
      </c>
      <c r="AG38" s="297" t="s">
        <v>198</v>
      </c>
      <c r="AH38" s="297" t="s">
        <v>199</v>
      </c>
      <c r="AI38" s="297" t="s">
        <v>200</v>
      </c>
      <c r="AJ38" s="297"/>
      <c r="AK38" s="297"/>
      <c r="AL38" s="297"/>
      <c r="AM38" s="11"/>
      <c r="AN38" s="11"/>
      <c r="AO38" s="11"/>
    </row>
    <row r="39" spans="1:41" x14ac:dyDescent="0.4">
      <c r="A39" s="291"/>
      <c r="B39" s="292"/>
      <c r="C39" s="312"/>
      <c r="D39"/>
      <c r="E39" s="325"/>
      <c r="F39" s="143"/>
      <c r="G39" s="143"/>
      <c r="H39" s="143"/>
      <c r="I39" s="143"/>
      <c r="J39" s="143"/>
      <c r="K39" s="143"/>
      <c r="L39" s="143"/>
      <c r="M39" s="143"/>
      <c r="N39" s="143"/>
      <c r="O39" s="143"/>
      <c r="P39" s="143"/>
      <c r="Q39" s="143"/>
      <c r="R39" s="143"/>
      <c r="S39" s="143"/>
      <c r="T39" s="143"/>
      <c r="U39" s="143"/>
      <c r="V39" s="325"/>
      <c r="W39" s="393">
        <f t="shared" si="0"/>
        <v>0</v>
      </c>
      <c r="X39" s="393">
        <f t="shared" si="1"/>
        <v>0</v>
      </c>
      <c r="Y39" s="393">
        <f t="shared" si="2"/>
        <v>0</v>
      </c>
      <c r="Z39" s="393">
        <f t="shared" si="3"/>
        <v>0</v>
      </c>
      <c r="AA39" s="393">
        <f t="shared" si="4"/>
        <v>0</v>
      </c>
      <c r="AB39" s="393" t="e">
        <f t="shared" si="6"/>
        <v>#DIV/0!</v>
      </c>
      <c r="AC39" s="486" t="e">
        <f t="shared" si="5"/>
        <v>#DIV/0!</v>
      </c>
      <c r="AD39" s="11"/>
      <c r="AE39" s="301" t="str">
        <f>AF39&amp;TM[[#This Row],[Insurer Code]]&amp;"; "&amp;AG39&amp;TM[[#This Row],[Reporting Year]]&amp;"; "&amp;AH39&amp;TM[[#This Row],[Insurance Category Code]]&amp;"; "&amp;AI39&amp;TM[[#This Row],[Large Provider Entity Code]]</f>
        <v xml:space="preserve">Insurer Code ; Reporting Year ; Insurance Category Code ; Large Provider Entity Code </v>
      </c>
      <c r="AF39" s="297" t="s">
        <v>197</v>
      </c>
      <c r="AG39" s="297" t="s">
        <v>198</v>
      </c>
      <c r="AH39" s="297" t="s">
        <v>199</v>
      </c>
      <c r="AI39" s="297" t="s">
        <v>200</v>
      </c>
      <c r="AJ39" s="297"/>
      <c r="AK39" s="297"/>
      <c r="AL39" s="297"/>
      <c r="AM39" s="11"/>
      <c r="AN39" s="11"/>
      <c r="AO39" s="11"/>
    </row>
    <row r="40" spans="1:41" x14ac:dyDescent="0.4">
      <c r="A40" s="291"/>
      <c r="B40" s="292"/>
      <c r="C40" s="312"/>
      <c r="D40"/>
      <c r="E40" s="325"/>
      <c r="F40" s="143"/>
      <c r="G40" s="143"/>
      <c r="H40" s="143"/>
      <c r="I40" s="143"/>
      <c r="J40" s="143"/>
      <c r="K40" s="143"/>
      <c r="L40" s="143"/>
      <c r="M40" s="143"/>
      <c r="N40" s="143"/>
      <c r="O40" s="143"/>
      <c r="P40" s="143"/>
      <c r="Q40" s="143"/>
      <c r="R40" s="143"/>
      <c r="S40" s="143"/>
      <c r="T40" s="143"/>
      <c r="U40" s="143"/>
      <c r="V40" s="325"/>
      <c r="W40" s="393">
        <f t="shared" si="0"/>
        <v>0</v>
      </c>
      <c r="X40" s="393">
        <f t="shared" si="1"/>
        <v>0</v>
      </c>
      <c r="Y40" s="393">
        <f t="shared" si="2"/>
        <v>0</v>
      </c>
      <c r="Z40" s="393">
        <f t="shared" si="3"/>
        <v>0</v>
      </c>
      <c r="AA40" s="393">
        <f t="shared" si="4"/>
        <v>0</v>
      </c>
      <c r="AB40" s="393" t="e">
        <f t="shared" si="6"/>
        <v>#DIV/0!</v>
      </c>
      <c r="AC40" s="486" t="e">
        <f t="shared" si="5"/>
        <v>#DIV/0!</v>
      </c>
      <c r="AD40" s="11"/>
      <c r="AE40" s="301" t="str">
        <f>AF40&amp;TM[[#This Row],[Insurer Code]]&amp;"; "&amp;AG40&amp;TM[[#This Row],[Reporting Year]]&amp;"; "&amp;AH40&amp;TM[[#This Row],[Insurance Category Code]]&amp;"; "&amp;AI40&amp;TM[[#This Row],[Large Provider Entity Code]]</f>
        <v xml:space="preserve">Insurer Code ; Reporting Year ; Insurance Category Code ; Large Provider Entity Code </v>
      </c>
      <c r="AF40" s="297" t="s">
        <v>197</v>
      </c>
      <c r="AG40" s="297" t="s">
        <v>198</v>
      </c>
      <c r="AH40" s="297" t="s">
        <v>199</v>
      </c>
      <c r="AI40" s="297" t="s">
        <v>200</v>
      </c>
      <c r="AJ40" s="297"/>
      <c r="AK40" s="297"/>
      <c r="AL40" s="297"/>
      <c r="AM40" s="11"/>
      <c r="AN40" s="11"/>
      <c r="AO40" s="11"/>
    </row>
    <row r="41" spans="1:41" x14ac:dyDescent="0.4">
      <c r="A41" s="291"/>
      <c r="B41" s="292"/>
      <c r="C41" s="312"/>
      <c r="D41"/>
      <c r="E41" s="325"/>
      <c r="F41" s="143"/>
      <c r="G41" s="143"/>
      <c r="H41" s="143"/>
      <c r="I41" s="143"/>
      <c r="J41" s="143"/>
      <c r="K41" s="143"/>
      <c r="L41" s="143"/>
      <c r="M41" s="143"/>
      <c r="N41" s="143"/>
      <c r="O41" s="143"/>
      <c r="P41" s="143"/>
      <c r="Q41" s="143"/>
      <c r="R41" s="143"/>
      <c r="S41" s="143"/>
      <c r="T41" s="143"/>
      <c r="U41" s="143"/>
      <c r="V41" s="325"/>
      <c r="W41" s="393">
        <f t="shared" si="0"/>
        <v>0</v>
      </c>
      <c r="X41" s="393">
        <f t="shared" si="1"/>
        <v>0</v>
      </c>
      <c r="Y41" s="393">
        <f t="shared" si="2"/>
        <v>0</v>
      </c>
      <c r="Z41" s="393">
        <f t="shared" si="3"/>
        <v>0</v>
      </c>
      <c r="AA41" s="393">
        <f t="shared" si="4"/>
        <v>0</v>
      </c>
      <c r="AB41" s="393" t="e">
        <f t="shared" si="6"/>
        <v>#DIV/0!</v>
      </c>
      <c r="AC41" s="486" t="e">
        <f t="shared" si="5"/>
        <v>#DIV/0!</v>
      </c>
      <c r="AD41" s="11"/>
      <c r="AE41" s="301" t="str">
        <f>AF41&amp;TM[[#This Row],[Insurer Code]]&amp;"; "&amp;AG41&amp;TM[[#This Row],[Reporting Year]]&amp;"; "&amp;AH41&amp;TM[[#This Row],[Insurance Category Code]]&amp;"; "&amp;AI41&amp;TM[[#This Row],[Large Provider Entity Code]]</f>
        <v xml:space="preserve">Insurer Code ; Reporting Year ; Insurance Category Code ; Large Provider Entity Code </v>
      </c>
      <c r="AF41" s="297" t="s">
        <v>197</v>
      </c>
      <c r="AG41" s="297" t="s">
        <v>198</v>
      </c>
      <c r="AH41" s="297" t="s">
        <v>199</v>
      </c>
      <c r="AI41" s="297" t="s">
        <v>200</v>
      </c>
      <c r="AJ41" s="297"/>
      <c r="AK41" s="297"/>
      <c r="AL41" s="297"/>
      <c r="AM41" s="11"/>
      <c r="AN41" s="11"/>
      <c r="AO41" s="11"/>
    </row>
    <row r="42" spans="1:41" x14ac:dyDescent="0.4">
      <c r="A42" s="291"/>
      <c r="B42" s="292"/>
      <c r="C42" s="312"/>
      <c r="D42"/>
      <c r="E42" s="325"/>
      <c r="F42" s="143"/>
      <c r="G42" s="143"/>
      <c r="H42" s="143"/>
      <c r="I42" s="143"/>
      <c r="J42" s="143"/>
      <c r="K42" s="143"/>
      <c r="L42" s="143"/>
      <c r="M42" s="143"/>
      <c r="N42" s="143"/>
      <c r="O42" s="143"/>
      <c r="P42" s="143"/>
      <c r="Q42" s="143"/>
      <c r="R42" s="143"/>
      <c r="S42" s="143"/>
      <c r="T42" s="143"/>
      <c r="U42" s="143"/>
      <c r="V42" s="325"/>
      <c r="W42" s="393">
        <f t="shared" si="0"/>
        <v>0</v>
      </c>
      <c r="X42" s="393">
        <f t="shared" si="1"/>
        <v>0</v>
      </c>
      <c r="Y42" s="393">
        <f t="shared" si="2"/>
        <v>0</v>
      </c>
      <c r="Z42" s="393">
        <f t="shared" si="3"/>
        <v>0</v>
      </c>
      <c r="AA42" s="393">
        <f t="shared" si="4"/>
        <v>0</v>
      </c>
      <c r="AB42" s="393" t="e">
        <f t="shared" si="6"/>
        <v>#DIV/0!</v>
      </c>
      <c r="AC42" s="486" t="e">
        <f t="shared" si="5"/>
        <v>#DIV/0!</v>
      </c>
      <c r="AD42" s="11"/>
      <c r="AE42" s="301" t="str">
        <f>AF42&amp;TM[[#This Row],[Insurer Code]]&amp;"; "&amp;AG42&amp;TM[[#This Row],[Reporting Year]]&amp;"; "&amp;AH42&amp;TM[[#This Row],[Insurance Category Code]]&amp;"; "&amp;AI42&amp;TM[[#This Row],[Large Provider Entity Code]]</f>
        <v xml:space="preserve">Insurer Code ; Reporting Year ; Insurance Category Code ; Large Provider Entity Code </v>
      </c>
      <c r="AF42" s="297" t="s">
        <v>197</v>
      </c>
      <c r="AG42" s="297" t="s">
        <v>198</v>
      </c>
      <c r="AH42" s="297" t="s">
        <v>199</v>
      </c>
      <c r="AI42" s="297" t="s">
        <v>200</v>
      </c>
      <c r="AJ42" s="297"/>
      <c r="AK42" s="297"/>
      <c r="AL42" s="297"/>
      <c r="AM42" s="11"/>
      <c r="AN42" s="11"/>
      <c r="AO42" s="11"/>
    </row>
    <row r="43" spans="1:41" x14ac:dyDescent="0.4">
      <c r="A43" s="291"/>
      <c r="B43" s="292"/>
      <c r="C43" s="312"/>
      <c r="D43"/>
      <c r="E43" s="325"/>
      <c r="F43" s="143"/>
      <c r="G43" s="143"/>
      <c r="H43" s="143"/>
      <c r="I43" s="143"/>
      <c r="J43" s="143"/>
      <c r="K43" s="143"/>
      <c r="L43" s="143"/>
      <c r="M43" s="143"/>
      <c r="N43" s="143"/>
      <c r="O43" s="143"/>
      <c r="P43" s="143"/>
      <c r="Q43" s="143"/>
      <c r="R43" s="143"/>
      <c r="S43" s="143"/>
      <c r="T43" s="143"/>
      <c r="U43" s="143"/>
      <c r="V43" s="325"/>
      <c r="W43" s="393">
        <f t="shared" si="0"/>
        <v>0</v>
      </c>
      <c r="X43" s="393">
        <f t="shared" si="1"/>
        <v>0</v>
      </c>
      <c r="Y43" s="393">
        <f t="shared" si="2"/>
        <v>0</v>
      </c>
      <c r="Z43" s="393">
        <f t="shared" si="3"/>
        <v>0</v>
      </c>
      <c r="AA43" s="393">
        <f t="shared" si="4"/>
        <v>0</v>
      </c>
      <c r="AB43" s="393" t="e">
        <f t="shared" si="6"/>
        <v>#DIV/0!</v>
      </c>
      <c r="AC43" s="486" t="e">
        <f t="shared" si="5"/>
        <v>#DIV/0!</v>
      </c>
      <c r="AD43" s="11"/>
      <c r="AE43" s="301" t="str">
        <f>AF43&amp;TM[[#This Row],[Insurer Code]]&amp;"; "&amp;AG43&amp;TM[[#This Row],[Reporting Year]]&amp;"; "&amp;AH43&amp;TM[[#This Row],[Insurance Category Code]]&amp;"; "&amp;AI43&amp;TM[[#This Row],[Large Provider Entity Code]]</f>
        <v xml:space="preserve">Insurer Code ; Reporting Year ; Insurance Category Code ; Large Provider Entity Code </v>
      </c>
      <c r="AF43" s="297" t="s">
        <v>197</v>
      </c>
      <c r="AG43" s="297" t="s">
        <v>198</v>
      </c>
      <c r="AH43" s="297" t="s">
        <v>199</v>
      </c>
      <c r="AI43" s="297" t="s">
        <v>200</v>
      </c>
      <c r="AJ43" s="297"/>
      <c r="AK43" s="297"/>
      <c r="AL43" s="297"/>
      <c r="AM43" s="11"/>
      <c r="AN43" s="11"/>
      <c r="AO43" s="11"/>
    </row>
    <row r="44" spans="1:41" x14ac:dyDescent="0.4">
      <c r="A44" s="291"/>
      <c r="B44" s="292"/>
      <c r="C44" s="312"/>
      <c r="D44"/>
      <c r="E44" s="325"/>
      <c r="F44" s="143"/>
      <c r="G44" s="143"/>
      <c r="H44" s="143"/>
      <c r="I44" s="143"/>
      <c r="J44" s="143"/>
      <c r="K44" s="143"/>
      <c r="L44" s="143"/>
      <c r="M44" s="143"/>
      <c r="N44" s="143"/>
      <c r="O44" s="143"/>
      <c r="P44" s="143"/>
      <c r="Q44" s="143"/>
      <c r="R44" s="143"/>
      <c r="S44" s="143"/>
      <c r="T44" s="143"/>
      <c r="U44" s="143"/>
      <c r="V44" s="325"/>
      <c r="W44" s="393">
        <f t="shared" si="0"/>
        <v>0</v>
      </c>
      <c r="X44" s="393">
        <f t="shared" si="1"/>
        <v>0</v>
      </c>
      <c r="Y44" s="393">
        <f t="shared" si="2"/>
        <v>0</v>
      </c>
      <c r="Z44" s="393">
        <f t="shared" si="3"/>
        <v>0</v>
      </c>
      <c r="AA44" s="393">
        <f t="shared" si="4"/>
        <v>0</v>
      </c>
      <c r="AB44" s="393" t="e">
        <f t="shared" si="6"/>
        <v>#DIV/0!</v>
      </c>
      <c r="AC44" s="486" t="e">
        <f t="shared" si="5"/>
        <v>#DIV/0!</v>
      </c>
      <c r="AD44" s="11"/>
      <c r="AE44" s="301" t="str">
        <f>AF44&amp;TM[[#This Row],[Insurer Code]]&amp;"; "&amp;AG44&amp;TM[[#This Row],[Reporting Year]]&amp;"; "&amp;AH44&amp;TM[[#This Row],[Insurance Category Code]]&amp;"; "&amp;AI44&amp;TM[[#This Row],[Large Provider Entity Code]]</f>
        <v xml:space="preserve">Insurer Code ; Reporting Year ; Insurance Category Code ; Large Provider Entity Code </v>
      </c>
      <c r="AF44" s="297" t="s">
        <v>197</v>
      </c>
      <c r="AG44" s="297" t="s">
        <v>198</v>
      </c>
      <c r="AH44" s="297" t="s">
        <v>199</v>
      </c>
      <c r="AI44" s="297" t="s">
        <v>200</v>
      </c>
      <c r="AJ44" s="297"/>
      <c r="AK44" s="297"/>
      <c r="AL44" s="297"/>
      <c r="AM44" s="11"/>
      <c r="AN44" s="11"/>
      <c r="AO44" s="11"/>
    </row>
    <row r="45" spans="1:41" x14ac:dyDescent="0.4">
      <c r="A45" s="291"/>
      <c r="B45" s="292"/>
      <c r="C45" s="312"/>
      <c r="D45"/>
      <c r="E45" s="325"/>
      <c r="F45" s="143"/>
      <c r="G45" s="143"/>
      <c r="H45" s="143"/>
      <c r="I45" s="143"/>
      <c r="J45" s="143"/>
      <c r="K45" s="143"/>
      <c r="L45" s="143"/>
      <c r="M45" s="143"/>
      <c r="N45" s="143"/>
      <c r="O45" s="143"/>
      <c r="P45" s="143"/>
      <c r="Q45" s="143"/>
      <c r="R45" s="143"/>
      <c r="S45" s="143"/>
      <c r="T45" s="143"/>
      <c r="U45" s="143"/>
      <c r="V45" s="325"/>
      <c r="W45" s="393">
        <f t="shared" si="0"/>
        <v>0</v>
      </c>
      <c r="X45" s="393">
        <f t="shared" si="1"/>
        <v>0</v>
      </c>
      <c r="Y45" s="393">
        <f t="shared" si="2"/>
        <v>0</v>
      </c>
      <c r="Z45" s="393">
        <f t="shared" si="3"/>
        <v>0</v>
      </c>
      <c r="AA45" s="393">
        <f t="shared" si="4"/>
        <v>0</v>
      </c>
      <c r="AB45" s="393" t="e">
        <f t="shared" si="6"/>
        <v>#DIV/0!</v>
      </c>
      <c r="AC45" s="486" t="e">
        <f t="shared" si="5"/>
        <v>#DIV/0!</v>
      </c>
      <c r="AD45" s="11"/>
      <c r="AE45" s="301" t="str">
        <f>AF45&amp;TM[[#This Row],[Insurer Code]]&amp;"; "&amp;AG45&amp;TM[[#This Row],[Reporting Year]]&amp;"; "&amp;AH45&amp;TM[[#This Row],[Insurance Category Code]]&amp;"; "&amp;AI45&amp;TM[[#This Row],[Large Provider Entity Code]]</f>
        <v xml:space="preserve">Insurer Code ; Reporting Year ; Insurance Category Code ; Large Provider Entity Code </v>
      </c>
      <c r="AF45" s="297" t="s">
        <v>197</v>
      </c>
      <c r="AG45" s="297" t="s">
        <v>198</v>
      </c>
      <c r="AH45" s="297" t="s">
        <v>199</v>
      </c>
      <c r="AI45" s="297" t="s">
        <v>200</v>
      </c>
      <c r="AJ45" s="297"/>
      <c r="AK45" s="297"/>
      <c r="AL45" s="297"/>
      <c r="AM45" s="11"/>
      <c r="AN45" s="11"/>
      <c r="AO45" s="11"/>
    </row>
    <row r="46" spans="1:41" x14ac:dyDescent="0.4">
      <c r="A46" s="291"/>
      <c r="B46" s="292"/>
      <c r="C46" s="312"/>
      <c r="D46"/>
      <c r="E46" s="325"/>
      <c r="F46" s="143"/>
      <c r="G46" s="143"/>
      <c r="H46" s="143"/>
      <c r="I46" s="143"/>
      <c r="J46" s="143"/>
      <c r="K46" s="143"/>
      <c r="L46" s="143"/>
      <c r="M46" s="143"/>
      <c r="N46" s="143"/>
      <c r="O46" s="143"/>
      <c r="P46" s="143"/>
      <c r="Q46" s="143"/>
      <c r="R46" s="143"/>
      <c r="S46" s="143"/>
      <c r="T46" s="143"/>
      <c r="U46" s="143"/>
      <c r="V46" s="325"/>
      <c r="W46" s="393">
        <f t="shared" si="0"/>
        <v>0</v>
      </c>
      <c r="X46" s="393">
        <f t="shared" si="1"/>
        <v>0</v>
      </c>
      <c r="Y46" s="393">
        <f t="shared" si="2"/>
        <v>0</v>
      </c>
      <c r="Z46" s="393">
        <f t="shared" si="3"/>
        <v>0</v>
      </c>
      <c r="AA46" s="393">
        <f t="shared" si="4"/>
        <v>0</v>
      </c>
      <c r="AB46" s="393" t="e">
        <f t="shared" si="6"/>
        <v>#DIV/0!</v>
      </c>
      <c r="AC46" s="486" t="e">
        <f t="shared" si="5"/>
        <v>#DIV/0!</v>
      </c>
      <c r="AD46" s="11"/>
      <c r="AE46" s="301" t="str">
        <f>AF46&amp;TM[[#This Row],[Insurer Code]]&amp;"; "&amp;AG46&amp;TM[[#This Row],[Reporting Year]]&amp;"; "&amp;AH46&amp;TM[[#This Row],[Insurance Category Code]]&amp;"; "&amp;AI46&amp;TM[[#This Row],[Large Provider Entity Code]]</f>
        <v xml:space="preserve">Insurer Code ; Reporting Year ; Insurance Category Code ; Large Provider Entity Code </v>
      </c>
      <c r="AF46" s="297" t="s">
        <v>197</v>
      </c>
      <c r="AG46" s="297" t="s">
        <v>198</v>
      </c>
      <c r="AH46" s="297" t="s">
        <v>199</v>
      </c>
      <c r="AI46" s="297" t="s">
        <v>200</v>
      </c>
      <c r="AJ46" s="297"/>
      <c r="AK46" s="297"/>
      <c r="AL46" s="297"/>
      <c r="AM46" s="11"/>
      <c r="AN46" s="11"/>
      <c r="AO46" s="11"/>
    </row>
    <row r="47" spans="1:41" x14ac:dyDescent="0.4">
      <c r="A47" s="291"/>
      <c r="B47" s="292"/>
      <c r="C47" s="312"/>
      <c r="D47"/>
      <c r="E47" s="325"/>
      <c r="F47" s="143"/>
      <c r="G47" s="143"/>
      <c r="H47" s="143"/>
      <c r="I47" s="143"/>
      <c r="J47" s="143"/>
      <c r="K47" s="143"/>
      <c r="L47" s="143"/>
      <c r="M47" s="143"/>
      <c r="N47" s="143"/>
      <c r="O47" s="143"/>
      <c r="P47" s="143"/>
      <c r="Q47" s="143"/>
      <c r="R47" s="143"/>
      <c r="S47" s="143"/>
      <c r="T47" s="143"/>
      <c r="U47" s="143"/>
      <c r="V47" s="325"/>
      <c r="W47" s="393">
        <f t="shared" si="0"/>
        <v>0</v>
      </c>
      <c r="X47" s="393">
        <f t="shared" si="1"/>
        <v>0</v>
      </c>
      <c r="Y47" s="393">
        <f t="shared" si="2"/>
        <v>0</v>
      </c>
      <c r="Z47" s="393">
        <f t="shared" si="3"/>
        <v>0</v>
      </c>
      <c r="AA47" s="393">
        <f t="shared" si="4"/>
        <v>0</v>
      </c>
      <c r="AB47" s="393" t="e">
        <f t="shared" si="6"/>
        <v>#DIV/0!</v>
      </c>
      <c r="AC47" s="486" t="e">
        <f t="shared" si="5"/>
        <v>#DIV/0!</v>
      </c>
      <c r="AD47" s="11"/>
      <c r="AE47" s="301" t="str">
        <f>AF47&amp;TM[[#This Row],[Insurer Code]]&amp;"; "&amp;AG47&amp;TM[[#This Row],[Reporting Year]]&amp;"; "&amp;AH47&amp;TM[[#This Row],[Insurance Category Code]]&amp;"; "&amp;AI47&amp;TM[[#This Row],[Large Provider Entity Code]]</f>
        <v xml:space="preserve">Insurer Code ; Reporting Year ; Insurance Category Code ; Large Provider Entity Code </v>
      </c>
      <c r="AF47" s="297" t="s">
        <v>197</v>
      </c>
      <c r="AG47" s="297" t="s">
        <v>198</v>
      </c>
      <c r="AH47" s="297" t="s">
        <v>199</v>
      </c>
      <c r="AI47" s="297" t="s">
        <v>200</v>
      </c>
      <c r="AJ47" s="297"/>
      <c r="AK47" s="297"/>
      <c r="AL47" s="297"/>
      <c r="AM47" s="11"/>
      <c r="AN47" s="11"/>
      <c r="AO47" s="11"/>
    </row>
    <row r="48" spans="1:41" x14ac:dyDescent="0.4">
      <c r="A48" s="291"/>
      <c r="B48" s="292"/>
      <c r="C48" s="312"/>
      <c r="D48"/>
      <c r="E48" s="325"/>
      <c r="F48" s="143"/>
      <c r="G48" s="143"/>
      <c r="H48" s="143"/>
      <c r="I48" s="143"/>
      <c r="J48" s="143"/>
      <c r="K48" s="143"/>
      <c r="L48" s="143"/>
      <c r="M48" s="143"/>
      <c r="N48" s="143"/>
      <c r="O48" s="143"/>
      <c r="P48" s="143"/>
      <c r="Q48" s="143"/>
      <c r="R48" s="143"/>
      <c r="S48" s="143"/>
      <c r="T48" s="143"/>
      <c r="U48" s="143"/>
      <c r="V48" s="325"/>
      <c r="W48" s="393">
        <f t="shared" si="0"/>
        <v>0</v>
      </c>
      <c r="X48" s="393">
        <f t="shared" si="1"/>
        <v>0</v>
      </c>
      <c r="Y48" s="393">
        <f t="shared" si="2"/>
        <v>0</v>
      </c>
      <c r="Z48" s="393">
        <f t="shared" si="3"/>
        <v>0</v>
      </c>
      <c r="AA48" s="393">
        <f t="shared" si="4"/>
        <v>0</v>
      </c>
      <c r="AB48" s="393" t="e">
        <f t="shared" si="6"/>
        <v>#DIV/0!</v>
      </c>
      <c r="AC48" s="486" t="e">
        <f t="shared" si="5"/>
        <v>#DIV/0!</v>
      </c>
      <c r="AD48" s="11"/>
      <c r="AE48" s="301" t="str">
        <f>AF48&amp;TM[[#This Row],[Insurer Code]]&amp;"; "&amp;AG48&amp;TM[[#This Row],[Reporting Year]]&amp;"; "&amp;AH48&amp;TM[[#This Row],[Insurance Category Code]]&amp;"; "&amp;AI48&amp;TM[[#This Row],[Large Provider Entity Code]]</f>
        <v xml:space="preserve">Insurer Code ; Reporting Year ; Insurance Category Code ; Large Provider Entity Code </v>
      </c>
      <c r="AF48" s="297" t="s">
        <v>197</v>
      </c>
      <c r="AG48" s="297" t="s">
        <v>198</v>
      </c>
      <c r="AH48" s="297" t="s">
        <v>199</v>
      </c>
      <c r="AI48" s="297" t="s">
        <v>200</v>
      </c>
      <c r="AJ48" s="297"/>
      <c r="AK48" s="297"/>
      <c r="AL48" s="297"/>
      <c r="AM48" s="11"/>
      <c r="AN48" s="11"/>
      <c r="AO48" s="11"/>
    </row>
    <row r="49" spans="1:41" x14ac:dyDescent="0.4">
      <c r="A49" s="291"/>
      <c r="B49" s="292"/>
      <c r="C49" s="312"/>
      <c r="D49"/>
      <c r="E49" s="325"/>
      <c r="F49" s="143"/>
      <c r="G49" s="143"/>
      <c r="H49" s="143"/>
      <c r="I49" s="143"/>
      <c r="J49" s="143"/>
      <c r="K49" s="143"/>
      <c r="L49" s="143"/>
      <c r="M49" s="143"/>
      <c r="N49" s="143"/>
      <c r="O49" s="143"/>
      <c r="P49" s="143"/>
      <c r="Q49" s="143"/>
      <c r="R49" s="143"/>
      <c r="S49" s="143"/>
      <c r="T49" s="143"/>
      <c r="U49" s="143"/>
      <c r="V49" s="325"/>
      <c r="W49" s="393">
        <f t="shared" si="0"/>
        <v>0</v>
      </c>
      <c r="X49" s="393">
        <f t="shared" si="1"/>
        <v>0</v>
      </c>
      <c r="Y49" s="393">
        <f t="shared" si="2"/>
        <v>0</v>
      </c>
      <c r="Z49" s="393">
        <f t="shared" si="3"/>
        <v>0</v>
      </c>
      <c r="AA49" s="393">
        <f t="shared" si="4"/>
        <v>0</v>
      </c>
      <c r="AB49" s="393" t="e">
        <f t="shared" si="6"/>
        <v>#DIV/0!</v>
      </c>
      <c r="AC49" s="486" t="e">
        <f t="shared" si="5"/>
        <v>#DIV/0!</v>
      </c>
      <c r="AD49" s="11"/>
      <c r="AE49" s="301" t="str">
        <f>AF49&amp;TM[[#This Row],[Insurer Code]]&amp;"; "&amp;AG49&amp;TM[[#This Row],[Reporting Year]]&amp;"; "&amp;AH49&amp;TM[[#This Row],[Insurance Category Code]]&amp;"; "&amp;AI49&amp;TM[[#This Row],[Large Provider Entity Code]]</f>
        <v xml:space="preserve">Insurer Code ; Reporting Year ; Insurance Category Code ; Large Provider Entity Code </v>
      </c>
      <c r="AF49" s="297" t="s">
        <v>197</v>
      </c>
      <c r="AG49" s="297" t="s">
        <v>198</v>
      </c>
      <c r="AH49" s="297" t="s">
        <v>199</v>
      </c>
      <c r="AI49" s="297" t="s">
        <v>200</v>
      </c>
      <c r="AJ49" s="297"/>
      <c r="AK49" s="297"/>
      <c r="AL49" s="297"/>
      <c r="AM49" s="11"/>
      <c r="AN49" s="11"/>
      <c r="AO49" s="11"/>
    </row>
    <row r="50" spans="1:41" x14ac:dyDescent="0.4">
      <c r="A50" s="291"/>
      <c r="B50" s="292"/>
      <c r="C50" s="312"/>
      <c r="D50"/>
      <c r="E50" s="325"/>
      <c r="F50" s="143"/>
      <c r="G50" s="143"/>
      <c r="H50" s="143"/>
      <c r="I50" s="143"/>
      <c r="J50" s="143"/>
      <c r="K50" s="143"/>
      <c r="L50" s="143"/>
      <c r="M50" s="143"/>
      <c r="N50" s="143"/>
      <c r="O50" s="143"/>
      <c r="P50" s="143"/>
      <c r="Q50" s="143"/>
      <c r="R50" s="143"/>
      <c r="S50" s="143"/>
      <c r="T50" s="143"/>
      <c r="U50" s="143"/>
      <c r="V50" s="325"/>
      <c r="W50" s="393">
        <f t="shared" si="0"/>
        <v>0</v>
      </c>
      <c r="X50" s="393">
        <f t="shared" si="1"/>
        <v>0</v>
      </c>
      <c r="Y50" s="393">
        <f t="shared" si="2"/>
        <v>0</v>
      </c>
      <c r="Z50" s="393">
        <f t="shared" si="3"/>
        <v>0</v>
      </c>
      <c r="AA50" s="393">
        <f t="shared" si="4"/>
        <v>0</v>
      </c>
      <c r="AB50" s="393" t="e">
        <f t="shared" si="6"/>
        <v>#DIV/0!</v>
      </c>
      <c r="AC50" s="486" t="e">
        <f t="shared" si="5"/>
        <v>#DIV/0!</v>
      </c>
      <c r="AD50" s="11"/>
      <c r="AE50" s="301" t="str">
        <f>AF50&amp;TM[[#This Row],[Insurer Code]]&amp;"; "&amp;AG50&amp;TM[[#This Row],[Reporting Year]]&amp;"; "&amp;AH50&amp;TM[[#This Row],[Insurance Category Code]]&amp;"; "&amp;AI50&amp;TM[[#This Row],[Large Provider Entity Code]]</f>
        <v xml:space="preserve">Insurer Code ; Reporting Year ; Insurance Category Code ; Large Provider Entity Code </v>
      </c>
      <c r="AF50" s="297" t="s">
        <v>197</v>
      </c>
      <c r="AG50" s="297" t="s">
        <v>198</v>
      </c>
      <c r="AH50" s="297" t="s">
        <v>199</v>
      </c>
      <c r="AI50" s="297" t="s">
        <v>200</v>
      </c>
      <c r="AJ50" s="297"/>
      <c r="AK50" s="297"/>
      <c r="AL50" s="297"/>
      <c r="AM50" s="11"/>
      <c r="AN50" s="11"/>
      <c r="AO50" s="11"/>
    </row>
    <row r="51" spans="1:41" x14ac:dyDescent="0.4">
      <c r="A51" s="291"/>
      <c r="B51" s="292"/>
      <c r="C51" s="312"/>
      <c r="D51"/>
      <c r="E51" s="325"/>
      <c r="F51" s="143"/>
      <c r="G51" s="143"/>
      <c r="H51" s="143"/>
      <c r="I51" s="143"/>
      <c r="J51" s="143"/>
      <c r="K51" s="143"/>
      <c r="L51" s="143"/>
      <c r="M51" s="143"/>
      <c r="N51" s="143"/>
      <c r="O51" s="143"/>
      <c r="P51" s="143"/>
      <c r="Q51" s="143"/>
      <c r="R51" s="143"/>
      <c r="S51" s="143"/>
      <c r="T51" s="143"/>
      <c r="U51" s="143"/>
      <c r="V51" s="325"/>
      <c r="W51" s="393">
        <f t="shared" si="0"/>
        <v>0</v>
      </c>
      <c r="X51" s="393">
        <f t="shared" si="1"/>
        <v>0</v>
      </c>
      <c r="Y51" s="393">
        <f t="shared" si="2"/>
        <v>0</v>
      </c>
      <c r="Z51" s="393">
        <f t="shared" si="3"/>
        <v>0</v>
      </c>
      <c r="AA51" s="393">
        <f t="shared" si="4"/>
        <v>0</v>
      </c>
      <c r="AB51" s="393" t="e">
        <f t="shared" si="6"/>
        <v>#DIV/0!</v>
      </c>
      <c r="AC51" s="486" t="e">
        <f t="shared" si="5"/>
        <v>#DIV/0!</v>
      </c>
      <c r="AD51" s="11"/>
      <c r="AE51" s="301" t="str">
        <f>AF51&amp;TM[[#This Row],[Insurer Code]]&amp;"; "&amp;AG51&amp;TM[[#This Row],[Reporting Year]]&amp;"; "&amp;AH51&amp;TM[[#This Row],[Insurance Category Code]]&amp;"; "&amp;AI51&amp;TM[[#This Row],[Large Provider Entity Code]]</f>
        <v xml:space="preserve">Insurer Code ; Reporting Year ; Insurance Category Code ; Large Provider Entity Code </v>
      </c>
      <c r="AF51" s="297" t="s">
        <v>197</v>
      </c>
      <c r="AG51" s="297" t="s">
        <v>198</v>
      </c>
      <c r="AH51" s="297" t="s">
        <v>199</v>
      </c>
      <c r="AI51" s="297" t="s">
        <v>200</v>
      </c>
      <c r="AJ51" s="297"/>
      <c r="AK51" s="297"/>
      <c r="AL51" s="297"/>
      <c r="AM51" s="11"/>
      <c r="AN51" s="11"/>
      <c r="AO51" s="11"/>
    </row>
    <row r="52" spans="1:41" x14ac:dyDescent="0.4">
      <c r="A52" s="291"/>
      <c r="B52" s="292"/>
      <c r="C52" s="312"/>
      <c r="D52"/>
      <c r="E52" s="325"/>
      <c r="F52" s="143"/>
      <c r="G52" s="143"/>
      <c r="H52" s="143"/>
      <c r="I52" s="143"/>
      <c r="J52" s="143"/>
      <c r="K52" s="143"/>
      <c r="L52" s="143"/>
      <c r="M52" s="143"/>
      <c r="N52" s="143"/>
      <c r="O52" s="143"/>
      <c r="P52" s="143"/>
      <c r="Q52" s="143"/>
      <c r="R52" s="143"/>
      <c r="S52" s="143"/>
      <c r="T52" s="143"/>
      <c r="U52" s="143"/>
      <c r="V52" s="325"/>
      <c r="W52" s="393">
        <f t="shared" si="0"/>
        <v>0</v>
      </c>
      <c r="X52" s="393">
        <f t="shared" si="1"/>
        <v>0</v>
      </c>
      <c r="Y52" s="393">
        <f t="shared" si="2"/>
        <v>0</v>
      </c>
      <c r="Z52" s="393">
        <f t="shared" si="3"/>
        <v>0</v>
      </c>
      <c r="AA52" s="393">
        <f t="shared" si="4"/>
        <v>0</v>
      </c>
      <c r="AB52" s="393" t="e">
        <f t="shared" si="6"/>
        <v>#DIV/0!</v>
      </c>
      <c r="AC52" s="486" t="e">
        <f t="shared" si="5"/>
        <v>#DIV/0!</v>
      </c>
      <c r="AD52" s="11"/>
      <c r="AE52" s="301" t="str">
        <f>AF52&amp;TM[[#This Row],[Insurer Code]]&amp;"; "&amp;AG52&amp;TM[[#This Row],[Reporting Year]]&amp;"; "&amp;AH52&amp;TM[[#This Row],[Insurance Category Code]]&amp;"; "&amp;AI52&amp;TM[[#This Row],[Large Provider Entity Code]]</f>
        <v xml:space="preserve">Insurer Code ; Reporting Year ; Insurance Category Code ; Large Provider Entity Code </v>
      </c>
      <c r="AF52" s="297" t="s">
        <v>197</v>
      </c>
      <c r="AG52" s="297" t="s">
        <v>198</v>
      </c>
      <c r="AH52" s="297" t="s">
        <v>199</v>
      </c>
      <c r="AI52" s="297" t="s">
        <v>200</v>
      </c>
      <c r="AJ52" s="297"/>
      <c r="AK52" s="297"/>
      <c r="AL52" s="297"/>
      <c r="AM52" s="11"/>
      <c r="AN52" s="11"/>
      <c r="AO52" s="11"/>
    </row>
    <row r="53" spans="1:41" x14ac:dyDescent="0.4">
      <c r="A53" s="291"/>
      <c r="B53" s="292"/>
      <c r="C53" s="312"/>
      <c r="D53"/>
      <c r="E53" s="325"/>
      <c r="F53" s="143"/>
      <c r="G53" s="143"/>
      <c r="H53" s="143"/>
      <c r="I53" s="143"/>
      <c r="J53" s="143"/>
      <c r="K53" s="143"/>
      <c r="L53" s="143"/>
      <c r="M53" s="143"/>
      <c r="N53" s="143"/>
      <c r="O53" s="143"/>
      <c r="P53" s="143"/>
      <c r="Q53" s="143"/>
      <c r="R53" s="143"/>
      <c r="S53" s="143"/>
      <c r="T53" s="143"/>
      <c r="U53" s="143"/>
      <c r="V53" s="325"/>
      <c r="W53" s="393">
        <f t="shared" si="0"/>
        <v>0</v>
      </c>
      <c r="X53" s="393">
        <f t="shared" si="1"/>
        <v>0</v>
      </c>
      <c r="Y53" s="393">
        <f t="shared" si="2"/>
        <v>0</v>
      </c>
      <c r="Z53" s="393">
        <f t="shared" si="3"/>
        <v>0</v>
      </c>
      <c r="AA53" s="393">
        <f t="shared" si="4"/>
        <v>0</v>
      </c>
      <c r="AB53" s="393" t="e">
        <f t="shared" si="6"/>
        <v>#DIV/0!</v>
      </c>
      <c r="AC53" s="486" t="e">
        <f t="shared" si="5"/>
        <v>#DIV/0!</v>
      </c>
      <c r="AD53" s="11"/>
      <c r="AE53" s="301" t="str">
        <f>AF53&amp;TM[[#This Row],[Insurer Code]]&amp;"; "&amp;AG53&amp;TM[[#This Row],[Reporting Year]]&amp;"; "&amp;AH53&amp;TM[[#This Row],[Insurance Category Code]]&amp;"; "&amp;AI53&amp;TM[[#This Row],[Large Provider Entity Code]]</f>
        <v xml:space="preserve">Insurer Code ; Reporting Year ; Insurance Category Code ; Large Provider Entity Code </v>
      </c>
      <c r="AF53" s="297" t="s">
        <v>197</v>
      </c>
      <c r="AG53" s="297" t="s">
        <v>198</v>
      </c>
      <c r="AH53" s="297" t="s">
        <v>199</v>
      </c>
      <c r="AI53" s="297" t="s">
        <v>200</v>
      </c>
      <c r="AJ53" s="297"/>
      <c r="AK53" s="297"/>
      <c r="AL53" s="297"/>
      <c r="AM53" s="11"/>
      <c r="AN53" s="11"/>
      <c r="AO53" s="11"/>
    </row>
    <row r="54" spans="1:41" x14ac:dyDescent="0.4">
      <c r="A54" s="291"/>
      <c r="B54" s="292"/>
      <c r="C54" s="312"/>
      <c r="D54"/>
      <c r="E54" s="325"/>
      <c r="F54" s="143"/>
      <c r="G54" s="143"/>
      <c r="H54" s="143"/>
      <c r="I54" s="143"/>
      <c r="J54" s="143"/>
      <c r="K54" s="143"/>
      <c r="L54" s="143"/>
      <c r="M54" s="143"/>
      <c r="N54" s="143"/>
      <c r="O54" s="143"/>
      <c r="P54" s="143"/>
      <c r="Q54" s="143"/>
      <c r="R54" s="143"/>
      <c r="S54" s="143"/>
      <c r="T54" s="143"/>
      <c r="U54" s="143"/>
      <c r="V54" s="325"/>
      <c r="W54" s="393">
        <f t="shared" si="0"/>
        <v>0</v>
      </c>
      <c r="X54" s="393">
        <f t="shared" si="1"/>
        <v>0</v>
      </c>
      <c r="Y54" s="393">
        <f t="shared" si="2"/>
        <v>0</v>
      </c>
      <c r="Z54" s="393">
        <f t="shared" si="3"/>
        <v>0</v>
      </c>
      <c r="AA54" s="393">
        <f t="shared" si="4"/>
        <v>0</v>
      </c>
      <c r="AB54" s="393" t="e">
        <f t="shared" si="6"/>
        <v>#DIV/0!</v>
      </c>
      <c r="AC54" s="486" t="e">
        <f t="shared" si="5"/>
        <v>#DIV/0!</v>
      </c>
      <c r="AD54" s="11"/>
      <c r="AE54" s="301" t="str">
        <f>AF54&amp;TM[[#This Row],[Insurer Code]]&amp;"; "&amp;AG54&amp;TM[[#This Row],[Reporting Year]]&amp;"; "&amp;AH54&amp;TM[[#This Row],[Insurance Category Code]]&amp;"; "&amp;AI54&amp;TM[[#This Row],[Large Provider Entity Code]]</f>
        <v xml:space="preserve">Insurer Code ; Reporting Year ; Insurance Category Code ; Large Provider Entity Code </v>
      </c>
      <c r="AF54" s="297" t="s">
        <v>197</v>
      </c>
      <c r="AG54" s="297" t="s">
        <v>198</v>
      </c>
      <c r="AH54" s="297" t="s">
        <v>199</v>
      </c>
      <c r="AI54" s="297" t="s">
        <v>200</v>
      </c>
      <c r="AJ54" s="297"/>
      <c r="AK54" s="297"/>
      <c r="AL54" s="297"/>
      <c r="AM54" s="11"/>
      <c r="AN54" s="11"/>
      <c r="AO54" s="11"/>
    </row>
    <row r="55" spans="1:41" x14ac:dyDescent="0.4">
      <c r="A55" s="291"/>
      <c r="B55" s="292"/>
      <c r="C55" s="312"/>
      <c r="D55"/>
      <c r="E55" s="325"/>
      <c r="F55" s="143"/>
      <c r="G55" s="143"/>
      <c r="H55" s="143"/>
      <c r="I55" s="143"/>
      <c r="J55" s="143"/>
      <c r="K55" s="143"/>
      <c r="L55" s="143"/>
      <c r="M55" s="143"/>
      <c r="N55" s="143"/>
      <c r="O55" s="143"/>
      <c r="P55" s="143"/>
      <c r="Q55" s="143"/>
      <c r="R55" s="143"/>
      <c r="S55" s="143"/>
      <c r="T55" s="143"/>
      <c r="U55" s="143"/>
      <c r="V55" s="325"/>
      <c r="W55" s="393">
        <f t="shared" si="0"/>
        <v>0</v>
      </c>
      <c r="X55" s="393">
        <f t="shared" si="1"/>
        <v>0</v>
      </c>
      <c r="Y55" s="393">
        <f t="shared" si="2"/>
        <v>0</v>
      </c>
      <c r="Z55" s="393">
        <f t="shared" si="3"/>
        <v>0</v>
      </c>
      <c r="AA55" s="393">
        <f t="shared" si="4"/>
        <v>0</v>
      </c>
      <c r="AB55" s="393" t="e">
        <f t="shared" si="6"/>
        <v>#DIV/0!</v>
      </c>
      <c r="AC55" s="486" t="e">
        <f t="shared" si="5"/>
        <v>#DIV/0!</v>
      </c>
      <c r="AD55" s="11"/>
      <c r="AE55" s="301" t="str">
        <f>AF55&amp;TM[[#This Row],[Insurer Code]]&amp;"; "&amp;AG55&amp;TM[[#This Row],[Reporting Year]]&amp;"; "&amp;AH55&amp;TM[[#This Row],[Insurance Category Code]]&amp;"; "&amp;AI55&amp;TM[[#This Row],[Large Provider Entity Code]]</f>
        <v xml:space="preserve">Insurer Code ; Reporting Year ; Insurance Category Code ; Large Provider Entity Code </v>
      </c>
      <c r="AF55" s="297" t="s">
        <v>197</v>
      </c>
      <c r="AG55" s="297" t="s">
        <v>198</v>
      </c>
      <c r="AH55" s="297" t="s">
        <v>199</v>
      </c>
      <c r="AI55" s="297" t="s">
        <v>200</v>
      </c>
      <c r="AJ55" s="297"/>
      <c r="AK55" s="297"/>
      <c r="AL55" s="297"/>
      <c r="AM55" s="11"/>
      <c r="AN55" s="11"/>
      <c r="AO55" s="11"/>
    </row>
    <row r="56" spans="1:41" x14ac:dyDescent="0.4">
      <c r="A56" s="291"/>
      <c r="B56" s="292"/>
      <c r="C56" s="312"/>
      <c r="D56"/>
      <c r="E56" s="325"/>
      <c r="F56" s="143"/>
      <c r="G56" s="143"/>
      <c r="H56" s="143"/>
      <c r="I56" s="143"/>
      <c r="J56" s="143"/>
      <c r="K56" s="143"/>
      <c r="L56" s="143"/>
      <c r="M56" s="143"/>
      <c r="N56" s="143"/>
      <c r="O56" s="143"/>
      <c r="P56" s="143"/>
      <c r="Q56" s="143"/>
      <c r="R56" s="143"/>
      <c r="S56" s="143"/>
      <c r="T56" s="143"/>
      <c r="U56" s="143"/>
      <c r="V56" s="325"/>
      <c r="W56" s="393">
        <f t="shared" si="0"/>
        <v>0</v>
      </c>
      <c r="X56" s="393">
        <f t="shared" si="1"/>
        <v>0</v>
      </c>
      <c r="Y56" s="393">
        <f t="shared" si="2"/>
        <v>0</v>
      </c>
      <c r="Z56" s="393">
        <f t="shared" si="3"/>
        <v>0</v>
      </c>
      <c r="AA56" s="393">
        <f t="shared" si="4"/>
        <v>0</v>
      </c>
      <c r="AB56" s="393" t="e">
        <f t="shared" si="6"/>
        <v>#DIV/0!</v>
      </c>
      <c r="AC56" s="486" t="e">
        <f t="shared" si="5"/>
        <v>#DIV/0!</v>
      </c>
      <c r="AD56" s="11"/>
      <c r="AE56" s="301" t="str">
        <f>AF56&amp;TM[[#This Row],[Insurer Code]]&amp;"; "&amp;AG56&amp;TM[[#This Row],[Reporting Year]]&amp;"; "&amp;AH56&amp;TM[[#This Row],[Insurance Category Code]]&amp;"; "&amp;AI56&amp;TM[[#This Row],[Large Provider Entity Code]]</f>
        <v xml:space="preserve">Insurer Code ; Reporting Year ; Insurance Category Code ; Large Provider Entity Code </v>
      </c>
      <c r="AF56" s="297" t="s">
        <v>197</v>
      </c>
      <c r="AG56" s="297" t="s">
        <v>198</v>
      </c>
      <c r="AH56" s="297" t="s">
        <v>199</v>
      </c>
      <c r="AI56" s="297" t="s">
        <v>200</v>
      </c>
      <c r="AJ56" s="297"/>
      <c r="AK56" s="297"/>
      <c r="AL56" s="297"/>
      <c r="AM56" s="11"/>
      <c r="AN56" s="11"/>
      <c r="AO56" s="11"/>
    </row>
    <row r="57" spans="1:41" x14ac:dyDescent="0.4">
      <c r="A57" s="291"/>
      <c r="B57" s="292"/>
      <c r="C57" s="312"/>
      <c r="D57"/>
      <c r="E57" s="325"/>
      <c r="F57" s="143"/>
      <c r="G57" s="143"/>
      <c r="H57" s="143"/>
      <c r="I57" s="143"/>
      <c r="J57" s="143"/>
      <c r="K57" s="143"/>
      <c r="L57" s="143"/>
      <c r="M57" s="143"/>
      <c r="N57" s="143"/>
      <c r="O57" s="143"/>
      <c r="P57" s="143"/>
      <c r="Q57" s="143"/>
      <c r="R57" s="143"/>
      <c r="S57" s="143"/>
      <c r="T57" s="143"/>
      <c r="U57" s="143"/>
      <c r="V57" s="325"/>
      <c r="W57" s="393">
        <f t="shared" si="0"/>
        <v>0</v>
      </c>
      <c r="X57" s="393">
        <f t="shared" si="1"/>
        <v>0</v>
      </c>
      <c r="Y57" s="393">
        <f t="shared" si="2"/>
        <v>0</v>
      </c>
      <c r="Z57" s="393">
        <f t="shared" si="3"/>
        <v>0</v>
      </c>
      <c r="AA57" s="393">
        <f t="shared" si="4"/>
        <v>0</v>
      </c>
      <c r="AB57" s="393" t="e">
        <f t="shared" si="6"/>
        <v>#DIV/0!</v>
      </c>
      <c r="AC57" s="486" t="e">
        <f t="shared" si="5"/>
        <v>#DIV/0!</v>
      </c>
      <c r="AD57" s="11"/>
      <c r="AE57" s="301" t="str">
        <f>AF57&amp;TM[[#This Row],[Insurer Code]]&amp;"; "&amp;AG57&amp;TM[[#This Row],[Reporting Year]]&amp;"; "&amp;AH57&amp;TM[[#This Row],[Insurance Category Code]]&amp;"; "&amp;AI57&amp;TM[[#This Row],[Large Provider Entity Code]]</f>
        <v xml:space="preserve">Insurer Code ; Reporting Year ; Insurance Category Code ; Large Provider Entity Code </v>
      </c>
      <c r="AF57" s="297" t="s">
        <v>197</v>
      </c>
      <c r="AG57" s="297" t="s">
        <v>198</v>
      </c>
      <c r="AH57" s="297" t="s">
        <v>199</v>
      </c>
      <c r="AI57" s="297" t="s">
        <v>200</v>
      </c>
      <c r="AJ57" s="297"/>
      <c r="AK57" s="297"/>
      <c r="AL57" s="297"/>
      <c r="AM57" s="11"/>
      <c r="AN57" s="11"/>
      <c r="AO57" s="11"/>
    </row>
    <row r="58" spans="1:41" x14ac:dyDescent="0.4">
      <c r="A58" s="291"/>
      <c r="B58" s="292"/>
      <c r="C58" s="312"/>
      <c r="D58"/>
      <c r="E58" s="325"/>
      <c r="F58" s="143"/>
      <c r="G58" s="143"/>
      <c r="H58" s="143"/>
      <c r="I58" s="143"/>
      <c r="J58" s="143"/>
      <c r="K58" s="143"/>
      <c r="L58" s="143"/>
      <c r="M58" s="143"/>
      <c r="N58" s="143"/>
      <c r="O58" s="143"/>
      <c r="P58" s="143"/>
      <c r="Q58" s="143"/>
      <c r="R58" s="143"/>
      <c r="S58" s="143"/>
      <c r="T58" s="143"/>
      <c r="U58" s="143"/>
      <c r="V58" s="325"/>
      <c r="W58" s="393">
        <f t="shared" si="0"/>
        <v>0</v>
      </c>
      <c r="X58" s="393">
        <f t="shared" si="1"/>
        <v>0</v>
      </c>
      <c r="Y58" s="393">
        <f t="shared" si="2"/>
        <v>0</v>
      </c>
      <c r="Z58" s="393">
        <f t="shared" si="3"/>
        <v>0</v>
      </c>
      <c r="AA58" s="393">
        <f t="shared" si="4"/>
        <v>0</v>
      </c>
      <c r="AB58" s="393" t="e">
        <f t="shared" si="6"/>
        <v>#DIV/0!</v>
      </c>
      <c r="AC58" s="486" t="e">
        <f t="shared" si="5"/>
        <v>#DIV/0!</v>
      </c>
      <c r="AD58" s="11"/>
      <c r="AE58" s="301" t="str">
        <f>AF58&amp;TM[[#This Row],[Insurer Code]]&amp;"; "&amp;AG58&amp;TM[[#This Row],[Reporting Year]]&amp;"; "&amp;AH58&amp;TM[[#This Row],[Insurance Category Code]]&amp;"; "&amp;AI58&amp;TM[[#This Row],[Large Provider Entity Code]]</f>
        <v xml:space="preserve">Insurer Code ; Reporting Year ; Insurance Category Code ; Large Provider Entity Code </v>
      </c>
      <c r="AF58" s="297" t="s">
        <v>197</v>
      </c>
      <c r="AG58" s="297" t="s">
        <v>198</v>
      </c>
      <c r="AH58" s="297" t="s">
        <v>199</v>
      </c>
      <c r="AI58" s="297" t="s">
        <v>200</v>
      </c>
      <c r="AJ58" s="297"/>
      <c r="AK58" s="297"/>
      <c r="AL58" s="297"/>
      <c r="AM58" s="11"/>
      <c r="AN58" s="11"/>
      <c r="AO58" s="11"/>
    </row>
    <row r="59" spans="1:41" x14ac:dyDescent="0.4">
      <c r="A59" s="291"/>
      <c r="B59" s="292"/>
      <c r="C59" s="312"/>
      <c r="D59"/>
      <c r="E59" s="325"/>
      <c r="F59" s="143"/>
      <c r="G59" s="143"/>
      <c r="H59" s="143"/>
      <c r="I59" s="143"/>
      <c r="J59" s="143"/>
      <c r="K59" s="143"/>
      <c r="L59" s="143"/>
      <c r="M59" s="143"/>
      <c r="N59" s="143"/>
      <c r="O59" s="143"/>
      <c r="P59" s="143"/>
      <c r="Q59" s="143"/>
      <c r="R59" s="143"/>
      <c r="S59" s="143"/>
      <c r="T59" s="143"/>
      <c r="U59" s="143"/>
      <c r="V59" s="325"/>
      <c r="W59" s="393">
        <f t="shared" si="0"/>
        <v>0</v>
      </c>
      <c r="X59" s="393">
        <f t="shared" si="1"/>
        <v>0</v>
      </c>
      <c r="Y59" s="393">
        <f t="shared" si="2"/>
        <v>0</v>
      </c>
      <c r="Z59" s="393">
        <f t="shared" si="3"/>
        <v>0</v>
      </c>
      <c r="AA59" s="393">
        <f t="shared" si="4"/>
        <v>0</v>
      </c>
      <c r="AB59" s="393" t="e">
        <f t="shared" si="6"/>
        <v>#DIV/0!</v>
      </c>
      <c r="AC59" s="486" t="e">
        <f t="shared" si="5"/>
        <v>#DIV/0!</v>
      </c>
      <c r="AD59" s="11"/>
      <c r="AE59" s="301" t="str">
        <f>AF59&amp;TM[[#This Row],[Insurer Code]]&amp;"; "&amp;AG59&amp;TM[[#This Row],[Reporting Year]]&amp;"; "&amp;AH59&amp;TM[[#This Row],[Insurance Category Code]]&amp;"; "&amp;AI59&amp;TM[[#This Row],[Large Provider Entity Code]]</f>
        <v xml:space="preserve">Insurer Code ; Reporting Year ; Insurance Category Code ; Large Provider Entity Code </v>
      </c>
      <c r="AF59" s="297" t="s">
        <v>197</v>
      </c>
      <c r="AG59" s="297" t="s">
        <v>198</v>
      </c>
      <c r="AH59" s="297" t="s">
        <v>199</v>
      </c>
      <c r="AI59" s="297" t="s">
        <v>200</v>
      </c>
      <c r="AJ59" s="297"/>
      <c r="AK59" s="297"/>
      <c r="AL59" s="297"/>
      <c r="AM59" s="11"/>
      <c r="AN59" s="11"/>
      <c r="AO59" s="11"/>
    </row>
    <row r="60" spans="1:41" x14ac:dyDescent="0.4">
      <c r="A60" s="291"/>
      <c r="B60" s="292"/>
      <c r="C60" s="312"/>
      <c r="D60"/>
      <c r="E60" s="325"/>
      <c r="F60" s="143"/>
      <c r="G60" s="143"/>
      <c r="H60" s="143"/>
      <c r="I60" s="143"/>
      <c r="J60" s="143"/>
      <c r="K60" s="143"/>
      <c r="L60" s="143"/>
      <c r="M60" s="143"/>
      <c r="N60" s="143"/>
      <c r="O60" s="143"/>
      <c r="P60" s="143"/>
      <c r="Q60" s="143"/>
      <c r="R60" s="143"/>
      <c r="S60" s="143"/>
      <c r="T60" s="143"/>
      <c r="U60" s="143"/>
      <c r="V60" s="325"/>
      <c r="W60" s="393">
        <f t="shared" si="0"/>
        <v>0</v>
      </c>
      <c r="X60" s="393">
        <f t="shared" si="1"/>
        <v>0</v>
      </c>
      <c r="Y60" s="393">
        <f t="shared" si="2"/>
        <v>0</v>
      </c>
      <c r="Z60" s="393">
        <f t="shared" si="3"/>
        <v>0</v>
      </c>
      <c r="AA60" s="393">
        <f t="shared" si="4"/>
        <v>0</v>
      </c>
      <c r="AB60" s="393" t="e">
        <f t="shared" si="6"/>
        <v>#DIV/0!</v>
      </c>
      <c r="AC60" s="486" t="e">
        <f t="shared" si="5"/>
        <v>#DIV/0!</v>
      </c>
      <c r="AD60" s="11"/>
      <c r="AE60" s="301" t="str">
        <f>AF60&amp;TM[[#This Row],[Insurer Code]]&amp;"; "&amp;AG60&amp;TM[[#This Row],[Reporting Year]]&amp;"; "&amp;AH60&amp;TM[[#This Row],[Insurance Category Code]]&amp;"; "&amp;AI60&amp;TM[[#This Row],[Large Provider Entity Code]]</f>
        <v xml:space="preserve">Insurer Code ; Reporting Year ; Insurance Category Code ; Large Provider Entity Code </v>
      </c>
      <c r="AF60" s="297" t="s">
        <v>197</v>
      </c>
      <c r="AG60" s="297" t="s">
        <v>198</v>
      </c>
      <c r="AH60" s="297" t="s">
        <v>199</v>
      </c>
      <c r="AI60" s="297" t="s">
        <v>200</v>
      </c>
      <c r="AJ60" s="297"/>
      <c r="AK60" s="297"/>
      <c r="AL60" s="297"/>
      <c r="AM60" s="11"/>
      <c r="AN60" s="11"/>
      <c r="AO60" s="11"/>
    </row>
    <row r="61" spans="1:41" x14ac:dyDescent="0.4">
      <c r="A61" s="291"/>
      <c r="B61" s="292"/>
      <c r="C61" s="312"/>
      <c r="D61"/>
      <c r="E61" s="325"/>
      <c r="F61" s="143"/>
      <c r="G61" s="143"/>
      <c r="H61" s="143"/>
      <c r="I61" s="143"/>
      <c r="J61" s="143"/>
      <c r="K61" s="143"/>
      <c r="L61" s="143"/>
      <c r="M61" s="143"/>
      <c r="N61" s="143"/>
      <c r="O61" s="143"/>
      <c r="P61" s="143"/>
      <c r="Q61" s="143"/>
      <c r="R61" s="143"/>
      <c r="S61" s="143"/>
      <c r="T61" s="143"/>
      <c r="U61" s="143"/>
      <c r="V61" s="325"/>
      <c r="W61" s="393">
        <f t="shared" si="0"/>
        <v>0</v>
      </c>
      <c r="X61" s="393">
        <f t="shared" si="1"/>
        <v>0</v>
      </c>
      <c r="Y61" s="393">
        <f t="shared" si="2"/>
        <v>0</v>
      </c>
      <c r="Z61" s="393">
        <f t="shared" si="3"/>
        <v>0</v>
      </c>
      <c r="AA61" s="393">
        <f t="shared" si="4"/>
        <v>0</v>
      </c>
      <c r="AB61" s="393" t="e">
        <f t="shared" si="6"/>
        <v>#DIV/0!</v>
      </c>
      <c r="AC61" s="486" t="e">
        <f t="shared" si="5"/>
        <v>#DIV/0!</v>
      </c>
      <c r="AD61" s="11"/>
      <c r="AE61" s="301" t="str">
        <f>AF61&amp;TM[[#This Row],[Insurer Code]]&amp;"; "&amp;AG61&amp;TM[[#This Row],[Reporting Year]]&amp;"; "&amp;AH61&amp;TM[[#This Row],[Insurance Category Code]]&amp;"; "&amp;AI61&amp;TM[[#This Row],[Large Provider Entity Code]]</f>
        <v xml:space="preserve">Insurer Code ; Reporting Year ; Insurance Category Code ; Large Provider Entity Code </v>
      </c>
      <c r="AF61" s="297" t="s">
        <v>197</v>
      </c>
      <c r="AG61" s="297" t="s">
        <v>198</v>
      </c>
      <c r="AH61" s="297" t="s">
        <v>199</v>
      </c>
      <c r="AI61" s="297" t="s">
        <v>200</v>
      </c>
      <c r="AJ61" s="297"/>
      <c r="AK61" s="297"/>
      <c r="AL61" s="297"/>
      <c r="AM61" s="11"/>
      <c r="AN61" s="11"/>
      <c r="AO61" s="11"/>
    </row>
    <row r="62" spans="1:41" x14ac:dyDescent="0.4">
      <c r="A62" s="291"/>
      <c r="B62" s="292"/>
      <c r="C62" s="312"/>
      <c r="D62"/>
      <c r="E62" s="325"/>
      <c r="F62" s="143"/>
      <c r="G62" s="143"/>
      <c r="H62" s="143"/>
      <c r="I62" s="143"/>
      <c r="J62" s="143"/>
      <c r="K62" s="143"/>
      <c r="L62" s="143"/>
      <c r="M62" s="143"/>
      <c r="N62" s="143"/>
      <c r="O62" s="143"/>
      <c r="P62" s="143"/>
      <c r="Q62" s="143"/>
      <c r="R62" s="143"/>
      <c r="S62" s="143"/>
      <c r="T62" s="143"/>
      <c r="U62" s="143"/>
      <c r="V62" s="325"/>
      <c r="W62" s="393">
        <f t="shared" si="0"/>
        <v>0</v>
      </c>
      <c r="X62" s="393">
        <f t="shared" si="1"/>
        <v>0</v>
      </c>
      <c r="Y62" s="393">
        <f t="shared" si="2"/>
        <v>0</v>
      </c>
      <c r="Z62" s="393">
        <f t="shared" si="3"/>
        <v>0</v>
      </c>
      <c r="AA62" s="393">
        <f t="shared" si="4"/>
        <v>0</v>
      </c>
      <c r="AB62" s="393" t="e">
        <f t="shared" si="6"/>
        <v>#DIV/0!</v>
      </c>
      <c r="AC62" s="486" t="e">
        <f t="shared" si="5"/>
        <v>#DIV/0!</v>
      </c>
      <c r="AD62" s="11"/>
      <c r="AE62" s="301" t="str">
        <f>AF62&amp;TM[[#This Row],[Insurer Code]]&amp;"; "&amp;AG62&amp;TM[[#This Row],[Reporting Year]]&amp;"; "&amp;AH62&amp;TM[[#This Row],[Insurance Category Code]]&amp;"; "&amp;AI62&amp;TM[[#This Row],[Large Provider Entity Code]]</f>
        <v xml:space="preserve">Insurer Code ; Reporting Year ; Insurance Category Code ; Large Provider Entity Code </v>
      </c>
      <c r="AF62" s="297" t="s">
        <v>197</v>
      </c>
      <c r="AG62" s="297" t="s">
        <v>198</v>
      </c>
      <c r="AH62" s="297" t="s">
        <v>199</v>
      </c>
      <c r="AI62" s="297" t="s">
        <v>200</v>
      </c>
      <c r="AJ62" s="297"/>
      <c r="AK62" s="297"/>
      <c r="AL62" s="297"/>
      <c r="AM62" s="11"/>
      <c r="AN62" s="11"/>
      <c r="AO62" s="11"/>
    </row>
    <row r="63" spans="1:41" x14ac:dyDescent="0.4">
      <c r="A63" s="291"/>
      <c r="B63" s="292"/>
      <c r="C63" s="312"/>
      <c r="D63"/>
      <c r="E63" s="325"/>
      <c r="F63" s="143"/>
      <c r="G63" s="143"/>
      <c r="H63" s="143"/>
      <c r="I63" s="143"/>
      <c r="J63" s="143"/>
      <c r="K63" s="143"/>
      <c r="L63" s="143"/>
      <c r="M63" s="143"/>
      <c r="N63" s="143"/>
      <c r="O63" s="143"/>
      <c r="P63" s="143"/>
      <c r="Q63" s="143"/>
      <c r="R63" s="143"/>
      <c r="S63" s="143"/>
      <c r="T63" s="143"/>
      <c r="U63" s="143"/>
      <c r="V63" s="325"/>
      <c r="W63" s="393">
        <f t="shared" si="0"/>
        <v>0</v>
      </c>
      <c r="X63" s="393">
        <f t="shared" si="1"/>
        <v>0</v>
      </c>
      <c r="Y63" s="393">
        <f t="shared" si="2"/>
        <v>0</v>
      </c>
      <c r="Z63" s="393">
        <f t="shared" si="3"/>
        <v>0</v>
      </c>
      <c r="AA63" s="393">
        <f t="shared" si="4"/>
        <v>0</v>
      </c>
      <c r="AB63" s="393" t="e">
        <f t="shared" si="6"/>
        <v>#DIV/0!</v>
      </c>
      <c r="AC63" s="486" t="e">
        <f t="shared" si="5"/>
        <v>#DIV/0!</v>
      </c>
      <c r="AD63" s="11"/>
      <c r="AE63" s="301" t="str">
        <f>AF63&amp;TM[[#This Row],[Insurer Code]]&amp;"; "&amp;AG63&amp;TM[[#This Row],[Reporting Year]]&amp;"; "&amp;AH63&amp;TM[[#This Row],[Insurance Category Code]]&amp;"; "&amp;AI63&amp;TM[[#This Row],[Large Provider Entity Code]]</f>
        <v xml:space="preserve">Insurer Code ; Reporting Year ; Insurance Category Code ; Large Provider Entity Code </v>
      </c>
      <c r="AF63" s="297" t="s">
        <v>197</v>
      </c>
      <c r="AG63" s="297" t="s">
        <v>198</v>
      </c>
      <c r="AH63" s="297" t="s">
        <v>199</v>
      </c>
      <c r="AI63" s="297" t="s">
        <v>200</v>
      </c>
      <c r="AJ63" s="297"/>
      <c r="AK63" s="297"/>
      <c r="AL63" s="297"/>
      <c r="AM63" s="11"/>
      <c r="AN63" s="11"/>
      <c r="AO63" s="11"/>
    </row>
    <row r="64" spans="1:41" x14ac:dyDescent="0.4">
      <c r="A64" s="291"/>
      <c r="B64" s="292"/>
      <c r="C64" s="312"/>
      <c r="D64"/>
      <c r="E64" s="325"/>
      <c r="F64" s="143"/>
      <c r="G64" s="143"/>
      <c r="H64" s="143"/>
      <c r="I64" s="143"/>
      <c r="J64" s="143"/>
      <c r="K64" s="143"/>
      <c r="L64" s="143"/>
      <c r="M64" s="143"/>
      <c r="N64" s="143"/>
      <c r="O64" s="143"/>
      <c r="P64" s="143"/>
      <c r="Q64" s="143"/>
      <c r="R64" s="143"/>
      <c r="S64" s="143"/>
      <c r="T64" s="143"/>
      <c r="U64" s="143"/>
      <c r="V64" s="325"/>
      <c r="W64" s="393">
        <f t="shared" si="0"/>
        <v>0</v>
      </c>
      <c r="X64" s="393">
        <f t="shared" si="1"/>
        <v>0</v>
      </c>
      <c r="Y64" s="393">
        <f t="shared" si="2"/>
        <v>0</v>
      </c>
      <c r="Z64" s="393">
        <f t="shared" si="3"/>
        <v>0</v>
      </c>
      <c r="AA64" s="393">
        <f t="shared" si="4"/>
        <v>0</v>
      </c>
      <c r="AB64" s="393" t="e">
        <f t="shared" si="6"/>
        <v>#DIV/0!</v>
      </c>
      <c r="AC64" s="486" t="e">
        <f t="shared" si="5"/>
        <v>#DIV/0!</v>
      </c>
      <c r="AD64" s="11"/>
      <c r="AE64" s="301" t="str">
        <f>AF64&amp;TM[[#This Row],[Insurer Code]]&amp;"; "&amp;AG64&amp;TM[[#This Row],[Reporting Year]]&amp;"; "&amp;AH64&amp;TM[[#This Row],[Insurance Category Code]]&amp;"; "&amp;AI64&amp;TM[[#This Row],[Large Provider Entity Code]]</f>
        <v xml:space="preserve">Insurer Code ; Reporting Year ; Insurance Category Code ; Large Provider Entity Code </v>
      </c>
      <c r="AF64" s="297" t="s">
        <v>197</v>
      </c>
      <c r="AG64" s="297" t="s">
        <v>198</v>
      </c>
      <c r="AH64" s="297" t="s">
        <v>199</v>
      </c>
      <c r="AI64" s="297" t="s">
        <v>200</v>
      </c>
      <c r="AJ64" s="297"/>
      <c r="AK64" s="297"/>
      <c r="AL64" s="297"/>
      <c r="AM64" s="11"/>
      <c r="AN64" s="11"/>
      <c r="AO64" s="11"/>
    </row>
    <row r="65" spans="1:41" x14ac:dyDescent="0.4">
      <c r="A65" s="291"/>
      <c r="B65" s="292"/>
      <c r="C65" s="312"/>
      <c r="D65"/>
      <c r="E65" s="325"/>
      <c r="F65" s="143"/>
      <c r="G65" s="143"/>
      <c r="H65" s="143"/>
      <c r="I65" s="143"/>
      <c r="J65" s="143"/>
      <c r="K65" s="143"/>
      <c r="L65" s="143"/>
      <c r="M65" s="143"/>
      <c r="N65" s="143"/>
      <c r="O65" s="143"/>
      <c r="P65" s="143"/>
      <c r="Q65" s="143"/>
      <c r="R65" s="143"/>
      <c r="S65" s="143"/>
      <c r="T65" s="143"/>
      <c r="U65" s="143"/>
      <c r="V65" s="325"/>
      <c r="W65" s="393">
        <f t="shared" si="0"/>
        <v>0</v>
      </c>
      <c r="X65" s="393">
        <f t="shared" si="1"/>
        <v>0</v>
      </c>
      <c r="Y65" s="393">
        <f t="shared" si="2"/>
        <v>0</v>
      </c>
      <c r="Z65" s="393">
        <f t="shared" si="3"/>
        <v>0</v>
      </c>
      <c r="AA65" s="393">
        <f t="shared" si="4"/>
        <v>0</v>
      </c>
      <c r="AB65" s="393" t="e">
        <f t="shared" si="6"/>
        <v>#DIV/0!</v>
      </c>
      <c r="AC65" s="486" t="e">
        <f t="shared" si="5"/>
        <v>#DIV/0!</v>
      </c>
      <c r="AD65" s="11"/>
      <c r="AE65" s="301" t="str">
        <f>AF65&amp;TM[[#This Row],[Insurer Code]]&amp;"; "&amp;AG65&amp;TM[[#This Row],[Reporting Year]]&amp;"; "&amp;AH65&amp;TM[[#This Row],[Insurance Category Code]]&amp;"; "&amp;AI65&amp;TM[[#This Row],[Large Provider Entity Code]]</f>
        <v xml:space="preserve">Insurer Code ; Reporting Year ; Insurance Category Code ; Large Provider Entity Code </v>
      </c>
      <c r="AF65" s="297" t="s">
        <v>197</v>
      </c>
      <c r="AG65" s="297" t="s">
        <v>198</v>
      </c>
      <c r="AH65" s="297" t="s">
        <v>199</v>
      </c>
      <c r="AI65" s="297" t="s">
        <v>200</v>
      </c>
      <c r="AJ65" s="297"/>
      <c r="AK65" s="297"/>
      <c r="AL65" s="297"/>
      <c r="AM65" s="11"/>
      <c r="AN65" s="11"/>
      <c r="AO65" s="11"/>
    </row>
    <row r="66" spans="1:41" x14ac:dyDescent="0.4">
      <c r="A66" s="291"/>
      <c r="B66" s="292"/>
      <c r="C66" s="312"/>
      <c r="D66"/>
      <c r="E66" s="325"/>
      <c r="F66" s="143"/>
      <c r="G66" s="143"/>
      <c r="H66" s="143"/>
      <c r="I66" s="143"/>
      <c r="J66" s="143"/>
      <c r="K66" s="143"/>
      <c r="L66" s="143"/>
      <c r="M66" s="143"/>
      <c r="N66" s="143"/>
      <c r="O66" s="143"/>
      <c r="P66" s="143"/>
      <c r="Q66" s="143"/>
      <c r="R66" s="143"/>
      <c r="S66" s="143"/>
      <c r="T66" s="143"/>
      <c r="U66" s="143"/>
      <c r="V66" s="325"/>
      <c r="W66" s="393">
        <f t="shared" si="0"/>
        <v>0</v>
      </c>
      <c r="X66" s="393">
        <f t="shared" si="1"/>
        <v>0</v>
      </c>
      <c r="Y66" s="393">
        <f t="shared" si="2"/>
        <v>0</v>
      </c>
      <c r="Z66" s="393">
        <f t="shared" si="3"/>
        <v>0</v>
      </c>
      <c r="AA66" s="393">
        <f t="shared" si="4"/>
        <v>0</v>
      </c>
      <c r="AB66" s="393" t="e">
        <f t="shared" si="6"/>
        <v>#DIV/0!</v>
      </c>
      <c r="AC66" s="486" t="e">
        <f t="shared" si="5"/>
        <v>#DIV/0!</v>
      </c>
      <c r="AD66" s="11"/>
      <c r="AE66" s="301" t="str">
        <f>AF66&amp;TM[[#This Row],[Insurer Code]]&amp;"; "&amp;AG66&amp;TM[[#This Row],[Reporting Year]]&amp;"; "&amp;AH66&amp;TM[[#This Row],[Insurance Category Code]]&amp;"; "&amp;AI66&amp;TM[[#This Row],[Large Provider Entity Code]]</f>
        <v xml:space="preserve">Insurer Code ; Reporting Year ; Insurance Category Code ; Large Provider Entity Code </v>
      </c>
      <c r="AF66" s="297" t="s">
        <v>197</v>
      </c>
      <c r="AG66" s="297" t="s">
        <v>198</v>
      </c>
      <c r="AH66" s="297" t="s">
        <v>199</v>
      </c>
      <c r="AI66" s="297" t="s">
        <v>200</v>
      </c>
      <c r="AJ66" s="297"/>
      <c r="AK66" s="297"/>
      <c r="AL66" s="297"/>
      <c r="AM66" s="11"/>
      <c r="AN66" s="11"/>
      <c r="AO66" s="11"/>
    </row>
    <row r="67" spans="1:41" x14ac:dyDescent="0.4">
      <c r="A67" s="291"/>
      <c r="B67" s="292"/>
      <c r="C67" s="312"/>
      <c r="D67"/>
      <c r="E67" s="325"/>
      <c r="F67" s="143"/>
      <c r="G67" s="143"/>
      <c r="H67" s="143"/>
      <c r="I67" s="143"/>
      <c r="J67" s="143"/>
      <c r="K67" s="143"/>
      <c r="L67" s="143"/>
      <c r="M67" s="143"/>
      <c r="N67" s="143"/>
      <c r="O67" s="143"/>
      <c r="P67" s="143"/>
      <c r="Q67" s="143"/>
      <c r="R67" s="143"/>
      <c r="S67" s="143"/>
      <c r="T67" s="143"/>
      <c r="U67" s="143"/>
      <c r="V67" s="325"/>
      <c r="W67" s="393">
        <f t="shared" si="0"/>
        <v>0</v>
      </c>
      <c r="X67" s="393">
        <f t="shared" si="1"/>
        <v>0</v>
      </c>
      <c r="Y67" s="393">
        <f t="shared" si="2"/>
        <v>0</v>
      </c>
      <c r="Z67" s="393">
        <f t="shared" si="3"/>
        <v>0</v>
      </c>
      <c r="AA67" s="393">
        <f t="shared" si="4"/>
        <v>0</v>
      </c>
      <c r="AB67" s="393" t="e">
        <f t="shared" si="6"/>
        <v>#DIV/0!</v>
      </c>
      <c r="AC67" s="486" t="e">
        <f t="shared" si="5"/>
        <v>#DIV/0!</v>
      </c>
      <c r="AD67" s="11"/>
      <c r="AE67" s="301" t="str">
        <f>AF67&amp;TM[[#This Row],[Insurer Code]]&amp;"; "&amp;AG67&amp;TM[[#This Row],[Reporting Year]]&amp;"; "&amp;AH67&amp;TM[[#This Row],[Insurance Category Code]]&amp;"; "&amp;AI67&amp;TM[[#This Row],[Large Provider Entity Code]]</f>
        <v xml:space="preserve">Insurer Code ; Reporting Year ; Insurance Category Code ; Large Provider Entity Code </v>
      </c>
      <c r="AF67" s="297" t="s">
        <v>197</v>
      </c>
      <c r="AG67" s="297" t="s">
        <v>198</v>
      </c>
      <c r="AH67" s="297" t="s">
        <v>199</v>
      </c>
      <c r="AI67" s="297" t="s">
        <v>200</v>
      </c>
      <c r="AJ67" s="297"/>
      <c r="AK67" s="297"/>
      <c r="AL67" s="297"/>
      <c r="AM67" s="11"/>
      <c r="AN67" s="11"/>
      <c r="AO67" s="11"/>
    </row>
    <row r="68" spans="1:41" x14ac:dyDescent="0.4">
      <c r="A68" s="291"/>
      <c r="B68" s="292"/>
      <c r="C68" s="312"/>
      <c r="D68"/>
      <c r="E68" s="325"/>
      <c r="F68" s="143"/>
      <c r="G68" s="143"/>
      <c r="H68" s="143"/>
      <c r="I68" s="143"/>
      <c r="J68" s="143"/>
      <c r="K68" s="143"/>
      <c r="L68" s="143"/>
      <c r="M68" s="143"/>
      <c r="N68" s="143"/>
      <c r="O68" s="143"/>
      <c r="P68" s="143"/>
      <c r="Q68" s="143"/>
      <c r="R68" s="143"/>
      <c r="S68" s="143"/>
      <c r="T68" s="143"/>
      <c r="U68" s="143"/>
      <c r="V68" s="325"/>
      <c r="W68" s="393">
        <f t="shared" si="0"/>
        <v>0</v>
      </c>
      <c r="X68" s="393">
        <f t="shared" si="1"/>
        <v>0</v>
      </c>
      <c r="Y68" s="393">
        <f t="shared" si="2"/>
        <v>0</v>
      </c>
      <c r="Z68" s="393">
        <f t="shared" si="3"/>
        <v>0</v>
      </c>
      <c r="AA68" s="393">
        <f t="shared" si="4"/>
        <v>0</v>
      </c>
      <c r="AB68" s="393" t="e">
        <f t="shared" si="6"/>
        <v>#DIV/0!</v>
      </c>
      <c r="AC68" s="486" t="e">
        <f t="shared" si="5"/>
        <v>#DIV/0!</v>
      </c>
      <c r="AD68" s="11"/>
      <c r="AE68" s="301" t="str">
        <f>AF68&amp;TM[[#This Row],[Insurer Code]]&amp;"; "&amp;AG68&amp;TM[[#This Row],[Reporting Year]]&amp;"; "&amp;AH68&amp;TM[[#This Row],[Insurance Category Code]]&amp;"; "&amp;AI68&amp;TM[[#This Row],[Large Provider Entity Code]]</f>
        <v xml:space="preserve">Insurer Code ; Reporting Year ; Insurance Category Code ; Large Provider Entity Code </v>
      </c>
      <c r="AF68" s="297" t="s">
        <v>197</v>
      </c>
      <c r="AG68" s="297" t="s">
        <v>198</v>
      </c>
      <c r="AH68" s="297" t="s">
        <v>199</v>
      </c>
      <c r="AI68" s="297" t="s">
        <v>200</v>
      </c>
      <c r="AJ68" s="297"/>
      <c r="AK68" s="297"/>
      <c r="AL68" s="297"/>
      <c r="AM68" s="11"/>
      <c r="AN68" s="11"/>
      <c r="AO68" s="11"/>
    </row>
    <row r="69" spans="1:41" x14ac:dyDescent="0.4">
      <c r="A69" s="291"/>
      <c r="B69" s="292"/>
      <c r="C69" s="312"/>
      <c r="D69"/>
      <c r="E69" s="325"/>
      <c r="F69" s="143"/>
      <c r="G69" s="143"/>
      <c r="H69" s="143"/>
      <c r="I69" s="143"/>
      <c r="J69" s="143"/>
      <c r="K69" s="143"/>
      <c r="L69" s="143"/>
      <c r="M69" s="143"/>
      <c r="N69" s="143"/>
      <c r="O69" s="143"/>
      <c r="P69" s="143"/>
      <c r="Q69" s="143"/>
      <c r="R69" s="143"/>
      <c r="S69" s="143"/>
      <c r="T69" s="143"/>
      <c r="U69" s="143"/>
      <c r="V69" s="325"/>
      <c r="W69" s="393">
        <f t="shared" si="0"/>
        <v>0</v>
      </c>
      <c r="X69" s="393">
        <f t="shared" si="1"/>
        <v>0</v>
      </c>
      <c r="Y69" s="393">
        <f t="shared" si="2"/>
        <v>0</v>
      </c>
      <c r="Z69" s="393">
        <f t="shared" si="3"/>
        <v>0</v>
      </c>
      <c r="AA69" s="393">
        <f t="shared" si="4"/>
        <v>0</v>
      </c>
      <c r="AB69" s="393" t="e">
        <f t="shared" si="6"/>
        <v>#DIV/0!</v>
      </c>
      <c r="AC69" s="486" t="e">
        <f t="shared" si="5"/>
        <v>#DIV/0!</v>
      </c>
      <c r="AD69" s="11"/>
      <c r="AE69" s="301" t="str">
        <f>AF69&amp;TM[[#This Row],[Insurer Code]]&amp;"; "&amp;AG69&amp;TM[[#This Row],[Reporting Year]]&amp;"; "&amp;AH69&amp;TM[[#This Row],[Insurance Category Code]]&amp;"; "&amp;AI69&amp;TM[[#This Row],[Large Provider Entity Code]]</f>
        <v xml:space="preserve">Insurer Code ; Reporting Year ; Insurance Category Code ; Large Provider Entity Code </v>
      </c>
      <c r="AF69" s="297" t="s">
        <v>197</v>
      </c>
      <c r="AG69" s="297" t="s">
        <v>198</v>
      </c>
      <c r="AH69" s="297" t="s">
        <v>199</v>
      </c>
      <c r="AI69" s="297" t="s">
        <v>200</v>
      </c>
      <c r="AJ69" s="297"/>
      <c r="AK69" s="297"/>
      <c r="AL69" s="297"/>
      <c r="AM69" s="11"/>
      <c r="AN69" s="11"/>
      <c r="AO69" s="11"/>
    </row>
    <row r="70" spans="1:41" x14ac:dyDescent="0.4">
      <c r="A70" s="291"/>
      <c r="B70" s="292"/>
      <c r="C70" s="312"/>
      <c r="D70"/>
      <c r="E70" s="325"/>
      <c r="F70" s="143"/>
      <c r="G70" s="143"/>
      <c r="H70" s="143"/>
      <c r="I70" s="143"/>
      <c r="J70" s="143"/>
      <c r="K70" s="143"/>
      <c r="L70" s="143"/>
      <c r="M70" s="143"/>
      <c r="N70" s="143"/>
      <c r="O70" s="143"/>
      <c r="P70" s="143"/>
      <c r="Q70" s="143"/>
      <c r="R70" s="143"/>
      <c r="S70" s="143"/>
      <c r="T70" s="143"/>
      <c r="U70" s="143"/>
      <c r="V70" s="325"/>
      <c r="W70" s="393">
        <f t="shared" si="0"/>
        <v>0</v>
      </c>
      <c r="X70" s="393">
        <f t="shared" si="1"/>
        <v>0</v>
      </c>
      <c r="Y70" s="393">
        <f t="shared" si="2"/>
        <v>0</v>
      </c>
      <c r="Z70" s="393">
        <f t="shared" si="3"/>
        <v>0</v>
      </c>
      <c r="AA70" s="393">
        <f t="shared" si="4"/>
        <v>0</v>
      </c>
      <c r="AB70" s="393" t="e">
        <f t="shared" si="6"/>
        <v>#DIV/0!</v>
      </c>
      <c r="AC70" s="486" t="e">
        <f t="shared" si="5"/>
        <v>#DIV/0!</v>
      </c>
      <c r="AD70" s="11"/>
      <c r="AE70" s="301" t="str">
        <f>AF70&amp;TM[[#This Row],[Insurer Code]]&amp;"; "&amp;AG70&amp;TM[[#This Row],[Reporting Year]]&amp;"; "&amp;AH70&amp;TM[[#This Row],[Insurance Category Code]]&amp;"; "&amp;AI70&amp;TM[[#This Row],[Large Provider Entity Code]]</f>
        <v xml:space="preserve">Insurer Code ; Reporting Year ; Insurance Category Code ; Large Provider Entity Code </v>
      </c>
      <c r="AF70" s="297" t="s">
        <v>197</v>
      </c>
      <c r="AG70" s="297" t="s">
        <v>198</v>
      </c>
      <c r="AH70" s="297" t="s">
        <v>199</v>
      </c>
      <c r="AI70" s="297" t="s">
        <v>200</v>
      </c>
      <c r="AJ70" s="297"/>
      <c r="AK70" s="297"/>
      <c r="AL70" s="297"/>
      <c r="AM70" s="11"/>
      <c r="AN70" s="11"/>
      <c r="AO70" s="11"/>
    </row>
    <row r="71" spans="1:41" x14ac:dyDescent="0.4">
      <c r="A71" s="291"/>
      <c r="B71" s="292"/>
      <c r="C71" s="312"/>
      <c r="D71"/>
      <c r="E71" s="325"/>
      <c r="F71" s="143"/>
      <c r="G71" s="143"/>
      <c r="H71" s="143"/>
      <c r="I71" s="143"/>
      <c r="J71" s="143"/>
      <c r="K71" s="143"/>
      <c r="L71" s="143"/>
      <c r="M71" s="143"/>
      <c r="N71" s="143"/>
      <c r="O71" s="143"/>
      <c r="P71" s="143"/>
      <c r="Q71" s="143"/>
      <c r="R71" s="143"/>
      <c r="S71" s="143"/>
      <c r="T71" s="143"/>
      <c r="U71" s="143"/>
      <c r="V71" s="325"/>
      <c r="W71" s="393">
        <f t="shared" si="0"/>
        <v>0</v>
      </c>
      <c r="X71" s="393">
        <f t="shared" si="1"/>
        <v>0</v>
      </c>
      <c r="Y71" s="393">
        <f t="shared" si="2"/>
        <v>0</v>
      </c>
      <c r="Z71" s="393">
        <f t="shared" si="3"/>
        <v>0</v>
      </c>
      <c r="AA71" s="393">
        <f t="shared" si="4"/>
        <v>0</v>
      </c>
      <c r="AB71" s="393" t="e">
        <f t="shared" si="6"/>
        <v>#DIV/0!</v>
      </c>
      <c r="AC71" s="486" t="e">
        <f t="shared" si="5"/>
        <v>#DIV/0!</v>
      </c>
      <c r="AD71" s="11"/>
      <c r="AE71" s="301" t="str">
        <f>AF71&amp;TM[[#This Row],[Insurer Code]]&amp;"; "&amp;AG71&amp;TM[[#This Row],[Reporting Year]]&amp;"; "&amp;AH71&amp;TM[[#This Row],[Insurance Category Code]]&amp;"; "&amp;AI71&amp;TM[[#This Row],[Large Provider Entity Code]]</f>
        <v xml:space="preserve">Insurer Code ; Reporting Year ; Insurance Category Code ; Large Provider Entity Code </v>
      </c>
      <c r="AF71" s="297" t="s">
        <v>197</v>
      </c>
      <c r="AG71" s="297" t="s">
        <v>198</v>
      </c>
      <c r="AH71" s="297" t="s">
        <v>199</v>
      </c>
      <c r="AI71" s="297" t="s">
        <v>200</v>
      </c>
      <c r="AJ71" s="297"/>
      <c r="AK71" s="297"/>
      <c r="AL71" s="297"/>
      <c r="AM71" s="11"/>
      <c r="AN71" s="11"/>
      <c r="AO71" s="11"/>
    </row>
    <row r="72" spans="1:41" x14ac:dyDescent="0.4">
      <c r="A72" s="291"/>
      <c r="B72" s="292"/>
      <c r="C72" s="312"/>
      <c r="D72"/>
      <c r="E72" s="325"/>
      <c r="F72" s="143"/>
      <c r="G72" s="143"/>
      <c r="H72" s="143"/>
      <c r="I72" s="143"/>
      <c r="J72" s="143"/>
      <c r="K72" s="143"/>
      <c r="L72" s="143"/>
      <c r="M72" s="143"/>
      <c r="N72" s="143"/>
      <c r="O72" s="143"/>
      <c r="P72" s="143"/>
      <c r="Q72" s="143"/>
      <c r="R72" s="143"/>
      <c r="S72" s="143"/>
      <c r="T72" s="143"/>
      <c r="U72" s="143"/>
      <c r="V72" s="325"/>
      <c r="W72" s="393">
        <f t="shared" si="0"/>
        <v>0</v>
      </c>
      <c r="X72" s="393">
        <f t="shared" si="1"/>
        <v>0</v>
      </c>
      <c r="Y72" s="393">
        <f t="shared" si="2"/>
        <v>0</v>
      </c>
      <c r="Z72" s="393">
        <f t="shared" si="3"/>
        <v>0</v>
      </c>
      <c r="AA72" s="393">
        <f t="shared" si="4"/>
        <v>0</v>
      </c>
      <c r="AB72" s="393" t="e">
        <f t="shared" si="6"/>
        <v>#DIV/0!</v>
      </c>
      <c r="AC72" s="486" t="e">
        <f t="shared" si="5"/>
        <v>#DIV/0!</v>
      </c>
      <c r="AD72" s="11"/>
      <c r="AE72" s="301" t="str">
        <f>AF72&amp;TM[[#This Row],[Insurer Code]]&amp;"; "&amp;AG72&amp;TM[[#This Row],[Reporting Year]]&amp;"; "&amp;AH72&amp;TM[[#This Row],[Insurance Category Code]]&amp;"; "&amp;AI72&amp;TM[[#This Row],[Large Provider Entity Code]]</f>
        <v xml:space="preserve">Insurer Code ; Reporting Year ; Insurance Category Code ; Large Provider Entity Code </v>
      </c>
      <c r="AF72" s="297" t="s">
        <v>197</v>
      </c>
      <c r="AG72" s="297" t="s">
        <v>198</v>
      </c>
      <c r="AH72" s="297" t="s">
        <v>199</v>
      </c>
      <c r="AI72" s="297" t="s">
        <v>200</v>
      </c>
      <c r="AJ72" s="297"/>
      <c r="AK72" s="297"/>
      <c r="AL72" s="297"/>
      <c r="AM72" s="11"/>
      <c r="AN72" s="11"/>
      <c r="AO72" s="11"/>
    </row>
    <row r="73" spans="1:41" x14ac:dyDescent="0.4">
      <c r="A73" s="291"/>
      <c r="B73" s="292"/>
      <c r="C73" s="312"/>
      <c r="D73"/>
      <c r="E73" s="325"/>
      <c r="F73" s="143"/>
      <c r="G73" s="143"/>
      <c r="H73" s="143"/>
      <c r="I73" s="143"/>
      <c r="J73" s="143"/>
      <c r="K73" s="143"/>
      <c r="L73" s="143"/>
      <c r="M73" s="143"/>
      <c r="N73" s="143"/>
      <c r="O73" s="143"/>
      <c r="P73" s="143"/>
      <c r="Q73" s="143"/>
      <c r="R73" s="143"/>
      <c r="S73" s="143"/>
      <c r="T73" s="143"/>
      <c r="U73" s="143"/>
      <c r="V73" s="325"/>
      <c r="W73" s="393">
        <f t="shared" si="0"/>
        <v>0</v>
      </c>
      <c r="X73" s="393">
        <f t="shared" si="1"/>
        <v>0</v>
      </c>
      <c r="Y73" s="393">
        <f t="shared" si="2"/>
        <v>0</v>
      </c>
      <c r="Z73" s="393">
        <f t="shared" si="3"/>
        <v>0</v>
      </c>
      <c r="AA73" s="393">
        <f t="shared" si="4"/>
        <v>0</v>
      </c>
      <c r="AB73" s="393" t="e">
        <f t="shared" si="6"/>
        <v>#DIV/0!</v>
      </c>
      <c r="AC73" s="486" t="e">
        <f t="shared" si="5"/>
        <v>#DIV/0!</v>
      </c>
      <c r="AD73" s="11"/>
      <c r="AE73" s="301" t="str">
        <f>AF73&amp;TM[[#This Row],[Insurer Code]]&amp;"; "&amp;AG73&amp;TM[[#This Row],[Reporting Year]]&amp;"; "&amp;AH73&amp;TM[[#This Row],[Insurance Category Code]]&amp;"; "&amp;AI73&amp;TM[[#This Row],[Large Provider Entity Code]]</f>
        <v xml:space="preserve">Insurer Code ; Reporting Year ; Insurance Category Code ; Large Provider Entity Code </v>
      </c>
      <c r="AF73" s="297" t="s">
        <v>197</v>
      </c>
      <c r="AG73" s="297" t="s">
        <v>198</v>
      </c>
      <c r="AH73" s="297" t="s">
        <v>199</v>
      </c>
      <c r="AI73" s="297" t="s">
        <v>200</v>
      </c>
      <c r="AJ73" s="297"/>
      <c r="AK73" s="297"/>
      <c r="AL73" s="297"/>
      <c r="AM73" s="11"/>
      <c r="AN73" s="11"/>
      <c r="AO73" s="11"/>
    </row>
    <row r="74" spans="1:41" x14ac:dyDescent="0.4">
      <c r="A74" s="291"/>
      <c r="B74" s="292"/>
      <c r="C74" s="312"/>
      <c r="D74"/>
      <c r="E74" s="325"/>
      <c r="F74" s="143"/>
      <c r="G74" s="143"/>
      <c r="H74" s="143"/>
      <c r="I74" s="143"/>
      <c r="J74" s="143"/>
      <c r="K74" s="143"/>
      <c r="L74" s="143"/>
      <c r="M74" s="143"/>
      <c r="N74" s="143"/>
      <c r="O74" s="143"/>
      <c r="P74" s="143"/>
      <c r="Q74" s="143"/>
      <c r="R74" s="143"/>
      <c r="S74" s="143"/>
      <c r="T74" s="143"/>
      <c r="U74" s="143"/>
      <c r="V74" s="325"/>
      <c r="W74" s="393">
        <f t="shared" si="0"/>
        <v>0</v>
      </c>
      <c r="X74" s="393">
        <f t="shared" si="1"/>
        <v>0</v>
      </c>
      <c r="Y74" s="393">
        <f t="shared" si="2"/>
        <v>0</v>
      </c>
      <c r="Z74" s="393">
        <f t="shared" si="3"/>
        <v>0</v>
      </c>
      <c r="AA74" s="393">
        <f t="shared" si="4"/>
        <v>0</v>
      </c>
      <c r="AB74" s="393" t="e">
        <f t="shared" si="6"/>
        <v>#DIV/0!</v>
      </c>
      <c r="AC74" s="486" t="e">
        <f t="shared" si="5"/>
        <v>#DIV/0!</v>
      </c>
      <c r="AD74" s="11"/>
      <c r="AE74" s="301" t="str">
        <f>AF74&amp;TM[[#This Row],[Insurer Code]]&amp;"; "&amp;AG74&amp;TM[[#This Row],[Reporting Year]]&amp;"; "&amp;AH74&amp;TM[[#This Row],[Insurance Category Code]]&amp;"; "&amp;AI74&amp;TM[[#This Row],[Large Provider Entity Code]]</f>
        <v xml:space="preserve">Insurer Code ; Reporting Year ; Insurance Category Code ; Large Provider Entity Code </v>
      </c>
      <c r="AF74" s="297" t="s">
        <v>197</v>
      </c>
      <c r="AG74" s="297" t="s">
        <v>198</v>
      </c>
      <c r="AH74" s="297" t="s">
        <v>199</v>
      </c>
      <c r="AI74" s="297" t="s">
        <v>200</v>
      </c>
      <c r="AJ74" s="297"/>
      <c r="AK74" s="297"/>
      <c r="AL74" s="297"/>
      <c r="AM74" s="11"/>
      <c r="AN74" s="11"/>
      <c r="AO74" s="11"/>
    </row>
    <row r="75" spans="1:41" x14ac:dyDescent="0.4">
      <c r="A75" s="291"/>
      <c r="B75" s="292"/>
      <c r="C75" s="312"/>
      <c r="D75"/>
      <c r="E75" s="325"/>
      <c r="F75" s="143"/>
      <c r="G75" s="143"/>
      <c r="H75" s="143"/>
      <c r="I75" s="143"/>
      <c r="J75" s="143"/>
      <c r="K75" s="143"/>
      <c r="L75" s="143"/>
      <c r="M75" s="143"/>
      <c r="N75" s="143"/>
      <c r="O75" s="143"/>
      <c r="P75" s="143"/>
      <c r="Q75" s="143"/>
      <c r="R75" s="143"/>
      <c r="S75" s="143"/>
      <c r="T75" s="143"/>
      <c r="U75" s="143"/>
      <c r="V75" s="325"/>
      <c r="W75" s="393">
        <f t="shared" si="0"/>
        <v>0</v>
      </c>
      <c r="X75" s="393">
        <f t="shared" si="1"/>
        <v>0</v>
      </c>
      <c r="Y75" s="393">
        <f t="shared" si="2"/>
        <v>0</v>
      </c>
      <c r="Z75" s="393">
        <f t="shared" si="3"/>
        <v>0</v>
      </c>
      <c r="AA75" s="393">
        <f t="shared" si="4"/>
        <v>0</v>
      </c>
      <c r="AB75" s="393" t="e">
        <f t="shared" si="6"/>
        <v>#DIV/0!</v>
      </c>
      <c r="AC75" s="486" t="e">
        <f t="shared" si="5"/>
        <v>#DIV/0!</v>
      </c>
      <c r="AD75" s="11"/>
      <c r="AE75" s="301" t="str">
        <f>AF75&amp;TM[[#This Row],[Insurer Code]]&amp;"; "&amp;AG75&amp;TM[[#This Row],[Reporting Year]]&amp;"; "&amp;AH75&amp;TM[[#This Row],[Insurance Category Code]]&amp;"; "&amp;AI75&amp;TM[[#This Row],[Large Provider Entity Code]]</f>
        <v xml:space="preserve">Insurer Code ; Reporting Year ; Insurance Category Code ; Large Provider Entity Code </v>
      </c>
      <c r="AF75" s="297" t="s">
        <v>197</v>
      </c>
      <c r="AG75" s="297" t="s">
        <v>198</v>
      </c>
      <c r="AH75" s="297" t="s">
        <v>199</v>
      </c>
      <c r="AI75" s="297" t="s">
        <v>200</v>
      </c>
      <c r="AJ75" s="297"/>
      <c r="AK75" s="297"/>
      <c r="AL75" s="297"/>
      <c r="AM75" s="11"/>
      <c r="AN75" s="11"/>
      <c r="AO75" s="11"/>
    </row>
    <row r="76" spans="1:41" x14ac:dyDescent="0.4">
      <c r="A76" s="291"/>
      <c r="B76" s="292"/>
      <c r="C76" s="312"/>
      <c r="D76"/>
      <c r="E76" s="325"/>
      <c r="F76" s="143"/>
      <c r="G76" s="143"/>
      <c r="H76" s="143"/>
      <c r="I76" s="143"/>
      <c r="J76" s="143"/>
      <c r="K76" s="143"/>
      <c r="L76" s="143"/>
      <c r="M76" s="143"/>
      <c r="N76" s="143"/>
      <c r="O76" s="143"/>
      <c r="P76" s="143"/>
      <c r="Q76" s="143"/>
      <c r="R76" s="143"/>
      <c r="S76" s="143"/>
      <c r="T76" s="143"/>
      <c r="U76" s="143"/>
      <c r="V76" s="325"/>
      <c r="W76" s="393">
        <f t="shared" si="0"/>
        <v>0</v>
      </c>
      <c r="X76" s="393">
        <f t="shared" si="1"/>
        <v>0</v>
      </c>
      <c r="Y76" s="393">
        <f t="shared" si="2"/>
        <v>0</v>
      </c>
      <c r="Z76" s="393">
        <f t="shared" si="3"/>
        <v>0</v>
      </c>
      <c r="AA76" s="393">
        <f t="shared" si="4"/>
        <v>0</v>
      </c>
      <c r="AB76" s="393" t="e">
        <f t="shared" si="6"/>
        <v>#DIV/0!</v>
      </c>
      <c r="AC76" s="486" t="e">
        <f t="shared" si="5"/>
        <v>#DIV/0!</v>
      </c>
      <c r="AD76" s="11"/>
      <c r="AE76" s="301" t="str">
        <f>AF76&amp;TM[[#This Row],[Insurer Code]]&amp;"; "&amp;AG76&amp;TM[[#This Row],[Reporting Year]]&amp;"; "&amp;AH76&amp;TM[[#This Row],[Insurance Category Code]]&amp;"; "&amp;AI76&amp;TM[[#This Row],[Large Provider Entity Code]]</f>
        <v xml:space="preserve">Insurer Code ; Reporting Year ; Insurance Category Code ; Large Provider Entity Code </v>
      </c>
      <c r="AF76" s="297" t="s">
        <v>197</v>
      </c>
      <c r="AG76" s="297" t="s">
        <v>198</v>
      </c>
      <c r="AH76" s="297" t="s">
        <v>199</v>
      </c>
      <c r="AI76" s="297" t="s">
        <v>200</v>
      </c>
      <c r="AJ76" s="297"/>
      <c r="AK76" s="297"/>
      <c r="AL76" s="297"/>
      <c r="AM76" s="11"/>
      <c r="AN76" s="11"/>
      <c r="AO76" s="11"/>
    </row>
    <row r="77" spans="1:41" x14ac:dyDescent="0.4">
      <c r="A77" s="291"/>
      <c r="B77" s="292"/>
      <c r="C77" s="312"/>
      <c r="D77"/>
      <c r="E77" s="325"/>
      <c r="F77" s="143"/>
      <c r="G77" s="143"/>
      <c r="H77" s="143"/>
      <c r="I77" s="143"/>
      <c r="J77" s="143"/>
      <c r="K77" s="143"/>
      <c r="L77" s="143"/>
      <c r="M77" s="143"/>
      <c r="N77" s="143"/>
      <c r="O77" s="143"/>
      <c r="P77" s="143"/>
      <c r="Q77" s="143"/>
      <c r="R77" s="143"/>
      <c r="S77" s="143"/>
      <c r="T77" s="143"/>
      <c r="U77" s="143"/>
      <c r="V77" s="325"/>
      <c r="W77" s="393">
        <f t="shared" si="0"/>
        <v>0</v>
      </c>
      <c r="X77" s="393">
        <f t="shared" si="1"/>
        <v>0</v>
      </c>
      <c r="Y77" s="393">
        <f t="shared" si="2"/>
        <v>0</v>
      </c>
      <c r="Z77" s="393">
        <f t="shared" si="3"/>
        <v>0</v>
      </c>
      <c r="AA77" s="393">
        <f t="shared" si="4"/>
        <v>0</v>
      </c>
      <c r="AB77" s="393" t="e">
        <f t="shared" si="6"/>
        <v>#DIV/0!</v>
      </c>
      <c r="AC77" s="486" t="e">
        <f t="shared" si="5"/>
        <v>#DIV/0!</v>
      </c>
      <c r="AD77" s="11"/>
      <c r="AE77" s="301" t="str">
        <f>AF77&amp;TM[[#This Row],[Insurer Code]]&amp;"; "&amp;AG77&amp;TM[[#This Row],[Reporting Year]]&amp;"; "&amp;AH77&amp;TM[[#This Row],[Insurance Category Code]]&amp;"; "&amp;AI77&amp;TM[[#This Row],[Large Provider Entity Code]]</f>
        <v xml:space="preserve">Insurer Code ; Reporting Year ; Insurance Category Code ; Large Provider Entity Code </v>
      </c>
      <c r="AF77" s="297" t="s">
        <v>197</v>
      </c>
      <c r="AG77" s="297" t="s">
        <v>198</v>
      </c>
      <c r="AH77" s="297" t="s">
        <v>199</v>
      </c>
      <c r="AI77" s="297" t="s">
        <v>200</v>
      </c>
      <c r="AJ77" s="297"/>
      <c r="AK77" s="297"/>
      <c r="AL77" s="297"/>
      <c r="AM77" s="11"/>
      <c r="AN77" s="11"/>
      <c r="AO77" s="11"/>
    </row>
    <row r="78" spans="1:41" x14ac:dyDescent="0.4">
      <c r="A78" s="291"/>
      <c r="B78" s="292"/>
      <c r="C78" s="312"/>
      <c r="D78"/>
      <c r="E78" s="325"/>
      <c r="F78" s="143"/>
      <c r="G78" s="143"/>
      <c r="H78" s="143"/>
      <c r="I78" s="143"/>
      <c r="J78" s="143"/>
      <c r="K78" s="143"/>
      <c r="L78" s="143"/>
      <c r="M78" s="143"/>
      <c r="N78" s="143"/>
      <c r="O78" s="143"/>
      <c r="P78" s="143"/>
      <c r="Q78" s="143"/>
      <c r="R78" s="143"/>
      <c r="S78" s="143"/>
      <c r="T78" s="143"/>
      <c r="U78" s="143"/>
      <c r="V78" s="325"/>
      <c r="W78" s="393">
        <f t="shared" si="0"/>
        <v>0</v>
      </c>
      <c r="X78" s="393">
        <f t="shared" si="1"/>
        <v>0</v>
      </c>
      <c r="Y78" s="393">
        <f t="shared" si="2"/>
        <v>0</v>
      </c>
      <c r="Z78" s="393">
        <f t="shared" si="3"/>
        <v>0</v>
      </c>
      <c r="AA78" s="393">
        <f t="shared" si="4"/>
        <v>0</v>
      </c>
      <c r="AB78" s="393" t="e">
        <f t="shared" si="6"/>
        <v>#DIV/0!</v>
      </c>
      <c r="AC78" s="486" t="e">
        <f t="shared" si="5"/>
        <v>#DIV/0!</v>
      </c>
      <c r="AD78" s="11"/>
      <c r="AE78" s="301" t="str">
        <f>AF78&amp;TM[[#This Row],[Insurer Code]]&amp;"; "&amp;AG78&amp;TM[[#This Row],[Reporting Year]]&amp;"; "&amp;AH78&amp;TM[[#This Row],[Insurance Category Code]]&amp;"; "&amp;AI78&amp;TM[[#This Row],[Large Provider Entity Code]]</f>
        <v xml:space="preserve">Insurer Code ; Reporting Year ; Insurance Category Code ; Large Provider Entity Code </v>
      </c>
      <c r="AF78" s="297" t="s">
        <v>197</v>
      </c>
      <c r="AG78" s="297" t="s">
        <v>198</v>
      </c>
      <c r="AH78" s="297" t="s">
        <v>199</v>
      </c>
      <c r="AI78" s="297" t="s">
        <v>200</v>
      </c>
      <c r="AJ78" s="297"/>
      <c r="AK78" s="297"/>
      <c r="AL78" s="297"/>
      <c r="AM78" s="11"/>
      <c r="AN78" s="11"/>
      <c r="AO78" s="11"/>
    </row>
    <row r="79" spans="1:41" x14ac:dyDescent="0.4">
      <c r="A79" s="291"/>
      <c r="B79" s="292"/>
      <c r="C79" s="312"/>
      <c r="D79"/>
      <c r="E79" s="325"/>
      <c r="F79" s="143"/>
      <c r="G79" s="143"/>
      <c r="H79" s="143"/>
      <c r="I79" s="143"/>
      <c r="J79" s="143"/>
      <c r="K79" s="143"/>
      <c r="L79" s="143"/>
      <c r="M79" s="143"/>
      <c r="N79" s="143"/>
      <c r="O79" s="143"/>
      <c r="P79" s="143"/>
      <c r="Q79" s="143"/>
      <c r="R79" s="143"/>
      <c r="S79" s="143"/>
      <c r="T79" s="143"/>
      <c r="U79" s="143"/>
      <c r="V79" s="325"/>
      <c r="W79" s="393">
        <f t="shared" si="0"/>
        <v>0</v>
      </c>
      <c r="X79" s="393">
        <f t="shared" si="1"/>
        <v>0</v>
      </c>
      <c r="Y79" s="393">
        <f t="shared" si="2"/>
        <v>0</v>
      </c>
      <c r="Z79" s="393">
        <f t="shared" si="3"/>
        <v>0</v>
      </c>
      <c r="AA79" s="393">
        <f t="shared" si="4"/>
        <v>0</v>
      </c>
      <c r="AB79" s="393" t="e">
        <f t="shared" si="6"/>
        <v>#DIV/0!</v>
      </c>
      <c r="AC79" s="486" t="e">
        <f t="shared" si="5"/>
        <v>#DIV/0!</v>
      </c>
      <c r="AD79" s="11"/>
      <c r="AE79" s="301" t="str">
        <f>AF79&amp;TM[[#This Row],[Insurer Code]]&amp;"; "&amp;AG79&amp;TM[[#This Row],[Reporting Year]]&amp;"; "&amp;AH79&amp;TM[[#This Row],[Insurance Category Code]]&amp;"; "&amp;AI79&amp;TM[[#This Row],[Large Provider Entity Code]]</f>
        <v xml:space="preserve">Insurer Code ; Reporting Year ; Insurance Category Code ; Large Provider Entity Code </v>
      </c>
      <c r="AF79" s="297" t="s">
        <v>197</v>
      </c>
      <c r="AG79" s="297" t="s">
        <v>198</v>
      </c>
      <c r="AH79" s="297" t="s">
        <v>199</v>
      </c>
      <c r="AI79" s="297" t="s">
        <v>200</v>
      </c>
      <c r="AJ79" s="297"/>
      <c r="AK79" s="297"/>
      <c r="AL79" s="297"/>
      <c r="AM79" s="11"/>
      <c r="AN79" s="11"/>
      <c r="AO79" s="11"/>
    </row>
    <row r="80" spans="1:41" x14ac:dyDescent="0.4">
      <c r="A80" s="291"/>
      <c r="B80" s="292"/>
      <c r="C80" s="312"/>
      <c r="D80"/>
      <c r="E80" s="325"/>
      <c r="F80" s="143"/>
      <c r="G80" s="143"/>
      <c r="H80" s="143"/>
      <c r="I80" s="143"/>
      <c r="J80" s="143"/>
      <c r="K80" s="143"/>
      <c r="L80" s="143"/>
      <c r="M80" s="143"/>
      <c r="N80" s="143"/>
      <c r="O80" s="143"/>
      <c r="P80" s="143"/>
      <c r="Q80" s="143"/>
      <c r="R80" s="143"/>
      <c r="S80" s="143"/>
      <c r="T80" s="143"/>
      <c r="U80" s="143"/>
      <c r="V80" s="325"/>
      <c r="W80" s="393">
        <f t="shared" si="0"/>
        <v>0</v>
      </c>
      <c r="X80" s="393">
        <f t="shared" si="1"/>
        <v>0</v>
      </c>
      <c r="Y80" s="393">
        <f t="shared" si="2"/>
        <v>0</v>
      </c>
      <c r="Z80" s="393">
        <f t="shared" si="3"/>
        <v>0</v>
      </c>
      <c r="AA80" s="393">
        <f t="shared" si="4"/>
        <v>0</v>
      </c>
      <c r="AB80" s="393" t="e">
        <f t="shared" si="6"/>
        <v>#DIV/0!</v>
      </c>
      <c r="AC80" s="486" t="e">
        <f t="shared" si="5"/>
        <v>#DIV/0!</v>
      </c>
      <c r="AD80" s="11"/>
      <c r="AE80" s="301" t="str">
        <f>AF80&amp;TM[[#This Row],[Insurer Code]]&amp;"; "&amp;AG80&amp;TM[[#This Row],[Reporting Year]]&amp;"; "&amp;AH80&amp;TM[[#This Row],[Insurance Category Code]]&amp;"; "&amp;AI80&amp;TM[[#This Row],[Large Provider Entity Code]]</f>
        <v xml:space="preserve">Insurer Code ; Reporting Year ; Insurance Category Code ; Large Provider Entity Code </v>
      </c>
      <c r="AF80" s="297" t="s">
        <v>197</v>
      </c>
      <c r="AG80" s="297" t="s">
        <v>198</v>
      </c>
      <c r="AH80" s="297" t="s">
        <v>199</v>
      </c>
      <c r="AI80" s="297" t="s">
        <v>200</v>
      </c>
      <c r="AJ80" s="297"/>
      <c r="AK80" s="297"/>
      <c r="AL80" s="297"/>
      <c r="AM80" s="11"/>
      <c r="AN80" s="11"/>
      <c r="AO80" s="11"/>
    </row>
    <row r="81" spans="1:41" x14ac:dyDescent="0.4">
      <c r="A81" s="291"/>
      <c r="B81" s="292"/>
      <c r="C81" s="312"/>
      <c r="D81"/>
      <c r="E81" s="325"/>
      <c r="F81" s="143"/>
      <c r="G81" s="143"/>
      <c r="H81" s="143"/>
      <c r="I81" s="143"/>
      <c r="J81" s="143"/>
      <c r="K81" s="143"/>
      <c r="L81" s="143"/>
      <c r="M81" s="143"/>
      <c r="N81" s="143"/>
      <c r="O81" s="143"/>
      <c r="P81" s="143"/>
      <c r="Q81" s="143"/>
      <c r="R81" s="143"/>
      <c r="S81" s="143"/>
      <c r="T81" s="143"/>
      <c r="U81" s="143"/>
      <c r="V81" s="325"/>
      <c r="W81" s="393">
        <f t="shared" si="0"/>
        <v>0</v>
      </c>
      <c r="X81" s="393">
        <f t="shared" si="1"/>
        <v>0</v>
      </c>
      <c r="Y81" s="393">
        <f t="shared" si="2"/>
        <v>0</v>
      </c>
      <c r="Z81" s="393">
        <f t="shared" si="3"/>
        <v>0</v>
      </c>
      <c r="AA81" s="393">
        <f t="shared" si="4"/>
        <v>0</v>
      </c>
      <c r="AB81" s="393" t="e">
        <f t="shared" si="6"/>
        <v>#DIV/0!</v>
      </c>
      <c r="AC81" s="486" t="e">
        <f t="shared" si="5"/>
        <v>#DIV/0!</v>
      </c>
      <c r="AD81" s="11"/>
      <c r="AE81" s="301" t="str">
        <f>AF81&amp;TM[[#This Row],[Insurer Code]]&amp;"; "&amp;AG81&amp;TM[[#This Row],[Reporting Year]]&amp;"; "&amp;AH81&amp;TM[[#This Row],[Insurance Category Code]]&amp;"; "&amp;AI81&amp;TM[[#This Row],[Large Provider Entity Code]]</f>
        <v xml:space="preserve">Insurer Code ; Reporting Year ; Insurance Category Code ; Large Provider Entity Code </v>
      </c>
      <c r="AF81" s="297" t="s">
        <v>197</v>
      </c>
      <c r="AG81" s="297" t="s">
        <v>198</v>
      </c>
      <c r="AH81" s="297" t="s">
        <v>199</v>
      </c>
      <c r="AI81" s="297" t="s">
        <v>200</v>
      </c>
      <c r="AJ81" s="297"/>
      <c r="AK81" s="297"/>
      <c r="AL81" s="297"/>
      <c r="AM81" s="11"/>
      <c r="AN81" s="11"/>
      <c r="AO81" s="11"/>
    </row>
    <row r="82" spans="1:41" x14ac:dyDescent="0.4">
      <c r="A82" s="291"/>
      <c r="B82" s="292"/>
      <c r="C82" s="312"/>
      <c r="D82"/>
      <c r="E82" s="325"/>
      <c r="F82" s="143"/>
      <c r="G82" s="143"/>
      <c r="H82" s="143"/>
      <c r="I82" s="143"/>
      <c r="J82" s="143"/>
      <c r="K82" s="143"/>
      <c r="L82" s="143"/>
      <c r="M82" s="143"/>
      <c r="N82" s="143"/>
      <c r="O82" s="143"/>
      <c r="P82" s="143"/>
      <c r="Q82" s="143"/>
      <c r="R82" s="143"/>
      <c r="S82" s="143"/>
      <c r="T82" s="143"/>
      <c r="U82" s="143"/>
      <c r="V82" s="325"/>
      <c r="W82" s="393">
        <f t="shared" ref="W82:W145" si="14">SUM(F82:M82)</f>
        <v>0</v>
      </c>
      <c r="X82" s="393">
        <f t="shared" ref="X82:X145" si="15">SUM(N82:S82)</f>
        <v>0</v>
      </c>
      <c r="Y82" s="393">
        <f t="shared" ref="Y82:Y145" si="16">W82+X82</f>
        <v>0</v>
      </c>
      <c r="Z82" s="393">
        <f t="shared" ref="Z82:Z145" si="17">W82-U82</f>
        <v>0</v>
      </c>
      <c r="AA82" s="393">
        <f t="shared" ref="AA82:AA145" si="18">Z82+X82</f>
        <v>0</v>
      </c>
      <c r="AB82" s="393" t="e">
        <f t="shared" ref="AB82:AB145" si="19">Y82/E82</f>
        <v>#DIV/0!</v>
      </c>
      <c r="AC82" s="486" t="e">
        <f t="shared" ref="AC82:AC145" si="20">AA82/E82</f>
        <v>#DIV/0!</v>
      </c>
      <c r="AD82" s="11"/>
      <c r="AE82" s="301" t="str">
        <f>AF82&amp;TM[[#This Row],[Insurer Code]]&amp;"; "&amp;AG82&amp;TM[[#This Row],[Reporting Year]]&amp;"; "&amp;AH82&amp;TM[[#This Row],[Insurance Category Code]]&amp;"; "&amp;AI82&amp;TM[[#This Row],[Large Provider Entity Code]]</f>
        <v xml:space="preserve">Insurer Code ; Reporting Year ; Insurance Category Code ; Large Provider Entity Code </v>
      </c>
      <c r="AF82" s="297" t="s">
        <v>197</v>
      </c>
      <c r="AG82" s="297" t="s">
        <v>198</v>
      </c>
      <c r="AH82" s="297" t="s">
        <v>199</v>
      </c>
      <c r="AI82" s="297" t="s">
        <v>200</v>
      </c>
      <c r="AJ82" s="297"/>
      <c r="AK82" s="297"/>
      <c r="AL82" s="297"/>
      <c r="AM82" s="11"/>
      <c r="AN82" s="11"/>
      <c r="AO82" s="11"/>
    </row>
    <row r="83" spans="1:41" x14ac:dyDescent="0.4">
      <c r="A83" s="291"/>
      <c r="B83" s="292"/>
      <c r="C83" s="312"/>
      <c r="D83"/>
      <c r="E83" s="325"/>
      <c r="F83" s="143"/>
      <c r="G83" s="143"/>
      <c r="H83" s="143"/>
      <c r="I83" s="143"/>
      <c r="J83" s="143"/>
      <c r="K83" s="143"/>
      <c r="L83" s="143"/>
      <c r="M83" s="143"/>
      <c r="N83" s="143"/>
      <c r="O83" s="143"/>
      <c r="P83" s="143"/>
      <c r="Q83" s="143"/>
      <c r="R83" s="143"/>
      <c r="S83" s="143"/>
      <c r="T83" s="143"/>
      <c r="U83" s="143"/>
      <c r="V83" s="325"/>
      <c r="W83" s="393">
        <f t="shared" si="14"/>
        <v>0</v>
      </c>
      <c r="X83" s="393">
        <f t="shared" si="15"/>
        <v>0</v>
      </c>
      <c r="Y83" s="393">
        <f t="shared" si="16"/>
        <v>0</v>
      </c>
      <c r="Z83" s="393">
        <f t="shared" si="17"/>
        <v>0</v>
      </c>
      <c r="AA83" s="393">
        <f t="shared" si="18"/>
        <v>0</v>
      </c>
      <c r="AB83" s="393" t="e">
        <f t="shared" si="19"/>
        <v>#DIV/0!</v>
      </c>
      <c r="AC83" s="486" t="e">
        <f t="shared" si="20"/>
        <v>#DIV/0!</v>
      </c>
      <c r="AD83" s="11"/>
      <c r="AE83" s="301" t="str">
        <f>AF83&amp;TM[[#This Row],[Insurer Code]]&amp;"; "&amp;AG83&amp;TM[[#This Row],[Reporting Year]]&amp;"; "&amp;AH83&amp;TM[[#This Row],[Insurance Category Code]]&amp;"; "&amp;AI83&amp;TM[[#This Row],[Large Provider Entity Code]]</f>
        <v xml:space="preserve">Insurer Code ; Reporting Year ; Insurance Category Code ; Large Provider Entity Code </v>
      </c>
      <c r="AF83" s="297" t="s">
        <v>197</v>
      </c>
      <c r="AG83" s="297" t="s">
        <v>198</v>
      </c>
      <c r="AH83" s="297" t="s">
        <v>199</v>
      </c>
      <c r="AI83" s="297" t="s">
        <v>200</v>
      </c>
      <c r="AJ83" s="297"/>
      <c r="AK83" s="297"/>
      <c r="AL83" s="297"/>
      <c r="AM83" s="11"/>
      <c r="AN83" s="11"/>
      <c r="AO83" s="11"/>
    </row>
    <row r="84" spans="1:41" x14ac:dyDescent="0.4">
      <c r="A84" s="291"/>
      <c r="B84" s="292"/>
      <c r="C84" s="312"/>
      <c r="D84"/>
      <c r="E84" s="325"/>
      <c r="F84" s="143"/>
      <c r="G84" s="143"/>
      <c r="H84" s="143"/>
      <c r="I84" s="143"/>
      <c r="J84" s="143"/>
      <c r="K84" s="143"/>
      <c r="L84" s="143"/>
      <c r="M84" s="143"/>
      <c r="N84" s="143"/>
      <c r="O84" s="143"/>
      <c r="P84" s="143"/>
      <c r="Q84" s="143"/>
      <c r="R84" s="143"/>
      <c r="S84" s="143"/>
      <c r="T84" s="143"/>
      <c r="U84" s="143"/>
      <c r="V84" s="325"/>
      <c r="W84" s="393">
        <f t="shared" si="14"/>
        <v>0</v>
      </c>
      <c r="X84" s="393">
        <f t="shared" si="15"/>
        <v>0</v>
      </c>
      <c r="Y84" s="393">
        <f t="shared" si="16"/>
        <v>0</v>
      </c>
      <c r="Z84" s="393">
        <f t="shared" si="17"/>
        <v>0</v>
      </c>
      <c r="AA84" s="393">
        <f t="shared" si="18"/>
        <v>0</v>
      </c>
      <c r="AB84" s="393" t="e">
        <f t="shared" si="19"/>
        <v>#DIV/0!</v>
      </c>
      <c r="AC84" s="486" t="e">
        <f t="shared" si="20"/>
        <v>#DIV/0!</v>
      </c>
      <c r="AD84" s="11"/>
      <c r="AE84" s="301" t="str">
        <f>AF84&amp;TM[[#This Row],[Insurer Code]]&amp;"; "&amp;AG84&amp;TM[[#This Row],[Reporting Year]]&amp;"; "&amp;AH84&amp;TM[[#This Row],[Insurance Category Code]]&amp;"; "&amp;AI84&amp;TM[[#This Row],[Large Provider Entity Code]]</f>
        <v xml:space="preserve">Insurer Code ; Reporting Year ; Insurance Category Code ; Large Provider Entity Code </v>
      </c>
      <c r="AF84" s="297" t="s">
        <v>197</v>
      </c>
      <c r="AG84" s="297" t="s">
        <v>198</v>
      </c>
      <c r="AH84" s="297" t="s">
        <v>199</v>
      </c>
      <c r="AI84" s="297" t="s">
        <v>200</v>
      </c>
      <c r="AJ84" s="297"/>
      <c r="AK84" s="297"/>
      <c r="AL84" s="297"/>
      <c r="AM84" s="11"/>
      <c r="AN84" s="11"/>
      <c r="AO84" s="11"/>
    </row>
    <row r="85" spans="1:41" x14ac:dyDescent="0.4">
      <c r="A85" s="291"/>
      <c r="B85" s="292"/>
      <c r="C85" s="312"/>
      <c r="D85"/>
      <c r="E85" s="325"/>
      <c r="F85" s="143"/>
      <c r="G85" s="143"/>
      <c r="H85" s="143"/>
      <c r="I85" s="143"/>
      <c r="J85" s="143"/>
      <c r="K85" s="143"/>
      <c r="L85" s="143"/>
      <c r="M85" s="143"/>
      <c r="N85" s="143"/>
      <c r="O85" s="143"/>
      <c r="P85" s="143"/>
      <c r="Q85" s="143"/>
      <c r="R85" s="143"/>
      <c r="S85" s="143"/>
      <c r="T85" s="143"/>
      <c r="U85" s="143"/>
      <c r="V85" s="325"/>
      <c r="W85" s="393">
        <f t="shared" si="14"/>
        <v>0</v>
      </c>
      <c r="X85" s="393">
        <f t="shared" si="15"/>
        <v>0</v>
      </c>
      <c r="Y85" s="393">
        <f t="shared" si="16"/>
        <v>0</v>
      </c>
      <c r="Z85" s="393">
        <f t="shared" si="17"/>
        <v>0</v>
      </c>
      <c r="AA85" s="393">
        <f t="shared" si="18"/>
        <v>0</v>
      </c>
      <c r="AB85" s="393" t="e">
        <f t="shared" si="19"/>
        <v>#DIV/0!</v>
      </c>
      <c r="AC85" s="486" t="e">
        <f t="shared" si="20"/>
        <v>#DIV/0!</v>
      </c>
      <c r="AD85" s="11"/>
      <c r="AE85" s="301" t="str">
        <f>AF85&amp;TM[[#This Row],[Insurer Code]]&amp;"; "&amp;AG85&amp;TM[[#This Row],[Reporting Year]]&amp;"; "&amp;AH85&amp;TM[[#This Row],[Insurance Category Code]]&amp;"; "&amp;AI85&amp;TM[[#This Row],[Large Provider Entity Code]]</f>
        <v xml:space="preserve">Insurer Code ; Reporting Year ; Insurance Category Code ; Large Provider Entity Code </v>
      </c>
      <c r="AF85" s="297" t="s">
        <v>197</v>
      </c>
      <c r="AG85" s="297" t="s">
        <v>198</v>
      </c>
      <c r="AH85" s="297" t="s">
        <v>199</v>
      </c>
      <c r="AI85" s="297" t="s">
        <v>200</v>
      </c>
      <c r="AJ85" s="297"/>
      <c r="AK85" s="297"/>
      <c r="AL85" s="297"/>
      <c r="AM85" s="11"/>
      <c r="AN85" s="11"/>
      <c r="AO85" s="11"/>
    </row>
    <row r="86" spans="1:41" x14ac:dyDescent="0.4">
      <c r="A86" s="291"/>
      <c r="B86" s="292"/>
      <c r="C86" s="312"/>
      <c r="D86"/>
      <c r="E86" s="325"/>
      <c r="F86" s="143"/>
      <c r="G86" s="143"/>
      <c r="H86" s="143"/>
      <c r="I86" s="143"/>
      <c r="J86" s="143"/>
      <c r="K86" s="143"/>
      <c r="L86" s="143"/>
      <c r="M86" s="143"/>
      <c r="N86" s="143"/>
      <c r="O86" s="143"/>
      <c r="P86" s="143"/>
      <c r="Q86" s="143"/>
      <c r="R86" s="143"/>
      <c r="S86" s="143"/>
      <c r="T86" s="143"/>
      <c r="U86" s="143"/>
      <c r="V86" s="325"/>
      <c r="W86" s="393">
        <f t="shared" si="14"/>
        <v>0</v>
      </c>
      <c r="X86" s="393">
        <f t="shared" si="15"/>
        <v>0</v>
      </c>
      <c r="Y86" s="393">
        <f t="shared" si="16"/>
        <v>0</v>
      </c>
      <c r="Z86" s="393">
        <f t="shared" si="17"/>
        <v>0</v>
      </c>
      <c r="AA86" s="393">
        <f t="shared" si="18"/>
        <v>0</v>
      </c>
      <c r="AB86" s="393" t="e">
        <f t="shared" si="19"/>
        <v>#DIV/0!</v>
      </c>
      <c r="AC86" s="486" t="e">
        <f t="shared" si="20"/>
        <v>#DIV/0!</v>
      </c>
      <c r="AD86" s="11"/>
      <c r="AE86" s="301" t="str">
        <f>AF86&amp;TM[[#This Row],[Insurer Code]]&amp;"; "&amp;AG86&amp;TM[[#This Row],[Reporting Year]]&amp;"; "&amp;AH86&amp;TM[[#This Row],[Insurance Category Code]]&amp;"; "&amp;AI86&amp;TM[[#This Row],[Large Provider Entity Code]]</f>
        <v xml:space="preserve">Insurer Code ; Reporting Year ; Insurance Category Code ; Large Provider Entity Code </v>
      </c>
      <c r="AF86" s="297" t="s">
        <v>197</v>
      </c>
      <c r="AG86" s="297" t="s">
        <v>198</v>
      </c>
      <c r="AH86" s="297" t="s">
        <v>199</v>
      </c>
      <c r="AI86" s="297" t="s">
        <v>200</v>
      </c>
      <c r="AJ86" s="297"/>
      <c r="AK86" s="297"/>
      <c r="AL86" s="297"/>
      <c r="AM86" s="11"/>
      <c r="AN86" s="11"/>
      <c r="AO86" s="11"/>
    </row>
    <row r="87" spans="1:41" x14ac:dyDescent="0.4">
      <c r="A87" s="291"/>
      <c r="B87" s="292"/>
      <c r="C87" s="312"/>
      <c r="D87"/>
      <c r="E87" s="325"/>
      <c r="F87" s="143"/>
      <c r="G87" s="143"/>
      <c r="H87" s="143"/>
      <c r="I87" s="143"/>
      <c r="J87" s="143"/>
      <c r="K87" s="143"/>
      <c r="L87" s="143"/>
      <c r="M87" s="143"/>
      <c r="N87" s="143"/>
      <c r="O87" s="143"/>
      <c r="P87" s="143"/>
      <c r="Q87" s="143"/>
      <c r="R87" s="143"/>
      <c r="S87" s="143"/>
      <c r="T87" s="143"/>
      <c r="U87" s="143"/>
      <c r="V87" s="325"/>
      <c r="W87" s="393">
        <f t="shared" si="14"/>
        <v>0</v>
      </c>
      <c r="X87" s="393">
        <f t="shared" si="15"/>
        <v>0</v>
      </c>
      <c r="Y87" s="393">
        <f t="shared" si="16"/>
        <v>0</v>
      </c>
      <c r="Z87" s="393">
        <f t="shared" si="17"/>
        <v>0</v>
      </c>
      <c r="AA87" s="393">
        <f t="shared" si="18"/>
        <v>0</v>
      </c>
      <c r="AB87" s="393" t="e">
        <f t="shared" si="19"/>
        <v>#DIV/0!</v>
      </c>
      <c r="AC87" s="486" t="e">
        <f t="shared" si="20"/>
        <v>#DIV/0!</v>
      </c>
      <c r="AD87" s="11"/>
      <c r="AE87" s="301" t="str">
        <f>AF87&amp;TM[[#This Row],[Insurer Code]]&amp;"; "&amp;AG87&amp;TM[[#This Row],[Reporting Year]]&amp;"; "&amp;AH87&amp;TM[[#This Row],[Insurance Category Code]]&amp;"; "&amp;AI87&amp;TM[[#This Row],[Large Provider Entity Code]]</f>
        <v xml:space="preserve">Insurer Code ; Reporting Year ; Insurance Category Code ; Large Provider Entity Code </v>
      </c>
      <c r="AF87" s="297" t="s">
        <v>197</v>
      </c>
      <c r="AG87" s="297" t="s">
        <v>198</v>
      </c>
      <c r="AH87" s="297" t="s">
        <v>199</v>
      </c>
      <c r="AI87" s="297" t="s">
        <v>200</v>
      </c>
      <c r="AJ87" s="297"/>
      <c r="AK87" s="297"/>
      <c r="AL87" s="297"/>
      <c r="AM87" s="11"/>
      <c r="AN87" s="11"/>
      <c r="AO87" s="11"/>
    </row>
    <row r="88" spans="1:41" x14ac:dyDescent="0.4">
      <c r="A88" s="291"/>
      <c r="B88" s="292"/>
      <c r="C88" s="312"/>
      <c r="D88"/>
      <c r="E88" s="325"/>
      <c r="F88" s="143"/>
      <c r="G88" s="143"/>
      <c r="H88" s="143"/>
      <c r="I88" s="143"/>
      <c r="J88" s="143"/>
      <c r="K88" s="143"/>
      <c r="L88" s="143"/>
      <c r="M88" s="143"/>
      <c r="N88" s="143"/>
      <c r="O88" s="143"/>
      <c r="P88" s="143"/>
      <c r="Q88" s="143"/>
      <c r="R88" s="143"/>
      <c r="S88" s="143"/>
      <c r="T88" s="143"/>
      <c r="U88" s="143"/>
      <c r="V88" s="325"/>
      <c r="W88" s="393">
        <f t="shared" si="14"/>
        <v>0</v>
      </c>
      <c r="X88" s="393">
        <f t="shared" si="15"/>
        <v>0</v>
      </c>
      <c r="Y88" s="393">
        <f t="shared" si="16"/>
        <v>0</v>
      </c>
      <c r="Z88" s="393">
        <f t="shared" si="17"/>
        <v>0</v>
      </c>
      <c r="AA88" s="393">
        <f t="shared" si="18"/>
        <v>0</v>
      </c>
      <c r="AB88" s="393" t="e">
        <f t="shared" si="19"/>
        <v>#DIV/0!</v>
      </c>
      <c r="AC88" s="486" t="e">
        <f t="shared" si="20"/>
        <v>#DIV/0!</v>
      </c>
      <c r="AD88" s="11"/>
      <c r="AE88" s="301" t="str">
        <f>AF88&amp;TM[[#This Row],[Insurer Code]]&amp;"; "&amp;AG88&amp;TM[[#This Row],[Reporting Year]]&amp;"; "&amp;AH88&amp;TM[[#This Row],[Insurance Category Code]]&amp;"; "&amp;AI88&amp;TM[[#This Row],[Large Provider Entity Code]]</f>
        <v xml:space="preserve">Insurer Code ; Reporting Year ; Insurance Category Code ; Large Provider Entity Code </v>
      </c>
      <c r="AF88" s="297" t="s">
        <v>197</v>
      </c>
      <c r="AG88" s="297" t="s">
        <v>198</v>
      </c>
      <c r="AH88" s="297" t="s">
        <v>199</v>
      </c>
      <c r="AI88" s="297" t="s">
        <v>200</v>
      </c>
      <c r="AJ88" s="297"/>
      <c r="AK88" s="297"/>
      <c r="AL88" s="297"/>
      <c r="AM88" s="11"/>
      <c r="AN88" s="11"/>
      <c r="AO88" s="11"/>
    </row>
    <row r="89" spans="1:41" x14ac:dyDescent="0.4">
      <c r="A89" s="291"/>
      <c r="B89" s="292"/>
      <c r="C89" s="312"/>
      <c r="D89"/>
      <c r="E89" s="325"/>
      <c r="F89" s="143"/>
      <c r="G89" s="143"/>
      <c r="H89" s="143"/>
      <c r="I89" s="143"/>
      <c r="J89" s="143"/>
      <c r="K89" s="143"/>
      <c r="L89" s="143"/>
      <c r="M89" s="143"/>
      <c r="N89" s="143"/>
      <c r="O89" s="143"/>
      <c r="P89" s="143"/>
      <c r="Q89" s="143"/>
      <c r="R89" s="143"/>
      <c r="S89" s="143"/>
      <c r="T89" s="143"/>
      <c r="U89" s="143"/>
      <c r="V89" s="325"/>
      <c r="W89" s="393">
        <f t="shared" si="14"/>
        <v>0</v>
      </c>
      <c r="X89" s="393">
        <f t="shared" si="15"/>
        <v>0</v>
      </c>
      <c r="Y89" s="393">
        <f t="shared" si="16"/>
        <v>0</v>
      </c>
      <c r="Z89" s="393">
        <f t="shared" si="17"/>
        <v>0</v>
      </c>
      <c r="AA89" s="393">
        <f t="shared" si="18"/>
        <v>0</v>
      </c>
      <c r="AB89" s="393" t="e">
        <f t="shared" si="19"/>
        <v>#DIV/0!</v>
      </c>
      <c r="AC89" s="486" t="e">
        <f t="shared" si="20"/>
        <v>#DIV/0!</v>
      </c>
      <c r="AD89" s="11"/>
      <c r="AE89" s="301" t="str">
        <f>AF89&amp;TM[[#This Row],[Insurer Code]]&amp;"; "&amp;AG89&amp;TM[[#This Row],[Reporting Year]]&amp;"; "&amp;AH89&amp;TM[[#This Row],[Insurance Category Code]]&amp;"; "&amp;AI89&amp;TM[[#This Row],[Large Provider Entity Code]]</f>
        <v xml:space="preserve">Insurer Code ; Reporting Year ; Insurance Category Code ; Large Provider Entity Code </v>
      </c>
      <c r="AF89" s="297" t="s">
        <v>197</v>
      </c>
      <c r="AG89" s="297" t="s">
        <v>198</v>
      </c>
      <c r="AH89" s="297" t="s">
        <v>199</v>
      </c>
      <c r="AI89" s="297" t="s">
        <v>200</v>
      </c>
      <c r="AJ89" s="297"/>
      <c r="AK89" s="297"/>
      <c r="AL89" s="297"/>
      <c r="AM89" s="11"/>
      <c r="AN89" s="11"/>
      <c r="AO89" s="11"/>
    </row>
    <row r="90" spans="1:41" x14ac:dyDescent="0.4">
      <c r="A90" s="291"/>
      <c r="B90" s="292"/>
      <c r="C90" s="312"/>
      <c r="D90"/>
      <c r="E90" s="325"/>
      <c r="F90" s="143"/>
      <c r="G90" s="143"/>
      <c r="H90" s="143"/>
      <c r="I90" s="143"/>
      <c r="J90" s="143"/>
      <c r="K90" s="143"/>
      <c r="L90" s="143"/>
      <c r="M90" s="143"/>
      <c r="N90" s="143"/>
      <c r="O90" s="143"/>
      <c r="P90" s="143"/>
      <c r="Q90" s="143"/>
      <c r="R90" s="143"/>
      <c r="S90" s="143"/>
      <c r="T90" s="143"/>
      <c r="U90" s="143"/>
      <c r="V90" s="325"/>
      <c r="W90" s="393">
        <f t="shared" si="14"/>
        <v>0</v>
      </c>
      <c r="X90" s="393">
        <f t="shared" si="15"/>
        <v>0</v>
      </c>
      <c r="Y90" s="393">
        <f t="shared" si="16"/>
        <v>0</v>
      </c>
      <c r="Z90" s="393">
        <f t="shared" si="17"/>
        <v>0</v>
      </c>
      <c r="AA90" s="393">
        <f t="shared" si="18"/>
        <v>0</v>
      </c>
      <c r="AB90" s="393" t="e">
        <f t="shared" si="19"/>
        <v>#DIV/0!</v>
      </c>
      <c r="AC90" s="486" t="e">
        <f t="shared" si="20"/>
        <v>#DIV/0!</v>
      </c>
      <c r="AD90" s="11"/>
      <c r="AE90" s="301" t="str">
        <f>AF90&amp;TM[[#This Row],[Insurer Code]]&amp;"; "&amp;AG90&amp;TM[[#This Row],[Reporting Year]]&amp;"; "&amp;AH90&amp;TM[[#This Row],[Insurance Category Code]]&amp;"; "&amp;AI90&amp;TM[[#This Row],[Large Provider Entity Code]]</f>
        <v xml:space="preserve">Insurer Code ; Reporting Year ; Insurance Category Code ; Large Provider Entity Code </v>
      </c>
      <c r="AF90" s="297" t="s">
        <v>197</v>
      </c>
      <c r="AG90" s="297" t="s">
        <v>198</v>
      </c>
      <c r="AH90" s="297" t="s">
        <v>199</v>
      </c>
      <c r="AI90" s="297" t="s">
        <v>200</v>
      </c>
      <c r="AJ90" s="297"/>
      <c r="AK90" s="297"/>
      <c r="AL90" s="297"/>
      <c r="AM90" s="11"/>
      <c r="AN90" s="11"/>
      <c r="AO90" s="11"/>
    </row>
    <row r="91" spans="1:41" x14ac:dyDescent="0.4">
      <c r="A91" s="291"/>
      <c r="B91" s="292"/>
      <c r="C91" s="312"/>
      <c r="D91"/>
      <c r="E91" s="325"/>
      <c r="F91" s="143"/>
      <c r="G91" s="143"/>
      <c r="H91" s="143"/>
      <c r="I91" s="143"/>
      <c r="J91" s="143"/>
      <c r="K91" s="143"/>
      <c r="L91" s="143"/>
      <c r="M91" s="143"/>
      <c r="N91" s="143"/>
      <c r="O91" s="143"/>
      <c r="P91" s="143"/>
      <c r="Q91" s="143"/>
      <c r="R91" s="143"/>
      <c r="S91" s="143"/>
      <c r="T91" s="143"/>
      <c r="U91" s="143"/>
      <c r="V91" s="325"/>
      <c r="W91" s="393">
        <f t="shared" si="14"/>
        <v>0</v>
      </c>
      <c r="X91" s="393">
        <f t="shared" si="15"/>
        <v>0</v>
      </c>
      <c r="Y91" s="393">
        <f t="shared" si="16"/>
        <v>0</v>
      </c>
      <c r="Z91" s="393">
        <f t="shared" si="17"/>
        <v>0</v>
      </c>
      <c r="AA91" s="393">
        <f t="shared" si="18"/>
        <v>0</v>
      </c>
      <c r="AB91" s="393" t="e">
        <f t="shared" si="19"/>
        <v>#DIV/0!</v>
      </c>
      <c r="AC91" s="486" t="e">
        <f t="shared" si="20"/>
        <v>#DIV/0!</v>
      </c>
      <c r="AD91" s="11"/>
      <c r="AE91" s="301" t="str">
        <f>AF91&amp;TM[[#This Row],[Insurer Code]]&amp;"; "&amp;AG91&amp;TM[[#This Row],[Reporting Year]]&amp;"; "&amp;AH91&amp;TM[[#This Row],[Insurance Category Code]]&amp;"; "&amp;AI91&amp;TM[[#This Row],[Large Provider Entity Code]]</f>
        <v xml:space="preserve">Insurer Code ; Reporting Year ; Insurance Category Code ; Large Provider Entity Code </v>
      </c>
      <c r="AF91" s="297" t="s">
        <v>197</v>
      </c>
      <c r="AG91" s="297" t="s">
        <v>198</v>
      </c>
      <c r="AH91" s="297" t="s">
        <v>199</v>
      </c>
      <c r="AI91" s="297" t="s">
        <v>200</v>
      </c>
      <c r="AJ91" s="297"/>
      <c r="AK91" s="297"/>
      <c r="AL91" s="297"/>
      <c r="AM91" s="11"/>
      <c r="AN91" s="11"/>
      <c r="AO91" s="11"/>
    </row>
    <row r="92" spans="1:41" x14ac:dyDescent="0.4">
      <c r="A92" s="291"/>
      <c r="B92" s="292"/>
      <c r="C92" s="312"/>
      <c r="D92"/>
      <c r="E92" s="325"/>
      <c r="F92" s="143"/>
      <c r="G92" s="143"/>
      <c r="H92" s="143"/>
      <c r="I92" s="143"/>
      <c r="J92" s="143"/>
      <c r="K92" s="143"/>
      <c r="L92" s="143"/>
      <c r="M92" s="143"/>
      <c r="N92" s="143"/>
      <c r="O92" s="143"/>
      <c r="P92" s="143"/>
      <c r="Q92" s="143"/>
      <c r="R92" s="143"/>
      <c r="S92" s="143"/>
      <c r="T92" s="143"/>
      <c r="U92" s="143"/>
      <c r="V92" s="325"/>
      <c r="W92" s="393">
        <f t="shared" si="14"/>
        <v>0</v>
      </c>
      <c r="X92" s="393">
        <f t="shared" si="15"/>
        <v>0</v>
      </c>
      <c r="Y92" s="393">
        <f t="shared" si="16"/>
        <v>0</v>
      </c>
      <c r="Z92" s="393">
        <f t="shared" si="17"/>
        <v>0</v>
      </c>
      <c r="AA92" s="393">
        <f t="shared" si="18"/>
        <v>0</v>
      </c>
      <c r="AB92" s="393" t="e">
        <f t="shared" si="19"/>
        <v>#DIV/0!</v>
      </c>
      <c r="AC92" s="486" t="e">
        <f t="shared" si="20"/>
        <v>#DIV/0!</v>
      </c>
      <c r="AD92" s="11"/>
      <c r="AE92" s="301" t="str">
        <f>AF92&amp;TM[[#This Row],[Insurer Code]]&amp;"; "&amp;AG92&amp;TM[[#This Row],[Reporting Year]]&amp;"; "&amp;AH92&amp;TM[[#This Row],[Insurance Category Code]]&amp;"; "&amp;AI92&amp;TM[[#This Row],[Large Provider Entity Code]]</f>
        <v xml:space="preserve">Insurer Code ; Reporting Year ; Insurance Category Code ; Large Provider Entity Code </v>
      </c>
      <c r="AF92" s="297" t="s">
        <v>197</v>
      </c>
      <c r="AG92" s="297" t="s">
        <v>198</v>
      </c>
      <c r="AH92" s="297" t="s">
        <v>199</v>
      </c>
      <c r="AI92" s="297" t="s">
        <v>200</v>
      </c>
      <c r="AJ92" s="297"/>
      <c r="AK92" s="297"/>
      <c r="AL92" s="297"/>
      <c r="AM92" s="11"/>
      <c r="AN92" s="11"/>
      <c r="AO92" s="11"/>
    </row>
    <row r="93" spans="1:41" x14ac:dyDescent="0.4">
      <c r="A93" s="291"/>
      <c r="B93" s="292"/>
      <c r="C93" s="312"/>
      <c r="D93"/>
      <c r="E93" s="325"/>
      <c r="F93" s="143"/>
      <c r="G93" s="143"/>
      <c r="H93" s="143"/>
      <c r="I93" s="143"/>
      <c r="J93" s="143"/>
      <c r="K93" s="143"/>
      <c r="L93" s="143"/>
      <c r="M93" s="143"/>
      <c r="N93" s="143"/>
      <c r="O93" s="143"/>
      <c r="P93" s="143"/>
      <c r="Q93" s="143"/>
      <c r="R93" s="143"/>
      <c r="S93" s="143"/>
      <c r="T93" s="143"/>
      <c r="U93" s="143"/>
      <c r="V93" s="325"/>
      <c r="W93" s="393">
        <f t="shared" si="14"/>
        <v>0</v>
      </c>
      <c r="X93" s="393">
        <f t="shared" si="15"/>
        <v>0</v>
      </c>
      <c r="Y93" s="393">
        <f t="shared" si="16"/>
        <v>0</v>
      </c>
      <c r="Z93" s="393">
        <f t="shared" si="17"/>
        <v>0</v>
      </c>
      <c r="AA93" s="393">
        <f t="shared" si="18"/>
        <v>0</v>
      </c>
      <c r="AB93" s="393" t="e">
        <f t="shared" si="19"/>
        <v>#DIV/0!</v>
      </c>
      <c r="AC93" s="486" t="e">
        <f t="shared" si="20"/>
        <v>#DIV/0!</v>
      </c>
      <c r="AD93" s="11"/>
      <c r="AE93" s="301" t="str">
        <f>AF93&amp;TM[[#This Row],[Insurer Code]]&amp;"; "&amp;AG93&amp;TM[[#This Row],[Reporting Year]]&amp;"; "&amp;AH93&amp;TM[[#This Row],[Insurance Category Code]]&amp;"; "&amp;AI93&amp;TM[[#This Row],[Large Provider Entity Code]]</f>
        <v xml:space="preserve">Insurer Code ; Reporting Year ; Insurance Category Code ; Large Provider Entity Code </v>
      </c>
      <c r="AF93" s="297" t="s">
        <v>197</v>
      </c>
      <c r="AG93" s="297" t="s">
        <v>198</v>
      </c>
      <c r="AH93" s="297" t="s">
        <v>199</v>
      </c>
      <c r="AI93" s="297" t="s">
        <v>200</v>
      </c>
      <c r="AJ93" s="297"/>
      <c r="AK93" s="297"/>
      <c r="AL93" s="297"/>
      <c r="AM93" s="11"/>
      <c r="AN93" s="11"/>
      <c r="AO93" s="11"/>
    </row>
    <row r="94" spans="1:41" x14ac:dyDescent="0.4">
      <c r="A94" s="291"/>
      <c r="B94" s="292"/>
      <c r="C94" s="312"/>
      <c r="D94"/>
      <c r="E94" s="325"/>
      <c r="F94" s="143"/>
      <c r="G94" s="143"/>
      <c r="H94" s="143"/>
      <c r="I94" s="143"/>
      <c r="J94" s="143"/>
      <c r="K94" s="143"/>
      <c r="L94" s="143"/>
      <c r="M94" s="143"/>
      <c r="N94" s="143"/>
      <c r="O94" s="143"/>
      <c r="P94" s="143"/>
      <c r="Q94" s="143"/>
      <c r="R94" s="143"/>
      <c r="S94" s="143"/>
      <c r="T94" s="143"/>
      <c r="U94" s="143"/>
      <c r="V94" s="325"/>
      <c r="W94" s="393">
        <f t="shared" si="14"/>
        <v>0</v>
      </c>
      <c r="X94" s="393">
        <f t="shared" si="15"/>
        <v>0</v>
      </c>
      <c r="Y94" s="393">
        <f t="shared" si="16"/>
        <v>0</v>
      </c>
      <c r="Z94" s="393">
        <f t="shared" si="17"/>
        <v>0</v>
      </c>
      <c r="AA94" s="393">
        <f t="shared" si="18"/>
        <v>0</v>
      </c>
      <c r="AB94" s="393" t="e">
        <f t="shared" si="19"/>
        <v>#DIV/0!</v>
      </c>
      <c r="AC94" s="486" t="e">
        <f t="shared" si="20"/>
        <v>#DIV/0!</v>
      </c>
      <c r="AD94" s="11"/>
      <c r="AE94" s="301" t="str">
        <f>AF94&amp;TM[[#This Row],[Insurer Code]]&amp;"; "&amp;AG94&amp;TM[[#This Row],[Reporting Year]]&amp;"; "&amp;AH94&amp;TM[[#This Row],[Insurance Category Code]]&amp;"; "&amp;AI94&amp;TM[[#This Row],[Large Provider Entity Code]]</f>
        <v xml:space="preserve">Insurer Code ; Reporting Year ; Insurance Category Code ; Large Provider Entity Code </v>
      </c>
      <c r="AF94" s="297" t="s">
        <v>197</v>
      </c>
      <c r="AG94" s="297" t="s">
        <v>198</v>
      </c>
      <c r="AH94" s="297" t="s">
        <v>199</v>
      </c>
      <c r="AI94" s="297" t="s">
        <v>200</v>
      </c>
      <c r="AJ94" s="297"/>
      <c r="AK94" s="297"/>
      <c r="AL94" s="297"/>
      <c r="AM94" s="11"/>
      <c r="AN94" s="11"/>
      <c r="AO94" s="11"/>
    </row>
    <row r="95" spans="1:41" x14ac:dyDescent="0.4">
      <c r="A95" s="291"/>
      <c r="B95" s="292"/>
      <c r="C95" s="312"/>
      <c r="D95"/>
      <c r="E95" s="325"/>
      <c r="F95" s="143"/>
      <c r="G95" s="143"/>
      <c r="H95" s="143"/>
      <c r="I95" s="143"/>
      <c r="J95" s="143"/>
      <c r="K95" s="143"/>
      <c r="L95" s="143"/>
      <c r="M95" s="143"/>
      <c r="N95" s="143"/>
      <c r="O95" s="143"/>
      <c r="P95" s="143"/>
      <c r="Q95" s="143"/>
      <c r="R95" s="143"/>
      <c r="S95" s="143"/>
      <c r="T95" s="143"/>
      <c r="U95" s="143"/>
      <c r="V95" s="325"/>
      <c r="W95" s="393">
        <f t="shared" si="14"/>
        <v>0</v>
      </c>
      <c r="X95" s="393">
        <f t="shared" si="15"/>
        <v>0</v>
      </c>
      <c r="Y95" s="393">
        <f t="shared" si="16"/>
        <v>0</v>
      </c>
      <c r="Z95" s="393">
        <f t="shared" si="17"/>
        <v>0</v>
      </c>
      <c r="AA95" s="393">
        <f t="shared" si="18"/>
        <v>0</v>
      </c>
      <c r="AB95" s="393" t="e">
        <f t="shared" si="19"/>
        <v>#DIV/0!</v>
      </c>
      <c r="AC95" s="486" t="e">
        <f t="shared" si="20"/>
        <v>#DIV/0!</v>
      </c>
      <c r="AD95" s="11"/>
      <c r="AE95" s="301" t="str">
        <f>AF95&amp;TM[[#This Row],[Insurer Code]]&amp;"; "&amp;AG95&amp;TM[[#This Row],[Reporting Year]]&amp;"; "&amp;AH95&amp;TM[[#This Row],[Insurance Category Code]]&amp;"; "&amp;AI95&amp;TM[[#This Row],[Large Provider Entity Code]]</f>
        <v xml:space="preserve">Insurer Code ; Reporting Year ; Insurance Category Code ; Large Provider Entity Code </v>
      </c>
      <c r="AF95" s="297" t="s">
        <v>197</v>
      </c>
      <c r="AG95" s="297" t="s">
        <v>198</v>
      </c>
      <c r="AH95" s="297" t="s">
        <v>199</v>
      </c>
      <c r="AI95" s="297" t="s">
        <v>200</v>
      </c>
      <c r="AJ95" s="297"/>
      <c r="AK95" s="297"/>
      <c r="AL95" s="297"/>
      <c r="AM95" s="11"/>
      <c r="AN95" s="11"/>
      <c r="AO95" s="11"/>
    </row>
    <row r="96" spans="1:41" x14ac:dyDescent="0.4">
      <c r="A96" s="291"/>
      <c r="B96" s="292"/>
      <c r="C96" s="312"/>
      <c r="D96"/>
      <c r="E96" s="325"/>
      <c r="F96" s="143"/>
      <c r="G96" s="143"/>
      <c r="H96" s="143"/>
      <c r="I96" s="143"/>
      <c r="J96" s="143"/>
      <c r="K96" s="143"/>
      <c r="L96" s="143"/>
      <c r="M96" s="143"/>
      <c r="N96" s="143"/>
      <c r="O96" s="143"/>
      <c r="P96" s="143"/>
      <c r="Q96" s="143"/>
      <c r="R96" s="143"/>
      <c r="S96" s="143"/>
      <c r="T96" s="143"/>
      <c r="U96" s="143"/>
      <c r="V96" s="325"/>
      <c r="W96" s="393">
        <f t="shared" si="14"/>
        <v>0</v>
      </c>
      <c r="X96" s="393">
        <f t="shared" si="15"/>
        <v>0</v>
      </c>
      <c r="Y96" s="393">
        <f t="shared" si="16"/>
        <v>0</v>
      </c>
      <c r="Z96" s="393">
        <f t="shared" si="17"/>
        <v>0</v>
      </c>
      <c r="AA96" s="393">
        <f t="shared" si="18"/>
        <v>0</v>
      </c>
      <c r="AB96" s="393" t="e">
        <f t="shared" si="19"/>
        <v>#DIV/0!</v>
      </c>
      <c r="AC96" s="486" t="e">
        <f t="shared" si="20"/>
        <v>#DIV/0!</v>
      </c>
      <c r="AD96" s="11"/>
      <c r="AE96" s="301" t="str">
        <f>AF96&amp;TM[[#This Row],[Insurer Code]]&amp;"; "&amp;AG96&amp;TM[[#This Row],[Reporting Year]]&amp;"; "&amp;AH96&amp;TM[[#This Row],[Insurance Category Code]]&amp;"; "&amp;AI96&amp;TM[[#This Row],[Large Provider Entity Code]]</f>
        <v xml:space="preserve">Insurer Code ; Reporting Year ; Insurance Category Code ; Large Provider Entity Code </v>
      </c>
      <c r="AF96" s="297" t="s">
        <v>197</v>
      </c>
      <c r="AG96" s="297" t="s">
        <v>198</v>
      </c>
      <c r="AH96" s="297" t="s">
        <v>199</v>
      </c>
      <c r="AI96" s="297" t="s">
        <v>200</v>
      </c>
      <c r="AJ96" s="297"/>
      <c r="AK96" s="297"/>
      <c r="AL96" s="297"/>
      <c r="AM96" s="11"/>
      <c r="AN96" s="11"/>
      <c r="AO96" s="11"/>
    </row>
    <row r="97" spans="1:41" x14ac:dyDescent="0.4">
      <c r="A97" s="291"/>
      <c r="B97" s="292"/>
      <c r="C97" s="312"/>
      <c r="D97"/>
      <c r="E97" s="325"/>
      <c r="F97" s="143"/>
      <c r="G97" s="143"/>
      <c r="H97" s="143"/>
      <c r="I97" s="143"/>
      <c r="J97" s="143"/>
      <c r="K97" s="143"/>
      <c r="L97" s="143"/>
      <c r="M97" s="143"/>
      <c r="N97" s="143"/>
      <c r="O97" s="143"/>
      <c r="P97" s="143"/>
      <c r="Q97" s="143"/>
      <c r="R97" s="143"/>
      <c r="S97" s="143"/>
      <c r="T97" s="143"/>
      <c r="U97" s="143"/>
      <c r="V97" s="325"/>
      <c r="W97" s="393">
        <f t="shared" si="14"/>
        <v>0</v>
      </c>
      <c r="X97" s="393">
        <f t="shared" si="15"/>
        <v>0</v>
      </c>
      <c r="Y97" s="393">
        <f t="shared" si="16"/>
        <v>0</v>
      </c>
      <c r="Z97" s="393">
        <f t="shared" si="17"/>
        <v>0</v>
      </c>
      <c r="AA97" s="393">
        <f t="shared" si="18"/>
        <v>0</v>
      </c>
      <c r="AB97" s="393" t="e">
        <f t="shared" si="19"/>
        <v>#DIV/0!</v>
      </c>
      <c r="AC97" s="486" t="e">
        <f t="shared" si="20"/>
        <v>#DIV/0!</v>
      </c>
      <c r="AD97" s="11"/>
      <c r="AE97" s="301" t="str">
        <f>AF97&amp;TM[[#This Row],[Insurer Code]]&amp;"; "&amp;AG97&amp;TM[[#This Row],[Reporting Year]]&amp;"; "&amp;AH97&amp;TM[[#This Row],[Insurance Category Code]]&amp;"; "&amp;AI97&amp;TM[[#This Row],[Large Provider Entity Code]]</f>
        <v xml:space="preserve">Insurer Code ; Reporting Year ; Insurance Category Code ; Large Provider Entity Code </v>
      </c>
      <c r="AF97" s="297" t="s">
        <v>197</v>
      </c>
      <c r="AG97" s="297" t="s">
        <v>198</v>
      </c>
      <c r="AH97" s="297" t="s">
        <v>199</v>
      </c>
      <c r="AI97" s="297" t="s">
        <v>200</v>
      </c>
      <c r="AJ97" s="297"/>
      <c r="AK97" s="297"/>
      <c r="AL97" s="297"/>
      <c r="AM97" s="11"/>
      <c r="AN97" s="11"/>
      <c r="AO97" s="11"/>
    </row>
    <row r="98" spans="1:41" x14ac:dyDescent="0.4">
      <c r="A98" s="291"/>
      <c r="B98" s="292"/>
      <c r="C98" s="312"/>
      <c r="D98"/>
      <c r="E98" s="325"/>
      <c r="F98" s="143"/>
      <c r="G98" s="143"/>
      <c r="H98" s="143"/>
      <c r="I98" s="143"/>
      <c r="J98" s="143"/>
      <c r="K98" s="143"/>
      <c r="L98" s="143"/>
      <c r="M98" s="143"/>
      <c r="N98" s="143"/>
      <c r="O98" s="143"/>
      <c r="P98" s="143"/>
      <c r="Q98" s="143"/>
      <c r="R98" s="143"/>
      <c r="S98" s="143"/>
      <c r="T98" s="143"/>
      <c r="U98" s="143"/>
      <c r="V98" s="325"/>
      <c r="W98" s="393">
        <f t="shared" si="14"/>
        <v>0</v>
      </c>
      <c r="X98" s="393">
        <f t="shared" si="15"/>
        <v>0</v>
      </c>
      <c r="Y98" s="393">
        <f t="shared" si="16"/>
        <v>0</v>
      </c>
      <c r="Z98" s="393">
        <f t="shared" si="17"/>
        <v>0</v>
      </c>
      <c r="AA98" s="393">
        <f t="shared" si="18"/>
        <v>0</v>
      </c>
      <c r="AB98" s="393" t="e">
        <f t="shared" si="19"/>
        <v>#DIV/0!</v>
      </c>
      <c r="AC98" s="486" t="e">
        <f t="shared" si="20"/>
        <v>#DIV/0!</v>
      </c>
      <c r="AD98" s="11"/>
      <c r="AE98" s="301" t="str">
        <f>AF98&amp;TM[[#This Row],[Insurer Code]]&amp;"; "&amp;AG98&amp;TM[[#This Row],[Reporting Year]]&amp;"; "&amp;AH98&amp;TM[[#This Row],[Insurance Category Code]]&amp;"; "&amp;AI98&amp;TM[[#This Row],[Large Provider Entity Code]]</f>
        <v xml:space="preserve">Insurer Code ; Reporting Year ; Insurance Category Code ; Large Provider Entity Code </v>
      </c>
      <c r="AF98" s="297" t="s">
        <v>197</v>
      </c>
      <c r="AG98" s="297" t="s">
        <v>198</v>
      </c>
      <c r="AH98" s="297" t="s">
        <v>199</v>
      </c>
      <c r="AI98" s="297" t="s">
        <v>200</v>
      </c>
      <c r="AJ98" s="297"/>
      <c r="AK98" s="297"/>
      <c r="AL98" s="297"/>
      <c r="AM98" s="11"/>
      <c r="AN98" s="11"/>
      <c r="AO98" s="11"/>
    </row>
    <row r="99" spans="1:41" x14ac:dyDescent="0.4">
      <c r="A99" s="291"/>
      <c r="B99" s="292"/>
      <c r="C99" s="312"/>
      <c r="D99"/>
      <c r="E99" s="325"/>
      <c r="F99" s="143"/>
      <c r="G99" s="143"/>
      <c r="H99" s="143"/>
      <c r="I99" s="143"/>
      <c r="J99" s="143"/>
      <c r="K99" s="143"/>
      <c r="L99" s="143"/>
      <c r="M99" s="143"/>
      <c r="N99" s="143"/>
      <c r="O99" s="143"/>
      <c r="P99" s="143"/>
      <c r="Q99" s="143"/>
      <c r="R99" s="143"/>
      <c r="S99" s="143"/>
      <c r="T99" s="143"/>
      <c r="U99" s="143"/>
      <c r="V99" s="325"/>
      <c r="W99" s="393">
        <f t="shared" si="14"/>
        <v>0</v>
      </c>
      <c r="X99" s="393">
        <f t="shared" si="15"/>
        <v>0</v>
      </c>
      <c r="Y99" s="393">
        <f t="shared" si="16"/>
        <v>0</v>
      </c>
      <c r="Z99" s="393">
        <f t="shared" si="17"/>
        <v>0</v>
      </c>
      <c r="AA99" s="393">
        <f t="shared" si="18"/>
        <v>0</v>
      </c>
      <c r="AB99" s="393" t="e">
        <f t="shared" si="19"/>
        <v>#DIV/0!</v>
      </c>
      <c r="AC99" s="486" t="e">
        <f t="shared" si="20"/>
        <v>#DIV/0!</v>
      </c>
      <c r="AD99" s="11"/>
      <c r="AE99" s="301" t="str">
        <f>AF99&amp;TM[[#This Row],[Insurer Code]]&amp;"; "&amp;AG99&amp;TM[[#This Row],[Reporting Year]]&amp;"; "&amp;AH99&amp;TM[[#This Row],[Insurance Category Code]]&amp;"; "&amp;AI99&amp;TM[[#This Row],[Large Provider Entity Code]]</f>
        <v xml:space="preserve">Insurer Code ; Reporting Year ; Insurance Category Code ; Large Provider Entity Code </v>
      </c>
      <c r="AF99" s="297" t="s">
        <v>197</v>
      </c>
      <c r="AG99" s="297" t="s">
        <v>198</v>
      </c>
      <c r="AH99" s="297" t="s">
        <v>199</v>
      </c>
      <c r="AI99" s="297" t="s">
        <v>200</v>
      </c>
      <c r="AJ99" s="297"/>
      <c r="AK99" s="297"/>
      <c r="AL99" s="297"/>
      <c r="AM99" s="11"/>
      <c r="AN99" s="11"/>
      <c r="AO99" s="11"/>
    </row>
    <row r="100" spans="1:41" x14ac:dyDescent="0.4">
      <c r="A100" s="291"/>
      <c r="B100" s="292"/>
      <c r="C100" s="312"/>
      <c r="D100"/>
      <c r="E100" s="325"/>
      <c r="F100" s="143"/>
      <c r="G100" s="143"/>
      <c r="H100" s="143"/>
      <c r="I100" s="143"/>
      <c r="J100" s="143"/>
      <c r="K100" s="143"/>
      <c r="L100" s="143"/>
      <c r="M100" s="143"/>
      <c r="N100" s="143"/>
      <c r="O100" s="143"/>
      <c r="P100" s="143"/>
      <c r="Q100" s="143"/>
      <c r="R100" s="143"/>
      <c r="S100" s="143"/>
      <c r="T100" s="143"/>
      <c r="U100" s="143"/>
      <c r="V100" s="325"/>
      <c r="W100" s="393">
        <f t="shared" si="14"/>
        <v>0</v>
      </c>
      <c r="X100" s="393">
        <f t="shared" si="15"/>
        <v>0</v>
      </c>
      <c r="Y100" s="393">
        <f t="shared" si="16"/>
        <v>0</v>
      </c>
      <c r="Z100" s="393">
        <f t="shared" si="17"/>
        <v>0</v>
      </c>
      <c r="AA100" s="393">
        <f t="shared" si="18"/>
        <v>0</v>
      </c>
      <c r="AB100" s="393" t="e">
        <f t="shared" si="19"/>
        <v>#DIV/0!</v>
      </c>
      <c r="AC100" s="486" t="e">
        <f t="shared" si="20"/>
        <v>#DIV/0!</v>
      </c>
      <c r="AD100" s="11"/>
      <c r="AE100" s="301" t="str">
        <f>AF100&amp;TM[[#This Row],[Insurer Code]]&amp;"; "&amp;AG100&amp;TM[[#This Row],[Reporting Year]]&amp;"; "&amp;AH100&amp;TM[[#This Row],[Insurance Category Code]]&amp;"; "&amp;AI100&amp;TM[[#This Row],[Large Provider Entity Code]]</f>
        <v xml:space="preserve">Insurer Code ; Reporting Year ; Insurance Category Code ; Large Provider Entity Code </v>
      </c>
      <c r="AF100" s="297" t="s">
        <v>197</v>
      </c>
      <c r="AG100" s="297" t="s">
        <v>198</v>
      </c>
      <c r="AH100" s="297" t="s">
        <v>199</v>
      </c>
      <c r="AI100" s="297" t="s">
        <v>200</v>
      </c>
      <c r="AJ100" s="297"/>
      <c r="AK100" s="297"/>
      <c r="AL100" s="297"/>
      <c r="AM100" s="11"/>
      <c r="AN100" s="11"/>
      <c r="AO100" s="11"/>
    </row>
    <row r="101" spans="1:41" x14ac:dyDescent="0.4">
      <c r="A101" s="291"/>
      <c r="B101" s="292"/>
      <c r="C101" s="312"/>
      <c r="D101"/>
      <c r="E101" s="325"/>
      <c r="F101" s="143"/>
      <c r="G101" s="143"/>
      <c r="H101" s="143"/>
      <c r="I101" s="143"/>
      <c r="J101" s="143"/>
      <c r="K101" s="143"/>
      <c r="L101" s="143"/>
      <c r="M101" s="143"/>
      <c r="N101" s="143"/>
      <c r="O101" s="143"/>
      <c r="P101" s="143"/>
      <c r="Q101" s="143"/>
      <c r="R101" s="143"/>
      <c r="S101" s="143"/>
      <c r="T101" s="143"/>
      <c r="U101" s="143"/>
      <c r="V101" s="325"/>
      <c r="W101" s="393">
        <f t="shared" si="14"/>
        <v>0</v>
      </c>
      <c r="X101" s="393">
        <f t="shared" si="15"/>
        <v>0</v>
      </c>
      <c r="Y101" s="393">
        <f t="shared" si="16"/>
        <v>0</v>
      </c>
      <c r="Z101" s="393">
        <f t="shared" si="17"/>
        <v>0</v>
      </c>
      <c r="AA101" s="393">
        <f t="shared" si="18"/>
        <v>0</v>
      </c>
      <c r="AB101" s="393" t="e">
        <f t="shared" si="19"/>
        <v>#DIV/0!</v>
      </c>
      <c r="AC101" s="486" t="e">
        <f t="shared" si="20"/>
        <v>#DIV/0!</v>
      </c>
      <c r="AD101" s="11"/>
      <c r="AE101" s="301" t="str">
        <f>AF101&amp;TM[[#This Row],[Insurer Code]]&amp;"; "&amp;AG101&amp;TM[[#This Row],[Reporting Year]]&amp;"; "&amp;AH101&amp;TM[[#This Row],[Insurance Category Code]]&amp;"; "&amp;AI101&amp;TM[[#This Row],[Large Provider Entity Code]]</f>
        <v xml:space="preserve">Insurer Code ; Reporting Year ; Insurance Category Code ; Large Provider Entity Code </v>
      </c>
      <c r="AF101" s="297" t="s">
        <v>197</v>
      </c>
      <c r="AG101" s="297" t="s">
        <v>198</v>
      </c>
      <c r="AH101" s="297" t="s">
        <v>199</v>
      </c>
      <c r="AI101" s="297" t="s">
        <v>200</v>
      </c>
      <c r="AJ101" s="297"/>
      <c r="AK101" s="297"/>
      <c r="AL101" s="297"/>
      <c r="AM101" s="11"/>
      <c r="AN101" s="11"/>
      <c r="AO101" s="11"/>
    </row>
    <row r="102" spans="1:41" x14ac:dyDescent="0.4">
      <c r="A102" s="291"/>
      <c r="B102" s="292"/>
      <c r="C102" s="312"/>
      <c r="D102"/>
      <c r="E102" s="325"/>
      <c r="F102" s="143"/>
      <c r="G102" s="143"/>
      <c r="H102" s="143"/>
      <c r="I102" s="143"/>
      <c r="J102" s="143"/>
      <c r="K102" s="143"/>
      <c r="L102" s="143"/>
      <c r="M102" s="143"/>
      <c r="N102" s="143"/>
      <c r="O102" s="143"/>
      <c r="P102" s="143"/>
      <c r="Q102" s="143"/>
      <c r="R102" s="143"/>
      <c r="S102" s="143"/>
      <c r="T102" s="143"/>
      <c r="U102" s="143"/>
      <c r="V102" s="325"/>
      <c r="W102" s="393">
        <f t="shared" si="14"/>
        <v>0</v>
      </c>
      <c r="X102" s="393">
        <f t="shared" si="15"/>
        <v>0</v>
      </c>
      <c r="Y102" s="393">
        <f t="shared" si="16"/>
        <v>0</v>
      </c>
      <c r="Z102" s="393">
        <f t="shared" si="17"/>
        <v>0</v>
      </c>
      <c r="AA102" s="393">
        <f t="shared" si="18"/>
        <v>0</v>
      </c>
      <c r="AB102" s="393" t="e">
        <f t="shared" si="19"/>
        <v>#DIV/0!</v>
      </c>
      <c r="AC102" s="486" t="e">
        <f t="shared" si="20"/>
        <v>#DIV/0!</v>
      </c>
      <c r="AD102" s="11"/>
      <c r="AE102" s="301" t="str">
        <f>AF102&amp;TM[[#This Row],[Insurer Code]]&amp;"; "&amp;AG102&amp;TM[[#This Row],[Reporting Year]]&amp;"; "&amp;AH102&amp;TM[[#This Row],[Insurance Category Code]]&amp;"; "&amp;AI102&amp;TM[[#This Row],[Large Provider Entity Code]]</f>
        <v xml:space="preserve">Insurer Code ; Reporting Year ; Insurance Category Code ; Large Provider Entity Code </v>
      </c>
      <c r="AF102" s="297" t="s">
        <v>197</v>
      </c>
      <c r="AG102" s="297" t="s">
        <v>198</v>
      </c>
      <c r="AH102" s="297" t="s">
        <v>199</v>
      </c>
      <c r="AI102" s="297" t="s">
        <v>200</v>
      </c>
      <c r="AJ102" s="297"/>
      <c r="AK102" s="297"/>
      <c r="AL102" s="297"/>
      <c r="AM102" s="11"/>
      <c r="AN102" s="11"/>
      <c r="AO102" s="11"/>
    </row>
    <row r="103" spans="1:41" x14ac:dyDescent="0.4">
      <c r="A103" s="291"/>
      <c r="B103" s="292"/>
      <c r="C103" s="312"/>
      <c r="D103"/>
      <c r="E103" s="325"/>
      <c r="F103" s="143"/>
      <c r="G103" s="143"/>
      <c r="H103" s="143"/>
      <c r="I103" s="143"/>
      <c r="J103" s="143"/>
      <c r="K103" s="143"/>
      <c r="L103" s="143"/>
      <c r="M103" s="143"/>
      <c r="N103" s="143"/>
      <c r="O103" s="143"/>
      <c r="P103" s="143"/>
      <c r="Q103" s="143"/>
      <c r="R103" s="143"/>
      <c r="S103" s="143"/>
      <c r="T103" s="143"/>
      <c r="U103" s="143"/>
      <c r="V103" s="325"/>
      <c r="W103" s="393">
        <f t="shared" si="14"/>
        <v>0</v>
      </c>
      <c r="X103" s="393">
        <f t="shared" si="15"/>
        <v>0</v>
      </c>
      <c r="Y103" s="393">
        <f t="shared" si="16"/>
        <v>0</v>
      </c>
      <c r="Z103" s="393">
        <f t="shared" si="17"/>
        <v>0</v>
      </c>
      <c r="AA103" s="393">
        <f t="shared" si="18"/>
        <v>0</v>
      </c>
      <c r="AB103" s="393" t="e">
        <f t="shared" si="19"/>
        <v>#DIV/0!</v>
      </c>
      <c r="AC103" s="486" t="e">
        <f t="shared" si="20"/>
        <v>#DIV/0!</v>
      </c>
      <c r="AD103" s="11"/>
      <c r="AE103" s="301" t="str">
        <f>AF103&amp;TM[[#This Row],[Insurer Code]]&amp;"; "&amp;AG103&amp;TM[[#This Row],[Reporting Year]]&amp;"; "&amp;AH103&amp;TM[[#This Row],[Insurance Category Code]]&amp;"; "&amp;AI103&amp;TM[[#This Row],[Large Provider Entity Code]]</f>
        <v xml:space="preserve">Insurer Code ; Reporting Year ; Insurance Category Code ; Large Provider Entity Code </v>
      </c>
      <c r="AF103" s="297" t="s">
        <v>197</v>
      </c>
      <c r="AG103" s="297" t="s">
        <v>198</v>
      </c>
      <c r="AH103" s="297" t="s">
        <v>199</v>
      </c>
      <c r="AI103" s="297" t="s">
        <v>200</v>
      </c>
      <c r="AJ103" s="297"/>
      <c r="AK103" s="297"/>
      <c r="AL103" s="297"/>
      <c r="AM103" s="11"/>
      <c r="AN103" s="11"/>
      <c r="AO103" s="11"/>
    </row>
    <row r="104" spans="1:41" x14ac:dyDescent="0.4">
      <c r="A104" s="291"/>
      <c r="B104" s="292"/>
      <c r="C104" s="312"/>
      <c r="D104"/>
      <c r="E104" s="325"/>
      <c r="F104" s="143"/>
      <c r="G104" s="143"/>
      <c r="H104" s="143"/>
      <c r="I104" s="143"/>
      <c r="J104" s="143"/>
      <c r="K104" s="143"/>
      <c r="L104" s="143"/>
      <c r="M104" s="143"/>
      <c r="N104" s="143"/>
      <c r="O104" s="143"/>
      <c r="P104" s="143"/>
      <c r="Q104" s="143"/>
      <c r="R104" s="143"/>
      <c r="S104" s="143"/>
      <c r="T104" s="143"/>
      <c r="U104" s="143"/>
      <c r="V104" s="325"/>
      <c r="W104" s="393">
        <f t="shared" si="14"/>
        <v>0</v>
      </c>
      <c r="X104" s="393">
        <f t="shared" si="15"/>
        <v>0</v>
      </c>
      <c r="Y104" s="393">
        <f t="shared" si="16"/>
        <v>0</v>
      </c>
      <c r="Z104" s="393">
        <f t="shared" si="17"/>
        <v>0</v>
      </c>
      <c r="AA104" s="393">
        <f t="shared" si="18"/>
        <v>0</v>
      </c>
      <c r="AB104" s="393" t="e">
        <f t="shared" si="19"/>
        <v>#DIV/0!</v>
      </c>
      <c r="AC104" s="486" t="e">
        <f t="shared" si="20"/>
        <v>#DIV/0!</v>
      </c>
      <c r="AD104" s="11"/>
      <c r="AE104" s="301" t="str">
        <f>AF104&amp;TM[[#This Row],[Insurer Code]]&amp;"; "&amp;AG104&amp;TM[[#This Row],[Reporting Year]]&amp;"; "&amp;AH104&amp;TM[[#This Row],[Insurance Category Code]]&amp;"; "&amp;AI104&amp;TM[[#This Row],[Large Provider Entity Code]]</f>
        <v xml:space="preserve">Insurer Code ; Reporting Year ; Insurance Category Code ; Large Provider Entity Code </v>
      </c>
      <c r="AF104" s="297" t="s">
        <v>197</v>
      </c>
      <c r="AG104" s="297" t="s">
        <v>198</v>
      </c>
      <c r="AH104" s="297" t="s">
        <v>199</v>
      </c>
      <c r="AI104" s="297" t="s">
        <v>200</v>
      </c>
      <c r="AJ104" s="297"/>
      <c r="AK104" s="297"/>
      <c r="AL104" s="297"/>
      <c r="AM104" s="11"/>
      <c r="AN104" s="11"/>
      <c r="AO104" s="11"/>
    </row>
    <row r="105" spans="1:41" x14ac:dyDescent="0.4">
      <c r="A105" s="291"/>
      <c r="B105" s="292"/>
      <c r="C105" s="312"/>
      <c r="D105"/>
      <c r="E105" s="325"/>
      <c r="F105" s="143"/>
      <c r="G105" s="143"/>
      <c r="H105" s="143"/>
      <c r="I105" s="143"/>
      <c r="J105" s="143"/>
      <c r="K105" s="143"/>
      <c r="L105" s="143"/>
      <c r="M105" s="143"/>
      <c r="N105" s="143"/>
      <c r="O105" s="143"/>
      <c r="P105" s="143"/>
      <c r="Q105" s="143"/>
      <c r="R105" s="143"/>
      <c r="S105" s="143"/>
      <c r="T105" s="143"/>
      <c r="U105" s="143"/>
      <c r="V105" s="325"/>
      <c r="W105" s="393">
        <f t="shared" si="14"/>
        <v>0</v>
      </c>
      <c r="X105" s="393">
        <f t="shared" si="15"/>
        <v>0</v>
      </c>
      <c r="Y105" s="393">
        <f t="shared" si="16"/>
        <v>0</v>
      </c>
      <c r="Z105" s="393">
        <f t="shared" si="17"/>
        <v>0</v>
      </c>
      <c r="AA105" s="393">
        <f t="shared" si="18"/>
        <v>0</v>
      </c>
      <c r="AB105" s="393" t="e">
        <f t="shared" si="19"/>
        <v>#DIV/0!</v>
      </c>
      <c r="AC105" s="486" t="e">
        <f t="shared" si="20"/>
        <v>#DIV/0!</v>
      </c>
      <c r="AD105" s="11"/>
      <c r="AE105" s="301" t="str">
        <f>AF105&amp;TM[[#This Row],[Insurer Code]]&amp;"; "&amp;AG105&amp;TM[[#This Row],[Reporting Year]]&amp;"; "&amp;AH105&amp;TM[[#This Row],[Insurance Category Code]]&amp;"; "&amp;AI105&amp;TM[[#This Row],[Large Provider Entity Code]]</f>
        <v xml:space="preserve">Insurer Code ; Reporting Year ; Insurance Category Code ; Large Provider Entity Code </v>
      </c>
      <c r="AF105" s="297" t="s">
        <v>197</v>
      </c>
      <c r="AG105" s="297" t="s">
        <v>198</v>
      </c>
      <c r="AH105" s="297" t="s">
        <v>199</v>
      </c>
      <c r="AI105" s="297" t="s">
        <v>200</v>
      </c>
      <c r="AJ105" s="297"/>
      <c r="AK105" s="297"/>
      <c r="AL105" s="297"/>
      <c r="AM105" s="11"/>
      <c r="AN105" s="11"/>
      <c r="AO105" s="11"/>
    </row>
    <row r="106" spans="1:41" x14ac:dyDescent="0.4">
      <c r="A106" s="291"/>
      <c r="B106" s="292"/>
      <c r="C106" s="312"/>
      <c r="D106"/>
      <c r="E106" s="325"/>
      <c r="F106" s="143"/>
      <c r="G106" s="143"/>
      <c r="H106" s="143"/>
      <c r="I106" s="143"/>
      <c r="J106" s="143"/>
      <c r="K106" s="143"/>
      <c r="L106" s="143"/>
      <c r="M106" s="143"/>
      <c r="N106" s="143"/>
      <c r="O106" s="143"/>
      <c r="P106" s="143"/>
      <c r="Q106" s="143"/>
      <c r="R106" s="143"/>
      <c r="S106" s="143"/>
      <c r="T106" s="143"/>
      <c r="U106" s="143"/>
      <c r="V106" s="325"/>
      <c r="W106" s="393">
        <f t="shared" si="14"/>
        <v>0</v>
      </c>
      <c r="X106" s="393">
        <f t="shared" si="15"/>
        <v>0</v>
      </c>
      <c r="Y106" s="393">
        <f t="shared" si="16"/>
        <v>0</v>
      </c>
      <c r="Z106" s="393">
        <f t="shared" si="17"/>
        <v>0</v>
      </c>
      <c r="AA106" s="393">
        <f t="shared" si="18"/>
        <v>0</v>
      </c>
      <c r="AB106" s="393" t="e">
        <f t="shared" si="19"/>
        <v>#DIV/0!</v>
      </c>
      <c r="AC106" s="486" t="e">
        <f t="shared" si="20"/>
        <v>#DIV/0!</v>
      </c>
      <c r="AD106" s="11"/>
      <c r="AE106" s="301" t="str">
        <f>AF106&amp;TM[[#This Row],[Insurer Code]]&amp;"; "&amp;AG106&amp;TM[[#This Row],[Reporting Year]]&amp;"; "&amp;AH106&amp;TM[[#This Row],[Insurance Category Code]]&amp;"; "&amp;AI106&amp;TM[[#This Row],[Large Provider Entity Code]]</f>
        <v xml:space="preserve">Insurer Code ; Reporting Year ; Insurance Category Code ; Large Provider Entity Code </v>
      </c>
      <c r="AF106" s="297" t="s">
        <v>197</v>
      </c>
      <c r="AG106" s="297" t="s">
        <v>198</v>
      </c>
      <c r="AH106" s="297" t="s">
        <v>199</v>
      </c>
      <c r="AI106" s="297" t="s">
        <v>200</v>
      </c>
      <c r="AJ106" s="297"/>
      <c r="AK106" s="297"/>
      <c r="AL106" s="297"/>
      <c r="AM106" s="11"/>
      <c r="AN106" s="11"/>
      <c r="AO106" s="11"/>
    </row>
    <row r="107" spans="1:41" x14ac:dyDescent="0.4">
      <c r="A107" s="291"/>
      <c r="B107" s="292"/>
      <c r="C107" s="312"/>
      <c r="D107"/>
      <c r="E107" s="325"/>
      <c r="F107" s="143"/>
      <c r="G107" s="143"/>
      <c r="H107" s="143"/>
      <c r="I107" s="143"/>
      <c r="J107" s="143"/>
      <c r="K107" s="143"/>
      <c r="L107" s="143"/>
      <c r="M107" s="143"/>
      <c r="N107" s="143"/>
      <c r="O107" s="143"/>
      <c r="P107" s="143"/>
      <c r="Q107" s="143"/>
      <c r="R107" s="143"/>
      <c r="S107" s="143"/>
      <c r="T107" s="143"/>
      <c r="U107" s="143"/>
      <c r="V107" s="325"/>
      <c r="W107" s="393">
        <f t="shared" si="14"/>
        <v>0</v>
      </c>
      <c r="X107" s="393">
        <f t="shared" si="15"/>
        <v>0</v>
      </c>
      <c r="Y107" s="393">
        <f t="shared" si="16"/>
        <v>0</v>
      </c>
      <c r="Z107" s="393">
        <f t="shared" si="17"/>
        <v>0</v>
      </c>
      <c r="AA107" s="393">
        <f t="shared" si="18"/>
        <v>0</v>
      </c>
      <c r="AB107" s="393" t="e">
        <f t="shared" si="19"/>
        <v>#DIV/0!</v>
      </c>
      <c r="AC107" s="486" t="e">
        <f t="shared" si="20"/>
        <v>#DIV/0!</v>
      </c>
      <c r="AD107" s="11"/>
      <c r="AE107" s="301" t="str">
        <f>AF107&amp;TM[[#This Row],[Insurer Code]]&amp;"; "&amp;AG107&amp;TM[[#This Row],[Reporting Year]]&amp;"; "&amp;AH107&amp;TM[[#This Row],[Insurance Category Code]]&amp;"; "&amp;AI107&amp;TM[[#This Row],[Large Provider Entity Code]]</f>
        <v xml:space="preserve">Insurer Code ; Reporting Year ; Insurance Category Code ; Large Provider Entity Code </v>
      </c>
      <c r="AF107" s="297" t="s">
        <v>197</v>
      </c>
      <c r="AG107" s="297" t="s">
        <v>198</v>
      </c>
      <c r="AH107" s="297" t="s">
        <v>199</v>
      </c>
      <c r="AI107" s="297" t="s">
        <v>200</v>
      </c>
      <c r="AJ107" s="297"/>
      <c r="AK107" s="297"/>
      <c r="AL107" s="297"/>
      <c r="AM107" s="11"/>
      <c r="AN107" s="11"/>
      <c r="AO107" s="11"/>
    </row>
    <row r="108" spans="1:41" x14ac:dyDescent="0.4">
      <c r="A108" s="291"/>
      <c r="B108" s="292"/>
      <c r="C108" s="312"/>
      <c r="D108"/>
      <c r="E108" s="325"/>
      <c r="F108" s="143"/>
      <c r="G108" s="143"/>
      <c r="H108" s="143"/>
      <c r="I108" s="143"/>
      <c r="J108" s="143"/>
      <c r="K108" s="143"/>
      <c r="L108" s="143"/>
      <c r="M108" s="143"/>
      <c r="N108" s="143"/>
      <c r="O108" s="143"/>
      <c r="P108" s="143"/>
      <c r="Q108" s="143"/>
      <c r="R108" s="143"/>
      <c r="S108" s="143"/>
      <c r="T108" s="143"/>
      <c r="U108" s="143"/>
      <c r="V108" s="325"/>
      <c r="W108" s="393">
        <f t="shared" si="14"/>
        <v>0</v>
      </c>
      <c r="X108" s="393">
        <f t="shared" si="15"/>
        <v>0</v>
      </c>
      <c r="Y108" s="393">
        <f t="shared" si="16"/>
        <v>0</v>
      </c>
      <c r="Z108" s="393">
        <f t="shared" si="17"/>
        <v>0</v>
      </c>
      <c r="AA108" s="393">
        <f t="shared" si="18"/>
        <v>0</v>
      </c>
      <c r="AB108" s="393" t="e">
        <f t="shared" si="19"/>
        <v>#DIV/0!</v>
      </c>
      <c r="AC108" s="486" t="e">
        <f t="shared" si="20"/>
        <v>#DIV/0!</v>
      </c>
      <c r="AD108" s="11"/>
      <c r="AE108" s="301" t="str">
        <f>AF108&amp;TM[[#This Row],[Insurer Code]]&amp;"; "&amp;AG108&amp;TM[[#This Row],[Reporting Year]]&amp;"; "&amp;AH108&amp;TM[[#This Row],[Insurance Category Code]]&amp;"; "&amp;AI108&amp;TM[[#This Row],[Large Provider Entity Code]]</f>
        <v xml:space="preserve">Insurer Code ; Reporting Year ; Insurance Category Code ; Large Provider Entity Code </v>
      </c>
      <c r="AF108" s="297" t="s">
        <v>197</v>
      </c>
      <c r="AG108" s="297" t="s">
        <v>198</v>
      </c>
      <c r="AH108" s="297" t="s">
        <v>199</v>
      </c>
      <c r="AI108" s="297" t="s">
        <v>200</v>
      </c>
      <c r="AJ108" s="297"/>
      <c r="AK108" s="297"/>
      <c r="AL108" s="297"/>
      <c r="AM108" s="11"/>
      <c r="AN108" s="11"/>
      <c r="AO108" s="11"/>
    </row>
    <row r="109" spans="1:41" x14ac:dyDescent="0.4">
      <c r="A109" s="291"/>
      <c r="B109" s="292"/>
      <c r="C109" s="312"/>
      <c r="D109"/>
      <c r="E109" s="325"/>
      <c r="F109" s="143"/>
      <c r="G109" s="143"/>
      <c r="H109" s="143"/>
      <c r="I109" s="143"/>
      <c r="J109" s="143"/>
      <c r="K109" s="143"/>
      <c r="L109" s="143"/>
      <c r="M109" s="143"/>
      <c r="N109" s="143"/>
      <c r="O109" s="143"/>
      <c r="P109" s="143"/>
      <c r="Q109" s="143"/>
      <c r="R109" s="143"/>
      <c r="S109" s="143"/>
      <c r="T109" s="143"/>
      <c r="U109" s="143"/>
      <c r="V109" s="325"/>
      <c r="W109" s="393">
        <f t="shared" si="14"/>
        <v>0</v>
      </c>
      <c r="X109" s="393">
        <f t="shared" si="15"/>
        <v>0</v>
      </c>
      <c r="Y109" s="393">
        <f t="shared" si="16"/>
        <v>0</v>
      </c>
      <c r="Z109" s="393">
        <f t="shared" si="17"/>
        <v>0</v>
      </c>
      <c r="AA109" s="393">
        <f t="shared" si="18"/>
        <v>0</v>
      </c>
      <c r="AB109" s="393" t="e">
        <f t="shared" si="19"/>
        <v>#DIV/0!</v>
      </c>
      <c r="AC109" s="486" t="e">
        <f t="shared" si="20"/>
        <v>#DIV/0!</v>
      </c>
      <c r="AD109" s="11"/>
      <c r="AE109" s="301" t="str">
        <f>AF109&amp;TM[[#This Row],[Insurer Code]]&amp;"; "&amp;AG109&amp;TM[[#This Row],[Reporting Year]]&amp;"; "&amp;AH109&amp;TM[[#This Row],[Insurance Category Code]]&amp;"; "&amp;AI109&amp;TM[[#This Row],[Large Provider Entity Code]]</f>
        <v xml:space="preserve">Insurer Code ; Reporting Year ; Insurance Category Code ; Large Provider Entity Code </v>
      </c>
      <c r="AF109" s="297" t="s">
        <v>197</v>
      </c>
      <c r="AG109" s="297" t="s">
        <v>198</v>
      </c>
      <c r="AH109" s="297" t="s">
        <v>199</v>
      </c>
      <c r="AI109" s="297" t="s">
        <v>200</v>
      </c>
      <c r="AJ109" s="297"/>
      <c r="AK109" s="297"/>
      <c r="AL109" s="297"/>
      <c r="AM109" s="11"/>
      <c r="AN109" s="11"/>
      <c r="AO109" s="11"/>
    </row>
    <row r="110" spans="1:41" x14ac:dyDescent="0.4">
      <c r="A110" s="291"/>
      <c r="B110" s="292"/>
      <c r="C110" s="312"/>
      <c r="D110"/>
      <c r="E110" s="325"/>
      <c r="F110" s="143"/>
      <c r="G110" s="143"/>
      <c r="H110" s="143"/>
      <c r="I110" s="143"/>
      <c r="J110" s="143"/>
      <c r="K110" s="143"/>
      <c r="L110" s="143"/>
      <c r="M110" s="143"/>
      <c r="N110" s="143"/>
      <c r="O110" s="143"/>
      <c r="P110" s="143"/>
      <c r="Q110" s="143"/>
      <c r="R110" s="143"/>
      <c r="S110" s="143"/>
      <c r="T110" s="143"/>
      <c r="U110" s="143"/>
      <c r="V110" s="325"/>
      <c r="W110" s="393">
        <f t="shared" si="14"/>
        <v>0</v>
      </c>
      <c r="X110" s="393">
        <f t="shared" si="15"/>
        <v>0</v>
      </c>
      <c r="Y110" s="393">
        <f t="shared" si="16"/>
        <v>0</v>
      </c>
      <c r="Z110" s="393">
        <f t="shared" si="17"/>
        <v>0</v>
      </c>
      <c r="AA110" s="393">
        <f t="shared" si="18"/>
        <v>0</v>
      </c>
      <c r="AB110" s="393" t="e">
        <f t="shared" si="19"/>
        <v>#DIV/0!</v>
      </c>
      <c r="AC110" s="486" t="e">
        <f t="shared" si="20"/>
        <v>#DIV/0!</v>
      </c>
      <c r="AD110" s="11"/>
      <c r="AE110" s="301" t="str">
        <f>AF110&amp;TM[[#This Row],[Insurer Code]]&amp;"; "&amp;AG110&amp;TM[[#This Row],[Reporting Year]]&amp;"; "&amp;AH110&amp;TM[[#This Row],[Insurance Category Code]]&amp;"; "&amp;AI110&amp;TM[[#This Row],[Large Provider Entity Code]]</f>
        <v xml:space="preserve">Insurer Code ; Reporting Year ; Insurance Category Code ; Large Provider Entity Code </v>
      </c>
      <c r="AF110" s="297" t="s">
        <v>197</v>
      </c>
      <c r="AG110" s="297" t="s">
        <v>198</v>
      </c>
      <c r="AH110" s="297" t="s">
        <v>199</v>
      </c>
      <c r="AI110" s="297" t="s">
        <v>200</v>
      </c>
      <c r="AJ110" s="297"/>
      <c r="AK110" s="297"/>
      <c r="AL110" s="297"/>
      <c r="AM110" s="11"/>
      <c r="AN110" s="11"/>
      <c r="AO110" s="11"/>
    </row>
    <row r="111" spans="1:41" x14ac:dyDescent="0.4">
      <c r="A111" s="291"/>
      <c r="B111" s="292"/>
      <c r="C111" s="312"/>
      <c r="D111"/>
      <c r="E111" s="325"/>
      <c r="F111" s="143"/>
      <c r="G111" s="143"/>
      <c r="H111" s="143"/>
      <c r="I111" s="143"/>
      <c r="J111" s="143"/>
      <c r="K111" s="143"/>
      <c r="L111" s="143"/>
      <c r="M111" s="143"/>
      <c r="N111" s="143"/>
      <c r="O111" s="143"/>
      <c r="P111" s="143"/>
      <c r="Q111" s="143"/>
      <c r="R111" s="143"/>
      <c r="S111" s="143"/>
      <c r="T111" s="143"/>
      <c r="U111" s="143"/>
      <c r="V111" s="325"/>
      <c r="W111" s="393">
        <f t="shared" si="14"/>
        <v>0</v>
      </c>
      <c r="X111" s="393">
        <f t="shared" si="15"/>
        <v>0</v>
      </c>
      <c r="Y111" s="393">
        <f t="shared" si="16"/>
        <v>0</v>
      </c>
      <c r="Z111" s="393">
        <f t="shared" si="17"/>
        <v>0</v>
      </c>
      <c r="AA111" s="393">
        <f t="shared" si="18"/>
        <v>0</v>
      </c>
      <c r="AB111" s="393" t="e">
        <f t="shared" si="19"/>
        <v>#DIV/0!</v>
      </c>
      <c r="AC111" s="486" t="e">
        <f t="shared" si="20"/>
        <v>#DIV/0!</v>
      </c>
      <c r="AD111" s="11"/>
      <c r="AE111" s="301" t="str">
        <f>AF111&amp;TM[[#This Row],[Insurer Code]]&amp;"; "&amp;AG111&amp;TM[[#This Row],[Reporting Year]]&amp;"; "&amp;AH111&amp;TM[[#This Row],[Insurance Category Code]]&amp;"; "&amp;AI111&amp;TM[[#This Row],[Large Provider Entity Code]]</f>
        <v xml:space="preserve">Insurer Code ; Reporting Year ; Insurance Category Code ; Large Provider Entity Code </v>
      </c>
      <c r="AF111" s="297" t="s">
        <v>197</v>
      </c>
      <c r="AG111" s="297" t="s">
        <v>198</v>
      </c>
      <c r="AH111" s="297" t="s">
        <v>199</v>
      </c>
      <c r="AI111" s="297" t="s">
        <v>200</v>
      </c>
      <c r="AJ111" s="297"/>
      <c r="AK111" s="297"/>
      <c r="AL111" s="297"/>
      <c r="AM111" s="11"/>
      <c r="AN111" s="11"/>
      <c r="AO111" s="11"/>
    </row>
    <row r="112" spans="1:41" x14ac:dyDescent="0.4">
      <c r="A112" s="291"/>
      <c r="B112" s="292"/>
      <c r="C112" s="312"/>
      <c r="D112"/>
      <c r="E112" s="325"/>
      <c r="F112" s="143"/>
      <c r="G112" s="143"/>
      <c r="H112" s="143"/>
      <c r="I112" s="143"/>
      <c r="J112" s="143"/>
      <c r="K112" s="143"/>
      <c r="L112" s="143"/>
      <c r="M112" s="143"/>
      <c r="N112" s="143"/>
      <c r="O112" s="143"/>
      <c r="P112" s="143"/>
      <c r="Q112" s="143"/>
      <c r="R112" s="143"/>
      <c r="S112" s="143"/>
      <c r="T112" s="143"/>
      <c r="U112" s="143"/>
      <c r="V112" s="325"/>
      <c r="W112" s="393">
        <f t="shared" si="14"/>
        <v>0</v>
      </c>
      <c r="X112" s="393">
        <f t="shared" si="15"/>
        <v>0</v>
      </c>
      <c r="Y112" s="393">
        <f t="shared" si="16"/>
        <v>0</v>
      </c>
      <c r="Z112" s="393">
        <f t="shared" si="17"/>
        <v>0</v>
      </c>
      <c r="AA112" s="393">
        <f t="shared" si="18"/>
        <v>0</v>
      </c>
      <c r="AB112" s="393" t="e">
        <f t="shared" si="19"/>
        <v>#DIV/0!</v>
      </c>
      <c r="AC112" s="486" t="e">
        <f t="shared" si="20"/>
        <v>#DIV/0!</v>
      </c>
      <c r="AD112" s="11"/>
      <c r="AE112" s="301" t="str">
        <f>AF112&amp;TM[[#This Row],[Insurer Code]]&amp;"; "&amp;AG112&amp;TM[[#This Row],[Reporting Year]]&amp;"; "&amp;AH112&amp;TM[[#This Row],[Insurance Category Code]]&amp;"; "&amp;AI112&amp;TM[[#This Row],[Large Provider Entity Code]]</f>
        <v xml:space="preserve">Insurer Code ; Reporting Year ; Insurance Category Code ; Large Provider Entity Code </v>
      </c>
      <c r="AF112" s="297" t="s">
        <v>197</v>
      </c>
      <c r="AG112" s="297" t="s">
        <v>198</v>
      </c>
      <c r="AH112" s="297" t="s">
        <v>199</v>
      </c>
      <c r="AI112" s="297" t="s">
        <v>200</v>
      </c>
      <c r="AJ112" s="297"/>
      <c r="AK112" s="297"/>
      <c r="AL112" s="297"/>
      <c r="AM112" s="11"/>
      <c r="AN112" s="11"/>
      <c r="AO112" s="11"/>
    </row>
    <row r="113" spans="1:41" x14ac:dyDescent="0.4">
      <c r="A113" s="291"/>
      <c r="B113" s="292"/>
      <c r="C113" s="312"/>
      <c r="D113"/>
      <c r="E113" s="325"/>
      <c r="F113" s="143"/>
      <c r="G113" s="143"/>
      <c r="H113" s="143"/>
      <c r="I113" s="143"/>
      <c r="J113" s="143"/>
      <c r="K113" s="143"/>
      <c r="L113" s="143"/>
      <c r="M113" s="143"/>
      <c r="N113" s="143"/>
      <c r="O113" s="143"/>
      <c r="P113" s="143"/>
      <c r="Q113" s="143"/>
      <c r="R113" s="143"/>
      <c r="S113" s="143"/>
      <c r="T113" s="143"/>
      <c r="U113" s="143"/>
      <c r="V113" s="325"/>
      <c r="W113" s="393">
        <f t="shared" si="14"/>
        <v>0</v>
      </c>
      <c r="X113" s="393">
        <f t="shared" si="15"/>
        <v>0</v>
      </c>
      <c r="Y113" s="393">
        <f t="shared" si="16"/>
        <v>0</v>
      </c>
      <c r="Z113" s="393">
        <f t="shared" si="17"/>
        <v>0</v>
      </c>
      <c r="AA113" s="393">
        <f t="shared" si="18"/>
        <v>0</v>
      </c>
      <c r="AB113" s="393" t="e">
        <f t="shared" si="19"/>
        <v>#DIV/0!</v>
      </c>
      <c r="AC113" s="486" t="e">
        <f t="shared" si="20"/>
        <v>#DIV/0!</v>
      </c>
      <c r="AD113" s="11"/>
      <c r="AE113" s="301" t="str">
        <f>AF113&amp;TM[[#This Row],[Insurer Code]]&amp;"; "&amp;AG113&amp;TM[[#This Row],[Reporting Year]]&amp;"; "&amp;AH113&amp;TM[[#This Row],[Insurance Category Code]]&amp;"; "&amp;AI113&amp;TM[[#This Row],[Large Provider Entity Code]]</f>
        <v xml:space="preserve">Insurer Code ; Reporting Year ; Insurance Category Code ; Large Provider Entity Code </v>
      </c>
      <c r="AF113" s="297" t="s">
        <v>197</v>
      </c>
      <c r="AG113" s="297" t="s">
        <v>198</v>
      </c>
      <c r="AH113" s="297" t="s">
        <v>199</v>
      </c>
      <c r="AI113" s="297" t="s">
        <v>200</v>
      </c>
      <c r="AJ113" s="297"/>
      <c r="AK113" s="297"/>
      <c r="AL113" s="297"/>
      <c r="AM113" s="11"/>
      <c r="AN113" s="11"/>
      <c r="AO113" s="11"/>
    </row>
    <row r="114" spans="1:41" x14ac:dyDescent="0.4">
      <c r="A114" s="291"/>
      <c r="B114" s="292"/>
      <c r="C114" s="312"/>
      <c r="D114"/>
      <c r="E114" s="325"/>
      <c r="F114" s="143"/>
      <c r="G114" s="143"/>
      <c r="H114" s="143"/>
      <c r="I114" s="143"/>
      <c r="J114" s="143"/>
      <c r="K114" s="143"/>
      <c r="L114" s="143"/>
      <c r="M114" s="143"/>
      <c r="N114" s="143"/>
      <c r="O114" s="143"/>
      <c r="P114" s="143"/>
      <c r="Q114" s="143"/>
      <c r="R114" s="143"/>
      <c r="S114" s="143"/>
      <c r="T114" s="143"/>
      <c r="U114" s="143"/>
      <c r="V114" s="325"/>
      <c r="W114" s="393">
        <f t="shared" si="14"/>
        <v>0</v>
      </c>
      <c r="X114" s="393">
        <f t="shared" si="15"/>
        <v>0</v>
      </c>
      <c r="Y114" s="393">
        <f t="shared" si="16"/>
        <v>0</v>
      </c>
      <c r="Z114" s="393">
        <f t="shared" si="17"/>
        <v>0</v>
      </c>
      <c r="AA114" s="393">
        <f t="shared" si="18"/>
        <v>0</v>
      </c>
      <c r="AB114" s="393" t="e">
        <f t="shared" si="19"/>
        <v>#DIV/0!</v>
      </c>
      <c r="AC114" s="486" t="e">
        <f t="shared" si="20"/>
        <v>#DIV/0!</v>
      </c>
      <c r="AD114" s="11"/>
      <c r="AE114" s="301" t="str">
        <f>AF114&amp;TM[[#This Row],[Insurer Code]]&amp;"; "&amp;AG114&amp;TM[[#This Row],[Reporting Year]]&amp;"; "&amp;AH114&amp;TM[[#This Row],[Insurance Category Code]]&amp;"; "&amp;AI114&amp;TM[[#This Row],[Large Provider Entity Code]]</f>
        <v xml:space="preserve">Insurer Code ; Reporting Year ; Insurance Category Code ; Large Provider Entity Code </v>
      </c>
      <c r="AF114" s="297" t="s">
        <v>197</v>
      </c>
      <c r="AG114" s="297" t="s">
        <v>198</v>
      </c>
      <c r="AH114" s="297" t="s">
        <v>199</v>
      </c>
      <c r="AI114" s="297" t="s">
        <v>200</v>
      </c>
      <c r="AJ114" s="297"/>
      <c r="AK114" s="297"/>
      <c r="AL114" s="297"/>
      <c r="AM114" s="11"/>
      <c r="AN114" s="11"/>
      <c r="AO114" s="11"/>
    </row>
    <row r="115" spans="1:41" x14ac:dyDescent="0.4">
      <c r="A115" s="291"/>
      <c r="B115" s="292"/>
      <c r="C115" s="312"/>
      <c r="D115"/>
      <c r="E115" s="325"/>
      <c r="F115" s="143"/>
      <c r="G115" s="143"/>
      <c r="H115" s="143"/>
      <c r="I115" s="143"/>
      <c r="J115" s="143"/>
      <c r="K115" s="143"/>
      <c r="L115" s="143"/>
      <c r="M115" s="143"/>
      <c r="N115" s="143"/>
      <c r="O115" s="143"/>
      <c r="P115" s="143"/>
      <c r="Q115" s="143"/>
      <c r="R115" s="143"/>
      <c r="S115" s="143"/>
      <c r="T115" s="143"/>
      <c r="U115" s="143"/>
      <c r="V115" s="325"/>
      <c r="W115" s="393">
        <f t="shared" si="14"/>
        <v>0</v>
      </c>
      <c r="X115" s="393">
        <f t="shared" si="15"/>
        <v>0</v>
      </c>
      <c r="Y115" s="393">
        <f t="shared" si="16"/>
        <v>0</v>
      </c>
      <c r="Z115" s="393">
        <f t="shared" si="17"/>
        <v>0</v>
      </c>
      <c r="AA115" s="393">
        <f t="shared" si="18"/>
        <v>0</v>
      </c>
      <c r="AB115" s="393" t="e">
        <f t="shared" si="19"/>
        <v>#DIV/0!</v>
      </c>
      <c r="AC115" s="486" t="e">
        <f t="shared" si="20"/>
        <v>#DIV/0!</v>
      </c>
      <c r="AD115" s="11"/>
      <c r="AE115" s="301" t="str">
        <f>AF115&amp;TM[[#This Row],[Insurer Code]]&amp;"; "&amp;AG115&amp;TM[[#This Row],[Reporting Year]]&amp;"; "&amp;AH115&amp;TM[[#This Row],[Insurance Category Code]]&amp;"; "&amp;AI115&amp;TM[[#This Row],[Large Provider Entity Code]]</f>
        <v xml:space="preserve">Insurer Code ; Reporting Year ; Insurance Category Code ; Large Provider Entity Code </v>
      </c>
      <c r="AF115" s="297" t="s">
        <v>197</v>
      </c>
      <c r="AG115" s="297" t="s">
        <v>198</v>
      </c>
      <c r="AH115" s="297" t="s">
        <v>199</v>
      </c>
      <c r="AI115" s="297" t="s">
        <v>200</v>
      </c>
      <c r="AJ115" s="297"/>
      <c r="AK115" s="297"/>
      <c r="AL115" s="297"/>
      <c r="AM115" s="11"/>
      <c r="AN115" s="11"/>
      <c r="AO115" s="11"/>
    </row>
    <row r="116" spans="1:41" ht="15.75" customHeight="1" x14ac:dyDescent="0.4">
      <c r="A116" s="291"/>
      <c r="B116" s="292"/>
      <c r="C116" s="312"/>
      <c r="D116"/>
      <c r="E116" s="325"/>
      <c r="F116" s="143"/>
      <c r="G116" s="143"/>
      <c r="H116" s="143"/>
      <c r="I116" s="143"/>
      <c r="J116" s="143"/>
      <c r="K116" s="143"/>
      <c r="L116" s="143"/>
      <c r="M116" s="143"/>
      <c r="N116" s="143"/>
      <c r="O116" s="143"/>
      <c r="P116" s="143"/>
      <c r="Q116" s="143"/>
      <c r="R116" s="143"/>
      <c r="S116" s="143"/>
      <c r="T116" s="143"/>
      <c r="U116" s="143"/>
      <c r="V116" s="325"/>
      <c r="W116" s="393">
        <f t="shared" si="14"/>
        <v>0</v>
      </c>
      <c r="X116" s="393">
        <f t="shared" si="15"/>
        <v>0</v>
      </c>
      <c r="Y116" s="393">
        <f t="shared" si="16"/>
        <v>0</v>
      </c>
      <c r="Z116" s="393">
        <f t="shared" si="17"/>
        <v>0</v>
      </c>
      <c r="AA116" s="393">
        <f t="shared" si="18"/>
        <v>0</v>
      </c>
      <c r="AB116" s="393" t="e">
        <f t="shared" si="19"/>
        <v>#DIV/0!</v>
      </c>
      <c r="AC116" s="486" t="e">
        <f t="shared" si="20"/>
        <v>#DIV/0!</v>
      </c>
      <c r="AD116" s="11"/>
      <c r="AE116" s="301" t="str">
        <f>AF116&amp;TM[[#This Row],[Insurer Code]]&amp;"; "&amp;AG116&amp;TM[[#This Row],[Reporting Year]]&amp;"; "&amp;AH116&amp;TM[[#This Row],[Insurance Category Code]]&amp;"; "&amp;AI116&amp;TM[[#This Row],[Large Provider Entity Code]]</f>
        <v xml:space="preserve">Insurer Code ; Reporting Year ; Insurance Category Code ; Large Provider Entity Code </v>
      </c>
      <c r="AF116" s="297" t="s">
        <v>197</v>
      </c>
      <c r="AG116" s="297" t="s">
        <v>198</v>
      </c>
      <c r="AH116" s="297" t="s">
        <v>199</v>
      </c>
      <c r="AI116" s="297" t="s">
        <v>200</v>
      </c>
      <c r="AJ116" s="297"/>
      <c r="AK116" s="297"/>
      <c r="AL116" s="297"/>
      <c r="AM116" s="11"/>
      <c r="AN116" s="11"/>
      <c r="AO116" s="11"/>
    </row>
    <row r="117" spans="1:41" x14ac:dyDescent="0.4">
      <c r="A117" s="291"/>
      <c r="B117" s="292"/>
      <c r="C117" s="312"/>
      <c r="D117"/>
      <c r="E117" s="325"/>
      <c r="F117" s="143"/>
      <c r="G117" s="143"/>
      <c r="H117" s="143"/>
      <c r="I117" s="143"/>
      <c r="J117" s="143"/>
      <c r="K117" s="143"/>
      <c r="L117" s="143"/>
      <c r="M117" s="143"/>
      <c r="N117" s="143"/>
      <c r="O117" s="143"/>
      <c r="P117" s="143"/>
      <c r="Q117" s="143"/>
      <c r="R117" s="143"/>
      <c r="S117" s="143"/>
      <c r="T117" s="143"/>
      <c r="U117" s="143"/>
      <c r="V117" s="325"/>
      <c r="W117" s="393">
        <f t="shared" si="14"/>
        <v>0</v>
      </c>
      <c r="X117" s="393">
        <f t="shared" si="15"/>
        <v>0</v>
      </c>
      <c r="Y117" s="393">
        <f t="shared" si="16"/>
        <v>0</v>
      </c>
      <c r="Z117" s="393">
        <f t="shared" si="17"/>
        <v>0</v>
      </c>
      <c r="AA117" s="393">
        <f t="shared" si="18"/>
        <v>0</v>
      </c>
      <c r="AB117" s="393" t="e">
        <f t="shared" si="19"/>
        <v>#DIV/0!</v>
      </c>
      <c r="AC117" s="486" t="e">
        <f t="shared" si="20"/>
        <v>#DIV/0!</v>
      </c>
      <c r="AD117" s="11"/>
      <c r="AE117" s="301" t="str">
        <f>AF117&amp;TM[[#This Row],[Insurer Code]]&amp;"; "&amp;AG117&amp;TM[[#This Row],[Reporting Year]]&amp;"; "&amp;AH117&amp;TM[[#This Row],[Insurance Category Code]]&amp;"; "&amp;AI117&amp;TM[[#This Row],[Large Provider Entity Code]]</f>
        <v xml:space="preserve">Insurer Code ; Reporting Year ; Insurance Category Code ; Large Provider Entity Code </v>
      </c>
      <c r="AF117" s="297" t="s">
        <v>197</v>
      </c>
      <c r="AG117" s="297" t="s">
        <v>198</v>
      </c>
      <c r="AH117" s="297" t="s">
        <v>199</v>
      </c>
      <c r="AI117" s="297" t="s">
        <v>200</v>
      </c>
      <c r="AJ117" s="297"/>
      <c r="AK117" s="297"/>
      <c r="AL117" s="297"/>
      <c r="AM117" s="11"/>
      <c r="AN117" s="11"/>
      <c r="AO117" s="11"/>
    </row>
    <row r="118" spans="1:41" x14ac:dyDescent="0.4">
      <c r="A118" s="291"/>
      <c r="B118" s="292"/>
      <c r="C118" s="312"/>
      <c r="D118"/>
      <c r="E118" s="325"/>
      <c r="F118" s="143"/>
      <c r="G118" s="143"/>
      <c r="H118" s="143"/>
      <c r="I118" s="143"/>
      <c r="J118" s="143"/>
      <c r="K118" s="143"/>
      <c r="L118" s="143"/>
      <c r="M118" s="143"/>
      <c r="N118" s="143"/>
      <c r="O118" s="143"/>
      <c r="P118" s="143"/>
      <c r="Q118" s="143"/>
      <c r="R118" s="143"/>
      <c r="S118" s="143"/>
      <c r="T118" s="143"/>
      <c r="U118" s="143"/>
      <c r="V118" s="325"/>
      <c r="W118" s="393">
        <f t="shared" si="14"/>
        <v>0</v>
      </c>
      <c r="X118" s="393">
        <f t="shared" si="15"/>
        <v>0</v>
      </c>
      <c r="Y118" s="393">
        <f t="shared" si="16"/>
        <v>0</v>
      </c>
      <c r="Z118" s="393">
        <f t="shared" si="17"/>
        <v>0</v>
      </c>
      <c r="AA118" s="393">
        <f t="shared" si="18"/>
        <v>0</v>
      </c>
      <c r="AB118" s="393" t="e">
        <f t="shared" si="19"/>
        <v>#DIV/0!</v>
      </c>
      <c r="AC118" s="486" t="e">
        <f t="shared" si="20"/>
        <v>#DIV/0!</v>
      </c>
      <c r="AD118" s="11"/>
      <c r="AE118" s="301" t="str">
        <f>AF118&amp;TM[[#This Row],[Insurer Code]]&amp;"; "&amp;AG118&amp;TM[[#This Row],[Reporting Year]]&amp;"; "&amp;AH118&amp;TM[[#This Row],[Insurance Category Code]]&amp;"; "&amp;AI118&amp;TM[[#This Row],[Large Provider Entity Code]]</f>
        <v xml:space="preserve">Insurer Code ; Reporting Year ; Insurance Category Code ; Large Provider Entity Code </v>
      </c>
      <c r="AF118" s="297" t="s">
        <v>197</v>
      </c>
      <c r="AG118" s="297" t="s">
        <v>198</v>
      </c>
      <c r="AH118" s="297" t="s">
        <v>199</v>
      </c>
      <c r="AI118" s="297" t="s">
        <v>200</v>
      </c>
      <c r="AJ118" s="297"/>
      <c r="AK118" s="297"/>
      <c r="AL118" s="297"/>
      <c r="AM118" s="11"/>
      <c r="AN118" s="11"/>
      <c r="AO118" s="11"/>
    </row>
    <row r="119" spans="1:41" x14ac:dyDescent="0.4">
      <c r="A119" s="291"/>
      <c r="B119" s="292"/>
      <c r="C119" s="312"/>
      <c r="D119"/>
      <c r="E119" s="325"/>
      <c r="F119" s="143"/>
      <c r="G119" s="143"/>
      <c r="H119" s="143"/>
      <c r="I119" s="143"/>
      <c r="J119" s="143"/>
      <c r="K119" s="143"/>
      <c r="L119" s="143"/>
      <c r="M119" s="143"/>
      <c r="N119" s="143"/>
      <c r="O119" s="143"/>
      <c r="P119" s="143"/>
      <c r="Q119" s="143"/>
      <c r="R119" s="143"/>
      <c r="S119" s="143"/>
      <c r="T119" s="143"/>
      <c r="U119" s="143"/>
      <c r="V119" s="325"/>
      <c r="W119" s="393">
        <f t="shared" si="14"/>
        <v>0</v>
      </c>
      <c r="X119" s="393">
        <f t="shared" si="15"/>
        <v>0</v>
      </c>
      <c r="Y119" s="393">
        <f t="shared" si="16"/>
        <v>0</v>
      </c>
      <c r="Z119" s="393">
        <f t="shared" si="17"/>
        <v>0</v>
      </c>
      <c r="AA119" s="393">
        <f t="shared" si="18"/>
        <v>0</v>
      </c>
      <c r="AB119" s="393" t="e">
        <f t="shared" si="19"/>
        <v>#DIV/0!</v>
      </c>
      <c r="AC119" s="486" t="e">
        <f t="shared" si="20"/>
        <v>#DIV/0!</v>
      </c>
      <c r="AD119" s="11"/>
      <c r="AE119" s="301" t="str">
        <f>AF119&amp;TM[[#This Row],[Insurer Code]]&amp;"; "&amp;AG119&amp;TM[[#This Row],[Reporting Year]]&amp;"; "&amp;AH119&amp;TM[[#This Row],[Insurance Category Code]]&amp;"; "&amp;AI119&amp;TM[[#This Row],[Large Provider Entity Code]]</f>
        <v xml:space="preserve">Insurer Code ; Reporting Year ; Insurance Category Code ; Large Provider Entity Code </v>
      </c>
      <c r="AF119" s="297" t="s">
        <v>197</v>
      </c>
      <c r="AG119" s="297" t="s">
        <v>198</v>
      </c>
      <c r="AH119" s="297" t="s">
        <v>199</v>
      </c>
      <c r="AI119" s="297" t="s">
        <v>200</v>
      </c>
      <c r="AJ119" s="297"/>
      <c r="AK119" s="297"/>
      <c r="AL119" s="297"/>
      <c r="AM119" s="11"/>
      <c r="AN119" s="11"/>
      <c r="AO119" s="11"/>
    </row>
    <row r="120" spans="1:41" x14ac:dyDescent="0.4">
      <c r="A120" s="291"/>
      <c r="B120" s="292"/>
      <c r="C120" s="312"/>
      <c r="D120"/>
      <c r="E120" s="325"/>
      <c r="F120" s="143"/>
      <c r="G120" s="143"/>
      <c r="H120" s="143"/>
      <c r="I120" s="143"/>
      <c r="J120" s="143"/>
      <c r="K120" s="143"/>
      <c r="L120" s="143"/>
      <c r="M120" s="143"/>
      <c r="N120" s="143"/>
      <c r="O120" s="143"/>
      <c r="P120" s="143"/>
      <c r="Q120" s="143"/>
      <c r="R120" s="143"/>
      <c r="S120" s="143"/>
      <c r="T120" s="143"/>
      <c r="U120" s="143"/>
      <c r="V120" s="325"/>
      <c r="W120" s="393">
        <f t="shared" si="14"/>
        <v>0</v>
      </c>
      <c r="X120" s="393">
        <f t="shared" si="15"/>
        <v>0</v>
      </c>
      <c r="Y120" s="393">
        <f t="shared" si="16"/>
        <v>0</v>
      </c>
      <c r="Z120" s="393">
        <f t="shared" si="17"/>
        <v>0</v>
      </c>
      <c r="AA120" s="393">
        <f t="shared" si="18"/>
        <v>0</v>
      </c>
      <c r="AB120" s="393" t="e">
        <f t="shared" si="19"/>
        <v>#DIV/0!</v>
      </c>
      <c r="AC120" s="486" t="e">
        <f t="shared" si="20"/>
        <v>#DIV/0!</v>
      </c>
      <c r="AD120" s="11"/>
      <c r="AE120" s="301" t="str">
        <f>AF120&amp;TM[[#This Row],[Insurer Code]]&amp;"; "&amp;AG120&amp;TM[[#This Row],[Reporting Year]]&amp;"; "&amp;AH120&amp;TM[[#This Row],[Insurance Category Code]]&amp;"; "&amp;AI120&amp;TM[[#This Row],[Large Provider Entity Code]]</f>
        <v xml:space="preserve">Insurer Code ; Reporting Year ; Insurance Category Code ; Large Provider Entity Code </v>
      </c>
      <c r="AF120" s="297" t="s">
        <v>197</v>
      </c>
      <c r="AG120" s="297" t="s">
        <v>198</v>
      </c>
      <c r="AH120" s="297" t="s">
        <v>199</v>
      </c>
      <c r="AI120" s="297" t="s">
        <v>200</v>
      </c>
      <c r="AJ120" s="297"/>
      <c r="AK120" s="297"/>
      <c r="AL120" s="297"/>
      <c r="AM120" s="11"/>
      <c r="AN120" s="11"/>
      <c r="AO120" s="11"/>
    </row>
    <row r="121" spans="1:41" x14ac:dyDescent="0.4">
      <c r="A121" s="291"/>
      <c r="B121" s="292"/>
      <c r="C121" s="312"/>
      <c r="D121"/>
      <c r="E121" s="325"/>
      <c r="F121" s="143"/>
      <c r="G121" s="143"/>
      <c r="H121" s="143"/>
      <c r="I121" s="143"/>
      <c r="J121" s="143"/>
      <c r="K121" s="143"/>
      <c r="L121" s="143"/>
      <c r="M121" s="143"/>
      <c r="N121" s="143"/>
      <c r="O121" s="143"/>
      <c r="P121" s="143"/>
      <c r="Q121" s="143"/>
      <c r="R121" s="143"/>
      <c r="S121" s="143"/>
      <c r="T121" s="143"/>
      <c r="U121" s="143"/>
      <c r="V121" s="325"/>
      <c r="W121" s="393">
        <f t="shared" si="14"/>
        <v>0</v>
      </c>
      <c r="X121" s="393">
        <f t="shared" si="15"/>
        <v>0</v>
      </c>
      <c r="Y121" s="393">
        <f t="shared" si="16"/>
        <v>0</v>
      </c>
      <c r="Z121" s="393">
        <f t="shared" si="17"/>
        <v>0</v>
      </c>
      <c r="AA121" s="393">
        <f t="shared" si="18"/>
        <v>0</v>
      </c>
      <c r="AB121" s="393" t="e">
        <f t="shared" si="19"/>
        <v>#DIV/0!</v>
      </c>
      <c r="AC121" s="486" t="e">
        <f t="shared" si="20"/>
        <v>#DIV/0!</v>
      </c>
      <c r="AD121" s="11"/>
      <c r="AE121" s="301" t="str">
        <f>AF121&amp;TM[[#This Row],[Insurer Code]]&amp;"; "&amp;AG121&amp;TM[[#This Row],[Reporting Year]]&amp;"; "&amp;AH121&amp;TM[[#This Row],[Insurance Category Code]]&amp;"; "&amp;AI121&amp;TM[[#This Row],[Large Provider Entity Code]]</f>
        <v xml:space="preserve">Insurer Code ; Reporting Year ; Insurance Category Code ; Large Provider Entity Code </v>
      </c>
      <c r="AF121" s="297" t="s">
        <v>197</v>
      </c>
      <c r="AG121" s="297" t="s">
        <v>198</v>
      </c>
      <c r="AH121" s="297" t="s">
        <v>199</v>
      </c>
      <c r="AI121" s="297" t="s">
        <v>200</v>
      </c>
      <c r="AJ121" s="297"/>
      <c r="AK121" s="297"/>
      <c r="AL121" s="297"/>
      <c r="AM121" s="11"/>
      <c r="AN121" s="11"/>
      <c r="AO121" s="11"/>
    </row>
    <row r="122" spans="1:41" x14ac:dyDescent="0.4">
      <c r="A122" s="291"/>
      <c r="B122" s="292"/>
      <c r="C122" s="312"/>
      <c r="D122"/>
      <c r="E122" s="325"/>
      <c r="F122" s="143"/>
      <c r="G122" s="143"/>
      <c r="H122" s="143"/>
      <c r="I122" s="143"/>
      <c r="J122" s="143"/>
      <c r="K122" s="143"/>
      <c r="L122" s="143"/>
      <c r="M122" s="143"/>
      <c r="N122" s="143"/>
      <c r="O122" s="143"/>
      <c r="P122" s="143"/>
      <c r="Q122" s="143"/>
      <c r="R122" s="143"/>
      <c r="S122" s="143"/>
      <c r="T122" s="143"/>
      <c r="U122" s="143"/>
      <c r="V122" s="325"/>
      <c r="W122" s="393">
        <f t="shared" si="14"/>
        <v>0</v>
      </c>
      <c r="X122" s="393">
        <f t="shared" si="15"/>
        <v>0</v>
      </c>
      <c r="Y122" s="393">
        <f t="shared" si="16"/>
        <v>0</v>
      </c>
      <c r="Z122" s="393">
        <f t="shared" si="17"/>
        <v>0</v>
      </c>
      <c r="AA122" s="393">
        <f t="shared" si="18"/>
        <v>0</v>
      </c>
      <c r="AB122" s="393" t="e">
        <f t="shared" si="19"/>
        <v>#DIV/0!</v>
      </c>
      <c r="AC122" s="486" t="e">
        <f t="shared" si="20"/>
        <v>#DIV/0!</v>
      </c>
      <c r="AD122" s="11"/>
      <c r="AE122" s="301" t="str">
        <f>AF122&amp;TM[[#This Row],[Insurer Code]]&amp;"; "&amp;AG122&amp;TM[[#This Row],[Reporting Year]]&amp;"; "&amp;AH122&amp;TM[[#This Row],[Insurance Category Code]]&amp;"; "&amp;AI122&amp;TM[[#This Row],[Large Provider Entity Code]]</f>
        <v xml:space="preserve">Insurer Code ; Reporting Year ; Insurance Category Code ; Large Provider Entity Code </v>
      </c>
      <c r="AF122" s="297" t="s">
        <v>197</v>
      </c>
      <c r="AG122" s="297" t="s">
        <v>198</v>
      </c>
      <c r="AH122" s="297" t="s">
        <v>199</v>
      </c>
      <c r="AI122" s="297" t="s">
        <v>200</v>
      </c>
      <c r="AJ122" s="297"/>
      <c r="AK122" s="297"/>
      <c r="AL122" s="297"/>
      <c r="AM122" s="11"/>
      <c r="AN122" s="11"/>
      <c r="AO122" s="11"/>
    </row>
    <row r="123" spans="1:41" x14ac:dyDescent="0.4">
      <c r="A123" s="291"/>
      <c r="B123" s="292"/>
      <c r="C123" s="312"/>
      <c r="D123"/>
      <c r="E123" s="325"/>
      <c r="F123" s="143"/>
      <c r="G123" s="143"/>
      <c r="H123" s="143"/>
      <c r="I123" s="143"/>
      <c r="J123" s="143"/>
      <c r="K123" s="143"/>
      <c r="L123" s="143"/>
      <c r="M123" s="143"/>
      <c r="N123" s="143"/>
      <c r="O123" s="143"/>
      <c r="P123" s="143"/>
      <c r="Q123" s="143"/>
      <c r="R123" s="143"/>
      <c r="S123" s="143"/>
      <c r="T123" s="143"/>
      <c r="U123" s="143"/>
      <c r="V123" s="325"/>
      <c r="W123" s="393">
        <f t="shared" si="14"/>
        <v>0</v>
      </c>
      <c r="X123" s="393">
        <f t="shared" si="15"/>
        <v>0</v>
      </c>
      <c r="Y123" s="393">
        <f t="shared" si="16"/>
        <v>0</v>
      </c>
      <c r="Z123" s="393">
        <f t="shared" si="17"/>
        <v>0</v>
      </c>
      <c r="AA123" s="393">
        <f t="shared" si="18"/>
        <v>0</v>
      </c>
      <c r="AB123" s="393" t="e">
        <f t="shared" si="19"/>
        <v>#DIV/0!</v>
      </c>
      <c r="AC123" s="486" t="e">
        <f t="shared" si="20"/>
        <v>#DIV/0!</v>
      </c>
      <c r="AD123" s="11"/>
      <c r="AE123" s="301" t="str">
        <f>AF123&amp;TM[[#This Row],[Insurer Code]]&amp;"; "&amp;AG123&amp;TM[[#This Row],[Reporting Year]]&amp;"; "&amp;AH123&amp;TM[[#This Row],[Insurance Category Code]]&amp;"; "&amp;AI123&amp;TM[[#This Row],[Large Provider Entity Code]]</f>
        <v xml:space="preserve">Insurer Code ; Reporting Year ; Insurance Category Code ; Large Provider Entity Code </v>
      </c>
      <c r="AF123" s="297" t="s">
        <v>197</v>
      </c>
      <c r="AG123" s="297" t="s">
        <v>198</v>
      </c>
      <c r="AH123" s="297" t="s">
        <v>199</v>
      </c>
      <c r="AI123" s="297" t="s">
        <v>200</v>
      </c>
      <c r="AJ123" s="297"/>
      <c r="AK123" s="297"/>
      <c r="AL123" s="297"/>
      <c r="AM123" s="11"/>
      <c r="AN123" s="11"/>
      <c r="AO123" s="11"/>
    </row>
    <row r="124" spans="1:41" x14ac:dyDescent="0.4">
      <c r="A124" s="291"/>
      <c r="B124" s="292"/>
      <c r="C124" s="312"/>
      <c r="D124"/>
      <c r="E124" s="325"/>
      <c r="F124" s="143"/>
      <c r="G124" s="143"/>
      <c r="H124" s="143"/>
      <c r="I124" s="143"/>
      <c r="J124" s="143"/>
      <c r="K124" s="143"/>
      <c r="L124" s="143"/>
      <c r="M124" s="143"/>
      <c r="N124" s="143"/>
      <c r="O124" s="143"/>
      <c r="P124" s="143"/>
      <c r="Q124" s="143"/>
      <c r="R124" s="143"/>
      <c r="S124" s="143"/>
      <c r="T124" s="143"/>
      <c r="U124" s="143"/>
      <c r="V124" s="325"/>
      <c r="W124" s="393">
        <f t="shared" si="14"/>
        <v>0</v>
      </c>
      <c r="X124" s="393">
        <f t="shared" si="15"/>
        <v>0</v>
      </c>
      <c r="Y124" s="393">
        <f t="shared" si="16"/>
        <v>0</v>
      </c>
      <c r="Z124" s="393">
        <f t="shared" si="17"/>
        <v>0</v>
      </c>
      <c r="AA124" s="393">
        <f t="shared" si="18"/>
        <v>0</v>
      </c>
      <c r="AB124" s="393" t="e">
        <f t="shared" si="19"/>
        <v>#DIV/0!</v>
      </c>
      <c r="AC124" s="486" t="e">
        <f t="shared" si="20"/>
        <v>#DIV/0!</v>
      </c>
      <c r="AD124" s="11"/>
      <c r="AE124" s="301" t="str">
        <f>AF124&amp;TM[[#This Row],[Insurer Code]]&amp;"; "&amp;AG124&amp;TM[[#This Row],[Reporting Year]]&amp;"; "&amp;AH124&amp;TM[[#This Row],[Insurance Category Code]]&amp;"; "&amp;AI124&amp;TM[[#This Row],[Large Provider Entity Code]]</f>
        <v xml:space="preserve">Insurer Code ; Reporting Year ; Insurance Category Code ; Large Provider Entity Code </v>
      </c>
      <c r="AF124" s="297" t="s">
        <v>197</v>
      </c>
      <c r="AG124" s="297" t="s">
        <v>198</v>
      </c>
      <c r="AH124" s="297" t="s">
        <v>199</v>
      </c>
      <c r="AI124" s="297" t="s">
        <v>200</v>
      </c>
      <c r="AJ124" s="297"/>
      <c r="AK124" s="297"/>
      <c r="AL124" s="297"/>
      <c r="AM124" s="11"/>
      <c r="AN124" s="11"/>
      <c r="AO124" s="11"/>
    </row>
    <row r="125" spans="1:41" x14ac:dyDescent="0.4">
      <c r="A125" s="291"/>
      <c r="B125" s="292"/>
      <c r="C125" s="312"/>
      <c r="D125"/>
      <c r="E125" s="325"/>
      <c r="F125" s="143"/>
      <c r="G125" s="143"/>
      <c r="H125" s="143"/>
      <c r="I125" s="143"/>
      <c r="J125" s="143"/>
      <c r="K125" s="143"/>
      <c r="L125" s="143"/>
      <c r="M125" s="143"/>
      <c r="N125" s="143"/>
      <c r="O125" s="143"/>
      <c r="P125" s="143"/>
      <c r="Q125" s="143"/>
      <c r="R125" s="143"/>
      <c r="S125" s="143"/>
      <c r="T125" s="143"/>
      <c r="U125" s="143"/>
      <c r="V125" s="325"/>
      <c r="W125" s="393">
        <f t="shared" si="14"/>
        <v>0</v>
      </c>
      <c r="X125" s="393">
        <f t="shared" si="15"/>
        <v>0</v>
      </c>
      <c r="Y125" s="393">
        <f t="shared" si="16"/>
        <v>0</v>
      </c>
      <c r="Z125" s="393">
        <f t="shared" si="17"/>
        <v>0</v>
      </c>
      <c r="AA125" s="393">
        <f t="shared" si="18"/>
        <v>0</v>
      </c>
      <c r="AB125" s="393" t="e">
        <f t="shared" si="19"/>
        <v>#DIV/0!</v>
      </c>
      <c r="AC125" s="486" t="e">
        <f t="shared" si="20"/>
        <v>#DIV/0!</v>
      </c>
      <c r="AD125" s="11"/>
      <c r="AE125" s="301" t="str">
        <f>AF125&amp;TM[[#This Row],[Insurer Code]]&amp;"; "&amp;AG125&amp;TM[[#This Row],[Reporting Year]]&amp;"; "&amp;AH125&amp;TM[[#This Row],[Insurance Category Code]]&amp;"; "&amp;AI125&amp;TM[[#This Row],[Large Provider Entity Code]]</f>
        <v xml:space="preserve">Insurer Code ; Reporting Year ; Insurance Category Code ; Large Provider Entity Code </v>
      </c>
      <c r="AF125" s="297" t="s">
        <v>197</v>
      </c>
      <c r="AG125" s="297" t="s">
        <v>198</v>
      </c>
      <c r="AH125" s="297" t="s">
        <v>199</v>
      </c>
      <c r="AI125" s="297" t="s">
        <v>200</v>
      </c>
      <c r="AJ125" s="297"/>
      <c r="AK125" s="297"/>
      <c r="AL125" s="297"/>
      <c r="AM125" s="11"/>
      <c r="AN125" s="11"/>
      <c r="AO125" s="11"/>
    </row>
    <row r="126" spans="1:41" x14ac:dyDescent="0.4">
      <c r="A126" s="291"/>
      <c r="B126" s="292"/>
      <c r="C126" s="312"/>
      <c r="D126"/>
      <c r="E126" s="325"/>
      <c r="F126" s="143"/>
      <c r="G126" s="143"/>
      <c r="H126" s="143"/>
      <c r="I126" s="143"/>
      <c r="J126" s="143"/>
      <c r="K126" s="143"/>
      <c r="L126" s="143"/>
      <c r="M126" s="143"/>
      <c r="N126" s="143"/>
      <c r="O126" s="143"/>
      <c r="P126" s="143"/>
      <c r="Q126" s="143"/>
      <c r="R126" s="143"/>
      <c r="S126" s="143"/>
      <c r="T126" s="143"/>
      <c r="U126" s="143"/>
      <c r="V126" s="325"/>
      <c r="W126" s="393">
        <f t="shared" si="14"/>
        <v>0</v>
      </c>
      <c r="X126" s="393">
        <f t="shared" si="15"/>
        <v>0</v>
      </c>
      <c r="Y126" s="393">
        <f t="shared" si="16"/>
        <v>0</v>
      </c>
      <c r="Z126" s="393">
        <f t="shared" si="17"/>
        <v>0</v>
      </c>
      <c r="AA126" s="393">
        <f t="shared" si="18"/>
        <v>0</v>
      </c>
      <c r="AB126" s="393" t="e">
        <f t="shared" si="19"/>
        <v>#DIV/0!</v>
      </c>
      <c r="AC126" s="486" t="e">
        <f t="shared" si="20"/>
        <v>#DIV/0!</v>
      </c>
      <c r="AD126" s="11"/>
      <c r="AE126" s="301" t="str">
        <f>AF126&amp;TM[[#This Row],[Insurer Code]]&amp;"; "&amp;AG126&amp;TM[[#This Row],[Reporting Year]]&amp;"; "&amp;AH126&amp;TM[[#This Row],[Insurance Category Code]]&amp;"; "&amp;AI126&amp;TM[[#This Row],[Large Provider Entity Code]]</f>
        <v xml:space="preserve">Insurer Code ; Reporting Year ; Insurance Category Code ; Large Provider Entity Code </v>
      </c>
      <c r="AF126" s="297" t="s">
        <v>197</v>
      </c>
      <c r="AG126" s="297" t="s">
        <v>198</v>
      </c>
      <c r="AH126" s="297" t="s">
        <v>199</v>
      </c>
      <c r="AI126" s="297" t="s">
        <v>200</v>
      </c>
      <c r="AJ126" s="297"/>
      <c r="AK126" s="297"/>
      <c r="AL126" s="297"/>
      <c r="AM126" s="11"/>
      <c r="AN126" s="11"/>
      <c r="AO126" s="11"/>
    </row>
    <row r="127" spans="1:41" x14ac:dyDescent="0.4">
      <c r="A127" s="291"/>
      <c r="B127" s="292"/>
      <c r="C127" s="312"/>
      <c r="D127"/>
      <c r="E127" s="325"/>
      <c r="F127" s="143"/>
      <c r="G127" s="143"/>
      <c r="H127" s="143"/>
      <c r="I127" s="143"/>
      <c r="J127" s="143"/>
      <c r="K127" s="143"/>
      <c r="L127" s="143"/>
      <c r="M127" s="143"/>
      <c r="N127" s="143"/>
      <c r="O127" s="143"/>
      <c r="P127" s="143"/>
      <c r="Q127" s="143"/>
      <c r="R127" s="143"/>
      <c r="S127" s="143"/>
      <c r="T127" s="143"/>
      <c r="U127" s="143"/>
      <c r="V127" s="325"/>
      <c r="W127" s="393">
        <f t="shared" si="14"/>
        <v>0</v>
      </c>
      <c r="X127" s="393">
        <f t="shared" si="15"/>
        <v>0</v>
      </c>
      <c r="Y127" s="393">
        <f t="shared" si="16"/>
        <v>0</v>
      </c>
      <c r="Z127" s="393">
        <f t="shared" si="17"/>
        <v>0</v>
      </c>
      <c r="AA127" s="393">
        <f t="shared" si="18"/>
        <v>0</v>
      </c>
      <c r="AB127" s="393" t="e">
        <f t="shared" si="19"/>
        <v>#DIV/0!</v>
      </c>
      <c r="AC127" s="486" t="e">
        <f t="shared" si="20"/>
        <v>#DIV/0!</v>
      </c>
      <c r="AD127" s="11"/>
      <c r="AE127" s="301" t="str">
        <f>AF127&amp;TM[[#This Row],[Insurer Code]]&amp;"; "&amp;AG127&amp;TM[[#This Row],[Reporting Year]]&amp;"; "&amp;AH127&amp;TM[[#This Row],[Insurance Category Code]]&amp;"; "&amp;AI127&amp;TM[[#This Row],[Large Provider Entity Code]]</f>
        <v xml:space="preserve">Insurer Code ; Reporting Year ; Insurance Category Code ; Large Provider Entity Code </v>
      </c>
      <c r="AF127" s="297" t="s">
        <v>197</v>
      </c>
      <c r="AG127" s="297" t="s">
        <v>198</v>
      </c>
      <c r="AH127" s="297" t="s">
        <v>199</v>
      </c>
      <c r="AI127" s="297" t="s">
        <v>200</v>
      </c>
      <c r="AJ127" s="297"/>
      <c r="AK127" s="297"/>
      <c r="AL127" s="297"/>
      <c r="AM127" s="11"/>
      <c r="AN127" s="11"/>
      <c r="AO127" s="11"/>
    </row>
    <row r="128" spans="1:41" x14ac:dyDescent="0.4">
      <c r="A128" s="291"/>
      <c r="B128" s="292"/>
      <c r="C128" s="312"/>
      <c r="D128"/>
      <c r="E128" s="325"/>
      <c r="F128" s="143"/>
      <c r="G128" s="143"/>
      <c r="H128" s="143"/>
      <c r="I128" s="143"/>
      <c r="J128" s="143"/>
      <c r="K128" s="143"/>
      <c r="L128" s="143"/>
      <c r="M128" s="143"/>
      <c r="N128" s="143"/>
      <c r="O128" s="143"/>
      <c r="P128" s="143"/>
      <c r="Q128" s="143"/>
      <c r="R128" s="143"/>
      <c r="S128" s="143"/>
      <c r="T128" s="143"/>
      <c r="U128" s="143"/>
      <c r="V128" s="325"/>
      <c r="W128" s="393">
        <f t="shared" si="14"/>
        <v>0</v>
      </c>
      <c r="X128" s="393">
        <f t="shared" si="15"/>
        <v>0</v>
      </c>
      <c r="Y128" s="393">
        <f t="shared" si="16"/>
        <v>0</v>
      </c>
      <c r="Z128" s="393">
        <f t="shared" si="17"/>
        <v>0</v>
      </c>
      <c r="AA128" s="393">
        <f t="shared" si="18"/>
        <v>0</v>
      </c>
      <c r="AB128" s="393" t="e">
        <f t="shared" si="19"/>
        <v>#DIV/0!</v>
      </c>
      <c r="AC128" s="486" t="e">
        <f t="shared" si="20"/>
        <v>#DIV/0!</v>
      </c>
      <c r="AD128" s="11"/>
      <c r="AE128" s="301" t="str">
        <f>AF128&amp;TM[[#This Row],[Insurer Code]]&amp;"; "&amp;AG128&amp;TM[[#This Row],[Reporting Year]]&amp;"; "&amp;AH128&amp;TM[[#This Row],[Insurance Category Code]]&amp;"; "&amp;AI128&amp;TM[[#This Row],[Large Provider Entity Code]]</f>
        <v xml:space="preserve">Insurer Code ; Reporting Year ; Insurance Category Code ; Large Provider Entity Code </v>
      </c>
      <c r="AF128" s="297" t="s">
        <v>197</v>
      </c>
      <c r="AG128" s="297" t="s">
        <v>198</v>
      </c>
      <c r="AH128" s="297" t="s">
        <v>199</v>
      </c>
      <c r="AI128" s="297" t="s">
        <v>200</v>
      </c>
      <c r="AJ128" s="297"/>
      <c r="AK128" s="297"/>
      <c r="AL128" s="297"/>
      <c r="AM128" s="11"/>
      <c r="AN128" s="11"/>
      <c r="AO128" s="11"/>
    </row>
    <row r="129" spans="1:41" x14ac:dyDescent="0.4">
      <c r="A129" s="291"/>
      <c r="B129" s="292"/>
      <c r="C129" s="312"/>
      <c r="D129"/>
      <c r="E129" s="325"/>
      <c r="F129" s="143"/>
      <c r="G129" s="143"/>
      <c r="H129" s="143"/>
      <c r="I129" s="143"/>
      <c r="J129" s="143"/>
      <c r="K129" s="143"/>
      <c r="L129" s="143"/>
      <c r="M129" s="143"/>
      <c r="N129" s="143"/>
      <c r="O129" s="143"/>
      <c r="P129" s="143"/>
      <c r="Q129" s="143"/>
      <c r="R129" s="143"/>
      <c r="S129" s="143"/>
      <c r="T129" s="143"/>
      <c r="U129" s="143"/>
      <c r="V129" s="325"/>
      <c r="W129" s="393">
        <f t="shared" si="14"/>
        <v>0</v>
      </c>
      <c r="X129" s="393">
        <f t="shared" si="15"/>
        <v>0</v>
      </c>
      <c r="Y129" s="393">
        <f t="shared" si="16"/>
        <v>0</v>
      </c>
      <c r="Z129" s="393">
        <f t="shared" si="17"/>
        <v>0</v>
      </c>
      <c r="AA129" s="393">
        <f t="shared" si="18"/>
        <v>0</v>
      </c>
      <c r="AB129" s="393" t="e">
        <f t="shared" si="19"/>
        <v>#DIV/0!</v>
      </c>
      <c r="AC129" s="486" t="e">
        <f t="shared" si="20"/>
        <v>#DIV/0!</v>
      </c>
      <c r="AD129" s="11"/>
      <c r="AE129" s="301" t="str">
        <f>AF129&amp;TM[[#This Row],[Insurer Code]]&amp;"; "&amp;AG129&amp;TM[[#This Row],[Reporting Year]]&amp;"; "&amp;AH129&amp;TM[[#This Row],[Insurance Category Code]]&amp;"; "&amp;AI129&amp;TM[[#This Row],[Large Provider Entity Code]]</f>
        <v xml:space="preserve">Insurer Code ; Reporting Year ; Insurance Category Code ; Large Provider Entity Code </v>
      </c>
      <c r="AF129" s="297" t="s">
        <v>197</v>
      </c>
      <c r="AG129" s="297" t="s">
        <v>198</v>
      </c>
      <c r="AH129" s="297" t="s">
        <v>199</v>
      </c>
      <c r="AI129" s="297" t="s">
        <v>200</v>
      </c>
      <c r="AJ129" s="297"/>
      <c r="AK129" s="297"/>
      <c r="AL129" s="297"/>
      <c r="AM129" s="11"/>
      <c r="AN129" s="11"/>
      <c r="AO129" s="11"/>
    </row>
    <row r="130" spans="1:41" x14ac:dyDescent="0.4">
      <c r="A130" s="291"/>
      <c r="B130" s="292"/>
      <c r="C130" s="312"/>
      <c r="D130"/>
      <c r="E130" s="325"/>
      <c r="F130" s="143"/>
      <c r="G130" s="143"/>
      <c r="H130" s="143"/>
      <c r="I130" s="143"/>
      <c r="J130" s="143"/>
      <c r="K130" s="143"/>
      <c r="L130" s="143"/>
      <c r="M130" s="143"/>
      <c r="N130" s="143"/>
      <c r="O130" s="143"/>
      <c r="P130" s="143"/>
      <c r="Q130" s="143"/>
      <c r="R130" s="143"/>
      <c r="S130" s="143"/>
      <c r="T130" s="143"/>
      <c r="U130" s="143"/>
      <c r="V130" s="325"/>
      <c r="W130" s="393">
        <f t="shared" si="14"/>
        <v>0</v>
      </c>
      <c r="X130" s="393">
        <f t="shared" si="15"/>
        <v>0</v>
      </c>
      <c r="Y130" s="393">
        <f t="shared" si="16"/>
        <v>0</v>
      </c>
      <c r="Z130" s="393">
        <f t="shared" si="17"/>
        <v>0</v>
      </c>
      <c r="AA130" s="393">
        <f t="shared" si="18"/>
        <v>0</v>
      </c>
      <c r="AB130" s="393" t="e">
        <f t="shared" si="19"/>
        <v>#DIV/0!</v>
      </c>
      <c r="AC130" s="486" t="e">
        <f t="shared" si="20"/>
        <v>#DIV/0!</v>
      </c>
      <c r="AD130" s="11"/>
      <c r="AE130" s="301" t="str">
        <f>AF130&amp;TM[[#This Row],[Insurer Code]]&amp;"; "&amp;AG130&amp;TM[[#This Row],[Reporting Year]]&amp;"; "&amp;AH130&amp;TM[[#This Row],[Insurance Category Code]]&amp;"; "&amp;AI130&amp;TM[[#This Row],[Large Provider Entity Code]]</f>
        <v xml:space="preserve">Insurer Code ; Reporting Year ; Insurance Category Code ; Large Provider Entity Code </v>
      </c>
      <c r="AF130" s="297" t="s">
        <v>197</v>
      </c>
      <c r="AG130" s="297" t="s">
        <v>198</v>
      </c>
      <c r="AH130" s="297" t="s">
        <v>199</v>
      </c>
      <c r="AI130" s="297" t="s">
        <v>200</v>
      </c>
      <c r="AJ130" s="297"/>
      <c r="AK130" s="297"/>
      <c r="AL130" s="297"/>
      <c r="AM130" s="11"/>
      <c r="AN130" s="11"/>
      <c r="AO130" s="11"/>
    </row>
    <row r="131" spans="1:41" x14ac:dyDescent="0.4">
      <c r="A131" s="291"/>
      <c r="B131" s="292"/>
      <c r="C131" s="312"/>
      <c r="D131"/>
      <c r="E131" s="325"/>
      <c r="F131" s="143"/>
      <c r="G131" s="143"/>
      <c r="H131" s="143"/>
      <c r="I131" s="143"/>
      <c r="J131" s="143"/>
      <c r="K131" s="143"/>
      <c r="L131" s="143"/>
      <c r="M131" s="143"/>
      <c r="N131" s="143"/>
      <c r="O131" s="143"/>
      <c r="P131" s="143"/>
      <c r="Q131" s="143"/>
      <c r="R131" s="143"/>
      <c r="S131" s="143"/>
      <c r="T131" s="143"/>
      <c r="U131" s="143"/>
      <c r="V131" s="325"/>
      <c r="W131" s="393">
        <f t="shared" si="14"/>
        <v>0</v>
      </c>
      <c r="X131" s="393">
        <f t="shared" si="15"/>
        <v>0</v>
      </c>
      <c r="Y131" s="393">
        <f t="shared" si="16"/>
        <v>0</v>
      </c>
      <c r="Z131" s="393">
        <f t="shared" si="17"/>
        <v>0</v>
      </c>
      <c r="AA131" s="393">
        <f t="shared" si="18"/>
        <v>0</v>
      </c>
      <c r="AB131" s="393" t="e">
        <f t="shared" si="19"/>
        <v>#DIV/0!</v>
      </c>
      <c r="AC131" s="486" t="e">
        <f t="shared" si="20"/>
        <v>#DIV/0!</v>
      </c>
      <c r="AD131" s="11"/>
      <c r="AE131" s="301" t="str">
        <f>AF131&amp;TM[[#This Row],[Insurer Code]]&amp;"; "&amp;AG131&amp;TM[[#This Row],[Reporting Year]]&amp;"; "&amp;AH131&amp;TM[[#This Row],[Insurance Category Code]]&amp;"; "&amp;AI131&amp;TM[[#This Row],[Large Provider Entity Code]]</f>
        <v xml:space="preserve">Insurer Code ; Reporting Year ; Insurance Category Code ; Large Provider Entity Code </v>
      </c>
      <c r="AF131" s="297" t="s">
        <v>197</v>
      </c>
      <c r="AG131" s="297" t="s">
        <v>198</v>
      </c>
      <c r="AH131" s="297" t="s">
        <v>199</v>
      </c>
      <c r="AI131" s="297" t="s">
        <v>200</v>
      </c>
      <c r="AJ131" s="297"/>
      <c r="AK131" s="297"/>
      <c r="AL131" s="297"/>
      <c r="AM131" s="11"/>
      <c r="AN131" s="11"/>
      <c r="AO131" s="11"/>
    </row>
    <row r="132" spans="1:41" x14ac:dyDescent="0.4">
      <c r="A132" s="291"/>
      <c r="B132" s="292"/>
      <c r="C132" s="312"/>
      <c r="D132"/>
      <c r="E132" s="325"/>
      <c r="F132" s="143"/>
      <c r="G132" s="143"/>
      <c r="H132" s="143"/>
      <c r="I132" s="143"/>
      <c r="J132" s="143"/>
      <c r="K132" s="143"/>
      <c r="L132" s="143"/>
      <c r="M132" s="143"/>
      <c r="N132" s="143"/>
      <c r="O132" s="143"/>
      <c r="P132" s="143"/>
      <c r="Q132" s="143"/>
      <c r="R132" s="143"/>
      <c r="S132" s="143"/>
      <c r="T132" s="143"/>
      <c r="U132" s="143"/>
      <c r="V132" s="325"/>
      <c r="W132" s="393">
        <f t="shared" si="14"/>
        <v>0</v>
      </c>
      <c r="X132" s="393">
        <f t="shared" si="15"/>
        <v>0</v>
      </c>
      <c r="Y132" s="393">
        <f t="shared" si="16"/>
        <v>0</v>
      </c>
      <c r="Z132" s="393">
        <f t="shared" si="17"/>
        <v>0</v>
      </c>
      <c r="AA132" s="393">
        <f t="shared" si="18"/>
        <v>0</v>
      </c>
      <c r="AB132" s="393" t="e">
        <f t="shared" si="19"/>
        <v>#DIV/0!</v>
      </c>
      <c r="AC132" s="486" t="e">
        <f t="shared" si="20"/>
        <v>#DIV/0!</v>
      </c>
      <c r="AD132" s="11"/>
      <c r="AE132" s="301" t="str">
        <f>AF132&amp;TM[[#This Row],[Insurer Code]]&amp;"; "&amp;AG132&amp;TM[[#This Row],[Reporting Year]]&amp;"; "&amp;AH132&amp;TM[[#This Row],[Insurance Category Code]]&amp;"; "&amp;AI132&amp;TM[[#This Row],[Large Provider Entity Code]]</f>
        <v xml:space="preserve">Insurer Code ; Reporting Year ; Insurance Category Code ; Large Provider Entity Code </v>
      </c>
      <c r="AF132" s="297" t="s">
        <v>197</v>
      </c>
      <c r="AG132" s="297" t="s">
        <v>198</v>
      </c>
      <c r="AH132" s="297" t="s">
        <v>199</v>
      </c>
      <c r="AI132" s="297" t="s">
        <v>200</v>
      </c>
      <c r="AJ132" s="297"/>
      <c r="AK132" s="297"/>
      <c r="AL132" s="297"/>
      <c r="AM132" s="11"/>
      <c r="AN132" s="11"/>
      <c r="AO132" s="11"/>
    </row>
    <row r="133" spans="1:41" x14ac:dyDescent="0.4">
      <c r="A133" s="291"/>
      <c r="B133" s="292"/>
      <c r="C133" s="312"/>
      <c r="D133"/>
      <c r="E133" s="325"/>
      <c r="F133" s="143"/>
      <c r="G133" s="143"/>
      <c r="H133" s="143"/>
      <c r="I133" s="143"/>
      <c r="J133" s="143"/>
      <c r="K133" s="143"/>
      <c r="L133" s="143"/>
      <c r="M133" s="143"/>
      <c r="N133" s="143"/>
      <c r="O133" s="143"/>
      <c r="P133" s="143"/>
      <c r="Q133" s="143"/>
      <c r="R133" s="143"/>
      <c r="S133" s="143"/>
      <c r="T133" s="143"/>
      <c r="U133" s="143"/>
      <c r="V133" s="325"/>
      <c r="W133" s="393">
        <f t="shared" si="14"/>
        <v>0</v>
      </c>
      <c r="X133" s="393">
        <f t="shared" si="15"/>
        <v>0</v>
      </c>
      <c r="Y133" s="393">
        <f t="shared" si="16"/>
        <v>0</v>
      </c>
      <c r="Z133" s="393">
        <f t="shared" si="17"/>
        <v>0</v>
      </c>
      <c r="AA133" s="393">
        <f t="shared" si="18"/>
        <v>0</v>
      </c>
      <c r="AB133" s="393" t="e">
        <f t="shared" si="19"/>
        <v>#DIV/0!</v>
      </c>
      <c r="AC133" s="486" t="e">
        <f t="shared" si="20"/>
        <v>#DIV/0!</v>
      </c>
      <c r="AD133" s="11"/>
      <c r="AE133" s="301" t="str">
        <f>AF133&amp;TM[[#This Row],[Insurer Code]]&amp;"; "&amp;AG133&amp;TM[[#This Row],[Reporting Year]]&amp;"; "&amp;AH133&amp;TM[[#This Row],[Insurance Category Code]]&amp;"; "&amp;AI133&amp;TM[[#This Row],[Large Provider Entity Code]]</f>
        <v xml:space="preserve">Insurer Code ; Reporting Year ; Insurance Category Code ; Large Provider Entity Code </v>
      </c>
      <c r="AF133" s="297" t="s">
        <v>197</v>
      </c>
      <c r="AG133" s="297" t="s">
        <v>198</v>
      </c>
      <c r="AH133" s="297" t="s">
        <v>199</v>
      </c>
      <c r="AI133" s="297" t="s">
        <v>200</v>
      </c>
      <c r="AJ133" s="297"/>
      <c r="AK133" s="297"/>
      <c r="AL133" s="297"/>
      <c r="AM133" s="11"/>
      <c r="AN133" s="11"/>
      <c r="AO133" s="11"/>
    </row>
    <row r="134" spans="1:41" x14ac:dyDescent="0.4">
      <c r="A134" s="291"/>
      <c r="B134" s="292"/>
      <c r="C134" s="312"/>
      <c r="D134"/>
      <c r="E134" s="325"/>
      <c r="F134" s="143"/>
      <c r="G134" s="143"/>
      <c r="H134" s="143"/>
      <c r="I134" s="143"/>
      <c r="J134" s="143"/>
      <c r="K134" s="143"/>
      <c r="L134" s="143"/>
      <c r="M134" s="143"/>
      <c r="N134" s="143"/>
      <c r="O134" s="143"/>
      <c r="P134" s="143"/>
      <c r="Q134" s="143"/>
      <c r="R134" s="143"/>
      <c r="S134" s="143"/>
      <c r="T134" s="143"/>
      <c r="U134" s="143"/>
      <c r="V134" s="325"/>
      <c r="W134" s="393">
        <f t="shared" si="14"/>
        <v>0</v>
      </c>
      <c r="X134" s="393">
        <f t="shared" si="15"/>
        <v>0</v>
      </c>
      <c r="Y134" s="393">
        <f t="shared" si="16"/>
        <v>0</v>
      </c>
      <c r="Z134" s="393">
        <f t="shared" si="17"/>
        <v>0</v>
      </c>
      <c r="AA134" s="393">
        <f t="shared" si="18"/>
        <v>0</v>
      </c>
      <c r="AB134" s="393" t="e">
        <f t="shared" si="19"/>
        <v>#DIV/0!</v>
      </c>
      <c r="AC134" s="486" t="e">
        <f t="shared" si="20"/>
        <v>#DIV/0!</v>
      </c>
      <c r="AD134" s="11"/>
      <c r="AE134" s="301" t="str">
        <f>AF134&amp;TM[[#This Row],[Insurer Code]]&amp;"; "&amp;AG134&amp;TM[[#This Row],[Reporting Year]]&amp;"; "&amp;AH134&amp;TM[[#This Row],[Insurance Category Code]]&amp;"; "&amp;AI134&amp;TM[[#This Row],[Large Provider Entity Code]]</f>
        <v xml:space="preserve">Insurer Code ; Reporting Year ; Insurance Category Code ; Large Provider Entity Code </v>
      </c>
      <c r="AF134" s="297" t="s">
        <v>197</v>
      </c>
      <c r="AG134" s="297" t="s">
        <v>198</v>
      </c>
      <c r="AH134" s="297" t="s">
        <v>199</v>
      </c>
      <c r="AI134" s="297" t="s">
        <v>200</v>
      </c>
      <c r="AJ134" s="297"/>
      <c r="AK134" s="297"/>
      <c r="AL134" s="297"/>
      <c r="AM134" s="11"/>
      <c r="AN134" s="11"/>
      <c r="AO134" s="11"/>
    </row>
    <row r="135" spans="1:41" x14ac:dyDescent="0.4">
      <c r="A135" s="291"/>
      <c r="B135" s="292"/>
      <c r="C135" s="312"/>
      <c r="D135"/>
      <c r="E135" s="325"/>
      <c r="F135" s="143"/>
      <c r="G135" s="143"/>
      <c r="H135" s="143"/>
      <c r="I135" s="143"/>
      <c r="J135" s="143"/>
      <c r="K135" s="143"/>
      <c r="L135" s="143"/>
      <c r="M135" s="143"/>
      <c r="N135" s="143"/>
      <c r="O135" s="143"/>
      <c r="P135" s="143"/>
      <c r="Q135" s="143"/>
      <c r="R135" s="143"/>
      <c r="S135" s="143"/>
      <c r="T135" s="143"/>
      <c r="U135" s="143"/>
      <c r="V135" s="325"/>
      <c r="W135" s="393">
        <f t="shared" si="14"/>
        <v>0</v>
      </c>
      <c r="X135" s="393">
        <f t="shared" si="15"/>
        <v>0</v>
      </c>
      <c r="Y135" s="393">
        <f t="shared" si="16"/>
        <v>0</v>
      </c>
      <c r="Z135" s="393">
        <f t="shared" si="17"/>
        <v>0</v>
      </c>
      <c r="AA135" s="393">
        <f t="shared" si="18"/>
        <v>0</v>
      </c>
      <c r="AB135" s="393" t="e">
        <f t="shared" si="19"/>
        <v>#DIV/0!</v>
      </c>
      <c r="AC135" s="486" t="e">
        <f t="shared" si="20"/>
        <v>#DIV/0!</v>
      </c>
      <c r="AD135" s="11"/>
      <c r="AE135" s="301" t="str">
        <f>AF135&amp;TM[[#This Row],[Insurer Code]]&amp;"; "&amp;AG135&amp;TM[[#This Row],[Reporting Year]]&amp;"; "&amp;AH135&amp;TM[[#This Row],[Insurance Category Code]]&amp;"; "&amp;AI135&amp;TM[[#This Row],[Large Provider Entity Code]]</f>
        <v xml:space="preserve">Insurer Code ; Reporting Year ; Insurance Category Code ; Large Provider Entity Code </v>
      </c>
      <c r="AF135" s="297" t="s">
        <v>197</v>
      </c>
      <c r="AG135" s="297" t="s">
        <v>198</v>
      </c>
      <c r="AH135" s="297" t="s">
        <v>199</v>
      </c>
      <c r="AI135" s="297" t="s">
        <v>200</v>
      </c>
      <c r="AJ135" s="297"/>
      <c r="AK135" s="297"/>
      <c r="AL135" s="297"/>
      <c r="AM135" s="11"/>
      <c r="AN135" s="11"/>
      <c r="AO135" s="11"/>
    </row>
    <row r="136" spans="1:41" x14ac:dyDescent="0.4">
      <c r="A136" s="291"/>
      <c r="B136" s="292"/>
      <c r="C136" s="312"/>
      <c r="D136"/>
      <c r="E136" s="325"/>
      <c r="F136" s="143"/>
      <c r="G136" s="143"/>
      <c r="H136" s="143"/>
      <c r="I136" s="143"/>
      <c r="J136" s="143"/>
      <c r="K136" s="143"/>
      <c r="L136" s="143"/>
      <c r="M136" s="143"/>
      <c r="N136" s="143"/>
      <c r="O136" s="143"/>
      <c r="P136" s="143"/>
      <c r="Q136" s="143"/>
      <c r="R136" s="143"/>
      <c r="S136" s="143"/>
      <c r="T136" s="143"/>
      <c r="U136" s="143"/>
      <c r="V136" s="325"/>
      <c r="W136" s="393">
        <f t="shared" si="14"/>
        <v>0</v>
      </c>
      <c r="X136" s="393">
        <f t="shared" si="15"/>
        <v>0</v>
      </c>
      <c r="Y136" s="393">
        <f t="shared" si="16"/>
        <v>0</v>
      </c>
      <c r="Z136" s="393">
        <f t="shared" si="17"/>
        <v>0</v>
      </c>
      <c r="AA136" s="393">
        <f t="shared" si="18"/>
        <v>0</v>
      </c>
      <c r="AB136" s="393" t="e">
        <f t="shared" si="19"/>
        <v>#DIV/0!</v>
      </c>
      <c r="AC136" s="486" t="e">
        <f t="shared" si="20"/>
        <v>#DIV/0!</v>
      </c>
      <c r="AD136" s="11"/>
      <c r="AE136" s="301" t="str">
        <f>AF136&amp;TM[[#This Row],[Insurer Code]]&amp;"; "&amp;AG136&amp;TM[[#This Row],[Reporting Year]]&amp;"; "&amp;AH136&amp;TM[[#This Row],[Insurance Category Code]]&amp;"; "&amp;AI136&amp;TM[[#This Row],[Large Provider Entity Code]]</f>
        <v xml:space="preserve">Insurer Code ; Reporting Year ; Insurance Category Code ; Large Provider Entity Code </v>
      </c>
      <c r="AF136" s="297" t="s">
        <v>197</v>
      </c>
      <c r="AG136" s="297" t="s">
        <v>198</v>
      </c>
      <c r="AH136" s="297" t="s">
        <v>199</v>
      </c>
      <c r="AI136" s="297" t="s">
        <v>200</v>
      </c>
      <c r="AJ136" s="297"/>
      <c r="AK136" s="297"/>
      <c r="AL136" s="297"/>
      <c r="AM136" s="11"/>
      <c r="AN136" s="11"/>
      <c r="AO136" s="11"/>
    </row>
    <row r="137" spans="1:41" x14ac:dyDescent="0.4">
      <c r="A137" s="291"/>
      <c r="B137" s="292"/>
      <c r="C137" s="312"/>
      <c r="D137"/>
      <c r="E137" s="325"/>
      <c r="F137" s="143"/>
      <c r="G137" s="143"/>
      <c r="H137" s="143"/>
      <c r="I137" s="143"/>
      <c r="J137" s="143"/>
      <c r="K137" s="143"/>
      <c r="L137" s="143"/>
      <c r="M137" s="143"/>
      <c r="N137" s="143"/>
      <c r="O137" s="143"/>
      <c r="P137" s="143"/>
      <c r="Q137" s="143"/>
      <c r="R137" s="143"/>
      <c r="S137" s="143"/>
      <c r="T137" s="143"/>
      <c r="U137" s="143"/>
      <c r="V137" s="325"/>
      <c r="W137" s="393">
        <f t="shared" si="14"/>
        <v>0</v>
      </c>
      <c r="X137" s="393">
        <f t="shared" si="15"/>
        <v>0</v>
      </c>
      <c r="Y137" s="393">
        <f t="shared" si="16"/>
        <v>0</v>
      </c>
      <c r="Z137" s="393">
        <f t="shared" si="17"/>
        <v>0</v>
      </c>
      <c r="AA137" s="393">
        <f t="shared" si="18"/>
        <v>0</v>
      </c>
      <c r="AB137" s="393" t="e">
        <f t="shared" si="19"/>
        <v>#DIV/0!</v>
      </c>
      <c r="AC137" s="486" t="e">
        <f t="shared" si="20"/>
        <v>#DIV/0!</v>
      </c>
      <c r="AD137" s="11"/>
      <c r="AE137" s="301" t="str">
        <f>AF137&amp;TM[[#This Row],[Insurer Code]]&amp;"; "&amp;AG137&amp;TM[[#This Row],[Reporting Year]]&amp;"; "&amp;AH137&amp;TM[[#This Row],[Insurance Category Code]]&amp;"; "&amp;AI137&amp;TM[[#This Row],[Large Provider Entity Code]]</f>
        <v xml:space="preserve">Insurer Code ; Reporting Year ; Insurance Category Code ; Large Provider Entity Code </v>
      </c>
      <c r="AF137" s="297" t="s">
        <v>197</v>
      </c>
      <c r="AG137" s="297" t="s">
        <v>198</v>
      </c>
      <c r="AH137" s="297" t="s">
        <v>199</v>
      </c>
      <c r="AI137" s="297" t="s">
        <v>200</v>
      </c>
      <c r="AJ137" s="297"/>
      <c r="AK137" s="297"/>
      <c r="AL137" s="297"/>
      <c r="AM137" s="11"/>
      <c r="AN137" s="11"/>
      <c r="AO137" s="11"/>
    </row>
    <row r="138" spans="1:41" x14ac:dyDescent="0.4">
      <c r="A138" s="291"/>
      <c r="B138" s="292"/>
      <c r="C138" s="312"/>
      <c r="D138"/>
      <c r="E138" s="325"/>
      <c r="F138" s="143"/>
      <c r="G138" s="143"/>
      <c r="H138" s="143"/>
      <c r="I138" s="143"/>
      <c r="J138" s="143"/>
      <c r="K138" s="143"/>
      <c r="L138" s="143"/>
      <c r="M138" s="143"/>
      <c r="N138" s="143"/>
      <c r="O138" s="143"/>
      <c r="P138" s="143"/>
      <c r="Q138" s="143"/>
      <c r="R138" s="143"/>
      <c r="S138" s="143"/>
      <c r="T138" s="143"/>
      <c r="U138" s="143"/>
      <c r="V138" s="325"/>
      <c r="W138" s="393">
        <f t="shared" si="14"/>
        <v>0</v>
      </c>
      <c r="X138" s="393">
        <f t="shared" si="15"/>
        <v>0</v>
      </c>
      <c r="Y138" s="393">
        <f t="shared" si="16"/>
        <v>0</v>
      </c>
      <c r="Z138" s="393">
        <f t="shared" si="17"/>
        <v>0</v>
      </c>
      <c r="AA138" s="393">
        <f t="shared" si="18"/>
        <v>0</v>
      </c>
      <c r="AB138" s="393" t="e">
        <f t="shared" si="19"/>
        <v>#DIV/0!</v>
      </c>
      <c r="AC138" s="486" t="e">
        <f t="shared" si="20"/>
        <v>#DIV/0!</v>
      </c>
      <c r="AD138" s="11"/>
      <c r="AE138" s="301" t="str">
        <f>AF138&amp;TM[[#This Row],[Insurer Code]]&amp;"; "&amp;AG138&amp;TM[[#This Row],[Reporting Year]]&amp;"; "&amp;AH138&amp;TM[[#This Row],[Insurance Category Code]]&amp;"; "&amp;AI138&amp;TM[[#This Row],[Large Provider Entity Code]]</f>
        <v xml:space="preserve">Insurer Code ; Reporting Year ; Insurance Category Code ; Large Provider Entity Code </v>
      </c>
      <c r="AF138" s="297" t="s">
        <v>197</v>
      </c>
      <c r="AG138" s="297" t="s">
        <v>198</v>
      </c>
      <c r="AH138" s="297" t="s">
        <v>199</v>
      </c>
      <c r="AI138" s="297" t="s">
        <v>200</v>
      </c>
      <c r="AJ138" s="297"/>
      <c r="AK138" s="297"/>
      <c r="AL138" s="297"/>
      <c r="AM138" s="11"/>
      <c r="AN138" s="11"/>
      <c r="AO138" s="11"/>
    </row>
    <row r="139" spans="1:41" x14ac:dyDescent="0.4">
      <c r="A139" s="291"/>
      <c r="B139" s="292"/>
      <c r="C139" s="312"/>
      <c r="D139"/>
      <c r="E139" s="325"/>
      <c r="F139" s="143"/>
      <c r="G139" s="143"/>
      <c r="H139" s="143"/>
      <c r="I139" s="143"/>
      <c r="J139" s="143"/>
      <c r="K139" s="143"/>
      <c r="L139" s="143"/>
      <c r="M139" s="143"/>
      <c r="N139" s="143"/>
      <c r="O139" s="143"/>
      <c r="P139" s="143"/>
      <c r="Q139" s="143"/>
      <c r="R139" s="143"/>
      <c r="S139" s="143"/>
      <c r="T139" s="143"/>
      <c r="U139" s="143"/>
      <c r="V139" s="325"/>
      <c r="W139" s="393">
        <f t="shared" si="14"/>
        <v>0</v>
      </c>
      <c r="X139" s="393">
        <f t="shared" si="15"/>
        <v>0</v>
      </c>
      <c r="Y139" s="393">
        <f t="shared" si="16"/>
        <v>0</v>
      </c>
      <c r="Z139" s="393">
        <f t="shared" si="17"/>
        <v>0</v>
      </c>
      <c r="AA139" s="393">
        <f t="shared" si="18"/>
        <v>0</v>
      </c>
      <c r="AB139" s="393" t="e">
        <f t="shared" si="19"/>
        <v>#DIV/0!</v>
      </c>
      <c r="AC139" s="486" t="e">
        <f t="shared" si="20"/>
        <v>#DIV/0!</v>
      </c>
      <c r="AD139" s="11"/>
      <c r="AE139" s="301" t="str">
        <f>AF139&amp;TM[[#This Row],[Insurer Code]]&amp;"; "&amp;AG139&amp;TM[[#This Row],[Reporting Year]]&amp;"; "&amp;AH139&amp;TM[[#This Row],[Insurance Category Code]]&amp;"; "&amp;AI139&amp;TM[[#This Row],[Large Provider Entity Code]]</f>
        <v xml:space="preserve">Insurer Code ; Reporting Year ; Insurance Category Code ; Large Provider Entity Code </v>
      </c>
      <c r="AF139" s="297" t="s">
        <v>197</v>
      </c>
      <c r="AG139" s="297" t="s">
        <v>198</v>
      </c>
      <c r="AH139" s="297" t="s">
        <v>199</v>
      </c>
      <c r="AI139" s="297" t="s">
        <v>200</v>
      </c>
      <c r="AJ139" s="297"/>
      <c r="AK139" s="297"/>
      <c r="AL139" s="297"/>
      <c r="AM139" s="11"/>
      <c r="AN139" s="11"/>
      <c r="AO139" s="11"/>
    </row>
    <row r="140" spans="1:41" x14ac:dyDescent="0.4">
      <c r="A140" s="291"/>
      <c r="B140" s="292"/>
      <c r="C140" s="312"/>
      <c r="D140"/>
      <c r="E140" s="325"/>
      <c r="F140" s="143"/>
      <c r="G140" s="143"/>
      <c r="H140" s="143"/>
      <c r="I140" s="143"/>
      <c r="J140" s="143"/>
      <c r="K140" s="143"/>
      <c r="L140" s="143"/>
      <c r="M140" s="143"/>
      <c r="N140" s="143"/>
      <c r="O140" s="143"/>
      <c r="P140" s="143"/>
      <c r="Q140" s="143"/>
      <c r="R140" s="143"/>
      <c r="S140" s="143"/>
      <c r="T140" s="143"/>
      <c r="U140" s="143"/>
      <c r="V140" s="325"/>
      <c r="W140" s="393">
        <f t="shared" si="14"/>
        <v>0</v>
      </c>
      <c r="X140" s="393">
        <f t="shared" si="15"/>
        <v>0</v>
      </c>
      <c r="Y140" s="393">
        <f t="shared" si="16"/>
        <v>0</v>
      </c>
      <c r="Z140" s="393">
        <f t="shared" si="17"/>
        <v>0</v>
      </c>
      <c r="AA140" s="393">
        <f t="shared" si="18"/>
        <v>0</v>
      </c>
      <c r="AB140" s="393" t="e">
        <f t="shared" si="19"/>
        <v>#DIV/0!</v>
      </c>
      <c r="AC140" s="486" t="e">
        <f t="shared" si="20"/>
        <v>#DIV/0!</v>
      </c>
      <c r="AD140" s="11"/>
      <c r="AE140" s="301" t="str">
        <f>AF140&amp;TM[[#This Row],[Insurer Code]]&amp;"; "&amp;AG140&amp;TM[[#This Row],[Reporting Year]]&amp;"; "&amp;AH140&amp;TM[[#This Row],[Insurance Category Code]]&amp;"; "&amp;AI140&amp;TM[[#This Row],[Large Provider Entity Code]]</f>
        <v xml:space="preserve">Insurer Code ; Reporting Year ; Insurance Category Code ; Large Provider Entity Code </v>
      </c>
      <c r="AF140" s="297" t="s">
        <v>197</v>
      </c>
      <c r="AG140" s="297" t="s">
        <v>198</v>
      </c>
      <c r="AH140" s="297" t="s">
        <v>199</v>
      </c>
      <c r="AI140" s="297" t="s">
        <v>200</v>
      </c>
      <c r="AJ140" s="297"/>
      <c r="AK140" s="297"/>
      <c r="AL140" s="297"/>
      <c r="AM140" s="11"/>
      <c r="AN140" s="11"/>
      <c r="AO140" s="11"/>
    </row>
    <row r="141" spans="1:41" x14ac:dyDescent="0.4">
      <c r="A141" s="291"/>
      <c r="B141" s="292"/>
      <c r="C141" s="312"/>
      <c r="D141"/>
      <c r="E141" s="325"/>
      <c r="F141" s="143"/>
      <c r="G141" s="143"/>
      <c r="H141" s="143"/>
      <c r="I141" s="143"/>
      <c r="J141" s="143"/>
      <c r="K141" s="143"/>
      <c r="L141" s="143"/>
      <c r="M141" s="143"/>
      <c r="N141" s="143"/>
      <c r="O141" s="143"/>
      <c r="P141" s="143"/>
      <c r="Q141" s="143"/>
      <c r="R141" s="143"/>
      <c r="S141" s="143"/>
      <c r="T141" s="143"/>
      <c r="U141" s="143"/>
      <c r="V141" s="325"/>
      <c r="W141" s="393">
        <f t="shared" si="14"/>
        <v>0</v>
      </c>
      <c r="X141" s="393">
        <f t="shared" si="15"/>
        <v>0</v>
      </c>
      <c r="Y141" s="393">
        <f t="shared" si="16"/>
        <v>0</v>
      </c>
      <c r="Z141" s="393">
        <f t="shared" si="17"/>
        <v>0</v>
      </c>
      <c r="AA141" s="393">
        <f t="shared" si="18"/>
        <v>0</v>
      </c>
      <c r="AB141" s="393" t="e">
        <f t="shared" si="19"/>
        <v>#DIV/0!</v>
      </c>
      <c r="AC141" s="486" t="e">
        <f t="shared" si="20"/>
        <v>#DIV/0!</v>
      </c>
      <c r="AD141" s="11"/>
      <c r="AE141" s="301" t="str">
        <f>AF141&amp;TM[[#This Row],[Insurer Code]]&amp;"; "&amp;AG141&amp;TM[[#This Row],[Reporting Year]]&amp;"; "&amp;AH141&amp;TM[[#This Row],[Insurance Category Code]]&amp;"; "&amp;AI141&amp;TM[[#This Row],[Large Provider Entity Code]]</f>
        <v xml:space="preserve">Insurer Code ; Reporting Year ; Insurance Category Code ; Large Provider Entity Code </v>
      </c>
      <c r="AF141" s="297" t="s">
        <v>197</v>
      </c>
      <c r="AG141" s="297" t="s">
        <v>198</v>
      </c>
      <c r="AH141" s="297" t="s">
        <v>199</v>
      </c>
      <c r="AI141" s="297" t="s">
        <v>200</v>
      </c>
      <c r="AJ141" s="297"/>
      <c r="AK141" s="297"/>
      <c r="AL141" s="297"/>
      <c r="AM141" s="11"/>
      <c r="AN141" s="11"/>
      <c r="AO141" s="11"/>
    </row>
    <row r="142" spans="1:41" x14ac:dyDescent="0.4">
      <c r="A142" s="291"/>
      <c r="B142" s="292"/>
      <c r="C142" s="312"/>
      <c r="D142"/>
      <c r="E142" s="325"/>
      <c r="F142" s="143"/>
      <c r="G142" s="143"/>
      <c r="H142" s="143"/>
      <c r="I142" s="143"/>
      <c r="J142" s="143"/>
      <c r="K142" s="143"/>
      <c r="L142" s="143"/>
      <c r="M142" s="143"/>
      <c r="N142" s="143"/>
      <c r="O142" s="143"/>
      <c r="P142" s="143"/>
      <c r="Q142" s="143"/>
      <c r="R142" s="143"/>
      <c r="S142" s="143"/>
      <c r="T142" s="143"/>
      <c r="U142" s="143"/>
      <c r="V142" s="325"/>
      <c r="W142" s="393">
        <f t="shared" si="14"/>
        <v>0</v>
      </c>
      <c r="X142" s="393">
        <f t="shared" si="15"/>
        <v>0</v>
      </c>
      <c r="Y142" s="393">
        <f t="shared" si="16"/>
        <v>0</v>
      </c>
      <c r="Z142" s="393">
        <f t="shared" si="17"/>
        <v>0</v>
      </c>
      <c r="AA142" s="393">
        <f t="shared" si="18"/>
        <v>0</v>
      </c>
      <c r="AB142" s="393" t="e">
        <f t="shared" si="19"/>
        <v>#DIV/0!</v>
      </c>
      <c r="AC142" s="486" t="e">
        <f t="shared" si="20"/>
        <v>#DIV/0!</v>
      </c>
      <c r="AD142" s="11"/>
      <c r="AE142" s="301" t="str">
        <f>AF142&amp;TM[[#This Row],[Insurer Code]]&amp;"; "&amp;AG142&amp;TM[[#This Row],[Reporting Year]]&amp;"; "&amp;AH142&amp;TM[[#This Row],[Insurance Category Code]]&amp;"; "&amp;AI142&amp;TM[[#This Row],[Large Provider Entity Code]]</f>
        <v xml:space="preserve">Insurer Code ; Reporting Year ; Insurance Category Code ; Large Provider Entity Code </v>
      </c>
      <c r="AF142" s="297" t="s">
        <v>197</v>
      </c>
      <c r="AG142" s="297" t="s">
        <v>198</v>
      </c>
      <c r="AH142" s="297" t="s">
        <v>199</v>
      </c>
      <c r="AI142" s="297" t="s">
        <v>200</v>
      </c>
      <c r="AJ142" s="297"/>
      <c r="AK142" s="297"/>
      <c r="AL142" s="297"/>
      <c r="AM142" s="11"/>
      <c r="AN142" s="11"/>
      <c r="AO142" s="11"/>
    </row>
    <row r="143" spans="1:41" x14ac:dyDescent="0.4">
      <c r="A143" s="291"/>
      <c r="B143" s="292"/>
      <c r="C143" s="312"/>
      <c r="D143"/>
      <c r="E143" s="325"/>
      <c r="F143" s="143"/>
      <c r="G143" s="143"/>
      <c r="H143" s="143"/>
      <c r="I143" s="143"/>
      <c r="J143" s="143"/>
      <c r="K143" s="143"/>
      <c r="L143" s="143"/>
      <c r="M143" s="143"/>
      <c r="N143" s="143"/>
      <c r="O143" s="143"/>
      <c r="P143" s="143"/>
      <c r="Q143" s="143"/>
      <c r="R143" s="143"/>
      <c r="S143" s="143"/>
      <c r="T143" s="143"/>
      <c r="U143" s="143"/>
      <c r="V143" s="325"/>
      <c r="W143" s="393">
        <f t="shared" si="14"/>
        <v>0</v>
      </c>
      <c r="X143" s="393">
        <f t="shared" si="15"/>
        <v>0</v>
      </c>
      <c r="Y143" s="393">
        <f t="shared" si="16"/>
        <v>0</v>
      </c>
      <c r="Z143" s="393">
        <f t="shared" si="17"/>
        <v>0</v>
      </c>
      <c r="AA143" s="393">
        <f t="shared" si="18"/>
        <v>0</v>
      </c>
      <c r="AB143" s="393" t="e">
        <f t="shared" si="19"/>
        <v>#DIV/0!</v>
      </c>
      <c r="AC143" s="486" t="e">
        <f t="shared" si="20"/>
        <v>#DIV/0!</v>
      </c>
      <c r="AD143" s="11"/>
      <c r="AE143" s="301" t="str">
        <f>AF143&amp;TM[[#This Row],[Insurer Code]]&amp;"; "&amp;AG143&amp;TM[[#This Row],[Reporting Year]]&amp;"; "&amp;AH143&amp;TM[[#This Row],[Insurance Category Code]]&amp;"; "&amp;AI143&amp;TM[[#This Row],[Large Provider Entity Code]]</f>
        <v xml:space="preserve">Insurer Code ; Reporting Year ; Insurance Category Code ; Large Provider Entity Code </v>
      </c>
      <c r="AF143" s="297" t="s">
        <v>197</v>
      </c>
      <c r="AG143" s="297" t="s">
        <v>198</v>
      </c>
      <c r="AH143" s="297" t="s">
        <v>199</v>
      </c>
      <c r="AI143" s="297" t="s">
        <v>200</v>
      </c>
      <c r="AJ143" s="297"/>
      <c r="AK143" s="297"/>
      <c r="AL143" s="297"/>
      <c r="AM143" s="11"/>
      <c r="AN143" s="11"/>
      <c r="AO143" s="11"/>
    </row>
    <row r="144" spans="1:41" x14ac:dyDescent="0.4">
      <c r="A144" s="291"/>
      <c r="B144" s="292"/>
      <c r="C144" s="312"/>
      <c r="D144"/>
      <c r="E144" s="325"/>
      <c r="F144" s="143"/>
      <c r="G144" s="143"/>
      <c r="H144" s="143"/>
      <c r="I144" s="143"/>
      <c r="J144" s="143"/>
      <c r="K144" s="143"/>
      <c r="L144" s="143"/>
      <c r="M144" s="143"/>
      <c r="N144" s="143"/>
      <c r="O144" s="143"/>
      <c r="P144" s="143"/>
      <c r="Q144" s="143"/>
      <c r="R144" s="143"/>
      <c r="S144" s="143"/>
      <c r="T144" s="143"/>
      <c r="U144" s="143"/>
      <c r="V144" s="325"/>
      <c r="W144" s="393">
        <f t="shared" si="14"/>
        <v>0</v>
      </c>
      <c r="X144" s="393">
        <f t="shared" si="15"/>
        <v>0</v>
      </c>
      <c r="Y144" s="393">
        <f t="shared" si="16"/>
        <v>0</v>
      </c>
      <c r="Z144" s="393">
        <f t="shared" si="17"/>
        <v>0</v>
      </c>
      <c r="AA144" s="393">
        <f t="shared" si="18"/>
        <v>0</v>
      </c>
      <c r="AB144" s="393" t="e">
        <f t="shared" si="19"/>
        <v>#DIV/0!</v>
      </c>
      <c r="AC144" s="486" t="e">
        <f t="shared" si="20"/>
        <v>#DIV/0!</v>
      </c>
      <c r="AD144" s="11"/>
      <c r="AE144" s="301" t="str">
        <f>AF144&amp;TM[[#This Row],[Insurer Code]]&amp;"; "&amp;AG144&amp;TM[[#This Row],[Reporting Year]]&amp;"; "&amp;AH144&amp;TM[[#This Row],[Insurance Category Code]]&amp;"; "&amp;AI144&amp;TM[[#This Row],[Large Provider Entity Code]]</f>
        <v xml:space="preserve">Insurer Code ; Reporting Year ; Insurance Category Code ; Large Provider Entity Code </v>
      </c>
      <c r="AF144" s="297" t="s">
        <v>197</v>
      </c>
      <c r="AG144" s="297" t="s">
        <v>198</v>
      </c>
      <c r="AH144" s="297" t="s">
        <v>199</v>
      </c>
      <c r="AI144" s="297" t="s">
        <v>200</v>
      </c>
      <c r="AJ144" s="297"/>
      <c r="AK144" s="297"/>
      <c r="AL144" s="297"/>
      <c r="AM144" s="11"/>
      <c r="AN144" s="11"/>
      <c r="AO144" s="11"/>
    </row>
    <row r="145" spans="1:41" x14ac:dyDescent="0.4">
      <c r="A145" s="291"/>
      <c r="B145" s="292"/>
      <c r="C145" s="312"/>
      <c r="D145"/>
      <c r="E145" s="325"/>
      <c r="F145" s="143"/>
      <c r="G145" s="143"/>
      <c r="H145" s="143"/>
      <c r="I145" s="143"/>
      <c r="J145" s="143"/>
      <c r="K145" s="143"/>
      <c r="L145" s="143"/>
      <c r="M145" s="143"/>
      <c r="N145" s="143"/>
      <c r="O145" s="143"/>
      <c r="P145" s="143"/>
      <c r="Q145" s="143"/>
      <c r="R145" s="143"/>
      <c r="S145" s="143"/>
      <c r="T145" s="143"/>
      <c r="U145" s="143"/>
      <c r="V145" s="325"/>
      <c r="W145" s="393">
        <f t="shared" si="14"/>
        <v>0</v>
      </c>
      <c r="X145" s="393">
        <f t="shared" si="15"/>
        <v>0</v>
      </c>
      <c r="Y145" s="393">
        <f t="shared" si="16"/>
        <v>0</v>
      </c>
      <c r="Z145" s="393">
        <f t="shared" si="17"/>
        <v>0</v>
      </c>
      <c r="AA145" s="393">
        <f t="shared" si="18"/>
        <v>0</v>
      </c>
      <c r="AB145" s="393" t="e">
        <f t="shared" si="19"/>
        <v>#DIV/0!</v>
      </c>
      <c r="AC145" s="486" t="e">
        <f t="shared" si="20"/>
        <v>#DIV/0!</v>
      </c>
      <c r="AD145" s="11"/>
      <c r="AE145" s="301" t="str">
        <f>AF145&amp;TM[[#This Row],[Insurer Code]]&amp;"; "&amp;AG145&amp;TM[[#This Row],[Reporting Year]]&amp;"; "&amp;AH145&amp;TM[[#This Row],[Insurance Category Code]]&amp;"; "&amp;AI145&amp;TM[[#This Row],[Large Provider Entity Code]]</f>
        <v xml:space="preserve">Insurer Code ; Reporting Year ; Insurance Category Code ; Large Provider Entity Code </v>
      </c>
      <c r="AF145" s="297" t="s">
        <v>197</v>
      </c>
      <c r="AG145" s="297" t="s">
        <v>198</v>
      </c>
      <c r="AH145" s="297" t="s">
        <v>199</v>
      </c>
      <c r="AI145" s="297" t="s">
        <v>200</v>
      </c>
      <c r="AJ145" s="297"/>
      <c r="AK145" s="297"/>
      <c r="AL145" s="297"/>
      <c r="AM145" s="11"/>
      <c r="AN145" s="11"/>
      <c r="AO145" s="11"/>
    </row>
    <row r="146" spans="1:41" x14ac:dyDescent="0.4">
      <c r="A146" s="291"/>
      <c r="B146" s="292"/>
      <c r="C146" s="312"/>
      <c r="D146"/>
      <c r="E146" s="325"/>
      <c r="F146" s="143"/>
      <c r="G146" s="143"/>
      <c r="H146" s="143"/>
      <c r="I146" s="143"/>
      <c r="J146" s="143"/>
      <c r="K146" s="143"/>
      <c r="L146" s="143"/>
      <c r="M146" s="143"/>
      <c r="N146" s="143"/>
      <c r="O146" s="143"/>
      <c r="P146" s="143"/>
      <c r="Q146" s="143"/>
      <c r="R146" s="143"/>
      <c r="S146" s="143"/>
      <c r="T146" s="143"/>
      <c r="U146" s="143"/>
      <c r="V146" s="325"/>
      <c r="W146" s="393">
        <f t="shared" ref="W146:W209" si="21">SUM(F146:M146)</f>
        <v>0</v>
      </c>
      <c r="X146" s="393">
        <f t="shared" ref="X146:X209" si="22">SUM(N146:S146)</f>
        <v>0</v>
      </c>
      <c r="Y146" s="393">
        <f t="shared" ref="Y146:Y209" si="23">W146+X146</f>
        <v>0</v>
      </c>
      <c r="Z146" s="393">
        <f t="shared" ref="Z146:Z209" si="24">W146-U146</f>
        <v>0</v>
      </c>
      <c r="AA146" s="393">
        <f t="shared" ref="AA146:AA209" si="25">Z146+X146</f>
        <v>0</v>
      </c>
      <c r="AB146" s="393" t="e">
        <f t="shared" ref="AB146:AB209" si="26">Y146/E146</f>
        <v>#DIV/0!</v>
      </c>
      <c r="AC146" s="486" t="e">
        <f t="shared" ref="AC146:AC209" si="27">AA146/E146</f>
        <v>#DIV/0!</v>
      </c>
      <c r="AD146" s="11"/>
      <c r="AE146" s="301" t="str">
        <f>AF146&amp;TM[[#This Row],[Insurer Code]]&amp;"; "&amp;AG146&amp;TM[[#This Row],[Reporting Year]]&amp;"; "&amp;AH146&amp;TM[[#This Row],[Insurance Category Code]]&amp;"; "&amp;AI146&amp;TM[[#This Row],[Large Provider Entity Code]]</f>
        <v xml:space="preserve">Insurer Code ; Reporting Year ; Insurance Category Code ; Large Provider Entity Code </v>
      </c>
      <c r="AF146" s="297" t="s">
        <v>197</v>
      </c>
      <c r="AG146" s="297" t="s">
        <v>198</v>
      </c>
      <c r="AH146" s="297" t="s">
        <v>199</v>
      </c>
      <c r="AI146" s="297" t="s">
        <v>200</v>
      </c>
      <c r="AJ146" s="297"/>
      <c r="AK146" s="297"/>
      <c r="AL146" s="297"/>
      <c r="AM146" s="11"/>
      <c r="AN146" s="11"/>
      <c r="AO146" s="11"/>
    </row>
    <row r="147" spans="1:41" x14ac:dyDescent="0.4">
      <c r="A147" s="291"/>
      <c r="B147" s="292"/>
      <c r="C147" s="312"/>
      <c r="D147"/>
      <c r="E147" s="325"/>
      <c r="F147" s="143"/>
      <c r="G147" s="143"/>
      <c r="H147" s="143"/>
      <c r="I147" s="143"/>
      <c r="J147" s="143"/>
      <c r="K147" s="143"/>
      <c r="L147" s="143"/>
      <c r="M147" s="143"/>
      <c r="N147" s="143"/>
      <c r="O147" s="143"/>
      <c r="P147" s="143"/>
      <c r="Q147" s="143"/>
      <c r="R147" s="143"/>
      <c r="S147" s="143"/>
      <c r="T147" s="143"/>
      <c r="U147" s="143"/>
      <c r="V147" s="325"/>
      <c r="W147" s="393">
        <f t="shared" si="21"/>
        <v>0</v>
      </c>
      <c r="X147" s="393">
        <f t="shared" si="22"/>
        <v>0</v>
      </c>
      <c r="Y147" s="393">
        <f t="shared" si="23"/>
        <v>0</v>
      </c>
      <c r="Z147" s="393">
        <f t="shared" si="24"/>
        <v>0</v>
      </c>
      <c r="AA147" s="393">
        <f t="shared" si="25"/>
        <v>0</v>
      </c>
      <c r="AB147" s="393" t="e">
        <f t="shared" si="26"/>
        <v>#DIV/0!</v>
      </c>
      <c r="AC147" s="486" t="e">
        <f t="shared" si="27"/>
        <v>#DIV/0!</v>
      </c>
      <c r="AD147" s="11"/>
      <c r="AE147" s="301" t="str">
        <f>AF147&amp;TM[[#This Row],[Insurer Code]]&amp;"; "&amp;AG147&amp;TM[[#This Row],[Reporting Year]]&amp;"; "&amp;AH147&amp;TM[[#This Row],[Insurance Category Code]]&amp;"; "&amp;AI147&amp;TM[[#This Row],[Large Provider Entity Code]]</f>
        <v xml:space="preserve">Insurer Code ; Reporting Year ; Insurance Category Code ; Large Provider Entity Code </v>
      </c>
      <c r="AF147" s="297" t="s">
        <v>197</v>
      </c>
      <c r="AG147" s="297" t="s">
        <v>198</v>
      </c>
      <c r="AH147" s="297" t="s">
        <v>199</v>
      </c>
      <c r="AI147" s="297" t="s">
        <v>200</v>
      </c>
      <c r="AJ147" s="297"/>
      <c r="AK147" s="297"/>
      <c r="AL147" s="297"/>
      <c r="AM147" s="11"/>
      <c r="AN147" s="11"/>
      <c r="AO147" s="11"/>
    </row>
    <row r="148" spans="1:41" x14ac:dyDescent="0.4">
      <c r="A148" s="291"/>
      <c r="B148" s="292"/>
      <c r="C148" s="312"/>
      <c r="D148"/>
      <c r="E148" s="325"/>
      <c r="F148" s="143"/>
      <c r="G148" s="143"/>
      <c r="H148" s="143"/>
      <c r="I148" s="143"/>
      <c r="J148" s="143"/>
      <c r="K148" s="143"/>
      <c r="L148" s="143"/>
      <c r="M148" s="143"/>
      <c r="N148" s="143"/>
      <c r="O148" s="143"/>
      <c r="P148" s="143"/>
      <c r="Q148" s="143"/>
      <c r="R148" s="143"/>
      <c r="S148" s="143"/>
      <c r="T148" s="143"/>
      <c r="U148" s="143"/>
      <c r="V148" s="325"/>
      <c r="W148" s="393">
        <f t="shared" si="21"/>
        <v>0</v>
      </c>
      <c r="X148" s="393">
        <f t="shared" si="22"/>
        <v>0</v>
      </c>
      <c r="Y148" s="393">
        <f t="shared" si="23"/>
        <v>0</v>
      </c>
      <c r="Z148" s="393">
        <f t="shared" si="24"/>
        <v>0</v>
      </c>
      <c r="AA148" s="393">
        <f t="shared" si="25"/>
        <v>0</v>
      </c>
      <c r="AB148" s="393" t="e">
        <f t="shared" si="26"/>
        <v>#DIV/0!</v>
      </c>
      <c r="AC148" s="486" t="e">
        <f t="shared" si="27"/>
        <v>#DIV/0!</v>
      </c>
      <c r="AD148" s="11"/>
      <c r="AE148" s="301" t="str">
        <f>AF148&amp;TM[[#This Row],[Insurer Code]]&amp;"; "&amp;AG148&amp;TM[[#This Row],[Reporting Year]]&amp;"; "&amp;AH148&amp;TM[[#This Row],[Insurance Category Code]]&amp;"; "&amp;AI148&amp;TM[[#This Row],[Large Provider Entity Code]]</f>
        <v xml:space="preserve">Insurer Code ; Reporting Year ; Insurance Category Code ; Large Provider Entity Code </v>
      </c>
      <c r="AF148" s="297" t="s">
        <v>197</v>
      </c>
      <c r="AG148" s="297" t="s">
        <v>198</v>
      </c>
      <c r="AH148" s="297" t="s">
        <v>199</v>
      </c>
      <c r="AI148" s="297" t="s">
        <v>200</v>
      </c>
      <c r="AJ148" s="297"/>
      <c r="AK148" s="297"/>
      <c r="AL148" s="297"/>
      <c r="AM148" s="11"/>
      <c r="AN148" s="11"/>
      <c r="AO148" s="11"/>
    </row>
    <row r="149" spans="1:41" x14ac:dyDescent="0.4">
      <c r="A149" s="291"/>
      <c r="B149" s="292"/>
      <c r="C149" s="312"/>
      <c r="D149"/>
      <c r="E149" s="325"/>
      <c r="F149" s="143"/>
      <c r="G149" s="143"/>
      <c r="H149" s="143"/>
      <c r="I149" s="143"/>
      <c r="J149" s="143"/>
      <c r="K149" s="143"/>
      <c r="L149" s="143"/>
      <c r="M149" s="143"/>
      <c r="N149" s="143"/>
      <c r="O149" s="143"/>
      <c r="P149" s="143"/>
      <c r="Q149" s="143"/>
      <c r="R149" s="143"/>
      <c r="S149" s="143"/>
      <c r="T149" s="143"/>
      <c r="U149" s="143"/>
      <c r="V149" s="325"/>
      <c r="W149" s="393">
        <f t="shared" si="21"/>
        <v>0</v>
      </c>
      <c r="X149" s="393">
        <f t="shared" si="22"/>
        <v>0</v>
      </c>
      <c r="Y149" s="393">
        <f t="shared" si="23"/>
        <v>0</v>
      </c>
      <c r="Z149" s="393">
        <f t="shared" si="24"/>
        <v>0</v>
      </c>
      <c r="AA149" s="393">
        <f t="shared" si="25"/>
        <v>0</v>
      </c>
      <c r="AB149" s="393" t="e">
        <f t="shared" si="26"/>
        <v>#DIV/0!</v>
      </c>
      <c r="AC149" s="486" t="e">
        <f t="shared" si="27"/>
        <v>#DIV/0!</v>
      </c>
      <c r="AD149" s="11"/>
      <c r="AE149" s="301" t="str">
        <f>AF149&amp;TM[[#This Row],[Insurer Code]]&amp;"; "&amp;AG149&amp;TM[[#This Row],[Reporting Year]]&amp;"; "&amp;AH149&amp;TM[[#This Row],[Insurance Category Code]]&amp;"; "&amp;AI149&amp;TM[[#This Row],[Large Provider Entity Code]]</f>
        <v xml:space="preserve">Insurer Code ; Reporting Year ; Insurance Category Code ; Large Provider Entity Code </v>
      </c>
      <c r="AF149" s="297" t="s">
        <v>197</v>
      </c>
      <c r="AG149" s="297" t="s">
        <v>198</v>
      </c>
      <c r="AH149" s="297" t="s">
        <v>199</v>
      </c>
      <c r="AI149" s="297" t="s">
        <v>200</v>
      </c>
      <c r="AJ149" s="297"/>
      <c r="AK149" s="297"/>
      <c r="AL149" s="297"/>
      <c r="AM149" s="11"/>
      <c r="AN149" s="11"/>
      <c r="AO149" s="11"/>
    </row>
    <row r="150" spans="1:41" x14ac:dyDescent="0.4">
      <c r="A150" s="291"/>
      <c r="B150" s="292"/>
      <c r="C150" s="312"/>
      <c r="D150"/>
      <c r="E150" s="325"/>
      <c r="F150" s="143"/>
      <c r="G150" s="143"/>
      <c r="H150" s="143"/>
      <c r="I150" s="143"/>
      <c r="J150" s="143"/>
      <c r="K150" s="143"/>
      <c r="L150" s="143"/>
      <c r="M150" s="143"/>
      <c r="N150" s="143"/>
      <c r="O150" s="143"/>
      <c r="P150" s="143"/>
      <c r="Q150" s="143"/>
      <c r="R150" s="143"/>
      <c r="S150" s="143"/>
      <c r="T150" s="143"/>
      <c r="U150" s="143"/>
      <c r="V150" s="325"/>
      <c r="W150" s="393">
        <f t="shared" si="21"/>
        <v>0</v>
      </c>
      <c r="X150" s="393">
        <f t="shared" si="22"/>
        <v>0</v>
      </c>
      <c r="Y150" s="393">
        <f t="shared" si="23"/>
        <v>0</v>
      </c>
      <c r="Z150" s="393">
        <f t="shared" si="24"/>
        <v>0</v>
      </c>
      <c r="AA150" s="393">
        <f t="shared" si="25"/>
        <v>0</v>
      </c>
      <c r="AB150" s="393" t="e">
        <f t="shared" si="26"/>
        <v>#DIV/0!</v>
      </c>
      <c r="AC150" s="486" t="e">
        <f t="shared" si="27"/>
        <v>#DIV/0!</v>
      </c>
      <c r="AD150" s="11"/>
      <c r="AE150" s="301" t="str">
        <f>AF150&amp;TM[[#This Row],[Insurer Code]]&amp;"; "&amp;AG150&amp;TM[[#This Row],[Reporting Year]]&amp;"; "&amp;AH150&amp;TM[[#This Row],[Insurance Category Code]]&amp;"; "&amp;AI150&amp;TM[[#This Row],[Large Provider Entity Code]]</f>
        <v xml:space="preserve">Insurer Code ; Reporting Year ; Insurance Category Code ; Large Provider Entity Code </v>
      </c>
      <c r="AF150" s="297" t="s">
        <v>197</v>
      </c>
      <c r="AG150" s="297" t="s">
        <v>198</v>
      </c>
      <c r="AH150" s="297" t="s">
        <v>199</v>
      </c>
      <c r="AI150" s="297" t="s">
        <v>200</v>
      </c>
      <c r="AJ150" s="297"/>
      <c r="AK150" s="297"/>
      <c r="AL150" s="297"/>
      <c r="AM150" s="11"/>
      <c r="AN150" s="11"/>
      <c r="AO150" s="11"/>
    </row>
    <row r="151" spans="1:41" x14ac:dyDescent="0.4">
      <c r="A151" s="291"/>
      <c r="B151" s="292"/>
      <c r="C151" s="312"/>
      <c r="D151"/>
      <c r="E151" s="325"/>
      <c r="F151" s="143"/>
      <c r="G151" s="143"/>
      <c r="H151" s="143"/>
      <c r="I151" s="143"/>
      <c r="J151" s="143"/>
      <c r="K151" s="143"/>
      <c r="L151" s="143"/>
      <c r="M151" s="143"/>
      <c r="N151" s="143"/>
      <c r="O151" s="143"/>
      <c r="P151" s="143"/>
      <c r="Q151" s="143"/>
      <c r="R151" s="143"/>
      <c r="S151" s="143"/>
      <c r="T151" s="143"/>
      <c r="U151" s="143"/>
      <c r="V151" s="325"/>
      <c r="W151" s="393">
        <f t="shared" si="21"/>
        <v>0</v>
      </c>
      <c r="X151" s="393">
        <f t="shared" si="22"/>
        <v>0</v>
      </c>
      <c r="Y151" s="393">
        <f t="shared" si="23"/>
        <v>0</v>
      </c>
      <c r="Z151" s="393">
        <f t="shared" si="24"/>
        <v>0</v>
      </c>
      <c r="AA151" s="393">
        <f t="shared" si="25"/>
        <v>0</v>
      </c>
      <c r="AB151" s="393" t="e">
        <f t="shared" si="26"/>
        <v>#DIV/0!</v>
      </c>
      <c r="AC151" s="486" t="e">
        <f t="shared" si="27"/>
        <v>#DIV/0!</v>
      </c>
      <c r="AD151" s="11"/>
      <c r="AE151" s="301" t="str">
        <f>AF151&amp;TM[[#This Row],[Insurer Code]]&amp;"; "&amp;AG151&amp;TM[[#This Row],[Reporting Year]]&amp;"; "&amp;AH151&amp;TM[[#This Row],[Insurance Category Code]]&amp;"; "&amp;AI151&amp;TM[[#This Row],[Large Provider Entity Code]]</f>
        <v xml:space="preserve">Insurer Code ; Reporting Year ; Insurance Category Code ; Large Provider Entity Code </v>
      </c>
      <c r="AF151" s="297" t="s">
        <v>197</v>
      </c>
      <c r="AG151" s="297" t="s">
        <v>198</v>
      </c>
      <c r="AH151" s="297" t="s">
        <v>199</v>
      </c>
      <c r="AI151" s="297" t="s">
        <v>200</v>
      </c>
      <c r="AJ151" s="297"/>
      <c r="AK151" s="297"/>
      <c r="AL151" s="297"/>
      <c r="AM151" s="11"/>
      <c r="AN151" s="11"/>
      <c r="AO151" s="11"/>
    </row>
    <row r="152" spans="1:41" x14ac:dyDescent="0.4">
      <c r="A152" s="291"/>
      <c r="B152" s="292"/>
      <c r="C152" s="312"/>
      <c r="D152"/>
      <c r="E152" s="325"/>
      <c r="F152" s="143"/>
      <c r="G152" s="143"/>
      <c r="H152" s="143"/>
      <c r="I152" s="143"/>
      <c r="J152" s="143"/>
      <c r="K152" s="143"/>
      <c r="L152" s="143"/>
      <c r="M152" s="143"/>
      <c r="N152" s="143"/>
      <c r="O152" s="143"/>
      <c r="P152" s="143"/>
      <c r="Q152" s="143"/>
      <c r="R152" s="143"/>
      <c r="S152" s="143"/>
      <c r="T152" s="143"/>
      <c r="U152" s="143"/>
      <c r="V152" s="325"/>
      <c r="W152" s="393">
        <f t="shared" si="21"/>
        <v>0</v>
      </c>
      <c r="X152" s="393">
        <f t="shared" si="22"/>
        <v>0</v>
      </c>
      <c r="Y152" s="393">
        <f t="shared" si="23"/>
        <v>0</v>
      </c>
      <c r="Z152" s="393">
        <f t="shared" si="24"/>
        <v>0</v>
      </c>
      <c r="AA152" s="393">
        <f t="shared" si="25"/>
        <v>0</v>
      </c>
      <c r="AB152" s="393" t="e">
        <f t="shared" si="26"/>
        <v>#DIV/0!</v>
      </c>
      <c r="AC152" s="486" t="e">
        <f t="shared" si="27"/>
        <v>#DIV/0!</v>
      </c>
      <c r="AD152" s="11"/>
      <c r="AE152" s="301" t="str">
        <f>AF152&amp;TM[[#This Row],[Insurer Code]]&amp;"; "&amp;AG152&amp;TM[[#This Row],[Reporting Year]]&amp;"; "&amp;AH152&amp;TM[[#This Row],[Insurance Category Code]]&amp;"; "&amp;AI152&amp;TM[[#This Row],[Large Provider Entity Code]]</f>
        <v xml:space="preserve">Insurer Code ; Reporting Year ; Insurance Category Code ; Large Provider Entity Code </v>
      </c>
      <c r="AF152" s="297" t="s">
        <v>197</v>
      </c>
      <c r="AG152" s="297" t="s">
        <v>198</v>
      </c>
      <c r="AH152" s="297" t="s">
        <v>199</v>
      </c>
      <c r="AI152" s="297" t="s">
        <v>200</v>
      </c>
      <c r="AJ152" s="297"/>
      <c r="AK152" s="297"/>
      <c r="AL152" s="297"/>
      <c r="AM152" s="11"/>
      <c r="AN152" s="11"/>
      <c r="AO152" s="11"/>
    </row>
    <row r="153" spans="1:41" x14ac:dyDescent="0.4">
      <c r="A153" s="291"/>
      <c r="B153" s="292"/>
      <c r="C153" s="312"/>
      <c r="D153"/>
      <c r="E153" s="325"/>
      <c r="F153" s="143"/>
      <c r="G153" s="143"/>
      <c r="H153" s="143"/>
      <c r="I153" s="143"/>
      <c r="J153" s="143"/>
      <c r="K153" s="143"/>
      <c r="L153" s="143"/>
      <c r="M153" s="143"/>
      <c r="N153" s="143"/>
      <c r="O153" s="143"/>
      <c r="P153" s="143"/>
      <c r="Q153" s="143"/>
      <c r="R153" s="143"/>
      <c r="S153" s="143"/>
      <c r="T153" s="143"/>
      <c r="U153" s="143"/>
      <c r="V153" s="325"/>
      <c r="W153" s="393">
        <f t="shared" si="21"/>
        <v>0</v>
      </c>
      <c r="X153" s="393">
        <f t="shared" si="22"/>
        <v>0</v>
      </c>
      <c r="Y153" s="393">
        <f t="shared" si="23"/>
        <v>0</v>
      </c>
      <c r="Z153" s="393">
        <f t="shared" si="24"/>
        <v>0</v>
      </c>
      <c r="AA153" s="393">
        <f t="shared" si="25"/>
        <v>0</v>
      </c>
      <c r="AB153" s="393" t="e">
        <f t="shared" si="26"/>
        <v>#DIV/0!</v>
      </c>
      <c r="AC153" s="486" t="e">
        <f t="shared" si="27"/>
        <v>#DIV/0!</v>
      </c>
      <c r="AD153" s="11"/>
      <c r="AE153" s="301" t="str">
        <f>AF153&amp;TM[[#This Row],[Insurer Code]]&amp;"; "&amp;AG153&amp;TM[[#This Row],[Reporting Year]]&amp;"; "&amp;AH153&amp;TM[[#This Row],[Insurance Category Code]]&amp;"; "&amp;AI153&amp;TM[[#This Row],[Large Provider Entity Code]]</f>
        <v xml:space="preserve">Insurer Code ; Reporting Year ; Insurance Category Code ; Large Provider Entity Code </v>
      </c>
      <c r="AF153" s="297" t="s">
        <v>197</v>
      </c>
      <c r="AG153" s="297" t="s">
        <v>198</v>
      </c>
      <c r="AH153" s="297" t="s">
        <v>199</v>
      </c>
      <c r="AI153" s="297" t="s">
        <v>200</v>
      </c>
      <c r="AJ153" s="297"/>
      <c r="AK153" s="297"/>
      <c r="AL153" s="297"/>
      <c r="AM153" s="11"/>
      <c r="AN153" s="11"/>
      <c r="AO153" s="11"/>
    </row>
    <row r="154" spans="1:41" x14ac:dyDescent="0.4">
      <c r="A154" s="291"/>
      <c r="B154" s="292"/>
      <c r="C154" s="312"/>
      <c r="D154"/>
      <c r="E154" s="325"/>
      <c r="F154" s="143"/>
      <c r="G154" s="143"/>
      <c r="H154" s="143"/>
      <c r="I154" s="143"/>
      <c r="J154" s="143"/>
      <c r="K154" s="143"/>
      <c r="L154" s="143"/>
      <c r="M154" s="143"/>
      <c r="N154" s="143"/>
      <c r="O154" s="143"/>
      <c r="P154" s="143"/>
      <c r="Q154" s="143"/>
      <c r="R154" s="143"/>
      <c r="S154" s="143"/>
      <c r="T154" s="143"/>
      <c r="U154" s="143"/>
      <c r="V154" s="325"/>
      <c r="W154" s="393">
        <f t="shared" si="21"/>
        <v>0</v>
      </c>
      <c r="X154" s="393">
        <f t="shared" si="22"/>
        <v>0</v>
      </c>
      <c r="Y154" s="393">
        <f t="shared" si="23"/>
        <v>0</v>
      </c>
      <c r="Z154" s="393">
        <f t="shared" si="24"/>
        <v>0</v>
      </c>
      <c r="AA154" s="393">
        <f t="shared" si="25"/>
        <v>0</v>
      </c>
      <c r="AB154" s="393" t="e">
        <f t="shared" si="26"/>
        <v>#DIV/0!</v>
      </c>
      <c r="AC154" s="486" t="e">
        <f t="shared" si="27"/>
        <v>#DIV/0!</v>
      </c>
      <c r="AD154" s="11"/>
      <c r="AE154" s="301" t="str">
        <f>AF154&amp;TM[[#This Row],[Insurer Code]]&amp;"; "&amp;AG154&amp;TM[[#This Row],[Reporting Year]]&amp;"; "&amp;AH154&amp;TM[[#This Row],[Insurance Category Code]]&amp;"; "&amp;AI154&amp;TM[[#This Row],[Large Provider Entity Code]]</f>
        <v xml:space="preserve">Insurer Code ; Reporting Year ; Insurance Category Code ; Large Provider Entity Code </v>
      </c>
      <c r="AF154" s="297" t="s">
        <v>197</v>
      </c>
      <c r="AG154" s="297" t="s">
        <v>198</v>
      </c>
      <c r="AH154" s="297" t="s">
        <v>199</v>
      </c>
      <c r="AI154" s="297" t="s">
        <v>200</v>
      </c>
      <c r="AJ154" s="297"/>
      <c r="AK154" s="297"/>
      <c r="AL154" s="297"/>
      <c r="AM154" s="11"/>
      <c r="AN154" s="11"/>
      <c r="AO154" s="11"/>
    </row>
    <row r="155" spans="1:41" x14ac:dyDescent="0.4">
      <c r="A155" s="291"/>
      <c r="B155" s="292"/>
      <c r="C155" s="312"/>
      <c r="D155"/>
      <c r="E155" s="325"/>
      <c r="F155" s="143"/>
      <c r="G155" s="143"/>
      <c r="H155" s="143"/>
      <c r="I155" s="143"/>
      <c r="J155" s="143"/>
      <c r="K155" s="143"/>
      <c r="L155" s="143"/>
      <c r="M155" s="143"/>
      <c r="N155" s="143"/>
      <c r="O155" s="143"/>
      <c r="P155" s="143"/>
      <c r="Q155" s="143"/>
      <c r="R155" s="143"/>
      <c r="S155" s="143"/>
      <c r="T155" s="143"/>
      <c r="U155" s="143"/>
      <c r="V155" s="325"/>
      <c r="W155" s="393">
        <f t="shared" si="21"/>
        <v>0</v>
      </c>
      <c r="X155" s="393">
        <f t="shared" si="22"/>
        <v>0</v>
      </c>
      <c r="Y155" s="393">
        <f t="shared" si="23"/>
        <v>0</v>
      </c>
      <c r="Z155" s="393">
        <f t="shared" si="24"/>
        <v>0</v>
      </c>
      <c r="AA155" s="393">
        <f t="shared" si="25"/>
        <v>0</v>
      </c>
      <c r="AB155" s="393" t="e">
        <f t="shared" si="26"/>
        <v>#DIV/0!</v>
      </c>
      <c r="AC155" s="486" t="e">
        <f t="shared" si="27"/>
        <v>#DIV/0!</v>
      </c>
      <c r="AD155" s="11"/>
      <c r="AE155" s="301" t="str">
        <f>AF155&amp;TM[[#This Row],[Insurer Code]]&amp;"; "&amp;AG155&amp;TM[[#This Row],[Reporting Year]]&amp;"; "&amp;AH155&amp;TM[[#This Row],[Insurance Category Code]]&amp;"; "&amp;AI155&amp;TM[[#This Row],[Large Provider Entity Code]]</f>
        <v xml:space="preserve">Insurer Code ; Reporting Year ; Insurance Category Code ; Large Provider Entity Code </v>
      </c>
      <c r="AF155" s="297" t="s">
        <v>197</v>
      </c>
      <c r="AG155" s="297" t="s">
        <v>198</v>
      </c>
      <c r="AH155" s="297" t="s">
        <v>199</v>
      </c>
      <c r="AI155" s="297" t="s">
        <v>200</v>
      </c>
      <c r="AJ155" s="297"/>
      <c r="AK155" s="297"/>
      <c r="AL155" s="297"/>
      <c r="AM155" s="11"/>
      <c r="AN155" s="11"/>
      <c r="AO155" s="11"/>
    </row>
    <row r="156" spans="1:41" x14ac:dyDescent="0.4">
      <c r="A156" s="291"/>
      <c r="B156" s="292"/>
      <c r="C156" s="312"/>
      <c r="D156"/>
      <c r="E156" s="325"/>
      <c r="F156" s="143"/>
      <c r="G156" s="143"/>
      <c r="H156" s="143"/>
      <c r="I156" s="143"/>
      <c r="J156" s="143"/>
      <c r="K156" s="143"/>
      <c r="L156" s="143"/>
      <c r="M156" s="143"/>
      <c r="N156" s="143"/>
      <c r="O156" s="143"/>
      <c r="P156" s="143"/>
      <c r="Q156" s="143"/>
      <c r="R156" s="143"/>
      <c r="S156" s="143"/>
      <c r="T156" s="143"/>
      <c r="U156" s="143"/>
      <c r="V156" s="325"/>
      <c r="W156" s="393">
        <f t="shared" si="21"/>
        <v>0</v>
      </c>
      <c r="X156" s="393">
        <f t="shared" si="22"/>
        <v>0</v>
      </c>
      <c r="Y156" s="393">
        <f t="shared" si="23"/>
        <v>0</v>
      </c>
      <c r="Z156" s="393">
        <f t="shared" si="24"/>
        <v>0</v>
      </c>
      <c r="AA156" s="393">
        <f t="shared" si="25"/>
        <v>0</v>
      </c>
      <c r="AB156" s="393" t="e">
        <f t="shared" si="26"/>
        <v>#DIV/0!</v>
      </c>
      <c r="AC156" s="486" t="e">
        <f t="shared" si="27"/>
        <v>#DIV/0!</v>
      </c>
      <c r="AD156" s="11"/>
      <c r="AE156" s="301" t="str">
        <f>AF156&amp;TM[[#This Row],[Insurer Code]]&amp;"; "&amp;AG156&amp;TM[[#This Row],[Reporting Year]]&amp;"; "&amp;AH156&amp;TM[[#This Row],[Insurance Category Code]]&amp;"; "&amp;AI156&amp;TM[[#This Row],[Large Provider Entity Code]]</f>
        <v xml:space="preserve">Insurer Code ; Reporting Year ; Insurance Category Code ; Large Provider Entity Code </v>
      </c>
      <c r="AF156" s="297" t="s">
        <v>197</v>
      </c>
      <c r="AG156" s="297" t="s">
        <v>198</v>
      </c>
      <c r="AH156" s="297" t="s">
        <v>199</v>
      </c>
      <c r="AI156" s="297" t="s">
        <v>200</v>
      </c>
      <c r="AJ156" s="297"/>
      <c r="AK156" s="297"/>
      <c r="AL156" s="297"/>
      <c r="AM156" s="11"/>
      <c r="AN156" s="11"/>
      <c r="AO156" s="11"/>
    </row>
    <row r="157" spans="1:41" x14ac:dyDescent="0.4">
      <c r="A157" s="291"/>
      <c r="B157" s="292"/>
      <c r="C157" s="312"/>
      <c r="D157"/>
      <c r="E157" s="325"/>
      <c r="F157" s="143"/>
      <c r="G157" s="143"/>
      <c r="H157" s="143"/>
      <c r="I157" s="143"/>
      <c r="J157" s="143"/>
      <c r="K157" s="143"/>
      <c r="L157" s="143"/>
      <c r="M157" s="143"/>
      <c r="N157" s="143"/>
      <c r="O157" s="143"/>
      <c r="P157" s="143"/>
      <c r="Q157" s="143"/>
      <c r="R157" s="143"/>
      <c r="S157" s="143"/>
      <c r="T157" s="143"/>
      <c r="U157" s="143"/>
      <c r="V157" s="325"/>
      <c r="W157" s="393">
        <f t="shared" si="21"/>
        <v>0</v>
      </c>
      <c r="X157" s="393">
        <f t="shared" si="22"/>
        <v>0</v>
      </c>
      <c r="Y157" s="393">
        <f t="shared" si="23"/>
        <v>0</v>
      </c>
      <c r="Z157" s="393">
        <f t="shared" si="24"/>
        <v>0</v>
      </c>
      <c r="AA157" s="393">
        <f t="shared" si="25"/>
        <v>0</v>
      </c>
      <c r="AB157" s="393" t="e">
        <f t="shared" si="26"/>
        <v>#DIV/0!</v>
      </c>
      <c r="AC157" s="486" t="e">
        <f t="shared" si="27"/>
        <v>#DIV/0!</v>
      </c>
      <c r="AD157" s="11"/>
      <c r="AE157" s="301" t="str">
        <f>AF157&amp;TM[[#This Row],[Insurer Code]]&amp;"; "&amp;AG157&amp;TM[[#This Row],[Reporting Year]]&amp;"; "&amp;AH157&amp;TM[[#This Row],[Insurance Category Code]]&amp;"; "&amp;AI157&amp;TM[[#This Row],[Large Provider Entity Code]]</f>
        <v xml:space="preserve">Insurer Code ; Reporting Year ; Insurance Category Code ; Large Provider Entity Code </v>
      </c>
      <c r="AF157" s="297" t="s">
        <v>197</v>
      </c>
      <c r="AG157" s="297" t="s">
        <v>198</v>
      </c>
      <c r="AH157" s="297" t="s">
        <v>199</v>
      </c>
      <c r="AI157" s="297" t="s">
        <v>200</v>
      </c>
      <c r="AJ157" s="297"/>
      <c r="AK157" s="297"/>
      <c r="AL157" s="297"/>
      <c r="AM157" s="11"/>
      <c r="AN157" s="11"/>
      <c r="AO157" s="11"/>
    </row>
    <row r="158" spans="1:41" x14ac:dyDescent="0.4">
      <c r="A158" s="291"/>
      <c r="B158" s="292"/>
      <c r="C158" s="312"/>
      <c r="D158"/>
      <c r="E158" s="325"/>
      <c r="F158" s="143"/>
      <c r="G158" s="143"/>
      <c r="H158" s="143"/>
      <c r="I158" s="143"/>
      <c r="J158" s="143"/>
      <c r="K158" s="143"/>
      <c r="L158" s="143"/>
      <c r="M158" s="143"/>
      <c r="N158" s="143"/>
      <c r="O158" s="143"/>
      <c r="P158" s="143"/>
      <c r="Q158" s="143"/>
      <c r="R158" s="143"/>
      <c r="S158" s="143"/>
      <c r="T158" s="143"/>
      <c r="U158" s="143"/>
      <c r="V158" s="325"/>
      <c r="W158" s="393">
        <f t="shared" si="21"/>
        <v>0</v>
      </c>
      <c r="X158" s="393">
        <f t="shared" si="22"/>
        <v>0</v>
      </c>
      <c r="Y158" s="393">
        <f t="shared" si="23"/>
        <v>0</v>
      </c>
      <c r="Z158" s="393">
        <f t="shared" si="24"/>
        <v>0</v>
      </c>
      <c r="AA158" s="393">
        <f t="shared" si="25"/>
        <v>0</v>
      </c>
      <c r="AB158" s="393" t="e">
        <f t="shared" si="26"/>
        <v>#DIV/0!</v>
      </c>
      <c r="AC158" s="486" t="e">
        <f t="shared" si="27"/>
        <v>#DIV/0!</v>
      </c>
      <c r="AD158" s="11"/>
      <c r="AE158" s="301" t="str">
        <f>AF158&amp;TM[[#This Row],[Insurer Code]]&amp;"; "&amp;AG158&amp;TM[[#This Row],[Reporting Year]]&amp;"; "&amp;AH158&amp;TM[[#This Row],[Insurance Category Code]]&amp;"; "&amp;AI158&amp;TM[[#This Row],[Large Provider Entity Code]]</f>
        <v xml:space="preserve">Insurer Code ; Reporting Year ; Insurance Category Code ; Large Provider Entity Code </v>
      </c>
      <c r="AF158" s="297" t="s">
        <v>197</v>
      </c>
      <c r="AG158" s="297" t="s">
        <v>198</v>
      </c>
      <c r="AH158" s="297" t="s">
        <v>199</v>
      </c>
      <c r="AI158" s="297" t="s">
        <v>200</v>
      </c>
      <c r="AJ158" s="297"/>
      <c r="AK158" s="297"/>
      <c r="AL158" s="297"/>
      <c r="AM158" s="11"/>
      <c r="AN158" s="11"/>
      <c r="AO158" s="11"/>
    </row>
    <row r="159" spans="1:41" x14ac:dyDescent="0.4">
      <c r="A159" s="291"/>
      <c r="B159" s="292"/>
      <c r="C159" s="312"/>
      <c r="D159"/>
      <c r="E159" s="325"/>
      <c r="F159" s="143"/>
      <c r="G159" s="143"/>
      <c r="H159" s="143"/>
      <c r="I159" s="143"/>
      <c r="J159" s="143"/>
      <c r="K159" s="143"/>
      <c r="L159" s="143"/>
      <c r="M159" s="143"/>
      <c r="N159" s="143"/>
      <c r="O159" s="143"/>
      <c r="P159" s="143"/>
      <c r="Q159" s="143"/>
      <c r="R159" s="143"/>
      <c r="S159" s="143"/>
      <c r="T159" s="143"/>
      <c r="U159" s="143"/>
      <c r="V159" s="325"/>
      <c r="W159" s="393">
        <f t="shared" si="21"/>
        <v>0</v>
      </c>
      <c r="X159" s="393">
        <f t="shared" si="22"/>
        <v>0</v>
      </c>
      <c r="Y159" s="393">
        <f t="shared" si="23"/>
        <v>0</v>
      </c>
      <c r="Z159" s="393">
        <f t="shared" si="24"/>
        <v>0</v>
      </c>
      <c r="AA159" s="393">
        <f t="shared" si="25"/>
        <v>0</v>
      </c>
      <c r="AB159" s="393" t="e">
        <f t="shared" si="26"/>
        <v>#DIV/0!</v>
      </c>
      <c r="AC159" s="486" t="e">
        <f t="shared" si="27"/>
        <v>#DIV/0!</v>
      </c>
      <c r="AD159" s="11"/>
      <c r="AE159" s="301" t="str">
        <f>AF159&amp;TM[[#This Row],[Insurer Code]]&amp;"; "&amp;AG159&amp;TM[[#This Row],[Reporting Year]]&amp;"; "&amp;AH159&amp;TM[[#This Row],[Insurance Category Code]]&amp;"; "&amp;AI159&amp;TM[[#This Row],[Large Provider Entity Code]]</f>
        <v xml:space="preserve">Insurer Code ; Reporting Year ; Insurance Category Code ; Large Provider Entity Code </v>
      </c>
      <c r="AF159" s="297" t="s">
        <v>197</v>
      </c>
      <c r="AG159" s="297" t="s">
        <v>198</v>
      </c>
      <c r="AH159" s="297" t="s">
        <v>199</v>
      </c>
      <c r="AI159" s="297" t="s">
        <v>200</v>
      </c>
      <c r="AJ159" s="297"/>
      <c r="AK159" s="297"/>
      <c r="AL159" s="297"/>
      <c r="AM159" s="11"/>
      <c r="AN159" s="11"/>
      <c r="AO159" s="11"/>
    </row>
    <row r="160" spans="1:41" x14ac:dyDescent="0.4">
      <c r="A160" s="291"/>
      <c r="B160" s="292"/>
      <c r="C160" s="312"/>
      <c r="D160"/>
      <c r="E160" s="325"/>
      <c r="F160" s="143"/>
      <c r="G160" s="143"/>
      <c r="H160" s="143"/>
      <c r="I160" s="143"/>
      <c r="J160" s="143"/>
      <c r="K160" s="143"/>
      <c r="L160" s="143"/>
      <c r="M160" s="143"/>
      <c r="N160" s="143"/>
      <c r="O160" s="143"/>
      <c r="P160" s="143"/>
      <c r="Q160" s="143"/>
      <c r="R160" s="143"/>
      <c r="S160" s="143"/>
      <c r="T160" s="143"/>
      <c r="U160" s="143"/>
      <c r="V160" s="325"/>
      <c r="W160" s="393">
        <f t="shared" si="21"/>
        <v>0</v>
      </c>
      <c r="X160" s="393">
        <f t="shared" si="22"/>
        <v>0</v>
      </c>
      <c r="Y160" s="393">
        <f t="shared" si="23"/>
        <v>0</v>
      </c>
      <c r="Z160" s="393">
        <f t="shared" si="24"/>
        <v>0</v>
      </c>
      <c r="AA160" s="393">
        <f t="shared" si="25"/>
        <v>0</v>
      </c>
      <c r="AB160" s="393" t="e">
        <f t="shared" si="26"/>
        <v>#DIV/0!</v>
      </c>
      <c r="AC160" s="486" t="e">
        <f t="shared" si="27"/>
        <v>#DIV/0!</v>
      </c>
      <c r="AD160" s="11"/>
      <c r="AE160" s="301" t="str">
        <f>AF160&amp;TM[[#This Row],[Insurer Code]]&amp;"; "&amp;AG160&amp;TM[[#This Row],[Reporting Year]]&amp;"; "&amp;AH160&amp;TM[[#This Row],[Insurance Category Code]]&amp;"; "&amp;AI160&amp;TM[[#This Row],[Large Provider Entity Code]]</f>
        <v xml:space="preserve">Insurer Code ; Reporting Year ; Insurance Category Code ; Large Provider Entity Code </v>
      </c>
      <c r="AF160" s="297" t="s">
        <v>197</v>
      </c>
      <c r="AG160" s="297" t="s">
        <v>198</v>
      </c>
      <c r="AH160" s="297" t="s">
        <v>199</v>
      </c>
      <c r="AI160" s="297" t="s">
        <v>200</v>
      </c>
      <c r="AJ160" s="297"/>
      <c r="AK160" s="297"/>
      <c r="AL160" s="297"/>
      <c r="AM160" s="11"/>
      <c r="AN160" s="11"/>
      <c r="AO160" s="11"/>
    </row>
    <row r="161" spans="1:41" x14ac:dyDescent="0.4">
      <c r="A161" s="291"/>
      <c r="B161" s="292"/>
      <c r="C161" s="312"/>
      <c r="D161"/>
      <c r="E161" s="325"/>
      <c r="F161" s="143"/>
      <c r="G161" s="143"/>
      <c r="H161" s="143"/>
      <c r="I161" s="143"/>
      <c r="J161" s="143"/>
      <c r="K161" s="143"/>
      <c r="L161" s="143"/>
      <c r="M161" s="143"/>
      <c r="N161" s="143"/>
      <c r="O161" s="143"/>
      <c r="P161" s="143"/>
      <c r="Q161" s="143"/>
      <c r="R161" s="143"/>
      <c r="S161" s="143"/>
      <c r="T161" s="143"/>
      <c r="U161" s="143"/>
      <c r="V161" s="325"/>
      <c r="W161" s="393">
        <f t="shared" si="21"/>
        <v>0</v>
      </c>
      <c r="X161" s="393">
        <f t="shared" si="22"/>
        <v>0</v>
      </c>
      <c r="Y161" s="393">
        <f t="shared" si="23"/>
        <v>0</v>
      </c>
      <c r="Z161" s="393">
        <f t="shared" si="24"/>
        <v>0</v>
      </c>
      <c r="AA161" s="393">
        <f t="shared" si="25"/>
        <v>0</v>
      </c>
      <c r="AB161" s="393" t="e">
        <f t="shared" si="26"/>
        <v>#DIV/0!</v>
      </c>
      <c r="AC161" s="486" t="e">
        <f t="shared" si="27"/>
        <v>#DIV/0!</v>
      </c>
      <c r="AD161" s="11"/>
      <c r="AE161" s="301" t="str">
        <f>AF161&amp;TM[[#This Row],[Insurer Code]]&amp;"; "&amp;AG161&amp;TM[[#This Row],[Reporting Year]]&amp;"; "&amp;AH161&amp;TM[[#This Row],[Insurance Category Code]]&amp;"; "&amp;AI161&amp;TM[[#This Row],[Large Provider Entity Code]]</f>
        <v xml:space="preserve">Insurer Code ; Reporting Year ; Insurance Category Code ; Large Provider Entity Code </v>
      </c>
      <c r="AF161" s="297" t="s">
        <v>197</v>
      </c>
      <c r="AG161" s="297" t="s">
        <v>198</v>
      </c>
      <c r="AH161" s="297" t="s">
        <v>199</v>
      </c>
      <c r="AI161" s="297" t="s">
        <v>200</v>
      </c>
      <c r="AJ161" s="297"/>
      <c r="AK161" s="297"/>
      <c r="AL161" s="297"/>
      <c r="AM161" s="11"/>
      <c r="AN161" s="11"/>
      <c r="AO161" s="11"/>
    </row>
    <row r="162" spans="1:41" x14ac:dyDescent="0.4">
      <c r="A162" s="291"/>
      <c r="B162" s="292"/>
      <c r="C162" s="312"/>
      <c r="D162"/>
      <c r="E162" s="325"/>
      <c r="F162" s="143"/>
      <c r="G162" s="143"/>
      <c r="H162" s="143"/>
      <c r="I162" s="143"/>
      <c r="J162" s="143"/>
      <c r="K162" s="143"/>
      <c r="L162" s="143"/>
      <c r="M162" s="143"/>
      <c r="N162" s="143"/>
      <c r="O162" s="143"/>
      <c r="P162" s="143"/>
      <c r="Q162" s="143"/>
      <c r="R162" s="143"/>
      <c r="S162" s="143"/>
      <c r="T162" s="143"/>
      <c r="U162" s="143"/>
      <c r="V162" s="325"/>
      <c r="W162" s="393">
        <f t="shared" si="21"/>
        <v>0</v>
      </c>
      <c r="X162" s="393">
        <f t="shared" si="22"/>
        <v>0</v>
      </c>
      <c r="Y162" s="393">
        <f t="shared" si="23"/>
        <v>0</v>
      </c>
      <c r="Z162" s="393">
        <f t="shared" si="24"/>
        <v>0</v>
      </c>
      <c r="AA162" s="393">
        <f t="shared" si="25"/>
        <v>0</v>
      </c>
      <c r="AB162" s="393" t="e">
        <f t="shared" si="26"/>
        <v>#DIV/0!</v>
      </c>
      <c r="AC162" s="486" t="e">
        <f t="shared" si="27"/>
        <v>#DIV/0!</v>
      </c>
      <c r="AD162" s="11"/>
      <c r="AE162" s="301" t="str">
        <f>AF162&amp;TM[[#This Row],[Insurer Code]]&amp;"; "&amp;AG162&amp;TM[[#This Row],[Reporting Year]]&amp;"; "&amp;AH162&amp;TM[[#This Row],[Insurance Category Code]]&amp;"; "&amp;AI162&amp;TM[[#This Row],[Large Provider Entity Code]]</f>
        <v xml:space="preserve">Insurer Code ; Reporting Year ; Insurance Category Code ; Large Provider Entity Code </v>
      </c>
      <c r="AF162" s="297" t="s">
        <v>197</v>
      </c>
      <c r="AG162" s="297" t="s">
        <v>198</v>
      </c>
      <c r="AH162" s="297" t="s">
        <v>199</v>
      </c>
      <c r="AI162" s="297" t="s">
        <v>200</v>
      </c>
      <c r="AJ162" s="297"/>
      <c r="AK162" s="297"/>
      <c r="AL162" s="297"/>
      <c r="AM162" s="11"/>
      <c r="AN162" s="11"/>
      <c r="AO162" s="11"/>
    </row>
    <row r="163" spans="1:41" x14ac:dyDescent="0.4">
      <c r="A163" s="291"/>
      <c r="B163" s="292"/>
      <c r="C163" s="312"/>
      <c r="D163"/>
      <c r="E163" s="325"/>
      <c r="F163" s="143"/>
      <c r="G163" s="143"/>
      <c r="H163" s="143"/>
      <c r="I163" s="143"/>
      <c r="J163" s="143"/>
      <c r="K163" s="143"/>
      <c r="L163" s="143"/>
      <c r="M163" s="143"/>
      <c r="N163" s="143"/>
      <c r="O163" s="143"/>
      <c r="P163" s="143"/>
      <c r="Q163" s="143"/>
      <c r="R163" s="143"/>
      <c r="S163" s="143"/>
      <c r="T163" s="143"/>
      <c r="U163" s="143"/>
      <c r="V163" s="325"/>
      <c r="W163" s="393">
        <f t="shared" si="21"/>
        <v>0</v>
      </c>
      <c r="X163" s="393">
        <f t="shared" si="22"/>
        <v>0</v>
      </c>
      <c r="Y163" s="393">
        <f t="shared" si="23"/>
        <v>0</v>
      </c>
      <c r="Z163" s="393">
        <f t="shared" si="24"/>
        <v>0</v>
      </c>
      <c r="AA163" s="393">
        <f t="shared" si="25"/>
        <v>0</v>
      </c>
      <c r="AB163" s="393" t="e">
        <f t="shared" si="26"/>
        <v>#DIV/0!</v>
      </c>
      <c r="AC163" s="486" t="e">
        <f t="shared" si="27"/>
        <v>#DIV/0!</v>
      </c>
      <c r="AD163" s="11"/>
      <c r="AE163" s="301" t="str">
        <f>AF163&amp;TM[[#This Row],[Insurer Code]]&amp;"; "&amp;AG163&amp;TM[[#This Row],[Reporting Year]]&amp;"; "&amp;AH163&amp;TM[[#This Row],[Insurance Category Code]]&amp;"; "&amp;AI163&amp;TM[[#This Row],[Large Provider Entity Code]]</f>
        <v xml:space="preserve">Insurer Code ; Reporting Year ; Insurance Category Code ; Large Provider Entity Code </v>
      </c>
      <c r="AF163" s="297" t="s">
        <v>197</v>
      </c>
      <c r="AG163" s="297" t="s">
        <v>198</v>
      </c>
      <c r="AH163" s="297" t="s">
        <v>199</v>
      </c>
      <c r="AI163" s="297" t="s">
        <v>200</v>
      </c>
      <c r="AJ163" s="297"/>
      <c r="AK163" s="297"/>
      <c r="AL163" s="297"/>
      <c r="AM163" s="11"/>
      <c r="AN163" s="11"/>
      <c r="AO163" s="11"/>
    </row>
    <row r="164" spans="1:41" x14ac:dyDescent="0.4">
      <c r="A164" s="291"/>
      <c r="B164" s="292"/>
      <c r="C164" s="312"/>
      <c r="D164"/>
      <c r="E164" s="325"/>
      <c r="F164" s="143"/>
      <c r="G164" s="143"/>
      <c r="H164" s="143"/>
      <c r="I164" s="143"/>
      <c r="J164" s="143"/>
      <c r="K164" s="143"/>
      <c r="L164" s="143"/>
      <c r="M164" s="143"/>
      <c r="N164" s="143"/>
      <c r="O164" s="143"/>
      <c r="P164" s="143"/>
      <c r="Q164" s="143"/>
      <c r="R164" s="143"/>
      <c r="S164" s="143"/>
      <c r="T164" s="143"/>
      <c r="U164" s="143"/>
      <c r="V164" s="325"/>
      <c r="W164" s="393">
        <f t="shared" si="21"/>
        <v>0</v>
      </c>
      <c r="X164" s="393">
        <f t="shared" si="22"/>
        <v>0</v>
      </c>
      <c r="Y164" s="393">
        <f t="shared" si="23"/>
        <v>0</v>
      </c>
      <c r="Z164" s="393">
        <f t="shared" si="24"/>
        <v>0</v>
      </c>
      <c r="AA164" s="393">
        <f t="shared" si="25"/>
        <v>0</v>
      </c>
      <c r="AB164" s="393" t="e">
        <f t="shared" si="26"/>
        <v>#DIV/0!</v>
      </c>
      <c r="AC164" s="486" t="e">
        <f t="shared" si="27"/>
        <v>#DIV/0!</v>
      </c>
      <c r="AD164" s="11"/>
      <c r="AE164" s="301" t="str">
        <f>AF164&amp;TM[[#This Row],[Insurer Code]]&amp;"; "&amp;AG164&amp;TM[[#This Row],[Reporting Year]]&amp;"; "&amp;AH164&amp;TM[[#This Row],[Insurance Category Code]]&amp;"; "&amp;AI164&amp;TM[[#This Row],[Large Provider Entity Code]]</f>
        <v xml:space="preserve">Insurer Code ; Reporting Year ; Insurance Category Code ; Large Provider Entity Code </v>
      </c>
      <c r="AF164" s="297" t="s">
        <v>197</v>
      </c>
      <c r="AG164" s="297" t="s">
        <v>198</v>
      </c>
      <c r="AH164" s="297" t="s">
        <v>199</v>
      </c>
      <c r="AI164" s="297" t="s">
        <v>200</v>
      </c>
      <c r="AJ164" s="297"/>
      <c r="AK164" s="297"/>
      <c r="AL164" s="297"/>
      <c r="AM164" s="11"/>
      <c r="AN164" s="11"/>
      <c r="AO164" s="11"/>
    </row>
    <row r="165" spans="1:41" x14ac:dyDescent="0.4">
      <c r="A165" s="291"/>
      <c r="B165" s="292"/>
      <c r="C165" s="312"/>
      <c r="D165"/>
      <c r="E165" s="325"/>
      <c r="F165" s="143"/>
      <c r="G165" s="143"/>
      <c r="H165" s="143"/>
      <c r="I165" s="143"/>
      <c r="J165" s="143"/>
      <c r="K165" s="143"/>
      <c r="L165" s="143"/>
      <c r="M165" s="143"/>
      <c r="N165" s="143"/>
      <c r="O165" s="143"/>
      <c r="P165" s="143"/>
      <c r="Q165" s="143"/>
      <c r="R165" s="143"/>
      <c r="S165" s="143"/>
      <c r="T165" s="143"/>
      <c r="U165" s="143"/>
      <c r="V165" s="325"/>
      <c r="W165" s="393">
        <f t="shared" si="21"/>
        <v>0</v>
      </c>
      <c r="X165" s="393">
        <f t="shared" si="22"/>
        <v>0</v>
      </c>
      <c r="Y165" s="393">
        <f t="shared" si="23"/>
        <v>0</v>
      </c>
      <c r="Z165" s="393">
        <f t="shared" si="24"/>
        <v>0</v>
      </c>
      <c r="AA165" s="393">
        <f t="shared" si="25"/>
        <v>0</v>
      </c>
      <c r="AB165" s="393" t="e">
        <f t="shared" si="26"/>
        <v>#DIV/0!</v>
      </c>
      <c r="AC165" s="486" t="e">
        <f t="shared" si="27"/>
        <v>#DIV/0!</v>
      </c>
      <c r="AD165" s="11"/>
      <c r="AE165" s="301" t="str">
        <f>AF165&amp;TM[[#This Row],[Insurer Code]]&amp;"; "&amp;AG165&amp;TM[[#This Row],[Reporting Year]]&amp;"; "&amp;AH165&amp;TM[[#This Row],[Insurance Category Code]]&amp;"; "&amp;AI165&amp;TM[[#This Row],[Large Provider Entity Code]]</f>
        <v xml:space="preserve">Insurer Code ; Reporting Year ; Insurance Category Code ; Large Provider Entity Code </v>
      </c>
      <c r="AF165" s="297" t="s">
        <v>197</v>
      </c>
      <c r="AG165" s="297" t="s">
        <v>198</v>
      </c>
      <c r="AH165" s="297" t="s">
        <v>199</v>
      </c>
      <c r="AI165" s="297" t="s">
        <v>200</v>
      </c>
      <c r="AJ165" s="297"/>
      <c r="AK165" s="297"/>
      <c r="AL165" s="297"/>
      <c r="AM165" s="11"/>
      <c r="AN165" s="11"/>
      <c r="AO165" s="11"/>
    </row>
    <row r="166" spans="1:41" x14ac:dyDescent="0.4">
      <c r="A166" s="291"/>
      <c r="B166" s="292"/>
      <c r="C166" s="312"/>
      <c r="D166"/>
      <c r="E166" s="325"/>
      <c r="F166" s="143"/>
      <c r="G166" s="143"/>
      <c r="H166" s="143"/>
      <c r="I166" s="143"/>
      <c r="J166" s="143"/>
      <c r="K166" s="143"/>
      <c r="L166" s="143"/>
      <c r="M166" s="143"/>
      <c r="N166" s="143"/>
      <c r="O166" s="143"/>
      <c r="P166" s="143"/>
      <c r="Q166" s="143"/>
      <c r="R166" s="143"/>
      <c r="S166" s="143"/>
      <c r="T166" s="143"/>
      <c r="U166" s="143"/>
      <c r="V166" s="325"/>
      <c r="W166" s="393">
        <f t="shared" si="21"/>
        <v>0</v>
      </c>
      <c r="X166" s="393">
        <f t="shared" si="22"/>
        <v>0</v>
      </c>
      <c r="Y166" s="393">
        <f t="shared" si="23"/>
        <v>0</v>
      </c>
      <c r="Z166" s="393">
        <f t="shared" si="24"/>
        <v>0</v>
      </c>
      <c r="AA166" s="393">
        <f t="shared" si="25"/>
        <v>0</v>
      </c>
      <c r="AB166" s="393" t="e">
        <f t="shared" si="26"/>
        <v>#DIV/0!</v>
      </c>
      <c r="AC166" s="486" t="e">
        <f t="shared" si="27"/>
        <v>#DIV/0!</v>
      </c>
      <c r="AD166" s="11"/>
      <c r="AE166" s="301" t="str">
        <f>AF166&amp;TM[[#This Row],[Insurer Code]]&amp;"; "&amp;AG166&amp;TM[[#This Row],[Reporting Year]]&amp;"; "&amp;AH166&amp;TM[[#This Row],[Insurance Category Code]]&amp;"; "&amp;AI166&amp;TM[[#This Row],[Large Provider Entity Code]]</f>
        <v xml:space="preserve">Insurer Code ; Reporting Year ; Insurance Category Code ; Large Provider Entity Code </v>
      </c>
      <c r="AF166" s="297" t="s">
        <v>197</v>
      </c>
      <c r="AG166" s="297" t="s">
        <v>198</v>
      </c>
      <c r="AH166" s="297" t="s">
        <v>199</v>
      </c>
      <c r="AI166" s="297" t="s">
        <v>200</v>
      </c>
      <c r="AJ166" s="297"/>
      <c r="AK166" s="297"/>
      <c r="AL166" s="297"/>
      <c r="AM166" s="11"/>
      <c r="AN166" s="11"/>
      <c r="AO166" s="11"/>
    </row>
    <row r="167" spans="1:41" x14ac:dyDescent="0.4">
      <c r="A167" s="291"/>
      <c r="B167" s="292"/>
      <c r="C167" s="312"/>
      <c r="D167"/>
      <c r="E167" s="325"/>
      <c r="F167" s="143"/>
      <c r="G167" s="143"/>
      <c r="H167" s="143"/>
      <c r="I167" s="143"/>
      <c r="J167" s="143"/>
      <c r="K167" s="143"/>
      <c r="L167" s="143"/>
      <c r="M167" s="143"/>
      <c r="N167" s="143"/>
      <c r="O167" s="143"/>
      <c r="P167" s="143"/>
      <c r="Q167" s="143"/>
      <c r="R167" s="143"/>
      <c r="S167" s="143"/>
      <c r="T167" s="143"/>
      <c r="U167" s="143"/>
      <c r="V167" s="325"/>
      <c r="W167" s="393">
        <f t="shared" si="21"/>
        <v>0</v>
      </c>
      <c r="X167" s="393">
        <f t="shared" si="22"/>
        <v>0</v>
      </c>
      <c r="Y167" s="393">
        <f t="shared" si="23"/>
        <v>0</v>
      </c>
      <c r="Z167" s="393">
        <f t="shared" si="24"/>
        <v>0</v>
      </c>
      <c r="AA167" s="393">
        <f t="shared" si="25"/>
        <v>0</v>
      </c>
      <c r="AB167" s="393" t="e">
        <f t="shared" si="26"/>
        <v>#DIV/0!</v>
      </c>
      <c r="AC167" s="486" t="e">
        <f t="shared" si="27"/>
        <v>#DIV/0!</v>
      </c>
      <c r="AD167" s="11"/>
      <c r="AE167" s="301" t="str">
        <f>AF167&amp;TM[[#This Row],[Insurer Code]]&amp;"; "&amp;AG167&amp;TM[[#This Row],[Reporting Year]]&amp;"; "&amp;AH167&amp;TM[[#This Row],[Insurance Category Code]]&amp;"; "&amp;AI167&amp;TM[[#This Row],[Large Provider Entity Code]]</f>
        <v xml:space="preserve">Insurer Code ; Reporting Year ; Insurance Category Code ; Large Provider Entity Code </v>
      </c>
      <c r="AF167" s="297" t="s">
        <v>197</v>
      </c>
      <c r="AG167" s="297" t="s">
        <v>198</v>
      </c>
      <c r="AH167" s="297" t="s">
        <v>199</v>
      </c>
      <c r="AI167" s="297" t="s">
        <v>200</v>
      </c>
      <c r="AJ167" s="297"/>
      <c r="AK167" s="297"/>
      <c r="AL167" s="297"/>
      <c r="AM167" s="11"/>
      <c r="AN167" s="11"/>
      <c r="AO167" s="11"/>
    </row>
    <row r="168" spans="1:41" x14ac:dyDescent="0.4">
      <c r="A168" s="291"/>
      <c r="B168" s="292"/>
      <c r="C168" s="312"/>
      <c r="D168"/>
      <c r="E168" s="325"/>
      <c r="F168" s="143"/>
      <c r="G168" s="143"/>
      <c r="H168" s="143"/>
      <c r="I168" s="143"/>
      <c r="J168" s="143"/>
      <c r="K168" s="143"/>
      <c r="L168" s="143"/>
      <c r="M168" s="143"/>
      <c r="N168" s="143"/>
      <c r="O168" s="143"/>
      <c r="P168" s="143"/>
      <c r="Q168" s="143"/>
      <c r="R168" s="143"/>
      <c r="S168" s="143"/>
      <c r="T168" s="143"/>
      <c r="U168" s="143"/>
      <c r="V168" s="325"/>
      <c r="W168" s="393">
        <f t="shared" si="21"/>
        <v>0</v>
      </c>
      <c r="X168" s="393">
        <f t="shared" si="22"/>
        <v>0</v>
      </c>
      <c r="Y168" s="393">
        <f t="shared" si="23"/>
        <v>0</v>
      </c>
      <c r="Z168" s="393">
        <f t="shared" si="24"/>
        <v>0</v>
      </c>
      <c r="AA168" s="393">
        <f t="shared" si="25"/>
        <v>0</v>
      </c>
      <c r="AB168" s="393" t="e">
        <f t="shared" si="26"/>
        <v>#DIV/0!</v>
      </c>
      <c r="AC168" s="486" t="e">
        <f t="shared" si="27"/>
        <v>#DIV/0!</v>
      </c>
      <c r="AD168" s="11"/>
      <c r="AE168" s="301" t="str">
        <f>AF168&amp;TM[[#This Row],[Insurer Code]]&amp;"; "&amp;AG168&amp;TM[[#This Row],[Reporting Year]]&amp;"; "&amp;AH168&amp;TM[[#This Row],[Insurance Category Code]]&amp;"; "&amp;AI168&amp;TM[[#This Row],[Large Provider Entity Code]]</f>
        <v xml:space="preserve">Insurer Code ; Reporting Year ; Insurance Category Code ; Large Provider Entity Code </v>
      </c>
      <c r="AF168" s="297" t="s">
        <v>197</v>
      </c>
      <c r="AG168" s="297" t="s">
        <v>198</v>
      </c>
      <c r="AH168" s="297" t="s">
        <v>199</v>
      </c>
      <c r="AI168" s="297" t="s">
        <v>200</v>
      </c>
      <c r="AJ168" s="297"/>
      <c r="AK168" s="297"/>
      <c r="AL168" s="297"/>
      <c r="AM168" s="11"/>
      <c r="AN168" s="11"/>
      <c r="AO168" s="11"/>
    </row>
    <row r="169" spans="1:41" x14ac:dyDescent="0.4">
      <c r="A169" s="291"/>
      <c r="B169" s="292"/>
      <c r="C169" s="312"/>
      <c r="D169"/>
      <c r="E169" s="325"/>
      <c r="F169" s="143"/>
      <c r="G169" s="143"/>
      <c r="H169" s="143"/>
      <c r="I169" s="143"/>
      <c r="J169" s="143"/>
      <c r="K169" s="143"/>
      <c r="L169" s="143"/>
      <c r="M169" s="143"/>
      <c r="N169" s="143"/>
      <c r="O169" s="143"/>
      <c r="P169" s="143"/>
      <c r="Q169" s="143"/>
      <c r="R169" s="143"/>
      <c r="S169" s="143"/>
      <c r="T169" s="143"/>
      <c r="U169" s="143"/>
      <c r="V169" s="325"/>
      <c r="W169" s="393">
        <f t="shared" si="21"/>
        <v>0</v>
      </c>
      <c r="X169" s="393">
        <f t="shared" si="22"/>
        <v>0</v>
      </c>
      <c r="Y169" s="393">
        <f t="shared" si="23"/>
        <v>0</v>
      </c>
      <c r="Z169" s="393">
        <f t="shared" si="24"/>
        <v>0</v>
      </c>
      <c r="AA169" s="393">
        <f t="shared" si="25"/>
        <v>0</v>
      </c>
      <c r="AB169" s="393" t="e">
        <f t="shared" si="26"/>
        <v>#DIV/0!</v>
      </c>
      <c r="AC169" s="486" t="e">
        <f t="shared" si="27"/>
        <v>#DIV/0!</v>
      </c>
      <c r="AD169" s="11"/>
      <c r="AE169" s="301" t="str">
        <f>AF169&amp;TM[[#This Row],[Insurer Code]]&amp;"; "&amp;AG169&amp;TM[[#This Row],[Reporting Year]]&amp;"; "&amp;AH169&amp;TM[[#This Row],[Insurance Category Code]]&amp;"; "&amp;AI169&amp;TM[[#This Row],[Large Provider Entity Code]]</f>
        <v xml:space="preserve">Insurer Code ; Reporting Year ; Insurance Category Code ; Large Provider Entity Code </v>
      </c>
      <c r="AF169" s="297" t="s">
        <v>197</v>
      </c>
      <c r="AG169" s="297" t="s">
        <v>198</v>
      </c>
      <c r="AH169" s="297" t="s">
        <v>199</v>
      </c>
      <c r="AI169" s="297" t="s">
        <v>200</v>
      </c>
      <c r="AJ169" s="297"/>
      <c r="AK169" s="297"/>
      <c r="AL169" s="297"/>
      <c r="AM169" s="11"/>
      <c r="AN169" s="11"/>
      <c r="AO169" s="11"/>
    </row>
    <row r="170" spans="1:41" x14ac:dyDescent="0.4">
      <c r="A170" s="291"/>
      <c r="B170" s="292"/>
      <c r="C170" s="312"/>
      <c r="D170"/>
      <c r="E170" s="325"/>
      <c r="F170" s="143"/>
      <c r="G170" s="143"/>
      <c r="H170" s="143"/>
      <c r="I170" s="143"/>
      <c r="J170" s="143"/>
      <c r="K170" s="143"/>
      <c r="L170" s="143"/>
      <c r="M170" s="143"/>
      <c r="N170" s="143"/>
      <c r="O170" s="143"/>
      <c r="P170" s="143"/>
      <c r="Q170" s="143"/>
      <c r="R170" s="143"/>
      <c r="S170" s="143"/>
      <c r="T170" s="143"/>
      <c r="U170" s="143"/>
      <c r="V170" s="325"/>
      <c r="W170" s="393">
        <f t="shared" si="21"/>
        <v>0</v>
      </c>
      <c r="X170" s="393">
        <f t="shared" si="22"/>
        <v>0</v>
      </c>
      <c r="Y170" s="393">
        <f t="shared" si="23"/>
        <v>0</v>
      </c>
      <c r="Z170" s="393">
        <f t="shared" si="24"/>
        <v>0</v>
      </c>
      <c r="AA170" s="393">
        <f t="shared" si="25"/>
        <v>0</v>
      </c>
      <c r="AB170" s="393" t="e">
        <f t="shared" si="26"/>
        <v>#DIV/0!</v>
      </c>
      <c r="AC170" s="486" t="e">
        <f t="shared" si="27"/>
        <v>#DIV/0!</v>
      </c>
      <c r="AD170" s="11"/>
      <c r="AE170" s="301" t="str">
        <f>AF170&amp;TM[[#This Row],[Insurer Code]]&amp;"; "&amp;AG170&amp;TM[[#This Row],[Reporting Year]]&amp;"; "&amp;AH170&amp;TM[[#This Row],[Insurance Category Code]]&amp;"; "&amp;AI170&amp;TM[[#This Row],[Large Provider Entity Code]]</f>
        <v xml:space="preserve">Insurer Code ; Reporting Year ; Insurance Category Code ; Large Provider Entity Code </v>
      </c>
      <c r="AF170" s="297" t="s">
        <v>197</v>
      </c>
      <c r="AG170" s="297" t="s">
        <v>198</v>
      </c>
      <c r="AH170" s="297" t="s">
        <v>199</v>
      </c>
      <c r="AI170" s="297" t="s">
        <v>200</v>
      </c>
      <c r="AJ170" s="297"/>
      <c r="AK170" s="297"/>
      <c r="AL170" s="297"/>
      <c r="AM170" s="11"/>
      <c r="AN170" s="11"/>
      <c r="AO170" s="11"/>
    </row>
    <row r="171" spans="1:41" x14ac:dyDescent="0.4">
      <c r="A171" s="291"/>
      <c r="B171" s="292"/>
      <c r="C171" s="312"/>
      <c r="D171"/>
      <c r="E171" s="325"/>
      <c r="F171" s="143"/>
      <c r="G171" s="143"/>
      <c r="H171" s="143"/>
      <c r="I171" s="143"/>
      <c r="J171" s="143"/>
      <c r="K171" s="143"/>
      <c r="L171" s="143"/>
      <c r="M171" s="143"/>
      <c r="N171" s="143"/>
      <c r="O171" s="143"/>
      <c r="P171" s="143"/>
      <c r="Q171" s="143"/>
      <c r="R171" s="143"/>
      <c r="S171" s="143"/>
      <c r="T171" s="143"/>
      <c r="U171" s="143"/>
      <c r="V171" s="325"/>
      <c r="W171" s="393">
        <f t="shared" si="21"/>
        <v>0</v>
      </c>
      <c r="X171" s="393">
        <f t="shared" si="22"/>
        <v>0</v>
      </c>
      <c r="Y171" s="393">
        <f t="shared" si="23"/>
        <v>0</v>
      </c>
      <c r="Z171" s="393">
        <f t="shared" si="24"/>
        <v>0</v>
      </c>
      <c r="AA171" s="393">
        <f t="shared" si="25"/>
        <v>0</v>
      </c>
      <c r="AB171" s="393" t="e">
        <f t="shared" si="26"/>
        <v>#DIV/0!</v>
      </c>
      <c r="AC171" s="486" t="e">
        <f t="shared" si="27"/>
        <v>#DIV/0!</v>
      </c>
      <c r="AD171" s="11"/>
      <c r="AE171" s="301" t="str">
        <f>AF171&amp;TM[[#This Row],[Insurer Code]]&amp;"; "&amp;AG171&amp;TM[[#This Row],[Reporting Year]]&amp;"; "&amp;AH171&amp;TM[[#This Row],[Insurance Category Code]]&amp;"; "&amp;AI171&amp;TM[[#This Row],[Large Provider Entity Code]]</f>
        <v xml:space="preserve">Insurer Code ; Reporting Year ; Insurance Category Code ; Large Provider Entity Code </v>
      </c>
      <c r="AF171" s="297" t="s">
        <v>197</v>
      </c>
      <c r="AG171" s="297" t="s">
        <v>198</v>
      </c>
      <c r="AH171" s="297" t="s">
        <v>199</v>
      </c>
      <c r="AI171" s="297" t="s">
        <v>200</v>
      </c>
      <c r="AJ171" s="297"/>
      <c r="AK171" s="297"/>
      <c r="AL171" s="297"/>
      <c r="AM171" s="11"/>
      <c r="AN171" s="11"/>
      <c r="AO171" s="11"/>
    </row>
    <row r="172" spans="1:41" x14ac:dyDescent="0.4">
      <c r="A172" s="291"/>
      <c r="B172" s="292"/>
      <c r="C172" s="312"/>
      <c r="D172"/>
      <c r="E172" s="325"/>
      <c r="F172" s="143"/>
      <c r="G172" s="143"/>
      <c r="H172" s="143"/>
      <c r="I172" s="143"/>
      <c r="J172" s="143"/>
      <c r="K172" s="143"/>
      <c r="L172" s="143"/>
      <c r="M172" s="143"/>
      <c r="N172" s="143"/>
      <c r="O172" s="143"/>
      <c r="P172" s="143"/>
      <c r="Q172" s="143"/>
      <c r="R172" s="143"/>
      <c r="S172" s="143"/>
      <c r="T172" s="143"/>
      <c r="U172" s="143"/>
      <c r="V172" s="325"/>
      <c r="W172" s="393">
        <f t="shared" si="21"/>
        <v>0</v>
      </c>
      <c r="X172" s="393">
        <f t="shared" si="22"/>
        <v>0</v>
      </c>
      <c r="Y172" s="393">
        <f t="shared" si="23"/>
        <v>0</v>
      </c>
      <c r="Z172" s="393">
        <f t="shared" si="24"/>
        <v>0</v>
      </c>
      <c r="AA172" s="393">
        <f t="shared" si="25"/>
        <v>0</v>
      </c>
      <c r="AB172" s="393" t="e">
        <f t="shared" si="26"/>
        <v>#DIV/0!</v>
      </c>
      <c r="AC172" s="486" t="e">
        <f t="shared" si="27"/>
        <v>#DIV/0!</v>
      </c>
      <c r="AD172" s="11"/>
      <c r="AE172" s="301" t="str">
        <f>AF172&amp;TM[[#This Row],[Insurer Code]]&amp;"; "&amp;AG172&amp;TM[[#This Row],[Reporting Year]]&amp;"; "&amp;AH172&amp;TM[[#This Row],[Insurance Category Code]]&amp;"; "&amp;AI172&amp;TM[[#This Row],[Large Provider Entity Code]]</f>
        <v xml:space="preserve">Insurer Code ; Reporting Year ; Insurance Category Code ; Large Provider Entity Code </v>
      </c>
      <c r="AF172" s="297" t="s">
        <v>197</v>
      </c>
      <c r="AG172" s="297" t="s">
        <v>198</v>
      </c>
      <c r="AH172" s="297" t="s">
        <v>199</v>
      </c>
      <c r="AI172" s="297" t="s">
        <v>200</v>
      </c>
      <c r="AJ172" s="297"/>
      <c r="AK172" s="297"/>
      <c r="AL172" s="297"/>
      <c r="AM172" s="11"/>
      <c r="AN172" s="11"/>
      <c r="AO172" s="11"/>
    </row>
    <row r="173" spans="1:41" x14ac:dyDescent="0.4">
      <c r="A173" s="291"/>
      <c r="B173" s="292"/>
      <c r="C173" s="312"/>
      <c r="D173"/>
      <c r="E173" s="325"/>
      <c r="F173" s="143"/>
      <c r="G173" s="143"/>
      <c r="H173" s="143"/>
      <c r="I173" s="143"/>
      <c r="J173" s="143"/>
      <c r="K173" s="143"/>
      <c r="L173" s="143"/>
      <c r="M173" s="143"/>
      <c r="N173" s="143"/>
      <c r="O173" s="143"/>
      <c r="P173" s="143"/>
      <c r="Q173" s="143"/>
      <c r="R173" s="143"/>
      <c r="S173" s="143"/>
      <c r="T173" s="143"/>
      <c r="U173" s="143"/>
      <c r="V173" s="325"/>
      <c r="W173" s="393">
        <f t="shared" si="21"/>
        <v>0</v>
      </c>
      <c r="X173" s="393">
        <f t="shared" si="22"/>
        <v>0</v>
      </c>
      <c r="Y173" s="393">
        <f t="shared" si="23"/>
        <v>0</v>
      </c>
      <c r="Z173" s="393">
        <f t="shared" si="24"/>
        <v>0</v>
      </c>
      <c r="AA173" s="393">
        <f t="shared" si="25"/>
        <v>0</v>
      </c>
      <c r="AB173" s="393" t="e">
        <f t="shared" si="26"/>
        <v>#DIV/0!</v>
      </c>
      <c r="AC173" s="486" t="e">
        <f t="shared" si="27"/>
        <v>#DIV/0!</v>
      </c>
      <c r="AD173" s="11"/>
      <c r="AE173" s="301" t="str">
        <f>AF173&amp;TM[[#This Row],[Insurer Code]]&amp;"; "&amp;AG173&amp;TM[[#This Row],[Reporting Year]]&amp;"; "&amp;AH173&amp;TM[[#This Row],[Insurance Category Code]]&amp;"; "&amp;AI173&amp;TM[[#This Row],[Large Provider Entity Code]]</f>
        <v xml:space="preserve">Insurer Code ; Reporting Year ; Insurance Category Code ; Large Provider Entity Code </v>
      </c>
      <c r="AF173" s="297" t="s">
        <v>197</v>
      </c>
      <c r="AG173" s="297" t="s">
        <v>198</v>
      </c>
      <c r="AH173" s="297" t="s">
        <v>199</v>
      </c>
      <c r="AI173" s="297" t="s">
        <v>200</v>
      </c>
      <c r="AJ173" s="297"/>
      <c r="AK173" s="297"/>
      <c r="AL173" s="297"/>
      <c r="AM173" s="11"/>
      <c r="AN173" s="11"/>
      <c r="AO173" s="11"/>
    </row>
    <row r="174" spans="1:41" x14ac:dyDescent="0.4">
      <c r="A174" s="291"/>
      <c r="B174" s="292"/>
      <c r="C174" s="312"/>
      <c r="D174"/>
      <c r="E174" s="325"/>
      <c r="F174" s="143"/>
      <c r="G174" s="143"/>
      <c r="H174" s="143"/>
      <c r="I174" s="143"/>
      <c r="J174" s="143"/>
      <c r="K174" s="143"/>
      <c r="L174" s="143"/>
      <c r="M174" s="143"/>
      <c r="N174" s="143"/>
      <c r="O174" s="143"/>
      <c r="P174" s="143"/>
      <c r="Q174" s="143"/>
      <c r="R174" s="143"/>
      <c r="S174" s="143"/>
      <c r="T174" s="143"/>
      <c r="U174" s="143"/>
      <c r="V174" s="325"/>
      <c r="W174" s="393">
        <f t="shared" si="21"/>
        <v>0</v>
      </c>
      <c r="X174" s="393">
        <f t="shared" si="22"/>
        <v>0</v>
      </c>
      <c r="Y174" s="393">
        <f t="shared" si="23"/>
        <v>0</v>
      </c>
      <c r="Z174" s="393">
        <f t="shared" si="24"/>
        <v>0</v>
      </c>
      <c r="AA174" s="393">
        <f t="shared" si="25"/>
        <v>0</v>
      </c>
      <c r="AB174" s="393" t="e">
        <f t="shared" si="26"/>
        <v>#DIV/0!</v>
      </c>
      <c r="AC174" s="486" t="e">
        <f t="shared" si="27"/>
        <v>#DIV/0!</v>
      </c>
      <c r="AD174" s="11"/>
      <c r="AE174" s="301" t="str">
        <f>AF174&amp;TM[[#This Row],[Insurer Code]]&amp;"; "&amp;AG174&amp;TM[[#This Row],[Reporting Year]]&amp;"; "&amp;AH174&amp;TM[[#This Row],[Insurance Category Code]]&amp;"; "&amp;AI174&amp;TM[[#This Row],[Large Provider Entity Code]]</f>
        <v xml:space="preserve">Insurer Code ; Reporting Year ; Insurance Category Code ; Large Provider Entity Code </v>
      </c>
      <c r="AF174" s="297" t="s">
        <v>197</v>
      </c>
      <c r="AG174" s="297" t="s">
        <v>198</v>
      </c>
      <c r="AH174" s="297" t="s">
        <v>199</v>
      </c>
      <c r="AI174" s="297" t="s">
        <v>200</v>
      </c>
      <c r="AJ174" s="297"/>
      <c r="AK174" s="297"/>
      <c r="AL174" s="297"/>
      <c r="AM174" s="11"/>
      <c r="AN174" s="11"/>
      <c r="AO174" s="11"/>
    </row>
    <row r="175" spans="1:41" x14ac:dyDescent="0.4">
      <c r="A175" s="291"/>
      <c r="B175" s="292"/>
      <c r="C175" s="312"/>
      <c r="D175"/>
      <c r="E175" s="325"/>
      <c r="F175" s="143"/>
      <c r="G175" s="143"/>
      <c r="H175" s="143"/>
      <c r="I175" s="143"/>
      <c r="J175" s="143"/>
      <c r="K175" s="143"/>
      <c r="L175" s="143"/>
      <c r="M175" s="143"/>
      <c r="N175" s="143"/>
      <c r="O175" s="143"/>
      <c r="P175" s="143"/>
      <c r="Q175" s="143"/>
      <c r="R175" s="143"/>
      <c r="S175" s="143"/>
      <c r="T175" s="143"/>
      <c r="U175" s="143"/>
      <c r="V175" s="325"/>
      <c r="W175" s="393">
        <f t="shared" si="21"/>
        <v>0</v>
      </c>
      <c r="X175" s="393">
        <f t="shared" si="22"/>
        <v>0</v>
      </c>
      <c r="Y175" s="393">
        <f t="shared" si="23"/>
        <v>0</v>
      </c>
      <c r="Z175" s="393">
        <f t="shared" si="24"/>
        <v>0</v>
      </c>
      <c r="AA175" s="393">
        <f t="shared" si="25"/>
        <v>0</v>
      </c>
      <c r="AB175" s="393" t="e">
        <f t="shared" si="26"/>
        <v>#DIV/0!</v>
      </c>
      <c r="AC175" s="486" t="e">
        <f t="shared" si="27"/>
        <v>#DIV/0!</v>
      </c>
      <c r="AD175" s="11"/>
      <c r="AE175" s="301" t="str">
        <f>AF175&amp;TM[[#This Row],[Insurer Code]]&amp;"; "&amp;AG175&amp;TM[[#This Row],[Reporting Year]]&amp;"; "&amp;AH175&amp;TM[[#This Row],[Insurance Category Code]]&amp;"; "&amp;AI175&amp;TM[[#This Row],[Large Provider Entity Code]]</f>
        <v xml:space="preserve">Insurer Code ; Reporting Year ; Insurance Category Code ; Large Provider Entity Code </v>
      </c>
      <c r="AF175" s="297" t="s">
        <v>197</v>
      </c>
      <c r="AG175" s="297" t="s">
        <v>198</v>
      </c>
      <c r="AH175" s="297" t="s">
        <v>199</v>
      </c>
      <c r="AI175" s="297" t="s">
        <v>200</v>
      </c>
      <c r="AJ175" s="297"/>
      <c r="AK175" s="297"/>
      <c r="AL175" s="297"/>
      <c r="AM175" s="11"/>
      <c r="AN175" s="11"/>
      <c r="AO175" s="11"/>
    </row>
    <row r="176" spans="1:41" x14ac:dyDescent="0.4">
      <c r="A176" s="291"/>
      <c r="B176" s="292"/>
      <c r="C176" s="312"/>
      <c r="D176"/>
      <c r="E176" s="325"/>
      <c r="F176" s="143"/>
      <c r="G176" s="143"/>
      <c r="H176" s="143"/>
      <c r="I176" s="143"/>
      <c r="J176" s="143"/>
      <c r="K176" s="143"/>
      <c r="L176" s="143"/>
      <c r="M176" s="143"/>
      <c r="N176" s="143"/>
      <c r="O176" s="143"/>
      <c r="P176" s="143"/>
      <c r="Q176" s="143"/>
      <c r="R176" s="143"/>
      <c r="S176" s="143"/>
      <c r="T176" s="143"/>
      <c r="U176" s="143"/>
      <c r="V176" s="325"/>
      <c r="W176" s="393">
        <f t="shared" si="21"/>
        <v>0</v>
      </c>
      <c r="X176" s="393">
        <f t="shared" si="22"/>
        <v>0</v>
      </c>
      <c r="Y176" s="393">
        <f t="shared" si="23"/>
        <v>0</v>
      </c>
      <c r="Z176" s="393">
        <f t="shared" si="24"/>
        <v>0</v>
      </c>
      <c r="AA176" s="393">
        <f t="shared" si="25"/>
        <v>0</v>
      </c>
      <c r="AB176" s="393" t="e">
        <f t="shared" si="26"/>
        <v>#DIV/0!</v>
      </c>
      <c r="AC176" s="486" t="e">
        <f t="shared" si="27"/>
        <v>#DIV/0!</v>
      </c>
      <c r="AD176" s="11"/>
      <c r="AE176" s="301" t="str">
        <f>AF176&amp;TM[[#This Row],[Insurer Code]]&amp;"; "&amp;AG176&amp;TM[[#This Row],[Reporting Year]]&amp;"; "&amp;AH176&amp;TM[[#This Row],[Insurance Category Code]]&amp;"; "&amp;AI176&amp;TM[[#This Row],[Large Provider Entity Code]]</f>
        <v xml:space="preserve">Insurer Code ; Reporting Year ; Insurance Category Code ; Large Provider Entity Code </v>
      </c>
      <c r="AF176" s="297" t="s">
        <v>197</v>
      </c>
      <c r="AG176" s="297" t="s">
        <v>198</v>
      </c>
      <c r="AH176" s="297" t="s">
        <v>199</v>
      </c>
      <c r="AI176" s="297" t="s">
        <v>200</v>
      </c>
      <c r="AJ176" s="297"/>
      <c r="AK176" s="297"/>
      <c r="AL176" s="297"/>
      <c r="AM176" s="11"/>
      <c r="AN176" s="11"/>
      <c r="AO176" s="11"/>
    </row>
    <row r="177" spans="1:41" x14ac:dyDescent="0.4">
      <c r="A177" s="291"/>
      <c r="B177" s="292"/>
      <c r="C177" s="312"/>
      <c r="D177"/>
      <c r="E177" s="325"/>
      <c r="F177" s="143"/>
      <c r="G177" s="143"/>
      <c r="H177" s="143"/>
      <c r="I177" s="143"/>
      <c r="J177" s="143"/>
      <c r="K177" s="143"/>
      <c r="L177" s="143"/>
      <c r="M177" s="143"/>
      <c r="N177" s="143"/>
      <c r="O177" s="143"/>
      <c r="P177" s="143"/>
      <c r="Q177" s="143"/>
      <c r="R177" s="143"/>
      <c r="S177" s="143"/>
      <c r="T177" s="143"/>
      <c r="U177" s="143"/>
      <c r="V177" s="325"/>
      <c r="W177" s="393">
        <f t="shared" si="21"/>
        <v>0</v>
      </c>
      <c r="X177" s="393">
        <f t="shared" si="22"/>
        <v>0</v>
      </c>
      <c r="Y177" s="393">
        <f t="shared" si="23"/>
        <v>0</v>
      </c>
      <c r="Z177" s="393">
        <f t="shared" si="24"/>
        <v>0</v>
      </c>
      <c r="AA177" s="393">
        <f t="shared" si="25"/>
        <v>0</v>
      </c>
      <c r="AB177" s="393" t="e">
        <f t="shared" si="26"/>
        <v>#DIV/0!</v>
      </c>
      <c r="AC177" s="486" t="e">
        <f t="shared" si="27"/>
        <v>#DIV/0!</v>
      </c>
      <c r="AD177" s="11"/>
      <c r="AE177" s="301" t="str">
        <f>AF177&amp;TM[[#This Row],[Insurer Code]]&amp;"; "&amp;AG177&amp;TM[[#This Row],[Reporting Year]]&amp;"; "&amp;AH177&amp;TM[[#This Row],[Insurance Category Code]]&amp;"; "&amp;AI177&amp;TM[[#This Row],[Large Provider Entity Code]]</f>
        <v xml:space="preserve">Insurer Code ; Reporting Year ; Insurance Category Code ; Large Provider Entity Code </v>
      </c>
      <c r="AF177" s="297" t="s">
        <v>197</v>
      </c>
      <c r="AG177" s="297" t="s">
        <v>198</v>
      </c>
      <c r="AH177" s="297" t="s">
        <v>199</v>
      </c>
      <c r="AI177" s="297" t="s">
        <v>200</v>
      </c>
      <c r="AJ177" s="297"/>
      <c r="AK177" s="297"/>
      <c r="AL177" s="297"/>
      <c r="AM177" s="11"/>
      <c r="AN177" s="11"/>
      <c r="AO177" s="11"/>
    </row>
    <row r="178" spans="1:41" x14ac:dyDescent="0.4">
      <c r="A178" s="291"/>
      <c r="B178" s="292"/>
      <c r="C178" s="312"/>
      <c r="D178"/>
      <c r="E178" s="325"/>
      <c r="F178" s="143"/>
      <c r="G178" s="143"/>
      <c r="H178" s="143"/>
      <c r="I178" s="143"/>
      <c r="J178" s="143"/>
      <c r="K178" s="143"/>
      <c r="L178" s="143"/>
      <c r="M178" s="143"/>
      <c r="N178" s="143"/>
      <c r="O178" s="143"/>
      <c r="P178" s="143"/>
      <c r="Q178" s="143"/>
      <c r="R178" s="143"/>
      <c r="S178" s="143"/>
      <c r="T178" s="143"/>
      <c r="U178" s="143"/>
      <c r="V178" s="325"/>
      <c r="W178" s="393">
        <f t="shared" si="21"/>
        <v>0</v>
      </c>
      <c r="X178" s="393">
        <f t="shared" si="22"/>
        <v>0</v>
      </c>
      <c r="Y178" s="393">
        <f t="shared" si="23"/>
        <v>0</v>
      </c>
      <c r="Z178" s="393">
        <f t="shared" si="24"/>
        <v>0</v>
      </c>
      <c r="AA178" s="393">
        <f t="shared" si="25"/>
        <v>0</v>
      </c>
      <c r="AB178" s="393" t="e">
        <f t="shared" si="26"/>
        <v>#DIV/0!</v>
      </c>
      <c r="AC178" s="486" t="e">
        <f t="shared" si="27"/>
        <v>#DIV/0!</v>
      </c>
      <c r="AD178" s="11"/>
      <c r="AE178" s="301" t="str">
        <f>AF178&amp;TM[[#This Row],[Insurer Code]]&amp;"; "&amp;AG178&amp;TM[[#This Row],[Reporting Year]]&amp;"; "&amp;AH178&amp;TM[[#This Row],[Insurance Category Code]]&amp;"; "&amp;AI178&amp;TM[[#This Row],[Large Provider Entity Code]]</f>
        <v xml:space="preserve">Insurer Code ; Reporting Year ; Insurance Category Code ; Large Provider Entity Code </v>
      </c>
      <c r="AF178" s="297" t="s">
        <v>197</v>
      </c>
      <c r="AG178" s="297" t="s">
        <v>198</v>
      </c>
      <c r="AH178" s="297" t="s">
        <v>199</v>
      </c>
      <c r="AI178" s="297" t="s">
        <v>200</v>
      </c>
      <c r="AJ178" s="297"/>
      <c r="AK178" s="297"/>
      <c r="AL178" s="297"/>
      <c r="AM178" s="11"/>
      <c r="AN178" s="11"/>
      <c r="AO178" s="11"/>
    </row>
    <row r="179" spans="1:41" x14ac:dyDescent="0.4">
      <c r="A179" s="291"/>
      <c r="B179" s="292"/>
      <c r="C179" s="312"/>
      <c r="D179"/>
      <c r="E179" s="325"/>
      <c r="F179" s="143"/>
      <c r="G179" s="143"/>
      <c r="H179" s="143"/>
      <c r="I179" s="143"/>
      <c r="J179" s="143"/>
      <c r="K179" s="143"/>
      <c r="L179" s="143"/>
      <c r="M179" s="143"/>
      <c r="N179" s="143"/>
      <c r="O179" s="143"/>
      <c r="P179" s="143"/>
      <c r="Q179" s="143"/>
      <c r="R179" s="143"/>
      <c r="S179" s="143"/>
      <c r="T179" s="143"/>
      <c r="U179" s="143"/>
      <c r="V179" s="325"/>
      <c r="W179" s="393">
        <f t="shared" si="21"/>
        <v>0</v>
      </c>
      <c r="X179" s="393">
        <f t="shared" si="22"/>
        <v>0</v>
      </c>
      <c r="Y179" s="393">
        <f t="shared" si="23"/>
        <v>0</v>
      </c>
      <c r="Z179" s="393">
        <f t="shared" si="24"/>
        <v>0</v>
      </c>
      <c r="AA179" s="393">
        <f t="shared" si="25"/>
        <v>0</v>
      </c>
      <c r="AB179" s="393" t="e">
        <f t="shared" si="26"/>
        <v>#DIV/0!</v>
      </c>
      <c r="AC179" s="486" t="e">
        <f t="shared" si="27"/>
        <v>#DIV/0!</v>
      </c>
      <c r="AD179" s="11"/>
      <c r="AE179" s="301" t="str">
        <f>AF179&amp;TM[[#This Row],[Insurer Code]]&amp;"; "&amp;AG179&amp;TM[[#This Row],[Reporting Year]]&amp;"; "&amp;AH179&amp;TM[[#This Row],[Insurance Category Code]]&amp;"; "&amp;AI179&amp;TM[[#This Row],[Large Provider Entity Code]]</f>
        <v xml:space="preserve">Insurer Code ; Reporting Year ; Insurance Category Code ; Large Provider Entity Code </v>
      </c>
      <c r="AF179" s="297" t="s">
        <v>197</v>
      </c>
      <c r="AG179" s="297" t="s">
        <v>198</v>
      </c>
      <c r="AH179" s="297" t="s">
        <v>199</v>
      </c>
      <c r="AI179" s="297" t="s">
        <v>200</v>
      </c>
      <c r="AJ179" s="297"/>
      <c r="AK179" s="297"/>
      <c r="AL179" s="297"/>
      <c r="AM179" s="11"/>
      <c r="AN179" s="11"/>
      <c r="AO179" s="11"/>
    </row>
    <row r="180" spans="1:41" x14ac:dyDescent="0.4">
      <c r="A180" s="291"/>
      <c r="B180" s="292"/>
      <c r="C180" s="312"/>
      <c r="D180"/>
      <c r="E180" s="325"/>
      <c r="F180" s="143"/>
      <c r="G180" s="143"/>
      <c r="H180" s="143"/>
      <c r="I180" s="143"/>
      <c r="J180" s="143"/>
      <c r="K180" s="143"/>
      <c r="L180" s="143"/>
      <c r="M180" s="143"/>
      <c r="N180" s="143"/>
      <c r="O180" s="143"/>
      <c r="P180" s="143"/>
      <c r="Q180" s="143"/>
      <c r="R180" s="143"/>
      <c r="S180" s="143"/>
      <c r="T180" s="143"/>
      <c r="U180" s="143"/>
      <c r="V180" s="325"/>
      <c r="W180" s="393">
        <f t="shared" si="21"/>
        <v>0</v>
      </c>
      <c r="X180" s="393">
        <f t="shared" si="22"/>
        <v>0</v>
      </c>
      <c r="Y180" s="393">
        <f t="shared" si="23"/>
        <v>0</v>
      </c>
      <c r="Z180" s="393">
        <f t="shared" si="24"/>
        <v>0</v>
      </c>
      <c r="AA180" s="393">
        <f t="shared" si="25"/>
        <v>0</v>
      </c>
      <c r="AB180" s="393" t="e">
        <f t="shared" si="26"/>
        <v>#DIV/0!</v>
      </c>
      <c r="AC180" s="486" t="e">
        <f t="shared" si="27"/>
        <v>#DIV/0!</v>
      </c>
      <c r="AD180" s="11"/>
      <c r="AE180" s="301" t="str">
        <f>AF180&amp;TM[[#This Row],[Insurer Code]]&amp;"; "&amp;AG180&amp;TM[[#This Row],[Reporting Year]]&amp;"; "&amp;AH180&amp;TM[[#This Row],[Insurance Category Code]]&amp;"; "&amp;AI180&amp;TM[[#This Row],[Large Provider Entity Code]]</f>
        <v xml:space="preserve">Insurer Code ; Reporting Year ; Insurance Category Code ; Large Provider Entity Code </v>
      </c>
      <c r="AF180" s="297" t="s">
        <v>197</v>
      </c>
      <c r="AG180" s="297" t="s">
        <v>198</v>
      </c>
      <c r="AH180" s="297" t="s">
        <v>199</v>
      </c>
      <c r="AI180" s="297" t="s">
        <v>200</v>
      </c>
      <c r="AJ180" s="297"/>
      <c r="AK180" s="297"/>
      <c r="AL180" s="297"/>
      <c r="AM180" s="11"/>
      <c r="AN180" s="11"/>
      <c r="AO180" s="11"/>
    </row>
    <row r="181" spans="1:41" x14ac:dyDescent="0.4">
      <c r="A181" s="291"/>
      <c r="B181" s="292"/>
      <c r="C181" s="312"/>
      <c r="D181"/>
      <c r="E181" s="325"/>
      <c r="F181" s="143"/>
      <c r="G181" s="143"/>
      <c r="H181" s="143"/>
      <c r="I181" s="143"/>
      <c r="J181" s="143"/>
      <c r="K181" s="143"/>
      <c r="L181" s="143"/>
      <c r="M181" s="143"/>
      <c r="N181" s="143"/>
      <c r="O181" s="143"/>
      <c r="P181" s="143"/>
      <c r="Q181" s="143"/>
      <c r="R181" s="143"/>
      <c r="S181" s="143"/>
      <c r="T181" s="143"/>
      <c r="U181" s="143"/>
      <c r="V181" s="325"/>
      <c r="W181" s="393">
        <f t="shared" si="21"/>
        <v>0</v>
      </c>
      <c r="X181" s="393">
        <f t="shared" si="22"/>
        <v>0</v>
      </c>
      <c r="Y181" s="393">
        <f t="shared" si="23"/>
        <v>0</v>
      </c>
      <c r="Z181" s="393">
        <f t="shared" si="24"/>
        <v>0</v>
      </c>
      <c r="AA181" s="393">
        <f t="shared" si="25"/>
        <v>0</v>
      </c>
      <c r="AB181" s="393" t="e">
        <f t="shared" si="26"/>
        <v>#DIV/0!</v>
      </c>
      <c r="AC181" s="486" t="e">
        <f t="shared" si="27"/>
        <v>#DIV/0!</v>
      </c>
      <c r="AD181" s="11"/>
      <c r="AE181" s="301" t="str">
        <f>AF181&amp;TM[[#This Row],[Insurer Code]]&amp;"; "&amp;AG181&amp;TM[[#This Row],[Reporting Year]]&amp;"; "&amp;AH181&amp;TM[[#This Row],[Insurance Category Code]]&amp;"; "&amp;AI181&amp;TM[[#This Row],[Large Provider Entity Code]]</f>
        <v xml:space="preserve">Insurer Code ; Reporting Year ; Insurance Category Code ; Large Provider Entity Code </v>
      </c>
      <c r="AF181" s="297" t="s">
        <v>197</v>
      </c>
      <c r="AG181" s="297" t="s">
        <v>198</v>
      </c>
      <c r="AH181" s="297" t="s">
        <v>199</v>
      </c>
      <c r="AI181" s="297" t="s">
        <v>200</v>
      </c>
      <c r="AJ181" s="297"/>
      <c r="AK181" s="297"/>
      <c r="AL181" s="297"/>
      <c r="AM181" s="11"/>
      <c r="AN181" s="11"/>
      <c r="AO181" s="11"/>
    </row>
    <row r="182" spans="1:41" x14ac:dyDescent="0.4">
      <c r="A182" s="291"/>
      <c r="B182" s="292"/>
      <c r="C182" s="312"/>
      <c r="D182"/>
      <c r="E182" s="325"/>
      <c r="F182" s="143"/>
      <c r="G182" s="143"/>
      <c r="H182" s="143"/>
      <c r="I182" s="143"/>
      <c r="J182" s="143"/>
      <c r="K182" s="143"/>
      <c r="L182" s="143"/>
      <c r="M182" s="143"/>
      <c r="N182" s="143"/>
      <c r="O182" s="143"/>
      <c r="P182" s="143"/>
      <c r="Q182" s="143"/>
      <c r="R182" s="143"/>
      <c r="S182" s="143"/>
      <c r="T182" s="143"/>
      <c r="U182" s="143"/>
      <c r="V182" s="325"/>
      <c r="W182" s="393">
        <f t="shared" si="21"/>
        <v>0</v>
      </c>
      <c r="X182" s="393">
        <f t="shared" si="22"/>
        <v>0</v>
      </c>
      <c r="Y182" s="393">
        <f t="shared" si="23"/>
        <v>0</v>
      </c>
      <c r="Z182" s="393">
        <f t="shared" si="24"/>
        <v>0</v>
      </c>
      <c r="AA182" s="393">
        <f t="shared" si="25"/>
        <v>0</v>
      </c>
      <c r="AB182" s="393" t="e">
        <f t="shared" si="26"/>
        <v>#DIV/0!</v>
      </c>
      <c r="AC182" s="486" t="e">
        <f t="shared" si="27"/>
        <v>#DIV/0!</v>
      </c>
      <c r="AD182" s="11"/>
      <c r="AE182" s="301" t="str">
        <f>AF182&amp;TM[[#This Row],[Insurer Code]]&amp;"; "&amp;AG182&amp;TM[[#This Row],[Reporting Year]]&amp;"; "&amp;AH182&amp;TM[[#This Row],[Insurance Category Code]]&amp;"; "&amp;AI182&amp;TM[[#This Row],[Large Provider Entity Code]]</f>
        <v xml:space="preserve">Insurer Code ; Reporting Year ; Insurance Category Code ; Large Provider Entity Code </v>
      </c>
      <c r="AF182" s="297" t="s">
        <v>197</v>
      </c>
      <c r="AG182" s="297" t="s">
        <v>198</v>
      </c>
      <c r="AH182" s="297" t="s">
        <v>199</v>
      </c>
      <c r="AI182" s="297" t="s">
        <v>200</v>
      </c>
      <c r="AJ182" s="297"/>
      <c r="AK182" s="297"/>
      <c r="AL182" s="297"/>
      <c r="AM182" s="11"/>
      <c r="AN182" s="11"/>
      <c r="AO182" s="11"/>
    </row>
    <row r="183" spans="1:41" x14ac:dyDescent="0.4">
      <c r="A183" s="291"/>
      <c r="B183" s="292"/>
      <c r="C183" s="312"/>
      <c r="D183"/>
      <c r="E183" s="325"/>
      <c r="F183" s="143"/>
      <c r="G183" s="143"/>
      <c r="H183" s="143"/>
      <c r="I183" s="143"/>
      <c r="J183" s="143"/>
      <c r="K183" s="143"/>
      <c r="L183" s="143"/>
      <c r="M183" s="143"/>
      <c r="N183" s="143"/>
      <c r="O183" s="143"/>
      <c r="P183" s="143"/>
      <c r="Q183" s="143"/>
      <c r="R183" s="143"/>
      <c r="S183" s="143"/>
      <c r="T183" s="143"/>
      <c r="U183" s="143"/>
      <c r="V183" s="325"/>
      <c r="W183" s="393">
        <f t="shared" si="21"/>
        <v>0</v>
      </c>
      <c r="X183" s="393">
        <f t="shared" si="22"/>
        <v>0</v>
      </c>
      <c r="Y183" s="393">
        <f t="shared" si="23"/>
        <v>0</v>
      </c>
      <c r="Z183" s="393">
        <f t="shared" si="24"/>
        <v>0</v>
      </c>
      <c r="AA183" s="393">
        <f t="shared" si="25"/>
        <v>0</v>
      </c>
      <c r="AB183" s="393" t="e">
        <f t="shared" si="26"/>
        <v>#DIV/0!</v>
      </c>
      <c r="AC183" s="486" t="e">
        <f t="shared" si="27"/>
        <v>#DIV/0!</v>
      </c>
      <c r="AD183" s="11"/>
      <c r="AE183" s="301" t="str">
        <f>AF183&amp;TM[[#This Row],[Insurer Code]]&amp;"; "&amp;AG183&amp;TM[[#This Row],[Reporting Year]]&amp;"; "&amp;AH183&amp;TM[[#This Row],[Insurance Category Code]]&amp;"; "&amp;AI183&amp;TM[[#This Row],[Large Provider Entity Code]]</f>
        <v xml:space="preserve">Insurer Code ; Reporting Year ; Insurance Category Code ; Large Provider Entity Code </v>
      </c>
      <c r="AF183" s="297" t="s">
        <v>197</v>
      </c>
      <c r="AG183" s="297" t="s">
        <v>198</v>
      </c>
      <c r="AH183" s="297" t="s">
        <v>199</v>
      </c>
      <c r="AI183" s="297" t="s">
        <v>200</v>
      </c>
      <c r="AJ183" s="297"/>
      <c r="AK183" s="297"/>
      <c r="AL183" s="297"/>
      <c r="AM183" s="11"/>
      <c r="AN183" s="11"/>
      <c r="AO183" s="11"/>
    </row>
    <row r="184" spans="1:41" x14ac:dyDescent="0.4">
      <c r="A184" s="291"/>
      <c r="B184" s="292"/>
      <c r="C184" s="312"/>
      <c r="D184"/>
      <c r="E184" s="325"/>
      <c r="F184" s="143"/>
      <c r="G184" s="143"/>
      <c r="H184" s="143"/>
      <c r="I184" s="143"/>
      <c r="J184" s="143"/>
      <c r="K184" s="143"/>
      <c r="L184" s="143"/>
      <c r="M184" s="143"/>
      <c r="N184" s="143"/>
      <c r="O184" s="143"/>
      <c r="P184" s="143"/>
      <c r="Q184" s="143"/>
      <c r="R184" s="143"/>
      <c r="S184" s="143"/>
      <c r="T184" s="143"/>
      <c r="U184" s="143"/>
      <c r="V184" s="325"/>
      <c r="W184" s="393">
        <f t="shared" si="21"/>
        <v>0</v>
      </c>
      <c r="X184" s="393">
        <f t="shared" si="22"/>
        <v>0</v>
      </c>
      <c r="Y184" s="393">
        <f t="shared" si="23"/>
        <v>0</v>
      </c>
      <c r="Z184" s="393">
        <f t="shared" si="24"/>
        <v>0</v>
      </c>
      <c r="AA184" s="393">
        <f t="shared" si="25"/>
        <v>0</v>
      </c>
      <c r="AB184" s="393" t="e">
        <f t="shared" si="26"/>
        <v>#DIV/0!</v>
      </c>
      <c r="AC184" s="486" t="e">
        <f t="shared" si="27"/>
        <v>#DIV/0!</v>
      </c>
      <c r="AD184" s="11"/>
      <c r="AE184" s="301" t="str">
        <f>AF184&amp;TM[[#This Row],[Insurer Code]]&amp;"; "&amp;AG184&amp;TM[[#This Row],[Reporting Year]]&amp;"; "&amp;AH184&amp;TM[[#This Row],[Insurance Category Code]]&amp;"; "&amp;AI184&amp;TM[[#This Row],[Large Provider Entity Code]]</f>
        <v xml:space="preserve">Insurer Code ; Reporting Year ; Insurance Category Code ; Large Provider Entity Code </v>
      </c>
      <c r="AF184" s="297" t="s">
        <v>197</v>
      </c>
      <c r="AG184" s="297" t="s">
        <v>198</v>
      </c>
      <c r="AH184" s="297" t="s">
        <v>199</v>
      </c>
      <c r="AI184" s="297" t="s">
        <v>200</v>
      </c>
      <c r="AJ184" s="297"/>
      <c r="AK184" s="297"/>
      <c r="AL184" s="297"/>
      <c r="AM184" s="11"/>
      <c r="AN184" s="11"/>
      <c r="AO184" s="11"/>
    </row>
    <row r="185" spans="1:41" x14ac:dyDescent="0.4">
      <c r="A185" s="291"/>
      <c r="B185" s="292"/>
      <c r="C185" s="312"/>
      <c r="D185"/>
      <c r="E185" s="325"/>
      <c r="F185" s="143"/>
      <c r="G185" s="143"/>
      <c r="H185" s="143"/>
      <c r="I185" s="143"/>
      <c r="J185" s="143"/>
      <c r="K185" s="143"/>
      <c r="L185" s="143"/>
      <c r="M185" s="143"/>
      <c r="N185" s="143"/>
      <c r="O185" s="143"/>
      <c r="P185" s="143"/>
      <c r="Q185" s="143"/>
      <c r="R185" s="143"/>
      <c r="S185" s="143"/>
      <c r="T185" s="143"/>
      <c r="U185" s="143"/>
      <c r="V185" s="325"/>
      <c r="W185" s="393">
        <f t="shared" si="21"/>
        <v>0</v>
      </c>
      <c r="X185" s="393">
        <f t="shared" si="22"/>
        <v>0</v>
      </c>
      <c r="Y185" s="393">
        <f t="shared" si="23"/>
        <v>0</v>
      </c>
      <c r="Z185" s="393">
        <f t="shared" si="24"/>
        <v>0</v>
      </c>
      <c r="AA185" s="393">
        <f t="shared" si="25"/>
        <v>0</v>
      </c>
      <c r="AB185" s="393" t="e">
        <f t="shared" si="26"/>
        <v>#DIV/0!</v>
      </c>
      <c r="AC185" s="486" t="e">
        <f t="shared" si="27"/>
        <v>#DIV/0!</v>
      </c>
      <c r="AD185" s="11"/>
      <c r="AE185" s="301" t="str">
        <f>AF185&amp;TM[[#This Row],[Insurer Code]]&amp;"; "&amp;AG185&amp;TM[[#This Row],[Reporting Year]]&amp;"; "&amp;AH185&amp;TM[[#This Row],[Insurance Category Code]]&amp;"; "&amp;AI185&amp;TM[[#This Row],[Large Provider Entity Code]]</f>
        <v xml:space="preserve">Insurer Code ; Reporting Year ; Insurance Category Code ; Large Provider Entity Code </v>
      </c>
      <c r="AF185" s="297" t="s">
        <v>197</v>
      </c>
      <c r="AG185" s="297" t="s">
        <v>198</v>
      </c>
      <c r="AH185" s="297" t="s">
        <v>199</v>
      </c>
      <c r="AI185" s="297" t="s">
        <v>200</v>
      </c>
      <c r="AJ185" s="297"/>
      <c r="AK185" s="297"/>
      <c r="AL185" s="297"/>
      <c r="AM185" s="11"/>
      <c r="AN185" s="11"/>
      <c r="AO185" s="11"/>
    </row>
    <row r="186" spans="1:41" x14ac:dyDescent="0.4">
      <c r="A186" s="291"/>
      <c r="B186" s="292"/>
      <c r="C186" s="312"/>
      <c r="D186"/>
      <c r="E186" s="325"/>
      <c r="F186" s="143"/>
      <c r="G186" s="143"/>
      <c r="H186" s="143"/>
      <c r="I186" s="143"/>
      <c r="J186" s="143"/>
      <c r="K186" s="143"/>
      <c r="L186" s="143"/>
      <c r="M186" s="143"/>
      <c r="N186" s="143"/>
      <c r="O186" s="143"/>
      <c r="P186" s="143"/>
      <c r="Q186" s="143"/>
      <c r="R186" s="143"/>
      <c r="S186" s="143"/>
      <c r="T186" s="143"/>
      <c r="U186" s="143"/>
      <c r="V186" s="325"/>
      <c r="W186" s="393">
        <f t="shared" si="21"/>
        <v>0</v>
      </c>
      <c r="X186" s="393">
        <f t="shared" si="22"/>
        <v>0</v>
      </c>
      <c r="Y186" s="393">
        <f t="shared" si="23"/>
        <v>0</v>
      </c>
      <c r="Z186" s="393">
        <f t="shared" si="24"/>
        <v>0</v>
      </c>
      <c r="AA186" s="393">
        <f t="shared" si="25"/>
        <v>0</v>
      </c>
      <c r="AB186" s="393" t="e">
        <f t="shared" si="26"/>
        <v>#DIV/0!</v>
      </c>
      <c r="AC186" s="486" t="e">
        <f t="shared" si="27"/>
        <v>#DIV/0!</v>
      </c>
      <c r="AD186" s="11"/>
      <c r="AE186" s="301" t="str">
        <f>AF186&amp;TM[[#This Row],[Insurer Code]]&amp;"; "&amp;AG186&amp;TM[[#This Row],[Reporting Year]]&amp;"; "&amp;AH186&amp;TM[[#This Row],[Insurance Category Code]]&amp;"; "&amp;AI186&amp;TM[[#This Row],[Large Provider Entity Code]]</f>
        <v xml:space="preserve">Insurer Code ; Reporting Year ; Insurance Category Code ; Large Provider Entity Code </v>
      </c>
      <c r="AF186" s="297" t="s">
        <v>197</v>
      </c>
      <c r="AG186" s="297" t="s">
        <v>198</v>
      </c>
      <c r="AH186" s="297" t="s">
        <v>199</v>
      </c>
      <c r="AI186" s="297" t="s">
        <v>200</v>
      </c>
      <c r="AJ186" s="297"/>
      <c r="AK186" s="297"/>
      <c r="AL186" s="297"/>
      <c r="AM186" s="11"/>
      <c r="AN186" s="11"/>
      <c r="AO186" s="11"/>
    </row>
    <row r="187" spans="1:41" x14ac:dyDescent="0.4">
      <c r="A187" s="291"/>
      <c r="B187" s="292"/>
      <c r="C187" s="312"/>
      <c r="D187"/>
      <c r="E187" s="325"/>
      <c r="F187" s="143"/>
      <c r="G187" s="143"/>
      <c r="H187" s="143"/>
      <c r="I187" s="143"/>
      <c r="J187" s="143"/>
      <c r="K187" s="143"/>
      <c r="L187" s="143"/>
      <c r="M187" s="143"/>
      <c r="N187" s="143"/>
      <c r="O187" s="143"/>
      <c r="P187" s="143"/>
      <c r="Q187" s="143"/>
      <c r="R187" s="143"/>
      <c r="S187" s="143"/>
      <c r="T187" s="143"/>
      <c r="U187" s="143"/>
      <c r="V187" s="325"/>
      <c r="W187" s="393">
        <f t="shared" si="21"/>
        <v>0</v>
      </c>
      <c r="X187" s="393">
        <f t="shared" si="22"/>
        <v>0</v>
      </c>
      <c r="Y187" s="393">
        <f t="shared" si="23"/>
        <v>0</v>
      </c>
      <c r="Z187" s="393">
        <f t="shared" si="24"/>
        <v>0</v>
      </c>
      <c r="AA187" s="393">
        <f t="shared" si="25"/>
        <v>0</v>
      </c>
      <c r="AB187" s="393" t="e">
        <f t="shared" si="26"/>
        <v>#DIV/0!</v>
      </c>
      <c r="AC187" s="486" t="e">
        <f t="shared" si="27"/>
        <v>#DIV/0!</v>
      </c>
      <c r="AD187" s="11"/>
      <c r="AE187" s="301" t="str">
        <f>AF187&amp;TM[[#This Row],[Insurer Code]]&amp;"; "&amp;AG187&amp;TM[[#This Row],[Reporting Year]]&amp;"; "&amp;AH187&amp;TM[[#This Row],[Insurance Category Code]]&amp;"; "&amp;AI187&amp;TM[[#This Row],[Large Provider Entity Code]]</f>
        <v xml:space="preserve">Insurer Code ; Reporting Year ; Insurance Category Code ; Large Provider Entity Code </v>
      </c>
      <c r="AF187" s="297" t="s">
        <v>197</v>
      </c>
      <c r="AG187" s="297" t="s">
        <v>198</v>
      </c>
      <c r="AH187" s="297" t="s">
        <v>199</v>
      </c>
      <c r="AI187" s="297" t="s">
        <v>200</v>
      </c>
      <c r="AJ187" s="297"/>
      <c r="AK187" s="297"/>
      <c r="AL187" s="297"/>
      <c r="AM187" s="11"/>
      <c r="AN187" s="11"/>
      <c r="AO187" s="11"/>
    </row>
    <row r="188" spans="1:41" x14ac:dyDescent="0.4">
      <c r="A188" s="291"/>
      <c r="B188" s="292"/>
      <c r="C188" s="312"/>
      <c r="D188"/>
      <c r="E188" s="325"/>
      <c r="F188" s="143"/>
      <c r="G188" s="143"/>
      <c r="H188" s="143"/>
      <c r="I188" s="143"/>
      <c r="J188" s="143"/>
      <c r="K188" s="143"/>
      <c r="L188" s="143"/>
      <c r="M188" s="143"/>
      <c r="N188" s="143"/>
      <c r="O188" s="143"/>
      <c r="P188" s="143"/>
      <c r="Q188" s="143"/>
      <c r="R188" s="143"/>
      <c r="S188" s="143"/>
      <c r="T188" s="143"/>
      <c r="U188" s="143"/>
      <c r="V188" s="325"/>
      <c r="W188" s="393">
        <f t="shared" si="21"/>
        <v>0</v>
      </c>
      <c r="X188" s="393">
        <f t="shared" si="22"/>
        <v>0</v>
      </c>
      <c r="Y188" s="393">
        <f t="shared" si="23"/>
        <v>0</v>
      </c>
      <c r="Z188" s="393">
        <f t="shared" si="24"/>
        <v>0</v>
      </c>
      <c r="AA188" s="393">
        <f t="shared" si="25"/>
        <v>0</v>
      </c>
      <c r="AB188" s="393" t="e">
        <f t="shared" si="26"/>
        <v>#DIV/0!</v>
      </c>
      <c r="AC188" s="486" t="e">
        <f t="shared" si="27"/>
        <v>#DIV/0!</v>
      </c>
      <c r="AD188" s="11"/>
      <c r="AE188" s="301" t="str">
        <f>AF188&amp;TM[[#This Row],[Insurer Code]]&amp;"; "&amp;AG188&amp;TM[[#This Row],[Reporting Year]]&amp;"; "&amp;AH188&amp;TM[[#This Row],[Insurance Category Code]]&amp;"; "&amp;AI188&amp;TM[[#This Row],[Large Provider Entity Code]]</f>
        <v xml:space="preserve">Insurer Code ; Reporting Year ; Insurance Category Code ; Large Provider Entity Code </v>
      </c>
      <c r="AF188" s="297" t="s">
        <v>197</v>
      </c>
      <c r="AG188" s="297" t="s">
        <v>198</v>
      </c>
      <c r="AH188" s="297" t="s">
        <v>199</v>
      </c>
      <c r="AI188" s="297" t="s">
        <v>200</v>
      </c>
      <c r="AJ188" s="297"/>
      <c r="AK188" s="297"/>
      <c r="AL188" s="297"/>
      <c r="AM188" s="11"/>
      <c r="AN188" s="11"/>
      <c r="AO188" s="11"/>
    </row>
    <row r="189" spans="1:41" x14ac:dyDescent="0.4">
      <c r="A189" s="291"/>
      <c r="B189" s="292"/>
      <c r="C189" s="312"/>
      <c r="D189"/>
      <c r="E189" s="325"/>
      <c r="F189" s="143"/>
      <c r="G189" s="143"/>
      <c r="H189" s="143"/>
      <c r="I189" s="143"/>
      <c r="J189" s="143"/>
      <c r="K189" s="143"/>
      <c r="L189" s="143"/>
      <c r="M189" s="143"/>
      <c r="N189" s="143"/>
      <c r="O189" s="143"/>
      <c r="P189" s="143"/>
      <c r="Q189" s="143"/>
      <c r="R189" s="143"/>
      <c r="S189" s="143"/>
      <c r="T189" s="143"/>
      <c r="U189" s="143"/>
      <c r="V189" s="325"/>
      <c r="W189" s="393">
        <f t="shared" si="21"/>
        <v>0</v>
      </c>
      <c r="X189" s="393">
        <f t="shared" si="22"/>
        <v>0</v>
      </c>
      <c r="Y189" s="393">
        <f t="shared" si="23"/>
        <v>0</v>
      </c>
      <c r="Z189" s="393">
        <f t="shared" si="24"/>
        <v>0</v>
      </c>
      <c r="AA189" s="393">
        <f t="shared" si="25"/>
        <v>0</v>
      </c>
      <c r="AB189" s="393" t="e">
        <f t="shared" si="26"/>
        <v>#DIV/0!</v>
      </c>
      <c r="AC189" s="486" t="e">
        <f t="shared" si="27"/>
        <v>#DIV/0!</v>
      </c>
      <c r="AD189" s="11"/>
      <c r="AE189" s="301" t="str">
        <f>AF189&amp;TM[[#This Row],[Insurer Code]]&amp;"; "&amp;AG189&amp;TM[[#This Row],[Reporting Year]]&amp;"; "&amp;AH189&amp;TM[[#This Row],[Insurance Category Code]]&amp;"; "&amp;AI189&amp;TM[[#This Row],[Large Provider Entity Code]]</f>
        <v xml:space="preserve">Insurer Code ; Reporting Year ; Insurance Category Code ; Large Provider Entity Code </v>
      </c>
      <c r="AF189" s="297" t="s">
        <v>197</v>
      </c>
      <c r="AG189" s="297" t="s">
        <v>198</v>
      </c>
      <c r="AH189" s="297" t="s">
        <v>199</v>
      </c>
      <c r="AI189" s="297" t="s">
        <v>200</v>
      </c>
      <c r="AJ189" s="297"/>
      <c r="AK189" s="297"/>
      <c r="AL189" s="297"/>
      <c r="AM189" s="11"/>
      <c r="AN189" s="11"/>
      <c r="AO189" s="11"/>
    </row>
    <row r="190" spans="1:41" x14ac:dyDescent="0.4">
      <c r="A190" s="291"/>
      <c r="B190" s="292"/>
      <c r="C190" s="312"/>
      <c r="D190"/>
      <c r="E190" s="325"/>
      <c r="F190" s="143"/>
      <c r="G190" s="143"/>
      <c r="H190" s="143"/>
      <c r="I190" s="143"/>
      <c r="J190" s="143"/>
      <c r="K190" s="143"/>
      <c r="L190" s="143"/>
      <c r="M190" s="143"/>
      <c r="N190" s="143"/>
      <c r="O190" s="143"/>
      <c r="P190" s="143"/>
      <c r="Q190" s="143"/>
      <c r="R190" s="143"/>
      <c r="S190" s="143"/>
      <c r="T190" s="143"/>
      <c r="U190" s="143"/>
      <c r="V190" s="325"/>
      <c r="W190" s="393">
        <f t="shared" si="21"/>
        <v>0</v>
      </c>
      <c r="X190" s="393">
        <f t="shared" si="22"/>
        <v>0</v>
      </c>
      <c r="Y190" s="393">
        <f t="shared" si="23"/>
        <v>0</v>
      </c>
      <c r="Z190" s="393">
        <f t="shared" si="24"/>
        <v>0</v>
      </c>
      <c r="AA190" s="393">
        <f t="shared" si="25"/>
        <v>0</v>
      </c>
      <c r="AB190" s="393" t="e">
        <f t="shared" si="26"/>
        <v>#DIV/0!</v>
      </c>
      <c r="AC190" s="486" t="e">
        <f t="shared" si="27"/>
        <v>#DIV/0!</v>
      </c>
      <c r="AD190" s="11"/>
      <c r="AE190" s="301" t="str">
        <f>AF190&amp;TM[[#This Row],[Insurer Code]]&amp;"; "&amp;AG190&amp;TM[[#This Row],[Reporting Year]]&amp;"; "&amp;AH190&amp;TM[[#This Row],[Insurance Category Code]]&amp;"; "&amp;AI190&amp;TM[[#This Row],[Large Provider Entity Code]]</f>
        <v xml:space="preserve">Insurer Code ; Reporting Year ; Insurance Category Code ; Large Provider Entity Code </v>
      </c>
      <c r="AF190" s="297" t="s">
        <v>197</v>
      </c>
      <c r="AG190" s="297" t="s">
        <v>198</v>
      </c>
      <c r="AH190" s="297" t="s">
        <v>199</v>
      </c>
      <c r="AI190" s="297" t="s">
        <v>200</v>
      </c>
      <c r="AJ190" s="297"/>
      <c r="AK190" s="297"/>
      <c r="AL190" s="297"/>
      <c r="AM190" s="11"/>
      <c r="AN190" s="11"/>
      <c r="AO190" s="11"/>
    </row>
    <row r="191" spans="1:41" x14ac:dyDescent="0.4">
      <c r="A191" s="291"/>
      <c r="B191" s="292"/>
      <c r="C191" s="312"/>
      <c r="D191"/>
      <c r="E191" s="325"/>
      <c r="F191" s="143"/>
      <c r="G191" s="143"/>
      <c r="H191" s="143"/>
      <c r="I191" s="143"/>
      <c r="J191" s="143"/>
      <c r="K191" s="143"/>
      <c r="L191" s="143"/>
      <c r="M191" s="143"/>
      <c r="N191" s="143"/>
      <c r="O191" s="143"/>
      <c r="P191" s="143"/>
      <c r="Q191" s="143"/>
      <c r="R191" s="143"/>
      <c r="S191" s="143"/>
      <c r="T191" s="143"/>
      <c r="U191" s="143"/>
      <c r="V191" s="325"/>
      <c r="W191" s="393">
        <f t="shared" si="21"/>
        <v>0</v>
      </c>
      <c r="X191" s="393">
        <f t="shared" si="22"/>
        <v>0</v>
      </c>
      <c r="Y191" s="393">
        <f t="shared" si="23"/>
        <v>0</v>
      </c>
      <c r="Z191" s="393">
        <f t="shared" si="24"/>
        <v>0</v>
      </c>
      <c r="AA191" s="393">
        <f t="shared" si="25"/>
        <v>0</v>
      </c>
      <c r="AB191" s="393" t="e">
        <f t="shared" si="26"/>
        <v>#DIV/0!</v>
      </c>
      <c r="AC191" s="486" t="e">
        <f t="shared" si="27"/>
        <v>#DIV/0!</v>
      </c>
      <c r="AD191" s="11"/>
      <c r="AE191" s="301" t="str">
        <f>AF191&amp;TM[[#This Row],[Insurer Code]]&amp;"; "&amp;AG191&amp;TM[[#This Row],[Reporting Year]]&amp;"; "&amp;AH191&amp;TM[[#This Row],[Insurance Category Code]]&amp;"; "&amp;AI191&amp;TM[[#This Row],[Large Provider Entity Code]]</f>
        <v xml:space="preserve">Insurer Code ; Reporting Year ; Insurance Category Code ; Large Provider Entity Code </v>
      </c>
      <c r="AF191" s="297" t="s">
        <v>197</v>
      </c>
      <c r="AG191" s="297" t="s">
        <v>198</v>
      </c>
      <c r="AH191" s="297" t="s">
        <v>199</v>
      </c>
      <c r="AI191" s="297" t="s">
        <v>200</v>
      </c>
      <c r="AJ191" s="297"/>
      <c r="AK191" s="297"/>
      <c r="AL191" s="297"/>
      <c r="AM191" s="11"/>
      <c r="AN191" s="11"/>
      <c r="AO191" s="11"/>
    </row>
    <row r="192" spans="1:41" x14ac:dyDescent="0.4">
      <c r="A192" s="291"/>
      <c r="B192" s="292"/>
      <c r="C192" s="312"/>
      <c r="D192"/>
      <c r="E192" s="325"/>
      <c r="F192" s="143"/>
      <c r="G192" s="143"/>
      <c r="H192" s="143"/>
      <c r="I192" s="143"/>
      <c r="J192" s="143"/>
      <c r="K192" s="143"/>
      <c r="L192" s="143"/>
      <c r="M192" s="143"/>
      <c r="N192" s="143"/>
      <c r="O192" s="143"/>
      <c r="P192" s="143"/>
      <c r="Q192" s="143"/>
      <c r="R192" s="143"/>
      <c r="S192" s="143"/>
      <c r="T192" s="143"/>
      <c r="U192" s="143"/>
      <c r="V192" s="325"/>
      <c r="W192" s="393">
        <f t="shared" si="21"/>
        <v>0</v>
      </c>
      <c r="X192" s="393">
        <f t="shared" si="22"/>
        <v>0</v>
      </c>
      <c r="Y192" s="393">
        <f t="shared" si="23"/>
        <v>0</v>
      </c>
      <c r="Z192" s="393">
        <f t="shared" si="24"/>
        <v>0</v>
      </c>
      <c r="AA192" s="393">
        <f t="shared" si="25"/>
        <v>0</v>
      </c>
      <c r="AB192" s="393" t="e">
        <f t="shared" si="26"/>
        <v>#DIV/0!</v>
      </c>
      <c r="AC192" s="486" t="e">
        <f t="shared" si="27"/>
        <v>#DIV/0!</v>
      </c>
      <c r="AD192" s="11"/>
      <c r="AE192" s="301" t="str">
        <f>AF192&amp;TM[[#This Row],[Insurer Code]]&amp;"; "&amp;AG192&amp;TM[[#This Row],[Reporting Year]]&amp;"; "&amp;AH192&amp;TM[[#This Row],[Insurance Category Code]]&amp;"; "&amp;AI192&amp;TM[[#This Row],[Large Provider Entity Code]]</f>
        <v xml:space="preserve">Insurer Code ; Reporting Year ; Insurance Category Code ; Large Provider Entity Code </v>
      </c>
      <c r="AF192" s="297" t="s">
        <v>197</v>
      </c>
      <c r="AG192" s="297" t="s">
        <v>198</v>
      </c>
      <c r="AH192" s="297" t="s">
        <v>199</v>
      </c>
      <c r="AI192" s="297" t="s">
        <v>200</v>
      </c>
      <c r="AJ192" s="297"/>
      <c r="AK192" s="297"/>
      <c r="AL192" s="297"/>
      <c r="AM192" s="11"/>
      <c r="AN192" s="11"/>
      <c r="AO192" s="11"/>
    </row>
    <row r="193" spans="1:41" x14ac:dyDescent="0.4">
      <c r="A193" s="291"/>
      <c r="B193" s="292"/>
      <c r="C193" s="312"/>
      <c r="D193"/>
      <c r="E193" s="325"/>
      <c r="F193" s="143"/>
      <c r="G193" s="143"/>
      <c r="H193" s="143"/>
      <c r="I193" s="143"/>
      <c r="J193" s="143"/>
      <c r="K193" s="143"/>
      <c r="L193" s="143"/>
      <c r="M193" s="143"/>
      <c r="N193" s="143"/>
      <c r="O193" s="143"/>
      <c r="P193" s="143"/>
      <c r="Q193" s="143"/>
      <c r="R193" s="143"/>
      <c r="S193" s="143"/>
      <c r="T193" s="143"/>
      <c r="U193" s="143"/>
      <c r="V193" s="325"/>
      <c r="W193" s="393">
        <f t="shared" si="21"/>
        <v>0</v>
      </c>
      <c r="X193" s="393">
        <f t="shared" si="22"/>
        <v>0</v>
      </c>
      <c r="Y193" s="393">
        <f t="shared" si="23"/>
        <v>0</v>
      </c>
      <c r="Z193" s="393">
        <f t="shared" si="24"/>
        <v>0</v>
      </c>
      <c r="AA193" s="393">
        <f t="shared" si="25"/>
        <v>0</v>
      </c>
      <c r="AB193" s="393" t="e">
        <f t="shared" si="26"/>
        <v>#DIV/0!</v>
      </c>
      <c r="AC193" s="486" t="e">
        <f t="shared" si="27"/>
        <v>#DIV/0!</v>
      </c>
      <c r="AD193" s="11"/>
      <c r="AE193" s="301" t="str">
        <f>AF193&amp;TM[[#This Row],[Insurer Code]]&amp;"; "&amp;AG193&amp;TM[[#This Row],[Reporting Year]]&amp;"; "&amp;AH193&amp;TM[[#This Row],[Insurance Category Code]]&amp;"; "&amp;AI193&amp;TM[[#This Row],[Large Provider Entity Code]]</f>
        <v xml:space="preserve">Insurer Code ; Reporting Year ; Insurance Category Code ; Large Provider Entity Code </v>
      </c>
      <c r="AF193" s="297" t="s">
        <v>197</v>
      </c>
      <c r="AG193" s="297" t="s">
        <v>198</v>
      </c>
      <c r="AH193" s="297" t="s">
        <v>199</v>
      </c>
      <c r="AI193" s="297" t="s">
        <v>200</v>
      </c>
      <c r="AJ193" s="297"/>
      <c r="AK193" s="297"/>
      <c r="AL193" s="297"/>
      <c r="AM193" s="11"/>
      <c r="AN193" s="11"/>
      <c r="AO193" s="11"/>
    </row>
    <row r="194" spans="1:41" x14ac:dyDescent="0.4">
      <c r="A194" s="291"/>
      <c r="B194" s="292"/>
      <c r="C194" s="312"/>
      <c r="D194"/>
      <c r="E194" s="325"/>
      <c r="F194" s="143"/>
      <c r="G194" s="143"/>
      <c r="H194" s="143"/>
      <c r="I194" s="143"/>
      <c r="J194" s="143"/>
      <c r="K194" s="143"/>
      <c r="L194" s="143"/>
      <c r="M194" s="143"/>
      <c r="N194" s="143"/>
      <c r="O194" s="143"/>
      <c r="P194" s="143"/>
      <c r="Q194" s="143"/>
      <c r="R194" s="143"/>
      <c r="S194" s="143"/>
      <c r="T194" s="143"/>
      <c r="U194" s="143"/>
      <c r="V194" s="325"/>
      <c r="W194" s="393">
        <f t="shared" si="21"/>
        <v>0</v>
      </c>
      <c r="X194" s="393">
        <f t="shared" si="22"/>
        <v>0</v>
      </c>
      <c r="Y194" s="393">
        <f t="shared" si="23"/>
        <v>0</v>
      </c>
      <c r="Z194" s="393">
        <f t="shared" si="24"/>
        <v>0</v>
      </c>
      <c r="AA194" s="393">
        <f t="shared" si="25"/>
        <v>0</v>
      </c>
      <c r="AB194" s="393" t="e">
        <f t="shared" si="26"/>
        <v>#DIV/0!</v>
      </c>
      <c r="AC194" s="486" t="e">
        <f t="shared" si="27"/>
        <v>#DIV/0!</v>
      </c>
      <c r="AD194" s="11"/>
      <c r="AE194" s="301" t="str">
        <f>AF194&amp;TM[[#This Row],[Insurer Code]]&amp;"; "&amp;AG194&amp;TM[[#This Row],[Reporting Year]]&amp;"; "&amp;AH194&amp;TM[[#This Row],[Insurance Category Code]]&amp;"; "&amp;AI194&amp;TM[[#This Row],[Large Provider Entity Code]]</f>
        <v xml:space="preserve">Insurer Code ; Reporting Year ; Insurance Category Code ; Large Provider Entity Code </v>
      </c>
      <c r="AF194" s="297" t="s">
        <v>197</v>
      </c>
      <c r="AG194" s="297" t="s">
        <v>198</v>
      </c>
      <c r="AH194" s="297" t="s">
        <v>199</v>
      </c>
      <c r="AI194" s="297" t="s">
        <v>200</v>
      </c>
      <c r="AJ194" s="297"/>
      <c r="AK194" s="297"/>
      <c r="AL194" s="297"/>
      <c r="AM194" s="11"/>
      <c r="AN194" s="11"/>
      <c r="AO194" s="11"/>
    </row>
    <row r="195" spans="1:41" x14ac:dyDescent="0.4">
      <c r="A195" s="291"/>
      <c r="B195" s="292"/>
      <c r="C195" s="312"/>
      <c r="D195"/>
      <c r="E195" s="325"/>
      <c r="F195" s="143"/>
      <c r="G195" s="143"/>
      <c r="H195" s="143"/>
      <c r="I195" s="143"/>
      <c r="J195" s="143"/>
      <c r="K195" s="143"/>
      <c r="L195" s="143"/>
      <c r="M195" s="143"/>
      <c r="N195" s="143"/>
      <c r="O195" s="143"/>
      <c r="P195" s="143"/>
      <c r="Q195" s="143"/>
      <c r="R195" s="143"/>
      <c r="S195" s="143"/>
      <c r="T195" s="143"/>
      <c r="U195" s="143"/>
      <c r="V195" s="325"/>
      <c r="W195" s="393">
        <f t="shared" si="21"/>
        <v>0</v>
      </c>
      <c r="X195" s="393">
        <f t="shared" si="22"/>
        <v>0</v>
      </c>
      <c r="Y195" s="393">
        <f t="shared" si="23"/>
        <v>0</v>
      </c>
      <c r="Z195" s="393">
        <f t="shared" si="24"/>
        <v>0</v>
      </c>
      <c r="AA195" s="393">
        <f t="shared" si="25"/>
        <v>0</v>
      </c>
      <c r="AB195" s="393" t="e">
        <f t="shared" si="26"/>
        <v>#DIV/0!</v>
      </c>
      <c r="AC195" s="486" t="e">
        <f t="shared" si="27"/>
        <v>#DIV/0!</v>
      </c>
      <c r="AD195" s="11"/>
      <c r="AE195" s="301" t="str">
        <f>AF195&amp;TM[[#This Row],[Insurer Code]]&amp;"; "&amp;AG195&amp;TM[[#This Row],[Reporting Year]]&amp;"; "&amp;AH195&amp;TM[[#This Row],[Insurance Category Code]]&amp;"; "&amp;AI195&amp;TM[[#This Row],[Large Provider Entity Code]]</f>
        <v xml:space="preserve">Insurer Code ; Reporting Year ; Insurance Category Code ; Large Provider Entity Code </v>
      </c>
      <c r="AF195" s="297" t="s">
        <v>197</v>
      </c>
      <c r="AG195" s="297" t="s">
        <v>198</v>
      </c>
      <c r="AH195" s="297" t="s">
        <v>199</v>
      </c>
      <c r="AI195" s="297" t="s">
        <v>200</v>
      </c>
      <c r="AJ195" s="297"/>
      <c r="AK195" s="297"/>
      <c r="AL195" s="297"/>
      <c r="AM195" s="11"/>
      <c r="AN195" s="11"/>
      <c r="AO195" s="11"/>
    </row>
    <row r="196" spans="1:41" x14ac:dyDescent="0.4">
      <c r="A196" s="291"/>
      <c r="B196" s="292"/>
      <c r="C196" s="312"/>
      <c r="D196"/>
      <c r="E196" s="325"/>
      <c r="F196" s="143"/>
      <c r="G196" s="143"/>
      <c r="H196" s="143"/>
      <c r="I196" s="143"/>
      <c r="J196" s="143"/>
      <c r="K196" s="143"/>
      <c r="L196" s="143"/>
      <c r="M196" s="143"/>
      <c r="N196" s="143"/>
      <c r="O196" s="143"/>
      <c r="P196" s="143"/>
      <c r="Q196" s="143"/>
      <c r="R196" s="143"/>
      <c r="S196" s="143"/>
      <c r="T196" s="143"/>
      <c r="U196" s="143"/>
      <c r="V196" s="325"/>
      <c r="W196" s="393">
        <f t="shared" si="21"/>
        <v>0</v>
      </c>
      <c r="X196" s="393">
        <f t="shared" si="22"/>
        <v>0</v>
      </c>
      <c r="Y196" s="393">
        <f t="shared" si="23"/>
        <v>0</v>
      </c>
      <c r="Z196" s="393">
        <f t="shared" si="24"/>
        <v>0</v>
      </c>
      <c r="AA196" s="393">
        <f t="shared" si="25"/>
        <v>0</v>
      </c>
      <c r="AB196" s="393" t="e">
        <f t="shared" si="26"/>
        <v>#DIV/0!</v>
      </c>
      <c r="AC196" s="486" t="e">
        <f t="shared" si="27"/>
        <v>#DIV/0!</v>
      </c>
      <c r="AD196" s="11"/>
      <c r="AE196" s="301" t="str">
        <f>AF196&amp;TM[[#This Row],[Insurer Code]]&amp;"; "&amp;AG196&amp;TM[[#This Row],[Reporting Year]]&amp;"; "&amp;AH196&amp;TM[[#This Row],[Insurance Category Code]]&amp;"; "&amp;AI196&amp;TM[[#This Row],[Large Provider Entity Code]]</f>
        <v xml:space="preserve">Insurer Code ; Reporting Year ; Insurance Category Code ; Large Provider Entity Code </v>
      </c>
      <c r="AF196" s="297" t="s">
        <v>197</v>
      </c>
      <c r="AG196" s="297" t="s">
        <v>198</v>
      </c>
      <c r="AH196" s="297" t="s">
        <v>199</v>
      </c>
      <c r="AI196" s="297" t="s">
        <v>200</v>
      </c>
      <c r="AJ196" s="297"/>
      <c r="AK196" s="297"/>
      <c r="AL196" s="297"/>
      <c r="AM196" s="11"/>
      <c r="AN196" s="11"/>
      <c r="AO196" s="11"/>
    </row>
    <row r="197" spans="1:41" x14ac:dyDescent="0.4">
      <c r="A197" s="291"/>
      <c r="B197" s="292"/>
      <c r="C197" s="312"/>
      <c r="D197"/>
      <c r="E197" s="325"/>
      <c r="F197" s="143"/>
      <c r="G197" s="143"/>
      <c r="H197" s="143"/>
      <c r="I197" s="143"/>
      <c r="J197" s="143"/>
      <c r="K197" s="143"/>
      <c r="L197" s="143"/>
      <c r="M197" s="143"/>
      <c r="N197" s="143"/>
      <c r="O197" s="143"/>
      <c r="P197" s="143"/>
      <c r="Q197" s="143"/>
      <c r="R197" s="143"/>
      <c r="S197" s="143"/>
      <c r="T197" s="143"/>
      <c r="U197" s="143"/>
      <c r="V197" s="325"/>
      <c r="W197" s="393">
        <f t="shared" si="21"/>
        <v>0</v>
      </c>
      <c r="X197" s="393">
        <f t="shared" si="22"/>
        <v>0</v>
      </c>
      <c r="Y197" s="393">
        <f t="shared" si="23"/>
        <v>0</v>
      </c>
      <c r="Z197" s="393">
        <f t="shared" si="24"/>
        <v>0</v>
      </c>
      <c r="AA197" s="393">
        <f t="shared" si="25"/>
        <v>0</v>
      </c>
      <c r="AB197" s="393" t="e">
        <f t="shared" si="26"/>
        <v>#DIV/0!</v>
      </c>
      <c r="AC197" s="486" t="e">
        <f t="shared" si="27"/>
        <v>#DIV/0!</v>
      </c>
      <c r="AD197" s="11"/>
      <c r="AE197" s="301" t="str">
        <f>AF197&amp;TM[[#This Row],[Insurer Code]]&amp;"; "&amp;AG197&amp;TM[[#This Row],[Reporting Year]]&amp;"; "&amp;AH197&amp;TM[[#This Row],[Insurance Category Code]]&amp;"; "&amp;AI197&amp;TM[[#This Row],[Large Provider Entity Code]]</f>
        <v xml:space="preserve">Insurer Code ; Reporting Year ; Insurance Category Code ; Large Provider Entity Code </v>
      </c>
      <c r="AF197" s="297" t="s">
        <v>197</v>
      </c>
      <c r="AG197" s="297" t="s">
        <v>198</v>
      </c>
      <c r="AH197" s="297" t="s">
        <v>199</v>
      </c>
      <c r="AI197" s="297" t="s">
        <v>200</v>
      </c>
      <c r="AJ197" s="297"/>
      <c r="AK197" s="297"/>
      <c r="AL197" s="297"/>
      <c r="AM197" s="11"/>
      <c r="AN197" s="11"/>
      <c r="AO197" s="11"/>
    </row>
    <row r="198" spans="1:41" x14ac:dyDescent="0.4">
      <c r="A198" s="291"/>
      <c r="B198" s="292"/>
      <c r="C198" s="312"/>
      <c r="D198"/>
      <c r="E198" s="325"/>
      <c r="F198" s="143"/>
      <c r="G198" s="143"/>
      <c r="H198" s="143"/>
      <c r="I198" s="143"/>
      <c r="J198" s="143"/>
      <c r="K198" s="143"/>
      <c r="L198" s="143"/>
      <c r="M198" s="143"/>
      <c r="N198" s="143"/>
      <c r="O198" s="143"/>
      <c r="P198" s="143"/>
      <c r="Q198" s="143"/>
      <c r="R198" s="143"/>
      <c r="S198" s="143"/>
      <c r="T198" s="143"/>
      <c r="U198" s="143"/>
      <c r="V198" s="325"/>
      <c r="W198" s="393">
        <f t="shared" si="21"/>
        <v>0</v>
      </c>
      <c r="X198" s="393">
        <f t="shared" si="22"/>
        <v>0</v>
      </c>
      <c r="Y198" s="393">
        <f t="shared" si="23"/>
        <v>0</v>
      </c>
      <c r="Z198" s="393">
        <f t="shared" si="24"/>
        <v>0</v>
      </c>
      <c r="AA198" s="393">
        <f t="shared" si="25"/>
        <v>0</v>
      </c>
      <c r="AB198" s="393" t="e">
        <f t="shared" si="26"/>
        <v>#DIV/0!</v>
      </c>
      <c r="AC198" s="486" t="e">
        <f t="shared" si="27"/>
        <v>#DIV/0!</v>
      </c>
      <c r="AD198" s="11"/>
      <c r="AE198" s="301" t="str">
        <f>AF198&amp;TM[[#This Row],[Insurer Code]]&amp;"; "&amp;AG198&amp;TM[[#This Row],[Reporting Year]]&amp;"; "&amp;AH198&amp;TM[[#This Row],[Insurance Category Code]]&amp;"; "&amp;AI198&amp;TM[[#This Row],[Large Provider Entity Code]]</f>
        <v xml:space="preserve">Insurer Code ; Reporting Year ; Insurance Category Code ; Large Provider Entity Code </v>
      </c>
      <c r="AF198" s="297" t="s">
        <v>197</v>
      </c>
      <c r="AG198" s="297" t="s">
        <v>198</v>
      </c>
      <c r="AH198" s="297" t="s">
        <v>199</v>
      </c>
      <c r="AI198" s="297" t="s">
        <v>200</v>
      </c>
      <c r="AJ198" s="297"/>
      <c r="AK198" s="297"/>
      <c r="AL198" s="297"/>
      <c r="AM198" s="11"/>
      <c r="AN198" s="11"/>
      <c r="AO198" s="11"/>
    </row>
    <row r="199" spans="1:41" x14ac:dyDescent="0.4">
      <c r="A199" s="291"/>
      <c r="B199" s="292"/>
      <c r="C199" s="312"/>
      <c r="D199"/>
      <c r="E199" s="325"/>
      <c r="F199" s="143"/>
      <c r="G199" s="143"/>
      <c r="H199" s="143"/>
      <c r="I199" s="143"/>
      <c r="J199" s="143"/>
      <c r="K199" s="143"/>
      <c r="L199" s="143"/>
      <c r="M199" s="143"/>
      <c r="N199" s="143"/>
      <c r="O199" s="143"/>
      <c r="P199" s="143"/>
      <c r="Q199" s="143"/>
      <c r="R199" s="143"/>
      <c r="S199" s="143"/>
      <c r="T199" s="143"/>
      <c r="U199" s="143"/>
      <c r="V199" s="325"/>
      <c r="W199" s="393">
        <f t="shared" si="21"/>
        <v>0</v>
      </c>
      <c r="X199" s="393">
        <f t="shared" si="22"/>
        <v>0</v>
      </c>
      <c r="Y199" s="393">
        <f t="shared" si="23"/>
        <v>0</v>
      </c>
      <c r="Z199" s="393">
        <f t="shared" si="24"/>
        <v>0</v>
      </c>
      <c r="AA199" s="393">
        <f t="shared" si="25"/>
        <v>0</v>
      </c>
      <c r="AB199" s="393" t="e">
        <f t="shared" si="26"/>
        <v>#DIV/0!</v>
      </c>
      <c r="AC199" s="486" t="e">
        <f t="shared" si="27"/>
        <v>#DIV/0!</v>
      </c>
      <c r="AD199" s="11"/>
      <c r="AE199" s="301" t="str">
        <f>AF199&amp;TM[[#This Row],[Insurer Code]]&amp;"; "&amp;AG199&amp;TM[[#This Row],[Reporting Year]]&amp;"; "&amp;AH199&amp;TM[[#This Row],[Insurance Category Code]]&amp;"; "&amp;AI199&amp;TM[[#This Row],[Large Provider Entity Code]]</f>
        <v xml:space="preserve">Insurer Code ; Reporting Year ; Insurance Category Code ; Large Provider Entity Code </v>
      </c>
      <c r="AF199" s="297" t="s">
        <v>197</v>
      </c>
      <c r="AG199" s="297" t="s">
        <v>198</v>
      </c>
      <c r="AH199" s="297" t="s">
        <v>199</v>
      </c>
      <c r="AI199" s="297" t="s">
        <v>200</v>
      </c>
      <c r="AJ199" s="297"/>
      <c r="AK199" s="297"/>
      <c r="AL199" s="297"/>
      <c r="AM199" s="11"/>
      <c r="AN199" s="11"/>
      <c r="AO199" s="11"/>
    </row>
    <row r="200" spans="1:41" x14ac:dyDescent="0.4">
      <c r="A200" s="291"/>
      <c r="B200" s="292"/>
      <c r="C200" s="312"/>
      <c r="D200"/>
      <c r="E200" s="325"/>
      <c r="F200" s="143"/>
      <c r="G200" s="143"/>
      <c r="H200" s="143"/>
      <c r="I200" s="143"/>
      <c r="J200" s="143"/>
      <c r="K200" s="143"/>
      <c r="L200" s="143"/>
      <c r="M200" s="143"/>
      <c r="N200" s="143"/>
      <c r="O200" s="143"/>
      <c r="P200" s="143"/>
      <c r="Q200" s="143"/>
      <c r="R200" s="143"/>
      <c r="S200" s="143"/>
      <c r="T200" s="143"/>
      <c r="U200" s="143"/>
      <c r="V200" s="325"/>
      <c r="W200" s="393">
        <f t="shared" si="21"/>
        <v>0</v>
      </c>
      <c r="X200" s="393">
        <f t="shared" si="22"/>
        <v>0</v>
      </c>
      <c r="Y200" s="393">
        <f t="shared" si="23"/>
        <v>0</v>
      </c>
      <c r="Z200" s="393">
        <f t="shared" si="24"/>
        <v>0</v>
      </c>
      <c r="AA200" s="393">
        <f t="shared" si="25"/>
        <v>0</v>
      </c>
      <c r="AB200" s="393" t="e">
        <f t="shared" si="26"/>
        <v>#DIV/0!</v>
      </c>
      <c r="AC200" s="486" t="e">
        <f t="shared" si="27"/>
        <v>#DIV/0!</v>
      </c>
      <c r="AD200" s="11"/>
      <c r="AE200" s="301" t="str">
        <f>AF200&amp;TM[[#This Row],[Insurer Code]]&amp;"; "&amp;AG200&amp;TM[[#This Row],[Reporting Year]]&amp;"; "&amp;AH200&amp;TM[[#This Row],[Insurance Category Code]]&amp;"; "&amp;AI200&amp;TM[[#This Row],[Large Provider Entity Code]]</f>
        <v xml:space="preserve">Insurer Code ; Reporting Year ; Insurance Category Code ; Large Provider Entity Code </v>
      </c>
      <c r="AF200" s="297" t="s">
        <v>197</v>
      </c>
      <c r="AG200" s="297" t="s">
        <v>198</v>
      </c>
      <c r="AH200" s="297" t="s">
        <v>199</v>
      </c>
      <c r="AI200" s="297" t="s">
        <v>200</v>
      </c>
      <c r="AJ200" s="297"/>
      <c r="AK200" s="297"/>
      <c r="AL200" s="297"/>
      <c r="AM200" s="11"/>
      <c r="AN200" s="11"/>
      <c r="AO200" s="11"/>
    </row>
    <row r="201" spans="1:41" x14ac:dyDescent="0.4">
      <c r="A201" s="291"/>
      <c r="B201" s="292"/>
      <c r="C201" s="312"/>
      <c r="D201"/>
      <c r="E201" s="325"/>
      <c r="F201" s="143"/>
      <c r="G201" s="143"/>
      <c r="H201" s="143"/>
      <c r="I201" s="143"/>
      <c r="J201" s="143"/>
      <c r="K201" s="143"/>
      <c r="L201" s="143"/>
      <c r="M201" s="143"/>
      <c r="N201" s="143"/>
      <c r="O201" s="143"/>
      <c r="P201" s="143"/>
      <c r="Q201" s="143"/>
      <c r="R201" s="143"/>
      <c r="S201" s="143"/>
      <c r="T201" s="143"/>
      <c r="U201" s="143"/>
      <c r="V201" s="325"/>
      <c r="W201" s="393">
        <f t="shared" si="21"/>
        <v>0</v>
      </c>
      <c r="X201" s="393">
        <f t="shared" si="22"/>
        <v>0</v>
      </c>
      <c r="Y201" s="393">
        <f t="shared" si="23"/>
        <v>0</v>
      </c>
      <c r="Z201" s="393">
        <f t="shared" si="24"/>
        <v>0</v>
      </c>
      <c r="AA201" s="393">
        <f t="shared" si="25"/>
        <v>0</v>
      </c>
      <c r="AB201" s="393" t="e">
        <f t="shared" si="26"/>
        <v>#DIV/0!</v>
      </c>
      <c r="AC201" s="486" t="e">
        <f t="shared" si="27"/>
        <v>#DIV/0!</v>
      </c>
      <c r="AD201" s="11"/>
      <c r="AE201" s="301" t="str">
        <f>AF201&amp;TM[[#This Row],[Insurer Code]]&amp;"; "&amp;AG201&amp;TM[[#This Row],[Reporting Year]]&amp;"; "&amp;AH201&amp;TM[[#This Row],[Insurance Category Code]]&amp;"; "&amp;AI201&amp;TM[[#This Row],[Large Provider Entity Code]]</f>
        <v xml:space="preserve">Insurer Code ; Reporting Year ; Insurance Category Code ; Large Provider Entity Code </v>
      </c>
      <c r="AF201" s="297" t="s">
        <v>197</v>
      </c>
      <c r="AG201" s="297" t="s">
        <v>198</v>
      </c>
      <c r="AH201" s="297" t="s">
        <v>199</v>
      </c>
      <c r="AI201" s="297" t="s">
        <v>200</v>
      </c>
      <c r="AJ201" s="297"/>
      <c r="AK201" s="297"/>
      <c r="AL201" s="297"/>
      <c r="AM201" s="11"/>
      <c r="AN201" s="11"/>
      <c r="AO201" s="11"/>
    </row>
    <row r="202" spans="1:41" x14ac:dyDescent="0.4">
      <c r="A202" s="291"/>
      <c r="B202" s="292"/>
      <c r="C202" s="312"/>
      <c r="D202"/>
      <c r="E202" s="325"/>
      <c r="F202" s="143"/>
      <c r="G202" s="143"/>
      <c r="H202" s="143"/>
      <c r="I202" s="143"/>
      <c r="J202" s="143"/>
      <c r="K202" s="143"/>
      <c r="L202" s="143"/>
      <c r="M202" s="143"/>
      <c r="N202" s="143"/>
      <c r="O202" s="143"/>
      <c r="P202" s="143"/>
      <c r="Q202" s="143"/>
      <c r="R202" s="143"/>
      <c r="S202" s="143"/>
      <c r="T202" s="143"/>
      <c r="U202" s="143"/>
      <c r="V202" s="325"/>
      <c r="W202" s="393">
        <f t="shared" si="21"/>
        <v>0</v>
      </c>
      <c r="X202" s="393">
        <f t="shared" si="22"/>
        <v>0</v>
      </c>
      <c r="Y202" s="393">
        <f t="shared" si="23"/>
        <v>0</v>
      </c>
      <c r="Z202" s="393">
        <f t="shared" si="24"/>
        <v>0</v>
      </c>
      <c r="AA202" s="393">
        <f t="shared" si="25"/>
        <v>0</v>
      </c>
      <c r="AB202" s="393" t="e">
        <f t="shared" si="26"/>
        <v>#DIV/0!</v>
      </c>
      <c r="AC202" s="486" t="e">
        <f t="shared" si="27"/>
        <v>#DIV/0!</v>
      </c>
      <c r="AD202" s="11"/>
      <c r="AE202" s="301" t="str">
        <f>AF202&amp;TM[[#This Row],[Insurer Code]]&amp;"; "&amp;AG202&amp;TM[[#This Row],[Reporting Year]]&amp;"; "&amp;AH202&amp;TM[[#This Row],[Insurance Category Code]]&amp;"; "&amp;AI202&amp;TM[[#This Row],[Large Provider Entity Code]]</f>
        <v xml:space="preserve">Insurer Code ; Reporting Year ; Insurance Category Code ; Large Provider Entity Code </v>
      </c>
      <c r="AF202" s="297" t="s">
        <v>197</v>
      </c>
      <c r="AG202" s="297" t="s">
        <v>198</v>
      </c>
      <c r="AH202" s="297" t="s">
        <v>199</v>
      </c>
      <c r="AI202" s="297" t="s">
        <v>200</v>
      </c>
      <c r="AJ202" s="297"/>
      <c r="AK202" s="297"/>
      <c r="AL202" s="297"/>
      <c r="AM202" s="11"/>
      <c r="AN202" s="11"/>
      <c r="AO202" s="11"/>
    </row>
    <row r="203" spans="1:41" x14ac:dyDescent="0.4">
      <c r="A203" s="291"/>
      <c r="B203" s="292"/>
      <c r="C203" s="312"/>
      <c r="D203"/>
      <c r="E203" s="325"/>
      <c r="F203" s="143"/>
      <c r="G203" s="143"/>
      <c r="H203" s="143"/>
      <c r="I203" s="143"/>
      <c r="J203" s="143"/>
      <c r="K203" s="143"/>
      <c r="L203" s="143"/>
      <c r="M203" s="143"/>
      <c r="N203" s="143"/>
      <c r="O203" s="143"/>
      <c r="P203" s="143"/>
      <c r="Q203" s="143"/>
      <c r="R203" s="143"/>
      <c r="S203" s="143"/>
      <c r="T203" s="143"/>
      <c r="U203" s="143"/>
      <c r="V203" s="325"/>
      <c r="W203" s="393">
        <f t="shared" si="21"/>
        <v>0</v>
      </c>
      <c r="X203" s="393">
        <f t="shared" si="22"/>
        <v>0</v>
      </c>
      <c r="Y203" s="393">
        <f t="shared" si="23"/>
        <v>0</v>
      </c>
      <c r="Z203" s="393">
        <f t="shared" si="24"/>
        <v>0</v>
      </c>
      <c r="AA203" s="393">
        <f t="shared" si="25"/>
        <v>0</v>
      </c>
      <c r="AB203" s="393" t="e">
        <f t="shared" si="26"/>
        <v>#DIV/0!</v>
      </c>
      <c r="AC203" s="486" t="e">
        <f t="shared" si="27"/>
        <v>#DIV/0!</v>
      </c>
      <c r="AD203" s="11"/>
      <c r="AE203" s="301" t="str">
        <f>AF203&amp;TM[[#This Row],[Insurer Code]]&amp;"; "&amp;AG203&amp;TM[[#This Row],[Reporting Year]]&amp;"; "&amp;AH203&amp;TM[[#This Row],[Insurance Category Code]]&amp;"; "&amp;AI203&amp;TM[[#This Row],[Large Provider Entity Code]]</f>
        <v xml:space="preserve">Insurer Code ; Reporting Year ; Insurance Category Code ; Large Provider Entity Code </v>
      </c>
      <c r="AF203" s="297" t="s">
        <v>197</v>
      </c>
      <c r="AG203" s="297" t="s">
        <v>198</v>
      </c>
      <c r="AH203" s="297" t="s">
        <v>199</v>
      </c>
      <c r="AI203" s="297" t="s">
        <v>200</v>
      </c>
      <c r="AJ203" s="297"/>
      <c r="AK203" s="297"/>
      <c r="AL203" s="297"/>
      <c r="AM203" s="11"/>
      <c r="AN203" s="11"/>
      <c r="AO203" s="11"/>
    </row>
    <row r="204" spans="1:41" x14ac:dyDescent="0.4">
      <c r="A204" s="291"/>
      <c r="B204" s="292"/>
      <c r="C204" s="312"/>
      <c r="D204"/>
      <c r="E204" s="325"/>
      <c r="F204" s="143"/>
      <c r="G204" s="143"/>
      <c r="H204" s="143"/>
      <c r="I204" s="143"/>
      <c r="J204" s="143"/>
      <c r="K204" s="143"/>
      <c r="L204" s="143"/>
      <c r="M204" s="143"/>
      <c r="N204" s="143"/>
      <c r="O204" s="143"/>
      <c r="P204" s="143"/>
      <c r="Q204" s="143"/>
      <c r="R204" s="143"/>
      <c r="S204" s="143"/>
      <c r="T204" s="143"/>
      <c r="U204" s="143"/>
      <c r="V204" s="325"/>
      <c r="W204" s="393">
        <f t="shared" si="21"/>
        <v>0</v>
      </c>
      <c r="X204" s="393">
        <f t="shared" si="22"/>
        <v>0</v>
      </c>
      <c r="Y204" s="393">
        <f t="shared" si="23"/>
        <v>0</v>
      </c>
      <c r="Z204" s="393">
        <f t="shared" si="24"/>
        <v>0</v>
      </c>
      <c r="AA204" s="393">
        <f t="shared" si="25"/>
        <v>0</v>
      </c>
      <c r="AB204" s="393" t="e">
        <f t="shared" si="26"/>
        <v>#DIV/0!</v>
      </c>
      <c r="AC204" s="486" t="e">
        <f t="shared" si="27"/>
        <v>#DIV/0!</v>
      </c>
      <c r="AD204" s="11"/>
      <c r="AE204" s="301" t="str">
        <f>AF204&amp;TM[[#This Row],[Insurer Code]]&amp;"; "&amp;AG204&amp;TM[[#This Row],[Reporting Year]]&amp;"; "&amp;AH204&amp;TM[[#This Row],[Insurance Category Code]]&amp;"; "&amp;AI204&amp;TM[[#This Row],[Large Provider Entity Code]]</f>
        <v xml:space="preserve">Insurer Code ; Reporting Year ; Insurance Category Code ; Large Provider Entity Code </v>
      </c>
      <c r="AF204" s="297" t="s">
        <v>197</v>
      </c>
      <c r="AG204" s="297" t="s">
        <v>198</v>
      </c>
      <c r="AH204" s="297" t="s">
        <v>199</v>
      </c>
      <c r="AI204" s="297" t="s">
        <v>200</v>
      </c>
      <c r="AJ204" s="297"/>
      <c r="AK204" s="297"/>
      <c r="AL204" s="297"/>
      <c r="AM204" s="11"/>
      <c r="AN204" s="11"/>
      <c r="AO204" s="11"/>
    </row>
    <row r="205" spans="1:41" x14ac:dyDescent="0.4">
      <c r="A205" s="291"/>
      <c r="B205" s="292"/>
      <c r="C205" s="312"/>
      <c r="D205"/>
      <c r="E205" s="325"/>
      <c r="F205" s="143"/>
      <c r="G205" s="143"/>
      <c r="H205" s="143"/>
      <c r="I205" s="143"/>
      <c r="J205" s="143"/>
      <c r="K205" s="143"/>
      <c r="L205" s="143"/>
      <c r="M205" s="143"/>
      <c r="N205" s="143"/>
      <c r="O205" s="143"/>
      <c r="P205" s="143"/>
      <c r="Q205" s="143"/>
      <c r="R205" s="143"/>
      <c r="S205" s="143"/>
      <c r="T205" s="143"/>
      <c r="U205" s="143"/>
      <c r="V205" s="325"/>
      <c r="W205" s="393">
        <f t="shared" si="21"/>
        <v>0</v>
      </c>
      <c r="X205" s="393">
        <f t="shared" si="22"/>
        <v>0</v>
      </c>
      <c r="Y205" s="393">
        <f t="shared" si="23"/>
        <v>0</v>
      </c>
      <c r="Z205" s="393">
        <f t="shared" si="24"/>
        <v>0</v>
      </c>
      <c r="AA205" s="393">
        <f t="shared" si="25"/>
        <v>0</v>
      </c>
      <c r="AB205" s="393" t="e">
        <f t="shared" si="26"/>
        <v>#DIV/0!</v>
      </c>
      <c r="AC205" s="486" t="e">
        <f t="shared" si="27"/>
        <v>#DIV/0!</v>
      </c>
      <c r="AD205" s="11"/>
      <c r="AE205" s="301" t="str">
        <f>AF205&amp;TM[[#This Row],[Insurer Code]]&amp;"; "&amp;AG205&amp;TM[[#This Row],[Reporting Year]]&amp;"; "&amp;AH205&amp;TM[[#This Row],[Insurance Category Code]]&amp;"; "&amp;AI205&amp;TM[[#This Row],[Large Provider Entity Code]]</f>
        <v xml:space="preserve">Insurer Code ; Reporting Year ; Insurance Category Code ; Large Provider Entity Code </v>
      </c>
      <c r="AF205" s="297" t="s">
        <v>197</v>
      </c>
      <c r="AG205" s="297" t="s">
        <v>198</v>
      </c>
      <c r="AH205" s="297" t="s">
        <v>199</v>
      </c>
      <c r="AI205" s="297" t="s">
        <v>200</v>
      </c>
      <c r="AJ205" s="297"/>
      <c r="AK205" s="297"/>
      <c r="AL205" s="297"/>
      <c r="AM205" s="11"/>
      <c r="AN205" s="11"/>
      <c r="AO205" s="11"/>
    </row>
    <row r="206" spans="1:41" x14ac:dyDescent="0.4">
      <c r="A206" s="291"/>
      <c r="B206" s="292"/>
      <c r="C206" s="312"/>
      <c r="D206"/>
      <c r="E206" s="325"/>
      <c r="F206" s="143"/>
      <c r="G206" s="143"/>
      <c r="H206" s="143"/>
      <c r="I206" s="143"/>
      <c r="J206" s="143"/>
      <c r="K206" s="143"/>
      <c r="L206" s="143"/>
      <c r="M206" s="143"/>
      <c r="N206" s="143"/>
      <c r="O206" s="143"/>
      <c r="P206" s="143"/>
      <c r="Q206" s="143"/>
      <c r="R206" s="143"/>
      <c r="S206" s="143"/>
      <c r="T206" s="143"/>
      <c r="U206" s="143"/>
      <c r="V206" s="325"/>
      <c r="W206" s="393">
        <f t="shared" si="21"/>
        <v>0</v>
      </c>
      <c r="X206" s="393">
        <f t="shared" si="22"/>
        <v>0</v>
      </c>
      <c r="Y206" s="393">
        <f t="shared" si="23"/>
        <v>0</v>
      </c>
      <c r="Z206" s="393">
        <f t="shared" si="24"/>
        <v>0</v>
      </c>
      <c r="AA206" s="393">
        <f t="shared" si="25"/>
        <v>0</v>
      </c>
      <c r="AB206" s="393" t="e">
        <f t="shared" si="26"/>
        <v>#DIV/0!</v>
      </c>
      <c r="AC206" s="486" t="e">
        <f t="shared" si="27"/>
        <v>#DIV/0!</v>
      </c>
      <c r="AD206" s="11"/>
      <c r="AE206" s="301" t="str">
        <f>AF206&amp;TM[[#This Row],[Insurer Code]]&amp;"; "&amp;AG206&amp;TM[[#This Row],[Reporting Year]]&amp;"; "&amp;AH206&amp;TM[[#This Row],[Insurance Category Code]]&amp;"; "&amp;AI206&amp;TM[[#This Row],[Large Provider Entity Code]]</f>
        <v xml:space="preserve">Insurer Code ; Reporting Year ; Insurance Category Code ; Large Provider Entity Code </v>
      </c>
      <c r="AF206" s="297" t="s">
        <v>197</v>
      </c>
      <c r="AG206" s="297" t="s">
        <v>198</v>
      </c>
      <c r="AH206" s="297" t="s">
        <v>199</v>
      </c>
      <c r="AI206" s="297" t="s">
        <v>200</v>
      </c>
      <c r="AJ206" s="297"/>
      <c r="AK206" s="297"/>
      <c r="AL206" s="297"/>
      <c r="AM206" s="11"/>
      <c r="AN206" s="11"/>
      <c r="AO206" s="11"/>
    </row>
    <row r="207" spans="1:41" x14ac:dyDescent="0.4">
      <c r="A207" s="291"/>
      <c r="B207" s="292"/>
      <c r="C207" s="312"/>
      <c r="D207"/>
      <c r="E207" s="325"/>
      <c r="F207" s="143"/>
      <c r="G207" s="143"/>
      <c r="H207" s="143"/>
      <c r="I207" s="143"/>
      <c r="J207" s="143"/>
      <c r="K207" s="143"/>
      <c r="L207" s="143"/>
      <c r="M207" s="143"/>
      <c r="N207" s="143"/>
      <c r="O207" s="143"/>
      <c r="P207" s="143"/>
      <c r="Q207" s="143"/>
      <c r="R207" s="143"/>
      <c r="S207" s="143"/>
      <c r="T207" s="143"/>
      <c r="U207" s="143"/>
      <c r="V207" s="325"/>
      <c r="W207" s="393">
        <f t="shared" si="21"/>
        <v>0</v>
      </c>
      <c r="X207" s="393">
        <f t="shared" si="22"/>
        <v>0</v>
      </c>
      <c r="Y207" s="393">
        <f t="shared" si="23"/>
        <v>0</v>
      </c>
      <c r="Z207" s="393">
        <f t="shared" si="24"/>
        <v>0</v>
      </c>
      <c r="AA207" s="393">
        <f t="shared" si="25"/>
        <v>0</v>
      </c>
      <c r="AB207" s="393" t="e">
        <f t="shared" si="26"/>
        <v>#DIV/0!</v>
      </c>
      <c r="AC207" s="486" t="e">
        <f t="shared" si="27"/>
        <v>#DIV/0!</v>
      </c>
      <c r="AD207" s="11"/>
      <c r="AE207" s="301" t="str">
        <f>AF207&amp;TM[[#This Row],[Insurer Code]]&amp;"; "&amp;AG207&amp;TM[[#This Row],[Reporting Year]]&amp;"; "&amp;AH207&amp;TM[[#This Row],[Insurance Category Code]]&amp;"; "&amp;AI207&amp;TM[[#This Row],[Large Provider Entity Code]]</f>
        <v xml:space="preserve">Insurer Code ; Reporting Year ; Insurance Category Code ; Large Provider Entity Code </v>
      </c>
      <c r="AF207" s="297" t="s">
        <v>197</v>
      </c>
      <c r="AG207" s="297" t="s">
        <v>198</v>
      </c>
      <c r="AH207" s="297" t="s">
        <v>199</v>
      </c>
      <c r="AI207" s="297" t="s">
        <v>200</v>
      </c>
      <c r="AJ207" s="297"/>
      <c r="AK207" s="297"/>
      <c r="AL207" s="297"/>
      <c r="AM207" s="11"/>
      <c r="AN207" s="11"/>
      <c r="AO207" s="11"/>
    </row>
    <row r="208" spans="1:41" x14ac:dyDescent="0.4">
      <c r="A208" s="291"/>
      <c r="B208" s="292"/>
      <c r="C208" s="312"/>
      <c r="D208"/>
      <c r="E208" s="325"/>
      <c r="F208" s="143"/>
      <c r="G208" s="143"/>
      <c r="H208" s="143"/>
      <c r="I208" s="143"/>
      <c r="J208" s="143"/>
      <c r="K208" s="143"/>
      <c r="L208" s="143"/>
      <c r="M208" s="143"/>
      <c r="N208" s="143"/>
      <c r="O208" s="143"/>
      <c r="P208" s="143"/>
      <c r="Q208" s="143"/>
      <c r="R208" s="143"/>
      <c r="S208" s="143"/>
      <c r="T208" s="143"/>
      <c r="U208" s="143"/>
      <c r="V208" s="325"/>
      <c r="W208" s="393">
        <f t="shared" si="21"/>
        <v>0</v>
      </c>
      <c r="X208" s="393">
        <f t="shared" si="22"/>
        <v>0</v>
      </c>
      <c r="Y208" s="393">
        <f t="shared" si="23"/>
        <v>0</v>
      </c>
      <c r="Z208" s="393">
        <f t="shared" si="24"/>
        <v>0</v>
      </c>
      <c r="AA208" s="393">
        <f t="shared" si="25"/>
        <v>0</v>
      </c>
      <c r="AB208" s="393" t="e">
        <f t="shared" si="26"/>
        <v>#DIV/0!</v>
      </c>
      <c r="AC208" s="486" t="e">
        <f t="shared" si="27"/>
        <v>#DIV/0!</v>
      </c>
      <c r="AD208" s="11"/>
      <c r="AE208" s="301" t="str">
        <f>AF208&amp;TM[[#This Row],[Insurer Code]]&amp;"; "&amp;AG208&amp;TM[[#This Row],[Reporting Year]]&amp;"; "&amp;AH208&amp;TM[[#This Row],[Insurance Category Code]]&amp;"; "&amp;AI208&amp;TM[[#This Row],[Large Provider Entity Code]]</f>
        <v xml:space="preserve">Insurer Code ; Reporting Year ; Insurance Category Code ; Large Provider Entity Code </v>
      </c>
      <c r="AF208" s="297" t="s">
        <v>197</v>
      </c>
      <c r="AG208" s="297" t="s">
        <v>198</v>
      </c>
      <c r="AH208" s="297" t="s">
        <v>199</v>
      </c>
      <c r="AI208" s="297" t="s">
        <v>200</v>
      </c>
      <c r="AJ208" s="297"/>
      <c r="AK208" s="297"/>
      <c r="AL208" s="297"/>
      <c r="AM208" s="11"/>
      <c r="AN208" s="11"/>
      <c r="AO208" s="11"/>
    </row>
    <row r="209" spans="1:41" x14ac:dyDescent="0.4">
      <c r="A209" s="291"/>
      <c r="B209" s="292"/>
      <c r="C209" s="312"/>
      <c r="D209"/>
      <c r="E209" s="325"/>
      <c r="F209" s="143"/>
      <c r="G209" s="143"/>
      <c r="H209" s="143"/>
      <c r="I209" s="143"/>
      <c r="J209" s="143"/>
      <c r="K209" s="143"/>
      <c r="L209" s="143"/>
      <c r="M209" s="143"/>
      <c r="N209" s="143"/>
      <c r="O209" s="143"/>
      <c r="P209" s="143"/>
      <c r="Q209" s="143"/>
      <c r="R209" s="143"/>
      <c r="S209" s="143"/>
      <c r="T209" s="143"/>
      <c r="U209" s="143"/>
      <c r="V209" s="325"/>
      <c r="W209" s="393">
        <f t="shared" si="21"/>
        <v>0</v>
      </c>
      <c r="X209" s="393">
        <f t="shared" si="22"/>
        <v>0</v>
      </c>
      <c r="Y209" s="393">
        <f t="shared" si="23"/>
        <v>0</v>
      </c>
      <c r="Z209" s="393">
        <f t="shared" si="24"/>
        <v>0</v>
      </c>
      <c r="AA209" s="393">
        <f t="shared" si="25"/>
        <v>0</v>
      </c>
      <c r="AB209" s="393" t="e">
        <f t="shared" si="26"/>
        <v>#DIV/0!</v>
      </c>
      <c r="AC209" s="486" t="e">
        <f t="shared" si="27"/>
        <v>#DIV/0!</v>
      </c>
      <c r="AD209" s="11"/>
      <c r="AE209" s="301" t="str">
        <f>AF209&amp;TM[[#This Row],[Insurer Code]]&amp;"; "&amp;AG209&amp;TM[[#This Row],[Reporting Year]]&amp;"; "&amp;AH209&amp;TM[[#This Row],[Insurance Category Code]]&amp;"; "&amp;AI209&amp;TM[[#This Row],[Large Provider Entity Code]]</f>
        <v xml:space="preserve">Insurer Code ; Reporting Year ; Insurance Category Code ; Large Provider Entity Code </v>
      </c>
      <c r="AF209" s="297" t="s">
        <v>197</v>
      </c>
      <c r="AG209" s="297" t="s">
        <v>198</v>
      </c>
      <c r="AH209" s="297" t="s">
        <v>199</v>
      </c>
      <c r="AI209" s="297" t="s">
        <v>200</v>
      </c>
      <c r="AJ209" s="297"/>
      <c r="AK209" s="297"/>
      <c r="AL209" s="297"/>
      <c r="AM209" s="11"/>
      <c r="AN209" s="11"/>
      <c r="AO209" s="11"/>
    </row>
    <row r="210" spans="1:41" x14ac:dyDescent="0.4">
      <c r="A210" s="291"/>
      <c r="B210" s="292"/>
      <c r="C210" s="312"/>
      <c r="D210"/>
      <c r="E210" s="325"/>
      <c r="F210" s="143"/>
      <c r="G210" s="143"/>
      <c r="H210" s="143"/>
      <c r="I210" s="143"/>
      <c r="J210" s="143"/>
      <c r="K210" s="143"/>
      <c r="L210" s="143"/>
      <c r="M210" s="143"/>
      <c r="N210" s="143"/>
      <c r="O210" s="143"/>
      <c r="P210" s="143"/>
      <c r="Q210" s="143"/>
      <c r="R210" s="143"/>
      <c r="S210" s="143"/>
      <c r="T210" s="143"/>
      <c r="U210" s="143"/>
      <c r="V210" s="325"/>
      <c r="W210" s="393">
        <f t="shared" ref="W210:W273" si="28">SUM(F210:M210)</f>
        <v>0</v>
      </c>
      <c r="X210" s="393">
        <f t="shared" ref="X210:X273" si="29">SUM(N210:S210)</f>
        <v>0</v>
      </c>
      <c r="Y210" s="393">
        <f t="shared" ref="Y210:Y273" si="30">W210+X210</f>
        <v>0</v>
      </c>
      <c r="Z210" s="393">
        <f t="shared" ref="Z210:Z273" si="31">W210-U210</f>
        <v>0</v>
      </c>
      <c r="AA210" s="393">
        <f t="shared" ref="AA210:AA273" si="32">Z210+X210</f>
        <v>0</v>
      </c>
      <c r="AB210" s="393" t="e">
        <f t="shared" ref="AB210:AB273" si="33">Y210/E210</f>
        <v>#DIV/0!</v>
      </c>
      <c r="AC210" s="486" t="e">
        <f t="shared" ref="AC210:AC273" si="34">AA210/E210</f>
        <v>#DIV/0!</v>
      </c>
      <c r="AD210" s="11"/>
      <c r="AE210" s="301" t="str">
        <f>AF210&amp;TM[[#This Row],[Insurer Code]]&amp;"; "&amp;AG210&amp;TM[[#This Row],[Reporting Year]]&amp;"; "&amp;AH210&amp;TM[[#This Row],[Insurance Category Code]]&amp;"; "&amp;AI210&amp;TM[[#This Row],[Large Provider Entity Code]]</f>
        <v xml:space="preserve">Insurer Code ; Reporting Year ; Insurance Category Code ; Large Provider Entity Code </v>
      </c>
      <c r="AF210" s="297" t="s">
        <v>197</v>
      </c>
      <c r="AG210" s="297" t="s">
        <v>198</v>
      </c>
      <c r="AH210" s="297" t="s">
        <v>199</v>
      </c>
      <c r="AI210" s="297" t="s">
        <v>200</v>
      </c>
      <c r="AJ210" s="297"/>
      <c r="AK210" s="297"/>
      <c r="AL210" s="297"/>
      <c r="AM210" s="11"/>
      <c r="AN210" s="11"/>
      <c r="AO210" s="11"/>
    </row>
    <row r="211" spans="1:41" x14ac:dyDescent="0.4">
      <c r="A211" s="291"/>
      <c r="B211" s="292"/>
      <c r="C211" s="312"/>
      <c r="D211"/>
      <c r="E211" s="325"/>
      <c r="F211" s="143"/>
      <c r="G211" s="143"/>
      <c r="H211" s="143"/>
      <c r="I211" s="143"/>
      <c r="J211" s="143"/>
      <c r="K211" s="143"/>
      <c r="L211" s="143"/>
      <c r="M211" s="143"/>
      <c r="N211" s="143"/>
      <c r="O211" s="143"/>
      <c r="P211" s="143"/>
      <c r="Q211" s="143"/>
      <c r="R211" s="143"/>
      <c r="S211" s="143"/>
      <c r="T211" s="143"/>
      <c r="U211" s="143"/>
      <c r="V211" s="325"/>
      <c r="W211" s="393">
        <f t="shared" si="28"/>
        <v>0</v>
      </c>
      <c r="X211" s="393">
        <f t="shared" si="29"/>
        <v>0</v>
      </c>
      <c r="Y211" s="393">
        <f t="shared" si="30"/>
        <v>0</v>
      </c>
      <c r="Z211" s="393">
        <f t="shared" si="31"/>
        <v>0</v>
      </c>
      <c r="AA211" s="393">
        <f t="shared" si="32"/>
        <v>0</v>
      </c>
      <c r="AB211" s="393" t="e">
        <f t="shared" si="33"/>
        <v>#DIV/0!</v>
      </c>
      <c r="AC211" s="486" t="e">
        <f t="shared" si="34"/>
        <v>#DIV/0!</v>
      </c>
      <c r="AD211" s="11"/>
      <c r="AE211" s="301" t="str">
        <f>AF211&amp;TM[[#This Row],[Insurer Code]]&amp;"; "&amp;AG211&amp;TM[[#This Row],[Reporting Year]]&amp;"; "&amp;AH211&amp;TM[[#This Row],[Insurance Category Code]]&amp;"; "&amp;AI211&amp;TM[[#This Row],[Large Provider Entity Code]]</f>
        <v xml:space="preserve">Insurer Code ; Reporting Year ; Insurance Category Code ; Large Provider Entity Code </v>
      </c>
      <c r="AF211" s="297" t="s">
        <v>197</v>
      </c>
      <c r="AG211" s="297" t="s">
        <v>198</v>
      </c>
      <c r="AH211" s="297" t="s">
        <v>199</v>
      </c>
      <c r="AI211" s="297" t="s">
        <v>200</v>
      </c>
      <c r="AJ211" s="297"/>
      <c r="AK211" s="297"/>
      <c r="AL211" s="297"/>
      <c r="AM211" s="11"/>
      <c r="AN211" s="11"/>
      <c r="AO211" s="11"/>
    </row>
    <row r="212" spans="1:41" x14ac:dyDescent="0.4">
      <c r="A212" s="291"/>
      <c r="B212" s="292"/>
      <c r="C212" s="312"/>
      <c r="D212"/>
      <c r="E212" s="325"/>
      <c r="F212" s="143"/>
      <c r="G212" s="143"/>
      <c r="H212" s="143"/>
      <c r="I212" s="143"/>
      <c r="J212" s="143"/>
      <c r="K212" s="143"/>
      <c r="L212" s="143"/>
      <c r="M212" s="143"/>
      <c r="N212" s="143"/>
      <c r="O212" s="143"/>
      <c r="P212" s="143"/>
      <c r="Q212" s="143"/>
      <c r="R212" s="143"/>
      <c r="S212" s="143"/>
      <c r="T212" s="143"/>
      <c r="U212" s="143"/>
      <c r="V212" s="325"/>
      <c r="W212" s="393">
        <f t="shared" si="28"/>
        <v>0</v>
      </c>
      <c r="X212" s="393">
        <f t="shared" si="29"/>
        <v>0</v>
      </c>
      <c r="Y212" s="393">
        <f t="shared" si="30"/>
        <v>0</v>
      </c>
      <c r="Z212" s="393">
        <f t="shared" si="31"/>
        <v>0</v>
      </c>
      <c r="AA212" s="393">
        <f t="shared" si="32"/>
        <v>0</v>
      </c>
      <c r="AB212" s="393" t="e">
        <f t="shared" si="33"/>
        <v>#DIV/0!</v>
      </c>
      <c r="AC212" s="486" t="e">
        <f t="shared" si="34"/>
        <v>#DIV/0!</v>
      </c>
      <c r="AD212" s="11"/>
      <c r="AE212" s="301" t="str">
        <f>AF212&amp;TM[[#This Row],[Insurer Code]]&amp;"; "&amp;AG212&amp;TM[[#This Row],[Reporting Year]]&amp;"; "&amp;AH212&amp;TM[[#This Row],[Insurance Category Code]]&amp;"; "&amp;AI212&amp;TM[[#This Row],[Large Provider Entity Code]]</f>
        <v xml:space="preserve">Insurer Code ; Reporting Year ; Insurance Category Code ; Large Provider Entity Code </v>
      </c>
      <c r="AF212" s="297" t="s">
        <v>197</v>
      </c>
      <c r="AG212" s="297" t="s">
        <v>198</v>
      </c>
      <c r="AH212" s="297" t="s">
        <v>199</v>
      </c>
      <c r="AI212" s="297" t="s">
        <v>200</v>
      </c>
      <c r="AJ212" s="297"/>
      <c r="AK212" s="297"/>
      <c r="AL212" s="297"/>
      <c r="AM212" s="11"/>
      <c r="AN212" s="11"/>
      <c r="AO212" s="11"/>
    </row>
    <row r="213" spans="1:41" x14ac:dyDescent="0.4">
      <c r="A213" s="291"/>
      <c r="B213" s="292"/>
      <c r="C213" s="312"/>
      <c r="D213"/>
      <c r="E213" s="325"/>
      <c r="F213" s="143"/>
      <c r="G213" s="143"/>
      <c r="H213" s="143"/>
      <c r="I213" s="143"/>
      <c r="J213" s="143"/>
      <c r="K213" s="143"/>
      <c r="L213" s="143"/>
      <c r="M213" s="143"/>
      <c r="N213" s="143"/>
      <c r="O213" s="143"/>
      <c r="P213" s="143"/>
      <c r="Q213" s="143"/>
      <c r="R213" s="143"/>
      <c r="S213" s="143"/>
      <c r="T213" s="143"/>
      <c r="U213" s="143"/>
      <c r="V213" s="325"/>
      <c r="W213" s="393">
        <f t="shared" si="28"/>
        <v>0</v>
      </c>
      <c r="X213" s="393">
        <f t="shared" si="29"/>
        <v>0</v>
      </c>
      <c r="Y213" s="393">
        <f t="shared" si="30"/>
        <v>0</v>
      </c>
      <c r="Z213" s="393">
        <f t="shared" si="31"/>
        <v>0</v>
      </c>
      <c r="AA213" s="393">
        <f t="shared" si="32"/>
        <v>0</v>
      </c>
      <c r="AB213" s="393" t="e">
        <f t="shared" si="33"/>
        <v>#DIV/0!</v>
      </c>
      <c r="AC213" s="486" t="e">
        <f t="shared" si="34"/>
        <v>#DIV/0!</v>
      </c>
      <c r="AD213" s="11"/>
      <c r="AE213" s="301" t="str">
        <f>AF213&amp;TM[[#This Row],[Insurer Code]]&amp;"; "&amp;AG213&amp;TM[[#This Row],[Reporting Year]]&amp;"; "&amp;AH213&amp;TM[[#This Row],[Insurance Category Code]]&amp;"; "&amp;AI213&amp;TM[[#This Row],[Large Provider Entity Code]]</f>
        <v xml:space="preserve">Insurer Code ; Reporting Year ; Insurance Category Code ; Large Provider Entity Code </v>
      </c>
      <c r="AF213" s="297" t="s">
        <v>197</v>
      </c>
      <c r="AG213" s="297" t="s">
        <v>198</v>
      </c>
      <c r="AH213" s="297" t="s">
        <v>199</v>
      </c>
      <c r="AI213" s="297" t="s">
        <v>200</v>
      </c>
      <c r="AJ213" s="297"/>
      <c r="AK213" s="297"/>
      <c r="AL213" s="297"/>
      <c r="AM213" s="11"/>
      <c r="AN213" s="11"/>
      <c r="AO213" s="11"/>
    </row>
    <row r="214" spans="1:41" x14ac:dyDescent="0.4">
      <c r="A214" s="291"/>
      <c r="B214" s="292"/>
      <c r="C214" s="312"/>
      <c r="D214"/>
      <c r="E214" s="325"/>
      <c r="F214" s="143"/>
      <c r="G214" s="143"/>
      <c r="H214" s="143"/>
      <c r="I214" s="143"/>
      <c r="J214" s="143"/>
      <c r="K214" s="143"/>
      <c r="L214" s="143"/>
      <c r="M214" s="143"/>
      <c r="N214" s="143"/>
      <c r="O214" s="143"/>
      <c r="P214" s="143"/>
      <c r="Q214" s="143"/>
      <c r="R214" s="143"/>
      <c r="S214" s="143"/>
      <c r="T214" s="143"/>
      <c r="U214" s="143"/>
      <c r="V214" s="325"/>
      <c r="W214" s="393">
        <f t="shared" si="28"/>
        <v>0</v>
      </c>
      <c r="X214" s="393">
        <f t="shared" si="29"/>
        <v>0</v>
      </c>
      <c r="Y214" s="393">
        <f t="shared" si="30"/>
        <v>0</v>
      </c>
      <c r="Z214" s="393">
        <f t="shared" si="31"/>
        <v>0</v>
      </c>
      <c r="AA214" s="393">
        <f t="shared" si="32"/>
        <v>0</v>
      </c>
      <c r="AB214" s="393" t="e">
        <f t="shared" si="33"/>
        <v>#DIV/0!</v>
      </c>
      <c r="AC214" s="486" t="e">
        <f t="shared" si="34"/>
        <v>#DIV/0!</v>
      </c>
      <c r="AD214" s="11"/>
      <c r="AE214" s="301" t="str">
        <f>AF214&amp;TM[[#This Row],[Insurer Code]]&amp;"; "&amp;AG214&amp;TM[[#This Row],[Reporting Year]]&amp;"; "&amp;AH214&amp;TM[[#This Row],[Insurance Category Code]]&amp;"; "&amp;AI214&amp;TM[[#This Row],[Large Provider Entity Code]]</f>
        <v xml:space="preserve">Insurer Code ; Reporting Year ; Insurance Category Code ; Large Provider Entity Code </v>
      </c>
      <c r="AF214" s="297" t="s">
        <v>197</v>
      </c>
      <c r="AG214" s="297" t="s">
        <v>198</v>
      </c>
      <c r="AH214" s="297" t="s">
        <v>199</v>
      </c>
      <c r="AI214" s="297" t="s">
        <v>200</v>
      </c>
      <c r="AJ214" s="297"/>
      <c r="AK214" s="297"/>
      <c r="AL214" s="297"/>
      <c r="AM214" s="11"/>
      <c r="AN214" s="11"/>
      <c r="AO214" s="11"/>
    </row>
    <row r="215" spans="1:41" x14ac:dyDescent="0.4">
      <c r="A215" s="291"/>
      <c r="B215" s="292"/>
      <c r="C215" s="312"/>
      <c r="D215"/>
      <c r="E215" s="325"/>
      <c r="F215" s="143"/>
      <c r="G215" s="143"/>
      <c r="H215" s="143"/>
      <c r="I215" s="143"/>
      <c r="J215" s="143"/>
      <c r="K215" s="143"/>
      <c r="L215" s="143"/>
      <c r="M215" s="143"/>
      <c r="N215" s="143"/>
      <c r="O215" s="143"/>
      <c r="P215" s="143"/>
      <c r="Q215" s="143"/>
      <c r="R215" s="143"/>
      <c r="S215" s="143"/>
      <c r="T215" s="143"/>
      <c r="U215" s="143"/>
      <c r="V215" s="325"/>
      <c r="W215" s="393">
        <f t="shared" si="28"/>
        <v>0</v>
      </c>
      <c r="X215" s="393">
        <f t="shared" si="29"/>
        <v>0</v>
      </c>
      <c r="Y215" s="393">
        <f t="shared" si="30"/>
        <v>0</v>
      </c>
      <c r="Z215" s="393">
        <f t="shared" si="31"/>
        <v>0</v>
      </c>
      <c r="AA215" s="393">
        <f t="shared" si="32"/>
        <v>0</v>
      </c>
      <c r="AB215" s="393" t="e">
        <f t="shared" si="33"/>
        <v>#DIV/0!</v>
      </c>
      <c r="AC215" s="486" t="e">
        <f t="shared" si="34"/>
        <v>#DIV/0!</v>
      </c>
      <c r="AD215" s="11"/>
      <c r="AE215" s="301" t="str">
        <f>AF215&amp;TM[[#This Row],[Insurer Code]]&amp;"; "&amp;AG215&amp;TM[[#This Row],[Reporting Year]]&amp;"; "&amp;AH215&amp;TM[[#This Row],[Insurance Category Code]]&amp;"; "&amp;AI215&amp;TM[[#This Row],[Large Provider Entity Code]]</f>
        <v xml:space="preserve">Insurer Code ; Reporting Year ; Insurance Category Code ; Large Provider Entity Code </v>
      </c>
      <c r="AF215" s="297" t="s">
        <v>197</v>
      </c>
      <c r="AG215" s="297" t="s">
        <v>198</v>
      </c>
      <c r="AH215" s="297" t="s">
        <v>199</v>
      </c>
      <c r="AI215" s="297" t="s">
        <v>200</v>
      </c>
      <c r="AJ215" s="297"/>
      <c r="AK215" s="297"/>
      <c r="AL215" s="297"/>
      <c r="AM215" s="11"/>
      <c r="AN215" s="11"/>
      <c r="AO215" s="11"/>
    </row>
    <row r="216" spans="1:41" x14ac:dyDescent="0.4">
      <c r="A216" s="291"/>
      <c r="B216" s="292"/>
      <c r="C216" s="312"/>
      <c r="D216"/>
      <c r="E216" s="325"/>
      <c r="F216" s="143"/>
      <c r="G216" s="143"/>
      <c r="H216" s="143"/>
      <c r="I216" s="143"/>
      <c r="J216" s="143"/>
      <c r="K216" s="143"/>
      <c r="L216" s="143"/>
      <c r="M216" s="143"/>
      <c r="N216" s="143"/>
      <c r="O216" s="143"/>
      <c r="P216" s="143"/>
      <c r="Q216" s="143"/>
      <c r="R216" s="143"/>
      <c r="S216" s="143"/>
      <c r="T216" s="143"/>
      <c r="U216" s="143"/>
      <c r="V216" s="325"/>
      <c r="W216" s="393">
        <f t="shared" si="28"/>
        <v>0</v>
      </c>
      <c r="X216" s="393">
        <f t="shared" si="29"/>
        <v>0</v>
      </c>
      <c r="Y216" s="393">
        <f t="shared" si="30"/>
        <v>0</v>
      </c>
      <c r="Z216" s="393">
        <f t="shared" si="31"/>
        <v>0</v>
      </c>
      <c r="AA216" s="393">
        <f t="shared" si="32"/>
        <v>0</v>
      </c>
      <c r="AB216" s="393" t="e">
        <f t="shared" si="33"/>
        <v>#DIV/0!</v>
      </c>
      <c r="AC216" s="486" t="e">
        <f t="shared" si="34"/>
        <v>#DIV/0!</v>
      </c>
      <c r="AD216" s="11"/>
      <c r="AE216" s="301" t="str">
        <f>AF216&amp;TM[[#This Row],[Insurer Code]]&amp;"; "&amp;AG216&amp;TM[[#This Row],[Reporting Year]]&amp;"; "&amp;AH216&amp;TM[[#This Row],[Insurance Category Code]]&amp;"; "&amp;AI216&amp;TM[[#This Row],[Large Provider Entity Code]]</f>
        <v xml:space="preserve">Insurer Code ; Reporting Year ; Insurance Category Code ; Large Provider Entity Code </v>
      </c>
      <c r="AF216" s="297" t="s">
        <v>197</v>
      </c>
      <c r="AG216" s="297" t="s">
        <v>198</v>
      </c>
      <c r="AH216" s="297" t="s">
        <v>199</v>
      </c>
      <c r="AI216" s="297" t="s">
        <v>200</v>
      </c>
      <c r="AJ216" s="297"/>
      <c r="AK216" s="297"/>
      <c r="AL216" s="297"/>
      <c r="AM216" s="11"/>
      <c r="AN216" s="11"/>
      <c r="AO216" s="11"/>
    </row>
    <row r="217" spans="1:41" x14ac:dyDescent="0.4">
      <c r="A217" s="291"/>
      <c r="B217" s="292"/>
      <c r="C217" s="312"/>
      <c r="D217"/>
      <c r="E217" s="325"/>
      <c r="F217" s="143"/>
      <c r="G217" s="143"/>
      <c r="H217" s="143"/>
      <c r="I217" s="143"/>
      <c r="J217" s="143"/>
      <c r="K217" s="143"/>
      <c r="L217" s="143"/>
      <c r="M217" s="143"/>
      <c r="N217" s="143"/>
      <c r="O217" s="143"/>
      <c r="P217" s="143"/>
      <c r="Q217" s="143"/>
      <c r="R217" s="143"/>
      <c r="S217" s="143"/>
      <c r="T217" s="143"/>
      <c r="U217" s="143"/>
      <c r="V217" s="325"/>
      <c r="W217" s="393">
        <f t="shared" si="28"/>
        <v>0</v>
      </c>
      <c r="X217" s="393">
        <f t="shared" si="29"/>
        <v>0</v>
      </c>
      <c r="Y217" s="393">
        <f t="shared" si="30"/>
        <v>0</v>
      </c>
      <c r="Z217" s="393">
        <f t="shared" si="31"/>
        <v>0</v>
      </c>
      <c r="AA217" s="393">
        <f t="shared" si="32"/>
        <v>0</v>
      </c>
      <c r="AB217" s="393" t="e">
        <f t="shared" si="33"/>
        <v>#DIV/0!</v>
      </c>
      <c r="AC217" s="486" t="e">
        <f t="shared" si="34"/>
        <v>#DIV/0!</v>
      </c>
      <c r="AD217" s="11"/>
      <c r="AE217" s="301" t="str">
        <f>AF217&amp;TM[[#This Row],[Insurer Code]]&amp;"; "&amp;AG217&amp;TM[[#This Row],[Reporting Year]]&amp;"; "&amp;AH217&amp;TM[[#This Row],[Insurance Category Code]]&amp;"; "&amp;AI217&amp;TM[[#This Row],[Large Provider Entity Code]]</f>
        <v xml:space="preserve">Insurer Code ; Reporting Year ; Insurance Category Code ; Large Provider Entity Code </v>
      </c>
      <c r="AF217" s="297" t="s">
        <v>197</v>
      </c>
      <c r="AG217" s="297" t="s">
        <v>198</v>
      </c>
      <c r="AH217" s="297" t="s">
        <v>199</v>
      </c>
      <c r="AI217" s="297" t="s">
        <v>200</v>
      </c>
      <c r="AJ217" s="297"/>
      <c r="AK217" s="297"/>
      <c r="AL217" s="297"/>
      <c r="AM217" s="11"/>
      <c r="AN217" s="11"/>
      <c r="AO217" s="11"/>
    </row>
    <row r="218" spans="1:41" x14ac:dyDescent="0.4">
      <c r="A218" s="291"/>
      <c r="B218" s="292"/>
      <c r="C218" s="312"/>
      <c r="D218"/>
      <c r="E218" s="325"/>
      <c r="F218" s="143"/>
      <c r="G218" s="143"/>
      <c r="H218" s="143"/>
      <c r="I218" s="143"/>
      <c r="J218" s="143"/>
      <c r="K218" s="143"/>
      <c r="L218" s="143"/>
      <c r="M218" s="143"/>
      <c r="N218" s="143"/>
      <c r="O218" s="143"/>
      <c r="P218" s="143"/>
      <c r="Q218" s="143"/>
      <c r="R218" s="143"/>
      <c r="S218" s="143"/>
      <c r="T218" s="143"/>
      <c r="U218" s="143"/>
      <c r="V218" s="325"/>
      <c r="W218" s="393">
        <f t="shared" si="28"/>
        <v>0</v>
      </c>
      <c r="X218" s="393">
        <f t="shared" si="29"/>
        <v>0</v>
      </c>
      <c r="Y218" s="393">
        <f t="shared" si="30"/>
        <v>0</v>
      </c>
      <c r="Z218" s="393">
        <f t="shared" si="31"/>
        <v>0</v>
      </c>
      <c r="AA218" s="393">
        <f t="shared" si="32"/>
        <v>0</v>
      </c>
      <c r="AB218" s="393" t="e">
        <f t="shared" si="33"/>
        <v>#DIV/0!</v>
      </c>
      <c r="AC218" s="486" t="e">
        <f t="shared" si="34"/>
        <v>#DIV/0!</v>
      </c>
      <c r="AD218" s="11"/>
      <c r="AE218" s="301" t="str">
        <f>AF218&amp;TM[[#This Row],[Insurer Code]]&amp;"; "&amp;AG218&amp;TM[[#This Row],[Reporting Year]]&amp;"; "&amp;AH218&amp;TM[[#This Row],[Insurance Category Code]]&amp;"; "&amp;AI218&amp;TM[[#This Row],[Large Provider Entity Code]]</f>
        <v xml:space="preserve">Insurer Code ; Reporting Year ; Insurance Category Code ; Large Provider Entity Code </v>
      </c>
      <c r="AF218" s="297" t="s">
        <v>197</v>
      </c>
      <c r="AG218" s="297" t="s">
        <v>198</v>
      </c>
      <c r="AH218" s="297" t="s">
        <v>199</v>
      </c>
      <c r="AI218" s="297" t="s">
        <v>200</v>
      </c>
      <c r="AJ218" s="297"/>
      <c r="AK218" s="297"/>
      <c r="AL218" s="297"/>
      <c r="AM218" s="11"/>
      <c r="AN218" s="11"/>
      <c r="AO218" s="11"/>
    </row>
    <row r="219" spans="1:41" x14ac:dyDescent="0.4">
      <c r="A219" s="291"/>
      <c r="B219" s="292"/>
      <c r="C219" s="312"/>
      <c r="D219"/>
      <c r="E219" s="325"/>
      <c r="F219" s="143"/>
      <c r="G219" s="143"/>
      <c r="H219" s="143"/>
      <c r="I219" s="143"/>
      <c r="J219" s="143"/>
      <c r="K219" s="143"/>
      <c r="L219" s="143"/>
      <c r="M219" s="143"/>
      <c r="N219" s="143"/>
      <c r="O219" s="143"/>
      <c r="P219" s="143"/>
      <c r="Q219" s="143"/>
      <c r="R219" s="143"/>
      <c r="S219" s="143"/>
      <c r="T219" s="143"/>
      <c r="U219" s="143"/>
      <c r="V219" s="325"/>
      <c r="W219" s="393">
        <f t="shared" si="28"/>
        <v>0</v>
      </c>
      <c r="X219" s="393">
        <f t="shared" si="29"/>
        <v>0</v>
      </c>
      <c r="Y219" s="393">
        <f t="shared" si="30"/>
        <v>0</v>
      </c>
      <c r="Z219" s="393">
        <f t="shared" si="31"/>
        <v>0</v>
      </c>
      <c r="AA219" s="393">
        <f t="shared" si="32"/>
        <v>0</v>
      </c>
      <c r="AB219" s="393" t="e">
        <f t="shared" si="33"/>
        <v>#DIV/0!</v>
      </c>
      <c r="AC219" s="486" t="e">
        <f t="shared" si="34"/>
        <v>#DIV/0!</v>
      </c>
      <c r="AD219" s="11"/>
      <c r="AE219" s="301" t="str">
        <f>AF219&amp;TM[[#This Row],[Insurer Code]]&amp;"; "&amp;AG219&amp;TM[[#This Row],[Reporting Year]]&amp;"; "&amp;AH219&amp;TM[[#This Row],[Insurance Category Code]]&amp;"; "&amp;AI219&amp;TM[[#This Row],[Large Provider Entity Code]]</f>
        <v xml:space="preserve">Insurer Code ; Reporting Year ; Insurance Category Code ; Large Provider Entity Code </v>
      </c>
      <c r="AF219" s="297" t="s">
        <v>197</v>
      </c>
      <c r="AG219" s="297" t="s">
        <v>198</v>
      </c>
      <c r="AH219" s="297" t="s">
        <v>199</v>
      </c>
      <c r="AI219" s="297" t="s">
        <v>200</v>
      </c>
      <c r="AJ219" s="297"/>
      <c r="AK219" s="297"/>
      <c r="AL219" s="297"/>
      <c r="AM219" s="11"/>
      <c r="AN219" s="11"/>
      <c r="AO219" s="11"/>
    </row>
    <row r="220" spans="1:41" x14ac:dyDescent="0.4">
      <c r="A220" s="291"/>
      <c r="B220" s="292"/>
      <c r="C220" s="312"/>
      <c r="D220"/>
      <c r="E220" s="325"/>
      <c r="F220" s="143"/>
      <c r="G220" s="143"/>
      <c r="H220" s="143"/>
      <c r="I220" s="143"/>
      <c r="J220" s="143"/>
      <c r="K220" s="143"/>
      <c r="L220" s="143"/>
      <c r="M220" s="143"/>
      <c r="N220" s="143"/>
      <c r="O220" s="143"/>
      <c r="P220" s="143"/>
      <c r="Q220" s="143"/>
      <c r="R220" s="143"/>
      <c r="S220" s="143"/>
      <c r="T220" s="143"/>
      <c r="U220" s="143"/>
      <c r="V220" s="325"/>
      <c r="W220" s="393">
        <f t="shared" si="28"/>
        <v>0</v>
      </c>
      <c r="X220" s="393">
        <f t="shared" si="29"/>
        <v>0</v>
      </c>
      <c r="Y220" s="393">
        <f t="shared" si="30"/>
        <v>0</v>
      </c>
      <c r="Z220" s="393">
        <f t="shared" si="31"/>
        <v>0</v>
      </c>
      <c r="AA220" s="393">
        <f t="shared" si="32"/>
        <v>0</v>
      </c>
      <c r="AB220" s="393" t="e">
        <f t="shared" si="33"/>
        <v>#DIV/0!</v>
      </c>
      <c r="AC220" s="486" t="e">
        <f t="shared" si="34"/>
        <v>#DIV/0!</v>
      </c>
      <c r="AD220" s="11"/>
      <c r="AE220" s="301" t="str">
        <f>AF220&amp;TM[[#This Row],[Insurer Code]]&amp;"; "&amp;AG220&amp;TM[[#This Row],[Reporting Year]]&amp;"; "&amp;AH220&amp;TM[[#This Row],[Insurance Category Code]]&amp;"; "&amp;AI220&amp;TM[[#This Row],[Large Provider Entity Code]]</f>
        <v xml:space="preserve">Insurer Code ; Reporting Year ; Insurance Category Code ; Large Provider Entity Code </v>
      </c>
      <c r="AF220" s="297" t="s">
        <v>197</v>
      </c>
      <c r="AG220" s="297" t="s">
        <v>198</v>
      </c>
      <c r="AH220" s="297" t="s">
        <v>199</v>
      </c>
      <c r="AI220" s="297" t="s">
        <v>200</v>
      </c>
      <c r="AJ220" s="297"/>
      <c r="AK220" s="297"/>
      <c r="AL220" s="297"/>
      <c r="AM220" s="11"/>
      <c r="AN220" s="11"/>
      <c r="AO220" s="11"/>
    </row>
    <row r="221" spans="1:41" x14ac:dyDescent="0.4">
      <c r="A221" s="291"/>
      <c r="B221" s="292"/>
      <c r="C221" s="312"/>
      <c r="D221"/>
      <c r="E221" s="325"/>
      <c r="F221" s="143"/>
      <c r="G221" s="143"/>
      <c r="H221" s="143"/>
      <c r="I221" s="143"/>
      <c r="J221" s="143"/>
      <c r="K221" s="143"/>
      <c r="L221" s="143"/>
      <c r="M221" s="143"/>
      <c r="N221" s="143"/>
      <c r="O221" s="143"/>
      <c r="P221" s="143"/>
      <c r="Q221" s="143"/>
      <c r="R221" s="143"/>
      <c r="S221" s="143"/>
      <c r="T221" s="143"/>
      <c r="U221" s="143"/>
      <c r="V221" s="325"/>
      <c r="W221" s="393">
        <f t="shared" si="28"/>
        <v>0</v>
      </c>
      <c r="X221" s="393">
        <f t="shared" si="29"/>
        <v>0</v>
      </c>
      <c r="Y221" s="393">
        <f t="shared" si="30"/>
        <v>0</v>
      </c>
      <c r="Z221" s="393">
        <f t="shared" si="31"/>
        <v>0</v>
      </c>
      <c r="AA221" s="393">
        <f t="shared" si="32"/>
        <v>0</v>
      </c>
      <c r="AB221" s="393" t="e">
        <f t="shared" si="33"/>
        <v>#DIV/0!</v>
      </c>
      <c r="AC221" s="486" t="e">
        <f t="shared" si="34"/>
        <v>#DIV/0!</v>
      </c>
      <c r="AD221" s="11"/>
      <c r="AE221" s="301" t="str">
        <f>AF221&amp;TM[[#This Row],[Insurer Code]]&amp;"; "&amp;AG221&amp;TM[[#This Row],[Reporting Year]]&amp;"; "&amp;AH221&amp;TM[[#This Row],[Insurance Category Code]]&amp;"; "&amp;AI221&amp;TM[[#This Row],[Large Provider Entity Code]]</f>
        <v xml:space="preserve">Insurer Code ; Reporting Year ; Insurance Category Code ; Large Provider Entity Code </v>
      </c>
      <c r="AF221" s="297" t="s">
        <v>197</v>
      </c>
      <c r="AG221" s="297" t="s">
        <v>198</v>
      </c>
      <c r="AH221" s="297" t="s">
        <v>199</v>
      </c>
      <c r="AI221" s="297" t="s">
        <v>200</v>
      </c>
      <c r="AJ221" s="297"/>
      <c r="AK221" s="297"/>
      <c r="AL221" s="297"/>
      <c r="AM221" s="11"/>
      <c r="AN221" s="11"/>
      <c r="AO221" s="11"/>
    </row>
    <row r="222" spans="1:41" x14ac:dyDescent="0.4">
      <c r="A222" s="291"/>
      <c r="B222" s="292"/>
      <c r="C222" s="312"/>
      <c r="D222"/>
      <c r="E222" s="325"/>
      <c r="F222" s="143"/>
      <c r="G222" s="143"/>
      <c r="H222" s="143"/>
      <c r="I222" s="143"/>
      <c r="J222" s="143"/>
      <c r="K222" s="143"/>
      <c r="L222" s="143"/>
      <c r="M222" s="143"/>
      <c r="N222" s="143"/>
      <c r="O222" s="143"/>
      <c r="P222" s="143"/>
      <c r="Q222" s="143"/>
      <c r="R222" s="143"/>
      <c r="S222" s="143"/>
      <c r="T222" s="143"/>
      <c r="U222" s="143"/>
      <c r="V222" s="325"/>
      <c r="W222" s="393">
        <f t="shared" si="28"/>
        <v>0</v>
      </c>
      <c r="X222" s="393">
        <f t="shared" si="29"/>
        <v>0</v>
      </c>
      <c r="Y222" s="393">
        <f t="shared" si="30"/>
        <v>0</v>
      </c>
      <c r="Z222" s="393">
        <f t="shared" si="31"/>
        <v>0</v>
      </c>
      <c r="AA222" s="393">
        <f t="shared" si="32"/>
        <v>0</v>
      </c>
      <c r="AB222" s="393" t="e">
        <f t="shared" si="33"/>
        <v>#DIV/0!</v>
      </c>
      <c r="AC222" s="486" t="e">
        <f t="shared" si="34"/>
        <v>#DIV/0!</v>
      </c>
      <c r="AD222" s="11"/>
      <c r="AE222" s="301" t="str">
        <f>AF222&amp;TM[[#This Row],[Insurer Code]]&amp;"; "&amp;AG222&amp;TM[[#This Row],[Reporting Year]]&amp;"; "&amp;AH222&amp;TM[[#This Row],[Insurance Category Code]]&amp;"; "&amp;AI222&amp;TM[[#This Row],[Large Provider Entity Code]]</f>
        <v xml:space="preserve">Insurer Code ; Reporting Year ; Insurance Category Code ; Large Provider Entity Code </v>
      </c>
      <c r="AF222" s="297" t="s">
        <v>197</v>
      </c>
      <c r="AG222" s="297" t="s">
        <v>198</v>
      </c>
      <c r="AH222" s="297" t="s">
        <v>199</v>
      </c>
      <c r="AI222" s="297" t="s">
        <v>200</v>
      </c>
      <c r="AJ222" s="297"/>
      <c r="AK222" s="297"/>
      <c r="AL222" s="297"/>
      <c r="AM222" s="11"/>
      <c r="AN222" s="11"/>
      <c r="AO222" s="11"/>
    </row>
    <row r="223" spans="1:41" x14ac:dyDescent="0.4">
      <c r="A223" s="291"/>
      <c r="B223" s="292"/>
      <c r="C223" s="312"/>
      <c r="D223"/>
      <c r="E223" s="325"/>
      <c r="F223" s="143"/>
      <c r="G223" s="143"/>
      <c r="H223" s="143"/>
      <c r="I223" s="143"/>
      <c r="J223" s="143"/>
      <c r="K223" s="143"/>
      <c r="L223" s="143"/>
      <c r="M223" s="143"/>
      <c r="N223" s="143"/>
      <c r="O223" s="143"/>
      <c r="P223" s="143"/>
      <c r="Q223" s="143"/>
      <c r="R223" s="143"/>
      <c r="S223" s="143"/>
      <c r="T223" s="143"/>
      <c r="U223" s="143"/>
      <c r="V223" s="325"/>
      <c r="W223" s="393">
        <f t="shared" si="28"/>
        <v>0</v>
      </c>
      <c r="X223" s="393">
        <f t="shared" si="29"/>
        <v>0</v>
      </c>
      <c r="Y223" s="393">
        <f t="shared" si="30"/>
        <v>0</v>
      </c>
      <c r="Z223" s="393">
        <f t="shared" si="31"/>
        <v>0</v>
      </c>
      <c r="AA223" s="393">
        <f t="shared" si="32"/>
        <v>0</v>
      </c>
      <c r="AB223" s="393" t="e">
        <f t="shared" si="33"/>
        <v>#DIV/0!</v>
      </c>
      <c r="AC223" s="486" t="e">
        <f t="shared" si="34"/>
        <v>#DIV/0!</v>
      </c>
      <c r="AD223" s="11"/>
      <c r="AE223" s="301" t="str">
        <f>AF223&amp;TM[[#This Row],[Insurer Code]]&amp;"; "&amp;AG223&amp;TM[[#This Row],[Reporting Year]]&amp;"; "&amp;AH223&amp;TM[[#This Row],[Insurance Category Code]]&amp;"; "&amp;AI223&amp;TM[[#This Row],[Large Provider Entity Code]]</f>
        <v xml:space="preserve">Insurer Code ; Reporting Year ; Insurance Category Code ; Large Provider Entity Code </v>
      </c>
      <c r="AF223" s="297" t="s">
        <v>197</v>
      </c>
      <c r="AG223" s="297" t="s">
        <v>198</v>
      </c>
      <c r="AH223" s="297" t="s">
        <v>199</v>
      </c>
      <c r="AI223" s="297" t="s">
        <v>200</v>
      </c>
      <c r="AJ223" s="297"/>
      <c r="AK223" s="297"/>
      <c r="AL223" s="297"/>
      <c r="AM223" s="11"/>
      <c r="AN223" s="11"/>
      <c r="AO223" s="11"/>
    </row>
    <row r="224" spans="1:41" x14ac:dyDescent="0.4">
      <c r="A224" s="291"/>
      <c r="B224" s="292"/>
      <c r="C224" s="312"/>
      <c r="D224"/>
      <c r="E224" s="325"/>
      <c r="F224" s="143"/>
      <c r="G224" s="143"/>
      <c r="H224" s="143"/>
      <c r="I224" s="143"/>
      <c r="J224" s="143"/>
      <c r="K224" s="143"/>
      <c r="L224" s="143"/>
      <c r="M224" s="143"/>
      <c r="N224" s="143"/>
      <c r="O224" s="143"/>
      <c r="P224" s="143"/>
      <c r="Q224" s="143"/>
      <c r="R224" s="143"/>
      <c r="S224" s="143"/>
      <c r="T224" s="143"/>
      <c r="U224" s="143"/>
      <c r="V224" s="325"/>
      <c r="W224" s="393">
        <f t="shared" si="28"/>
        <v>0</v>
      </c>
      <c r="X224" s="393">
        <f t="shared" si="29"/>
        <v>0</v>
      </c>
      <c r="Y224" s="393">
        <f t="shared" si="30"/>
        <v>0</v>
      </c>
      <c r="Z224" s="393">
        <f t="shared" si="31"/>
        <v>0</v>
      </c>
      <c r="AA224" s="393">
        <f t="shared" si="32"/>
        <v>0</v>
      </c>
      <c r="AB224" s="393" t="e">
        <f t="shared" si="33"/>
        <v>#DIV/0!</v>
      </c>
      <c r="AC224" s="486" t="e">
        <f t="shared" si="34"/>
        <v>#DIV/0!</v>
      </c>
      <c r="AD224" s="11"/>
      <c r="AE224" s="301" t="str">
        <f>AF224&amp;TM[[#This Row],[Insurer Code]]&amp;"; "&amp;AG224&amp;TM[[#This Row],[Reporting Year]]&amp;"; "&amp;AH224&amp;TM[[#This Row],[Insurance Category Code]]&amp;"; "&amp;AI224&amp;TM[[#This Row],[Large Provider Entity Code]]</f>
        <v xml:space="preserve">Insurer Code ; Reporting Year ; Insurance Category Code ; Large Provider Entity Code </v>
      </c>
      <c r="AF224" s="297" t="s">
        <v>197</v>
      </c>
      <c r="AG224" s="297" t="s">
        <v>198</v>
      </c>
      <c r="AH224" s="297" t="s">
        <v>199</v>
      </c>
      <c r="AI224" s="297" t="s">
        <v>200</v>
      </c>
      <c r="AJ224" s="297"/>
      <c r="AK224" s="297"/>
      <c r="AL224" s="297"/>
      <c r="AM224" s="11"/>
      <c r="AN224" s="11"/>
      <c r="AO224" s="11"/>
    </row>
    <row r="225" spans="1:41" x14ac:dyDescent="0.4">
      <c r="A225" s="291"/>
      <c r="B225" s="292"/>
      <c r="C225" s="312"/>
      <c r="D225"/>
      <c r="E225" s="325"/>
      <c r="F225" s="143"/>
      <c r="G225" s="143"/>
      <c r="H225" s="143"/>
      <c r="I225" s="143"/>
      <c r="J225" s="143"/>
      <c r="K225" s="143"/>
      <c r="L225" s="143"/>
      <c r="M225" s="143"/>
      <c r="N225" s="143"/>
      <c r="O225" s="143"/>
      <c r="P225" s="143"/>
      <c r="Q225" s="143"/>
      <c r="R225" s="143"/>
      <c r="S225" s="143"/>
      <c r="T225" s="143"/>
      <c r="U225" s="143"/>
      <c r="V225" s="325"/>
      <c r="W225" s="393">
        <f t="shared" si="28"/>
        <v>0</v>
      </c>
      <c r="X225" s="393">
        <f t="shared" si="29"/>
        <v>0</v>
      </c>
      <c r="Y225" s="393">
        <f t="shared" si="30"/>
        <v>0</v>
      </c>
      <c r="Z225" s="393">
        <f t="shared" si="31"/>
        <v>0</v>
      </c>
      <c r="AA225" s="393">
        <f t="shared" si="32"/>
        <v>0</v>
      </c>
      <c r="AB225" s="393" t="e">
        <f t="shared" si="33"/>
        <v>#DIV/0!</v>
      </c>
      <c r="AC225" s="486" t="e">
        <f t="shared" si="34"/>
        <v>#DIV/0!</v>
      </c>
      <c r="AD225" s="11"/>
      <c r="AE225" s="301" t="str">
        <f>AF225&amp;TM[[#This Row],[Insurer Code]]&amp;"; "&amp;AG225&amp;TM[[#This Row],[Reporting Year]]&amp;"; "&amp;AH225&amp;TM[[#This Row],[Insurance Category Code]]&amp;"; "&amp;AI225&amp;TM[[#This Row],[Large Provider Entity Code]]</f>
        <v xml:space="preserve">Insurer Code ; Reporting Year ; Insurance Category Code ; Large Provider Entity Code </v>
      </c>
      <c r="AF225" s="297" t="s">
        <v>197</v>
      </c>
      <c r="AG225" s="297" t="s">
        <v>198</v>
      </c>
      <c r="AH225" s="297" t="s">
        <v>199</v>
      </c>
      <c r="AI225" s="297" t="s">
        <v>200</v>
      </c>
      <c r="AJ225" s="297"/>
      <c r="AK225" s="297"/>
      <c r="AL225" s="297"/>
      <c r="AM225" s="11"/>
      <c r="AN225" s="11"/>
      <c r="AO225" s="11"/>
    </row>
    <row r="226" spans="1:41" x14ac:dyDescent="0.4">
      <c r="A226" s="291"/>
      <c r="B226" s="292"/>
      <c r="C226" s="312"/>
      <c r="D226"/>
      <c r="E226" s="325"/>
      <c r="F226" s="143"/>
      <c r="G226" s="143"/>
      <c r="H226" s="143"/>
      <c r="I226" s="143"/>
      <c r="J226" s="143"/>
      <c r="K226" s="143"/>
      <c r="L226" s="143"/>
      <c r="M226" s="143"/>
      <c r="N226" s="143"/>
      <c r="O226" s="143"/>
      <c r="P226" s="143"/>
      <c r="Q226" s="143"/>
      <c r="R226" s="143"/>
      <c r="S226" s="143"/>
      <c r="T226" s="143"/>
      <c r="U226" s="143"/>
      <c r="V226" s="325"/>
      <c r="W226" s="393">
        <f t="shared" si="28"/>
        <v>0</v>
      </c>
      <c r="X226" s="393">
        <f t="shared" si="29"/>
        <v>0</v>
      </c>
      <c r="Y226" s="393">
        <f t="shared" si="30"/>
        <v>0</v>
      </c>
      <c r="Z226" s="393">
        <f t="shared" si="31"/>
        <v>0</v>
      </c>
      <c r="AA226" s="393">
        <f t="shared" si="32"/>
        <v>0</v>
      </c>
      <c r="AB226" s="393" t="e">
        <f t="shared" si="33"/>
        <v>#DIV/0!</v>
      </c>
      <c r="AC226" s="486" t="e">
        <f t="shared" si="34"/>
        <v>#DIV/0!</v>
      </c>
      <c r="AD226" s="11"/>
      <c r="AE226" s="301" t="str">
        <f>AF226&amp;TM[[#This Row],[Insurer Code]]&amp;"; "&amp;AG226&amp;TM[[#This Row],[Reporting Year]]&amp;"; "&amp;AH226&amp;TM[[#This Row],[Insurance Category Code]]&amp;"; "&amp;AI226&amp;TM[[#This Row],[Large Provider Entity Code]]</f>
        <v xml:space="preserve">Insurer Code ; Reporting Year ; Insurance Category Code ; Large Provider Entity Code </v>
      </c>
      <c r="AF226" s="297" t="s">
        <v>197</v>
      </c>
      <c r="AG226" s="297" t="s">
        <v>198</v>
      </c>
      <c r="AH226" s="297" t="s">
        <v>199</v>
      </c>
      <c r="AI226" s="297" t="s">
        <v>200</v>
      </c>
      <c r="AJ226" s="297"/>
      <c r="AK226" s="297"/>
      <c r="AL226" s="297"/>
      <c r="AM226" s="11"/>
      <c r="AN226" s="11"/>
      <c r="AO226" s="11"/>
    </row>
    <row r="227" spans="1:41" x14ac:dyDescent="0.4">
      <c r="A227" s="291"/>
      <c r="B227" s="292"/>
      <c r="C227" s="312"/>
      <c r="D227"/>
      <c r="E227" s="325"/>
      <c r="F227" s="143"/>
      <c r="G227" s="143"/>
      <c r="H227" s="143"/>
      <c r="I227" s="143"/>
      <c r="J227" s="143"/>
      <c r="K227" s="143"/>
      <c r="L227" s="143"/>
      <c r="M227" s="143"/>
      <c r="N227" s="143"/>
      <c r="O227" s="143"/>
      <c r="P227" s="143"/>
      <c r="Q227" s="143"/>
      <c r="R227" s="143"/>
      <c r="S227" s="143"/>
      <c r="T227" s="143"/>
      <c r="U227" s="143"/>
      <c r="V227" s="325"/>
      <c r="W227" s="393">
        <f t="shared" si="28"/>
        <v>0</v>
      </c>
      <c r="X227" s="393">
        <f t="shared" si="29"/>
        <v>0</v>
      </c>
      <c r="Y227" s="393">
        <f t="shared" si="30"/>
        <v>0</v>
      </c>
      <c r="Z227" s="393">
        <f t="shared" si="31"/>
        <v>0</v>
      </c>
      <c r="AA227" s="393">
        <f t="shared" si="32"/>
        <v>0</v>
      </c>
      <c r="AB227" s="393" t="e">
        <f t="shared" si="33"/>
        <v>#DIV/0!</v>
      </c>
      <c r="AC227" s="486" t="e">
        <f t="shared" si="34"/>
        <v>#DIV/0!</v>
      </c>
      <c r="AD227" s="11"/>
      <c r="AE227" s="301" t="str">
        <f>AF227&amp;TM[[#This Row],[Insurer Code]]&amp;"; "&amp;AG227&amp;TM[[#This Row],[Reporting Year]]&amp;"; "&amp;AH227&amp;TM[[#This Row],[Insurance Category Code]]&amp;"; "&amp;AI227&amp;TM[[#This Row],[Large Provider Entity Code]]</f>
        <v xml:space="preserve">Insurer Code ; Reporting Year ; Insurance Category Code ; Large Provider Entity Code </v>
      </c>
      <c r="AF227" s="297" t="s">
        <v>197</v>
      </c>
      <c r="AG227" s="297" t="s">
        <v>198</v>
      </c>
      <c r="AH227" s="297" t="s">
        <v>199</v>
      </c>
      <c r="AI227" s="297" t="s">
        <v>200</v>
      </c>
      <c r="AJ227" s="297"/>
      <c r="AK227" s="297"/>
      <c r="AL227" s="297"/>
      <c r="AM227" s="11"/>
      <c r="AN227" s="11"/>
      <c r="AO227" s="11"/>
    </row>
    <row r="228" spans="1:41" x14ac:dyDescent="0.4">
      <c r="A228" s="291"/>
      <c r="B228" s="292"/>
      <c r="C228" s="312"/>
      <c r="D228"/>
      <c r="E228" s="325"/>
      <c r="F228" s="143"/>
      <c r="G228" s="143"/>
      <c r="H228" s="143"/>
      <c r="I228" s="143"/>
      <c r="J228" s="143"/>
      <c r="K228" s="143"/>
      <c r="L228" s="143"/>
      <c r="M228" s="143"/>
      <c r="N228" s="143"/>
      <c r="O228" s="143"/>
      <c r="P228" s="143"/>
      <c r="Q228" s="143"/>
      <c r="R228" s="143"/>
      <c r="S228" s="143"/>
      <c r="T228" s="143"/>
      <c r="U228" s="143"/>
      <c r="V228" s="325"/>
      <c r="W228" s="393">
        <f t="shared" si="28"/>
        <v>0</v>
      </c>
      <c r="X228" s="393">
        <f t="shared" si="29"/>
        <v>0</v>
      </c>
      <c r="Y228" s="393">
        <f t="shared" si="30"/>
        <v>0</v>
      </c>
      <c r="Z228" s="393">
        <f t="shared" si="31"/>
        <v>0</v>
      </c>
      <c r="AA228" s="393">
        <f t="shared" si="32"/>
        <v>0</v>
      </c>
      <c r="AB228" s="393" t="e">
        <f t="shared" si="33"/>
        <v>#DIV/0!</v>
      </c>
      <c r="AC228" s="486" t="e">
        <f t="shared" si="34"/>
        <v>#DIV/0!</v>
      </c>
      <c r="AD228" s="11"/>
      <c r="AE228" s="301" t="str">
        <f>AF228&amp;TM[[#This Row],[Insurer Code]]&amp;"; "&amp;AG228&amp;TM[[#This Row],[Reporting Year]]&amp;"; "&amp;AH228&amp;TM[[#This Row],[Insurance Category Code]]&amp;"; "&amp;AI228&amp;TM[[#This Row],[Large Provider Entity Code]]</f>
        <v xml:space="preserve">Insurer Code ; Reporting Year ; Insurance Category Code ; Large Provider Entity Code </v>
      </c>
      <c r="AF228" s="297" t="s">
        <v>197</v>
      </c>
      <c r="AG228" s="297" t="s">
        <v>198</v>
      </c>
      <c r="AH228" s="297" t="s">
        <v>199</v>
      </c>
      <c r="AI228" s="297" t="s">
        <v>200</v>
      </c>
      <c r="AJ228" s="297"/>
      <c r="AK228" s="297"/>
      <c r="AL228" s="297"/>
      <c r="AM228" s="11"/>
      <c r="AN228" s="11"/>
      <c r="AO228" s="11"/>
    </row>
    <row r="229" spans="1:41" x14ac:dyDescent="0.4">
      <c r="A229" s="291"/>
      <c r="B229" s="292"/>
      <c r="C229" s="312"/>
      <c r="D229"/>
      <c r="E229" s="325"/>
      <c r="F229" s="143"/>
      <c r="G229" s="143"/>
      <c r="H229" s="143"/>
      <c r="I229" s="143"/>
      <c r="J229" s="143"/>
      <c r="K229" s="143"/>
      <c r="L229" s="143"/>
      <c r="M229" s="143"/>
      <c r="N229" s="143"/>
      <c r="O229" s="143"/>
      <c r="P229" s="143"/>
      <c r="Q229" s="143"/>
      <c r="R229" s="143"/>
      <c r="S229" s="143"/>
      <c r="T229" s="143"/>
      <c r="U229" s="143"/>
      <c r="V229" s="325"/>
      <c r="W229" s="393">
        <f t="shared" si="28"/>
        <v>0</v>
      </c>
      <c r="X229" s="393">
        <f t="shared" si="29"/>
        <v>0</v>
      </c>
      <c r="Y229" s="393">
        <f t="shared" si="30"/>
        <v>0</v>
      </c>
      <c r="Z229" s="393">
        <f t="shared" si="31"/>
        <v>0</v>
      </c>
      <c r="AA229" s="393">
        <f t="shared" si="32"/>
        <v>0</v>
      </c>
      <c r="AB229" s="393" t="e">
        <f t="shared" si="33"/>
        <v>#DIV/0!</v>
      </c>
      <c r="AC229" s="486" t="e">
        <f t="shared" si="34"/>
        <v>#DIV/0!</v>
      </c>
      <c r="AD229" s="11"/>
      <c r="AE229" s="301" t="str">
        <f>AF229&amp;TM[[#This Row],[Insurer Code]]&amp;"; "&amp;AG229&amp;TM[[#This Row],[Reporting Year]]&amp;"; "&amp;AH229&amp;TM[[#This Row],[Insurance Category Code]]&amp;"; "&amp;AI229&amp;TM[[#This Row],[Large Provider Entity Code]]</f>
        <v xml:space="preserve">Insurer Code ; Reporting Year ; Insurance Category Code ; Large Provider Entity Code </v>
      </c>
      <c r="AF229" s="297" t="s">
        <v>197</v>
      </c>
      <c r="AG229" s="297" t="s">
        <v>198</v>
      </c>
      <c r="AH229" s="297" t="s">
        <v>199</v>
      </c>
      <c r="AI229" s="297" t="s">
        <v>200</v>
      </c>
      <c r="AJ229" s="297"/>
      <c r="AK229" s="297"/>
      <c r="AL229" s="297"/>
      <c r="AM229" s="11"/>
      <c r="AN229" s="11"/>
      <c r="AO229" s="11"/>
    </row>
    <row r="230" spans="1:41" x14ac:dyDescent="0.4">
      <c r="A230" s="291"/>
      <c r="B230" s="292"/>
      <c r="C230" s="312"/>
      <c r="D230"/>
      <c r="E230" s="325"/>
      <c r="F230" s="143"/>
      <c r="G230" s="143"/>
      <c r="H230" s="143"/>
      <c r="I230" s="143"/>
      <c r="J230" s="143"/>
      <c r="K230" s="143"/>
      <c r="L230" s="143"/>
      <c r="M230" s="143"/>
      <c r="N230" s="143"/>
      <c r="O230" s="143"/>
      <c r="P230" s="143"/>
      <c r="Q230" s="143"/>
      <c r="R230" s="143"/>
      <c r="S230" s="143"/>
      <c r="T230" s="143"/>
      <c r="U230" s="143"/>
      <c r="V230" s="325"/>
      <c r="W230" s="393">
        <f t="shared" si="28"/>
        <v>0</v>
      </c>
      <c r="X230" s="393">
        <f t="shared" si="29"/>
        <v>0</v>
      </c>
      <c r="Y230" s="393">
        <f t="shared" si="30"/>
        <v>0</v>
      </c>
      <c r="Z230" s="393">
        <f t="shared" si="31"/>
        <v>0</v>
      </c>
      <c r="AA230" s="393">
        <f t="shared" si="32"/>
        <v>0</v>
      </c>
      <c r="AB230" s="393" t="e">
        <f t="shared" si="33"/>
        <v>#DIV/0!</v>
      </c>
      <c r="AC230" s="486" t="e">
        <f t="shared" si="34"/>
        <v>#DIV/0!</v>
      </c>
      <c r="AD230" s="11"/>
      <c r="AE230" s="301" t="str">
        <f>AF230&amp;TM[[#This Row],[Insurer Code]]&amp;"; "&amp;AG230&amp;TM[[#This Row],[Reporting Year]]&amp;"; "&amp;AH230&amp;TM[[#This Row],[Insurance Category Code]]&amp;"; "&amp;AI230&amp;TM[[#This Row],[Large Provider Entity Code]]</f>
        <v xml:space="preserve">Insurer Code ; Reporting Year ; Insurance Category Code ; Large Provider Entity Code </v>
      </c>
      <c r="AF230" s="297" t="s">
        <v>197</v>
      </c>
      <c r="AG230" s="297" t="s">
        <v>198</v>
      </c>
      <c r="AH230" s="297" t="s">
        <v>199</v>
      </c>
      <c r="AI230" s="297" t="s">
        <v>200</v>
      </c>
      <c r="AJ230" s="297"/>
      <c r="AK230" s="297"/>
      <c r="AL230" s="297"/>
      <c r="AM230" s="11"/>
      <c r="AN230" s="11"/>
      <c r="AO230" s="11"/>
    </row>
    <row r="231" spans="1:41" x14ac:dyDescent="0.4">
      <c r="A231" s="291"/>
      <c r="B231" s="292"/>
      <c r="C231" s="312"/>
      <c r="D231"/>
      <c r="E231" s="325"/>
      <c r="F231" s="143"/>
      <c r="G231" s="143"/>
      <c r="H231" s="143"/>
      <c r="I231" s="143"/>
      <c r="J231" s="143"/>
      <c r="K231" s="143"/>
      <c r="L231" s="143"/>
      <c r="M231" s="143"/>
      <c r="N231" s="143"/>
      <c r="O231" s="143"/>
      <c r="P231" s="143"/>
      <c r="Q231" s="143"/>
      <c r="R231" s="143"/>
      <c r="S231" s="143"/>
      <c r="T231" s="143"/>
      <c r="U231" s="143"/>
      <c r="V231" s="325"/>
      <c r="W231" s="393">
        <f t="shared" si="28"/>
        <v>0</v>
      </c>
      <c r="X231" s="393">
        <f t="shared" si="29"/>
        <v>0</v>
      </c>
      <c r="Y231" s="393">
        <f t="shared" si="30"/>
        <v>0</v>
      </c>
      <c r="Z231" s="393">
        <f t="shared" si="31"/>
        <v>0</v>
      </c>
      <c r="AA231" s="393">
        <f t="shared" si="32"/>
        <v>0</v>
      </c>
      <c r="AB231" s="393" t="e">
        <f t="shared" si="33"/>
        <v>#DIV/0!</v>
      </c>
      <c r="AC231" s="486" t="e">
        <f t="shared" si="34"/>
        <v>#DIV/0!</v>
      </c>
      <c r="AD231" s="11"/>
      <c r="AE231" s="301" t="str">
        <f>AF231&amp;TM[[#This Row],[Insurer Code]]&amp;"; "&amp;AG231&amp;TM[[#This Row],[Reporting Year]]&amp;"; "&amp;AH231&amp;TM[[#This Row],[Insurance Category Code]]&amp;"; "&amp;AI231&amp;TM[[#This Row],[Large Provider Entity Code]]</f>
        <v xml:space="preserve">Insurer Code ; Reporting Year ; Insurance Category Code ; Large Provider Entity Code </v>
      </c>
      <c r="AF231" s="297" t="s">
        <v>197</v>
      </c>
      <c r="AG231" s="297" t="s">
        <v>198</v>
      </c>
      <c r="AH231" s="297" t="s">
        <v>199</v>
      </c>
      <c r="AI231" s="297" t="s">
        <v>200</v>
      </c>
      <c r="AJ231" s="297"/>
      <c r="AK231" s="297"/>
      <c r="AL231" s="297"/>
      <c r="AM231" s="11"/>
      <c r="AN231" s="11"/>
      <c r="AO231" s="11"/>
    </row>
    <row r="232" spans="1:41" x14ac:dyDescent="0.4">
      <c r="A232" s="291"/>
      <c r="B232" s="292"/>
      <c r="C232" s="312"/>
      <c r="D232"/>
      <c r="E232" s="325"/>
      <c r="F232" s="143"/>
      <c r="G232" s="143"/>
      <c r="H232" s="143"/>
      <c r="I232" s="143"/>
      <c r="J232" s="143"/>
      <c r="K232" s="143"/>
      <c r="L232" s="143"/>
      <c r="M232" s="143"/>
      <c r="N232" s="143"/>
      <c r="O232" s="143"/>
      <c r="P232" s="143"/>
      <c r="Q232" s="143"/>
      <c r="R232" s="143"/>
      <c r="S232" s="143"/>
      <c r="T232" s="143"/>
      <c r="U232" s="143"/>
      <c r="V232" s="325"/>
      <c r="W232" s="393">
        <f t="shared" si="28"/>
        <v>0</v>
      </c>
      <c r="X232" s="393">
        <f t="shared" si="29"/>
        <v>0</v>
      </c>
      <c r="Y232" s="393">
        <f t="shared" si="30"/>
        <v>0</v>
      </c>
      <c r="Z232" s="393">
        <f t="shared" si="31"/>
        <v>0</v>
      </c>
      <c r="AA232" s="393">
        <f t="shared" si="32"/>
        <v>0</v>
      </c>
      <c r="AB232" s="393" t="e">
        <f t="shared" si="33"/>
        <v>#DIV/0!</v>
      </c>
      <c r="AC232" s="486" t="e">
        <f t="shared" si="34"/>
        <v>#DIV/0!</v>
      </c>
      <c r="AD232" s="11"/>
      <c r="AE232" s="301" t="str">
        <f>AF232&amp;TM[[#This Row],[Insurer Code]]&amp;"; "&amp;AG232&amp;TM[[#This Row],[Reporting Year]]&amp;"; "&amp;AH232&amp;TM[[#This Row],[Insurance Category Code]]&amp;"; "&amp;AI232&amp;TM[[#This Row],[Large Provider Entity Code]]</f>
        <v xml:space="preserve">Insurer Code ; Reporting Year ; Insurance Category Code ; Large Provider Entity Code </v>
      </c>
      <c r="AF232" s="297" t="s">
        <v>197</v>
      </c>
      <c r="AG232" s="297" t="s">
        <v>198</v>
      </c>
      <c r="AH232" s="297" t="s">
        <v>199</v>
      </c>
      <c r="AI232" s="297" t="s">
        <v>200</v>
      </c>
      <c r="AJ232" s="297"/>
      <c r="AK232" s="297"/>
      <c r="AL232" s="297"/>
      <c r="AM232" s="11"/>
      <c r="AN232" s="11"/>
      <c r="AO232" s="11"/>
    </row>
    <row r="233" spans="1:41" x14ac:dyDescent="0.4">
      <c r="A233" s="291"/>
      <c r="B233" s="292"/>
      <c r="C233" s="312"/>
      <c r="D233"/>
      <c r="E233" s="325"/>
      <c r="F233" s="143"/>
      <c r="G233" s="143"/>
      <c r="H233" s="143"/>
      <c r="I233" s="143"/>
      <c r="J233" s="143"/>
      <c r="K233" s="143"/>
      <c r="L233" s="143"/>
      <c r="M233" s="143"/>
      <c r="N233" s="143"/>
      <c r="O233" s="143"/>
      <c r="P233" s="143"/>
      <c r="Q233" s="143"/>
      <c r="R233" s="143"/>
      <c r="S233" s="143"/>
      <c r="T233" s="143"/>
      <c r="U233" s="143"/>
      <c r="V233" s="325"/>
      <c r="W233" s="393">
        <f t="shared" si="28"/>
        <v>0</v>
      </c>
      <c r="X233" s="393">
        <f t="shared" si="29"/>
        <v>0</v>
      </c>
      <c r="Y233" s="393">
        <f t="shared" si="30"/>
        <v>0</v>
      </c>
      <c r="Z233" s="393">
        <f t="shared" si="31"/>
        <v>0</v>
      </c>
      <c r="AA233" s="393">
        <f t="shared" si="32"/>
        <v>0</v>
      </c>
      <c r="AB233" s="393" t="e">
        <f t="shared" si="33"/>
        <v>#DIV/0!</v>
      </c>
      <c r="AC233" s="486" t="e">
        <f t="shared" si="34"/>
        <v>#DIV/0!</v>
      </c>
      <c r="AD233" s="11"/>
      <c r="AE233" s="301" t="str">
        <f>AF233&amp;TM[[#This Row],[Insurer Code]]&amp;"; "&amp;AG233&amp;TM[[#This Row],[Reporting Year]]&amp;"; "&amp;AH233&amp;TM[[#This Row],[Insurance Category Code]]&amp;"; "&amp;AI233&amp;TM[[#This Row],[Large Provider Entity Code]]</f>
        <v xml:space="preserve">Insurer Code ; Reporting Year ; Insurance Category Code ; Large Provider Entity Code </v>
      </c>
      <c r="AF233" s="297" t="s">
        <v>197</v>
      </c>
      <c r="AG233" s="297" t="s">
        <v>198</v>
      </c>
      <c r="AH233" s="297" t="s">
        <v>199</v>
      </c>
      <c r="AI233" s="297" t="s">
        <v>200</v>
      </c>
      <c r="AJ233" s="297"/>
      <c r="AK233" s="297"/>
      <c r="AL233" s="297"/>
      <c r="AM233" s="11"/>
      <c r="AN233" s="11"/>
      <c r="AO233" s="11"/>
    </row>
    <row r="234" spans="1:41" x14ac:dyDescent="0.4">
      <c r="A234" s="291"/>
      <c r="B234" s="292"/>
      <c r="C234" s="312"/>
      <c r="D234"/>
      <c r="E234" s="325"/>
      <c r="F234" s="143"/>
      <c r="G234" s="143"/>
      <c r="H234" s="143"/>
      <c r="I234" s="143"/>
      <c r="J234" s="143"/>
      <c r="K234" s="143"/>
      <c r="L234" s="143"/>
      <c r="M234" s="143"/>
      <c r="N234" s="143"/>
      <c r="O234" s="143"/>
      <c r="P234" s="143"/>
      <c r="Q234" s="143"/>
      <c r="R234" s="143"/>
      <c r="S234" s="143"/>
      <c r="T234" s="143"/>
      <c r="U234" s="143"/>
      <c r="V234" s="325"/>
      <c r="W234" s="393">
        <f t="shared" si="28"/>
        <v>0</v>
      </c>
      <c r="X234" s="393">
        <f t="shared" si="29"/>
        <v>0</v>
      </c>
      <c r="Y234" s="393">
        <f t="shared" si="30"/>
        <v>0</v>
      </c>
      <c r="Z234" s="393">
        <f t="shared" si="31"/>
        <v>0</v>
      </c>
      <c r="AA234" s="393">
        <f t="shared" si="32"/>
        <v>0</v>
      </c>
      <c r="AB234" s="393" t="e">
        <f t="shared" si="33"/>
        <v>#DIV/0!</v>
      </c>
      <c r="AC234" s="486" t="e">
        <f t="shared" si="34"/>
        <v>#DIV/0!</v>
      </c>
      <c r="AD234" s="11"/>
      <c r="AE234" s="301" t="str">
        <f>AF234&amp;TM[[#This Row],[Insurer Code]]&amp;"; "&amp;AG234&amp;TM[[#This Row],[Reporting Year]]&amp;"; "&amp;AH234&amp;TM[[#This Row],[Insurance Category Code]]&amp;"; "&amp;AI234&amp;TM[[#This Row],[Large Provider Entity Code]]</f>
        <v xml:space="preserve">Insurer Code ; Reporting Year ; Insurance Category Code ; Large Provider Entity Code </v>
      </c>
      <c r="AF234" s="297" t="s">
        <v>197</v>
      </c>
      <c r="AG234" s="297" t="s">
        <v>198</v>
      </c>
      <c r="AH234" s="297" t="s">
        <v>199</v>
      </c>
      <c r="AI234" s="297" t="s">
        <v>200</v>
      </c>
      <c r="AJ234" s="297"/>
      <c r="AK234" s="297"/>
      <c r="AL234" s="297"/>
      <c r="AM234" s="11"/>
      <c r="AN234" s="11"/>
      <c r="AO234" s="11"/>
    </row>
    <row r="235" spans="1:41" x14ac:dyDescent="0.4">
      <c r="A235" s="291"/>
      <c r="B235" s="292"/>
      <c r="C235" s="312"/>
      <c r="D235"/>
      <c r="E235" s="325"/>
      <c r="F235" s="143"/>
      <c r="G235" s="143"/>
      <c r="H235" s="143"/>
      <c r="I235" s="143"/>
      <c r="J235" s="143"/>
      <c r="K235" s="143"/>
      <c r="L235" s="143"/>
      <c r="M235" s="143"/>
      <c r="N235" s="143"/>
      <c r="O235" s="143"/>
      <c r="P235" s="143"/>
      <c r="Q235" s="143"/>
      <c r="R235" s="143"/>
      <c r="S235" s="143"/>
      <c r="T235" s="143"/>
      <c r="U235" s="143"/>
      <c r="V235" s="325"/>
      <c r="W235" s="393">
        <f t="shared" si="28"/>
        <v>0</v>
      </c>
      <c r="X235" s="393">
        <f t="shared" si="29"/>
        <v>0</v>
      </c>
      <c r="Y235" s="393">
        <f t="shared" si="30"/>
        <v>0</v>
      </c>
      <c r="Z235" s="393">
        <f t="shared" si="31"/>
        <v>0</v>
      </c>
      <c r="AA235" s="393">
        <f t="shared" si="32"/>
        <v>0</v>
      </c>
      <c r="AB235" s="393" t="e">
        <f t="shared" si="33"/>
        <v>#DIV/0!</v>
      </c>
      <c r="AC235" s="486" t="e">
        <f t="shared" si="34"/>
        <v>#DIV/0!</v>
      </c>
      <c r="AD235" s="11"/>
      <c r="AE235" s="301" t="str">
        <f>AF235&amp;TM[[#This Row],[Insurer Code]]&amp;"; "&amp;AG235&amp;TM[[#This Row],[Reporting Year]]&amp;"; "&amp;AH235&amp;TM[[#This Row],[Insurance Category Code]]&amp;"; "&amp;AI235&amp;TM[[#This Row],[Large Provider Entity Code]]</f>
        <v xml:space="preserve">Insurer Code ; Reporting Year ; Insurance Category Code ; Large Provider Entity Code </v>
      </c>
      <c r="AF235" s="297" t="s">
        <v>197</v>
      </c>
      <c r="AG235" s="297" t="s">
        <v>198</v>
      </c>
      <c r="AH235" s="297" t="s">
        <v>199</v>
      </c>
      <c r="AI235" s="297" t="s">
        <v>200</v>
      </c>
      <c r="AJ235" s="297"/>
      <c r="AK235" s="297"/>
      <c r="AL235" s="297"/>
      <c r="AM235" s="11"/>
      <c r="AN235" s="11"/>
      <c r="AO235" s="11"/>
    </row>
    <row r="236" spans="1:41" x14ac:dyDescent="0.4">
      <c r="A236" s="291"/>
      <c r="B236" s="292"/>
      <c r="C236" s="312"/>
      <c r="D236"/>
      <c r="E236" s="325"/>
      <c r="F236" s="143"/>
      <c r="G236" s="143"/>
      <c r="H236" s="143"/>
      <c r="I236" s="143"/>
      <c r="J236" s="143"/>
      <c r="K236" s="143"/>
      <c r="L236" s="143"/>
      <c r="M236" s="143"/>
      <c r="N236" s="143"/>
      <c r="O236" s="143"/>
      <c r="P236" s="143"/>
      <c r="Q236" s="143"/>
      <c r="R236" s="143"/>
      <c r="S236" s="143"/>
      <c r="T236" s="143"/>
      <c r="U236" s="143"/>
      <c r="V236" s="325"/>
      <c r="W236" s="393">
        <f t="shared" si="28"/>
        <v>0</v>
      </c>
      <c r="X236" s="393">
        <f t="shared" si="29"/>
        <v>0</v>
      </c>
      <c r="Y236" s="393">
        <f t="shared" si="30"/>
        <v>0</v>
      </c>
      <c r="Z236" s="393">
        <f t="shared" si="31"/>
        <v>0</v>
      </c>
      <c r="AA236" s="393">
        <f t="shared" si="32"/>
        <v>0</v>
      </c>
      <c r="AB236" s="393" t="e">
        <f t="shared" si="33"/>
        <v>#DIV/0!</v>
      </c>
      <c r="AC236" s="486" t="e">
        <f t="shared" si="34"/>
        <v>#DIV/0!</v>
      </c>
      <c r="AD236" s="11"/>
      <c r="AE236" s="301" t="str">
        <f>AF236&amp;TM[[#This Row],[Insurer Code]]&amp;"; "&amp;AG236&amp;TM[[#This Row],[Reporting Year]]&amp;"; "&amp;AH236&amp;TM[[#This Row],[Insurance Category Code]]&amp;"; "&amp;AI236&amp;TM[[#This Row],[Large Provider Entity Code]]</f>
        <v xml:space="preserve">Insurer Code ; Reporting Year ; Insurance Category Code ; Large Provider Entity Code </v>
      </c>
      <c r="AF236" s="297" t="s">
        <v>197</v>
      </c>
      <c r="AG236" s="297" t="s">
        <v>198</v>
      </c>
      <c r="AH236" s="297" t="s">
        <v>199</v>
      </c>
      <c r="AI236" s="297" t="s">
        <v>200</v>
      </c>
      <c r="AJ236" s="297"/>
      <c r="AK236" s="297"/>
      <c r="AL236" s="297"/>
      <c r="AM236" s="11"/>
      <c r="AN236" s="11"/>
      <c r="AO236" s="11"/>
    </row>
    <row r="237" spans="1:41" x14ac:dyDescent="0.4">
      <c r="A237" s="291"/>
      <c r="B237" s="292"/>
      <c r="C237" s="312"/>
      <c r="D237"/>
      <c r="E237" s="325"/>
      <c r="F237" s="143"/>
      <c r="G237" s="143"/>
      <c r="H237" s="143"/>
      <c r="I237" s="143"/>
      <c r="J237" s="143"/>
      <c r="K237" s="143"/>
      <c r="L237" s="143"/>
      <c r="M237" s="143"/>
      <c r="N237" s="143"/>
      <c r="O237" s="143"/>
      <c r="P237" s="143"/>
      <c r="Q237" s="143"/>
      <c r="R237" s="143"/>
      <c r="S237" s="143"/>
      <c r="T237" s="143"/>
      <c r="U237" s="143"/>
      <c r="V237" s="325"/>
      <c r="W237" s="393">
        <f t="shared" si="28"/>
        <v>0</v>
      </c>
      <c r="X237" s="393">
        <f t="shared" si="29"/>
        <v>0</v>
      </c>
      <c r="Y237" s="393">
        <f t="shared" si="30"/>
        <v>0</v>
      </c>
      <c r="Z237" s="393">
        <f t="shared" si="31"/>
        <v>0</v>
      </c>
      <c r="AA237" s="393">
        <f t="shared" si="32"/>
        <v>0</v>
      </c>
      <c r="AB237" s="393" t="e">
        <f t="shared" si="33"/>
        <v>#DIV/0!</v>
      </c>
      <c r="AC237" s="486" t="e">
        <f t="shared" si="34"/>
        <v>#DIV/0!</v>
      </c>
      <c r="AD237" s="11"/>
      <c r="AE237" s="301" t="str">
        <f>AF237&amp;TM[[#This Row],[Insurer Code]]&amp;"; "&amp;AG237&amp;TM[[#This Row],[Reporting Year]]&amp;"; "&amp;AH237&amp;TM[[#This Row],[Insurance Category Code]]&amp;"; "&amp;AI237&amp;TM[[#This Row],[Large Provider Entity Code]]</f>
        <v xml:space="preserve">Insurer Code ; Reporting Year ; Insurance Category Code ; Large Provider Entity Code </v>
      </c>
      <c r="AF237" s="297" t="s">
        <v>197</v>
      </c>
      <c r="AG237" s="297" t="s">
        <v>198</v>
      </c>
      <c r="AH237" s="297" t="s">
        <v>199</v>
      </c>
      <c r="AI237" s="297" t="s">
        <v>200</v>
      </c>
      <c r="AJ237" s="297"/>
      <c r="AK237" s="297"/>
      <c r="AL237" s="297"/>
      <c r="AM237" s="11"/>
      <c r="AN237" s="11"/>
      <c r="AO237" s="11"/>
    </row>
    <row r="238" spans="1:41" x14ac:dyDescent="0.4">
      <c r="A238" s="291"/>
      <c r="B238" s="292"/>
      <c r="C238" s="312"/>
      <c r="D238"/>
      <c r="E238" s="325"/>
      <c r="F238" s="143"/>
      <c r="G238" s="143"/>
      <c r="H238" s="143"/>
      <c r="I238" s="143"/>
      <c r="J238" s="143"/>
      <c r="K238" s="143"/>
      <c r="L238" s="143"/>
      <c r="M238" s="143"/>
      <c r="N238" s="143"/>
      <c r="O238" s="143"/>
      <c r="P238" s="143"/>
      <c r="Q238" s="143"/>
      <c r="R238" s="143"/>
      <c r="S238" s="143"/>
      <c r="T238" s="143"/>
      <c r="U238" s="143"/>
      <c r="V238" s="325"/>
      <c r="W238" s="393">
        <f t="shared" si="28"/>
        <v>0</v>
      </c>
      <c r="X238" s="393">
        <f t="shared" si="29"/>
        <v>0</v>
      </c>
      <c r="Y238" s="393">
        <f t="shared" si="30"/>
        <v>0</v>
      </c>
      <c r="Z238" s="393">
        <f t="shared" si="31"/>
        <v>0</v>
      </c>
      <c r="AA238" s="393">
        <f t="shared" si="32"/>
        <v>0</v>
      </c>
      <c r="AB238" s="393" t="e">
        <f t="shared" si="33"/>
        <v>#DIV/0!</v>
      </c>
      <c r="AC238" s="486" t="e">
        <f t="shared" si="34"/>
        <v>#DIV/0!</v>
      </c>
      <c r="AD238" s="11"/>
      <c r="AE238" s="301" t="str">
        <f>AF238&amp;TM[[#This Row],[Insurer Code]]&amp;"; "&amp;AG238&amp;TM[[#This Row],[Reporting Year]]&amp;"; "&amp;AH238&amp;TM[[#This Row],[Insurance Category Code]]&amp;"; "&amp;AI238&amp;TM[[#This Row],[Large Provider Entity Code]]</f>
        <v xml:space="preserve">Insurer Code ; Reporting Year ; Insurance Category Code ; Large Provider Entity Code </v>
      </c>
      <c r="AF238" s="297" t="s">
        <v>197</v>
      </c>
      <c r="AG238" s="297" t="s">
        <v>198</v>
      </c>
      <c r="AH238" s="297" t="s">
        <v>199</v>
      </c>
      <c r="AI238" s="297" t="s">
        <v>200</v>
      </c>
      <c r="AJ238" s="297"/>
      <c r="AK238" s="297"/>
      <c r="AL238" s="297"/>
      <c r="AM238" s="11"/>
      <c r="AN238" s="11"/>
      <c r="AO238" s="11"/>
    </row>
    <row r="239" spans="1:41" x14ac:dyDescent="0.4">
      <c r="A239" s="291"/>
      <c r="B239" s="292"/>
      <c r="C239" s="312"/>
      <c r="D239"/>
      <c r="E239" s="325"/>
      <c r="F239" s="143"/>
      <c r="G239" s="143"/>
      <c r="H239" s="143"/>
      <c r="I239" s="143"/>
      <c r="J239" s="143"/>
      <c r="K239" s="143"/>
      <c r="L239" s="143"/>
      <c r="M239" s="143"/>
      <c r="N239" s="143"/>
      <c r="O239" s="143"/>
      <c r="P239" s="143"/>
      <c r="Q239" s="143"/>
      <c r="R239" s="143"/>
      <c r="S239" s="143"/>
      <c r="T239" s="143"/>
      <c r="U239" s="143"/>
      <c r="V239" s="325"/>
      <c r="W239" s="393">
        <f t="shared" si="28"/>
        <v>0</v>
      </c>
      <c r="X239" s="393">
        <f t="shared" si="29"/>
        <v>0</v>
      </c>
      <c r="Y239" s="393">
        <f t="shared" si="30"/>
        <v>0</v>
      </c>
      <c r="Z239" s="393">
        <f t="shared" si="31"/>
        <v>0</v>
      </c>
      <c r="AA239" s="393">
        <f t="shared" si="32"/>
        <v>0</v>
      </c>
      <c r="AB239" s="393" t="e">
        <f t="shared" si="33"/>
        <v>#DIV/0!</v>
      </c>
      <c r="AC239" s="486" t="e">
        <f t="shared" si="34"/>
        <v>#DIV/0!</v>
      </c>
      <c r="AD239" s="11"/>
      <c r="AE239" s="301" t="str">
        <f>AF239&amp;TM[[#This Row],[Insurer Code]]&amp;"; "&amp;AG239&amp;TM[[#This Row],[Reporting Year]]&amp;"; "&amp;AH239&amp;TM[[#This Row],[Insurance Category Code]]&amp;"; "&amp;AI239&amp;TM[[#This Row],[Large Provider Entity Code]]</f>
        <v xml:space="preserve">Insurer Code ; Reporting Year ; Insurance Category Code ; Large Provider Entity Code </v>
      </c>
      <c r="AF239" s="297" t="s">
        <v>197</v>
      </c>
      <c r="AG239" s="297" t="s">
        <v>198</v>
      </c>
      <c r="AH239" s="297" t="s">
        <v>199</v>
      </c>
      <c r="AI239" s="297" t="s">
        <v>200</v>
      </c>
      <c r="AJ239" s="297"/>
      <c r="AK239" s="297"/>
      <c r="AL239" s="297"/>
      <c r="AM239" s="11"/>
      <c r="AN239" s="11"/>
      <c r="AO239" s="11"/>
    </row>
    <row r="240" spans="1:41" x14ac:dyDescent="0.4">
      <c r="A240" s="291"/>
      <c r="B240" s="292"/>
      <c r="C240" s="312"/>
      <c r="D240"/>
      <c r="E240" s="325"/>
      <c r="F240" s="143"/>
      <c r="G240" s="143"/>
      <c r="H240" s="143"/>
      <c r="I240" s="143"/>
      <c r="J240" s="143"/>
      <c r="K240" s="143"/>
      <c r="L240" s="143"/>
      <c r="M240" s="143"/>
      <c r="N240" s="143"/>
      <c r="O240" s="143"/>
      <c r="P240" s="143"/>
      <c r="Q240" s="143"/>
      <c r="R240" s="143"/>
      <c r="S240" s="143"/>
      <c r="T240" s="143"/>
      <c r="U240" s="143"/>
      <c r="V240" s="325"/>
      <c r="W240" s="393">
        <f t="shared" si="28"/>
        <v>0</v>
      </c>
      <c r="X240" s="393">
        <f t="shared" si="29"/>
        <v>0</v>
      </c>
      <c r="Y240" s="393">
        <f t="shared" si="30"/>
        <v>0</v>
      </c>
      <c r="Z240" s="393">
        <f t="shared" si="31"/>
        <v>0</v>
      </c>
      <c r="AA240" s="393">
        <f t="shared" si="32"/>
        <v>0</v>
      </c>
      <c r="AB240" s="393" t="e">
        <f t="shared" si="33"/>
        <v>#DIV/0!</v>
      </c>
      <c r="AC240" s="486" t="e">
        <f t="shared" si="34"/>
        <v>#DIV/0!</v>
      </c>
      <c r="AD240" s="11"/>
      <c r="AE240" s="301" t="str">
        <f>AF240&amp;TM[[#This Row],[Insurer Code]]&amp;"; "&amp;AG240&amp;TM[[#This Row],[Reporting Year]]&amp;"; "&amp;AH240&amp;TM[[#This Row],[Insurance Category Code]]&amp;"; "&amp;AI240&amp;TM[[#This Row],[Large Provider Entity Code]]</f>
        <v xml:space="preserve">Insurer Code ; Reporting Year ; Insurance Category Code ; Large Provider Entity Code </v>
      </c>
      <c r="AF240" s="297" t="s">
        <v>197</v>
      </c>
      <c r="AG240" s="297" t="s">
        <v>198</v>
      </c>
      <c r="AH240" s="297" t="s">
        <v>199</v>
      </c>
      <c r="AI240" s="297" t="s">
        <v>200</v>
      </c>
      <c r="AJ240" s="297"/>
      <c r="AK240" s="297"/>
      <c r="AL240" s="297"/>
      <c r="AM240" s="11"/>
      <c r="AN240" s="11"/>
      <c r="AO240" s="11"/>
    </row>
    <row r="241" spans="1:41" x14ac:dyDescent="0.4">
      <c r="A241" s="291"/>
      <c r="B241" s="292"/>
      <c r="C241" s="312"/>
      <c r="D241"/>
      <c r="E241" s="325"/>
      <c r="F241" s="143"/>
      <c r="G241" s="143"/>
      <c r="H241" s="143"/>
      <c r="I241" s="143"/>
      <c r="J241" s="143"/>
      <c r="K241" s="143"/>
      <c r="L241" s="143"/>
      <c r="M241" s="143"/>
      <c r="N241" s="143"/>
      <c r="O241" s="143"/>
      <c r="P241" s="143"/>
      <c r="Q241" s="143"/>
      <c r="R241" s="143"/>
      <c r="S241" s="143"/>
      <c r="T241" s="143"/>
      <c r="U241" s="143"/>
      <c r="V241" s="325"/>
      <c r="W241" s="393">
        <f t="shared" si="28"/>
        <v>0</v>
      </c>
      <c r="X241" s="393">
        <f t="shared" si="29"/>
        <v>0</v>
      </c>
      <c r="Y241" s="393">
        <f t="shared" si="30"/>
        <v>0</v>
      </c>
      <c r="Z241" s="393">
        <f t="shared" si="31"/>
        <v>0</v>
      </c>
      <c r="AA241" s="393">
        <f t="shared" si="32"/>
        <v>0</v>
      </c>
      <c r="AB241" s="393" t="e">
        <f t="shared" si="33"/>
        <v>#DIV/0!</v>
      </c>
      <c r="AC241" s="486" t="e">
        <f t="shared" si="34"/>
        <v>#DIV/0!</v>
      </c>
      <c r="AD241" s="11"/>
      <c r="AE241" s="301" t="str">
        <f>AF241&amp;TM[[#This Row],[Insurer Code]]&amp;"; "&amp;AG241&amp;TM[[#This Row],[Reporting Year]]&amp;"; "&amp;AH241&amp;TM[[#This Row],[Insurance Category Code]]&amp;"; "&amp;AI241&amp;TM[[#This Row],[Large Provider Entity Code]]</f>
        <v xml:space="preserve">Insurer Code ; Reporting Year ; Insurance Category Code ; Large Provider Entity Code </v>
      </c>
      <c r="AF241" s="297" t="s">
        <v>197</v>
      </c>
      <c r="AG241" s="297" t="s">
        <v>198</v>
      </c>
      <c r="AH241" s="297" t="s">
        <v>199</v>
      </c>
      <c r="AI241" s="297" t="s">
        <v>200</v>
      </c>
      <c r="AJ241" s="297"/>
      <c r="AK241" s="297"/>
      <c r="AL241" s="297"/>
      <c r="AM241" s="11"/>
      <c r="AN241" s="11"/>
      <c r="AO241" s="11"/>
    </row>
    <row r="242" spans="1:41" x14ac:dyDescent="0.4">
      <c r="A242" s="291"/>
      <c r="B242" s="292"/>
      <c r="C242" s="312"/>
      <c r="D242"/>
      <c r="E242" s="325"/>
      <c r="F242" s="143"/>
      <c r="G242" s="143"/>
      <c r="H242" s="143"/>
      <c r="I242" s="143"/>
      <c r="J242" s="143"/>
      <c r="K242" s="143"/>
      <c r="L242" s="143"/>
      <c r="M242" s="143"/>
      <c r="N242" s="143"/>
      <c r="O242" s="143"/>
      <c r="P242" s="143"/>
      <c r="Q242" s="143"/>
      <c r="R242" s="143"/>
      <c r="S242" s="143"/>
      <c r="T242" s="143"/>
      <c r="U242" s="143"/>
      <c r="V242" s="325"/>
      <c r="W242" s="393">
        <f t="shared" si="28"/>
        <v>0</v>
      </c>
      <c r="X242" s="393">
        <f t="shared" si="29"/>
        <v>0</v>
      </c>
      <c r="Y242" s="393">
        <f t="shared" si="30"/>
        <v>0</v>
      </c>
      <c r="Z242" s="393">
        <f t="shared" si="31"/>
        <v>0</v>
      </c>
      <c r="AA242" s="393">
        <f t="shared" si="32"/>
        <v>0</v>
      </c>
      <c r="AB242" s="393" t="e">
        <f t="shared" si="33"/>
        <v>#DIV/0!</v>
      </c>
      <c r="AC242" s="486" t="e">
        <f t="shared" si="34"/>
        <v>#DIV/0!</v>
      </c>
      <c r="AD242" s="11"/>
      <c r="AE242" s="301" t="str">
        <f>AF242&amp;TM[[#This Row],[Insurer Code]]&amp;"; "&amp;AG242&amp;TM[[#This Row],[Reporting Year]]&amp;"; "&amp;AH242&amp;TM[[#This Row],[Insurance Category Code]]&amp;"; "&amp;AI242&amp;TM[[#This Row],[Large Provider Entity Code]]</f>
        <v xml:space="preserve">Insurer Code ; Reporting Year ; Insurance Category Code ; Large Provider Entity Code </v>
      </c>
      <c r="AF242" s="297" t="s">
        <v>197</v>
      </c>
      <c r="AG242" s="297" t="s">
        <v>198</v>
      </c>
      <c r="AH242" s="297" t="s">
        <v>199</v>
      </c>
      <c r="AI242" s="297" t="s">
        <v>200</v>
      </c>
      <c r="AJ242" s="297"/>
      <c r="AK242" s="297"/>
      <c r="AL242" s="297"/>
      <c r="AM242" s="11"/>
      <c r="AN242" s="11"/>
      <c r="AO242" s="11"/>
    </row>
    <row r="243" spans="1:41" x14ac:dyDescent="0.4">
      <c r="A243" s="291"/>
      <c r="B243" s="292"/>
      <c r="C243" s="312"/>
      <c r="D243"/>
      <c r="E243" s="325"/>
      <c r="F243" s="143"/>
      <c r="G243" s="143"/>
      <c r="H243" s="143"/>
      <c r="I243" s="143"/>
      <c r="J243" s="143"/>
      <c r="K243" s="143"/>
      <c r="L243" s="143"/>
      <c r="M243" s="143"/>
      <c r="N243" s="143"/>
      <c r="O243" s="143"/>
      <c r="P243" s="143"/>
      <c r="Q243" s="143"/>
      <c r="R243" s="143"/>
      <c r="S243" s="143"/>
      <c r="T243" s="143"/>
      <c r="U243" s="143"/>
      <c r="V243" s="325"/>
      <c r="W243" s="393">
        <f t="shared" si="28"/>
        <v>0</v>
      </c>
      <c r="X243" s="393">
        <f t="shared" si="29"/>
        <v>0</v>
      </c>
      <c r="Y243" s="393">
        <f t="shared" si="30"/>
        <v>0</v>
      </c>
      <c r="Z243" s="393">
        <f t="shared" si="31"/>
        <v>0</v>
      </c>
      <c r="AA243" s="393">
        <f t="shared" si="32"/>
        <v>0</v>
      </c>
      <c r="AB243" s="393" t="e">
        <f t="shared" si="33"/>
        <v>#DIV/0!</v>
      </c>
      <c r="AC243" s="486" t="e">
        <f t="shared" si="34"/>
        <v>#DIV/0!</v>
      </c>
      <c r="AD243" s="11"/>
      <c r="AE243" s="301" t="str">
        <f>AF243&amp;TM[[#This Row],[Insurer Code]]&amp;"; "&amp;AG243&amp;TM[[#This Row],[Reporting Year]]&amp;"; "&amp;AH243&amp;TM[[#This Row],[Insurance Category Code]]&amp;"; "&amp;AI243&amp;TM[[#This Row],[Large Provider Entity Code]]</f>
        <v xml:space="preserve">Insurer Code ; Reporting Year ; Insurance Category Code ; Large Provider Entity Code </v>
      </c>
      <c r="AF243" s="297" t="s">
        <v>197</v>
      </c>
      <c r="AG243" s="297" t="s">
        <v>198</v>
      </c>
      <c r="AH243" s="297" t="s">
        <v>199</v>
      </c>
      <c r="AI243" s="297" t="s">
        <v>200</v>
      </c>
      <c r="AJ243" s="297"/>
      <c r="AK243" s="297"/>
      <c r="AL243" s="297"/>
      <c r="AM243" s="11"/>
      <c r="AN243" s="11"/>
      <c r="AO243" s="11"/>
    </row>
    <row r="244" spans="1:41" x14ac:dyDescent="0.4">
      <c r="A244" s="291"/>
      <c r="B244" s="292"/>
      <c r="C244" s="312"/>
      <c r="D244"/>
      <c r="E244" s="325"/>
      <c r="F244" s="143"/>
      <c r="G244" s="143"/>
      <c r="H244" s="143"/>
      <c r="I244" s="143"/>
      <c r="J244" s="143"/>
      <c r="K244" s="143"/>
      <c r="L244" s="143"/>
      <c r="M244" s="143"/>
      <c r="N244" s="143"/>
      <c r="O244" s="143"/>
      <c r="P244" s="143"/>
      <c r="Q244" s="143"/>
      <c r="R244" s="143"/>
      <c r="S244" s="143"/>
      <c r="T244" s="143"/>
      <c r="U244" s="143"/>
      <c r="V244" s="325"/>
      <c r="W244" s="393">
        <f t="shared" si="28"/>
        <v>0</v>
      </c>
      <c r="X244" s="393">
        <f t="shared" si="29"/>
        <v>0</v>
      </c>
      <c r="Y244" s="393">
        <f t="shared" si="30"/>
        <v>0</v>
      </c>
      <c r="Z244" s="393">
        <f t="shared" si="31"/>
        <v>0</v>
      </c>
      <c r="AA244" s="393">
        <f t="shared" si="32"/>
        <v>0</v>
      </c>
      <c r="AB244" s="393" t="e">
        <f t="shared" si="33"/>
        <v>#DIV/0!</v>
      </c>
      <c r="AC244" s="486" t="e">
        <f t="shared" si="34"/>
        <v>#DIV/0!</v>
      </c>
      <c r="AD244" s="11"/>
      <c r="AE244" s="301" t="str">
        <f>AF244&amp;TM[[#This Row],[Insurer Code]]&amp;"; "&amp;AG244&amp;TM[[#This Row],[Reporting Year]]&amp;"; "&amp;AH244&amp;TM[[#This Row],[Insurance Category Code]]&amp;"; "&amp;AI244&amp;TM[[#This Row],[Large Provider Entity Code]]</f>
        <v xml:space="preserve">Insurer Code ; Reporting Year ; Insurance Category Code ; Large Provider Entity Code </v>
      </c>
      <c r="AF244" s="297" t="s">
        <v>197</v>
      </c>
      <c r="AG244" s="297" t="s">
        <v>198</v>
      </c>
      <c r="AH244" s="297" t="s">
        <v>199</v>
      </c>
      <c r="AI244" s="297" t="s">
        <v>200</v>
      </c>
      <c r="AJ244" s="297"/>
      <c r="AK244" s="297"/>
      <c r="AL244" s="297"/>
      <c r="AM244" s="11"/>
      <c r="AN244" s="11"/>
      <c r="AO244" s="11"/>
    </row>
    <row r="245" spans="1:41" x14ac:dyDescent="0.4">
      <c r="A245" s="291"/>
      <c r="B245" s="292"/>
      <c r="C245" s="312"/>
      <c r="D245"/>
      <c r="E245" s="325"/>
      <c r="F245" s="143"/>
      <c r="G245" s="143"/>
      <c r="H245" s="143"/>
      <c r="I245" s="143"/>
      <c r="J245" s="143"/>
      <c r="K245" s="143"/>
      <c r="L245" s="143"/>
      <c r="M245" s="143"/>
      <c r="N245" s="143"/>
      <c r="O245" s="143"/>
      <c r="P245" s="143"/>
      <c r="Q245" s="143"/>
      <c r="R245" s="143"/>
      <c r="S245" s="143"/>
      <c r="T245" s="143"/>
      <c r="U245" s="143"/>
      <c r="V245" s="325"/>
      <c r="W245" s="393">
        <f t="shared" si="28"/>
        <v>0</v>
      </c>
      <c r="X245" s="393">
        <f t="shared" si="29"/>
        <v>0</v>
      </c>
      <c r="Y245" s="393">
        <f t="shared" si="30"/>
        <v>0</v>
      </c>
      <c r="Z245" s="393">
        <f t="shared" si="31"/>
        <v>0</v>
      </c>
      <c r="AA245" s="393">
        <f t="shared" si="32"/>
        <v>0</v>
      </c>
      <c r="AB245" s="393" t="e">
        <f t="shared" si="33"/>
        <v>#DIV/0!</v>
      </c>
      <c r="AC245" s="486" t="e">
        <f t="shared" si="34"/>
        <v>#DIV/0!</v>
      </c>
      <c r="AD245" s="11"/>
      <c r="AE245" s="301" t="str">
        <f>AF245&amp;TM[[#This Row],[Insurer Code]]&amp;"; "&amp;AG245&amp;TM[[#This Row],[Reporting Year]]&amp;"; "&amp;AH245&amp;TM[[#This Row],[Insurance Category Code]]&amp;"; "&amp;AI245&amp;TM[[#This Row],[Large Provider Entity Code]]</f>
        <v xml:space="preserve">Insurer Code ; Reporting Year ; Insurance Category Code ; Large Provider Entity Code </v>
      </c>
      <c r="AF245" s="297" t="s">
        <v>197</v>
      </c>
      <c r="AG245" s="297" t="s">
        <v>198</v>
      </c>
      <c r="AH245" s="297" t="s">
        <v>199</v>
      </c>
      <c r="AI245" s="297" t="s">
        <v>200</v>
      </c>
      <c r="AJ245" s="297"/>
      <c r="AK245" s="297"/>
      <c r="AL245" s="297"/>
      <c r="AM245" s="11"/>
      <c r="AN245" s="11"/>
      <c r="AO245" s="11"/>
    </row>
    <row r="246" spans="1:41" x14ac:dyDescent="0.4">
      <c r="A246" s="291"/>
      <c r="B246" s="292"/>
      <c r="C246" s="312"/>
      <c r="D246"/>
      <c r="E246" s="325"/>
      <c r="F246" s="143"/>
      <c r="G246" s="143"/>
      <c r="H246" s="143"/>
      <c r="I246" s="143"/>
      <c r="J246" s="143"/>
      <c r="K246" s="143"/>
      <c r="L246" s="143"/>
      <c r="M246" s="143"/>
      <c r="N246" s="143"/>
      <c r="O246" s="143"/>
      <c r="P246" s="143"/>
      <c r="Q246" s="143"/>
      <c r="R246" s="143"/>
      <c r="S246" s="143"/>
      <c r="T246" s="143"/>
      <c r="U246" s="143"/>
      <c r="V246" s="325"/>
      <c r="W246" s="393">
        <f t="shared" si="28"/>
        <v>0</v>
      </c>
      <c r="X246" s="393">
        <f t="shared" si="29"/>
        <v>0</v>
      </c>
      <c r="Y246" s="393">
        <f t="shared" si="30"/>
        <v>0</v>
      </c>
      <c r="Z246" s="393">
        <f t="shared" si="31"/>
        <v>0</v>
      </c>
      <c r="AA246" s="393">
        <f t="shared" si="32"/>
        <v>0</v>
      </c>
      <c r="AB246" s="393" t="e">
        <f t="shared" si="33"/>
        <v>#DIV/0!</v>
      </c>
      <c r="AC246" s="486" t="e">
        <f t="shared" si="34"/>
        <v>#DIV/0!</v>
      </c>
      <c r="AD246" s="11"/>
      <c r="AE246" s="301" t="str">
        <f>AF246&amp;TM[[#This Row],[Insurer Code]]&amp;"; "&amp;AG246&amp;TM[[#This Row],[Reporting Year]]&amp;"; "&amp;AH246&amp;TM[[#This Row],[Insurance Category Code]]&amp;"; "&amp;AI246&amp;TM[[#This Row],[Large Provider Entity Code]]</f>
        <v xml:space="preserve">Insurer Code ; Reporting Year ; Insurance Category Code ; Large Provider Entity Code </v>
      </c>
      <c r="AF246" s="297" t="s">
        <v>197</v>
      </c>
      <c r="AG246" s="297" t="s">
        <v>198</v>
      </c>
      <c r="AH246" s="297" t="s">
        <v>199</v>
      </c>
      <c r="AI246" s="297" t="s">
        <v>200</v>
      </c>
      <c r="AJ246" s="297"/>
      <c r="AK246" s="297"/>
      <c r="AL246" s="297"/>
      <c r="AM246" s="11"/>
      <c r="AN246" s="11"/>
      <c r="AO246" s="11"/>
    </row>
    <row r="247" spans="1:41" x14ac:dyDescent="0.4">
      <c r="A247" s="291"/>
      <c r="B247" s="292"/>
      <c r="C247" s="312"/>
      <c r="D247"/>
      <c r="E247" s="325"/>
      <c r="F247" s="143"/>
      <c r="G247" s="143"/>
      <c r="H247" s="143"/>
      <c r="I247" s="143"/>
      <c r="J247" s="143"/>
      <c r="K247" s="143"/>
      <c r="L247" s="143"/>
      <c r="M247" s="143"/>
      <c r="N247" s="143"/>
      <c r="O247" s="143"/>
      <c r="P247" s="143"/>
      <c r="Q247" s="143"/>
      <c r="R247" s="143"/>
      <c r="S247" s="143"/>
      <c r="T247" s="143"/>
      <c r="U247" s="143"/>
      <c r="V247" s="325"/>
      <c r="W247" s="393">
        <f t="shared" si="28"/>
        <v>0</v>
      </c>
      <c r="X247" s="393">
        <f t="shared" si="29"/>
        <v>0</v>
      </c>
      <c r="Y247" s="393">
        <f t="shared" si="30"/>
        <v>0</v>
      </c>
      <c r="Z247" s="393">
        <f t="shared" si="31"/>
        <v>0</v>
      </c>
      <c r="AA247" s="393">
        <f t="shared" si="32"/>
        <v>0</v>
      </c>
      <c r="AB247" s="393" t="e">
        <f t="shared" si="33"/>
        <v>#DIV/0!</v>
      </c>
      <c r="AC247" s="486" t="e">
        <f t="shared" si="34"/>
        <v>#DIV/0!</v>
      </c>
      <c r="AD247" s="11"/>
      <c r="AE247" s="301" t="str">
        <f>AF247&amp;TM[[#This Row],[Insurer Code]]&amp;"; "&amp;AG247&amp;TM[[#This Row],[Reporting Year]]&amp;"; "&amp;AH247&amp;TM[[#This Row],[Insurance Category Code]]&amp;"; "&amp;AI247&amp;TM[[#This Row],[Large Provider Entity Code]]</f>
        <v xml:space="preserve">Insurer Code ; Reporting Year ; Insurance Category Code ; Large Provider Entity Code </v>
      </c>
      <c r="AF247" s="297" t="s">
        <v>197</v>
      </c>
      <c r="AG247" s="297" t="s">
        <v>198</v>
      </c>
      <c r="AH247" s="297" t="s">
        <v>199</v>
      </c>
      <c r="AI247" s="297" t="s">
        <v>200</v>
      </c>
      <c r="AJ247" s="297"/>
      <c r="AK247" s="297"/>
      <c r="AL247" s="297"/>
      <c r="AM247" s="11"/>
      <c r="AN247" s="11"/>
      <c r="AO247" s="11"/>
    </row>
    <row r="248" spans="1:41" x14ac:dyDescent="0.4">
      <c r="A248" s="291"/>
      <c r="B248" s="292"/>
      <c r="C248" s="312"/>
      <c r="D248"/>
      <c r="E248" s="325"/>
      <c r="F248" s="143"/>
      <c r="G248" s="143"/>
      <c r="H248" s="143"/>
      <c r="I248" s="143"/>
      <c r="J248" s="143"/>
      <c r="K248" s="143"/>
      <c r="L248" s="143"/>
      <c r="M248" s="143"/>
      <c r="N248" s="143"/>
      <c r="O248" s="143"/>
      <c r="P248" s="143"/>
      <c r="Q248" s="143"/>
      <c r="R248" s="143"/>
      <c r="S248" s="143"/>
      <c r="T248" s="143"/>
      <c r="U248" s="143"/>
      <c r="V248" s="325"/>
      <c r="W248" s="393">
        <f t="shared" si="28"/>
        <v>0</v>
      </c>
      <c r="X248" s="393">
        <f t="shared" si="29"/>
        <v>0</v>
      </c>
      <c r="Y248" s="393">
        <f t="shared" si="30"/>
        <v>0</v>
      </c>
      <c r="Z248" s="393">
        <f t="shared" si="31"/>
        <v>0</v>
      </c>
      <c r="AA248" s="393">
        <f t="shared" si="32"/>
        <v>0</v>
      </c>
      <c r="AB248" s="393" t="e">
        <f t="shared" si="33"/>
        <v>#DIV/0!</v>
      </c>
      <c r="AC248" s="486" t="e">
        <f t="shared" si="34"/>
        <v>#DIV/0!</v>
      </c>
      <c r="AD248" s="11"/>
      <c r="AE248" s="301" t="str">
        <f>AF248&amp;TM[[#This Row],[Insurer Code]]&amp;"; "&amp;AG248&amp;TM[[#This Row],[Reporting Year]]&amp;"; "&amp;AH248&amp;TM[[#This Row],[Insurance Category Code]]&amp;"; "&amp;AI248&amp;TM[[#This Row],[Large Provider Entity Code]]</f>
        <v xml:space="preserve">Insurer Code ; Reporting Year ; Insurance Category Code ; Large Provider Entity Code </v>
      </c>
      <c r="AF248" s="297" t="s">
        <v>197</v>
      </c>
      <c r="AG248" s="297" t="s">
        <v>198</v>
      </c>
      <c r="AH248" s="297" t="s">
        <v>199</v>
      </c>
      <c r="AI248" s="297" t="s">
        <v>200</v>
      </c>
      <c r="AJ248" s="297"/>
      <c r="AK248" s="297"/>
      <c r="AL248" s="297"/>
      <c r="AM248" s="11"/>
      <c r="AN248" s="11"/>
      <c r="AO248" s="11"/>
    </row>
    <row r="249" spans="1:41" x14ac:dyDescent="0.4">
      <c r="A249" s="291"/>
      <c r="B249" s="292"/>
      <c r="C249" s="312"/>
      <c r="D249"/>
      <c r="E249" s="325"/>
      <c r="F249" s="143"/>
      <c r="G249" s="143"/>
      <c r="H249" s="143"/>
      <c r="I249" s="143"/>
      <c r="J249" s="143"/>
      <c r="K249" s="143"/>
      <c r="L249" s="143"/>
      <c r="M249" s="143"/>
      <c r="N249" s="143"/>
      <c r="O249" s="143"/>
      <c r="P249" s="143"/>
      <c r="Q249" s="143"/>
      <c r="R249" s="143"/>
      <c r="S249" s="143"/>
      <c r="T249" s="143"/>
      <c r="U249" s="143"/>
      <c r="V249" s="325"/>
      <c r="W249" s="393">
        <f t="shared" si="28"/>
        <v>0</v>
      </c>
      <c r="X249" s="393">
        <f t="shared" si="29"/>
        <v>0</v>
      </c>
      <c r="Y249" s="393">
        <f t="shared" si="30"/>
        <v>0</v>
      </c>
      <c r="Z249" s="393">
        <f t="shared" si="31"/>
        <v>0</v>
      </c>
      <c r="AA249" s="393">
        <f t="shared" si="32"/>
        <v>0</v>
      </c>
      <c r="AB249" s="393" t="e">
        <f t="shared" si="33"/>
        <v>#DIV/0!</v>
      </c>
      <c r="AC249" s="486" t="e">
        <f t="shared" si="34"/>
        <v>#DIV/0!</v>
      </c>
      <c r="AD249" s="11"/>
      <c r="AE249" s="301" t="str">
        <f>AF249&amp;TM[[#This Row],[Insurer Code]]&amp;"; "&amp;AG249&amp;TM[[#This Row],[Reporting Year]]&amp;"; "&amp;AH249&amp;TM[[#This Row],[Insurance Category Code]]&amp;"; "&amp;AI249&amp;TM[[#This Row],[Large Provider Entity Code]]</f>
        <v xml:space="preserve">Insurer Code ; Reporting Year ; Insurance Category Code ; Large Provider Entity Code </v>
      </c>
      <c r="AF249" s="297" t="s">
        <v>197</v>
      </c>
      <c r="AG249" s="297" t="s">
        <v>198</v>
      </c>
      <c r="AH249" s="297" t="s">
        <v>199</v>
      </c>
      <c r="AI249" s="297" t="s">
        <v>200</v>
      </c>
      <c r="AJ249" s="297"/>
      <c r="AK249" s="297"/>
      <c r="AL249" s="297"/>
      <c r="AM249" s="11"/>
      <c r="AN249" s="11"/>
      <c r="AO249" s="11"/>
    </row>
    <row r="250" spans="1:41" x14ac:dyDescent="0.4">
      <c r="A250" s="291"/>
      <c r="B250" s="292"/>
      <c r="C250" s="312"/>
      <c r="D250"/>
      <c r="E250" s="325"/>
      <c r="F250" s="143"/>
      <c r="G250" s="143"/>
      <c r="H250" s="143"/>
      <c r="I250" s="143"/>
      <c r="J250" s="143"/>
      <c r="K250" s="143"/>
      <c r="L250" s="143"/>
      <c r="M250" s="143"/>
      <c r="N250" s="143"/>
      <c r="O250" s="143"/>
      <c r="P250" s="143"/>
      <c r="Q250" s="143"/>
      <c r="R250" s="143"/>
      <c r="S250" s="143"/>
      <c r="T250" s="143"/>
      <c r="U250" s="143"/>
      <c r="V250" s="325"/>
      <c r="W250" s="393">
        <f t="shared" si="28"/>
        <v>0</v>
      </c>
      <c r="X250" s="393">
        <f t="shared" si="29"/>
        <v>0</v>
      </c>
      <c r="Y250" s="393">
        <f t="shared" si="30"/>
        <v>0</v>
      </c>
      <c r="Z250" s="393">
        <f t="shared" si="31"/>
        <v>0</v>
      </c>
      <c r="AA250" s="393">
        <f t="shared" si="32"/>
        <v>0</v>
      </c>
      <c r="AB250" s="393" t="e">
        <f t="shared" si="33"/>
        <v>#DIV/0!</v>
      </c>
      <c r="AC250" s="486" t="e">
        <f t="shared" si="34"/>
        <v>#DIV/0!</v>
      </c>
      <c r="AD250" s="11"/>
      <c r="AE250" s="301" t="str">
        <f>AF250&amp;TM[[#This Row],[Insurer Code]]&amp;"; "&amp;AG250&amp;TM[[#This Row],[Reporting Year]]&amp;"; "&amp;AH250&amp;TM[[#This Row],[Insurance Category Code]]&amp;"; "&amp;AI250&amp;TM[[#This Row],[Large Provider Entity Code]]</f>
        <v xml:space="preserve">Insurer Code ; Reporting Year ; Insurance Category Code ; Large Provider Entity Code </v>
      </c>
      <c r="AF250" s="297" t="s">
        <v>197</v>
      </c>
      <c r="AG250" s="297" t="s">
        <v>198</v>
      </c>
      <c r="AH250" s="297" t="s">
        <v>199</v>
      </c>
      <c r="AI250" s="297" t="s">
        <v>200</v>
      </c>
      <c r="AJ250" s="297"/>
      <c r="AK250" s="297"/>
      <c r="AL250" s="297"/>
      <c r="AM250" s="11"/>
      <c r="AN250" s="11"/>
      <c r="AO250" s="11"/>
    </row>
    <row r="251" spans="1:41" x14ac:dyDescent="0.4">
      <c r="A251" s="291"/>
      <c r="B251" s="292"/>
      <c r="C251" s="312"/>
      <c r="D251"/>
      <c r="E251" s="325"/>
      <c r="F251" s="143"/>
      <c r="G251" s="143"/>
      <c r="H251" s="143"/>
      <c r="I251" s="143"/>
      <c r="J251" s="143"/>
      <c r="K251" s="143"/>
      <c r="L251" s="143"/>
      <c r="M251" s="143"/>
      <c r="N251" s="143"/>
      <c r="O251" s="143"/>
      <c r="P251" s="143"/>
      <c r="Q251" s="143"/>
      <c r="R251" s="143"/>
      <c r="S251" s="143"/>
      <c r="T251" s="143"/>
      <c r="U251" s="143"/>
      <c r="V251" s="325"/>
      <c r="W251" s="393">
        <f t="shared" si="28"/>
        <v>0</v>
      </c>
      <c r="X251" s="393">
        <f t="shared" si="29"/>
        <v>0</v>
      </c>
      <c r="Y251" s="393">
        <f t="shared" si="30"/>
        <v>0</v>
      </c>
      <c r="Z251" s="393">
        <f t="shared" si="31"/>
        <v>0</v>
      </c>
      <c r="AA251" s="393">
        <f t="shared" si="32"/>
        <v>0</v>
      </c>
      <c r="AB251" s="393" t="e">
        <f t="shared" si="33"/>
        <v>#DIV/0!</v>
      </c>
      <c r="AC251" s="486" t="e">
        <f t="shared" si="34"/>
        <v>#DIV/0!</v>
      </c>
      <c r="AD251" s="11"/>
      <c r="AE251" s="301" t="str">
        <f>AF251&amp;TM[[#This Row],[Insurer Code]]&amp;"; "&amp;AG251&amp;TM[[#This Row],[Reporting Year]]&amp;"; "&amp;AH251&amp;TM[[#This Row],[Insurance Category Code]]&amp;"; "&amp;AI251&amp;TM[[#This Row],[Large Provider Entity Code]]</f>
        <v xml:space="preserve">Insurer Code ; Reporting Year ; Insurance Category Code ; Large Provider Entity Code </v>
      </c>
      <c r="AF251" s="297" t="s">
        <v>197</v>
      </c>
      <c r="AG251" s="297" t="s">
        <v>198</v>
      </c>
      <c r="AH251" s="297" t="s">
        <v>199</v>
      </c>
      <c r="AI251" s="297" t="s">
        <v>200</v>
      </c>
      <c r="AJ251" s="297"/>
      <c r="AK251" s="297"/>
      <c r="AL251" s="297"/>
      <c r="AM251" s="11"/>
      <c r="AN251" s="11"/>
      <c r="AO251" s="11"/>
    </row>
    <row r="252" spans="1:41" x14ac:dyDescent="0.4">
      <c r="A252" s="291"/>
      <c r="B252" s="292"/>
      <c r="C252" s="312"/>
      <c r="D252"/>
      <c r="E252" s="325"/>
      <c r="F252" s="143"/>
      <c r="G252" s="143"/>
      <c r="H252" s="143"/>
      <c r="I252" s="143"/>
      <c r="J252" s="143"/>
      <c r="K252" s="143"/>
      <c r="L252" s="143"/>
      <c r="M252" s="143"/>
      <c r="N252" s="143"/>
      <c r="O252" s="143"/>
      <c r="P252" s="143"/>
      <c r="Q252" s="143"/>
      <c r="R252" s="143"/>
      <c r="S252" s="143"/>
      <c r="T252" s="143"/>
      <c r="U252" s="143"/>
      <c r="V252" s="325"/>
      <c r="W252" s="393">
        <f t="shared" si="28"/>
        <v>0</v>
      </c>
      <c r="X252" s="393">
        <f t="shared" si="29"/>
        <v>0</v>
      </c>
      <c r="Y252" s="393">
        <f t="shared" si="30"/>
        <v>0</v>
      </c>
      <c r="Z252" s="393">
        <f t="shared" si="31"/>
        <v>0</v>
      </c>
      <c r="AA252" s="393">
        <f t="shared" si="32"/>
        <v>0</v>
      </c>
      <c r="AB252" s="393" t="e">
        <f t="shared" si="33"/>
        <v>#DIV/0!</v>
      </c>
      <c r="AC252" s="486" t="e">
        <f t="shared" si="34"/>
        <v>#DIV/0!</v>
      </c>
      <c r="AD252" s="11"/>
      <c r="AE252" s="301" t="str">
        <f>AF252&amp;TM[[#This Row],[Insurer Code]]&amp;"; "&amp;AG252&amp;TM[[#This Row],[Reporting Year]]&amp;"; "&amp;AH252&amp;TM[[#This Row],[Insurance Category Code]]&amp;"; "&amp;AI252&amp;TM[[#This Row],[Large Provider Entity Code]]</f>
        <v xml:space="preserve">Insurer Code ; Reporting Year ; Insurance Category Code ; Large Provider Entity Code </v>
      </c>
      <c r="AF252" s="297" t="s">
        <v>197</v>
      </c>
      <c r="AG252" s="297" t="s">
        <v>198</v>
      </c>
      <c r="AH252" s="297" t="s">
        <v>199</v>
      </c>
      <c r="AI252" s="297" t="s">
        <v>200</v>
      </c>
      <c r="AJ252" s="297"/>
      <c r="AK252" s="297"/>
      <c r="AL252" s="297"/>
      <c r="AM252" s="11"/>
      <c r="AN252" s="11"/>
      <c r="AO252" s="11"/>
    </row>
    <row r="253" spans="1:41" x14ac:dyDescent="0.4">
      <c r="A253" s="291"/>
      <c r="B253" s="292"/>
      <c r="C253" s="312"/>
      <c r="D253"/>
      <c r="E253" s="325"/>
      <c r="F253" s="143"/>
      <c r="G253" s="143"/>
      <c r="H253" s="143"/>
      <c r="I253" s="143"/>
      <c r="J253" s="143"/>
      <c r="K253" s="143"/>
      <c r="L253" s="143"/>
      <c r="M253" s="143"/>
      <c r="N253" s="143"/>
      <c r="O253" s="143"/>
      <c r="P253" s="143"/>
      <c r="Q253" s="143"/>
      <c r="R253" s="143"/>
      <c r="S253" s="143"/>
      <c r="T253" s="143"/>
      <c r="U253" s="143"/>
      <c r="V253" s="325"/>
      <c r="W253" s="393">
        <f t="shared" si="28"/>
        <v>0</v>
      </c>
      <c r="X253" s="393">
        <f t="shared" si="29"/>
        <v>0</v>
      </c>
      <c r="Y253" s="393">
        <f t="shared" si="30"/>
        <v>0</v>
      </c>
      <c r="Z253" s="393">
        <f t="shared" si="31"/>
        <v>0</v>
      </c>
      <c r="AA253" s="393">
        <f t="shared" si="32"/>
        <v>0</v>
      </c>
      <c r="AB253" s="393" t="e">
        <f t="shared" si="33"/>
        <v>#DIV/0!</v>
      </c>
      <c r="AC253" s="486" t="e">
        <f t="shared" si="34"/>
        <v>#DIV/0!</v>
      </c>
      <c r="AD253" s="11"/>
      <c r="AE253" s="301" t="str">
        <f>AF253&amp;TM[[#This Row],[Insurer Code]]&amp;"; "&amp;AG253&amp;TM[[#This Row],[Reporting Year]]&amp;"; "&amp;AH253&amp;TM[[#This Row],[Insurance Category Code]]&amp;"; "&amp;AI253&amp;TM[[#This Row],[Large Provider Entity Code]]</f>
        <v xml:space="preserve">Insurer Code ; Reporting Year ; Insurance Category Code ; Large Provider Entity Code </v>
      </c>
      <c r="AF253" s="297" t="s">
        <v>197</v>
      </c>
      <c r="AG253" s="297" t="s">
        <v>198</v>
      </c>
      <c r="AH253" s="297" t="s">
        <v>199</v>
      </c>
      <c r="AI253" s="297" t="s">
        <v>200</v>
      </c>
      <c r="AJ253" s="297"/>
      <c r="AK253" s="297"/>
      <c r="AL253" s="297"/>
      <c r="AM253" s="11"/>
      <c r="AN253" s="11"/>
      <c r="AO253" s="11"/>
    </row>
    <row r="254" spans="1:41" x14ac:dyDescent="0.4">
      <c r="A254" s="291"/>
      <c r="B254" s="292"/>
      <c r="C254" s="312"/>
      <c r="D254"/>
      <c r="E254" s="325"/>
      <c r="F254" s="143"/>
      <c r="G254" s="143"/>
      <c r="H254" s="143"/>
      <c r="I254" s="143"/>
      <c r="J254" s="143"/>
      <c r="K254" s="143"/>
      <c r="L254" s="143"/>
      <c r="M254" s="143"/>
      <c r="N254" s="143"/>
      <c r="O254" s="143"/>
      <c r="P254" s="143"/>
      <c r="Q254" s="143"/>
      <c r="R254" s="143"/>
      <c r="S254" s="143"/>
      <c r="T254" s="143"/>
      <c r="U254" s="143"/>
      <c r="V254" s="325"/>
      <c r="W254" s="393">
        <f t="shared" si="28"/>
        <v>0</v>
      </c>
      <c r="X254" s="393">
        <f t="shared" si="29"/>
        <v>0</v>
      </c>
      <c r="Y254" s="393">
        <f t="shared" si="30"/>
        <v>0</v>
      </c>
      <c r="Z254" s="393">
        <f t="shared" si="31"/>
        <v>0</v>
      </c>
      <c r="AA254" s="393">
        <f t="shared" si="32"/>
        <v>0</v>
      </c>
      <c r="AB254" s="393" t="e">
        <f t="shared" si="33"/>
        <v>#DIV/0!</v>
      </c>
      <c r="AC254" s="486" t="e">
        <f t="shared" si="34"/>
        <v>#DIV/0!</v>
      </c>
      <c r="AD254" s="11"/>
      <c r="AE254" s="301" t="str">
        <f>AF254&amp;TM[[#This Row],[Insurer Code]]&amp;"; "&amp;AG254&amp;TM[[#This Row],[Reporting Year]]&amp;"; "&amp;AH254&amp;TM[[#This Row],[Insurance Category Code]]&amp;"; "&amp;AI254&amp;TM[[#This Row],[Large Provider Entity Code]]</f>
        <v xml:space="preserve">Insurer Code ; Reporting Year ; Insurance Category Code ; Large Provider Entity Code </v>
      </c>
      <c r="AF254" s="297" t="s">
        <v>197</v>
      </c>
      <c r="AG254" s="297" t="s">
        <v>198</v>
      </c>
      <c r="AH254" s="297" t="s">
        <v>199</v>
      </c>
      <c r="AI254" s="297" t="s">
        <v>200</v>
      </c>
      <c r="AJ254" s="297"/>
      <c r="AK254" s="297"/>
      <c r="AL254" s="297"/>
      <c r="AM254" s="11"/>
      <c r="AN254" s="11"/>
      <c r="AO254" s="11"/>
    </row>
    <row r="255" spans="1:41" x14ac:dyDescent="0.4">
      <c r="A255" s="291"/>
      <c r="B255" s="292"/>
      <c r="C255" s="312"/>
      <c r="D255"/>
      <c r="E255" s="325"/>
      <c r="F255" s="143"/>
      <c r="G255" s="143"/>
      <c r="H255" s="143"/>
      <c r="I255" s="143"/>
      <c r="J255" s="143"/>
      <c r="K255" s="143"/>
      <c r="L255" s="143"/>
      <c r="M255" s="143"/>
      <c r="N255" s="143"/>
      <c r="O255" s="143"/>
      <c r="P255" s="143"/>
      <c r="Q255" s="143"/>
      <c r="R255" s="143"/>
      <c r="S255" s="143"/>
      <c r="T255" s="143"/>
      <c r="U255" s="143"/>
      <c r="V255" s="325"/>
      <c r="W255" s="393">
        <f t="shared" si="28"/>
        <v>0</v>
      </c>
      <c r="X255" s="393">
        <f t="shared" si="29"/>
        <v>0</v>
      </c>
      <c r="Y255" s="393">
        <f t="shared" si="30"/>
        <v>0</v>
      </c>
      <c r="Z255" s="393">
        <f t="shared" si="31"/>
        <v>0</v>
      </c>
      <c r="AA255" s="393">
        <f t="shared" si="32"/>
        <v>0</v>
      </c>
      <c r="AB255" s="393" t="e">
        <f t="shared" si="33"/>
        <v>#DIV/0!</v>
      </c>
      <c r="AC255" s="486" t="e">
        <f t="shared" si="34"/>
        <v>#DIV/0!</v>
      </c>
      <c r="AD255" s="11"/>
      <c r="AE255" s="301" t="str">
        <f>AF255&amp;TM[[#This Row],[Insurer Code]]&amp;"; "&amp;AG255&amp;TM[[#This Row],[Reporting Year]]&amp;"; "&amp;AH255&amp;TM[[#This Row],[Insurance Category Code]]&amp;"; "&amp;AI255&amp;TM[[#This Row],[Large Provider Entity Code]]</f>
        <v xml:space="preserve">Insurer Code ; Reporting Year ; Insurance Category Code ; Large Provider Entity Code </v>
      </c>
      <c r="AF255" s="297" t="s">
        <v>197</v>
      </c>
      <c r="AG255" s="297" t="s">
        <v>198</v>
      </c>
      <c r="AH255" s="297" t="s">
        <v>199</v>
      </c>
      <c r="AI255" s="297" t="s">
        <v>200</v>
      </c>
      <c r="AJ255" s="297"/>
      <c r="AK255" s="297"/>
      <c r="AL255" s="297"/>
      <c r="AM255" s="11"/>
      <c r="AN255" s="11"/>
      <c r="AO255" s="11"/>
    </row>
    <row r="256" spans="1:41" x14ac:dyDescent="0.4">
      <c r="A256" s="291"/>
      <c r="B256" s="292"/>
      <c r="C256" s="312"/>
      <c r="D256"/>
      <c r="E256" s="325"/>
      <c r="F256" s="143"/>
      <c r="G256" s="143"/>
      <c r="H256" s="143"/>
      <c r="I256" s="143"/>
      <c r="J256" s="143"/>
      <c r="K256" s="143"/>
      <c r="L256" s="143"/>
      <c r="M256" s="143"/>
      <c r="N256" s="143"/>
      <c r="O256" s="143"/>
      <c r="P256" s="143"/>
      <c r="Q256" s="143"/>
      <c r="R256" s="143"/>
      <c r="S256" s="143"/>
      <c r="T256" s="143"/>
      <c r="U256" s="143"/>
      <c r="V256" s="325"/>
      <c r="W256" s="393">
        <f t="shared" si="28"/>
        <v>0</v>
      </c>
      <c r="X256" s="393">
        <f t="shared" si="29"/>
        <v>0</v>
      </c>
      <c r="Y256" s="393">
        <f t="shared" si="30"/>
        <v>0</v>
      </c>
      <c r="Z256" s="393">
        <f t="shared" si="31"/>
        <v>0</v>
      </c>
      <c r="AA256" s="393">
        <f t="shared" si="32"/>
        <v>0</v>
      </c>
      <c r="AB256" s="393" t="e">
        <f t="shared" si="33"/>
        <v>#DIV/0!</v>
      </c>
      <c r="AC256" s="486" t="e">
        <f t="shared" si="34"/>
        <v>#DIV/0!</v>
      </c>
      <c r="AD256" s="11"/>
      <c r="AE256" s="301" t="str">
        <f>AF256&amp;TM[[#This Row],[Insurer Code]]&amp;"; "&amp;AG256&amp;TM[[#This Row],[Reporting Year]]&amp;"; "&amp;AH256&amp;TM[[#This Row],[Insurance Category Code]]&amp;"; "&amp;AI256&amp;TM[[#This Row],[Large Provider Entity Code]]</f>
        <v xml:space="preserve">Insurer Code ; Reporting Year ; Insurance Category Code ; Large Provider Entity Code </v>
      </c>
      <c r="AF256" s="297" t="s">
        <v>197</v>
      </c>
      <c r="AG256" s="297" t="s">
        <v>198</v>
      </c>
      <c r="AH256" s="297" t="s">
        <v>199</v>
      </c>
      <c r="AI256" s="297" t="s">
        <v>200</v>
      </c>
      <c r="AJ256" s="297"/>
      <c r="AK256" s="297"/>
      <c r="AL256" s="297"/>
      <c r="AM256" s="11"/>
      <c r="AN256" s="11"/>
      <c r="AO256" s="11"/>
    </row>
    <row r="257" spans="1:41" x14ac:dyDescent="0.4">
      <c r="A257" s="291"/>
      <c r="B257" s="292"/>
      <c r="C257" s="312"/>
      <c r="D257"/>
      <c r="E257" s="325"/>
      <c r="F257" s="143"/>
      <c r="G257" s="143"/>
      <c r="H257" s="143"/>
      <c r="I257" s="143"/>
      <c r="J257" s="143"/>
      <c r="K257" s="143"/>
      <c r="L257" s="143"/>
      <c r="M257" s="143"/>
      <c r="N257" s="143"/>
      <c r="O257" s="143"/>
      <c r="P257" s="143"/>
      <c r="Q257" s="143"/>
      <c r="R257" s="143"/>
      <c r="S257" s="143"/>
      <c r="T257" s="143"/>
      <c r="U257" s="143"/>
      <c r="V257" s="325"/>
      <c r="W257" s="393">
        <f t="shared" si="28"/>
        <v>0</v>
      </c>
      <c r="X257" s="393">
        <f t="shared" si="29"/>
        <v>0</v>
      </c>
      <c r="Y257" s="393">
        <f t="shared" si="30"/>
        <v>0</v>
      </c>
      <c r="Z257" s="393">
        <f t="shared" si="31"/>
        <v>0</v>
      </c>
      <c r="AA257" s="393">
        <f t="shared" si="32"/>
        <v>0</v>
      </c>
      <c r="AB257" s="393" t="e">
        <f t="shared" si="33"/>
        <v>#DIV/0!</v>
      </c>
      <c r="AC257" s="486" t="e">
        <f t="shared" si="34"/>
        <v>#DIV/0!</v>
      </c>
      <c r="AD257" s="11"/>
      <c r="AE257" s="301" t="str">
        <f>AF257&amp;TM[[#This Row],[Insurer Code]]&amp;"; "&amp;AG257&amp;TM[[#This Row],[Reporting Year]]&amp;"; "&amp;AH257&amp;TM[[#This Row],[Insurance Category Code]]&amp;"; "&amp;AI257&amp;TM[[#This Row],[Large Provider Entity Code]]</f>
        <v xml:space="preserve">Insurer Code ; Reporting Year ; Insurance Category Code ; Large Provider Entity Code </v>
      </c>
      <c r="AF257" s="297" t="s">
        <v>197</v>
      </c>
      <c r="AG257" s="297" t="s">
        <v>198</v>
      </c>
      <c r="AH257" s="297" t="s">
        <v>199</v>
      </c>
      <c r="AI257" s="297" t="s">
        <v>200</v>
      </c>
      <c r="AJ257" s="297"/>
      <c r="AK257" s="297"/>
      <c r="AL257" s="297"/>
      <c r="AM257" s="11"/>
      <c r="AN257" s="11"/>
      <c r="AO257" s="11"/>
    </row>
    <row r="258" spans="1:41" x14ac:dyDescent="0.4">
      <c r="A258" s="291"/>
      <c r="B258" s="292"/>
      <c r="C258" s="312"/>
      <c r="D258"/>
      <c r="E258" s="325"/>
      <c r="F258" s="143"/>
      <c r="G258" s="143"/>
      <c r="H258" s="143"/>
      <c r="I258" s="143"/>
      <c r="J258" s="143"/>
      <c r="K258" s="143"/>
      <c r="L258" s="143"/>
      <c r="M258" s="143"/>
      <c r="N258" s="143"/>
      <c r="O258" s="143"/>
      <c r="P258" s="143"/>
      <c r="Q258" s="143"/>
      <c r="R258" s="143"/>
      <c r="S258" s="143"/>
      <c r="T258" s="143"/>
      <c r="U258" s="143"/>
      <c r="V258" s="325"/>
      <c r="W258" s="393">
        <f t="shared" si="28"/>
        <v>0</v>
      </c>
      <c r="X258" s="393">
        <f t="shared" si="29"/>
        <v>0</v>
      </c>
      <c r="Y258" s="393">
        <f t="shared" si="30"/>
        <v>0</v>
      </c>
      <c r="Z258" s="393">
        <f t="shared" si="31"/>
        <v>0</v>
      </c>
      <c r="AA258" s="393">
        <f t="shared" si="32"/>
        <v>0</v>
      </c>
      <c r="AB258" s="393" t="e">
        <f t="shared" si="33"/>
        <v>#DIV/0!</v>
      </c>
      <c r="AC258" s="486" t="e">
        <f t="shared" si="34"/>
        <v>#DIV/0!</v>
      </c>
      <c r="AD258" s="11"/>
      <c r="AE258" s="301" t="str">
        <f>AF258&amp;TM[[#This Row],[Insurer Code]]&amp;"; "&amp;AG258&amp;TM[[#This Row],[Reporting Year]]&amp;"; "&amp;AH258&amp;TM[[#This Row],[Insurance Category Code]]&amp;"; "&amp;AI258&amp;TM[[#This Row],[Large Provider Entity Code]]</f>
        <v xml:space="preserve">Insurer Code ; Reporting Year ; Insurance Category Code ; Large Provider Entity Code </v>
      </c>
      <c r="AF258" s="297" t="s">
        <v>197</v>
      </c>
      <c r="AG258" s="297" t="s">
        <v>198</v>
      </c>
      <c r="AH258" s="297" t="s">
        <v>199</v>
      </c>
      <c r="AI258" s="297" t="s">
        <v>200</v>
      </c>
      <c r="AJ258" s="297"/>
      <c r="AK258" s="297"/>
      <c r="AL258" s="297"/>
      <c r="AM258" s="11"/>
      <c r="AN258" s="11"/>
      <c r="AO258" s="11"/>
    </row>
    <row r="259" spans="1:41" x14ac:dyDescent="0.4">
      <c r="A259" s="291"/>
      <c r="B259" s="292"/>
      <c r="C259" s="312"/>
      <c r="D259"/>
      <c r="E259" s="325"/>
      <c r="F259" s="143"/>
      <c r="G259" s="143"/>
      <c r="H259" s="143"/>
      <c r="I259" s="143"/>
      <c r="J259" s="143"/>
      <c r="K259" s="143"/>
      <c r="L259" s="143"/>
      <c r="M259" s="143"/>
      <c r="N259" s="143"/>
      <c r="O259" s="143"/>
      <c r="P259" s="143"/>
      <c r="Q259" s="143"/>
      <c r="R259" s="143"/>
      <c r="S259" s="143"/>
      <c r="T259" s="143"/>
      <c r="U259" s="143"/>
      <c r="V259" s="325"/>
      <c r="W259" s="393">
        <f t="shared" si="28"/>
        <v>0</v>
      </c>
      <c r="X259" s="393">
        <f t="shared" si="29"/>
        <v>0</v>
      </c>
      <c r="Y259" s="393">
        <f t="shared" si="30"/>
        <v>0</v>
      </c>
      <c r="Z259" s="393">
        <f t="shared" si="31"/>
        <v>0</v>
      </c>
      <c r="AA259" s="393">
        <f t="shared" si="32"/>
        <v>0</v>
      </c>
      <c r="AB259" s="393" t="e">
        <f t="shared" si="33"/>
        <v>#DIV/0!</v>
      </c>
      <c r="AC259" s="486" t="e">
        <f t="shared" si="34"/>
        <v>#DIV/0!</v>
      </c>
      <c r="AD259" s="11"/>
      <c r="AE259" s="301" t="str">
        <f>AF259&amp;TM[[#This Row],[Insurer Code]]&amp;"; "&amp;AG259&amp;TM[[#This Row],[Reporting Year]]&amp;"; "&amp;AH259&amp;TM[[#This Row],[Insurance Category Code]]&amp;"; "&amp;AI259&amp;TM[[#This Row],[Large Provider Entity Code]]</f>
        <v xml:space="preserve">Insurer Code ; Reporting Year ; Insurance Category Code ; Large Provider Entity Code </v>
      </c>
      <c r="AF259" s="297" t="s">
        <v>197</v>
      </c>
      <c r="AG259" s="297" t="s">
        <v>198</v>
      </c>
      <c r="AH259" s="297" t="s">
        <v>199</v>
      </c>
      <c r="AI259" s="297" t="s">
        <v>200</v>
      </c>
      <c r="AJ259" s="297"/>
      <c r="AK259" s="297"/>
      <c r="AL259" s="297"/>
      <c r="AM259" s="11"/>
      <c r="AN259" s="11"/>
      <c r="AO259" s="11"/>
    </row>
    <row r="260" spans="1:41" x14ac:dyDescent="0.4">
      <c r="A260" s="291"/>
      <c r="B260" s="292"/>
      <c r="C260" s="312"/>
      <c r="D260"/>
      <c r="E260" s="325"/>
      <c r="F260" s="143"/>
      <c r="G260" s="143"/>
      <c r="H260" s="143"/>
      <c r="I260" s="143"/>
      <c r="J260" s="143"/>
      <c r="K260" s="143"/>
      <c r="L260" s="143"/>
      <c r="M260" s="143"/>
      <c r="N260" s="143"/>
      <c r="O260" s="143"/>
      <c r="P260" s="143"/>
      <c r="Q260" s="143"/>
      <c r="R260" s="143"/>
      <c r="S260" s="143"/>
      <c r="T260" s="143"/>
      <c r="U260" s="143"/>
      <c r="V260" s="325"/>
      <c r="W260" s="393">
        <f t="shared" si="28"/>
        <v>0</v>
      </c>
      <c r="X260" s="393">
        <f t="shared" si="29"/>
        <v>0</v>
      </c>
      <c r="Y260" s="393">
        <f t="shared" si="30"/>
        <v>0</v>
      </c>
      <c r="Z260" s="393">
        <f t="shared" si="31"/>
        <v>0</v>
      </c>
      <c r="AA260" s="393">
        <f t="shared" si="32"/>
        <v>0</v>
      </c>
      <c r="AB260" s="393" t="e">
        <f t="shared" si="33"/>
        <v>#DIV/0!</v>
      </c>
      <c r="AC260" s="486" t="e">
        <f t="shared" si="34"/>
        <v>#DIV/0!</v>
      </c>
      <c r="AD260" s="11"/>
      <c r="AE260" s="301" t="str">
        <f>AF260&amp;TM[[#This Row],[Insurer Code]]&amp;"; "&amp;AG260&amp;TM[[#This Row],[Reporting Year]]&amp;"; "&amp;AH260&amp;TM[[#This Row],[Insurance Category Code]]&amp;"; "&amp;AI260&amp;TM[[#This Row],[Large Provider Entity Code]]</f>
        <v xml:space="preserve">Insurer Code ; Reporting Year ; Insurance Category Code ; Large Provider Entity Code </v>
      </c>
      <c r="AF260" s="297" t="s">
        <v>197</v>
      </c>
      <c r="AG260" s="297" t="s">
        <v>198</v>
      </c>
      <c r="AH260" s="297" t="s">
        <v>199</v>
      </c>
      <c r="AI260" s="297" t="s">
        <v>200</v>
      </c>
      <c r="AJ260" s="297"/>
      <c r="AK260" s="297"/>
      <c r="AL260" s="297"/>
      <c r="AM260" s="11"/>
      <c r="AN260" s="11"/>
      <c r="AO260" s="11"/>
    </row>
    <row r="261" spans="1:41" x14ac:dyDescent="0.4">
      <c r="A261" s="291"/>
      <c r="B261" s="292"/>
      <c r="C261" s="312"/>
      <c r="D261"/>
      <c r="E261" s="325"/>
      <c r="F261" s="143"/>
      <c r="G261" s="143"/>
      <c r="H261" s="143"/>
      <c r="I261" s="143"/>
      <c r="J261" s="143"/>
      <c r="K261" s="143"/>
      <c r="L261" s="143"/>
      <c r="M261" s="143"/>
      <c r="N261" s="143"/>
      <c r="O261" s="143"/>
      <c r="P261" s="143"/>
      <c r="Q261" s="143"/>
      <c r="R261" s="143"/>
      <c r="S261" s="143"/>
      <c r="T261" s="143"/>
      <c r="U261" s="143"/>
      <c r="V261" s="325"/>
      <c r="W261" s="393">
        <f t="shared" si="28"/>
        <v>0</v>
      </c>
      <c r="X261" s="393">
        <f t="shared" si="29"/>
        <v>0</v>
      </c>
      <c r="Y261" s="393">
        <f t="shared" si="30"/>
        <v>0</v>
      </c>
      <c r="Z261" s="393">
        <f t="shared" si="31"/>
        <v>0</v>
      </c>
      <c r="AA261" s="393">
        <f t="shared" si="32"/>
        <v>0</v>
      </c>
      <c r="AB261" s="393" t="e">
        <f t="shared" si="33"/>
        <v>#DIV/0!</v>
      </c>
      <c r="AC261" s="486" t="e">
        <f t="shared" si="34"/>
        <v>#DIV/0!</v>
      </c>
      <c r="AD261" s="11"/>
      <c r="AE261" s="301" t="str">
        <f>AF261&amp;TM[[#This Row],[Insurer Code]]&amp;"; "&amp;AG261&amp;TM[[#This Row],[Reporting Year]]&amp;"; "&amp;AH261&amp;TM[[#This Row],[Insurance Category Code]]&amp;"; "&amp;AI261&amp;TM[[#This Row],[Large Provider Entity Code]]</f>
        <v xml:space="preserve">Insurer Code ; Reporting Year ; Insurance Category Code ; Large Provider Entity Code </v>
      </c>
      <c r="AF261" s="297" t="s">
        <v>197</v>
      </c>
      <c r="AG261" s="297" t="s">
        <v>198</v>
      </c>
      <c r="AH261" s="297" t="s">
        <v>199</v>
      </c>
      <c r="AI261" s="297" t="s">
        <v>200</v>
      </c>
      <c r="AJ261" s="297"/>
      <c r="AK261" s="297"/>
      <c r="AL261" s="297"/>
      <c r="AM261" s="11"/>
      <c r="AN261" s="11"/>
      <c r="AO261" s="11"/>
    </row>
    <row r="262" spans="1:41" x14ac:dyDescent="0.4">
      <c r="A262" s="291"/>
      <c r="B262" s="292"/>
      <c r="C262" s="312"/>
      <c r="D262"/>
      <c r="E262" s="325"/>
      <c r="F262" s="143"/>
      <c r="G262" s="143"/>
      <c r="H262" s="143"/>
      <c r="I262" s="143"/>
      <c r="J262" s="143"/>
      <c r="K262" s="143"/>
      <c r="L262" s="143"/>
      <c r="M262" s="143"/>
      <c r="N262" s="143"/>
      <c r="O262" s="143"/>
      <c r="P262" s="143"/>
      <c r="Q262" s="143"/>
      <c r="R262" s="143"/>
      <c r="S262" s="143"/>
      <c r="T262" s="143"/>
      <c r="U262" s="143"/>
      <c r="V262" s="325"/>
      <c r="W262" s="393">
        <f t="shared" si="28"/>
        <v>0</v>
      </c>
      <c r="X262" s="393">
        <f t="shared" si="29"/>
        <v>0</v>
      </c>
      <c r="Y262" s="393">
        <f t="shared" si="30"/>
        <v>0</v>
      </c>
      <c r="Z262" s="393">
        <f t="shared" si="31"/>
        <v>0</v>
      </c>
      <c r="AA262" s="393">
        <f t="shared" si="32"/>
        <v>0</v>
      </c>
      <c r="AB262" s="393" t="e">
        <f t="shared" si="33"/>
        <v>#DIV/0!</v>
      </c>
      <c r="AC262" s="486" t="e">
        <f t="shared" si="34"/>
        <v>#DIV/0!</v>
      </c>
      <c r="AD262" s="11"/>
      <c r="AE262" s="301" t="str">
        <f>AF262&amp;TM[[#This Row],[Insurer Code]]&amp;"; "&amp;AG262&amp;TM[[#This Row],[Reporting Year]]&amp;"; "&amp;AH262&amp;TM[[#This Row],[Insurance Category Code]]&amp;"; "&amp;AI262&amp;TM[[#This Row],[Large Provider Entity Code]]</f>
        <v xml:space="preserve">Insurer Code ; Reporting Year ; Insurance Category Code ; Large Provider Entity Code </v>
      </c>
      <c r="AF262" s="297" t="s">
        <v>197</v>
      </c>
      <c r="AG262" s="297" t="s">
        <v>198</v>
      </c>
      <c r="AH262" s="297" t="s">
        <v>199</v>
      </c>
      <c r="AI262" s="297" t="s">
        <v>200</v>
      </c>
      <c r="AJ262" s="297"/>
      <c r="AK262" s="297"/>
      <c r="AL262" s="297"/>
      <c r="AM262" s="11"/>
      <c r="AN262" s="11"/>
      <c r="AO262" s="11"/>
    </row>
    <row r="263" spans="1:41" x14ac:dyDescent="0.4">
      <c r="A263" s="291"/>
      <c r="B263" s="292"/>
      <c r="C263" s="312"/>
      <c r="D263"/>
      <c r="E263" s="325"/>
      <c r="F263" s="143"/>
      <c r="G263" s="143"/>
      <c r="H263" s="143"/>
      <c r="I263" s="143"/>
      <c r="J263" s="143"/>
      <c r="K263" s="143"/>
      <c r="L263" s="143"/>
      <c r="M263" s="143"/>
      <c r="N263" s="143"/>
      <c r="O263" s="143"/>
      <c r="P263" s="143"/>
      <c r="Q263" s="143"/>
      <c r="R263" s="143"/>
      <c r="S263" s="143"/>
      <c r="T263" s="143"/>
      <c r="U263" s="143"/>
      <c r="V263" s="325"/>
      <c r="W263" s="393">
        <f t="shared" si="28"/>
        <v>0</v>
      </c>
      <c r="X263" s="393">
        <f t="shared" si="29"/>
        <v>0</v>
      </c>
      <c r="Y263" s="393">
        <f t="shared" si="30"/>
        <v>0</v>
      </c>
      <c r="Z263" s="393">
        <f t="shared" si="31"/>
        <v>0</v>
      </c>
      <c r="AA263" s="393">
        <f t="shared" si="32"/>
        <v>0</v>
      </c>
      <c r="AB263" s="393" t="e">
        <f t="shared" si="33"/>
        <v>#DIV/0!</v>
      </c>
      <c r="AC263" s="486" t="e">
        <f t="shared" si="34"/>
        <v>#DIV/0!</v>
      </c>
      <c r="AD263" s="11"/>
      <c r="AE263" s="301" t="str">
        <f>AF263&amp;TM[[#This Row],[Insurer Code]]&amp;"; "&amp;AG263&amp;TM[[#This Row],[Reporting Year]]&amp;"; "&amp;AH263&amp;TM[[#This Row],[Insurance Category Code]]&amp;"; "&amp;AI263&amp;TM[[#This Row],[Large Provider Entity Code]]</f>
        <v xml:space="preserve">Insurer Code ; Reporting Year ; Insurance Category Code ; Large Provider Entity Code </v>
      </c>
      <c r="AF263" s="297" t="s">
        <v>197</v>
      </c>
      <c r="AG263" s="297" t="s">
        <v>198</v>
      </c>
      <c r="AH263" s="297" t="s">
        <v>199</v>
      </c>
      <c r="AI263" s="297" t="s">
        <v>200</v>
      </c>
      <c r="AJ263" s="297"/>
      <c r="AK263" s="297"/>
      <c r="AL263" s="297"/>
      <c r="AM263" s="11"/>
      <c r="AN263" s="11"/>
      <c r="AO263" s="11"/>
    </row>
    <row r="264" spans="1:41" x14ac:dyDescent="0.4">
      <c r="A264" s="291"/>
      <c r="B264" s="292"/>
      <c r="C264" s="312"/>
      <c r="D264"/>
      <c r="E264" s="325"/>
      <c r="F264" s="143"/>
      <c r="G264" s="143"/>
      <c r="H264" s="143"/>
      <c r="I264" s="143"/>
      <c r="J264" s="143"/>
      <c r="K264" s="143"/>
      <c r="L264" s="143"/>
      <c r="M264" s="143"/>
      <c r="N264" s="143"/>
      <c r="O264" s="143"/>
      <c r="P264" s="143"/>
      <c r="Q264" s="143"/>
      <c r="R264" s="143"/>
      <c r="S264" s="143"/>
      <c r="T264" s="143"/>
      <c r="U264" s="143"/>
      <c r="V264" s="325"/>
      <c r="W264" s="393">
        <f t="shared" si="28"/>
        <v>0</v>
      </c>
      <c r="X264" s="393">
        <f t="shared" si="29"/>
        <v>0</v>
      </c>
      <c r="Y264" s="393">
        <f t="shared" si="30"/>
        <v>0</v>
      </c>
      <c r="Z264" s="393">
        <f t="shared" si="31"/>
        <v>0</v>
      </c>
      <c r="AA264" s="393">
        <f t="shared" si="32"/>
        <v>0</v>
      </c>
      <c r="AB264" s="393" t="e">
        <f t="shared" si="33"/>
        <v>#DIV/0!</v>
      </c>
      <c r="AC264" s="486" t="e">
        <f t="shared" si="34"/>
        <v>#DIV/0!</v>
      </c>
      <c r="AD264" s="11"/>
      <c r="AE264" s="301" t="str">
        <f>AF264&amp;TM[[#This Row],[Insurer Code]]&amp;"; "&amp;AG264&amp;TM[[#This Row],[Reporting Year]]&amp;"; "&amp;AH264&amp;TM[[#This Row],[Insurance Category Code]]&amp;"; "&amp;AI264&amp;TM[[#This Row],[Large Provider Entity Code]]</f>
        <v xml:space="preserve">Insurer Code ; Reporting Year ; Insurance Category Code ; Large Provider Entity Code </v>
      </c>
      <c r="AF264" s="297" t="s">
        <v>197</v>
      </c>
      <c r="AG264" s="297" t="s">
        <v>198</v>
      </c>
      <c r="AH264" s="297" t="s">
        <v>199</v>
      </c>
      <c r="AI264" s="297" t="s">
        <v>200</v>
      </c>
      <c r="AJ264" s="297"/>
      <c r="AK264" s="297"/>
      <c r="AL264" s="297"/>
      <c r="AM264" s="11"/>
      <c r="AN264" s="11"/>
      <c r="AO264" s="11"/>
    </row>
    <row r="265" spans="1:41" x14ac:dyDescent="0.4">
      <c r="A265" s="291"/>
      <c r="B265" s="292"/>
      <c r="C265" s="312"/>
      <c r="D265"/>
      <c r="E265" s="325"/>
      <c r="F265" s="143"/>
      <c r="G265" s="143"/>
      <c r="H265" s="143"/>
      <c r="I265" s="143"/>
      <c r="J265" s="143"/>
      <c r="K265" s="143"/>
      <c r="L265" s="143"/>
      <c r="M265" s="143"/>
      <c r="N265" s="143"/>
      <c r="O265" s="143"/>
      <c r="P265" s="143"/>
      <c r="Q265" s="143"/>
      <c r="R265" s="143"/>
      <c r="S265" s="143"/>
      <c r="T265" s="143"/>
      <c r="U265" s="143"/>
      <c r="V265" s="325"/>
      <c r="W265" s="393">
        <f t="shared" si="28"/>
        <v>0</v>
      </c>
      <c r="X265" s="393">
        <f t="shared" si="29"/>
        <v>0</v>
      </c>
      <c r="Y265" s="393">
        <f t="shared" si="30"/>
        <v>0</v>
      </c>
      <c r="Z265" s="393">
        <f t="shared" si="31"/>
        <v>0</v>
      </c>
      <c r="AA265" s="393">
        <f t="shared" si="32"/>
        <v>0</v>
      </c>
      <c r="AB265" s="393" t="e">
        <f t="shared" si="33"/>
        <v>#DIV/0!</v>
      </c>
      <c r="AC265" s="486" t="e">
        <f t="shared" si="34"/>
        <v>#DIV/0!</v>
      </c>
      <c r="AD265" s="11"/>
      <c r="AE265" s="301" t="str">
        <f>AF265&amp;TM[[#This Row],[Insurer Code]]&amp;"; "&amp;AG265&amp;TM[[#This Row],[Reporting Year]]&amp;"; "&amp;AH265&amp;TM[[#This Row],[Insurance Category Code]]&amp;"; "&amp;AI265&amp;TM[[#This Row],[Large Provider Entity Code]]</f>
        <v xml:space="preserve">Insurer Code ; Reporting Year ; Insurance Category Code ; Large Provider Entity Code </v>
      </c>
      <c r="AF265" s="297" t="s">
        <v>197</v>
      </c>
      <c r="AG265" s="297" t="s">
        <v>198</v>
      </c>
      <c r="AH265" s="297" t="s">
        <v>199</v>
      </c>
      <c r="AI265" s="297" t="s">
        <v>200</v>
      </c>
      <c r="AJ265" s="297"/>
      <c r="AK265" s="297"/>
      <c r="AL265" s="297"/>
      <c r="AM265" s="11"/>
      <c r="AN265" s="11"/>
      <c r="AO265" s="11"/>
    </row>
    <row r="266" spans="1:41" x14ac:dyDescent="0.4">
      <c r="A266" s="291"/>
      <c r="B266" s="292"/>
      <c r="C266" s="312"/>
      <c r="D266"/>
      <c r="E266" s="325"/>
      <c r="F266" s="143"/>
      <c r="G266" s="143"/>
      <c r="H266" s="143"/>
      <c r="I266" s="143"/>
      <c r="J266" s="143"/>
      <c r="K266" s="143"/>
      <c r="L266" s="143"/>
      <c r="M266" s="143"/>
      <c r="N266" s="143"/>
      <c r="O266" s="143"/>
      <c r="P266" s="143"/>
      <c r="Q266" s="143"/>
      <c r="R266" s="143"/>
      <c r="S266" s="143"/>
      <c r="T266" s="143"/>
      <c r="U266" s="143"/>
      <c r="V266" s="325"/>
      <c r="W266" s="393">
        <f t="shared" si="28"/>
        <v>0</v>
      </c>
      <c r="X266" s="393">
        <f t="shared" si="29"/>
        <v>0</v>
      </c>
      <c r="Y266" s="393">
        <f t="shared" si="30"/>
        <v>0</v>
      </c>
      <c r="Z266" s="393">
        <f t="shared" si="31"/>
        <v>0</v>
      </c>
      <c r="AA266" s="393">
        <f t="shared" si="32"/>
        <v>0</v>
      </c>
      <c r="AB266" s="393" t="e">
        <f t="shared" si="33"/>
        <v>#DIV/0!</v>
      </c>
      <c r="AC266" s="486" t="e">
        <f t="shared" si="34"/>
        <v>#DIV/0!</v>
      </c>
      <c r="AD266" s="11"/>
      <c r="AE266" s="301" t="str">
        <f>AF266&amp;TM[[#This Row],[Insurer Code]]&amp;"; "&amp;AG266&amp;TM[[#This Row],[Reporting Year]]&amp;"; "&amp;AH266&amp;TM[[#This Row],[Insurance Category Code]]&amp;"; "&amp;AI266&amp;TM[[#This Row],[Large Provider Entity Code]]</f>
        <v xml:space="preserve">Insurer Code ; Reporting Year ; Insurance Category Code ; Large Provider Entity Code </v>
      </c>
      <c r="AF266" s="297" t="s">
        <v>197</v>
      </c>
      <c r="AG266" s="297" t="s">
        <v>198</v>
      </c>
      <c r="AH266" s="297" t="s">
        <v>199</v>
      </c>
      <c r="AI266" s="297" t="s">
        <v>200</v>
      </c>
      <c r="AJ266" s="297"/>
      <c r="AK266" s="297"/>
      <c r="AL266" s="297"/>
      <c r="AM266" s="11"/>
      <c r="AN266" s="11"/>
      <c r="AO266" s="11"/>
    </row>
    <row r="267" spans="1:41" x14ac:dyDescent="0.4">
      <c r="A267" s="291"/>
      <c r="B267" s="292"/>
      <c r="C267" s="312"/>
      <c r="D267"/>
      <c r="E267" s="325"/>
      <c r="F267" s="143"/>
      <c r="G267" s="143"/>
      <c r="H267" s="143"/>
      <c r="I267" s="143"/>
      <c r="J267" s="143"/>
      <c r="K267" s="143"/>
      <c r="L267" s="143"/>
      <c r="M267" s="143"/>
      <c r="N267" s="143"/>
      <c r="O267" s="143"/>
      <c r="P267" s="143"/>
      <c r="Q267" s="143"/>
      <c r="R267" s="143"/>
      <c r="S267" s="143"/>
      <c r="T267" s="143"/>
      <c r="U267" s="143"/>
      <c r="V267" s="325"/>
      <c r="W267" s="393">
        <f t="shared" si="28"/>
        <v>0</v>
      </c>
      <c r="X267" s="393">
        <f t="shared" si="29"/>
        <v>0</v>
      </c>
      <c r="Y267" s="393">
        <f t="shared" si="30"/>
        <v>0</v>
      </c>
      <c r="Z267" s="393">
        <f t="shared" si="31"/>
        <v>0</v>
      </c>
      <c r="AA267" s="393">
        <f t="shared" si="32"/>
        <v>0</v>
      </c>
      <c r="AB267" s="393" t="e">
        <f t="shared" si="33"/>
        <v>#DIV/0!</v>
      </c>
      <c r="AC267" s="486" t="e">
        <f t="shared" si="34"/>
        <v>#DIV/0!</v>
      </c>
      <c r="AD267" s="11"/>
      <c r="AE267" s="301" t="str">
        <f>AF267&amp;TM[[#This Row],[Insurer Code]]&amp;"; "&amp;AG267&amp;TM[[#This Row],[Reporting Year]]&amp;"; "&amp;AH267&amp;TM[[#This Row],[Insurance Category Code]]&amp;"; "&amp;AI267&amp;TM[[#This Row],[Large Provider Entity Code]]</f>
        <v xml:space="preserve">Insurer Code ; Reporting Year ; Insurance Category Code ; Large Provider Entity Code </v>
      </c>
      <c r="AF267" s="297" t="s">
        <v>197</v>
      </c>
      <c r="AG267" s="297" t="s">
        <v>198</v>
      </c>
      <c r="AH267" s="297" t="s">
        <v>199</v>
      </c>
      <c r="AI267" s="297" t="s">
        <v>200</v>
      </c>
      <c r="AJ267" s="297"/>
      <c r="AK267" s="297"/>
      <c r="AL267" s="297"/>
      <c r="AM267" s="11"/>
      <c r="AN267" s="11"/>
      <c r="AO267" s="11"/>
    </row>
    <row r="268" spans="1:41" x14ac:dyDescent="0.4">
      <c r="A268" s="291"/>
      <c r="B268" s="292"/>
      <c r="C268" s="312"/>
      <c r="D268"/>
      <c r="E268" s="325"/>
      <c r="F268" s="143"/>
      <c r="G268" s="143"/>
      <c r="H268" s="143"/>
      <c r="I268" s="143"/>
      <c r="J268" s="143"/>
      <c r="K268" s="143"/>
      <c r="L268" s="143"/>
      <c r="M268" s="143"/>
      <c r="N268" s="143"/>
      <c r="O268" s="143"/>
      <c r="P268" s="143"/>
      <c r="Q268" s="143"/>
      <c r="R268" s="143"/>
      <c r="S268" s="143"/>
      <c r="T268" s="143"/>
      <c r="U268" s="143"/>
      <c r="V268" s="325"/>
      <c r="W268" s="393">
        <f t="shared" si="28"/>
        <v>0</v>
      </c>
      <c r="X268" s="393">
        <f t="shared" si="29"/>
        <v>0</v>
      </c>
      <c r="Y268" s="393">
        <f t="shared" si="30"/>
        <v>0</v>
      </c>
      <c r="Z268" s="393">
        <f t="shared" si="31"/>
        <v>0</v>
      </c>
      <c r="AA268" s="393">
        <f t="shared" si="32"/>
        <v>0</v>
      </c>
      <c r="AB268" s="393" t="e">
        <f t="shared" si="33"/>
        <v>#DIV/0!</v>
      </c>
      <c r="AC268" s="486" t="e">
        <f t="shared" si="34"/>
        <v>#DIV/0!</v>
      </c>
      <c r="AD268" s="11"/>
      <c r="AE268" s="301" t="str">
        <f>AF268&amp;TM[[#This Row],[Insurer Code]]&amp;"; "&amp;AG268&amp;TM[[#This Row],[Reporting Year]]&amp;"; "&amp;AH268&amp;TM[[#This Row],[Insurance Category Code]]&amp;"; "&amp;AI268&amp;TM[[#This Row],[Large Provider Entity Code]]</f>
        <v xml:space="preserve">Insurer Code ; Reporting Year ; Insurance Category Code ; Large Provider Entity Code </v>
      </c>
      <c r="AF268" s="297" t="s">
        <v>197</v>
      </c>
      <c r="AG268" s="297" t="s">
        <v>198</v>
      </c>
      <c r="AH268" s="297" t="s">
        <v>199</v>
      </c>
      <c r="AI268" s="297" t="s">
        <v>200</v>
      </c>
      <c r="AJ268" s="297"/>
      <c r="AK268" s="297"/>
      <c r="AL268" s="297"/>
      <c r="AM268" s="11"/>
      <c r="AN268" s="11"/>
      <c r="AO268" s="11"/>
    </row>
    <row r="269" spans="1:41" x14ac:dyDescent="0.4">
      <c r="A269" s="291"/>
      <c r="B269" s="292"/>
      <c r="C269" s="312"/>
      <c r="D269"/>
      <c r="E269" s="325"/>
      <c r="F269" s="143"/>
      <c r="G269" s="143"/>
      <c r="H269" s="143"/>
      <c r="I269" s="143"/>
      <c r="J269" s="143"/>
      <c r="K269" s="143"/>
      <c r="L269" s="143"/>
      <c r="M269" s="143"/>
      <c r="N269" s="143"/>
      <c r="O269" s="143"/>
      <c r="P269" s="143"/>
      <c r="Q269" s="143"/>
      <c r="R269" s="143"/>
      <c r="S269" s="143"/>
      <c r="T269" s="143"/>
      <c r="U269" s="143"/>
      <c r="V269" s="325"/>
      <c r="W269" s="393">
        <f t="shared" si="28"/>
        <v>0</v>
      </c>
      <c r="X269" s="393">
        <f t="shared" si="29"/>
        <v>0</v>
      </c>
      <c r="Y269" s="393">
        <f t="shared" si="30"/>
        <v>0</v>
      </c>
      <c r="Z269" s="393">
        <f t="shared" si="31"/>
        <v>0</v>
      </c>
      <c r="AA269" s="393">
        <f t="shared" si="32"/>
        <v>0</v>
      </c>
      <c r="AB269" s="393" t="e">
        <f t="shared" si="33"/>
        <v>#DIV/0!</v>
      </c>
      <c r="AC269" s="486" t="e">
        <f t="shared" si="34"/>
        <v>#DIV/0!</v>
      </c>
      <c r="AD269" s="11"/>
      <c r="AE269" s="301" t="str">
        <f>AF269&amp;TM[[#This Row],[Insurer Code]]&amp;"; "&amp;AG269&amp;TM[[#This Row],[Reporting Year]]&amp;"; "&amp;AH269&amp;TM[[#This Row],[Insurance Category Code]]&amp;"; "&amp;AI269&amp;TM[[#This Row],[Large Provider Entity Code]]</f>
        <v xml:space="preserve">Insurer Code ; Reporting Year ; Insurance Category Code ; Large Provider Entity Code </v>
      </c>
      <c r="AF269" s="297" t="s">
        <v>197</v>
      </c>
      <c r="AG269" s="297" t="s">
        <v>198</v>
      </c>
      <c r="AH269" s="297" t="s">
        <v>199</v>
      </c>
      <c r="AI269" s="297" t="s">
        <v>200</v>
      </c>
      <c r="AJ269" s="297"/>
      <c r="AK269" s="297"/>
      <c r="AL269" s="297"/>
      <c r="AM269" s="11"/>
      <c r="AN269" s="11"/>
      <c r="AO269" s="11"/>
    </row>
    <row r="270" spans="1:41" x14ac:dyDescent="0.4">
      <c r="A270" s="291"/>
      <c r="B270" s="292"/>
      <c r="C270" s="312"/>
      <c r="D270"/>
      <c r="E270" s="325"/>
      <c r="F270" s="143"/>
      <c r="G270" s="143"/>
      <c r="H270" s="143"/>
      <c r="I270" s="143"/>
      <c r="J270" s="143"/>
      <c r="K270" s="143"/>
      <c r="L270" s="143"/>
      <c r="M270" s="143"/>
      <c r="N270" s="143"/>
      <c r="O270" s="143"/>
      <c r="P270" s="143"/>
      <c r="Q270" s="143"/>
      <c r="R270" s="143"/>
      <c r="S270" s="143"/>
      <c r="T270" s="143"/>
      <c r="U270" s="143"/>
      <c r="V270" s="325"/>
      <c r="W270" s="393">
        <f t="shared" si="28"/>
        <v>0</v>
      </c>
      <c r="X270" s="393">
        <f t="shared" si="29"/>
        <v>0</v>
      </c>
      <c r="Y270" s="393">
        <f t="shared" si="30"/>
        <v>0</v>
      </c>
      <c r="Z270" s="393">
        <f t="shared" si="31"/>
        <v>0</v>
      </c>
      <c r="AA270" s="393">
        <f t="shared" si="32"/>
        <v>0</v>
      </c>
      <c r="AB270" s="393" t="e">
        <f t="shared" si="33"/>
        <v>#DIV/0!</v>
      </c>
      <c r="AC270" s="486" t="e">
        <f t="shared" si="34"/>
        <v>#DIV/0!</v>
      </c>
      <c r="AD270" s="11"/>
      <c r="AE270" s="301" t="str">
        <f>AF270&amp;TM[[#This Row],[Insurer Code]]&amp;"; "&amp;AG270&amp;TM[[#This Row],[Reporting Year]]&amp;"; "&amp;AH270&amp;TM[[#This Row],[Insurance Category Code]]&amp;"; "&amp;AI270&amp;TM[[#This Row],[Large Provider Entity Code]]</f>
        <v xml:space="preserve">Insurer Code ; Reporting Year ; Insurance Category Code ; Large Provider Entity Code </v>
      </c>
      <c r="AF270" s="297" t="s">
        <v>197</v>
      </c>
      <c r="AG270" s="297" t="s">
        <v>198</v>
      </c>
      <c r="AH270" s="297" t="s">
        <v>199</v>
      </c>
      <c r="AI270" s="297" t="s">
        <v>200</v>
      </c>
      <c r="AJ270" s="297"/>
      <c r="AK270" s="297"/>
      <c r="AL270" s="297"/>
      <c r="AM270" s="11"/>
      <c r="AN270" s="11"/>
      <c r="AO270" s="11"/>
    </row>
    <row r="271" spans="1:41" x14ac:dyDescent="0.4">
      <c r="A271" s="291"/>
      <c r="B271" s="292"/>
      <c r="C271" s="312"/>
      <c r="D271"/>
      <c r="E271" s="325"/>
      <c r="F271" s="143"/>
      <c r="G271" s="143"/>
      <c r="H271" s="143"/>
      <c r="I271" s="143"/>
      <c r="J271" s="143"/>
      <c r="K271" s="143"/>
      <c r="L271" s="143"/>
      <c r="M271" s="143"/>
      <c r="N271" s="143"/>
      <c r="O271" s="143"/>
      <c r="P271" s="143"/>
      <c r="Q271" s="143"/>
      <c r="R271" s="143"/>
      <c r="S271" s="143"/>
      <c r="T271" s="143"/>
      <c r="U271" s="143"/>
      <c r="V271" s="325"/>
      <c r="W271" s="393">
        <f t="shared" si="28"/>
        <v>0</v>
      </c>
      <c r="X271" s="393">
        <f t="shared" si="29"/>
        <v>0</v>
      </c>
      <c r="Y271" s="393">
        <f t="shared" si="30"/>
        <v>0</v>
      </c>
      <c r="Z271" s="393">
        <f t="shared" si="31"/>
        <v>0</v>
      </c>
      <c r="AA271" s="393">
        <f t="shared" si="32"/>
        <v>0</v>
      </c>
      <c r="AB271" s="393" t="e">
        <f t="shared" si="33"/>
        <v>#DIV/0!</v>
      </c>
      <c r="AC271" s="486" t="e">
        <f t="shared" si="34"/>
        <v>#DIV/0!</v>
      </c>
      <c r="AD271" s="11"/>
      <c r="AE271" s="301" t="str">
        <f>AF271&amp;TM[[#This Row],[Insurer Code]]&amp;"; "&amp;AG271&amp;TM[[#This Row],[Reporting Year]]&amp;"; "&amp;AH271&amp;TM[[#This Row],[Insurance Category Code]]&amp;"; "&amp;AI271&amp;TM[[#This Row],[Large Provider Entity Code]]</f>
        <v xml:space="preserve">Insurer Code ; Reporting Year ; Insurance Category Code ; Large Provider Entity Code </v>
      </c>
      <c r="AF271" s="297" t="s">
        <v>197</v>
      </c>
      <c r="AG271" s="297" t="s">
        <v>198</v>
      </c>
      <c r="AH271" s="297" t="s">
        <v>199</v>
      </c>
      <c r="AI271" s="297" t="s">
        <v>200</v>
      </c>
      <c r="AJ271" s="297"/>
      <c r="AK271" s="297"/>
      <c r="AL271" s="297"/>
      <c r="AM271" s="11"/>
      <c r="AN271" s="11"/>
      <c r="AO271" s="11"/>
    </row>
    <row r="272" spans="1:41" x14ac:dyDescent="0.4">
      <c r="A272" s="291"/>
      <c r="B272" s="292"/>
      <c r="C272" s="312"/>
      <c r="D272"/>
      <c r="E272" s="325"/>
      <c r="F272" s="143"/>
      <c r="G272" s="143"/>
      <c r="H272" s="143"/>
      <c r="I272" s="143"/>
      <c r="J272" s="143"/>
      <c r="K272" s="143"/>
      <c r="L272" s="143"/>
      <c r="M272" s="143"/>
      <c r="N272" s="143"/>
      <c r="O272" s="143"/>
      <c r="P272" s="143"/>
      <c r="Q272" s="143"/>
      <c r="R272" s="143"/>
      <c r="S272" s="143"/>
      <c r="T272" s="143"/>
      <c r="U272" s="143"/>
      <c r="V272" s="325"/>
      <c r="W272" s="393">
        <f t="shared" si="28"/>
        <v>0</v>
      </c>
      <c r="X272" s="393">
        <f t="shared" si="29"/>
        <v>0</v>
      </c>
      <c r="Y272" s="393">
        <f t="shared" si="30"/>
        <v>0</v>
      </c>
      <c r="Z272" s="393">
        <f t="shared" si="31"/>
        <v>0</v>
      </c>
      <c r="AA272" s="393">
        <f t="shared" si="32"/>
        <v>0</v>
      </c>
      <c r="AB272" s="393" t="e">
        <f t="shared" si="33"/>
        <v>#DIV/0!</v>
      </c>
      <c r="AC272" s="486" t="e">
        <f t="shared" si="34"/>
        <v>#DIV/0!</v>
      </c>
      <c r="AD272" s="11"/>
      <c r="AE272" s="301" t="str">
        <f>AF272&amp;TM[[#This Row],[Insurer Code]]&amp;"; "&amp;AG272&amp;TM[[#This Row],[Reporting Year]]&amp;"; "&amp;AH272&amp;TM[[#This Row],[Insurance Category Code]]&amp;"; "&amp;AI272&amp;TM[[#This Row],[Large Provider Entity Code]]</f>
        <v xml:space="preserve">Insurer Code ; Reporting Year ; Insurance Category Code ; Large Provider Entity Code </v>
      </c>
      <c r="AF272" s="297" t="s">
        <v>197</v>
      </c>
      <c r="AG272" s="297" t="s">
        <v>198</v>
      </c>
      <c r="AH272" s="297" t="s">
        <v>199</v>
      </c>
      <c r="AI272" s="297" t="s">
        <v>200</v>
      </c>
      <c r="AJ272" s="297"/>
      <c r="AK272" s="297"/>
      <c r="AL272" s="297"/>
      <c r="AM272" s="11"/>
      <c r="AN272" s="11"/>
      <c r="AO272" s="11"/>
    </row>
    <row r="273" spans="1:41" x14ac:dyDescent="0.4">
      <c r="A273" s="291"/>
      <c r="B273" s="292"/>
      <c r="C273" s="312"/>
      <c r="D273"/>
      <c r="E273" s="325"/>
      <c r="F273" s="143"/>
      <c r="G273" s="143"/>
      <c r="H273" s="143"/>
      <c r="I273" s="143"/>
      <c r="J273" s="143"/>
      <c r="K273" s="143"/>
      <c r="L273" s="143"/>
      <c r="M273" s="143"/>
      <c r="N273" s="143"/>
      <c r="O273" s="143"/>
      <c r="P273" s="143"/>
      <c r="Q273" s="143"/>
      <c r="R273" s="143"/>
      <c r="S273" s="143"/>
      <c r="T273" s="143"/>
      <c r="U273" s="143"/>
      <c r="V273" s="325"/>
      <c r="W273" s="393">
        <f t="shared" si="28"/>
        <v>0</v>
      </c>
      <c r="X273" s="393">
        <f t="shared" si="29"/>
        <v>0</v>
      </c>
      <c r="Y273" s="393">
        <f t="shared" si="30"/>
        <v>0</v>
      </c>
      <c r="Z273" s="393">
        <f t="shared" si="31"/>
        <v>0</v>
      </c>
      <c r="AA273" s="393">
        <f t="shared" si="32"/>
        <v>0</v>
      </c>
      <c r="AB273" s="393" t="e">
        <f t="shared" si="33"/>
        <v>#DIV/0!</v>
      </c>
      <c r="AC273" s="486" t="e">
        <f t="shared" si="34"/>
        <v>#DIV/0!</v>
      </c>
      <c r="AD273" s="11"/>
      <c r="AE273" s="301" t="str">
        <f>AF273&amp;TM[[#This Row],[Insurer Code]]&amp;"; "&amp;AG273&amp;TM[[#This Row],[Reporting Year]]&amp;"; "&amp;AH273&amp;TM[[#This Row],[Insurance Category Code]]&amp;"; "&amp;AI273&amp;TM[[#This Row],[Large Provider Entity Code]]</f>
        <v xml:space="preserve">Insurer Code ; Reporting Year ; Insurance Category Code ; Large Provider Entity Code </v>
      </c>
      <c r="AF273" s="297" t="s">
        <v>197</v>
      </c>
      <c r="AG273" s="297" t="s">
        <v>198</v>
      </c>
      <c r="AH273" s="297" t="s">
        <v>199</v>
      </c>
      <c r="AI273" s="297" t="s">
        <v>200</v>
      </c>
      <c r="AJ273" s="297"/>
      <c r="AK273" s="297"/>
      <c r="AL273" s="297"/>
      <c r="AM273" s="11"/>
      <c r="AN273" s="11"/>
      <c r="AO273" s="11"/>
    </row>
    <row r="274" spans="1:41" x14ac:dyDescent="0.4">
      <c r="A274" s="291"/>
      <c r="B274" s="292"/>
      <c r="C274" s="312"/>
      <c r="D274"/>
      <c r="E274" s="325"/>
      <c r="F274" s="143"/>
      <c r="G274" s="143"/>
      <c r="H274" s="143"/>
      <c r="I274" s="143"/>
      <c r="J274" s="143"/>
      <c r="K274" s="143"/>
      <c r="L274" s="143"/>
      <c r="M274" s="143"/>
      <c r="N274" s="143"/>
      <c r="O274" s="143"/>
      <c r="P274" s="143"/>
      <c r="Q274" s="143"/>
      <c r="R274" s="143"/>
      <c r="S274" s="143"/>
      <c r="T274" s="143"/>
      <c r="U274" s="143"/>
      <c r="V274" s="325"/>
      <c r="W274" s="393">
        <f t="shared" ref="W274:W337" si="35">SUM(F274:M274)</f>
        <v>0</v>
      </c>
      <c r="X274" s="393">
        <f t="shared" ref="X274:X337" si="36">SUM(N274:S274)</f>
        <v>0</v>
      </c>
      <c r="Y274" s="393">
        <f t="shared" ref="Y274:Y337" si="37">W274+X274</f>
        <v>0</v>
      </c>
      <c r="Z274" s="393">
        <f t="shared" ref="Z274:Z337" si="38">W274-U274</f>
        <v>0</v>
      </c>
      <c r="AA274" s="393">
        <f t="shared" ref="AA274:AA337" si="39">Z274+X274</f>
        <v>0</v>
      </c>
      <c r="AB274" s="393" t="e">
        <f t="shared" ref="AB274:AB337" si="40">Y274/E274</f>
        <v>#DIV/0!</v>
      </c>
      <c r="AC274" s="486" t="e">
        <f t="shared" ref="AC274:AC337" si="41">AA274/E274</f>
        <v>#DIV/0!</v>
      </c>
      <c r="AD274" s="11"/>
      <c r="AE274" s="301" t="str">
        <f>AF274&amp;TM[[#This Row],[Insurer Code]]&amp;"; "&amp;AG274&amp;TM[[#This Row],[Reporting Year]]&amp;"; "&amp;AH274&amp;TM[[#This Row],[Insurance Category Code]]&amp;"; "&amp;AI274&amp;TM[[#This Row],[Large Provider Entity Code]]</f>
        <v xml:space="preserve">Insurer Code ; Reporting Year ; Insurance Category Code ; Large Provider Entity Code </v>
      </c>
      <c r="AF274" s="297" t="s">
        <v>197</v>
      </c>
      <c r="AG274" s="297" t="s">
        <v>198</v>
      </c>
      <c r="AH274" s="297" t="s">
        <v>199</v>
      </c>
      <c r="AI274" s="297" t="s">
        <v>200</v>
      </c>
      <c r="AJ274" s="297"/>
      <c r="AK274" s="297"/>
      <c r="AL274" s="297"/>
      <c r="AM274" s="11"/>
      <c r="AN274" s="11"/>
      <c r="AO274" s="11"/>
    </row>
    <row r="275" spans="1:41" x14ac:dyDescent="0.4">
      <c r="A275" s="291"/>
      <c r="B275" s="292"/>
      <c r="C275" s="312"/>
      <c r="D275"/>
      <c r="E275" s="325"/>
      <c r="F275" s="143"/>
      <c r="G275" s="143"/>
      <c r="H275" s="143"/>
      <c r="I275" s="143"/>
      <c r="J275" s="143"/>
      <c r="K275" s="143"/>
      <c r="L275" s="143"/>
      <c r="M275" s="143"/>
      <c r="N275" s="143"/>
      <c r="O275" s="143"/>
      <c r="P275" s="143"/>
      <c r="Q275" s="143"/>
      <c r="R275" s="143"/>
      <c r="S275" s="143"/>
      <c r="T275" s="143"/>
      <c r="U275" s="143"/>
      <c r="V275" s="325"/>
      <c r="W275" s="393">
        <f t="shared" si="35"/>
        <v>0</v>
      </c>
      <c r="X275" s="393">
        <f t="shared" si="36"/>
        <v>0</v>
      </c>
      <c r="Y275" s="393">
        <f t="shared" si="37"/>
        <v>0</v>
      </c>
      <c r="Z275" s="393">
        <f t="shared" si="38"/>
        <v>0</v>
      </c>
      <c r="AA275" s="393">
        <f t="shared" si="39"/>
        <v>0</v>
      </c>
      <c r="AB275" s="393" t="e">
        <f t="shared" si="40"/>
        <v>#DIV/0!</v>
      </c>
      <c r="AC275" s="486" t="e">
        <f t="shared" si="41"/>
        <v>#DIV/0!</v>
      </c>
      <c r="AD275" s="11"/>
      <c r="AE275" s="301" t="str">
        <f>AF275&amp;TM[[#This Row],[Insurer Code]]&amp;"; "&amp;AG275&amp;TM[[#This Row],[Reporting Year]]&amp;"; "&amp;AH275&amp;TM[[#This Row],[Insurance Category Code]]&amp;"; "&amp;AI275&amp;TM[[#This Row],[Large Provider Entity Code]]</f>
        <v xml:space="preserve">Insurer Code ; Reporting Year ; Insurance Category Code ; Large Provider Entity Code </v>
      </c>
      <c r="AF275" s="297" t="s">
        <v>197</v>
      </c>
      <c r="AG275" s="297" t="s">
        <v>198</v>
      </c>
      <c r="AH275" s="297" t="s">
        <v>199</v>
      </c>
      <c r="AI275" s="297" t="s">
        <v>200</v>
      </c>
      <c r="AJ275" s="297"/>
      <c r="AK275" s="297"/>
      <c r="AL275" s="297"/>
      <c r="AM275" s="11"/>
      <c r="AN275" s="11"/>
      <c r="AO275" s="11"/>
    </row>
    <row r="276" spans="1:41" x14ac:dyDescent="0.4">
      <c r="A276" s="291"/>
      <c r="B276" s="292"/>
      <c r="C276" s="312"/>
      <c r="D276"/>
      <c r="E276" s="325"/>
      <c r="F276" s="143"/>
      <c r="G276" s="143"/>
      <c r="H276" s="143"/>
      <c r="I276" s="143"/>
      <c r="J276" s="143"/>
      <c r="K276" s="143"/>
      <c r="L276" s="143"/>
      <c r="M276" s="143"/>
      <c r="N276" s="143"/>
      <c r="O276" s="143"/>
      <c r="P276" s="143"/>
      <c r="Q276" s="143"/>
      <c r="R276" s="143"/>
      <c r="S276" s="143"/>
      <c r="T276" s="143"/>
      <c r="U276" s="143"/>
      <c r="V276" s="325"/>
      <c r="W276" s="393">
        <f t="shared" si="35"/>
        <v>0</v>
      </c>
      <c r="X276" s="393">
        <f t="shared" si="36"/>
        <v>0</v>
      </c>
      <c r="Y276" s="393">
        <f t="shared" si="37"/>
        <v>0</v>
      </c>
      <c r="Z276" s="393">
        <f t="shared" si="38"/>
        <v>0</v>
      </c>
      <c r="AA276" s="393">
        <f t="shared" si="39"/>
        <v>0</v>
      </c>
      <c r="AB276" s="393" t="e">
        <f t="shared" si="40"/>
        <v>#DIV/0!</v>
      </c>
      <c r="AC276" s="486" t="e">
        <f t="shared" si="41"/>
        <v>#DIV/0!</v>
      </c>
      <c r="AD276" s="11"/>
      <c r="AE276" s="301" t="str">
        <f>AF276&amp;TM[[#This Row],[Insurer Code]]&amp;"; "&amp;AG276&amp;TM[[#This Row],[Reporting Year]]&amp;"; "&amp;AH276&amp;TM[[#This Row],[Insurance Category Code]]&amp;"; "&amp;AI276&amp;TM[[#This Row],[Large Provider Entity Code]]</f>
        <v xml:space="preserve">Insurer Code ; Reporting Year ; Insurance Category Code ; Large Provider Entity Code </v>
      </c>
      <c r="AF276" s="297" t="s">
        <v>197</v>
      </c>
      <c r="AG276" s="297" t="s">
        <v>198</v>
      </c>
      <c r="AH276" s="297" t="s">
        <v>199</v>
      </c>
      <c r="AI276" s="297" t="s">
        <v>200</v>
      </c>
      <c r="AJ276" s="297"/>
      <c r="AK276" s="297"/>
      <c r="AL276" s="297"/>
      <c r="AM276" s="11"/>
      <c r="AN276" s="11"/>
      <c r="AO276" s="11"/>
    </row>
    <row r="277" spans="1:41" x14ac:dyDescent="0.4">
      <c r="A277" s="291"/>
      <c r="B277" s="292"/>
      <c r="C277" s="312"/>
      <c r="D277"/>
      <c r="E277" s="325"/>
      <c r="F277" s="143"/>
      <c r="G277" s="143"/>
      <c r="H277" s="143"/>
      <c r="I277" s="143"/>
      <c r="J277" s="143"/>
      <c r="K277" s="143"/>
      <c r="L277" s="143"/>
      <c r="M277" s="143"/>
      <c r="N277" s="143"/>
      <c r="O277" s="143"/>
      <c r="P277" s="143"/>
      <c r="Q277" s="143"/>
      <c r="R277" s="143"/>
      <c r="S277" s="143"/>
      <c r="T277" s="143"/>
      <c r="U277" s="143"/>
      <c r="V277" s="325"/>
      <c r="W277" s="393">
        <f t="shared" si="35"/>
        <v>0</v>
      </c>
      <c r="X277" s="393">
        <f t="shared" si="36"/>
        <v>0</v>
      </c>
      <c r="Y277" s="393">
        <f t="shared" si="37"/>
        <v>0</v>
      </c>
      <c r="Z277" s="393">
        <f t="shared" si="38"/>
        <v>0</v>
      </c>
      <c r="AA277" s="393">
        <f t="shared" si="39"/>
        <v>0</v>
      </c>
      <c r="AB277" s="393" t="e">
        <f t="shared" si="40"/>
        <v>#DIV/0!</v>
      </c>
      <c r="AC277" s="486" t="e">
        <f t="shared" si="41"/>
        <v>#DIV/0!</v>
      </c>
      <c r="AD277" s="11"/>
      <c r="AE277" s="301" t="str">
        <f>AF277&amp;TM[[#This Row],[Insurer Code]]&amp;"; "&amp;AG277&amp;TM[[#This Row],[Reporting Year]]&amp;"; "&amp;AH277&amp;TM[[#This Row],[Insurance Category Code]]&amp;"; "&amp;AI277&amp;TM[[#This Row],[Large Provider Entity Code]]</f>
        <v xml:space="preserve">Insurer Code ; Reporting Year ; Insurance Category Code ; Large Provider Entity Code </v>
      </c>
      <c r="AF277" s="297" t="s">
        <v>197</v>
      </c>
      <c r="AG277" s="297" t="s">
        <v>198</v>
      </c>
      <c r="AH277" s="297" t="s">
        <v>199</v>
      </c>
      <c r="AI277" s="297" t="s">
        <v>200</v>
      </c>
      <c r="AJ277" s="297"/>
      <c r="AK277" s="297"/>
      <c r="AL277" s="297"/>
      <c r="AM277" s="11"/>
      <c r="AN277" s="11"/>
      <c r="AO277" s="11"/>
    </row>
    <row r="278" spans="1:41" x14ac:dyDescent="0.4">
      <c r="A278" s="291"/>
      <c r="B278" s="292"/>
      <c r="C278" s="312"/>
      <c r="D278"/>
      <c r="E278" s="325"/>
      <c r="F278" s="143"/>
      <c r="G278" s="143"/>
      <c r="H278" s="143"/>
      <c r="I278" s="143"/>
      <c r="J278" s="143"/>
      <c r="K278" s="143"/>
      <c r="L278" s="143"/>
      <c r="M278" s="143"/>
      <c r="N278" s="143"/>
      <c r="O278" s="143"/>
      <c r="P278" s="143"/>
      <c r="Q278" s="143"/>
      <c r="R278" s="143"/>
      <c r="S278" s="143"/>
      <c r="T278" s="143"/>
      <c r="U278" s="143"/>
      <c r="V278" s="325"/>
      <c r="W278" s="393">
        <f t="shared" si="35"/>
        <v>0</v>
      </c>
      <c r="X278" s="393">
        <f t="shared" si="36"/>
        <v>0</v>
      </c>
      <c r="Y278" s="393">
        <f t="shared" si="37"/>
        <v>0</v>
      </c>
      <c r="Z278" s="393">
        <f t="shared" si="38"/>
        <v>0</v>
      </c>
      <c r="AA278" s="393">
        <f t="shared" si="39"/>
        <v>0</v>
      </c>
      <c r="AB278" s="393" t="e">
        <f t="shared" si="40"/>
        <v>#DIV/0!</v>
      </c>
      <c r="AC278" s="486" t="e">
        <f t="shared" si="41"/>
        <v>#DIV/0!</v>
      </c>
      <c r="AD278" s="11"/>
      <c r="AE278" s="301" t="str">
        <f>AF278&amp;TM[[#This Row],[Insurer Code]]&amp;"; "&amp;AG278&amp;TM[[#This Row],[Reporting Year]]&amp;"; "&amp;AH278&amp;TM[[#This Row],[Insurance Category Code]]&amp;"; "&amp;AI278&amp;TM[[#This Row],[Large Provider Entity Code]]</f>
        <v xml:space="preserve">Insurer Code ; Reporting Year ; Insurance Category Code ; Large Provider Entity Code </v>
      </c>
      <c r="AF278" s="297" t="s">
        <v>197</v>
      </c>
      <c r="AG278" s="297" t="s">
        <v>198</v>
      </c>
      <c r="AH278" s="297" t="s">
        <v>199</v>
      </c>
      <c r="AI278" s="297" t="s">
        <v>200</v>
      </c>
      <c r="AJ278" s="297"/>
      <c r="AK278" s="297"/>
      <c r="AL278" s="297"/>
      <c r="AM278" s="11"/>
      <c r="AN278" s="11"/>
      <c r="AO278" s="11"/>
    </row>
    <row r="279" spans="1:41" x14ac:dyDescent="0.4">
      <c r="A279" s="291"/>
      <c r="B279" s="292"/>
      <c r="C279" s="312"/>
      <c r="D279"/>
      <c r="E279" s="325"/>
      <c r="F279" s="143"/>
      <c r="G279" s="143"/>
      <c r="H279" s="143"/>
      <c r="I279" s="143"/>
      <c r="J279" s="143"/>
      <c r="K279" s="143"/>
      <c r="L279" s="143"/>
      <c r="M279" s="143"/>
      <c r="N279" s="143"/>
      <c r="O279" s="143"/>
      <c r="P279" s="143"/>
      <c r="Q279" s="143"/>
      <c r="R279" s="143"/>
      <c r="S279" s="143"/>
      <c r="T279" s="143"/>
      <c r="U279" s="143"/>
      <c r="V279" s="325"/>
      <c r="W279" s="393">
        <f t="shared" si="35"/>
        <v>0</v>
      </c>
      <c r="X279" s="393">
        <f t="shared" si="36"/>
        <v>0</v>
      </c>
      <c r="Y279" s="393">
        <f t="shared" si="37"/>
        <v>0</v>
      </c>
      <c r="Z279" s="393">
        <f t="shared" si="38"/>
        <v>0</v>
      </c>
      <c r="AA279" s="393">
        <f t="shared" si="39"/>
        <v>0</v>
      </c>
      <c r="AB279" s="393" t="e">
        <f t="shared" si="40"/>
        <v>#DIV/0!</v>
      </c>
      <c r="AC279" s="486" t="e">
        <f t="shared" si="41"/>
        <v>#DIV/0!</v>
      </c>
      <c r="AD279" s="11"/>
      <c r="AE279" s="301" t="str">
        <f>AF279&amp;TM[[#This Row],[Insurer Code]]&amp;"; "&amp;AG279&amp;TM[[#This Row],[Reporting Year]]&amp;"; "&amp;AH279&amp;TM[[#This Row],[Insurance Category Code]]&amp;"; "&amp;AI279&amp;TM[[#This Row],[Large Provider Entity Code]]</f>
        <v xml:space="preserve">Insurer Code ; Reporting Year ; Insurance Category Code ; Large Provider Entity Code </v>
      </c>
      <c r="AF279" s="297" t="s">
        <v>197</v>
      </c>
      <c r="AG279" s="297" t="s">
        <v>198</v>
      </c>
      <c r="AH279" s="297" t="s">
        <v>199</v>
      </c>
      <c r="AI279" s="297" t="s">
        <v>200</v>
      </c>
      <c r="AJ279" s="297"/>
      <c r="AK279" s="297"/>
      <c r="AL279" s="297"/>
      <c r="AM279" s="11"/>
      <c r="AN279" s="11"/>
      <c r="AO279" s="11"/>
    </row>
    <row r="280" spans="1:41" x14ac:dyDescent="0.4">
      <c r="A280" s="291"/>
      <c r="B280" s="292"/>
      <c r="C280" s="312"/>
      <c r="D280"/>
      <c r="E280" s="325"/>
      <c r="F280" s="143"/>
      <c r="G280" s="143"/>
      <c r="H280" s="143"/>
      <c r="I280" s="143"/>
      <c r="J280" s="143"/>
      <c r="K280" s="143"/>
      <c r="L280" s="143"/>
      <c r="M280" s="143"/>
      <c r="N280" s="143"/>
      <c r="O280" s="143"/>
      <c r="P280" s="143"/>
      <c r="Q280" s="143"/>
      <c r="R280" s="143"/>
      <c r="S280" s="143"/>
      <c r="T280" s="143"/>
      <c r="U280" s="143"/>
      <c r="V280" s="325"/>
      <c r="W280" s="393">
        <f t="shared" si="35"/>
        <v>0</v>
      </c>
      <c r="X280" s="393">
        <f t="shared" si="36"/>
        <v>0</v>
      </c>
      <c r="Y280" s="393">
        <f t="shared" si="37"/>
        <v>0</v>
      </c>
      <c r="Z280" s="393">
        <f t="shared" si="38"/>
        <v>0</v>
      </c>
      <c r="AA280" s="393">
        <f t="shared" si="39"/>
        <v>0</v>
      </c>
      <c r="AB280" s="393" t="e">
        <f t="shared" si="40"/>
        <v>#DIV/0!</v>
      </c>
      <c r="AC280" s="486" t="e">
        <f t="shared" si="41"/>
        <v>#DIV/0!</v>
      </c>
      <c r="AD280" s="11"/>
      <c r="AE280" s="301" t="str">
        <f>AF280&amp;TM[[#This Row],[Insurer Code]]&amp;"; "&amp;AG280&amp;TM[[#This Row],[Reporting Year]]&amp;"; "&amp;AH280&amp;TM[[#This Row],[Insurance Category Code]]&amp;"; "&amp;AI280&amp;TM[[#This Row],[Large Provider Entity Code]]</f>
        <v xml:space="preserve">Insurer Code ; Reporting Year ; Insurance Category Code ; Large Provider Entity Code </v>
      </c>
      <c r="AF280" s="297" t="s">
        <v>197</v>
      </c>
      <c r="AG280" s="297" t="s">
        <v>198</v>
      </c>
      <c r="AH280" s="297" t="s">
        <v>199</v>
      </c>
      <c r="AI280" s="297" t="s">
        <v>200</v>
      </c>
      <c r="AJ280" s="297"/>
      <c r="AK280" s="297"/>
      <c r="AL280" s="297"/>
      <c r="AM280" s="11"/>
      <c r="AN280" s="11"/>
      <c r="AO280" s="11"/>
    </row>
    <row r="281" spans="1:41" x14ac:dyDescent="0.4">
      <c r="A281" s="291"/>
      <c r="B281" s="292"/>
      <c r="C281" s="312"/>
      <c r="D281"/>
      <c r="E281" s="325"/>
      <c r="F281" s="143"/>
      <c r="G281" s="143"/>
      <c r="H281" s="143"/>
      <c r="I281" s="143"/>
      <c r="J281" s="143"/>
      <c r="K281" s="143"/>
      <c r="L281" s="143"/>
      <c r="M281" s="143"/>
      <c r="N281" s="143"/>
      <c r="O281" s="143"/>
      <c r="P281" s="143"/>
      <c r="Q281" s="143"/>
      <c r="R281" s="143"/>
      <c r="S281" s="143"/>
      <c r="T281" s="143"/>
      <c r="U281" s="143"/>
      <c r="V281" s="325"/>
      <c r="W281" s="393">
        <f t="shared" si="35"/>
        <v>0</v>
      </c>
      <c r="X281" s="393">
        <f t="shared" si="36"/>
        <v>0</v>
      </c>
      <c r="Y281" s="393">
        <f t="shared" si="37"/>
        <v>0</v>
      </c>
      <c r="Z281" s="393">
        <f t="shared" si="38"/>
        <v>0</v>
      </c>
      <c r="AA281" s="393">
        <f t="shared" si="39"/>
        <v>0</v>
      </c>
      <c r="AB281" s="393" t="e">
        <f t="shared" si="40"/>
        <v>#DIV/0!</v>
      </c>
      <c r="AC281" s="486" t="e">
        <f t="shared" si="41"/>
        <v>#DIV/0!</v>
      </c>
      <c r="AD281" s="11"/>
      <c r="AE281" s="301" t="str">
        <f>AF281&amp;TM[[#This Row],[Insurer Code]]&amp;"; "&amp;AG281&amp;TM[[#This Row],[Reporting Year]]&amp;"; "&amp;AH281&amp;TM[[#This Row],[Insurance Category Code]]&amp;"; "&amp;AI281&amp;TM[[#This Row],[Large Provider Entity Code]]</f>
        <v xml:space="preserve">Insurer Code ; Reporting Year ; Insurance Category Code ; Large Provider Entity Code </v>
      </c>
      <c r="AF281" s="297" t="s">
        <v>197</v>
      </c>
      <c r="AG281" s="297" t="s">
        <v>198</v>
      </c>
      <c r="AH281" s="297" t="s">
        <v>199</v>
      </c>
      <c r="AI281" s="297" t="s">
        <v>200</v>
      </c>
      <c r="AJ281" s="297"/>
      <c r="AK281" s="297"/>
      <c r="AL281" s="297"/>
      <c r="AM281" s="11"/>
      <c r="AN281" s="11"/>
      <c r="AO281" s="11"/>
    </row>
    <row r="282" spans="1:41" x14ac:dyDescent="0.4">
      <c r="A282" s="291"/>
      <c r="B282" s="292"/>
      <c r="C282" s="312"/>
      <c r="D282"/>
      <c r="E282" s="325"/>
      <c r="F282" s="143"/>
      <c r="G282" s="143"/>
      <c r="H282" s="143"/>
      <c r="I282" s="143"/>
      <c r="J282" s="143"/>
      <c r="K282" s="143"/>
      <c r="L282" s="143"/>
      <c r="M282" s="143"/>
      <c r="N282" s="143"/>
      <c r="O282" s="143"/>
      <c r="P282" s="143"/>
      <c r="Q282" s="143"/>
      <c r="R282" s="143"/>
      <c r="S282" s="143"/>
      <c r="T282" s="143"/>
      <c r="U282" s="143"/>
      <c r="V282" s="325"/>
      <c r="W282" s="393">
        <f t="shared" si="35"/>
        <v>0</v>
      </c>
      <c r="X282" s="393">
        <f t="shared" si="36"/>
        <v>0</v>
      </c>
      <c r="Y282" s="393">
        <f t="shared" si="37"/>
        <v>0</v>
      </c>
      <c r="Z282" s="393">
        <f t="shared" si="38"/>
        <v>0</v>
      </c>
      <c r="AA282" s="393">
        <f t="shared" si="39"/>
        <v>0</v>
      </c>
      <c r="AB282" s="393" t="e">
        <f t="shared" si="40"/>
        <v>#DIV/0!</v>
      </c>
      <c r="AC282" s="486" t="e">
        <f t="shared" si="41"/>
        <v>#DIV/0!</v>
      </c>
      <c r="AD282" s="11"/>
      <c r="AE282" s="301" t="str">
        <f>AF282&amp;TM[[#This Row],[Insurer Code]]&amp;"; "&amp;AG282&amp;TM[[#This Row],[Reporting Year]]&amp;"; "&amp;AH282&amp;TM[[#This Row],[Insurance Category Code]]&amp;"; "&amp;AI282&amp;TM[[#This Row],[Large Provider Entity Code]]</f>
        <v xml:space="preserve">Insurer Code ; Reporting Year ; Insurance Category Code ; Large Provider Entity Code </v>
      </c>
      <c r="AF282" s="297" t="s">
        <v>197</v>
      </c>
      <c r="AG282" s="297" t="s">
        <v>198</v>
      </c>
      <c r="AH282" s="297" t="s">
        <v>199</v>
      </c>
      <c r="AI282" s="297" t="s">
        <v>200</v>
      </c>
      <c r="AJ282" s="297"/>
      <c r="AK282" s="297"/>
      <c r="AL282" s="297"/>
      <c r="AM282" s="11"/>
      <c r="AN282" s="11"/>
      <c r="AO282" s="11"/>
    </row>
    <row r="283" spans="1:41" x14ac:dyDescent="0.4">
      <c r="A283" s="291"/>
      <c r="B283" s="292"/>
      <c r="C283" s="312"/>
      <c r="D283"/>
      <c r="E283" s="325"/>
      <c r="F283" s="143"/>
      <c r="G283" s="143"/>
      <c r="H283" s="143"/>
      <c r="I283" s="143"/>
      <c r="J283" s="143"/>
      <c r="K283" s="143"/>
      <c r="L283" s="143"/>
      <c r="M283" s="143"/>
      <c r="N283" s="143"/>
      <c r="O283" s="143"/>
      <c r="P283" s="143"/>
      <c r="Q283" s="143"/>
      <c r="R283" s="143"/>
      <c r="S283" s="143"/>
      <c r="T283" s="143"/>
      <c r="U283" s="143"/>
      <c r="V283" s="325"/>
      <c r="W283" s="393">
        <f t="shared" si="35"/>
        <v>0</v>
      </c>
      <c r="X283" s="393">
        <f t="shared" si="36"/>
        <v>0</v>
      </c>
      <c r="Y283" s="393">
        <f t="shared" si="37"/>
        <v>0</v>
      </c>
      <c r="Z283" s="393">
        <f t="shared" si="38"/>
        <v>0</v>
      </c>
      <c r="AA283" s="393">
        <f t="shared" si="39"/>
        <v>0</v>
      </c>
      <c r="AB283" s="393" t="e">
        <f t="shared" si="40"/>
        <v>#DIV/0!</v>
      </c>
      <c r="AC283" s="486" t="e">
        <f t="shared" si="41"/>
        <v>#DIV/0!</v>
      </c>
      <c r="AD283" s="11"/>
      <c r="AE283" s="301" t="str">
        <f>AF283&amp;TM[[#This Row],[Insurer Code]]&amp;"; "&amp;AG283&amp;TM[[#This Row],[Reporting Year]]&amp;"; "&amp;AH283&amp;TM[[#This Row],[Insurance Category Code]]&amp;"; "&amp;AI283&amp;TM[[#This Row],[Large Provider Entity Code]]</f>
        <v xml:space="preserve">Insurer Code ; Reporting Year ; Insurance Category Code ; Large Provider Entity Code </v>
      </c>
      <c r="AF283" s="297" t="s">
        <v>197</v>
      </c>
      <c r="AG283" s="297" t="s">
        <v>198</v>
      </c>
      <c r="AH283" s="297" t="s">
        <v>199</v>
      </c>
      <c r="AI283" s="297" t="s">
        <v>200</v>
      </c>
      <c r="AJ283" s="297"/>
      <c r="AK283" s="297"/>
      <c r="AL283" s="297"/>
      <c r="AM283" s="11"/>
      <c r="AN283" s="11"/>
      <c r="AO283" s="11"/>
    </row>
    <row r="284" spans="1:41" x14ac:dyDescent="0.4">
      <c r="A284" s="291"/>
      <c r="B284" s="292"/>
      <c r="C284" s="312"/>
      <c r="D284"/>
      <c r="E284" s="325"/>
      <c r="F284" s="143"/>
      <c r="G284" s="143"/>
      <c r="H284" s="143"/>
      <c r="I284" s="143"/>
      <c r="J284" s="143"/>
      <c r="K284" s="143"/>
      <c r="L284" s="143"/>
      <c r="M284" s="143"/>
      <c r="N284" s="143"/>
      <c r="O284" s="143"/>
      <c r="P284" s="143"/>
      <c r="Q284" s="143"/>
      <c r="R284" s="143"/>
      <c r="S284" s="143"/>
      <c r="T284" s="143"/>
      <c r="U284" s="143"/>
      <c r="V284" s="325"/>
      <c r="W284" s="393">
        <f t="shared" si="35"/>
        <v>0</v>
      </c>
      <c r="X284" s="393">
        <f t="shared" si="36"/>
        <v>0</v>
      </c>
      <c r="Y284" s="393">
        <f t="shared" si="37"/>
        <v>0</v>
      </c>
      <c r="Z284" s="393">
        <f t="shared" si="38"/>
        <v>0</v>
      </c>
      <c r="AA284" s="393">
        <f t="shared" si="39"/>
        <v>0</v>
      </c>
      <c r="AB284" s="393" t="e">
        <f t="shared" si="40"/>
        <v>#DIV/0!</v>
      </c>
      <c r="AC284" s="486" t="e">
        <f t="shared" si="41"/>
        <v>#DIV/0!</v>
      </c>
      <c r="AD284" s="11"/>
      <c r="AE284" s="301" t="str">
        <f>AF284&amp;TM[[#This Row],[Insurer Code]]&amp;"; "&amp;AG284&amp;TM[[#This Row],[Reporting Year]]&amp;"; "&amp;AH284&amp;TM[[#This Row],[Insurance Category Code]]&amp;"; "&amp;AI284&amp;TM[[#This Row],[Large Provider Entity Code]]</f>
        <v xml:space="preserve">Insurer Code ; Reporting Year ; Insurance Category Code ; Large Provider Entity Code </v>
      </c>
      <c r="AF284" s="297" t="s">
        <v>197</v>
      </c>
      <c r="AG284" s="297" t="s">
        <v>198</v>
      </c>
      <c r="AH284" s="297" t="s">
        <v>199</v>
      </c>
      <c r="AI284" s="297" t="s">
        <v>200</v>
      </c>
      <c r="AJ284" s="297"/>
      <c r="AK284" s="297"/>
      <c r="AL284" s="297"/>
      <c r="AM284" s="11"/>
      <c r="AN284" s="11"/>
      <c r="AO284" s="11"/>
    </row>
    <row r="285" spans="1:41" x14ac:dyDescent="0.4">
      <c r="A285" s="291"/>
      <c r="B285" s="292"/>
      <c r="C285" s="312"/>
      <c r="D285"/>
      <c r="E285" s="325"/>
      <c r="F285" s="143"/>
      <c r="G285" s="143"/>
      <c r="H285" s="143"/>
      <c r="I285" s="143"/>
      <c r="J285" s="143"/>
      <c r="K285" s="143"/>
      <c r="L285" s="143"/>
      <c r="M285" s="143"/>
      <c r="N285" s="143"/>
      <c r="O285" s="143"/>
      <c r="P285" s="143"/>
      <c r="Q285" s="143"/>
      <c r="R285" s="143"/>
      <c r="S285" s="143"/>
      <c r="T285" s="143"/>
      <c r="U285" s="143"/>
      <c r="V285" s="325"/>
      <c r="W285" s="393">
        <f t="shared" si="35"/>
        <v>0</v>
      </c>
      <c r="X285" s="393">
        <f t="shared" si="36"/>
        <v>0</v>
      </c>
      <c r="Y285" s="393">
        <f t="shared" si="37"/>
        <v>0</v>
      </c>
      <c r="Z285" s="393">
        <f t="shared" si="38"/>
        <v>0</v>
      </c>
      <c r="AA285" s="393">
        <f t="shared" si="39"/>
        <v>0</v>
      </c>
      <c r="AB285" s="393" t="e">
        <f t="shared" si="40"/>
        <v>#DIV/0!</v>
      </c>
      <c r="AC285" s="486" t="e">
        <f t="shared" si="41"/>
        <v>#DIV/0!</v>
      </c>
      <c r="AD285" s="11"/>
      <c r="AE285" s="301" t="str">
        <f>AF285&amp;TM[[#This Row],[Insurer Code]]&amp;"; "&amp;AG285&amp;TM[[#This Row],[Reporting Year]]&amp;"; "&amp;AH285&amp;TM[[#This Row],[Insurance Category Code]]&amp;"; "&amp;AI285&amp;TM[[#This Row],[Large Provider Entity Code]]</f>
        <v xml:space="preserve">Insurer Code ; Reporting Year ; Insurance Category Code ; Large Provider Entity Code </v>
      </c>
      <c r="AF285" s="297" t="s">
        <v>197</v>
      </c>
      <c r="AG285" s="297" t="s">
        <v>198</v>
      </c>
      <c r="AH285" s="297" t="s">
        <v>199</v>
      </c>
      <c r="AI285" s="297" t="s">
        <v>200</v>
      </c>
      <c r="AJ285" s="297"/>
      <c r="AK285" s="297"/>
      <c r="AL285" s="297"/>
      <c r="AM285" s="11"/>
      <c r="AN285" s="11"/>
      <c r="AO285" s="11"/>
    </row>
    <row r="286" spans="1:41" x14ac:dyDescent="0.4">
      <c r="A286" s="291"/>
      <c r="B286" s="292"/>
      <c r="C286" s="312"/>
      <c r="D286"/>
      <c r="E286" s="325"/>
      <c r="F286" s="143"/>
      <c r="G286" s="143"/>
      <c r="H286" s="143"/>
      <c r="I286" s="143"/>
      <c r="J286" s="143"/>
      <c r="K286" s="143"/>
      <c r="L286" s="143"/>
      <c r="M286" s="143"/>
      <c r="N286" s="143"/>
      <c r="O286" s="143"/>
      <c r="P286" s="143"/>
      <c r="Q286" s="143"/>
      <c r="R286" s="143"/>
      <c r="S286" s="143"/>
      <c r="T286" s="143"/>
      <c r="U286" s="143"/>
      <c r="V286" s="325"/>
      <c r="W286" s="393">
        <f t="shared" si="35"/>
        <v>0</v>
      </c>
      <c r="X286" s="393">
        <f t="shared" si="36"/>
        <v>0</v>
      </c>
      <c r="Y286" s="393">
        <f t="shared" si="37"/>
        <v>0</v>
      </c>
      <c r="Z286" s="393">
        <f t="shared" si="38"/>
        <v>0</v>
      </c>
      <c r="AA286" s="393">
        <f t="shared" si="39"/>
        <v>0</v>
      </c>
      <c r="AB286" s="393" t="e">
        <f t="shared" si="40"/>
        <v>#DIV/0!</v>
      </c>
      <c r="AC286" s="486" t="e">
        <f t="shared" si="41"/>
        <v>#DIV/0!</v>
      </c>
      <c r="AD286" s="11"/>
      <c r="AE286" s="301" t="str">
        <f>AF286&amp;TM[[#This Row],[Insurer Code]]&amp;"; "&amp;AG286&amp;TM[[#This Row],[Reporting Year]]&amp;"; "&amp;AH286&amp;TM[[#This Row],[Insurance Category Code]]&amp;"; "&amp;AI286&amp;TM[[#This Row],[Large Provider Entity Code]]</f>
        <v xml:space="preserve">Insurer Code ; Reporting Year ; Insurance Category Code ; Large Provider Entity Code </v>
      </c>
      <c r="AF286" s="297" t="s">
        <v>197</v>
      </c>
      <c r="AG286" s="297" t="s">
        <v>198</v>
      </c>
      <c r="AH286" s="297" t="s">
        <v>199</v>
      </c>
      <c r="AI286" s="297" t="s">
        <v>200</v>
      </c>
      <c r="AJ286" s="297"/>
      <c r="AK286" s="297"/>
      <c r="AL286" s="297"/>
      <c r="AM286" s="11"/>
      <c r="AN286" s="11"/>
      <c r="AO286" s="11"/>
    </row>
    <row r="287" spans="1:41" x14ac:dyDescent="0.4">
      <c r="A287" s="291"/>
      <c r="B287" s="292"/>
      <c r="C287" s="312"/>
      <c r="D287"/>
      <c r="E287" s="325"/>
      <c r="F287" s="143"/>
      <c r="G287" s="143"/>
      <c r="H287" s="143"/>
      <c r="I287" s="143"/>
      <c r="J287" s="143"/>
      <c r="K287" s="143"/>
      <c r="L287" s="143"/>
      <c r="M287" s="143"/>
      <c r="N287" s="143"/>
      <c r="O287" s="143"/>
      <c r="P287" s="143"/>
      <c r="Q287" s="143"/>
      <c r="R287" s="143"/>
      <c r="S287" s="143"/>
      <c r="T287" s="143"/>
      <c r="U287" s="143"/>
      <c r="V287" s="325"/>
      <c r="W287" s="393">
        <f t="shared" si="35"/>
        <v>0</v>
      </c>
      <c r="X287" s="393">
        <f t="shared" si="36"/>
        <v>0</v>
      </c>
      <c r="Y287" s="393">
        <f t="shared" si="37"/>
        <v>0</v>
      </c>
      <c r="Z287" s="393">
        <f t="shared" si="38"/>
        <v>0</v>
      </c>
      <c r="AA287" s="393">
        <f t="shared" si="39"/>
        <v>0</v>
      </c>
      <c r="AB287" s="393" t="e">
        <f t="shared" si="40"/>
        <v>#DIV/0!</v>
      </c>
      <c r="AC287" s="486" t="e">
        <f t="shared" si="41"/>
        <v>#DIV/0!</v>
      </c>
      <c r="AD287" s="11"/>
      <c r="AE287" s="301" t="str">
        <f>AF287&amp;TM[[#This Row],[Insurer Code]]&amp;"; "&amp;AG287&amp;TM[[#This Row],[Reporting Year]]&amp;"; "&amp;AH287&amp;TM[[#This Row],[Insurance Category Code]]&amp;"; "&amp;AI287&amp;TM[[#This Row],[Large Provider Entity Code]]</f>
        <v xml:space="preserve">Insurer Code ; Reporting Year ; Insurance Category Code ; Large Provider Entity Code </v>
      </c>
      <c r="AF287" s="297" t="s">
        <v>197</v>
      </c>
      <c r="AG287" s="297" t="s">
        <v>198</v>
      </c>
      <c r="AH287" s="297" t="s">
        <v>199</v>
      </c>
      <c r="AI287" s="297" t="s">
        <v>200</v>
      </c>
      <c r="AJ287" s="297"/>
      <c r="AK287" s="297"/>
      <c r="AL287" s="297"/>
      <c r="AM287" s="11"/>
      <c r="AN287" s="11"/>
      <c r="AO287" s="11"/>
    </row>
    <row r="288" spans="1:41" x14ac:dyDescent="0.4">
      <c r="A288" s="291"/>
      <c r="B288" s="292"/>
      <c r="C288" s="312"/>
      <c r="D288"/>
      <c r="E288" s="325"/>
      <c r="F288" s="143"/>
      <c r="G288" s="143"/>
      <c r="H288" s="143"/>
      <c r="I288" s="143"/>
      <c r="J288" s="143"/>
      <c r="K288" s="143"/>
      <c r="L288" s="143"/>
      <c r="M288" s="143"/>
      <c r="N288" s="143"/>
      <c r="O288" s="143"/>
      <c r="P288" s="143"/>
      <c r="Q288" s="143"/>
      <c r="R288" s="143"/>
      <c r="S288" s="143"/>
      <c r="T288" s="143"/>
      <c r="U288" s="143"/>
      <c r="V288" s="325"/>
      <c r="W288" s="393">
        <f t="shared" si="35"/>
        <v>0</v>
      </c>
      <c r="X288" s="393">
        <f t="shared" si="36"/>
        <v>0</v>
      </c>
      <c r="Y288" s="393">
        <f t="shared" si="37"/>
        <v>0</v>
      </c>
      <c r="Z288" s="393">
        <f t="shared" si="38"/>
        <v>0</v>
      </c>
      <c r="AA288" s="393">
        <f t="shared" si="39"/>
        <v>0</v>
      </c>
      <c r="AB288" s="393" t="e">
        <f t="shared" si="40"/>
        <v>#DIV/0!</v>
      </c>
      <c r="AC288" s="486" t="e">
        <f t="shared" si="41"/>
        <v>#DIV/0!</v>
      </c>
      <c r="AD288" s="11"/>
      <c r="AE288" s="301" t="str">
        <f>AF288&amp;TM[[#This Row],[Insurer Code]]&amp;"; "&amp;AG288&amp;TM[[#This Row],[Reporting Year]]&amp;"; "&amp;AH288&amp;TM[[#This Row],[Insurance Category Code]]&amp;"; "&amp;AI288&amp;TM[[#This Row],[Large Provider Entity Code]]</f>
        <v xml:space="preserve">Insurer Code ; Reporting Year ; Insurance Category Code ; Large Provider Entity Code </v>
      </c>
      <c r="AF288" s="297" t="s">
        <v>197</v>
      </c>
      <c r="AG288" s="297" t="s">
        <v>198</v>
      </c>
      <c r="AH288" s="297" t="s">
        <v>199</v>
      </c>
      <c r="AI288" s="297" t="s">
        <v>200</v>
      </c>
      <c r="AJ288" s="297"/>
      <c r="AK288" s="297"/>
      <c r="AL288" s="297"/>
      <c r="AM288" s="11"/>
      <c r="AN288" s="11"/>
      <c r="AO288" s="11"/>
    </row>
    <row r="289" spans="1:41" x14ac:dyDescent="0.4">
      <c r="A289" s="291"/>
      <c r="B289" s="292"/>
      <c r="C289" s="312"/>
      <c r="D289"/>
      <c r="E289" s="325"/>
      <c r="F289" s="143"/>
      <c r="G289" s="143"/>
      <c r="H289" s="143"/>
      <c r="I289" s="143"/>
      <c r="J289" s="143"/>
      <c r="K289" s="143"/>
      <c r="L289" s="143"/>
      <c r="M289" s="143"/>
      <c r="N289" s="143"/>
      <c r="O289" s="143"/>
      <c r="P289" s="143"/>
      <c r="Q289" s="143"/>
      <c r="R289" s="143"/>
      <c r="S289" s="143"/>
      <c r="T289" s="143"/>
      <c r="U289" s="143"/>
      <c r="V289" s="325"/>
      <c r="W289" s="393">
        <f t="shared" si="35"/>
        <v>0</v>
      </c>
      <c r="X289" s="393">
        <f t="shared" si="36"/>
        <v>0</v>
      </c>
      <c r="Y289" s="393">
        <f t="shared" si="37"/>
        <v>0</v>
      </c>
      <c r="Z289" s="393">
        <f t="shared" si="38"/>
        <v>0</v>
      </c>
      <c r="AA289" s="393">
        <f t="shared" si="39"/>
        <v>0</v>
      </c>
      <c r="AB289" s="393" t="e">
        <f t="shared" si="40"/>
        <v>#DIV/0!</v>
      </c>
      <c r="AC289" s="486" t="e">
        <f t="shared" si="41"/>
        <v>#DIV/0!</v>
      </c>
      <c r="AD289" s="11"/>
      <c r="AE289" s="301" t="str">
        <f>AF289&amp;TM[[#This Row],[Insurer Code]]&amp;"; "&amp;AG289&amp;TM[[#This Row],[Reporting Year]]&amp;"; "&amp;AH289&amp;TM[[#This Row],[Insurance Category Code]]&amp;"; "&amp;AI289&amp;TM[[#This Row],[Large Provider Entity Code]]</f>
        <v xml:space="preserve">Insurer Code ; Reporting Year ; Insurance Category Code ; Large Provider Entity Code </v>
      </c>
      <c r="AF289" s="297" t="s">
        <v>197</v>
      </c>
      <c r="AG289" s="297" t="s">
        <v>198</v>
      </c>
      <c r="AH289" s="297" t="s">
        <v>199</v>
      </c>
      <c r="AI289" s="297" t="s">
        <v>200</v>
      </c>
      <c r="AJ289" s="297"/>
      <c r="AK289" s="297"/>
      <c r="AL289" s="297"/>
      <c r="AM289" s="11"/>
      <c r="AN289" s="11"/>
      <c r="AO289" s="11"/>
    </row>
    <row r="290" spans="1:41" x14ac:dyDescent="0.4">
      <c r="A290" s="291"/>
      <c r="B290" s="292"/>
      <c r="C290" s="312"/>
      <c r="D290"/>
      <c r="E290" s="325"/>
      <c r="F290" s="143"/>
      <c r="G290" s="143"/>
      <c r="H290" s="143"/>
      <c r="I290" s="143"/>
      <c r="J290" s="143"/>
      <c r="K290" s="143"/>
      <c r="L290" s="143"/>
      <c r="M290" s="143"/>
      <c r="N290" s="143"/>
      <c r="O290" s="143"/>
      <c r="P290" s="143"/>
      <c r="Q290" s="143"/>
      <c r="R290" s="143"/>
      <c r="S290" s="143"/>
      <c r="T290" s="143"/>
      <c r="U290" s="143"/>
      <c r="V290" s="325"/>
      <c r="W290" s="393">
        <f t="shared" si="35"/>
        <v>0</v>
      </c>
      <c r="X290" s="393">
        <f t="shared" si="36"/>
        <v>0</v>
      </c>
      <c r="Y290" s="393">
        <f t="shared" si="37"/>
        <v>0</v>
      </c>
      <c r="Z290" s="393">
        <f t="shared" si="38"/>
        <v>0</v>
      </c>
      <c r="AA290" s="393">
        <f t="shared" si="39"/>
        <v>0</v>
      </c>
      <c r="AB290" s="393" t="e">
        <f t="shared" si="40"/>
        <v>#DIV/0!</v>
      </c>
      <c r="AC290" s="486" t="e">
        <f t="shared" si="41"/>
        <v>#DIV/0!</v>
      </c>
      <c r="AD290" s="11"/>
      <c r="AE290" s="301" t="str">
        <f>AF290&amp;TM[[#This Row],[Insurer Code]]&amp;"; "&amp;AG290&amp;TM[[#This Row],[Reporting Year]]&amp;"; "&amp;AH290&amp;TM[[#This Row],[Insurance Category Code]]&amp;"; "&amp;AI290&amp;TM[[#This Row],[Large Provider Entity Code]]</f>
        <v xml:space="preserve">Insurer Code ; Reporting Year ; Insurance Category Code ; Large Provider Entity Code </v>
      </c>
      <c r="AF290" s="297" t="s">
        <v>197</v>
      </c>
      <c r="AG290" s="297" t="s">
        <v>198</v>
      </c>
      <c r="AH290" s="297" t="s">
        <v>199</v>
      </c>
      <c r="AI290" s="297" t="s">
        <v>200</v>
      </c>
      <c r="AJ290" s="297"/>
      <c r="AK290" s="297"/>
      <c r="AL290" s="297"/>
      <c r="AM290" s="11"/>
      <c r="AN290" s="11"/>
      <c r="AO290" s="11"/>
    </row>
    <row r="291" spans="1:41" x14ac:dyDescent="0.4">
      <c r="A291" s="291"/>
      <c r="B291" s="292"/>
      <c r="C291" s="312"/>
      <c r="D291"/>
      <c r="E291" s="325"/>
      <c r="F291" s="143"/>
      <c r="G291" s="143"/>
      <c r="H291" s="143"/>
      <c r="I291" s="143"/>
      <c r="J291" s="143"/>
      <c r="K291" s="143"/>
      <c r="L291" s="143"/>
      <c r="M291" s="143"/>
      <c r="N291" s="143"/>
      <c r="O291" s="143"/>
      <c r="P291" s="143"/>
      <c r="Q291" s="143"/>
      <c r="R291" s="143"/>
      <c r="S291" s="143"/>
      <c r="T291" s="143"/>
      <c r="U291" s="143"/>
      <c r="V291" s="325"/>
      <c r="W291" s="393">
        <f t="shared" si="35"/>
        <v>0</v>
      </c>
      <c r="X291" s="393">
        <f t="shared" si="36"/>
        <v>0</v>
      </c>
      <c r="Y291" s="393">
        <f t="shared" si="37"/>
        <v>0</v>
      </c>
      <c r="Z291" s="393">
        <f t="shared" si="38"/>
        <v>0</v>
      </c>
      <c r="AA291" s="393">
        <f t="shared" si="39"/>
        <v>0</v>
      </c>
      <c r="AB291" s="393" t="e">
        <f t="shared" si="40"/>
        <v>#DIV/0!</v>
      </c>
      <c r="AC291" s="486" t="e">
        <f t="shared" si="41"/>
        <v>#DIV/0!</v>
      </c>
      <c r="AD291" s="11"/>
      <c r="AE291" s="301" t="str">
        <f>AF291&amp;TM[[#This Row],[Insurer Code]]&amp;"; "&amp;AG291&amp;TM[[#This Row],[Reporting Year]]&amp;"; "&amp;AH291&amp;TM[[#This Row],[Insurance Category Code]]&amp;"; "&amp;AI291&amp;TM[[#This Row],[Large Provider Entity Code]]</f>
        <v xml:space="preserve">Insurer Code ; Reporting Year ; Insurance Category Code ; Large Provider Entity Code </v>
      </c>
      <c r="AF291" s="297" t="s">
        <v>197</v>
      </c>
      <c r="AG291" s="297" t="s">
        <v>198</v>
      </c>
      <c r="AH291" s="297" t="s">
        <v>199</v>
      </c>
      <c r="AI291" s="297" t="s">
        <v>200</v>
      </c>
      <c r="AJ291" s="297"/>
      <c r="AK291" s="297"/>
      <c r="AL291" s="297"/>
      <c r="AM291" s="11"/>
      <c r="AN291" s="11"/>
      <c r="AO291" s="11"/>
    </row>
    <row r="292" spans="1:41" x14ac:dyDescent="0.4">
      <c r="A292" s="291"/>
      <c r="B292" s="292"/>
      <c r="C292" s="312"/>
      <c r="D292"/>
      <c r="E292" s="325"/>
      <c r="F292" s="143"/>
      <c r="G292" s="143"/>
      <c r="H292" s="143"/>
      <c r="I292" s="143"/>
      <c r="J292" s="143"/>
      <c r="K292" s="143"/>
      <c r="L292" s="143"/>
      <c r="M292" s="143"/>
      <c r="N292" s="143"/>
      <c r="O292" s="143"/>
      <c r="P292" s="143"/>
      <c r="Q292" s="143"/>
      <c r="R292" s="143"/>
      <c r="S292" s="143"/>
      <c r="T292" s="143"/>
      <c r="U292" s="143"/>
      <c r="V292" s="325"/>
      <c r="W292" s="393">
        <f t="shared" si="35"/>
        <v>0</v>
      </c>
      <c r="X292" s="393">
        <f t="shared" si="36"/>
        <v>0</v>
      </c>
      <c r="Y292" s="393">
        <f t="shared" si="37"/>
        <v>0</v>
      </c>
      <c r="Z292" s="393">
        <f t="shared" si="38"/>
        <v>0</v>
      </c>
      <c r="AA292" s="393">
        <f t="shared" si="39"/>
        <v>0</v>
      </c>
      <c r="AB292" s="393" t="e">
        <f t="shared" si="40"/>
        <v>#DIV/0!</v>
      </c>
      <c r="AC292" s="486" t="e">
        <f t="shared" si="41"/>
        <v>#DIV/0!</v>
      </c>
      <c r="AD292" s="11"/>
      <c r="AE292" s="301" t="str">
        <f>AF292&amp;TM[[#This Row],[Insurer Code]]&amp;"; "&amp;AG292&amp;TM[[#This Row],[Reporting Year]]&amp;"; "&amp;AH292&amp;TM[[#This Row],[Insurance Category Code]]&amp;"; "&amp;AI292&amp;TM[[#This Row],[Large Provider Entity Code]]</f>
        <v xml:space="preserve">Insurer Code ; Reporting Year ; Insurance Category Code ; Large Provider Entity Code </v>
      </c>
      <c r="AF292" s="297" t="s">
        <v>197</v>
      </c>
      <c r="AG292" s="297" t="s">
        <v>198</v>
      </c>
      <c r="AH292" s="297" t="s">
        <v>199</v>
      </c>
      <c r="AI292" s="297" t="s">
        <v>200</v>
      </c>
      <c r="AJ292" s="297"/>
      <c r="AK292" s="297"/>
      <c r="AL292" s="297"/>
      <c r="AM292" s="11"/>
      <c r="AN292" s="11"/>
      <c r="AO292" s="11"/>
    </row>
    <row r="293" spans="1:41" x14ac:dyDescent="0.4">
      <c r="A293" s="291"/>
      <c r="B293" s="292"/>
      <c r="C293" s="312"/>
      <c r="D293"/>
      <c r="E293" s="325"/>
      <c r="F293" s="143"/>
      <c r="G293" s="143"/>
      <c r="H293" s="143"/>
      <c r="I293" s="143"/>
      <c r="J293" s="143"/>
      <c r="K293" s="143"/>
      <c r="L293" s="143"/>
      <c r="M293" s="143"/>
      <c r="N293" s="143"/>
      <c r="O293" s="143"/>
      <c r="P293" s="143"/>
      <c r="Q293" s="143"/>
      <c r="R293" s="143"/>
      <c r="S293" s="143"/>
      <c r="T293" s="143"/>
      <c r="U293" s="143"/>
      <c r="V293" s="325"/>
      <c r="W293" s="393">
        <f t="shared" si="35"/>
        <v>0</v>
      </c>
      <c r="X293" s="393">
        <f t="shared" si="36"/>
        <v>0</v>
      </c>
      <c r="Y293" s="393">
        <f t="shared" si="37"/>
        <v>0</v>
      </c>
      <c r="Z293" s="393">
        <f t="shared" si="38"/>
        <v>0</v>
      </c>
      <c r="AA293" s="393">
        <f t="shared" si="39"/>
        <v>0</v>
      </c>
      <c r="AB293" s="393" t="e">
        <f t="shared" si="40"/>
        <v>#DIV/0!</v>
      </c>
      <c r="AC293" s="486" t="e">
        <f t="shared" si="41"/>
        <v>#DIV/0!</v>
      </c>
      <c r="AD293" s="11"/>
      <c r="AE293" s="301" t="str">
        <f>AF293&amp;TM[[#This Row],[Insurer Code]]&amp;"; "&amp;AG293&amp;TM[[#This Row],[Reporting Year]]&amp;"; "&amp;AH293&amp;TM[[#This Row],[Insurance Category Code]]&amp;"; "&amp;AI293&amp;TM[[#This Row],[Large Provider Entity Code]]</f>
        <v xml:space="preserve">Insurer Code ; Reporting Year ; Insurance Category Code ; Large Provider Entity Code </v>
      </c>
      <c r="AF293" s="297" t="s">
        <v>197</v>
      </c>
      <c r="AG293" s="297" t="s">
        <v>198</v>
      </c>
      <c r="AH293" s="297" t="s">
        <v>199</v>
      </c>
      <c r="AI293" s="297" t="s">
        <v>200</v>
      </c>
      <c r="AJ293" s="297"/>
      <c r="AK293" s="297"/>
      <c r="AL293" s="297"/>
      <c r="AM293" s="11"/>
      <c r="AN293" s="11"/>
      <c r="AO293" s="11"/>
    </row>
    <row r="294" spans="1:41" x14ac:dyDescent="0.4">
      <c r="A294" s="291"/>
      <c r="B294" s="292"/>
      <c r="C294" s="312"/>
      <c r="D294"/>
      <c r="E294" s="325"/>
      <c r="F294" s="143"/>
      <c r="G294" s="143"/>
      <c r="H294" s="143"/>
      <c r="I294" s="143"/>
      <c r="J294" s="143"/>
      <c r="K294" s="143"/>
      <c r="L294" s="143"/>
      <c r="M294" s="143"/>
      <c r="N294" s="143"/>
      <c r="O294" s="143"/>
      <c r="P294" s="143"/>
      <c r="Q294" s="143"/>
      <c r="R294" s="143"/>
      <c r="S294" s="143"/>
      <c r="T294" s="143"/>
      <c r="U294" s="143"/>
      <c r="V294" s="325"/>
      <c r="W294" s="393">
        <f t="shared" si="35"/>
        <v>0</v>
      </c>
      <c r="X294" s="393">
        <f t="shared" si="36"/>
        <v>0</v>
      </c>
      <c r="Y294" s="393">
        <f t="shared" si="37"/>
        <v>0</v>
      </c>
      <c r="Z294" s="393">
        <f t="shared" si="38"/>
        <v>0</v>
      </c>
      <c r="AA294" s="393">
        <f t="shared" si="39"/>
        <v>0</v>
      </c>
      <c r="AB294" s="393" t="e">
        <f t="shared" si="40"/>
        <v>#DIV/0!</v>
      </c>
      <c r="AC294" s="486" t="e">
        <f t="shared" si="41"/>
        <v>#DIV/0!</v>
      </c>
      <c r="AD294" s="11"/>
      <c r="AE294" s="301" t="str">
        <f>AF294&amp;TM[[#This Row],[Insurer Code]]&amp;"; "&amp;AG294&amp;TM[[#This Row],[Reporting Year]]&amp;"; "&amp;AH294&amp;TM[[#This Row],[Insurance Category Code]]&amp;"; "&amp;AI294&amp;TM[[#This Row],[Large Provider Entity Code]]</f>
        <v xml:space="preserve">Insurer Code ; Reporting Year ; Insurance Category Code ; Large Provider Entity Code </v>
      </c>
      <c r="AF294" s="297" t="s">
        <v>197</v>
      </c>
      <c r="AG294" s="297" t="s">
        <v>198</v>
      </c>
      <c r="AH294" s="297" t="s">
        <v>199</v>
      </c>
      <c r="AI294" s="297" t="s">
        <v>200</v>
      </c>
      <c r="AJ294" s="297"/>
      <c r="AK294" s="297"/>
      <c r="AL294" s="297"/>
      <c r="AM294" s="11"/>
      <c r="AN294" s="11"/>
      <c r="AO294" s="11"/>
    </row>
    <row r="295" spans="1:41" x14ac:dyDescent="0.4">
      <c r="A295" s="291"/>
      <c r="B295" s="292"/>
      <c r="C295" s="312"/>
      <c r="D295"/>
      <c r="E295" s="325"/>
      <c r="F295" s="143"/>
      <c r="G295" s="143"/>
      <c r="H295" s="143"/>
      <c r="I295" s="143"/>
      <c r="J295" s="143"/>
      <c r="K295" s="143"/>
      <c r="L295" s="143"/>
      <c r="M295" s="143"/>
      <c r="N295" s="143"/>
      <c r="O295" s="143"/>
      <c r="P295" s="143"/>
      <c r="Q295" s="143"/>
      <c r="R295" s="143"/>
      <c r="S295" s="143"/>
      <c r="T295" s="143"/>
      <c r="U295" s="143"/>
      <c r="V295" s="325"/>
      <c r="W295" s="393">
        <f t="shared" si="35"/>
        <v>0</v>
      </c>
      <c r="X295" s="393">
        <f t="shared" si="36"/>
        <v>0</v>
      </c>
      <c r="Y295" s="393">
        <f t="shared" si="37"/>
        <v>0</v>
      </c>
      <c r="Z295" s="393">
        <f t="shared" si="38"/>
        <v>0</v>
      </c>
      <c r="AA295" s="393">
        <f t="shared" si="39"/>
        <v>0</v>
      </c>
      <c r="AB295" s="393" t="e">
        <f t="shared" si="40"/>
        <v>#DIV/0!</v>
      </c>
      <c r="AC295" s="486" t="e">
        <f t="shared" si="41"/>
        <v>#DIV/0!</v>
      </c>
      <c r="AD295" s="11"/>
      <c r="AE295" s="301" t="str">
        <f>AF295&amp;TM[[#This Row],[Insurer Code]]&amp;"; "&amp;AG295&amp;TM[[#This Row],[Reporting Year]]&amp;"; "&amp;AH295&amp;TM[[#This Row],[Insurance Category Code]]&amp;"; "&amp;AI295&amp;TM[[#This Row],[Large Provider Entity Code]]</f>
        <v xml:space="preserve">Insurer Code ; Reporting Year ; Insurance Category Code ; Large Provider Entity Code </v>
      </c>
      <c r="AF295" s="297" t="s">
        <v>197</v>
      </c>
      <c r="AG295" s="297" t="s">
        <v>198</v>
      </c>
      <c r="AH295" s="297" t="s">
        <v>199</v>
      </c>
      <c r="AI295" s="297" t="s">
        <v>200</v>
      </c>
      <c r="AJ295" s="297"/>
      <c r="AK295" s="297"/>
      <c r="AL295" s="297"/>
      <c r="AM295" s="11"/>
      <c r="AN295" s="11"/>
      <c r="AO295" s="11"/>
    </row>
    <row r="296" spans="1:41" x14ac:dyDescent="0.4">
      <c r="A296" s="291"/>
      <c r="B296" s="292"/>
      <c r="C296" s="312"/>
      <c r="D296"/>
      <c r="E296" s="325"/>
      <c r="F296" s="143"/>
      <c r="G296" s="143"/>
      <c r="H296" s="143"/>
      <c r="I296" s="143"/>
      <c r="J296" s="143"/>
      <c r="K296" s="143"/>
      <c r="L296" s="143"/>
      <c r="M296" s="143"/>
      <c r="N296" s="143"/>
      <c r="O296" s="143"/>
      <c r="P296" s="143"/>
      <c r="Q296" s="143"/>
      <c r="R296" s="143"/>
      <c r="S296" s="143"/>
      <c r="T296" s="143"/>
      <c r="U296" s="143"/>
      <c r="V296" s="325"/>
      <c r="W296" s="393">
        <f t="shared" si="35"/>
        <v>0</v>
      </c>
      <c r="X296" s="393">
        <f t="shared" si="36"/>
        <v>0</v>
      </c>
      <c r="Y296" s="393">
        <f t="shared" si="37"/>
        <v>0</v>
      </c>
      <c r="Z296" s="393">
        <f t="shared" si="38"/>
        <v>0</v>
      </c>
      <c r="AA296" s="393">
        <f t="shared" si="39"/>
        <v>0</v>
      </c>
      <c r="AB296" s="393" t="e">
        <f t="shared" si="40"/>
        <v>#DIV/0!</v>
      </c>
      <c r="AC296" s="486" t="e">
        <f t="shared" si="41"/>
        <v>#DIV/0!</v>
      </c>
      <c r="AD296" s="11"/>
      <c r="AE296" s="301" t="str">
        <f>AF296&amp;TM[[#This Row],[Insurer Code]]&amp;"; "&amp;AG296&amp;TM[[#This Row],[Reporting Year]]&amp;"; "&amp;AH296&amp;TM[[#This Row],[Insurance Category Code]]&amp;"; "&amp;AI296&amp;TM[[#This Row],[Large Provider Entity Code]]</f>
        <v xml:space="preserve">Insurer Code ; Reporting Year ; Insurance Category Code ; Large Provider Entity Code </v>
      </c>
      <c r="AF296" s="297" t="s">
        <v>197</v>
      </c>
      <c r="AG296" s="297" t="s">
        <v>198</v>
      </c>
      <c r="AH296" s="297" t="s">
        <v>199</v>
      </c>
      <c r="AI296" s="297" t="s">
        <v>200</v>
      </c>
      <c r="AJ296" s="297"/>
      <c r="AK296" s="297"/>
      <c r="AL296" s="297"/>
      <c r="AM296" s="11"/>
      <c r="AN296" s="11"/>
      <c r="AO296" s="11"/>
    </row>
    <row r="297" spans="1:41" x14ac:dyDescent="0.4">
      <c r="A297" s="291"/>
      <c r="B297" s="292"/>
      <c r="C297" s="312"/>
      <c r="D297"/>
      <c r="E297" s="325"/>
      <c r="F297" s="143"/>
      <c r="G297" s="143"/>
      <c r="H297" s="143"/>
      <c r="I297" s="143"/>
      <c r="J297" s="143"/>
      <c r="K297" s="143"/>
      <c r="L297" s="143"/>
      <c r="M297" s="143"/>
      <c r="N297" s="143"/>
      <c r="O297" s="143"/>
      <c r="P297" s="143"/>
      <c r="Q297" s="143"/>
      <c r="R297" s="143"/>
      <c r="S297" s="143"/>
      <c r="T297" s="143"/>
      <c r="U297" s="143"/>
      <c r="V297" s="325"/>
      <c r="W297" s="393">
        <f t="shared" si="35"/>
        <v>0</v>
      </c>
      <c r="X297" s="393">
        <f t="shared" si="36"/>
        <v>0</v>
      </c>
      <c r="Y297" s="393">
        <f t="shared" si="37"/>
        <v>0</v>
      </c>
      <c r="Z297" s="393">
        <f t="shared" si="38"/>
        <v>0</v>
      </c>
      <c r="AA297" s="393">
        <f t="shared" si="39"/>
        <v>0</v>
      </c>
      <c r="AB297" s="393" t="e">
        <f t="shared" si="40"/>
        <v>#DIV/0!</v>
      </c>
      <c r="AC297" s="486" t="e">
        <f t="shared" si="41"/>
        <v>#DIV/0!</v>
      </c>
      <c r="AD297" s="11"/>
      <c r="AE297" s="301" t="str">
        <f>AF297&amp;TM[[#This Row],[Insurer Code]]&amp;"; "&amp;AG297&amp;TM[[#This Row],[Reporting Year]]&amp;"; "&amp;AH297&amp;TM[[#This Row],[Insurance Category Code]]&amp;"; "&amp;AI297&amp;TM[[#This Row],[Large Provider Entity Code]]</f>
        <v xml:space="preserve">Insurer Code ; Reporting Year ; Insurance Category Code ; Large Provider Entity Code </v>
      </c>
      <c r="AF297" s="297" t="s">
        <v>197</v>
      </c>
      <c r="AG297" s="297" t="s">
        <v>198</v>
      </c>
      <c r="AH297" s="297" t="s">
        <v>199</v>
      </c>
      <c r="AI297" s="297" t="s">
        <v>200</v>
      </c>
      <c r="AJ297" s="297"/>
      <c r="AK297" s="297"/>
      <c r="AL297" s="297"/>
      <c r="AM297" s="11"/>
      <c r="AN297" s="11"/>
      <c r="AO297" s="11"/>
    </row>
    <row r="298" spans="1:41" x14ac:dyDescent="0.4">
      <c r="A298" s="291"/>
      <c r="B298" s="292"/>
      <c r="C298" s="312"/>
      <c r="D298"/>
      <c r="E298" s="325"/>
      <c r="F298" s="143"/>
      <c r="G298" s="143"/>
      <c r="H298" s="143"/>
      <c r="I298" s="143"/>
      <c r="J298" s="143"/>
      <c r="K298" s="143"/>
      <c r="L298" s="143"/>
      <c r="M298" s="143"/>
      <c r="N298" s="143"/>
      <c r="O298" s="143"/>
      <c r="P298" s="143"/>
      <c r="Q298" s="143"/>
      <c r="R298" s="143"/>
      <c r="S298" s="143"/>
      <c r="T298" s="143"/>
      <c r="U298" s="143"/>
      <c r="V298" s="325"/>
      <c r="W298" s="393">
        <f t="shared" si="35"/>
        <v>0</v>
      </c>
      <c r="X298" s="393">
        <f t="shared" si="36"/>
        <v>0</v>
      </c>
      <c r="Y298" s="393">
        <f t="shared" si="37"/>
        <v>0</v>
      </c>
      <c r="Z298" s="393">
        <f t="shared" si="38"/>
        <v>0</v>
      </c>
      <c r="AA298" s="393">
        <f t="shared" si="39"/>
        <v>0</v>
      </c>
      <c r="AB298" s="393" t="e">
        <f t="shared" si="40"/>
        <v>#DIV/0!</v>
      </c>
      <c r="AC298" s="486" t="e">
        <f t="shared" si="41"/>
        <v>#DIV/0!</v>
      </c>
      <c r="AD298" s="11"/>
      <c r="AE298" s="301" t="str">
        <f>AF298&amp;TM[[#This Row],[Insurer Code]]&amp;"; "&amp;AG298&amp;TM[[#This Row],[Reporting Year]]&amp;"; "&amp;AH298&amp;TM[[#This Row],[Insurance Category Code]]&amp;"; "&amp;AI298&amp;TM[[#This Row],[Large Provider Entity Code]]</f>
        <v xml:space="preserve">Insurer Code ; Reporting Year ; Insurance Category Code ; Large Provider Entity Code </v>
      </c>
      <c r="AF298" s="297" t="s">
        <v>197</v>
      </c>
      <c r="AG298" s="297" t="s">
        <v>198</v>
      </c>
      <c r="AH298" s="297" t="s">
        <v>199</v>
      </c>
      <c r="AI298" s="297" t="s">
        <v>200</v>
      </c>
      <c r="AJ298" s="297"/>
      <c r="AK298" s="297"/>
      <c r="AL298" s="297"/>
      <c r="AM298" s="11"/>
      <c r="AN298" s="11"/>
      <c r="AO298" s="11"/>
    </row>
    <row r="299" spans="1:41" x14ac:dyDescent="0.4">
      <c r="A299" s="291"/>
      <c r="B299" s="292"/>
      <c r="C299" s="312"/>
      <c r="D299"/>
      <c r="E299" s="325"/>
      <c r="F299" s="143"/>
      <c r="G299" s="143"/>
      <c r="H299" s="143"/>
      <c r="I299" s="143"/>
      <c r="J299" s="143"/>
      <c r="K299" s="143"/>
      <c r="L299" s="143"/>
      <c r="M299" s="143"/>
      <c r="N299" s="143"/>
      <c r="O299" s="143"/>
      <c r="P299" s="143"/>
      <c r="Q299" s="143"/>
      <c r="R299" s="143"/>
      <c r="S299" s="143"/>
      <c r="T299" s="143"/>
      <c r="U299" s="143"/>
      <c r="V299" s="325"/>
      <c r="W299" s="393">
        <f t="shared" si="35"/>
        <v>0</v>
      </c>
      <c r="X299" s="393">
        <f t="shared" si="36"/>
        <v>0</v>
      </c>
      <c r="Y299" s="393">
        <f t="shared" si="37"/>
        <v>0</v>
      </c>
      <c r="Z299" s="393">
        <f t="shared" si="38"/>
        <v>0</v>
      </c>
      <c r="AA299" s="393">
        <f t="shared" si="39"/>
        <v>0</v>
      </c>
      <c r="AB299" s="393" t="e">
        <f t="shared" si="40"/>
        <v>#DIV/0!</v>
      </c>
      <c r="AC299" s="486" t="e">
        <f t="shared" si="41"/>
        <v>#DIV/0!</v>
      </c>
      <c r="AD299" s="11"/>
      <c r="AE299" s="301" t="str">
        <f>AF299&amp;TM[[#This Row],[Insurer Code]]&amp;"; "&amp;AG299&amp;TM[[#This Row],[Reporting Year]]&amp;"; "&amp;AH299&amp;TM[[#This Row],[Insurance Category Code]]&amp;"; "&amp;AI299&amp;TM[[#This Row],[Large Provider Entity Code]]</f>
        <v xml:space="preserve">Insurer Code ; Reporting Year ; Insurance Category Code ; Large Provider Entity Code </v>
      </c>
      <c r="AF299" s="297" t="s">
        <v>197</v>
      </c>
      <c r="AG299" s="297" t="s">
        <v>198</v>
      </c>
      <c r="AH299" s="297" t="s">
        <v>199</v>
      </c>
      <c r="AI299" s="297" t="s">
        <v>200</v>
      </c>
      <c r="AJ299" s="297"/>
      <c r="AK299" s="297"/>
      <c r="AL299" s="297"/>
      <c r="AM299" s="11"/>
      <c r="AN299" s="11"/>
      <c r="AO299" s="11"/>
    </row>
    <row r="300" spans="1:41" x14ac:dyDescent="0.4">
      <c r="A300" s="291"/>
      <c r="B300" s="292"/>
      <c r="C300" s="312"/>
      <c r="D300"/>
      <c r="E300" s="325"/>
      <c r="F300" s="143"/>
      <c r="G300" s="143"/>
      <c r="H300" s="143"/>
      <c r="I300" s="143"/>
      <c r="J300" s="143"/>
      <c r="K300" s="143"/>
      <c r="L300" s="143"/>
      <c r="M300" s="143"/>
      <c r="N300" s="143"/>
      <c r="O300" s="143"/>
      <c r="P300" s="143"/>
      <c r="Q300" s="143"/>
      <c r="R300" s="143"/>
      <c r="S300" s="143"/>
      <c r="T300" s="143"/>
      <c r="U300" s="143"/>
      <c r="V300" s="325"/>
      <c r="W300" s="393">
        <f t="shared" si="35"/>
        <v>0</v>
      </c>
      <c r="X300" s="393">
        <f t="shared" si="36"/>
        <v>0</v>
      </c>
      <c r="Y300" s="393">
        <f t="shared" si="37"/>
        <v>0</v>
      </c>
      <c r="Z300" s="393">
        <f t="shared" si="38"/>
        <v>0</v>
      </c>
      <c r="AA300" s="393">
        <f t="shared" si="39"/>
        <v>0</v>
      </c>
      <c r="AB300" s="393" t="e">
        <f t="shared" si="40"/>
        <v>#DIV/0!</v>
      </c>
      <c r="AC300" s="486" t="e">
        <f t="shared" si="41"/>
        <v>#DIV/0!</v>
      </c>
      <c r="AD300" s="11"/>
      <c r="AE300" s="301" t="str">
        <f>AF300&amp;TM[[#This Row],[Insurer Code]]&amp;"; "&amp;AG300&amp;TM[[#This Row],[Reporting Year]]&amp;"; "&amp;AH300&amp;TM[[#This Row],[Insurance Category Code]]&amp;"; "&amp;AI300&amp;TM[[#This Row],[Large Provider Entity Code]]</f>
        <v xml:space="preserve">Insurer Code ; Reporting Year ; Insurance Category Code ; Large Provider Entity Code </v>
      </c>
      <c r="AF300" s="297" t="s">
        <v>197</v>
      </c>
      <c r="AG300" s="297" t="s">
        <v>198</v>
      </c>
      <c r="AH300" s="297" t="s">
        <v>199</v>
      </c>
      <c r="AI300" s="297" t="s">
        <v>200</v>
      </c>
      <c r="AJ300" s="297"/>
      <c r="AK300" s="297"/>
      <c r="AL300" s="297"/>
      <c r="AM300" s="11"/>
      <c r="AN300" s="11"/>
      <c r="AO300" s="11"/>
    </row>
    <row r="301" spans="1:41" x14ac:dyDescent="0.4">
      <c r="A301" s="291"/>
      <c r="B301" s="292"/>
      <c r="C301" s="312"/>
      <c r="D301"/>
      <c r="E301" s="325"/>
      <c r="F301" s="143"/>
      <c r="G301" s="143"/>
      <c r="H301" s="143"/>
      <c r="I301" s="143"/>
      <c r="J301" s="143"/>
      <c r="K301" s="143"/>
      <c r="L301" s="143"/>
      <c r="M301" s="143"/>
      <c r="N301" s="143"/>
      <c r="O301" s="143"/>
      <c r="P301" s="143"/>
      <c r="Q301" s="143"/>
      <c r="R301" s="143"/>
      <c r="S301" s="143"/>
      <c r="T301" s="143"/>
      <c r="U301" s="143"/>
      <c r="V301" s="325"/>
      <c r="W301" s="393">
        <f t="shared" si="35"/>
        <v>0</v>
      </c>
      <c r="X301" s="393">
        <f t="shared" si="36"/>
        <v>0</v>
      </c>
      <c r="Y301" s="393">
        <f t="shared" si="37"/>
        <v>0</v>
      </c>
      <c r="Z301" s="393">
        <f t="shared" si="38"/>
        <v>0</v>
      </c>
      <c r="AA301" s="393">
        <f t="shared" si="39"/>
        <v>0</v>
      </c>
      <c r="AB301" s="393" t="e">
        <f t="shared" si="40"/>
        <v>#DIV/0!</v>
      </c>
      <c r="AC301" s="486" t="e">
        <f t="shared" si="41"/>
        <v>#DIV/0!</v>
      </c>
      <c r="AD301" s="11"/>
      <c r="AE301" s="301" t="str">
        <f>AF301&amp;TM[[#This Row],[Insurer Code]]&amp;"; "&amp;AG301&amp;TM[[#This Row],[Reporting Year]]&amp;"; "&amp;AH301&amp;TM[[#This Row],[Insurance Category Code]]&amp;"; "&amp;AI301&amp;TM[[#This Row],[Large Provider Entity Code]]</f>
        <v xml:space="preserve">Insurer Code ; Reporting Year ; Insurance Category Code ; Large Provider Entity Code </v>
      </c>
      <c r="AF301" s="297" t="s">
        <v>197</v>
      </c>
      <c r="AG301" s="297" t="s">
        <v>198</v>
      </c>
      <c r="AH301" s="297" t="s">
        <v>199</v>
      </c>
      <c r="AI301" s="297" t="s">
        <v>200</v>
      </c>
      <c r="AJ301" s="297"/>
      <c r="AK301" s="297"/>
      <c r="AL301" s="297"/>
      <c r="AM301" s="11"/>
      <c r="AN301" s="11"/>
      <c r="AO301" s="11"/>
    </row>
    <row r="302" spans="1:41" x14ac:dyDescent="0.4">
      <c r="A302" s="291"/>
      <c r="B302" s="292"/>
      <c r="C302" s="312"/>
      <c r="D302"/>
      <c r="E302" s="325"/>
      <c r="F302" s="143"/>
      <c r="G302" s="143"/>
      <c r="H302" s="143"/>
      <c r="I302" s="143"/>
      <c r="J302" s="143"/>
      <c r="K302" s="143"/>
      <c r="L302" s="143"/>
      <c r="M302" s="143"/>
      <c r="N302" s="143"/>
      <c r="O302" s="143"/>
      <c r="P302" s="143"/>
      <c r="Q302" s="143"/>
      <c r="R302" s="143"/>
      <c r="S302" s="143"/>
      <c r="T302" s="143"/>
      <c r="U302" s="143"/>
      <c r="V302" s="325"/>
      <c r="W302" s="393">
        <f t="shared" si="35"/>
        <v>0</v>
      </c>
      <c r="X302" s="393">
        <f t="shared" si="36"/>
        <v>0</v>
      </c>
      <c r="Y302" s="393">
        <f t="shared" si="37"/>
        <v>0</v>
      </c>
      <c r="Z302" s="393">
        <f t="shared" si="38"/>
        <v>0</v>
      </c>
      <c r="AA302" s="393">
        <f t="shared" si="39"/>
        <v>0</v>
      </c>
      <c r="AB302" s="393" t="e">
        <f t="shared" si="40"/>
        <v>#DIV/0!</v>
      </c>
      <c r="AC302" s="486" t="e">
        <f t="shared" si="41"/>
        <v>#DIV/0!</v>
      </c>
      <c r="AD302" s="11"/>
      <c r="AE302" s="301" t="str">
        <f>AF302&amp;TM[[#This Row],[Insurer Code]]&amp;"; "&amp;AG302&amp;TM[[#This Row],[Reporting Year]]&amp;"; "&amp;AH302&amp;TM[[#This Row],[Insurance Category Code]]&amp;"; "&amp;AI302&amp;TM[[#This Row],[Large Provider Entity Code]]</f>
        <v xml:space="preserve">Insurer Code ; Reporting Year ; Insurance Category Code ; Large Provider Entity Code </v>
      </c>
      <c r="AF302" s="297" t="s">
        <v>197</v>
      </c>
      <c r="AG302" s="297" t="s">
        <v>198</v>
      </c>
      <c r="AH302" s="297" t="s">
        <v>199</v>
      </c>
      <c r="AI302" s="297" t="s">
        <v>200</v>
      </c>
      <c r="AJ302" s="297"/>
      <c r="AK302" s="297"/>
      <c r="AL302" s="297"/>
      <c r="AM302" s="11"/>
      <c r="AN302" s="11"/>
      <c r="AO302" s="11"/>
    </row>
    <row r="303" spans="1:41" x14ac:dyDescent="0.4">
      <c r="A303" s="291"/>
      <c r="B303" s="292"/>
      <c r="C303" s="312"/>
      <c r="D303"/>
      <c r="E303" s="325"/>
      <c r="F303" s="143"/>
      <c r="G303" s="143"/>
      <c r="H303" s="143"/>
      <c r="I303" s="143"/>
      <c r="J303" s="143"/>
      <c r="K303" s="143"/>
      <c r="L303" s="143"/>
      <c r="M303" s="143"/>
      <c r="N303" s="143"/>
      <c r="O303" s="143"/>
      <c r="P303" s="143"/>
      <c r="Q303" s="143"/>
      <c r="R303" s="143"/>
      <c r="S303" s="143"/>
      <c r="T303" s="143"/>
      <c r="U303" s="143"/>
      <c r="V303" s="325"/>
      <c r="W303" s="393">
        <f t="shared" si="35"/>
        <v>0</v>
      </c>
      <c r="X303" s="393">
        <f t="shared" si="36"/>
        <v>0</v>
      </c>
      <c r="Y303" s="393">
        <f t="shared" si="37"/>
        <v>0</v>
      </c>
      <c r="Z303" s="393">
        <f t="shared" si="38"/>
        <v>0</v>
      </c>
      <c r="AA303" s="393">
        <f t="shared" si="39"/>
        <v>0</v>
      </c>
      <c r="AB303" s="393" t="e">
        <f t="shared" si="40"/>
        <v>#DIV/0!</v>
      </c>
      <c r="AC303" s="486" t="e">
        <f t="shared" si="41"/>
        <v>#DIV/0!</v>
      </c>
      <c r="AD303" s="11"/>
      <c r="AE303" s="301" t="str">
        <f>AF303&amp;TM[[#This Row],[Insurer Code]]&amp;"; "&amp;AG303&amp;TM[[#This Row],[Reporting Year]]&amp;"; "&amp;AH303&amp;TM[[#This Row],[Insurance Category Code]]&amp;"; "&amp;AI303&amp;TM[[#This Row],[Large Provider Entity Code]]</f>
        <v xml:space="preserve">Insurer Code ; Reporting Year ; Insurance Category Code ; Large Provider Entity Code </v>
      </c>
      <c r="AF303" s="297" t="s">
        <v>197</v>
      </c>
      <c r="AG303" s="297" t="s">
        <v>198</v>
      </c>
      <c r="AH303" s="297" t="s">
        <v>199</v>
      </c>
      <c r="AI303" s="297" t="s">
        <v>200</v>
      </c>
      <c r="AJ303" s="297"/>
      <c r="AK303" s="297"/>
      <c r="AL303" s="297"/>
      <c r="AM303" s="11"/>
      <c r="AN303" s="11"/>
      <c r="AO303" s="11"/>
    </row>
    <row r="304" spans="1:41" x14ac:dyDescent="0.4">
      <c r="A304" s="291"/>
      <c r="B304" s="292"/>
      <c r="C304" s="312"/>
      <c r="D304"/>
      <c r="E304" s="325"/>
      <c r="F304" s="143"/>
      <c r="G304" s="143"/>
      <c r="H304" s="143"/>
      <c r="I304" s="143"/>
      <c r="J304" s="143"/>
      <c r="K304" s="143"/>
      <c r="L304" s="143"/>
      <c r="M304" s="143"/>
      <c r="N304" s="143"/>
      <c r="O304" s="143"/>
      <c r="P304" s="143"/>
      <c r="Q304" s="143"/>
      <c r="R304" s="143"/>
      <c r="S304" s="143"/>
      <c r="T304" s="143"/>
      <c r="U304" s="143"/>
      <c r="V304" s="325"/>
      <c r="W304" s="393">
        <f t="shared" si="35"/>
        <v>0</v>
      </c>
      <c r="X304" s="393">
        <f t="shared" si="36"/>
        <v>0</v>
      </c>
      <c r="Y304" s="393">
        <f t="shared" si="37"/>
        <v>0</v>
      </c>
      <c r="Z304" s="393">
        <f t="shared" si="38"/>
        <v>0</v>
      </c>
      <c r="AA304" s="393">
        <f t="shared" si="39"/>
        <v>0</v>
      </c>
      <c r="AB304" s="393" t="e">
        <f t="shared" si="40"/>
        <v>#DIV/0!</v>
      </c>
      <c r="AC304" s="486" t="e">
        <f t="shared" si="41"/>
        <v>#DIV/0!</v>
      </c>
      <c r="AD304" s="11"/>
      <c r="AE304" s="301" t="str">
        <f>AF304&amp;TM[[#This Row],[Insurer Code]]&amp;"; "&amp;AG304&amp;TM[[#This Row],[Reporting Year]]&amp;"; "&amp;AH304&amp;TM[[#This Row],[Insurance Category Code]]&amp;"; "&amp;AI304&amp;TM[[#This Row],[Large Provider Entity Code]]</f>
        <v xml:space="preserve">Insurer Code ; Reporting Year ; Insurance Category Code ; Large Provider Entity Code </v>
      </c>
      <c r="AF304" s="297" t="s">
        <v>197</v>
      </c>
      <c r="AG304" s="297" t="s">
        <v>198</v>
      </c>
      <c r="AH304" s="297" t="s">
        <v>199</v>
      </c>
      <c r="AI304" s="297" t="s">
        <v>200</v>
      </c>
      <c r="AJ304" s="297"/>
      <c r="AK304" s="297"/>
      <c r="AL304" s="297"/>
      <c r="AM304" s="11"/>
      <c r="AN304" s="11"/>
      <c r="AO304" s="11"/>
    </row>
    <row r="305" spans="1:41" x14ac:dyDescent="0.4">
      <c r="A305" s="291"/>
      <c r="B305" s="292"/>
      <c r="C305" s="312"/>
      <c r="D305"/>
      <c r="E305" s="325"/>
      <c r="F305" s="143"/>
      <c r="G305" s="143"/>
      <c r="H305" s="143"/>
      <c r="I305" s="143"/>
      <c r="J305" s="143"/>
      <c r="K305" s="143"/>
      <c r="L305" s="143"/>
      <c r="M305" s="143"/>
      <c r="N305" s="143"/>
      <c r="O305" s="143"/>
      <c r="P305" s="143"/>
      <c r="Q305" s="143"/>
      <c r="R305" s="143"/>
      <c r="S305" s="143"/>
      <c r="T305" s="143"/>
      <c r="U305" s="143"/>
      <c r="V305" s="325"/>
      <c r="W305" s="393">
        <f t="shared" si="35"/>
        <v>0</v>
      </c>
      <c r="X305" s="393">
        <f t="shared" si="36"/>
        <v>0</v>
      </c>
      <c r="Y305" s="393">
        <f t="shared" si="37"/>
        <v>0</v>
      </c>
      <c r="Z305" s="393">
        <f t="shared" si="38"/>
        <v>0</v>
      </c>
      <c r="AA305" s="393">
        <f t="shared" si="39"/>
        <v>0</v>
      </c>
      <c r="AB305" s="393" t="e">
        <f t="shared" si="40"/>
        <v>#DIV/0!</v>
      </c>
      <c r="AC305" s="486" t="e">
        <f t="shared" si="41"/>
        <v>#DIV/0!</v>
      </c>
      <c r="AD305" s="11"/>
      <c r="AE305" s="301" t="str">
        <f>AF305&amp;TM[[#This Row],[Insurer Code]]&amp;"; "&amp;AG305&amp;TM[[#This Row],[Reporting Year]]&amp;"; "&amp;AH305&amp;TM[[#This Row],[Insurance Category Code]]&amp;"; "&amp;AI305&amp;TM[[#This Row],[Large Provider Entity Code]]</f>
        <v xml:space="preserve">Insurer Code ; Reporting Year ; Insurance Category Code ; Large Provider Entity Code </v>
      </c>
      <c r="AF305" s="297" t="s">
        <v>197</v>
      </c>
      <c r="AG305" s="297" t="s">
        <v>198</v>
      </c>
      <c r="AH305" s="297" t="s">
        <v>199</v>
      </c>
      <c r="AI305" s="297" t="s">
        <v>200</v>
      </c>
      <c r="AJ305" s="297"/>
      <c r="AK305" s="297"/>
      <c r="AL305" s="297"/>
      <c r="AM305" s="11"/>
      <c r="AN305" s="11"/>
      <c r="AO305" s="11"/>
    </row>
    <row r="306" spans="1:41" x14ac:dyDescent="0.4">
      <c r="A306" s="291"/>
      <c r="B306" s="292"/>
      <c r="C306" s="312"/>
      <c r="D306"/>
      <c r="E306" s="325"/>
      <c r="F306" s="143"/>
      <c r="G306" s="143"/>
      <c r="H306" s="143"/>
      <c r="I306" s="143"/>
      <c r="J306" s="143"/>
      <c r="K306" s="143"/>
      <c r="L306" s="143"/>
      <c r="M306" s="143"/>
      <c r="N306" s="143"/>
      <c r="O306" s="143"/>
      <c r="P306" s="143"/>
      <c r="Q306" s="143"/>
      <c r="R306" s="143"/>
      <c r="S306" s="143"/>
      <c r="T306" s="143"/>
      <c r="U306" s="143"/>
      <c r="V306" s="325"/>
      <c r="W306" s="393">
        <f t="shared" si="35"/>
        <v>0</v>
      </c>
      <c r="X306" s="393">
        <f t="shared" si="36"/>
        <v>0</v>
      </c>
      <c r="Y306" s="393">
        <f t="shared" si="37"/>
        <v>0</v>
      </c>
      <c r="Z306" s="393">
        <f t="shared" si="38"/>
        <v>0</v>
      </c>
      <c r="AA306" s="393">
        <f t="shared" si="39"/>
        <v>0</v>
      </c>
      <c r="AB306" s="393" t="e">
        <f t="shared" si="40"/>
        <v>#DIV/0!</v>
      </c>
      <c r="AC306" s="486" t="e">
        <f t="shared" si="41"/>
        <v>#DIV/0!</v>
      </c>
      <c r="AD306" s="11"/>
      <c r="AE306" s="301" t="str">
        <f>AF306&amp;TM[[#This Row],[Insurer Code]]&amp;"; "&amp;AG306&amp;TM[[#This Row],[Reporting Year]]&amp;"; "&amp;AH306&amp;TM[[#This Row],[Insurance Category Code]]&amp;"; "&amp;AI306&amp;TM[[#This Row],[Large Provider Entity Code]]</f>
        <v xml:space="preserve">Insurer Code ; Reporting Year ; Insurance Category Code ; Large Provider Entity Code </v>
      </c>
      <c r="AF306" s="297" t="s">
        <v>197</v>
      </c>
      <c r="AG306" s="297" t="s">
        <v>198</v>
      </c>
      <c r="AH306" s="297" t="s">
        <v>199</v>
      </c>
      <c r="AI306" s="297" t="s">
        <v>200</v>
      </c>
      <c r="AJ306" s="297"/>
      <c r="AK306" s="297"/>
      <c r="AL306" s="297"/>
      <c r="AM306" s="11"/>
      <c r="AN306" s="11"/>
      <c r="AO306" s="11"/>
    </row>
    <row r="307" spans="1:41" x14ac:dyDescent="0.4">
      <c r="A307" s="291"/>
      <c r="B307" s="292"/>
      <c r="C307" s="312"/>
      <c r="D307"/>
      <c r="E307" s="325"/>
      <c r="F307" s="143"/>
      <c r="G307" s="143"/>
      <c r="H307" s="143"/>
      <c r="I307" s="143"/>
      <c r="J307" s="143"/>
      <c r="K307" s="143"/>
      <c r="L307" s="143"/>
      <c r="M307" s="143"/>
      <c r="N307" s="143"/>
      <c r="O307" s="143"/>
      <c r="P307" s="143"/>
      <c r="Q307" s="143"/>
      <c r="R307" s="143"/>
      <c r="S307" s="143"/>
      <c r="T307" s="143"/>
      <c r="U307" s="143"/>
      <c r="V307" s="325"/>
      <c r="W307" s="393">
        <f t="shared" si="35"/>
        <v>0</v>
      </c>
      <c r="X307" s="393">
        <f t="shared" si="36"/>
        <v>0</v>
      </c>
      <c r="Y307" s="393">
        <f t="shared" si="37"/>
        <v>0</v>
      </c>
      <c r="Z307" s="393">
        <f t="shared" si="38"/>
        <v>0</v>
      </c>
      <c r="AA307" s="393">
        <f t="shared" si="39"/>
        <v>0</v>
      </c>
      <c r="AB307" s="393" t="e">
        <f t="shared" si="40"/>
        <v>#DIV/0!</v>
      </c>
      <c r="AC307" s="486" t="e">
        <f t="shared" si="41"/>
        <v>#DIV/0!</v>
      </c>
      <c r="AD307" s="11"/>
      <c r="AE307" s="301" t="str">
        <f>AF307&amp;TM[[#This Row],[Insurer Code]]&amp;"; "&amp;AG307&amp;TM[[#This Row],[Reporting Year]]&amp;"; "&amp;AH307&amp;TM[[#This Row],[Insurance Category Code]]&amp;"; "&amp;AI307&amp;TM[[#This Row],[Large Provider Entity Code]]</f>
        <v xml:space="preserve">Insurer Code ; Reporting Year ; Insurance Category Code ; Large Provider Entity Code </v>
      </c>
      <c r="AF307" s="297" t="s">
        <v>197</v>
      </c>
      <c r="AG307" s="297" t="s">
        <v>198</v>
      </c>
      <c r="AH307" s="297" t="s">
        <v>199</v>
      </c>
      <c r="AI307" s="297" t="s">
        <v>200</v>
      </c>
      <c r="AJ307" s="297"/>
      <c r="AK307" s="297"/>
      <c r="AL307" s="297"/>
      <c r="AM307" s="11"/>
      <c r="AN307" s="11"/>
      <c r="AO307" s="11"/>
    </row>
    <row r="308" spans="1:41" x14ac:dyDescent="0.4">
      <c r="A308" s="291"/>
      <c r="B308" s="292"/>
      <c r="C308" s="312"/>
      <c r="D308"/>
      <c r="E308" s="325"/>
      <c r="F308" s="143"/>
      <c r="G308" s="143"/>
      <c r="H308" s="143"/>
      <c r="I308" s="143"/>
      <c r="J308" s="143"/>
      <c r="K308" s="143"/>
      <c r="L308" s="143"/>
      <c r="M308" s="143"/>
      <c r="N308" s="143"/>
      <c r="O308" s="143"/>
      <c r="P308" s="143"/>
      <c r="Q308" s="143"/>
      <c r="R308" s="143"/>
      <c r="S308" s="143"/>
      <c r="T308" s="143"/>
      <c r="U308" s="143"/>
      <c r="V308" s="325"/>
      <c r="W308" s="393">
        <f t="shared" si="35"/>
        <v>0</v>
      </c>
      <c r="X308" s="393">
        <f t="shared" si="36"/>
        <v>0</v>
      </c>
      <c r="Y308" s="393">
        <f t="shared" si="37"/>
        <v>0</v>
      </c>
      <c r="Z308" s="393">
        <f t="shared" si="38"/>
        <v>0</v>
      </c>
      <c r="AA308" s="393">
        <f t="shared" si="39"/>
        <v>0</v>
      </c>
      <c r="AB308" s="393" t="e">
        <f t="shared" si="40"/>
        <v>#DIV/0!</v>
      </c>
      <c r="AC308" s="486" t="e">
        <f t="shared" si="41"/>
        <v>#DIV/0!</v>
      </c>
      <c r="AD308" s="11"/>
      <c r="AE308" s="301" t="str">
        <f>AF308&amp;TM[[#This Row],[Insurer Code]]&amp;"; "&amp;AG308&amp;TM[[#This Row],[Reporting Year]]&amp;"; "&amp;AH308&amp;TM[[#This Row],[Insurance Category Code]]&amp;"; "&amp;AI308&amp;TM[[#This Row],[Large Provider Entity Code]]</f>
        <v xml:space="preserve">Insurer Code ; Reporting Year ; Insurance Category Code ; Large Provider Entity Code </v>
      </c>
      <c r="AF308" s="297" t="s">
        <v>197</v>
      </c>
      <c r="AG308" s="297" t="s">
        <v>198</v>
      </c>
      <c r="AH308" s="297" t="s">
        <v>199</v>
      </c>
      <c r="AI308" s="297" t="s">
        <v>200</v>
      </c>
      <c r="AJ308" s="297"/>
      <c r="AK308" s="297"/>
      <c r="AL308" s="297"/>
      <c r="AM308" s="11"/>
      <c r="AN308" s="11"/>
      <c r="AO308" s="11"/>
    </row>
    <row r="309" spans="1:41" x14ac:dyDescent="0.4">
      <c r="A309" s="291"/>
      <c r="B309" s="292"/>
      <c r="C309" s="312"/>
      <c r="D309"/>
      <c r="E309" s="325"/>
      <c r="F309" s="143"/>
      <c r="G309" s="143"/>
      <c r="H309" s="143"/>
      <c r="I309" s="143"/>
      <c r="J309" s="143"/>
      <c r="K309" s="143"/>
      <c r="L309" s="143"/>
      <c r="M309" s="143"/>
      <c r="N309" s="143"/>
      <c r="O309" s="143"/>
      <c r="P309" s="143"/>
      <c r="Q309" s="143"/>
      <c r="R309" s="143"/>
      <c r="S309" s="143"/>
      <c r="T309" s="143"/>
      <c r="U309" s="143"/>
      <c r="V309" s="325"/>
      <c r="W309" s="393">
        <f t="shared" si="35"/>
        <v>0</v>
      </c>
      <c r="X309" s="393">
        <f t="shared" si="36"/>
        <v>0</v>
      </c>
      <c r="Y309" s="393">
        <f t="shared" si="37"/>
        <v>0</v>
      </c>
      <c r="Z309" s="393">
        <f t="shared" si="38"/>
        <v>0</v>
      </c>
      <c r="AA309" s="393">
        <f t="shared" si="39"/>
        <v>0</v>
      </c>
      <c r="AB309" s="393" t="e">
        <f t="shared" si="40"/>
        <v>#DIV/0!</v>
      </c>
      <c r="AC309" s="486" t="e">
        <f t="shared" si="41"/>
        <v>#DIV/0!</v>
      </c>
      <c r="AD309" s="11"/>
      <c r="AE309" s="301" t="str">
        <f>AF309&amp;TM[[#This Row],[Insurer Code]]&amp;"; "&amp;AG309&amp;TM[[#This Row],[Reporting Year]]&amp;"; "&amp;AH309&amp;TM[[#This Row],[Insurance Category Code]]&amp;"; "&amp;AI309&amp;TM[[#This Row],[Large Provider Entity Code]]</f>
        <v xml:space="preserve">Insurer Code ; Reporting Year ; Insurance Category Code ; Large Provider Entity Code </v>
      </c>
      <c r="AF309" s="297" t="s">
        <v>197</v>
      </c>
      <c r="AG309" s="297" t="s">
        <v>198</v>
      </c>
      <c r="AH309" s="297" t="s">
        <v>199</v>
      </c>
      <c r="AI309" s="297" t="s">
        <v>200</v>
      </c>
      <c r="AJ309" s="297"/>
      <c r="AK309" s="297"/>
      <c r="AL309" s="297"/>
      <c r="AM309" s="11"/>
      <c r="AN309" s="11"/>
      <c r="AO309" s="11"/>
    </row>
    <row r="310" spans="1:41" x14ac:dyDescent="0.4">
      <c r="A310" s="291"/>
      <c r="B310" s="292"/>
      <c r="C310" s="312"/>
      <c r="D310"/>
      <c r="E310" s="325"/>
      <c r="F310" s="143"/>
      <c r="G310" s="143"/>
      <c r="H310" s="143"/>
      <c r="I310" s="143"/>
      <c r="J310" s="143"/>
      <c r="K310" s="143"/>
      <c r="L310" s="143"/>
      <c r="M310" s="143"/>
      <c r="N310" s="143"/>
      <c r="O310" s="143"/>
      <c r="P310" s="143"/>
      <c r="Q310" s="143"/>
      <c r="R310" s="143"/>
      <c r="S310" s="143"/>
      <c r="T310" s="143"/>
      <c r="U310" s="143"/>
      <c r="V310" s="325"/>
      <c r="W310" s="393">
        <f t="shared" si="35"/>
        <v>0</v>
      </c>
      <c r="X310" s="393">
        <f t="shared" si="36"/>
        <v>0</v>
      </c>
      <c r="Y310" s="393">
        <f t="shared" si="37"/>
        <v>0</v>
      </c>
      <c r="Z310" s="393">
        <f t="shared" si="38"/>
        <v>0</v>
      </c>
      <c r="AA310" s="393">
        <f t="shared" si="39"/>
        <v>0</v>
      </c>
      <c r="AB310" s="393" t="e">
        <f t="shared" si="40"/>
        <v>#DIV/0!</v>
      </c>
      <c r="AC310" s="486" t="e">
        <f t="shared" si="41"/>
        <v>#DIV/0!</v>
      </c>
      <c r="AD310" s="11"/>
      <c r="AE310" s="301" t="str">
        <f>AF310&amp;TM[[#This Row],[Insurer Code]]&amp;"; "&amp;AG310&amp;TM[[#This Row],[Reporting Year]]&amp;"; "&amp;AH310&amp;TM[[#This Row],[Insurance Category Code]]&amp;"; "&amp;AI310&amp;TM[[#This Row],[Large Provider Entity Code]]</f>
        <v xml:space="preserve">Insurer Code ; Reporting Year ; Insurance Category Code ; Large Provider Entity Code </v>
      </c>
      <c r="AF310" s="297" t="s">
        <v>197</v>
      </c>
      <c r="AG310" s="297" t="s">
        <v>198</v>
      </c>
      <c r="AH310" s="297" t="s">
        <v>199</v>
      </c>
      <c r="AI310" s="297" t="s">
        <v>200</v>
      </c>
      <c r="AJ310" s="297"/>
      <c r="AK310" s="297"/>
      <c r="AL310" s="297"/>
      <c r="AM310" s="11"/>
      <c r="AN310" s="11"/>
      <c r="AO310" s="11"/>
    </row>
    <row r="311" spans="1:41" x14ac:dyDescent="0.4">
      <c r="A311" s="291"/>
      <c r="B311" s="292"/>
      <c r="C311" s="312"/>
      <c r="D311"/>
      <c r="E311" s="325"/>
      <c r="F311" s="143"/>
      <c r="G311" s="143"/>
      <c r="H311" s="143"/>
      <c r="I311" s="143"/>
      <c r="J311" s="143"/>
      <c r="K311" s="143"/>
      <c r="L311" s="143"/>
      <c r="M311" s="143"/>
      <c r="N311" s="143"/>
      <c r="O311" s="143"/>
      <c r="P311" s="143"/>
      <c r="Q311" s="143"/>
      <c r="R311" s="143"/>
      <c r="S311" s="143"/>
      <c r="T311" s="143"/>
      <c r="U311" s="143"/>
      <c r="V311" s="325"/>
      <c r="W311" s="393">
        <f t="shared" si="35"/>
        <v>0</v>
      </c>
      <c r="X311" s="393">
        <f t="shared" si="36"/>
        <v>0</v>
      </c>
      <c r="Y311" s="393">
        <f t="shared" si="37"/>
        <v>0</v>
      </c>
      <c r="Z311" s="393">
        <f t="shared" si="38"/>
        <v>0</v>
      </c>
      <c r="AA311" s="393">
        <f t="shared" si="39"/>
        <v>0</v>
      </c>
      <c r="AB311" s="393" t="e">
        <f t="shared" si="40"/>
        <v>#DIV/0!</v>
      </c>
      <c r="AC311" s="486" t="e">
        <f t="shared" si="41"/>
        <v>#DIV/0!</v>
      </c>
      <c r="AD311" s="11"/>
      <c r="AE311" s="301" t="str">
        <f>AF311&amp;TM[[#This Row],[Insurer Code]]&amp;"; "&amp;AG311&amp;TM[[#This Row],[Reporting Year]]&amp;"; "&amp;AH311&amp;TM[[#This Row],[Insurance Category Code]]&amp;"; "&amp;AI311&amp;TM[[#This Row],[Large Provider Entity Code]]</f>
        <v xml:space="preserve">Insurer Code ; Reporting Year ; Insurance Category Code ; Large Provider Entity Code </v>
      </c>
      <c r="AF311" s="297" t="s">
        <v>197</v>
      </c>
      <c r="AG311" s="297" t="s">
        <v>198</v>
      </c>
      <c r="AH311" s="297" t="s">
        <v>199</v>
      </c>
      <c r="AI311" s="297" t="s">
        <v>200</v>
      </c>
      <c r="AJ311" s="297"/>
      <c r="AK311" s="297"/>
      <c r="AL311" s="297"/>
      <c r="AM311" s="11"/>
      <c r="AN311" s="11"/>
      <c r="AO311" s="11"/>
    </row>
    <row r="312" spans="1:41" x14ac:dyDescent="0.4">
      <c r="A312" s="291"/>
      <c r="B312" s="292"/>
      <c r="C312" s="312"/>
      <c r="D312"/>
      <c r="E312" s="325"/>
      <c r="F312" s="143"/>
      <c r="G312" s="143"/>
      <c r="H312" s="143"/>
      <c r="I312" s="143"/>
      <c r="J312" s="143"/>
      <c r="K312" s="143"/>
      <c r="L312" s="143"/>
      <c r="M312" s="143"/>
      <c r="N312" s="143"/>
      <c r="O312" s="143"/>
      <c r="P312" s="143"/>
      <c r="Q312" s="143"/>
      <c r="R312" s="143"/>
      <c r="S312" s="143"/>
      <c r="T312" s="143"/>
      <c r="U312" s="143"/>
      <c r="V312" s="325"/>
      <c r="W312" s="393">
        <f t="shared" si="35"/>
        <v>0</v>
      </c>
      <c r="X312" s="393">
        <f t="shared" si="36"/>
        <v>0</v>
      </c>
      <c r="Y312" s="393">
        <f t="shared" si="37"/>
        <v>0</v>
      </c>
      <c r="Z312" s="393">
        <f t="shared" si="38"/>
        <v>0</v>
      </c>
      <c r="AA312" s="393">
        <f t="shared" si="39"/>
        <v>0</v>
      </c>
      <c r="AB312" s="393" t="e">
        <f t="shared" si="40"/>
        <v>#DIV/0!</v>
      </c>
      <c r="AC312" s="486" t="e">
        <f t="shared" si="41"/>
        <v>#DIV/0!</v>
      </c>
      <c r="AD312" s="11"/>
      <c r="AE312" s="301" t="str">
        <f>AF312&amp;TM[[#This Row],[Insurer Code]]&amp;"; "&amp;AG312&amp;TM[[#This Row],[Reporting Year]]&amp;"; "&amp;AH312&amp;TM[[#This Row],[Insurance Category Code]]&amp;"; "&amp;AI312&amp;TM[[#This Row],[Large Provider Entity Code]]</f>
        <v xml:space="preserve">Insurer Code ; Reporting Year ; Insurance Category Code ; Large Provider Entity Code </v>
      </c>
      <c r="AF312" s="297" t="s">
        <v>197</v>
      </c>
      <c r="AG312" s="297" t="s">
        <v>198</v>
      </c>
      <c r="AH312" s="297" t="s">
        <v>199</v>
      </c>
      <c r="AI312" s="297" t="s">
        <v>200</v>
      </c>
      <c r="AJ312" s="297"/>
      <c r="AK312" s="297"/>
      <c r="AL312" s="297"/>
      <c r="AM312" s="11"/>
      <c r="AN312" s="11"/>
      <c r="AO312" s="11"/>
    </row>
    <row r="313" spans="1:41" x14ac:dyDescent="0.4">
      <c r="A313" s="291"/>
      <c r="B313" s="292"/>
      <c r="C313" s="312"/>
      <c r="D313"/>
      <c r="E313" s="325"/>
      <c r="F313" s="143"/>
      <c r="G313" s="143"/>
      <c r="H313" s="143"/>
      <c r="I313" s="143"/>
      <c r="J313" s="143"/>
      <c r="K313" s="143"/>
      <c r="L313" s="143"/>
      <c r="M313" s="143"/>
      <c r="N313" s="143"/>
      <c r="O313" s="143"/>
      <c r="P313" s="143"/>
      <c r="Q313" s="143"/>
      <c r="R313" s="143"/>
      <c r="S313" s="143"/>
      <c r="T313" s="143"/>
      <c r="U313" s="143"/>
      <c r="V313" s="325"/>
      <c r="W313" s="393">
        <f t="shared" si="35"/>
        <v>0</v>
      </c>
      <c r="X313" s="393">
        <f t="shared" si="36"/>
        <v>0</v>
      </c>
      <c r="Y313" s="393">
        <f t="shared" si="37"/>
        <v>0</v>
      </c>
      <c r="Z313" s="393">
        <f t="shared" si="38"/>
        <v>0</v>
      </c>
      <c r="AA313" s="393">
        <f t="shared" si="39"/>
        <v>0</v>
      </c>
      <c r="AB313" s="393" t="e">
        <f t="shared" si="40"/>
        <v>#DIV/0!</v>
      </c>
      <c r="AC313" s="486" t="e">
        <f t="shared" si="41"/>
        <v>#DIV/0!</v>
      </c>
      <c r="AD313" s="11"/>
      <c r="AE313" s="301" t="str">
        <f>AF313&amp;TM[[#This Row],[Insurer Code]]&amp;"; "&amp;AG313&amp;TM[[#This Row],[Reporting Year]]&amp;"; "&amp;AH313&amp;TM[[#This Row],[Insurance Category Code]]&amp;"; "&amp;AI313&amp;TM[[#This Row],[Large Provider Entity Code]]</f>
        <v xml:space="preserve">Insurer Code ; Reporting Year ; Insurance Category Code ; Large Provider Entity Code </v>
      </c>
      <c r="AF313" s="297" t="s">
        <v>197</v>
      </c>
      <c r="AG313" s="297" t="s">
        <v>198</v>
      </c>
      <c r="AH313" s="297" t="s">
        <v>199</v>
      </c>
      <c r="AI313" s="297" t="s">
        <v>200</v>
      </c>
      <c r="AJ313" s="297"/>
      <c r="AK313" s="297"/>
      <c r="AL313" s="297"/>
      <c r="AM313" s="11"/>
      <c r="AN313" s="11"/>
      <c r="AO313" s="11"/>
    </row>
    <row r="314" spans="1:41" x14ac:dyDescent="0.4">
      <c r="A314" s="291"/>
      <c r="B314" s="292"/>
      <c r="C314" s="312"/>
      <c r="D314"/>
      <c r="E314" s="325"/>
      <c r="F314" s="143"/>
      <c r="G314" s="143"/>
      <c r="H314" s="143"/>
      <c r="I314" s="143"/>
      <c r="J314" s="143"/>
      <c r="K314" s="143"/>
      <c r="L314" s="143"/>
      <c r="M314" s="143"/>
      <c r="N314" s="143"/>
      <c r="O314" s="143"/>
      <c r="P314" s="143"/>
      <c r="Q314" s="143"/>
      <c r="R314" s="143"/>
      <c r="S314" s="143"/>
      <c r="T314" s="143"/>
      <c r="U314" s="143"/>
      <c r="V314" s="325"/>
      <c r="W314" s="393">
        <f t="shared" si="35"/>
        <v>0</v>
      </c>
      <c r="X314" s="393">
        <f t="shared" si="36"/>
        <v>0</v>
      </c>
      <c r="Y314" s="393">
        <f t="shared" si="37"/>
        <v>0</v>
      </c>
      <c r="Z314" s="393">
        <f t="shared" si="38"/>
        <v>0</v>
      </c>
      <c r="AA314" s="393">
        <f t="shared" si="39"/>
        <v>0</v>
      </c>
      <c r="AB314" s="393" t="e">
        <f t="shared" si="40"/>
        <v>#DIV/0!</v>
      </c>
      <c r="AC314" s="486" t="e">
        <f t="shared" si="41"/>
        <v>#DIV/0!</v>
      </c>
      <c r="AD314" s="11"/>
      <c r="AE314" s="301" t="str">
        <f>AF314&amp;TM[[#This Row],[Insurer Code]]&amp;"; "&amp;AG314&amp;TM[[#This Row],[Reporting Year]]&amp;"; "&amp;AH314&amp;TM[[#This Row],[Insurance Category Code]]&amp;"; "&amp;AI314&amp;TM[[#This Row],[Large Provider Entity Code]]</f>
        <v xml:space="preserve">Insurer Code ; Reporting Year ; Insurance Category Code ; Large Provider Entity Code </v>
      </c>
      <c r="AF314" s="297" t="s">
        <v>197</v>
      </c>
      <c r="AG314" s="297" t="s">
        <v>198</v>
      </c>
      <c r="AH314" s="297" t="s">
        <v>199</v>
      </c>
      <c r="AI314" s="297" t="s">
        <v>200</v>
      </c>
      <c r="AJ314" s="297"/>
      <c r="AK314" s="297"/>
      <c r="AL314" s="297"/>
      <c r="AM314" s="11"/>
      <c r="AN314" s="11"/>
      <c r="AO314" s="11"/>
    </row>
    <row r="315" spans="1:41" x14ac:dyDescent="0.4">
      <c r="A315" s="291"/>
      <c r="B315" s="292"/>
      <c r="C315" s="312"/>
      <c r="D315"/>
      <c r="E315" s="325"/>
      <c r="F315" s="143"/>
      <c r="G315" s="143"/>
      <c r="H315" s="143"/>
      <c r="I315" s="143"/>
      <c r="J315" s="143"/>
      <c r="K315" s="143"/>
      <c r="L315" s="143"/>
      <c r="M315" s="143"/>
      <c r="N315" s="143"/>
      <c r="O315" s="143"/>
      <c r="P315" s="143"/>
      <c r="Q315" s="143"/>
      <c r="R315" s="143"/>
      <c r="S315" s="143"/>
      <c r="T315" s="143"/>
      <c r="U315" s="143"/>
      <c r="V315" s="325"/>
      <c r="W315" s="393">
        <f t="shared" si="35"/>
        <v>0</v>
      </c>
      <c r="X315" s="393">
        <f t="shared" si="36"/>
        <v>0</v>
      </c>
      <c r="Y315" s="393">
        <f t="shared" si="37"/>
        <v>0</v>
      </c>
      <c r="Z315" s="393">
        <f t="shared" si="38"/>
        <v>0</v>
      </c>
      <c r="AA315" s="393">
        <f t="shared" si="39"/>
        <v>0</v>
      </c>
      <c r="AB315" s="393" t="e">
        <f t="shared" si="40"/>
        <v>#DIV/0!</v>
      </c>
      <c r="AC315" s="486" t="e">
        <f t="shared" si="41"/>
        <v>#DIV/0!</v>
      </c>
      <c r="AD315" s="11"/>
      <c r="AE315" s="301" t="str">
        <f>AF315&amp;TM[[#This Row],[Insurer Code]]&amp;"; "&amp;AG315&amp;TM[[#This Row],[Reporting Year]]&amp;"; "&amp;AH315&amp;TM[[#This Row],[Insurance Category Code]]&amp;"; "&amp;AI315&amp;TM[[#This Row],[Large Provider Entity Code]]</f>
        <v xml:space="preserve">Insurer Code ; Reporting Year ; Insurance Category Code ; Large Provider Entity Code </v>
      </c>
      <c r="AF315" s="297" t="s">
        <v>197</v>
      </c>
      <c r="AG315" s="297" t="s">
        <v>198</v>
      </c>
      <c r="AH315" s="297" t="s">
        <v>199</v>
      </c>
      <c r="AI315" s="297" t="s">
        <v>200</v>
      </c>
      <c r="AJ315" s="297"/>
      <c r="AK315" s="297"/>
      <c r="AL315" s="297"/>
      <c r="AM315" s="11"/>
      <c r="AN315" s="11"/>
      <c r="AO315" s="11"/>
    </row>
    <row r="316" spans="1:41" x14ac:dyDescent="0.4">
      <c r="A316" s="291"/>
      <c r="B316" s="292"/>
      <c r="C316" s="312"/>
      <c r="D316"/>
      <c r="E316" s="325"/>
      <c r="F316" s="143"/>
      <c r="G316" s="143"/>
      <c r="H316" s="143"/>
      <c r="I316" s="143"/>
      <c r="J316" s="143"/>
      <c r="K316" s="143"/>
      <c r="L316" s="143"/>
      <c r="M316" s="143"/>
      <c r="N316" s="143"/>
      <c r="O316" s="143"/>
      <c r="P316" s="143"/>
      <c r="Q316" s="143"/>
      <c r="R316" s="143"/>
      <c r="S316" s="143"/>
      <c r="T316" s="143"/>
      <c r="U316" s="143"/>
      <c r="V316" s="325"/>
      <c r="W316" s="393">
        <f t="shared" si="35"/>
        <v>0</v>
      </c>
      <c r="X316" s="393">
        <f t="shared" si="36"/>
        <v>0</v>
      </c>
      <c r="Y316" s="393">
        <f t="shared" si="37"/>
        <v>0</v>
      </c>
      <c r="Z316" s="393">
        <f t="shared" si="38"/>
        <v>0</v>
      </c>
      <c r="AA316" s="393">
        <f t="shared" si="39"/>
        <v>0</v>
      </c>
      <c r="AB316" s="393" t="e">
        <f t="shared" si="40"/>
        <v>#DIV/0!</v>
      </c>
      <c r="AC316" s="486" t="e">
        <f t="shared" si="41"/>
        <v>#DIV/0!</v>
      </c>
      <c r="AD316" s="11"/>
      <c r="AE316" s="301" t="str">
        <f>AF316&amp;TM[[#This Row],[Insurer Code]]&amp;"; "&amp;AG316&amp;TM[[#This Row],[Reporting Year]]&amp;"; "&amp;AH316&amp;TM[[#This Row],[Insurance Category Code]]&amp;"; "&amp;AI316&amp;TM[[#This Row],[Large Provider Entity Code]]</f>
        <v xml:space="preserve">Insurer Code ; Reporting Year ; Insurance Category Code ; Large Provider Entity Code </v>
      </c>
      <c r="AF316" s="297" t="s">
        <v>197</v>
      </c>
      <c r="AG316" s="297" t="s">
        <v>198</v>
      </c>
      <c r="AH316" s="297" t="s">
        <v>199</v>
      </c>
      <c r="AI316" s="297" t="s">
        <v>200</v>
      </c>
      <c r="AJ316" s="297"/>
      <c r="AK316" s="297"/>
      <c r="AL316" s="297"/>
      <c r="AM316" s="11"/>
      <c r="AN316" s="11"/>
      <c r="AO316" s="11"/>
    </row>
    <row r="317" spans="1:41" x14ac:dyDescent="0.4">
      <c r="A317" s="291"/>
      <c r="B317" s="292"/>
      <c r="C317" s="312"/>
      <c r="D317"/>
      <c r="E317" s="325"/>
      <c r="F317" s="143"/>
      <c r="G317" s="143"/>
      <c r="H317" s="143"/>
      <c r="I317" s="143"/>
      <c r="J317" s="143"/>
      <c r="K317" s="143"/>
      <c r="L317" s="143"/>
      <c r="M317" s="143"/>
      <c r="N317" s="143"/>
      <c r="O317" s="143"/>
      <c r="P317" s="143"/>
      <c r="Q317" s="143"/>
      <c r="R317" s="143"/>
      <c r="S317" s="143"/>
      <c r="T317" s="143"/>
      <c r="U317" s="143"/>
      <c r="V317" s="325"/>
      <c r="W317" s="393">
        <f t="shared" si="35"/>
        <v>0</v>
      </c>
      <c r="X317" s="393">
        <f t="shared" si="36"/>
        <v>0</v>
      </c>
      <c r="Y317" s="393">
        <f t="shared" si="37"/>
        <v>0</v>
      </c>
      <c r="Z317" s="393">
        <f t="shared" si="38"/>
        <v>0</v>
      </c>
      <c r="AA317" s="393">
        <f t="shared" si="39"/>
        <v>0</v>
      </c>
      <c r="AB317" s="393" t="e">
        <f t="shared" si="40"/>
        <v>#DIV/0!</v>
      </c>
      <c r="AC317" s="486" t="e">
        <f t="shared" si="41"/>
        <v>#DIV/0!</v>
      </c>
      <c r="AD317" s="11"/>
      <c r="AE317" s="301" t="str">
        <f>AF317&amp;TM[[#This Row],[Insurer Code]]&amp;"; "&amp;AG317&amp;TM[[#This Row],[Reporting Year]]&amp;"; "&amp;AH317&amp;TM[[#This Row],[Insurance Category Code]]&amp;"; "&amp;AI317&amp;TM[[#This Row],[Large Provider Entity Code]]</f>
        <v xml:space="preserve">Insurer Code ; Reporting Year ; Insurance Category Code ; Large Provider Entity Code </v>
      </c>
      <c r="AF317" s="297" t="s">
        <v>197</v>
      </c>
      <c r="AG317" s="297" t="s">
        <v>198</v>
      </c>
      <c r="AH317" s="297" t="s">
        <v>199</v>
      </c>
      <c r="AI317" s="297" t="s">
        <v>200</v>
      </c>
      <c r="AJ317" s="297"/>
      <c r="AK317" s="297"/>
      <c r="AL317" s="297"/>
      <c r="AM317" s="11"/>
      <c r="AN317" s="11"/>
      <c r="AO317" s="11"/>
    </row>
    <row r="318" spans="1:41" x14ac:dyDescent="0.4">
      <c r="A318" s="291"/>
      <c r="B318" s="292"/>
      <c r="C318" s="312"/>
      <c r="D318"/>
      <c r="E318" s="325"/>
      <c r="F318" s="143"/>
      <c r="G318" s="143"/>
      <c r="H318" s="143"/>
      <c r="I318" s="143"/>
      <c r="J318" s="143"/>
      <c r="K318" s="143"/>
      <c r="L318" s="143"/>
      <c r="M318" s="143"/>
      <c r="N318" s="143"/>
      <c r="O318" s="143"/>
      <c r="P318" s="143"/>
      <c r="Q318" s="143"/>
      <c r="R318" s="143"/>
      <c r="S318" s="143"/>
      <c r="T318" s="143"/>
      <c r="U318" s="143"/>
      <c r="V318" s="325"/>
      <c r="W318" s="393">
        <f t="shared" si="35"/>
        <v>0</v>
      </c>
      <c r="X318" s="393">
        <f t="shared" si="36"/>
        <v>0</v>
      </c>
      <c r="Y318" s="393">
        <f t="shared" si="37"/>
        <v>0</v>
      </c>
      <c r="Z318" s="393">
        <f t="shared" si="38"/>
        <v>0</v>
      </c>
      <c r="AA318" s="393">
        <f t="shared" si="39"/>
        <v>0</v>
      </c>
      <c r="AB318" s="393" t="e">
        <f t="shared" si="40"/>
        <v>#DIV/0!</v>
      </c>
      <c r="AC318" s="486" t="e">
        <f t="shared" si="41"/>
        <v>#DIV/0!</v>
      </c>
      <c r="AD318" s="11"/>
      <c r="AE318" s="301" t="str">
        <f>AF318&amp;TM[[#This Row],[Insurer Code]]&amp;"; "&amp;AG318&amp;TM[[#This Row],[Reporting Year]]&amp;"; "&amp;AH318&amp;TM[[#This Row],[Insurance Category Code]]&amp;"; "&amp;AI318&amp;TM[[#This Row],[Large Provider Entity Code]]</f>
        <v xml:space="preserve">Insurer Code ; Reporting Year ; Insurance Category Code ; Large Provider Entity Code </v>
      </c>
      <c r="AF318" s="297" t="s">
        <v>197</v>
      </c>
      <c r="AG318" s="297" t="s">
        <v>198</v>
      </c>
      <c r="AH318" s="297" t="s">
        <v>199</v>
      </c>
      <c r="AI318" s="297" t="s">
        <v>200</v>
      </c>
      <c r="AJ318" s="297"/>
      <c r="AK318" s="297"/>
      <c r="AL318" s="297"/>
      <c r="AM318" s="11"/>
      <c r="AN318" s="11"/>
      <c r="AO318" s="11"/>
    </row>
    <row r="319" spans="1:41" x14ac:dyDescent="0.4">
      <c r="A319" s="291"/>
      <c r="B319" s="292"/>
      <c r="C319" s="312"/>
      <c r="D319"/>
      <c r="E319" s="325"/>
      <c r="F319" s="143"/>
      <c r="G319" s="143"/>
      <c r="H319" s="143"/>
      <c r="I319" s="143"/>
      <c r="J319" s="143"/>
      <c r="K319" s="143"/>
      <c r="L319" s="143"/>
      <c r="M319" s="143"/>
      <c r="N319" s="143"/>
      <c r="O319" s="143"/>
      <c r="P319" s="143"/>
      <c r="Q319" s="143"/>
      <c r="R319" s="143"/>
      <c r="S319" s="143"/>
      <c r="T319" s="143"/>
      <c r="U319" s="143"/>
      <c r="V319" s="325"/>
      <c r="W319" s="393">
        <f t="shared" si="35"/>
        <v>0</v>
      </c>
      <c r="X319" s="393">
        <f t="shared" si="36"/>
        <v>0</v>
      </c>
      <c r="Y319" s="393">
        <f t="shared" si="37"/>
        <v>0</v>
      </c>
      <c r="Z319" s="393">
        <f t="shared" si="38"/>
        <v>0</v>
      </c>
      <c r="AA319" s="393">
        <f t="shared" si="39"/>
        <v>0</v>
      </c>
      <c r="AB319" s="393" t="e">
        <f t="shared" si="40"/>
        <v>#DIV/0!</v>
      </c>
      <c r="AC319" s="486" t="e">
        <f t="shared" si="41"/>
        <v>#DIV/0!</v>
      </c>
      <c r="AD319" s="11"/>
      <c r="AE319" s="301" t="str">
        <f>AF319&amp;TM[[#This Row],[Insurer Code]]&amp;"; "&amp;AG319&amp;TM[[#This Row],[Reporting Year]]&amp;"; "&amp;AH319&amp;TM[[#This Row],[Insurance Category Code]]&amp;"; "&amp;AI319&amp;TM[[#This Row],[Large Provider Entity Code]]</f>
        <v xml:space="preserve">Insurer Code ; Reporting Year ; Insurance Category Code ; Large Provider Entity Code </v>
      </c>
      <c r="AF319" s="297" t="s">
        <v>197</v>
      </c>
      <c r="AG319" s="297" t="s">
        <v>198</v>
      </c>
      <c r="AH319" s="297" t="s">
        <v>199</v>
      </c>
      <c r="AI319" s="297" t="s">
        <v>200</v>
      </c>
      <c r="AJ319" s="297"/>
      <c r="AK319" s="297"/>
      <c r="AL319" s="297"/>
      <c r="AM319" s="11"/>
      <c r="AN319" s="11"/>
      <c r="AO319" s="11"/>
    </row>
    <row r="320" spans="1:41" x14ac:dyDescent="0.4">
      <c r="A320" s="291"/>
      <c r="B320" s="292"/>
      <c r="C320" s="312"/>
      <c r="D320"/>
      <c r="E320" s="325"/>
      <c r="F320" s="143"/>
      <c r="G320" s="143"/>
      <c r="H320" s="143"/>
      <c r="I320" s="143"/>
      <c r="J320" s="143"/>
      <c r="K320" s="143"/>
      <c r="L320" s="143"/>
      <c r="M320" s="143"/>
      <c r="N320" s="143"/>
      <c r="O320" s="143"/>
      <c r="P320" s="143"/>
      <c r="Q320" s="143"/>
      <c r="R320" s="143"/>
      <c r="S320" s="143"/>
      <c r="T320" s="143"/>
      <c r="U320" s="143"/>
      <c r="V320" s="325"/>
      <c r="W320" s="393">
        <f t="shared" si="35"/>
        <v>0</v>
      </c>
      <c r="X320" s="393">
        <f t="shared" si="36"/>
        <v>0</v>
      </c>
      <c r="Y320" s="393">
        <f t="shared" si="37"/>
        <v>0</v>
      </c>
      <c r="Z320" s="393">
        <f t="shared" si="38"/>
        <v>0</v>
      </c>
      <c r="AA320" s="393">
        <f t="shared" si="39"/>
        <v>0</v>
      </c>
      <c r="AB320" s="393" t="e">
        <f t="shared" si="40"/>
        <v>#DIV/0!</v>
      </c>
      <c r="AC320" s="486" t="e">
        <f t="shared" si="41"/>
        <v>#DIV/0!</v>
      </c>
      <c r="AD320" s="11"/>
      <c r="AE320" s="301" t="str">
        <f>AF320&amp;TM[[#This Row],[Insurer Code]]&amp;"; "&amp;AG320&amp;TM[[#This Row],[Reporting Year]]&amp;"; "&amp;AH320&amp;TM[[#This Row],[Insurance Category Code]]&amp;"; "&amp;AI320&amp;TM[[#This Row],[Large Provider Entity Code]]</f>
        <v xml:space="preserve">Insurer Code ; Reporting Year ; Insurance Category Code ; Large Provider Entity Code </v>
      </c>
      <c r="AF320" s="297" t="s">
        <v>197</v>
      </c>
      <c r="AG320" s="297" t="s">
        <v>198</v>
      </c>
      <c r="AH320" s="297" t="s">
        <v>199</v>
      </c>
      <c r="AI320" s="297" t="s">
        <v>200</v>
      </c>
      <c r="AJ320" s="297"/>
      <c r="AK320" s="297"/>
      <c r="AL320" s="297"/>
      <c r="AM320" s="11"/>
      <c r="AN320" s="11"/>
      <c r="AO320" s="11"/>
    </row>
    <row r="321" spans="1:41" x14ac:dyDescent="0.4">
      <c r="A321" s="291"/>
      <c r="B321" s="292"/>
      <c r="C321" s="312"/>
      <c r="D321"/>
      <c r="E321" s="325"/>
      <c r="F321" s="143"/>
      <c r="G321" s="143"/>
      <c r="H321" s="143"/>
      <c r="I321" s="143"/>
      <c r="J321" s="143"/>
      <c r="K321" s="143"/>
      <c r="L321" s="143"/>
      <c r="M321" s="143"/>
      <c r="N321" s="143"/>
      <c r="O321" s="143"/>
      <c r="P321" s="143"/>
      <c r="Q321" s="143"/>
      <c r="R321" s="143"/>
      <c r="S321" s="143"/>
      <c r="T321" s="143"/>
      <c r="U321" s="143"/>
      <c r="V321" s="325"/>
      <c r="W321" s="393">
        <f t="shared" si="35"/>
        <v>0</v>
      </c>
      <c r="X321" s="393">
        <f t="shared" si="36"/>
        <v>0</v>
      </c>
      <c r="Y321" s="393">
        <f t="shared" si="37"/>
        <v>0</v>
      </c>
      <c r="Z321" s="393">
        <f t="shared" si="38"/>
        <v>0</v>
      </c>
      <c r="AA321" s="393">
        <f t="shared" si="39"/>
        <v>0</v>
      </c>
      <c r="AB321" s="393" t="e">
        <f t="shared" si="40"/>
        <v>#DIV/0!</v>
      </c>
      <c r="AC321" s="486" t="e">
        <f t="shared" si="41"/>
        <v>#DIV/0!</v>
      </c>
      <c r="AD321" s="11"/>
      <c r="AE321" s="301" t="str">
        <f>AF321&amp;TM[[#This Row],[Insurer Code]]&amp;"; "&amp;AG321&amp;TM[[#This Row],[Reporting Year]]&amp;"; "&amp;AH321&amp;TM[[#This Row],[Insurance Category Code]]&amp;"; "&amp;AI321&amp;TM[[#This Row],[Large Provider Entity Code]]</f>
        <v xml:space="preserve">Insurer Code ; Reporting Year ; Insurance Category Code ; Large Provider Entity Code </v>
      </c>
      <c r="AF321" s="297" t="s">
        <v>197</v>
      </c>
      <c r="AG321" s="297" t="s">
        <v>198</v>
      </c>
      <c r="AH321" s="297" t="s">
        <v>199</v>
      </c>
      <c r="AI321" s="297" t="s">
        <v>200</v>
      </c>
      <c r="AJ321" s="297"/>
      <c r="AK321" s="297"/>
      <c r="AL321" s="297"/>
      <c r="AM321" s="11"/>
      <c r="AN321" s="11"/>
      <c r="AO321" s="11"/>
    </row>
    <row r="322" spans="1:41" x14ac:dyDescent="0.4">
      <c r="A322" s="291"/>
      <c r="B322" s="292"/>
      <c r="C322" s="312"/>
      <c r="D322"/>
      <c r="E322" s="325"/>
      <c r="F322" s="143"/>
      <c r="G322" s="143"/>
      <c r="H322" s="143"/>
      <c r="I322" s="143"/>
      <c r="J322" s="143"/>
      <c r="K322" s="143"/>
      <c r="L322" s="143"/>
      <c r="M322" s="143"/>
      <c r="N322" s="143"/>
      <c r="O322" s="143"/>
      <c r="P322" s="143"/>
      <c r="Q322" s="143"/>
      <c r="R322" s="143"/>
      <c r="S322" s="143"/>
      <c r="T322" s="143"/>
      <c r="U322" s="143"/>
      <c r="V322" s="325"/>
      <c r="W322" s="393">
        <f t="shared" si="35"/>
        <v>0</v>
      </c>
      <c r="X322" s="393">
        <f t="shared" si="36"/>
        <v>0</v>
      </c>
      <c r="Y322" s="393">
        <f t="shared" si="37"/>
        <v>0</v>
      </c>
      <c r="Z322" s="393">
        <f t="shared" si="38"/>
        <v>0</v>
      </c>
      <c r="AA322" s="393">
        <f t="shared" si="39"/>
        <v>0</v>
      </c>
      <c r="AB322" s="393" t="e">
        <f t="shared" si="40"/>
        <v>#DIV/0!</v>
      </c>
      <c r="AC322" s="486" t="e">
        <f t="shared" si="41"/>
        <v>#DIV/0!</v>
      </c>
      <c r="AD322" s="11"/>
      <c r="AE322" s="301" t="str">
        <f>AF322&amp;TM[[#This Row],[Insurer Code]]&amp;"; "&amp;AG322&amp;TM[[#This Row],[Reporting Year]]&amp;"; "&amp;AH322&amp;TM[[#This Row],[Insurance Category Code]]&amp;"; "&amp;AI322&amp;TM[[#This Row],[Large Provider Entity Code]]</f>
        <v xml:space="preserve">Insurer Code ; Reporting Year ; Insurance Category Code ; Large Provider Entity Code </v>
      </c>
      <c r="AF322" s="297" t="s">
        <v>197</v>
      </c>
      <c r="AG322" s="297" t="s">
        <v>198</v>
      </c>
      <c r="AH322" s="297" t="s">
        <v>199</v>
      </c>
      <c r="AI322" s="297" t="s">
        <v>200</v>
      </c>
      <c r="AJ322" s="297"/>
      <c r="AK322" s="297"/>
      <c r="AL322" s="297"/>
      <c r="AM322" s="11"/>
      <c r="AN322" s="11"/>
      <c r="AO322" s="11"/>
    </row>
    <row r="323" spans="1:41" x14ac:dyDescent="0.4">
      <c r="A323" s="291"/>
      <c r="B323" s="292"/>
      <c r="C323" s="312"/>
      <c r="D323"/>
      <c r="E323" s="325"/>
      <c r="F323" s="143"/>
      <c r="G323" s="143"/>
      <c r="H323" s="143"/>
      <c r="I323" s="143"/>
      <c r="J323" s="143"/>
      <c r="K323" s="143"/>
      <c r="L323" s="143"/>
      <c r="M323" s="143"/>
      <c r="N323" s="143"/>
      <c r="O323" s="143"/>
      <c r="P323" s="143"/>
      <c r="Q323" s="143"/>
      <c r="R323" s="143"/>
      <c r="S323" s="143"/>
      <c r="T323" s="143"/>
      <c r="U323" s="143"/>
      <c r="V323" s="325"/>
      <c r="W323" s="393">
        <f t="shared" si="35"/>
        <v>0</v>
      </c>
      <c r="X323" s="393">
        <f t="shared" si="36"/>
        <v>0</v>
      </c>
      <c r="Y323" s="393">
        <f t="shared" si="37"/>
        <v>0</v>
      </c>
      <c r="Z323" s="393">
        <f t="shared" si="38"/>
        <v>0</v>
      </c>
      <c r="AA323" s="393">
        <f t="shared" si="39"/>
        <v>0</v>
      </c>
      <c r="AB323" s="393" t="e">
        <f t="shared" si="40"/>
        <v>#DIV/0!</v>
      </c>
      <c r="AC323" s="486" t="e">
        <f t="shared" si="41"/>
        <v>#DIV/0!</v>
      </c>
      <c r="AD323" s="11"/>
      <c r="AE323" s="301" t="str">
        <f>AF323&amp;TM[[#This Row],[Insurer Code]]&amp;"; "&amp;AG323&amp;TM[[#This Row],[Reporting Year]]&amp;"; "&amp;AH323&amp;TM[[#This Row],[Insurance Category Code]]&amp;"; "&amp;AI323&amp;TM[[#This Row],[Large Provider Entity Code]]</f>
        <v xml:space="preserve">Insurer Code ; Reporting Year ; Insurance Category Code ; Large Provider Entity Code </v>
      </c>
      <c r="AF323" s="297" t="s">
        <v>197</v>
      </c>
      <c r="AG323" s="297" t="s">
        <v>198</v>
      </c>
      <c r="AH323" s="297" t="s">
        <v>199</v>
      </c>
      <c r="AI323" s="297" t="s">
        <v>200</v>
      </c>
      <c r="AJ323" s="297"/>
      <c r="AK323" s="297"/>
      <c r="AL323" s="297"/>
      <c r="AM323" s="11"/>
      <c r="AN323" s="11"/>
      <c r="AO323" s="11"/>
    </row>
    <row r="324" spans="1:41" x14ac:dyDescent="0.4">
      <c r="A324" s="291"/>
      <c r="B324" s="292"/>
      <c r="C324" s="312"/>
      <c r="D324"/>
      <c r="E324" s="325"/>
      <c r="F324" s="143"/>
      <c r="G324" s="143"/>
      <c r="H324" s="143"/>
      <c r="I324" s="143"/>
      <c r="J324" s="143"/>
      <c r="K324" s="143"/>
      <c r="L324" s="143"/>
      <c r="M324" s="143"/>
      <c r="N324" s="143"/>
      <c r="O324" s="143"/>
      <c r="P324" s="143"/>
      <c r="Q324" s="143"/>
      <c r="R324" s="143"/>
      <c r="S324" s="143"/>
      <c r="T324" s="143"/>
      <c r="U324" s="143"/>
      <c r="V324" s="325"/>
      <c r="W324" s="393">
        <f t="shared" si="35"/>
        <v>0</v>
      </c>
      <c r="X324" s="393">
        <f t="shared" si="36"/>
        <v>0</v>
      </c>
      <c r="Y324" s="393">
        <f t="shared" si="37"/>
        <v>0</v>
      </c>
      <c r="Z324" s="393">
        <f t="shared" si="38"/>
        <v>0</v>
      </c>
      <c r="AA324" s="393">
        <f t="shared" si="39"/>
        <v>0</v>
      </c>
      <c r="AB324" s="393" t="e">
        <f t="shared" si="40"/>
        <v>#DIV/0!</v>
      </c>
      <c r="AC324" s="486" t="e">
        <f t="shared" si="41"/>
        <v>#DIV/0!</v>
      </c>
      <c r="AD324" s="11"/>
      <c r="AE324" s="301" t="str">
        <f>AF324&amp;TM[[#This Row],[Insurer Code]]&amp;"; "&amp;AG324&amp;TM[[#This Row],[Reporting Year]]&amp;"; "&amp;AH324&amp;TM[[#This Row],[Insurance Category Code]]&amp;"; "&amp;AI324&amp;TM[[#This Row],[Large Provider Entity Code]]</f>
        <v xml:space="preserve">Insurer Code ; Reporting Year ; Insurance Category Code ; Large Provider Entity Code </v>
      </c>
      <c r="AF324" s="297" t="s">
        <v>197</v>
      </c>
      <c r="AG324" s="297" t="s">
        <v>198</v>
      </c>
      <c r="AH324" s="297" t="s">
        <v>199</v>
      </c>
      <c r="AI324" s="297" t="s">
        <v>200</v>
      </c>
      <c r="AJ324" s="297"/>
      <c r="AK324" s="297"/>
      <c r="AL324" s="297"/>
      <c r="AM324" s="11"/>
      <c r="AN324" s="11"/>
      <c r="AO324" s="11"/>
    </row>
    <row r="325" spans="1:41" x14ac:dyDescent="0.4">
      <c r="A325" s="291"/>
      <c r="B325" s="292"/>
      <c r="C325" s="312"/>
      <c r="D325"/>
      <c r="E325" s="325"/>
      <c r="F325" s="143"/>
      <c r="G325" s="143"/>
      <c r="H325" s="143"/>
      <c r="I325" s="143"/>
      <c r="J325" s="143"/>
      <c r="K325" s="143"/>
      <c r="L325" s="143"/>
      <c r="M325" s="143"/>
      <c r="N325" s="143"/>
      <c r="O325" s="143"/>
      <c r="P325" s="143"/>
      <c r="Q325" s="143"/>
      <c r="R325" s="143"/>
      <c r="S325" s="143"/>
      <c r="T325" s="143"/>
      <c r="U325" s="143"/>
      <c r="V325" s="325"/>
      <c r="W325" s="393">
        <f t="shared" si="35"/>
        <v>0</v>
      </c>
      <c r="X325" s="393">
        <f t="shared" si="36"/>
        <v>0</v>
      </c>
      <c r="Y325" s="393">
        <f t="shared" si="37"/>
        <v>0</v>
      </c>
      <c r="Z325" s="393">
        <f t="shared" si="38"/>
        <v>0</v>
      </c>
      <c r="AA325" s="393">
        <f t="shared" si="39"/>
        <v>0</v>
      </c>
      <c r="AB325" s="393" t="e">
        <f t="shared" si="40"/>
        <v>#DIV/0!</v>
      </c>
      <c r="AC325" s="486" t="e">
        <f t="shared" si="41"/>
        <v>#DIV/0!</v>
      </c>
      <c r="AD325" s="11"/>
      <c r="AE325" s="301" t="str">
        <f>AF325&amp;TM[[#This Row],[Insurer Code]]&amp;"; "&amp;AG325&amp;TM[[#This Row],[Reporting Year]]&amp;"; "&amp;AH325&amp;TM[[#This Row],[Insurance Category Code]]&amp;"; "&amp;AI325&amp;TM[[#This Row],[Large Provider Entity Code]]</f>
        <v xml:space="preserve">Insurer Code ; Reporting Year ; Insurance Category Code ; Large Provider Entity Code </v>
      </c>
      <c r="AF325" s="297" t="s">
        <v>197</v>
      </c>
      <c r="AG325" s="297" t="s">
        <v>198</v>
      </c>
      <c r="AH325" s="297" t="s">
        <v>199</v>
      </c>
      <c r="AI325" s="297" t="s">
        <v>200</v>
      </c>
      <c r="AJ325" s="297"/>
      <c r="AK325" s="297"/>
      <c r="AL325" s="297"/>
      <c r="AM325" s="11"/>
      <c r="AN325" s="11"/>
      <c r="AO325" s="11"/>
    </row>
    <row r="326" spans="1:41" x14ac:dyDescent="0.4">
      <c r="A326" s="291"/>
      <c r="B326" s="292"/>
      <c r="C326" s="312"/>
      <c r="D326"/>
      <c r="E326" s="325"/>
      <c r="F326" s="143"/>
      <c r="G326" s="143"/>
      <c r="H326" s="143"/>
      <c r="I326" s="143"/>
      <c r="J326" s="143"/>
      <c r="K326" s="143"/>
      <c r="L326" s="143"/>
      <c r="M326" s="143"/>
      <c r="N326" s="143"/>
      <c r="O326" s="143"/>
      <c r="P326" s="143"/>
      <c r="Q326" s="143"/>
      <c r="R326" s="143"/>
      <c r="S326" s="143"/>
      <c r="T326" s="143"/>
      <c r="U326" s="143"/>
      <c r="V326" s="325"/>
      <c r="W326" s="393">
        <f t="shared" si="35"/>
        <v>0</v>
      </c>
      <c r="X326" s="393">
        <f t="shared" si="36"/>
        <v>0</v>
      </c>
      <c r="Y326" s="393">
        <f t="shared" si="37"/>
        <v>0</v>
      </c>
      <c r="Z326" s="393">
        <f t="shared" si="38"/>
        <v>0</v>
      </c>
      <c r="AA326" s="393">
        <f t="shared" si="39"/>
        <v>0</v>
      </c>
      <c r="AB326" s="393" t="e">
        <f t="shared" si="40"/>
        <v>#DIV/0!</v>
      </c>
      <c r="AC326" s="486" t="e">
        <f t="shared" si="41"/>
        <v>#DIV/0!</v>
      </c>
      <c r="AD326" s="11"/>
      <c r="AE326" s="301" t="str">
        <f>AF326&amp;TM[[#This Row],[Insurer Code]]&amp;"; "&amp;AG326&amp;TM[[#This Row],[Reporting Year]]&amp;"; "&amp;AH326&amp;TM[[#This Row],[Insurance Category Code]]&amp;"; "&amp;AI326&amp;TM[[#This Row],[Large Provider Entity Code]]</f>
        <v xml:space="preserve">Insurer Code ; Reporting Year ; Insurance Category Code ; Large Provider Entity Code </v>
      </c>
      <c r="AF326" s="297" t="s">
        <v>197</v>
      </c>
      <c r="AG326" s="297" t="s">
        <v>198</v>
      </c>
      <c r="AH326" s="297" t="s">
        <v>199</v>
      </c>
      <c r="AI326" s="297" t="s">
        <v>200</v>
      </c>
      <c r="AJ326" s="297"/>
      <c r="AK326" s="297"/>
      <c r="AL326" s="297"/>
      <c r="AM326" s="11"/>
      <c r="AN326" s="11"/>
      <c r="AO326" s="11"/>
    </row>
    <row r="327" spans="1:41" x14ac:dyDescent="0.4">
      <c r="A327" s="291"/>
      <c r="B327" s="292"/>
      <c r="C327" s="312"/>
      <c r="D327"/>
      <c r="E327" s="325"/>
      <c r="F327" s="143"/>
      <c r="G327" s="143"/>
      <c r="H327" s="143"/>
      <c r="I327" s="143"/>
      <c r="J327" s="143"/>
      <c r="K327" s="143"/>
      <c r="L327" s="143"/>
      <c r="M327" s="143"/>
      <c r="N327" s="143"/>
      <c r="O327" s="143"/>
      <c r="P327" s="143"/>
      <c r="Q327" s="143"/>
      <c r="R327" s="143"/>
      <c r="S327" s="143"/>
      <c r="T327" s="143"/>
      <c r="U327" s="143"/>
      <c r="V327" s="325"/>
      <c r="W327" s="393">
        <f t="shared" si="35"/>
        <v>0</v>
      </c>
      <c r="X327" s="393">
        <f t="shared" si="36"/>
        <v>0</v>
      </c>
      <c r="Y327" s="393">
        <f t="shared" si="37"/>
        <v>0</v>
      </c>
      <c r="Z327" s="393">
        <f t="shared" si="38"/>
        <v>0</v>
      </c>
      <c r="AA327" s="393">
        <f t="shared" si="39"/>
        <v>0</v>
      </c>
      <c r="AB327" s="393" t="e">
        <f t="shared" si="40"/>
        <v>#DIV/0!</v>
      </c>
      <c r="AC327" s="486" t="e">
        <f t="shared" si="41"/>
        <v>#DIV/0!</v>
      </c>
      <c r="AD327" s="11"/>
      <c r="AE327" s="301" t="str">
        <f>AF327&amp;TM[[#This Row],[Insurer Code]]&amp;"; "&amp;AG327&amp;TM[[#This Row],[Reporting Year]]&amp;"; "&amp;AH327&amp;TM[[#This Row],[Insurance Category Code]]&amp;"; "&amp;AI327&amp;TM[[#This Row],[Large Provider Entity Code]]</f>
        <v xml:space="preserve">Insurer Code ; Reporting Year ; Insurance Category Code ; Large Provider Entity Code </v>
      </c>
      <c r="AF327" s="297" t="s">
        <v>197</v>
      </c>
      <c r="AG327" s="297" t="s">
        <v>198</v>
      </c>
      <c r="AH327" s="297" t="s">
        <v>199</v>
      </c>
      <c r="AI327" s="297" t="s">
        <v>200</v>
      </c>
      <c r="AJ327" s="297"/>
      <c r="AK327" s="297"/>
      <c r="AL327" s="297"/>
      <c r="AM327" s="11"/>
      <c r="AN327" s="11"/>
      <c r="AO327" s="11"/>
    </row>
    <row r="328" spans="1:41" x14ac:dyDescent="0.4">
      <c r="A328" s="291"/>
      <c r="B328" s="292"/>
      <c r="C328" s="312"/>
      <c r="D328"/>
      <c r="E328" s="325"/>
      <c r="F328" s="143"/>
      <c r="G328" s="143"/>
      <c r="H328" s="143"/>
      <c r="I328" s="143"/>
      <c r="J328" s="143"/>
      <c r="K328" s="143"/>
      <c r="L328" s="143"/>
      <c r="M328" s="143"/>
      <c r="N328" s="143"/>
      <c r="O328" s="143"/>
      <c r="P328" s="143"/>
      <c r="Q328" s="143"/>
      <c r="R328" s="143"/>
      <c r="S328" s="143"/>
      <c r="T328" s="143"/>
      <c r="U328" s="143"/>
      <c r="V328" s="325"/>
      <c r="W328" s="393">
        <f t="shared" si="35"/>
        <v>0</v>
      </c>
      <c r="X328" s="393">
        <f t="shared" si="36"/>
        <v>0</v>
      </c>
      <c r="Y328" s="393">
        <f t="shared" si="37"/>
        <v>0</v>
      </c>
      <c r="Z328" s="393">
        <f t="shared" si="38"/>
        <v>0</v>
      </c>
      <c r="AA328" s="393">
        <f t="shared" si="39"/>
        <v>0</v>
      </c>
      <c r="AB328" s="393" t="e">
        <f t="shared" si="40"/>
        <v>#DIV/0!</v>
      </c>
      <c r="AC328" s="486" t="e">
        <f t="shared" si="41"/>
        <v>#DIV/0!</v>
      </c>
      <c r="AD328" s="11"/>
      <c r="AE328" s="301" t="str">
        <f>AF328&amp;TM[[#This Row],[Insurer Code]]&amp;"; "&amp;AG328&amp;TM[[#This Row],[Reporting Year]]&amp;"; "&amp;AH328&amp;TM[[#This Row],[Insurance Category Code]]&amp;"; "&amp;AI328&amp;TM[[#This Row],[Large Provider Entity Code]]</f>
        <v xml:space="preserve">Insurer Code ; Reporting Year ; Insurance Category Code ; Large Provider Entity Code </v>
      </c>
      <c r="AF328" s="297" t="s">
        <v>197</v>
      </c>
      <c r="AG328" s="297" t="s">
        <v>198</v>
      </c>
      <c r="AH328" s="297" t="s">
        <v>199</v>
      </c>
      <c r="AI328" s="297" t="s">
        <v>200</v>
      </c>
      <c r="AJ328" s="297"/>
      <c r="AK328" s="297"/>
      <c r="AL328" s="297"/>
      <c r="AM328" s="11"/>
      <c r="AN328" s="11"/>
      <c r="AO328" s="11"/>
    </row>
    <row r="329" spans="1:41" x14ac:dyDescent="0.4">
      <c r="A329" s="291"/>
      <c r="B329" s="292"/>
      <c r="C329" s="312"/>
      <c r="D329"/>
      <c r="E329" s="325"/>
      <c r="F329" s="143"/>
      <c r="G329" s="143"/>
      <c r="H329" s="143"/>
      <c r="I329" s="143"/>
      <c r="J329" s="143"/>
      <c r="K329" s="143"/>
      <c r="L329" s="143"/>
      <c r="M329" s="143"/>
      <c r="N329" s="143"/>
      <c r="O329" s="143"/>
      <c r="P329" s="143"/>
      <c r="Q329" s="143"/>
      <c r="R329" s="143"/>
      <c r="S329" s="143"/>
      <c r="T329" s="143"/>
      <c r="U329" s="143"/>
      <c r="V329" s="325"/>
      <c r="W329" s="393">
        <f t="shared" si="35"/>
        <v>0</v>
      </c>
      <c r="X329" s="393">
        <f t="shared" si="36"/>
        <v>0</v>
      </c>
      <c r="Y329" s="393">
        <f t="shared" si="37"/>
        <v>0</v>
      </c>
      <c r="Z329" s="393">
        <f t="shared" si="38"/>
        <v>0</v>
      </c>
      <c r="AA329" s="393">
        <f t="shared" si="39"/>
        <v>0</v>
      </c>
      <c r="AB329" s="393" t="e">
        <f t="shared" si="40"/>
        <v>#DIV/0!</v>
      </c>
      <c r="AC329" s="486" t="e">
        <f t="shared" si="41"/>
        <v>#DIV/0!</v>
      </c>
      <c r="AD329" s="11"/>
      <c r="AE329" s="301" t="str">
        <f>AF329&amp;TM[[#This Row],[Insurer Code]]&amp;"; "&amp;AG329&amp;TM[[#This Row],[Reporting Year]]&amp;"; "&amp;AH329&amp;TM[[#This Row],[Insurance Category Code]]&amp;"; "&amp;AI329&amp;TM[[#This Row],[Large Provider Entity Code]]</f>
        <v xml:space="preserve">Insurer Code ; Reporting Year ; Insurance Category Code ; Large Provider Entity Code </v>
      </c>
      <c r="AF329" s="297" t="s">
        <v>197</v>
      </c>
      <c r="AG329" s="297" t="s">
        <v>198</v>
      </c>
      <c r="AH329" s="297" t="s">
        <v>199</v>
      </c>
      <c r="AI329" s="297" t="s">
        <v>200</v>
      </c>
      <c r="AJ329" s="297"/>
      <c r="AK329" s="297"/>
      <c r="AL329" s="297"/>
      <c r="AM329" s="11"/>
      <c r="AN329" s="11"/>
      <c r="AO329" s="11"/>
    </row>
    <row r="330" spans="1:41" x14ac:dyDescent="0.4">
      <c r="A330" s="291"/>
      <c r="B330" s="292"/>
      <c r="C330" s="312"/>
      <c r="D330"/>
      <c r="E330" s="325"/>
      <c r="F330" s="143"/>
      <c r="G330" s="143"/>
      <c r="H330" s="143"/>
      <c r="I330" s="143"/>
      <c r="J330" s="143"/>
      <c r="K330" s="143"/>
      <c r="L330" s="143"/>
      <c r="M330" s="143"/>
      <c r="N330" s="143"/>
      <c r="O330" s="143"/>
      <c r="P330" s="143"/>
      <c r="Q330" s="143"/>
      <c r="R330" s="143"/>
      <c r="S330" s="143"/>
      <c r="T330" s="143"/>
      <c r="U330" s="143"/>
      <c r="V330" s="325"/>
      <c r="W330" s="393">
        <f t="shared" si="35"/>
        <v>0</v>
      </c>
      <c r="X330" s="393">
        <f t="shared" si="36"/>
        <v>0</v>
      </c>
      <c r="Y330" s="393">
        <f t="shared" si="37"/>
        <v>0</v>
      </c>
      <c r="Z330" s="393">
        <f t="shared" si="38"/>
        <v>0</v>
      </c>
      <c r="AA330" s="393">
        <f t="shared" si="39"/>
        <v>0</v>
      </c>
      <c r="AB330" s="393" t="e">
        <f t="shared" si="40"/>
        <v>#DIV/0!</v>
      </c>
      <c r="AC330" s="486" t="e">
        <f t="shared" si="41"/>
        <v>#DIV/0!</v>
      </c>
      <c r="AD330" s="11"/>
      <c r="AE330" s="301" t="str">
        <f>AF330&amp;TM[[#This Row],[Insurer Code]]&amp;"; "&amp;AG330&amp;TM[[#This Row],[Reporting Year]]&amp;"; "&amp;AH330&amp;TM[[#This Row],[Insurance Category Code]]&amp;"; "&amp;AI330&amp;TM[[#This Row],[Large Provider Entity Code]]</f>
        <v xml:space="preserve">Insurer Code ; Reporting Year ; Insurance Category Code ; Large Provider Entity Code </v>
      </c>
      <c r="AF330" s="297" t="s">
        <v>197</v>
      </c>
      <c r="AG330" s="297" t="s">
        <v>198</v>
      </c>
      <c r="AH330" s="297" t="s">
        <v>199</v>
      </c>
      <c r="AI330" s="297" t="s">
        <v>200</v>
      </c>
      <c r="AJ330" s="297"/>
      <c r="AK330" s="297"/>
      <c r="AL330" s="297"/>
      <c r="AM330" s="11"/>
      <c r="AN330" s="11"/>
      <c r="AO330" s="11"/>
    </row>
    <row r="331" spans="1:41" x14ac:dyDescent="0.4">
      <c r="A331" s="291"/>
      <c r="B331" s="292"/>
      <c r="C331" s="312"/>
      <c r="D331"/>
      <c r="E331" s="325"/>
      <c r="F331" s="143"/>
      <c r="G331" s="143"/>
      <c r="H331" s="143"/>
      <c r="I331" s="143"/>
      <c r="J331" s="143"/>
      <c r="K331" s="143"/>
      <c r="L331" s="143"/>
      <c r="M331" s="143"/>
      <c r="N331" s="143"/>
      <c r="O331" s="143"/>
      <c r="P331" s="143"/>
      <c r="Q331" s="143"/>
      <c r="R331" s="143"/>
      <c r="S331" s="143"/>
      <c r="T331" s="143"/>
      <c r="U331" s="143"/>
      <c r="V331" s="325"/>
      <c r="W331" s="393">
        <f t="shared" si="35"/>
        <v>0</v>
      </c>
      <c r="X331" s="393">
        <f t="shared" si="36"/>
        <v>0</v>
      </c>
      <c r="Y331" s="393">
        <f t="shared" si="37"/>
        <v>0</v>
      </c>
      <c r="Z331" s="393">
        <f t="shared" si="38"/>
        <v>0</v>
      </c>
      <c r="AA331" s="393">
        <f t="shared" si="39"/>
        <v>0</v>
      </c>
      <c r="AB331" s="393" t="e">
        <f t="shared" si="40"/>
        <v>#DIV/0!</v>
      </c>
      <c r="AC331" s="486" t="e">
        <f t="shared" si="41"/>
        <v>#DIV/0!</v>
      </c>
      <c r="AD331" s="11"/>
      <c r="AE331" s="301" t="str">
        <f>AF331&amp;TM[[#This Row],[Insurer Code]]&amp;"; "&amp;AG331&amp;TM[[#This Row],[Reporting Year]]&amp;"; "&amp;AH331&amp;TM[[#This Row],[Insurance Category Code]]&amp;"; "&amp;AI331&amp;TM[[#This Row],[Large Provider Entity Code]]</f>
        <v xml:space="preserve">Insurer Code ; Reporting Year ; Insurance Category Code ; Large Provider Entity Code </v>
      </c>
      <c r="AF331" s="297" t="s">
        <v>197</v>
      </c>
      <c r="AG331" s="297" t="s">
        <v>198</v>
      </c>
      <c r="AH331" s="297" t="s">
        <v>199</v>
      </c>
      <c r="AI331" s="297" t="s">
        <v>200</v>
      </c>
      <c r="AJ331" s="297"/>
      <c r="AK331" s="297"/>
      <c r="AL331" s="297"/>
      <c r="AM331" s="11"/>
      <c r="AN331" s="11"/>
      <c r="AO331" s="11"/>
    </row>
    <row r="332" spans="1:41" x14ac:dyDescent="0.4">
      <c r="A332" s="291"/>
      <c r="B332" s="292"/>
      <c r="C332" s="312"/>
      <c r="D332"/>
      <c r="E332" s="325"/>
      <c r="F332" s="143"/>
      <c r="G332" s="143"/>
      <c r="H332" s="143"/>
      <c r="I332" s="143"/>
      <c r="J332" s="143"/>
      <c r="K332" s="143"/>
      <c r="L332" s="143"/>
      <c r="M332" s="143"/>
      <c r="N332" s="143"/>
      <c r="O332" s="143"/>
      <c r="P332" s="143"/>
      <c r="Q332" s="143"/>
      <c r="R332" s="143"/>
      <c r="S332" s="143"/>
      <c r="T332" s="143"/>
      <c r="U332" s="143"/>
      <c r="V332" s="325"/>
      <c r="W332" s="393">
        <f t="shared" si="35"/>
        <v>0</v>
      </c>
      <c r="X332" s="393">
        <f t="shared" si="36"/>
        <v>0</v>
      </c>
      <c r="Y332" s="393">
        <f t="shared" si="37"/>
        <v>0</v>
      </c>
      <c r="Z332" s="393">
        <f t="shared" si="38"/>
        <v>0</v>
      </c>
      <c r="AA332" s="393">
        <f t="shared" si="39"/>
        <v>0</v>
      </c>
      <c r="AB332" s="393" t="e">
        <f t="shared" si="40"/>
        <v>#DIV/0!</v>
      </c>
      <c r="AC332" s="486" t="e">
        <f t="shared" si="41"/>
        <v>#DIV/0!</v>
      </c>
      <c r="AD332" s="11"/>
      <c r="AE332" s="301" t="str">
        <f>AF332&amp;TM[[#This Row],[Insurer Code]]&amp;"; "&amp;AG332&amp;TM[[#This Row],[Reporting Year]]&amp;"; "&amp;AH332&amp;TM[[#This Row],[Insurance Category Code]]&amp;"; "&amp;AI332&amp;TM[[#This Row],[Large Provider Entity Code]]</f>
        <v xml:space="preserve">Insurer Code ; Reporting Year ; Insurance Category Code ; Large Provider Entity Code </v>
      </c>
      <c r="AF332" s="297" t="s">
        <v>197</v>
      </c>
      <c r="AG332" s="297" t="s">
        <v>198</v>
      </c>
      <c r="AH332" s="297" t="s">
        <v>199</v>
      </c>
      <c r="AI332" s="297" t="s">
        <v>200</v>
      </c>
      <c r="AJ332" s="297"/>
      <c r="AK332" s="297"/>
      <c r="AL332" s="297"/>
      <c r="AM332" s="11"/>
      <c r="AN332" s="11"/>
      <c r="AO332" s="11"/>
    </row>
    <row r="333" spans="1:41" x14ac:dyDescent="0.4">
      <c r="A333" s="291"/>
      <c r="B333" s="292"/>
      <c r="C333" s="312"/>
      <c r="D333"/>
      <c r="E333" s="325"/>
      <c r="F333" s="143"/>
      <c r="G333" s="143"/>
      <c r="H333" s="143"/>
      <c r="I333" s="143"/>
      <c r="J333" s="143"/>
      <c r="K333" s="143"/>
      <c r="L333" s="143"/>
      <c r="M333" s="143"/>
      <c r="N333" s="143"/>
      <c r="O333" s="143"/>
      <c r="P333" s="143"/>
      <c r="Q333" s="143"/>
      <c r="R333" s="143"/>
      <c r="S333" s="143"/>
      <c r="T333" s="143"/>
      <c r="U333" s="143"/>
      <c r="V333" s="325"/>
      <c r="W333" s="393">
        <f t="shared" si="35"/>
        <v>0</v>
      </c>
      <c r="X333" s="393">
        <f t="shared" si="36"/>
        <v>0</v>
      </c>
      <c r="Y333" s="393">
        <f t="shared" si="37"/>
        <v>0</v>
      </c>
      <c r="Z333" s="393">
        <f t="shared" si="38"/>
        <v>0</v>
      </c>
      <c r="AA333" s="393">
        <f t="shared" si="39"/>
        <v>0</v>
      </c>
      <c r="AB333" s="393" t="e">
        <f t="shared" si="40"/>
        <v>#DIV/0!</v>
      </c>
      <c r="AC333" s="486" t="e">
        <f t="shared" si="41"/>
        <v>#DIV/0!</v>
      </c>
      <c r="AD333" s="11"/>
      <c r="AE333" s="301" t="str">
        <f>AF333&amp;TM[[#This Row],[Insurer Code]]&amp;"; "&amp;AG333&amp;TM[[#This Row],[Reporting Year]]&amp;"; "&amp;AH333&amp;TM[[#This Row],[Insurance Category Code]]&amp;"; "&amp;AI333&amp;TM[[#This Row],[Large Provider Entity Code]]</f>
        <v xml:space="preserve">Insurer Code ; Reporting Year ; Insurance Category Code ; Large Provider Entity Code </v>
      </c>
      <c r="AF333" s="297" t="s">
        <v>197</v>
      </c>
      <c r="AG333" s="297" t="s">
        <v>198</v>
      </c>
      <c r="AH333" s="297" t="s">
        <v>199</v>
      </c>
      <c r="AI333" s="297" t="s">
        <v>200</v>
      </c>
      <c r="AJ333" s="297"/>
      <c r="AK333" s="297"/>
      <c r="AL333" s="297"/>
      <c r="AM333" s="11"/>
      <c r="AN333" s="11"/>
      <c r="AO333" s="11"/>
    </row>
    <row r="334" spans="1:41" x14ac:dyDescent="0.4">
      <c r="A334" s="291"/>
      <c r="B334" s="292"/>
      <c r="C334" s="312"/>
      <c r="D334"/>
      <c r="E334" s="325"/>
      <c r="F334" s="143"/>
      <c r="G334" s="143"/>
      <c r="H334" s="143"/>
      <c r="I334" s="143"/>
      <c r="J334" s="143"/>
      <c r="K334" s="143"/>
      <c r="L334" s="143"/>
      <c r="M334" s="143"/>
      <c r="N334" s="143"/>
      <c r="O334" s="143"/>
      <c r="P334" s="143"/>
      <c r="Q334" s="143"/>
      <c r="R334" s="143"/>
      <c r="S334" s="143"/>
      <c r="T334" s="143"/>
      <c r="U334" s="143"/>
      <c r="V334" s="325"/>
      <c r="W334" s="393">
        <f t="shared" si="35"/>
        <v>0</v>
      </c>
      <c r="X334" s="393">
        <f t="shared" si="36"/>
        <v>0</v>
      </c>
      <c r="Y334" s="393">
        <f t="shared" si="37"/>
        <v>0</v>
      </c>
      <c r="Z334" s="393">
        <f t="shared" si="38"/>
        <v>0</v>
      </c>
      <c r="AA334" s="393">
        <f t="shared" si="39"/>
        <v>0</v>
      </c>
      <c r="AB334" s="393" t="e">
        <f t="shared" si="40"/>
        <v>#DIV/0!</v>
      </c>
      <c r="AC334" s="486" t="e">
        <f t="shared" si="41"/>
        <v>#DIV/0!</v>
      </c>
      <c r="AD334" s="11"/>
      <c r="AE334" s="301" t="str">
        <f>AF334&amp;TM[[#This Row],[Insurer Code]]&amp;"; "&amp;AG334&amp;TM[[#This Row],[Reporting Year]]&amp;"; "&amp;AH334&amp;TM[[#This Row],[Insurance Category Code]]&amp;"; "&amp;AI334&amp;TM[[#This Row],[Large Provider Entity Code]]</f>
        <v xml:space="preserve">Insurer Code ; Reporting Year ; Insurance Category Code ; Large Provider Entity Code </v>
      </c>
      <c r="AF334" s="297" t="s">
        <v>197</v>
      </c>
      <c r="AG334" s="297" t="s">
        <v>198</v>
      </c>
      <c r="AH334" s="297" t="s">
        <v>199</v>
      </c>
      <c r="AI334" s="297" t="s">
        <v>200</v>
      </c>
      <c r="AJ334" s="297"/>
      <c r="AK334" s="297"/>
      <c r="AL334" s="297"/>
      <c r="AM334" s="11"/>
      <c r="AN334" s="11"/>
      <c r="AO334" s="11"/>
    </row>
    <row r="335" spans="1:41" x14ac:dyDescent="0.4">
      <c r="A335" s="291"/>
      <c r="B335" s="292"/>
      <c r="C335" s="312"/>
      <c r="D335"/>
      <c r="E335" s="325"/>
      <c r="F335" s="143"/>
      <c r="G335" s="143"/>
      <c r="H335" s="143"/>
      <c r="I335" s="143"/>
      <c r="J335" s="143"/>
      <c r="K335" s="143"/>
      <c r="L335" s="143"/>
      <c r="M335" s="143"/>
      <c r="N335" s="143"/>
      <c r="O335" s="143"/>
      <c r="P335" s="143"/>
      <c r="Q335" s="143"/>
      <c r="R335" s="143"/>
      <c r="S335" s="143"/>
      <c r="T335" s="143"/>
      <c r="U335" s="143"/>
      <c r="V335" s="325"/>
      <c r="W335" s="393">
        <f t="shared" si="35"/>
        <v>0</v>
      </c>
      <c r="X335" s="393">
        <f t="shared" si="36"/>
        <v>0</v>
      </c>
      <c r="Y335" s="393">
        <f t="shared" si="37"/>
        <v>0</v>
      </c>
      <c r="Z335" s="393">
        <f t="shared" si="38"/>
        <v>0</v>
      </c>
      <c r="AA335" s="393">
        <f t="shared" si="39"/>
        <v>0</v>
      </c>
      <c r="AB335" s="393" t="e">
        <f t="shared" si="40"/>
        <v>#DIV/0!</v>
      </c>
      <c r="AC335" s="486" t="e">
        <f t="shared" si="41"/>
        <v>#DIV/0!</v>
      </c>
      <c r="AD335" s="11"/>
      <c r="AE335" s="301" t="str">
        <f>AF335&amp;TM[[#This Row],[Insurer Code]]&amp;"; "&amp;AG335&amp;TM[[#This Row],[Reporting Year]]&amp;"; "&amp;AH335&amp;TM[[#This Row],[Insurance Category Code]]&amp;"; "&amp;AI335&amp;TM[[#This Row],[Large Provider Entity Code]]</f>
        <v xml:space="preserve">Insurer Code ; Reporting Year ; Insurance Category Code ; Large Provider Entity Code </v>
      </c>
      <c r="AF335" s="297" t="s">
        <v>197</v>
      </c>
      <c r="AG335" s="297" t="s">
        <v>198</v>
      </c>
      <c r="AH335" s="297" t="s">
        <v>199</v>
      </c>
      <c r="AI335" s="297" t="s">
        <v>200</v>
      </c>
      <c r="AJ335" s="297"/>
      <c r="AK335" s="297"/>
      <c r="AL335" s="297"/>
      <c r="AM335" s="11"/>
      <c r="AN335" s="11"/>
      <c r="AO335" s="11"/>
    </row>
    <row r="336" spans="1:41" x14ac:dyDescent="0.4">
      <c r="A336" s="291"/>
      <c r="B336" s="292"/>
      <c r="C336" s="312"/>
      <c r="D336"/>
      <c r="E336" s="325"/>
      <c r="F336" s="143"/>
      <c r="G336" s="143"/>
      <c r="H336" s="143"/>
      <c r="I336" s="143"/>
      <c r="J336" s="143"/>
      <c r="K336" s="143"/>
      <c r="L336" s="143"/>
      <c r="M336" s="143"/>
      <c r="N336" s="143"/>
      <c r="O336" s="143"/>
      <c r="P336" s="143"/>
      <c r="Q336" s="143"/>
      <c r="R336" s="143"/>
      <c r="S336" s="143"/>
      <c r="T336" s="143"/>
      <c r="U336" s="143"/>
      <c r="V336" s="325"/>
      <c r="W336" s="393">
        <f t="shared" si="35"/>
        <v>0</v>
      </c>
      <c r="X336" s="393">
        <f t="shared" si="36"/>
        <v>0</v>
      </c>
      <c r="Y336" s="393">
        <f t="shared" si="37"/>
        <v>0</v>
      </c>
      <c r="Z336" s="393">
        <f t="shared" si="38"/>
        <v>0</v>
      </c>
      <c r="AA336" s="393">
        <f t="shared" si="39"/>
        <v>0</v>
      </c>
      <c r="AB336" s="393" t="e">
        <f t="shared" si="40"/>
        <v>#DIV/0!</v>
      </c>
      <c r="AC336" s="486" t="e">
        <f t="shared" si="41"/>
        <v>#DIV/0!</v>
      </c>
      <c r="AD336" s="11"/>
      <c r="AE336" s="301" t="str">
        <f>AF336&amp;TM[[#This Row],[Insurer Code]]&amp;"; "&amp;AG336&amp;TM[[#This Row],[Reporting Year]]&amp;"; "&amp;AH336&amp;TM[[#This Row],[Insurance Category Code]]&amp;"; "&amp;AI336&amp;TM[[#This Row],[Large Provider Entity Code]]</f>
        <v xml:space="preserve">Insurer Code ; Reporting Year ; Insurance Category Code ; Large Provider Entity Code </v>
      </c>
      <c r="AF336" s="297" t="s">
        <v>197</v>
      </c>
      <c r="AG336" s="297" t="s">
        <v>198</v>
      </c>
      <c r="AH336" s="297" t="s">
        <v>199</v>
      </c>
      <c r="AI336" s="297" t="s">
        <v>200</v>
      </c>
      <c r="AJ336" s="297"/>
      <c r="AK336" s="297"/>
      <c r="AL336" s="297"/>
      <c r="AM336" s="11"/>
      <c r="AN336" s="11"/>
      <c r="AO336" s="11"/>
    </row>
    <row r="337" spans="1:41" x14ac:dyDescent="0.4">
      <c r="A337" s="291"/>
      <c r="B337" s="292"/>
      <c r="C337" s="312"/>
      <c r="D337"/>
      <c r="E337" s="325"/>
      <c r="F337" s="143"/>
      <c r="G337" s="143"/>
      <c r="H337" s="143"/>
      <c r="I337" s="143"/>
      <c r="J337" s="143"/>
      <c r="K337" s="143"/>
      <c r="L337" s="143"/>
      <c r="M337" s="143"/>
      <c r="N337" s="143"/>
      <c r="O337" s="143"/>
      <c r="P337" s="143"/>
      <c r="Q337" s="143"/>
      <c r="R337" s="143"/>
      <c r="S337" s="143"/>
      <c r="T337" s="143"/>
      <c r="U337" s="143"/>
      <c r="V337" s="325"/>
      <c r="W337" s="393">
        <f t="shared" si="35"/>
        <v>0</v>
      </c>
      <c r="X337" s="393">
        <f t="shared" si="36"/>
        <v>0</v>
      </c>
      <c r="Y337" s="393">
        <f t="shared" si="37"/>
        <v>0</v>
      </c>
      <c r="Z337" s="393">
        <f t="shared" si="38"/>
        <v>0</v>
      </c>
      <c r="AA337" s="393">
        <f t="shared" si="39"/>
        <v>0</v>
      </c>
      <c r="AB337" s="393" t="e">
        <f t="shared" si="40"/>
        <v>#DIV/0!</v>
      </c>
      <c r="AC337" s="486" t="e">
        <f t="shared" si="41"/>
        <v>#DIV/0!</v>
      </c>
      <c r="AD337" s="11"/>
      <c r="AE337" s="301" t="str">
        <f>AF337&amp;TM[[#This Row],[Insurer Code]]&amp;"; "&amp;AG337&amp;TM[[#This Row],[Reporting Year]]&amp;"; "&amp;AH337&amp;TM[[#This Row],[Insurance Category Code]]&amp;"; "&amp;AI337&amp;TM[[#This Row],[Large Provider Entity Code]]</f>
        <v xml:space="preserve">Insurer Code ; Reporting Year ; Insurance Category Code ; Large Provider Entity Code </v>
      </c>
      <c r="AF337" s="297" t="s">
        <v>197</v>
      </c>
      <c r="AG337" s="297" t="s">
        <v>198</v>
      </c>
      <c r="AH337" s="297" t="s">
        <v>199</v>
      </c>
      <c r="AI337" s="297" t="s">
        <v>200</v>
      </c>
      <c r="AJ337" s="297"/>
      <c r="AK337" s="297"/>
      <c r="AL337" s="297"/>
      <c r="AM337" s="11"/>
      <c r="AN337" s="11"/>
      <c r="AO337" s="11"/>
    </row>
    <row r="338" spans="1:41" x14ac:dyDescent="0.4">
      <c r="A338" s="291"/>
      <c r="B338" s="292"/>
      <c r="C338" s="292"/>
      <c r="D338" s="292"/>
      <c r="E338" s="529"/>
      <c r="F338" s="527"/>
      <c r="G338" s="528"/>
      <c r="H338" s="528"/>
      <c r="I338" s="528"/>
      <c r="J338" s="528"/>
      <c r="K338" s="528"/>
      <c r="L338" s="528"/>
      <c r="M338" s="528"/>
      <c r="N338" s="528"/>
      <c r="O338" s="528"/>
      <c r="P338" s="528"/>
      <c r="Q338" s="528"/>
      <c r="R338" s="527"/>
      <c r="S338" s="528"/>
      <c r="T338" s="528"/>
      <c r="U338" s="528"/>
      <c r="V338" s="325"/>
      <c r="W338" s="530">
        <f t="shared" ref="W338:W369" si="42">SUM(F338:M338)</f>
        <v>0</v>
      </c>
      <c r="X338" s="530">
        <f t="shared" ref="X338:X369" si="43">SUM(N338:S338)</f>
        <v>0</v>
      </c>
      <c r="Y338" s="530">
        <f t="shared" ref="Y338:Y369" si="44">W338+X338</f>
        <v>0</v>
      </c>
      <c r="Z338" s="530">
        <f t="shared" ref="Z338:Z369" si="45">W338-U338</f>
        <v>0</v>
      </c>
      <c r="AA338" s="530">
        <f t="shared" ref="AA338:AA369" si="46">Z338+X338</f>
        <v>0</v>
      </c>
      <c r="AB338" s="530" t="e">
        <f t="shared" ref="AB338:AB369" si="47">Y338/E338</f>
        <v>#DIV/0!</v>
      </c>
      <c r="AC338" s="531" t="e">
        <f t="shared" ref="AC338:AC369" si="48">AA338/E338</f>
        <v>#DIV/0!</v>
      </c>
      <c r="AE338" s="301" t="str">
        <f>AF338&amp;TM[[#This Row],[Insurer Code]]&amp;"; "&amp;AG338&amp;TM[[#This Row],[Reporting Year]]&amp;"; "&amp;AH338&amp;TM[[#This Row],[Insurance Category Code]]&amp;"; "&amp;AI338&amp;TM[[#This Row],[Large Provider Entity Code]]</f>
        <v xml:space="preserve">Insurer Code ; Reporting Year ; Insurance Category Code ; Large Provider Entity Code </v>
      </c>
      <c r="AF338" s="297" t="s">
        <v>197</v>
      </c>
      <c r="AG338" s="297" t="s">
        <v>198</v>
      </c>
      <c r="AH338" s="297" t="s">
        <v>199</v>
      </c>
      <c r="AI338" s="297" t="s">
        <v>200</v>
      </c>
      <c r="AJ338" s="297"/>
      <c r="AK338" s="297"/>
      <c r="AL338" s="297"/>
      <c r="AM338" s="11"/>
      <c r="AN338" s="11"/>
      <c r="AO338" s="11"/>
    </row>
    <row r="339" spans="1:41" x14ac:dyDescent="0.4">
      <c r="A339" s="291"/>
      <c r="B339" s="292"/>
      <c r="C339" s="292"/>
      <c r="D339" s="292"/>
      <c r="E339" s="529"/>
      <c r="F339" s="527"/>
      <c r="G339" s="528"/>
      <c r="H339" s="528"/>
      <c r="I339" s="528"/>
      <c r="J339" s="528"/>
      <c r="K339" s="528"/>
      <c r="L339" s="528"/>
      <c r="M339" s="528"/>
      <c r="N339" s="528"/>
      <c r="O339" s="528"/>
      <c r="P339" s="528"/>
      <c r="Q339" s="528"/>
      <c r="R339" s="527"/>
      <c r="S339" s="528"/>
      <c r="T339" s="528"/>
      <c r="U339" s="528"/>
      <c r="V339" s="325"/>
      <c r="W339" s="530">
        <f t="shared" si="42"/>
        <v>0</v>
      </c>
      <c r="X339" s="530">
        <f t="shared" si="43"/>
        <v>0</v>
      </c>
      <c r="Y339" s="530">
        <f t="shared" si="44"/>
        <v>0</v>
      </c>
      <c r="Z339" s="530">
        <f t="shared" si="45"/>
        <v>0</v>
      </c>
      <c r="AA339" s="530">
        <f t="shared" si="46"/>
        <v>0</v>
      </c>
      <c r="AB339" s="530" t="e">
        <f t="shared" si="47"/>
        <v>#DIV/0!</v>
      </c>
      <c r="AC339" s="531" t="e">
        <f t="shared" si="48"/>
        <v>#DIV/0!</v>
      </c>
      <c r="AE339" s="301" t="str">
        <f>AF339&amp;TM[[#This Row],[Insurer Code]]&amp;"; "&amp;AG339&amp;TM[[#This Row],[Reporting Year]]&amp;"; "&amp;AH339&amp;TM[[#This Row],[Insurance Category Code]]&amp;"; "&amp;AI339&amp;TM[[#This Row],[Large Provider Entity Code]]</f>
        <v xml:space="preserve">Insurer Code ; Reporting Year ; Insurance Category Code ; Large Provider Entity Code </v>
      </c>
      <c r="AF339" s="297" t="s">
        <v>197</v>
      </c>
      <c r="AG339" s="297" t="s">
        <v>198</v>
      </c>
      <c r="AH339" s="297" t="s">
        <v>199</v>
      </c>
      <c r="AI339" s="297" t="s">
        <v>200</v>
      </c>
      <c r="AJ339" s="297"/>
      <c r="AK339" s="297"/>
      <c r="AL339" s="297"/>
      <c r="AM339" s="11"/>
      <c r="AN339" s="11"/>
      <c r="AO339" s="11"/>
    </row>
    <row r="340" spans="1:41" x14ac:dyDescent="0.4">
      <c r="A340" s="291"/>
      <c r="B340" s="292"/>
      <c r="C340" s="292"/>
      <c r="D340" s="292"/>
      <c r="E340" s="529"/>
      <c r="F340" s="527"/>
      <c r="G340" s="528"/>
      <c r="H340" s="528"/>
      <c r="I340" s="528"/>
      <c r="J340" s="528"/>
      <c r="K340" s="528"/>
      <c r="L340" s="528"/>
      <c r="M340" s="528"/>
      <c r="N340" s="528"/>
      <c r="O340" s="528"/>
      <c r="P340" s="528"/>
      <c r="Q340" s="528"/>
      <c r="R340" s="527"/>
      <c r="S340" s="528"/>
      <c r="T340" s="528"/>
      <c r="U340" s="528"/>
      <c r="V340" s="325"/>
      <c r="W340" s="530">
        <f t="shared" si="42"/>
        <v>0</v>
      </c>
      <c r="X340" s="530">
        <f t="shared" si="43"/>
        <v>0</v>
      </c>
      <c r="Y340" s="530">
        <f t="shared" si="44"/>
        <v>0</v>
      </c>
      <c r="Z340" s="530">
        <f t="shared" si="45"/>
        <v>0</v>
      </c>
      <c r="AA340" s="530">
        <f t="shared" si="46"/>
        <v>0</v>
      </c>
      <c r="AB340" s="530" t="e">
        <f t="shared" si="47"/>
        <v>#DIV/0!</v>
      </c>
      <c r="AC340" s="531" t="e">
        <f t="shared" si="48"/>
        <v>#DIV/0!</v>
      </c>
      <c r="AE340" s="301" t="str">
        <f>AF340&amp;TM[[#This Row],[Insurer Code]]&amp;"; "&amp;AG340&amp;TM[[#This Row],[Reporting Year]]&amp;"; "&amp;AH340&amp;TM[[#This Row],[Insurance Category Code]]&amp;"; "&amp;AI340&amp;TM[[#This Row],[Large Provider Entity Code]]</f>
        <v xml:space="preserve">Insurer Code ; Reporting Year ; Insurance Category Code ; Large Provider Entity Code </v>
      </c>
      <c r="AF340" s="297" t="s">
        <v>197</v>
      </c>
      <c r="AG340" s="297" t="s">
        <v>198</v>
      </c>
      <c r="AH340" s="297" t="s">
        <v>199</v>
      </c>
      <c r="AI340" s="297" t="s">
        <v>200</v>
      </c>
      <c r="AJ340" s="297"/>
      <c r="AK340" s="297"/>
      <c r="AL340" s="297"/>
      <c r="AM340" s="11"/>
      <c r="AN340" s="11"/>
      <c r="AO340" s="11"/>
    </row>
    <row r="341" spans="1:41" x14ac:dyDescent="0.4">
      <c r="A341" s="291"/>
      <c r="B341" s="292"/>
      <c r="C341" s="292"/>
      <c r="D341" s="292"/>
      <c r="E341" s="529"/>
      <c r="F341" s="527"/>
      <c r="G341" s="528"/>
      <c r="H341" s="528"/>
      <c r="I341" s="528"/>
      <c r="J341" s="528"/>
      <c r="K341" s="528"/>
      <c r="L341" s="528"/>
      <c r="M341" s="528"/>
      <c r="N341" s="528"/>
      <c r="O341" s="528"/>
      <c r="P341" s="528"/>
      <c r="Q341" s="528"/>
      <c r="R341" s="527"/>
      <c r="S341" s="528"/>
      <c r="T341" s="528"/>
      <c r="U341" s="528"/>
      <c r="V341" s="325"/>
      <c r="W341" s="530">
        <f t="shared" si="42"/>
        <v>0</v>
      </c>
      <c r="X341" s="530">
        <f t="shared" si="43"/>
        <v>0</v>
      </c>
      <c r="Y341" s="530">
        <f t="shared" si="44"/>
        <v>0</v>
      </c>
      <c r="Z341" s="530">
        <f t="shared" si="45"/>
        <v>0</v>
      </c>
      <c r="AA341" s="530">
        <f t="shared" si="46"/>
        <v>0</v>
      </c>
      <c r="AB341" s="530" t="e">
        <f t="shared" si="47"/>
        <v>#DIV/0!</v>
      </c>
      <c r="AC341" s="531" t="e">
        <f t="shared" si="48"/>
        <v>#DIV/0!</v>
      </c>
      <c r="AE341" s="301" t="str">
        <f>AF341&amp;TM[[#This Row],[Insurer Code]]&amp;"; "&amp;AG341&amp;TM[[#This Row],[Reporting Year]]&amp;"; "&amp;AH341&amp;TM[[#This Row],[Insurance Category Code]]&amp;"; "&amp;AI341&amp;TM[[#This Row],[Large Provider Entity Code]]</f>
        <v xml:space="preserve">Insurer Code ; Reporting Year ; Insurance Category Code ; Large Provider Entity Code </v>
      </c>
      <c r="AF341" s="297" t="s">
        <v>197</v>
      </c>
      <c r="AG341" s="297" t="s">
        <v>198</v>
      </c>
      <c r="AH341" s="297" t="s">
        <v>199</v>
      </c>
      <c r="AI341" s="297" t="s">
        <v>200</v>
      </c>
      <c r="AJ341" s="297"/>
      <c r="AK341" s="297"/>
      <c r="AL341" s="297"/>
      <c r="AM341" s="11"/>
      <c r="AN341" s="11"/>
      <c r="AO341" s="11"/>
    </row>
    <row r="342" spans="1:41" x14ac:dyDescent="0.4">
      <c r="A342" s="291"/>
      <c r="B342" s="292"/>
      <c r="C342" s="292"/>
      <c r="D342" s="292"/>
      <c r="E342" s="529"/>
      <c r="F342" s="527"/>
      <c r="G342" s="528"/>
      <c r="H342" s="528"/>
      <c r="I342" s="528"/>
      <c r="J342" s="528"/>
      <c r="K342" s="528"/>
      <c r="L342" s="528"/>
      <c r="M342" s="528"/>
      <c r="N342" s="528"/>
      <c r="O342" s="528"/>
      <c r="P342" s="528"/>
      <c r="Q342" s="528"/>
      <c r="R342" s="527"/>
      <c r="S342" s="528"/>
      <c r="T342" s="528"/>
      <c r="U342" s="528"/>
      <c r="V342" s="325"/>
      <c r="W342" s="530">
        <f t="shared" si="42"/>
        <v>0</v>
      </c>
      <c r="X342" s="530">
        <f t="shared" si="43"/>
        <v>0</v>
      </c>
      <c r="Y342" s="530">
        <f t="shared" si="44"/>
        <v>0</v>
      </c>
      <c r="Z342" s="530">
        <f t="shared" si="45"/>
        <v>0</v>
      </c>
      <c r="AA342" s="530">
        <f t="shared" si="46"/>
        <v>0</v>
      </c>
      <c r="AB342" s="530" t="e">
        <f t="shared" si="47"/>
        <v>#DIV/0!</v>
      </c>
      <c r="AC342" s="531" t="e">
        <f t="shared" si="48"/>
        <v>#DIV/0!</v>
      </c>
      <c r="AE342" s="301" t="str">
        <f>AF342&amp;TM[[#This Row],[Insurer Code]]&amp;"; "&amp;AG342&amp;TM[[#This Row],[Reporting Year]]&amp;"; "&amp;AH342&amp;TM[[#This Row],[Insurance Category Code]]&amp;"; "&amp;AI342&amp;TM[[#This Row],[Large Provider Entity Code]]</f>
        <v xml:space="preserve">Insurer Code ; Reporting Year ; Insurance Category Code ; Large Provider Entity Code </v>
      </c>
      <c r="AF342" s="297" t="s">
        <v>197</v>
      </c>
      <c r="AG342" s="297" t="s">
        <v>198</v>
      </c>
      <c r="AH342" s="297" t="s">
        <v>199</v>
      </c>
      <c r="AI342" s="297" t="s">
        <v>200</v>
      </c>
      <c r="AJ342" s="297"/>
      <c r="AK342" s="297"/>
      <c r="AL342" s="297"/>
      <c r="AM342" s="11"/>
      <c r="AN342" s="11"/>
      <c r="AO342" s="11"/>
    </row>
    <row r="343" spans="1:41" x14ac:dyDescent="0.4">
      <c r="A343" s="291"/>
      <c r="B343" s="292"/>
      <c r="C343" s="292"/>
      <c r="D343" s="292"/>
      <c r="E343" s="529"/>
      <c r="F343" s="527"/>
      <c r="G343" s="528"/>
      <c r="H343" s="528"/>
      <c r="I343" s="528"/>
      <c r="J343" s="528"/>
      <c r="K343" s="528"/>
      <c r="L343" s="528"/>
      <c r="M343" s="528"/>
      <c r="N343" s="528"/>
      <c r="O343" s="528"/>
      <c r="P343" s="528"/>
      <c r="Q343" s="528"/>
      <c r="R343" s="527"/>
      <c r="S343" s="528"/>
      <c r="T343" s="528"/>
      <c r="U343" s="528"/>
      <c r="V343" s="325"/>
      <c r="W343" s="530">
        <f t="shared" si="42"/>
        <v>0</v>
      </c>
      <c r="X343" s="530">
        <f t="shared" si="43"/>
        <v>0</v>
      </c>
      <c r="Y343" s="530">
        <f t="shared" si="44"/>
        <v>0</v>
      </c>
      <c r="Z343" s="530">
        <f t="shared" si="45"/>
        <v>0</v>
      </c>
      <c r="AA343" s="530">
        <f t="shared" si="46"/>
        <v>0</v>
      </c>
      <c r="AB343" s="530" t="e">
        <f t="shared" si="47"/>
        <v>#DIV/0!</v>
      </c>
      <c r="AC343" s="531" t="e">
        <f t="shared" si="48"/>
        <v>#DIV/0!</v>
      </c>
      <c r="AE343" s="301" t="str">
        <f>AF343&amp;TM[[#This Row],[Insurer Code]]&amp;"; "&amp;AG343&amp;TM[[#This Row],[Reporting Year]]&amp;"; "&amp;AH343&amp;TM[[#This Row],[Insurance Category Code]]&amp;"; "&amp;AI343&amp;TM[[#This Row],[Large Provider Entity Code]]</f>
        <v xml:space="preserve">Insurer Code ; Reporting Year ; Insurance Category Code ; Large Provider Entity Code </v>
      </c>
      <c r="AF343" s="297" t="s">
        <v>197</v>
      </c>
      <c r="AG343" s="297" t="s">
        <v>198</v>
      </c>
      <c r="AH343" s="297" t="s">
        <v>199</v>
      </c>
      <c r="AI343" s="297" t="s">
        <v>200</v>
      </c>
      <c r="AJ343" s="297"/>
      <c r="AK343" s="297"/>
      <c r="AL343" s="297"/>
      <c r="AM343" s="11"/>
      <c r="AN343" s="11"/>
      <c r="AO343" s="11"/>
    </row>
    <row r="344" spans="1:41" x14ac:dyDescent="0.4">
      <c r="A344" s="291"/>
      <c r="B344" s="292"/>
      <c r="C344" s="292"/>
      <c r="D344" s="292"/>
      <c r="E344" s="529"/>
      <c r="F344" s="527"/>
      <c r="G344" s="528"/>
      <c r="H344" s="528"/>
      <c r="I344" s="528"/>
      <c r="J344" s="528"/>
      <c r="K344" s="528"/>
      <c r="L344" s="528"/>
      <c r="M344" s="528"/>
      <c r="N344" s="528"/>
      <c r="O344" s="528"/>
      <c r="P344" s="528"/>
      <c r="Q344" s="528"/>
      <c r="R344" s="527"/>
      <c r="S344" s="528"/>
      <c r="T344" s="528"/>
      <c r="U344" s="528"/>
      <c r="V344" s="325"/>
      <c r="W344" s="530">
        <f t="shared" si="42"/>
        <v>0</v>
      </c>
      <c r="X344" s="530">
        <f t="shared" si="43"/>
        <v>0</v>
      </c>
      <c r="Y344" s="530">
        <f t="shared" si="44"/>
        <v>0</v>
      </c>
      <c r="Z344" s="530">
        <f t="shared" si="45"/>
        <v>0</v>
      </c>
      <c r="AA344" s="530">
        <f t="shared" si="46"/>
        <v>0</v>
      </c>
      <c r="AB344" s="530" t="e">
        <f t="shared" si="47"/>
        <v>#DIV/0!</v>
      </c>
      <c r="AC344" s="531" t="e">
        <f t="shared" si="48"/>
        <v>#DIV/0!</v>
      </c>
      <c r="AE344" s="301" t="str">
        <f>AF344&amp;TM[[#This Row],[Insurer Code]]&amp;"; "&amp;AG344&amp;TM[[#This Row],[Reporting Year]]&amp;"; "&amp;AH344&amp;TM[[#This Row],[Insurance Category Code]]&amp;"; "&amp;AI344&amp;TM[[#This Row],[Large Provider Entity Code]]</f>
        <v xml:space="preserve">Insurer Code ; Reporting Year ; Insurance Category Code ; Large Provider Entity Code </v>
      </c>
      <c r="AF344" s="297" t="s">
        <v>197</v>
      </c>
      <c r="AG344" s="297" t="s">
        <v>198</v>
      </c>
      <c r="AH344" s="297" t="s">
        <v>199</v>
      </c>
      <c r="AI344" s="297" t="s">
        <v>200</v>
      </c>
      <c r="AJ344" s="297"/>
      <c r="AK344" s="297"/>
      <c r="AL344" s="297"/>
      <c r="AM344" s="11"/>
      <c r="AN344" s="11"/>
      <c r="AO344" s="11"/>
    </row>
    <row r="345" spans="1:41" x14ac:dyDescent="0.4">
      <c r="A345" s="291"/>
      <c r="B345" s="292"/>
      <c r="C345" s="292"/>
      <c r="D345" s="292"/>
      <c r="E345" s="529"/>
      <c r="F345" s="527"/>
      <c r="G345" s="528"/>
      <c r="H345" s="528"/>
      <c r="I345" s="528"/>
      <c r="J345" s="528"/>
      <c r="K345" s="528"/>
      <c r="L345" s="528"/>
      <c r="M345" s="528"/>
      <c r="N345" s="528"/>
      <c r="O345" s="528"/>
      <c r="P345" s="528"/>
      <c r="Q345" s="528"/>
      <c r="R345" s="527"/>
      <c r="S345" s="528"/>
      <c r="T345" s="528"/>
      <c r="U345" s="528"/>
      <c r="V345" s="325"/>
      <c r="W345" s="530">
        <f t="shared" si="42"/>
        <v>0</v>
      </c>
      <c r="X345" s="530">
        <f t="shared" si="43"/>
        <v>0</v>
      </c>
      <c r="Y345" s="530">
        <f t="shared" si="44"/>
        <v>0</v>
      </c>
      <c r="Z345" s="530">
        <f t="shared" si="45"/>
        <v>0</v>
      </c>
      <c r="AA345" s="530">
        <f t="shared" si="46"/>
        <v>0</v>
      </c>
      <c r="AB345" s="530" t="e">
        <f t="shared" si="47"/>
        <v>#DIV/0!</v>
      </c>
      <c r="AC345" s="531" t="e">
        <f t="shared" si="48"/>
        <v>#DIV/0!</v>
      </c>
      <c r="AE345" s="301" t="str">
        <f>AF345&amp;TM[[#This Row],[Insurer Code]]&amp;"; "&amp;AG345&amp;TM[[#This Row],[Reporting Year]]&amp;"; "&amp;AH345&amp;TM[[#This Row],[Insurance Category Code]]&amp;"; "&amp;AI345&amp;TM[[#This Row],[Large Provider Entity Code]]</f>
        <v xml:space="preserve">Insurer Code ; Reporting Year ; Insurance Category Code ; Large Provider Entity Code </v>
      </c>
      <c r="AF345" s="297" t="s">
        <v>197</v>
      </c>
      <c r="AG345" s="297" t="s">
        <v>198</v>
      </c>
      <c r="AH345" s="297" t="s">
        <v>199</v>
      </c>
      <c r="AI345" s="297" t="s">
        <v>200</v>
      </c>
      <c r="AJ345" s="297"/>
      <c r="AK345" s="297"/>
      <c r="AL345" s="297"/>
      <c r="AM345" s="11"/>
      <c r="AN345" s="11"/>
      <c r="AO345" s="11"/>
    </row>
    <row r="346" spans="1:41" x14ac:dyDescent="0.4">
      <c r="A346" s="291"/>
      <c r="B346" s="292"/>
      <c r="C346" s="292"/>
      <c r="D346" s="292"/>
      <c r="E346" s="529"/>
      <c r="F346" s="527"/>
      <c r="G346" s="528"/>
      <c r="H346" s="528"/>
      <c r="I346" s="528"/>
      <c r="J346" s="528"/>
      <c r="K346" s="528"/>
      <c r="L346" s="528"/>
      <c r="M346" s="528"/>
      <c r="N346" s="528"/>
      <c r="O346" s="528"/>
      <c r="P346" s="528"/>
      <c r="Q346" s="528"/>
      <c r="R346" s="527"/>
      <c r="S346" s="528"/>
      <c r="T346" s="528"/>
      <c r="U346" s="528"/>
      <c r="V346" s="325"/>
      <c r="W346" s="530">
        <f t="shared" si="42"/>
        <v>0</v>
      </c>
      <c r="X346" s="530">
        <f t="shared" si="43"/>
        <v>0</v>
      </c>
      <c r="Y346" s="530">
        <f t="shared" si="44"/>
        <v>0</v>
      </c>
      <c r="Z346" s="530">
        <f t="shared" si="45"/>
        <v>0</v>
      </c>
      <c r="AA346" s="530">
        <f t="shared" si="46"/>
        <v>0</v>
      </c>
      <c r="AB346" s="530" t="e">
        <f t="shared" si="47"/>
        <v>#DIV/0!</v>
      </c>
      <c r="AC346" s="531" t="e">
        <f t="shared" si="48"/>
        <v>#DIV/0!</v>
      </c>
      <c r="AE346" s="301" t="str">
        <f>AF346&amp;TM[[#This Row],[Insurer Code]]&amp;"; "&amp;AG346&amp;TM[[#This Row],[Reporting Year]]&amp;"; "&amp;AH346&amp;TM[[#This Row],[Insurance Category Code]]&amp;"; "&amp;AI346&amp;TM[[#This Row],[Large Provider Entity Code]]</f>
        <v xml:space="preserve">Insurer Code ; Reporting Year ; Insurance Category Code ; Large Provider Entity Code </v>
      </c>
      <c r="AF346" s="297" t="s">
        <v>197</v>
      </c>
      <c r="AG346" s="297" t="s">
        <v>198</v>
      </c>
      <c r="AH346" s="297" t="s">
        <v>199</v>
      </c>
      <c r="AI346" s="297" t="s">
        <v>200</v>
      </c>
      <c r="AJ346" s="297"/>
      <c r="AK346" s="297"/>
      <c r="AL346" s="297"/>
      <c r="AM346" s="11"/>
      <c r="AN346" s="11"/>
      <c r="AO346" s="11"/>
    </row>
    <row r="347" spans="1:41" x14ac:dyDescent="0.4">
      <c r="A347" s="291"/>
      <c r="B347" s="292"/>
      <c r="C347" s="292"/>
      <c r="D347" s="292"/>
      <c r="E347" s="529"/>
      <c r="F347" s="527"/>
      <c r="G347" s="528"/>
      <c r="H347" s="528"/>
      <c r="I347" s="528"/>
      <c r="J347" s="528"/>
      <c r="K347" s="528"/>
      <c r="L347" s="528"/>
      <c r="M347" s="528"/>
      <c r="N347" s="528"/>
      <c r="O347" s="528"/>
      <c r="P347" s="528"/>
      <c r="Q347" s="528"/>
      <c r="R347" s="527"/>
      <c r="S347" s="528"/>
      <c r="T347" s="528"/>
      <c r="U347" s="528"/>
      <c r="V347" s="325"/>
      <c r="W347" s="530">
        <f t="shared" si="42"/>
        <v>0</v>
      </c>
      <c r="X347" s="530">
        <f t="shared" si="43"/>
        <v>0</v>
      </c>
      <c r="Y347" s="530">
        <f t="shared" si="44"/>
        <v>0</v>
      </c>
      <c r="Z347" s="530">
        <f t="shared" si="45"/>
        <v>0</v>
      </c>
      <c r="AA347" s="530">
        <f t="shared" si="46"/>
        <v>0</v>
      </c>
      <c r="AB347" s="530" t="e">
        <f t="shared" si="47"/>
        <v>#DIV/0!</v>
      </c>
      <c r="AC347" s="531" t="e">
        <f t="shared" si="48"/>
        <v>#DIV/0!</v>
      </c>
      <c r="AE347" s="301" t="str">
        <f>AF347&amp;TM[[#This Row],[Insurer Code]]&amp;"; "&amp;AG347&amp;TM[[#This Row],[Reporting Year]]&amp;"; "&amp;AH347&amp;TM[[#This Row],[Insurance Category Code]]&amp;"; "&amp;AI347&amp;TM[[#This Row],[Large Provider Entity Code]]</f>
        <v xml:space="preserve">Insurer Code ; Reporting Year ; Insurance Category Code ; Large Provider Entity Code </v>
      </c>
      <c r="AF347" s="297" t="s">
        <v>197</v>
      </c>
      <c r="AG347" s="297" t="s">
        <v>198</v>
      </c>
      <c r="AH347" s="297" t="s">
        <v>199</v>
      </c>
      <c r="AI347" s="297" t="s">
        <v>200</v>
      </c>
      <c r="AJ347" s="297"/>
      <c r="AK347" s="297"/>
      <c r="AL347" s="297"/>
      <c r="AM347" s="11"/>
      <c r="AN347" s="11"/>
      <c r="AO347" s="11"/>
    </row>
    <row r="348" spans="1:41" x14ac:dyDescent="0.4">
      <c r="A348" s="291"/>
      <c r="B348" s="292"/>
      <c r="C348" s="292"/>
      <c r="D348" s="292"/>
      <c r="E348" s="529"/>
      <c r="F348" s="527"/>
      <c r="G348" s="528"/>
      <c r="H348" s="528"/>
      <c r="I348" s="528"/>
      <c r="J348" s="528"/>
      <c r="K348" s="528"/>
      <c r="L348" s="528"/>
      <c r="M348" s="528"/>
      <c r="N348" s="528"/>
      <c r="O348" s="528"/>
      <c r="P348" s="528"/>
      <c r="Q348" s="528"/>
      <c r="R348" s="527"/>
      <c r="S348" s="528"/>
      <c r="T348" s="528"/>
      <c r="U348" s="528"/>
      <c r="V348" s="325"/>
      <c r="W348" s="530">
        <f t="shared" si="42"/>
        <v>0</v>
      </c>
      <c r="X348" s="530">
        <f t="shared" si="43"/>
        <v>0</v>
      </c>
      <c r="Y348" s="530">
        <f t="shared" si="44"/>
        <v>0</v>
      </c>
      <c r="Z348" s="530">
        <f t="shared" si="45"/>
        <v>0</v>
      </c>
      <c r="AA348" s="530">
        <f t="shared" si="46"/>
        <v>0</v>
      </c>
      <c r="AB348" s="530" t="e">
        <f t="shared" si="47"/>
        <v>#DIV/0!</v>
      </c>
      <c r="AC348" s="531" t="e">
        <f t="shared" si="48"/>
        <v>#DIV/0!</v>
      </c>
      <c r="AE348" s="301" t="str">
        <f>AF348&amp;TM[[#This Row],[Insurer Code]]&amp;"; "&amp;AG348&amp;TM[[#This Row],[Reporting Year]]&amp;"; "&amp;AH348&amp;TM[[#This Row],[Insurance Category Code]]&amp;"; "&amp;AI348&amp;TM[[#This Row],[Large Provider Entity Code]]</f>
        <v xml:space="preserve">Insurer Code ; Reporting Year ; Insurance Category Code ; Large Provider Entity Code </v>
      </c>
      <c r="AF348" s="297" t="s">
        <v>197</v>
      </c>
      <c r="AG348" s="297" t="s">
        <v>198</v>
      </c>
      <c r="AH348" s="297" t="s">
        <v>199</v>
      </c>
      <c r="AI348" s="297" t="s">
        <v>200</v>
      </c>
      <c r="AJ348" s="297"/>
      <c r="AK348" s="297"/>
      <c r="AL348" s="297"/>
      <c r="AM348" s="11"/>
      <c r="AN348" s="11"/>
      <c r="AO348" s="11"/>
    </row>
    <row r="349" spans="1:41" x14ac:dyDescent="0.4">
      <c r="A349" s="291"/>
      <c r="B349" s="292"/>
      <c r="C349" s="292"/>
      <c r="D349" s="292"/>
      <c r="E349" s="529"/>
      <c r="F349" s="527"/>
      <c r="G349" s="528"/>
      <c r="H349" s="528"/>
      <c r="I349" s="528"/>
      <c r="J349" s="528"/>
      <c r="K349" s="528"/>
      <c r="L349" s="528"/>
      <c r="M349" s="528"/>
      <c r="N349" s="528"/>
      <c r="O349" s="528"/>
      <c r="P349" s="528"/>
      <c r="Q349" s="528"/>
      <c r="R349" s="527"/>
      <c r="S349" s="528"/>
      <c r="T349" s="528"/>
      <c r="U349" s="528"/>
      <c r="V349" s="325"/>
      <c r="W349" s="530">
        <f t="shared" si="42"/>
        <v>0</v>
      </c>
      <c r="X349" s="530">
        <f t="shared" si="43"/>
        <v>0</v>
      </c>
      <c r="Y349" s="530">
        <f t="shared" si="44"/>
        <v>0</v>
      </c>
      <c r="Z349" s="530">
        <f t="shared" si="45"/>
        <v>0</v>
      </c>
      <c r="AA349" s="530">
        <f t="shared" si="46"/>
        <v>0</v>
      </c>
      <c r="AB349" s="530" t="e">
        <f t="shared" si="47"/>
        <v>#DIV/0!</v>
      </c>
      <c r="AC349" s="531" t="e">
        <f t="shared" si="48"/>
        <v>#DIV/0!</v>
      </c>
      <c r="AE349" s="301" t="str">
        <f>AF349&amp;TM[[#This Row],[Insurer Code]]&amp;"; "&amp;AG349&amp;TM[[#This Row],[Reporting Year]]&amp;"; "&amp;AH349&amp;TM[[#This Row],[Insurance Category Code]]&amp;"; "&amp;AI349&amp;TM[[#This Row],[Large Provider Entity Code]]</f>
        <v xml:space="preserve">Insurer Code ; Reporting Year ; Insurance Category Code ; Large Provider Entity Code </v>
      </c>
      <c r="AF349" s="297" t="s">
        <v>197</v>
      </c>
      <c r="AG349" s="297" t="s">
        <v>198</v>
      </c>
      <c r="AH349" s="297" t="s">
        <v>199</v>
      </c>
      <c r="AI349" s="297" t="s">
        <v>200</v>
      </c>
      <c r="AJ349" s="297"/>
      <c r="AK349" s="297"/>
      <c r="AL349" s="297"/>
      <c r="AM349" s="11"/>
      <c r="AN349" s="11"/>
      <c r="AO349" s="11"/>
    </row>
    <row r="350" spans="1:41" x14ac:dyDescent="0.4">
      <c r="A350" s="291"/>
      <c r="B350" s="292"/>
      <c r="C350" s="292"/>
      <c r="D350" s="292"/>
      <c r="E350" s="529"/>
      <c r="F350" s="527"/>
      <c r="G350" s="528"/>
      <c r="H350" s="528"/>
      <c r="I350" s="528"/>
      <c r="J350" s="528"/>
      <c r="K350" s="528"/>
      <c r="L350" s="528"/>
      <c r="M350" s="528"/>
      <c r="N350" s="528"/>
      <c r="O350" s="528"/>
      <c r="P350" s="528"/>
      <c r="Q350" s="528"/>
      <c r="R350" s="527"/>
      <c r="S350" s="528"/>
      <c r="T350" s="528"/>
      <c r="U350" s="528"/>
      <c r="V350" s="325"/>
      <c r="W350" s="530">
        <f t="shared" si="42"/>
        <v>0</v>
      </c>
      <c r="X350" s="530">
        <f t="shared" si="43"/>
        <v>0</v>
      </c>
      <c r="Y350" s="530">
        <f t="shared" si="44"/>
        <v>0</v>
      </c>
      <c r="Z350" s="530">
        <f t="shared" si="45"/>
        <v>0</v>
      </c>
      <c r="AA350" s="530">
        <f t="shared" si="46"/>
        <v>0</v>
      </c>
      <c r="AB350" s="530" t="e">
        <f t="shared" si="47"/>
        <v>#DIV/0!</v>
      </c>
      <c r="AC350" s="531" t="e">
        <f t="shared" si="48"/>
        <v>#DIV/0!</v>
      </c>
      <c r="AE350" s="301" t="str">
        <f>AF350&amp;TM[[#This Row],[Insurer Code]]&amp;"; "&amp;AG350&amp;TM[[#This Row],[Reporting Year]]&amp;"; "&amp;AH350&amp;TM[[#This Row],[Insurance Category Code]]&amp;"; "&amp;AI350&amp;TM[[#This Row],[Large Provider Entity Code]]</f>
        <v xml:space="preserve">Insurer Code ; Reporting Year ; Insurance Category Code ; Large Provider Entity Code </v>
      </c>
      <c r="AF350" s="297" t="s">
        <v>197</v>
      </c>
      <c r="AG350" s="297" t="s">
        <v>198</v>
      </c>
      <c r="AH350" s="297" t="s">
        <v>199</v>
      </c>
      <c r="AI350" s="297" t="s">
        <v>200</v>
      </c>
      <c r="AJ350" s="297"/>
      <c r="AK350" s="297"/>
      <c r="AL350" s="297"/>
      <c r="AM350" s="11"/>
      <c r="AN350" s="11"/>
      <c r="AO350" s="11"/>
    </row>
    <row r="351" spans="1:41" x14ac:dyDescent="0.4">
      <c r="A351" s="291"/>
      <c r="B351" s="292"/>
      <c r="C351" s="292"/>
      <c r="D351" s="292"/>
      <c r="E351" s="529"/>
      <c r="F351" s="527"/>
      <c r="G351" s="528"/>
      <c r="H351" s="528"/>
      <c r="I351" s="528"/>
      <c r="J351" s="528"/>
      <c r="K351" s="528"/>
      <c r="L351" s="528"/>
      <c r="M351" s="528"/>
      <c r="N351" s="528"/>
      <c r="O351" s="528"/>
      <c r="P351" s="528"/>
      <c r="Q351" s="528"/>
      <c r="R351" s="527"/>
      <c r="S351" s="528"/>
      <c r="T351" s="528"/>
      <c r="U351" s="528"/>
      <c r="V351" s="325"/>
      <c r="W351" s="530">
        <f t="shared" si="42"/>
        <v>0</v>
      </c>
      <c r="X351" s="530">
        <f t="shared" si="43"/>
        <v>0</v>
      </c>
      <c r="Y351" s="530">
        <f t="shared" si="44"/>
        <v>0</v>
      </c>
      <c r="Z351" s="530">
        <f t="shared" si="45"/>
        <v>0</v>
      </c>
      <c r="AA351" s="530">
        <f t="shared" si="46"/>
        <v>0</v>
      </c>
      <c r="AB351" s="530" t="e">
        <f t="shared" si="47"/>
        <v>#DIV/0!</v>
      </c>
      <c r="AC351" s="531" t="e">
        <f t="shared" si="48"/>
        <v>#DIV/0!</v>
      </c>
      <c r="AE351" s="301" t="str">
        <f>AF351&amp;TM[[#This Row],[Insurer Code]]&amp;"; "&amp;AG351&amp;TM[[#This Row],[Reporting Year]]&amp;"; "&amp;AH351&amp;TM[[#This Row],[Insurance Category Code]]&amp;"; "&amp;AI351&amp;TM[[#This Row],[Large Provider Entity Code]]</f>
        <v xml:space="preserve">Insurer Code ; Reporting Year ; Insurance Category Code ; Large Provider Entity Code </v>
      </c>
      <c r="AF351" s="297" t="s">
        <v>197</v>
      </c>
      <c r="AG351" s="297" t="s">
        <v>198</v>
      </c>
      <c r="AH351" s="297" t="s">
        <v>199</v>
      </c>
      <c r="AI351" s="297" t="s">
        <v>200</v>
      </c>
      <c r="AJ351" s="297"/>
      <c r="AK351" s="297"/>
      <c r="AL351" s="297"/>
      <c r="AM351" s="11"/>
      <c r="AN351" s="11"/>
      <c r="AO351" s="11"/>
    </row>
    <row r="352" spans="1:41" x14ac:dyDescent="0.4">
      <c r="A352" s="291"/>
      <c r="B352" s="292"/>
      <c r="C352" s="292"/>
      <c r="D352" s="292"/>
      <c r="E352" s="529"/>
      <c r="F352" s="527"/>
      <c r="G352" s="528"/>
      <c r="H352" s="528"/>
      <c r="I352" s="528"/>
      <c r="J352" s="528"/>
      <c r="K352" s="528"/>
      <c r="L352" s="528"/>
      <c r="M352" s="528"/>
      <c r="N352" s="528"/>
      <c r="O352" s="528"/>
      <c r="P352" s="528"/>
      <c r="Q352" s="528"/>
      <c r="R352" s="527"/>
      <c r="S352" s="528"/>
      <c r="T352" s="528"/>
      <c r="U352" s="528"/>
      <c r="V352" s="325"/>
      <c r="W352" s="530">
        <f t="shared" si="42"/>
        <v>0</v>
      </c>
      <c r="X352" s="530">
        <f t="shared" si="43"/>
        <v>0</v>
      </c>
      <c r="Y352" s="530">
        <f t="shared" si="44"/>
        <v>0</v>
      </c>
      <c r="Z352" s="530">
        <f t="shared" si="45"/>
        <v>0</v>
      </c>
      <c r="AA352" s="530">
        <f t="shared" si="46"/>
        <v>0</v>
      </c>
      <c r="AB352" s="530" t="e">
        <f t="shared" si="47"/>
        <v>#DIV/0!</v>
      </c>
      <c r="AC352" s="531" t="e">
        <f t="shared" si="48"/>
        <v>#DIV/0!</v>
      </c>
      <c r="AE352" s="301" t="str">
        <f>AF352&amp;TM[[#This Row],[Insurer Code]]&amp;"; "&amp;AG352&amp;TM[[#This Row],[Reporting Year]]&amp;"; "&amp;AH352&amp;TM[[#This Row],[Insurance Category Code]]&amp;"; "&amp;AI352&amp;TM[[#This Row],[Large Provider Entity Code]]</f>
        <v xml:space="preserve">Insurer Code ; Reporting Year ; Insurance Category Code ; Large Provider Entity Code </v>
      </c>
      <c r="AF352" s="297" t="s">
        <v>197</v>
      </c>
      <c r="AG352" s="297" t="s">
        <v>198</v>
      </c>
      <c r="AH352" s="297" t="s">
        <v>199</v>
      </c>
      <c r="AI352" s="297" t="s">
        <v>200</v>
      </c>
      <c r="AJ352" s="297"/>
      <c r="AK352" s="297"/>
      <c r="AL352" s="297"/>
      <c r="AM352" s="11"/>
      <c r="AN352" s="11"/>
      <c r="AO352" s="11"/>
    </row>
    <row r="353" spans="1:41" x14ac:dyDescent="0.4">
      <c r="A353" s="291"/>
      <c r="B353" s="292"/>
      <c r="C353" s="292"/>
      <c r="D353" s="292"/>
      <c r="E353" s="529"/>
      <c r="F353" s="527"/>
      <c r="G353" s="528"/>
      <c r="H353" s="528"/>
      <c r="I353" s="528"/>
      <c r="J353" s="528"/>
      <c r="K353" s="528"/>
      <c r="L353" s="528"/>
      <c r="M353" s="528"/>
      <c r="N353" s="528"/>
      <c r="O353" s="528"/>
      <c r="P353" s="528"/>
      <c r="Q353" s="528"/>
      <c r="R353" s="527"/>
      <c r="S353" s="528"/>
      <c r="T353" s="528"/>
      <c r="U353" s="528"/>
      <c r="V353" s="325"/>
      <c r="W353" s="530">
        <f t="shared" si="42"/>
        <v>0</v>
      </c>
      <c r="X353" s="530">
        <f t="shared" si="43"/>
        <v>0</v>
      </c>
      <c r="Y353" s="530">
        <f t="shared" si="44"/>
        <v>0</v>
      </c>
      <c r="Z353" s="530">
        <f t="shared" si="45"/>
        <v>0</v>
      </c>
      <c r="AA353" s="530">
        <f t="shared" si="46"/>
        <v>0</v>
      </c>
      <c r="AB353" s="530" t="e">
        <f t="shared" si="47"/>
        <v>#DIV/0!</v>
      </c>
      <c r="AC353" s="531" t="e">
        <f t="shared" si="48"/>
        <v>#DIV/0!</v>
      </c>
      <c r="AE353" s="301" t="str">
        <f>AF353&amp;TM[[#This Row],[Insurer Code]]&amp;"; "&amp;AG353&amp;TM[[#This Row],[Reporting Year]]&amp;"; "&amp;AH353&amp;TM[[#This Row],[Insurance Category Code]]&amp;"; "&amp;AI353&amp;TM[[#This Row],[Large Provider Entity Code]]</f>
        <v xml:space="preserve">Insurer Code ; Reporting Year ; Insurance Category Code ; Large Provider Entity Code </v>
      </c>
      <c r="AF353" s="297" t="s">
        <v>197</v>
      </c>
      <c r="AG353" s="297" t="s">
        <v>198</v>
      </c>
      <c r="AH353" s="297" t="s">
        <v>199</v>
      </c>
      <c r="AI353" s="297" t="s">
        <v>200</v>
      </c>
      <c r="AJ353" s="297"/>
      <c r="AK353" s="297"/>
      <c r="AL353" s="297"/>
      <c r="AM353" s="11"/>
      <c r="AN353" s="11"/>
      <c r="AO353" s="11"/>
    </row>
    <row r="354" spans="1:41" x14ac:dyDescent="0.4">
      <c r="A354" s="291"/>
      <c r="B354" s="292"/>
      <c r="C354" s="292"/>
      <c r="D354" s="292"/>
      <c r="E354" s="529"/>
      <c r="F354" s="527"/>
      <c r="G354" s="528"/>
      <c r="H354" s="528"/>
      <c r="I354" s="528"/>
      <c r="J354" s="528"/>
      <c r="K354" s="528"/>
      <c r="L354" s="528"/>
      <c r="M354" s="528"/>
      <c r="N354" s="528"/>
      <c r="O354" s="528"/>
      <c r="P354" s="528"/>
      <c r="Q354" s="528"/>
      <c r="R354" s="527"/>
      <c r="S354" s="528"/>
      <c r="T354" s="528"/>
      <c r="U354" s="528"/>
      <c r="V354" s="325"/>
      <c r="W354" s="530">
        <f t="shared" si="42"/>
        <v>0</v>
      </c>
      <c r="X354" s="530">
        <f t="shared" si="43"/>
        <v>0</v>
      </c>
      <c r="Y354" s="530">
        <f t="shared" si="44"/>
        <v>0</v>
      </c>
      <c r="Z354" s="530">
        <f t="shared" si="45"/>
        <v>0</v>
      </c>
      <c r="AA354" s="530">
        <f t="shared" si="46"/>
        <v>0</v>
      </c>
      <c r="AB354" s="530" t="e">
        <f t="shared" si="47"/>
        <v>#DIV/0!</v>
      </c>
      <c r="AC354" s="531" t="e">
        <f t="shared" si="48"/>
        <v>#DIV/0!</v>
      </c>
      <c r="AE354" s="301" t="str">
        <f>AF354&amp;TM[[#This Row],[Insurer Code]]&amp;"; "&amp;AG354&amp;TM[[#This Row],[Reporting Year]]&amp;"; "&amp;AH354&amp;TM[[#This Row],[Insurance Category Code]]&amp;"; "&amp;AI354&amp;TM[[#This Row],[Large Provider Entity Code]]</f>
        <v xml:space="preserve">Insurer Code ; Reporting Year ; Insurance Category Code ; Large Provider Entity Code </v>
      </c>
      <c r="AF354" s="297" t="s">
        <v>197</v>
      </c>
      <c r="AG354" s="297" t="s">
        <v>198</v>
      </c>
      <c r="AH354" s="297" t="s">
        <v>199</v>
      </c>
      <c r="AI354" s="297" t="s">
        <v>200</v>
      </c>
      <c r="AJ354" s="297"/>
      <c r="AK354" s="297"/>
      <c r="AL354" s="297"/>
      <c r="AM354" s="11"/>
      <c r="AN354" s="11"/>
      <c r="AO354" s="11"/>
    </row>
    <row r="355" spans="1:41" x14ac:dyDescent="0.4">
      <c r="A355" s="291"/>
      <c r="B355" s="292"/>
      <c r="C355" s="292"/>
      <c r="D355" s="292"/>
      <c r="E355" s="529"/>
      <c r="F355" s="527"/>
      <c r="G355" s="528"/>
      <c r="H355" s="528"/>
      <c r="I355" s="528"/>
      <c r="J355" s="528"/>
      <c r="K355" s="528"/>
      <c r="L355" s="528"/>
      <c r="M355" s="528"/>
      <c r="N355" s="528"/>
      <c r="O355" s="528"/>
      <c r="P355" s="528"/>
      <c r="Q355" s="528"/>
      <c r="R355" s="527"/>
      <c r="S355" s="528"/>
      <c r="T355" s="528"/>
      <c r="U355" s="528"/>
      <c r="V355" s="325"/>
      <c r="W355" s="530">
        <f t="shared" si="42"/>
        <v>0</v>
      </c>
      <c r="X355" s="530">
        <f t="shared" si="43"/>
        <v>0</v>
      </c>
      <c r="Y355" s="530">
        <f t="shared" si="44"/>
        <v>0</v>
      </c>
      <c r="Z355" s="530">
        <f t="shared" si="45"/>
        <v>0</v>
      </c>
      <c r="AA355" s="530">
        <f t="shared" si="46"/>
        <v>0</v>
      </c>
      <c r="AB355" s="530" t="e">
        <f t="shared" si="47"/>
        <v>#DIV/0!</v>
      </c>
      <c r="AC355" s="531" t="e">
        <f t="shared" si="48"/>
        <v>#DIV/0!</v>
      </c>
      <c r="AE355" s="301" t="str">
        <f>AF355&amp;TM[[#This Row],[Insurer Code]]&amp;"; "&amp;AG355&amp;TM[[#This Row],[Reporting Year]]&amp;"; "&amp;AH355&amp;TM[[#This Row],[Insurance Category Code]]&amp;"; "&amp;AI355&amp;TM[[#This Row],[Large Provider Entity Code]]</f>
        <v xml:space="preserve">Insurer Code ; Reporting Year ; Insurance Category Code ; Large Provider Entity Code </v>
      </c>
      <c r="AF355" s="297" t="s">
        <v>197</v>
      </c>
      <c r="AG355" s="297" t="s">
        <v>198</v>
      </c>
      <c r="AH355" s="297" t="s">
        <v>199</v>
      </c>
      <c r="AI355" s="297" t="s">
        <v>200</v>
      </c>
      <c r="AJ355" s="297"/>
      <c r="AK355" s="297"/>
      <c r="AL355" s="297"/>
      <c r="AM355" s="11"/>
      <c r="AN355" s="11"/>
      <c r="AO355" s="11"/>
    </row>
    <row r="356" spans="1:41" x14ac:dyDescent="0.4">
      <c r="A356" s="291"/>
      <c r="B356" s="292"/>
      <c r="C356" s="292"/>
      <c r="D356" s="292"/>
      <c r="E356" s="529"/>
      <c r="F356" s="527"/>
      <c r="G356" s="528"/>
      <c r="H356" s="528"/>
      <c r="I356" s="528"/>
      <c r="J356" s="528"/>
      <c r="K356" s="528"/>
      <c r="L356" s="528"/>
      <c r="M356" s="528"/>
      <c r="N356" s="528"/>
      <c r="O356" s="528"/>
      <c r="P356" s="528"/>
      <c r="Q356" s="528"/>
      <c r="R356" s="527"/>
      <c r="S356" s="528"/>
      <c r="T356" s="528"/>
      <c r="U356" s="528"/>
      <c r="V356" s="325"/>
      <c r="W356" s="530">
        <f t="shared" si="42"/>
        <v>0</v>
      </c>
      <c r="X356" s="530">
        <f t="shared" si="43"/>
        <v>0</v>
      </c>
      <c r="Y356" s="530">
        <f t="shared" si="44"/>
        <v>0</v>
      </c>
      <c r="Z356" s="530">
        <f t="shared" si="45"/>
        <v>0</v>
      </c>
      <c r="AA356" s="530">
        <f t="shared" si="46"/>
        <v>0</v>
      </c>
      <c r="AB356" s="530" t="e">
        <f t="shared" si="47"/>
        <v>#DIV/0!</v>
      </c>
      <c r="AC356" s="531" t="e">
        <f t="shared" si="48"/>
        <v>#DIV/0!</v>
      </c>
      <c r="AE356" s="301" t="str">
        <f>AF356&amp;TM[[#This Row],[Insurer Code]]&amp;"; "&amp;AG356&amp;TM[[#This Row],[Reporting Year]]&amp;"; "&amp;AH356&amp;TM[[#This Row],[Insurance Category Code]]&amp;"; "&amp;AI356&amp;TM[[#This Row],[Large Provider Entity Code]]</f>
        <v xml:space="preserve">Insurer Code ; Reporting Year ; Insurance Category Code ; Large Provider Entity Code </v>
      </c>
      <c r="AF356" s="297" t="s">
        <v>197</v>
      </c>
      <c r="AG356" s="297" t="s">
        <v>198</v>
      </c>
      <c r="AH356" s="297" t="s">
        <v>199</v>
      </c>
      <c r="AI356" s="297" t="s">
        <v>200</v>
      </c>
      <c r="AJ356" s="297"/>
      <c r="AK356" s="297"/>
      <c r="AL356" s="297"/>
      <c r="AM356" s="11"/>
      <c r="AN356" s="11"/>
      <c r="AO356" s="11"/>
    </row>
    <row r="357" spans="1:41" x14ac:dyDescent="0.4">
      <c r="A357" s="291"/>
      <c r="B357" s="292"/>
      <c r="C357" s="292"/>
      <c r="D357" s="292"/>
      <c r="E357" s="529"/>
      <c r="F357" s="527"/>
      <c r="G357" s="528"/>
      <c r="H357" s="528"/>
      <c r="I357" s="528"/>
      <c r="J357" s="528"/>
      <c r="K357" s="528"/>
      <c r="L357" s="528"/>
      <c r="M357" s="528"/>
      <c r="N357" s="528"/>
      <c r="O357" s="528"/>
      <c r="P357" s="528"/>
      <c r="Q357" s="528"/>
      <c r="R357" s="527"/>
      <c r="S357" s="528"/>
      <c r="T357" s="528"/>
      <c r="U357" s="528"/>
      <c r="V357" s="325"/>
      <c r="W357" s="530">
        <f t="shared" si="42"/>
        <v>0</v>
      </c>
      <c r="X357" s="530">
        <f t="shared" si="43"/>
        <v>0</v>
      </c>
      <c r="Y357" s="530">
        <f t="shared" si="44"/>
        <v>0</v>
      </c>
      <c r="Z357" s="530">
        <f t="shared" si="45"/>
        <v>0</v>
      </c>
      <c r="AA357" s="530">
        <f t="shared" si="46"/>
        <v>0</v>
      </c>
      <c r="AB357" s="530" t="e">
        <f t="shared" si="47"/>
        <v>#DIV/0!</v>
      </c>
      <c r="AC357" s="531" t="e">
        <f t="shared" si="48"/>
        <v>#DIV/0!</v>
      </c>
      <c r="AE357" s="301" t="str">
        <f>AF357&amp;TM[[#This Row],[Insurer Code]]&amp;"; "&amp;AG357&amp;TM[[#This Row],[Reporting Year]]&amp;"; "&amp;AH357&amp;TM[[#This Row],[Insurance Category Code]]&amp;"; "&amp;AI357&amp;TM[[#This Row],[Large Provider Entity Code]]</f>
        <v xml:space="preserve">Insurer Code ; Reporting Year ; Insurance Category Code ; Large Provider Entity Code </v>
      </c>
      <c r="AF357" s="297" t="s">
        <v>197</v>
      </c>
      <c r="AG357" s="297" t="s">
        <v>198</v>
      </c>
      <c r="AH357" s="297" t="s">
        <v>199</v>
      </c>
      <c r="AI357" s="297" t="s">
        <v>200</v>
      </c>
      <c r="AJ357" s="297"/>
      <c r="AK357" s="297"/>
      <c r="AL357" s="297"/>
      <c r="AM357" s="11"/>
      <c r="AN357" s="11"/>
      <c r="AO357" s="11"/>
    </row>
    <row r="358" spans="1:41" x14ac:dyDescent="0.4">
      <c r="A358" s="291"/>
      <c r="B358" s="292"/>
      <c r="C358" s="292"/>
      <c r="D358" s="292"/>
      <c r="E358" s="529"/>
      <c r="F358" s="527"/>
      <c r="G358" s="528"/>
      <c r="H358" s="528"/>
      <c r="I358" s="528"/>
      <c r="J358" s="528"/>
      <c r="K358" s="528"/>
      <c r="L358" s="528"/>
      <c r="M358" s="528"/>
      <c r="N358" s="528"/>
      <c r="O358" s="528"/>
      <c r="P358" s="528"/>
      <c r="Q358" s="528"/>
      <c r="R358" s="527"/>
      <c r="S358" s="528"/>
      <c r="T358" s="528"/>
      <c r="U358" s="528"/>
      <c r="V358" s="325"/>
      <c r="W358" s="530">
        <f t="shared" si="42"/>
        <v>0</v>
      </c>
      <c r="X358" s="530">
        <f t="shared" si="43"/>
        <v>0</v>
      </c>
      <c r="Y358" s="530">
        <f t="shared" si="44"/>
        <v>0</v>
      </c>
      <c r="Z358" s="530">
        <f t="shared" si="45"/>
        <v>0</v>
      </c>
      <c r="AA358" s="530">
        <f t="shared" si="46"/>
        <v>0</v>
      </c>
      <c r="AB358" s="530" t="e">
        <f t="shared" si="47"/>
        <v>#DIV/0!</v>
      </c>
      <c r="AC358" s="531" t="e">
        <f t="shared" si="48"/>
        <v>#DIV/0!</v>
      </c>
      <c r="AE358" s="301" t="str">
        <f>AF358&amp;TM[[#This Row],[Insurer Code]]&amp;"; "&amp;AG358&amp;TM[[#This Row],[Reporting Year]]&amp;"; "&amp;AH358&amp;TM[[#This Row],[Insurance Category Code]]&amp;"; "&amp;AI358&amp;TM[[#This Row],[Large Provider Entity Code]]</f>
        <v xml:space="preserve">Insurer Code ; Reporting Year ; Insurance Category Code ; Large Provider Entity Code </v>
      </c>
      <c r="AF358" s="297" t="s">
        <v>197</v>
      </c>
      <c r="AG358" s="297" t="s">
        <v>198</v>
      </c>
      <c r="AH358" s="297" t="s">
        <v>199</v>
      </c>
      <c r="AI358" s="297" t="s">
        <v>200</v>
      </c>
      <c r="AJ358" s="297"/>
      <c r="AK358" s="297"/>
      <c r="AL358" s="297"/>
      <c r="AM358" s="11"/>
      <c r="AN358" s="11"/>
      <c r="AO358" s="11"/>
    </row>
    <row r="359" spans="1:41" x14ac:dyDescent="0.4">
      <c r="A359" s="291"/>
      <c r="B359" s="292"/>
      <c r="C359" s="292"/>
      <c r="D359" s="292"/>
      <c r="E359" s="529"/>
      <c r="F359" s="527"/>
      <c r="G359" s="528"/>
      <c r="H359" s="528"/>
      <c r="I359" s="528"/>
      <c r="J359" s="528"/>
      <c r="K359" s="528"/>
      <c r="L359" s="528"/>
      <c r="M359" s="528"/>
      <c r="N359" s="528"/>
      <c r="O359" s="528"/>
      <c r="P359" s="528"/>
      <c r="Q359" s="528"/>
      <c r="R359" s="527"/>
      <c r="S359" s="528"/>
      <c r="T359" s="528"/>
      <c r="U359" s="528"/>
      <c r="V359" s="325"/>
      <c r="W359" s="530">
        <f t="shared" si="42"/>
        <v>0</v>
      </c>
      <c r="X359" s="530">
        <f t="shared" si="43"/>
        <v>0</v>
      </c>
      <c r="Y359" s="530">
        <f t="shared" si="44"/>
        <v>0</v>
      </c>
      <c r="Z359" s="530">
        <f t="shared" si="45"/>
        <v>0</v>
      </c>
      <c r="AA359" s="530">
        <f t="shared" si="46"/>
        <v>0</v>
      </c>
      <c r="AB359" s="530" t="e">
        <f t="shared" si="47"/>
        <v>#DIV/0!</v>
      </c>
      <c r="AC359" s="531" t="e">
        <f t="shared" si="48"/>
        <v>#DIV/0!</v>
      </c>
      <c r="AE359" s="301" t="str">
        <f>AF359&amp;TM[[#This Row],[Insurer Code]]&amp;"; "&amp;AG359&amp;TM[[#This Row],[Reporting Year]]&amp;"; "&amp;AH359&amp;TM[[#This Row],[Insurance Category Code]]&amp;"; "&amp;AI359&amp;TM[[#This Row],[Large Provider Entity Code]]</f>
        <v xml:space="preserve">Insurer Code ; Reporting Year ; Insurance Category Code ; Large Provider Entity Code </v>
      </c>
      <c r="AF359" s="297" t="s">
        <v>197</v>
      </c>
      <c r="AG359" s="297" t="s">
        <v>198</v>
      </c>
      <c r="AH359" s="297" t="s">
        <v>199</v>
      </c>
      <c r="AI359" s="297" t="s">
        <v>200</v>
      </c>
      <c r="AJ359" s="297"/>
      <c r="AK359" s="297"/>
      <c r="AL359" s="297"/>
      <c r="AM359" s="11"/>
      <c r="AN359" s="11"/>
      <c r="AO359" s="11"/>
    </row>
    <row r="360" spans="1:41" x14ac:dyDescent="0.4">
      <c r="A360" s="291"/>
      <c r="B360" s="292"/>
      <c r="C360" s="292"/>
      <c r="D360" s="292"/>
      <c r="E360" s="529"/>
      <c r="F360" s="527"/>
      <c r="G360" s="528"/>
      <c r="H360" s="528"/>
      <c r="I360" s="528"/>
      <c r="J360" s="528"/>
      <c r="K360" s="528"/>
      <c r="L360" s="528"/>
      <c r="M360" s="528"/>
      <c r="N360" s="528"/>
      <c r="O360" s="528"/>
      <c r="P360" s="528"/>
      <c r="Q360" s="528"/>
      <c r="R360" s="527"/>
      <c r="S360" s="528"/>
      <c r="T360" s="528"/>
      <c r="U360" s="528"/>
      <c r="V360" s="325"/>
      <c r="W360" s="530">
        <f t="shared" si="42"/>
        <v>0</v>
      </c>
      <c r="X360" s="530">
        <f t="shared" si="43"/>
        <v>0</v>
      </c>
      <c r="Y360" s="530">
        <f t="shared" si="44"/>
        <v>0</v>
      </c>
      <c r="Z360" s="530">
        <f t="shared" si="45"/>
        <v>0</v>
      </c>
      <c r="AA360" s="530">
        <f t="shared" si="46"/>
        <v>0</v>
      </c>
      <c r="AB360" s="530" t="e">
        <f t="shared" si="47"/>
        <v>#DIV/0!</v>
      </c>
      <c r="AC360" s="531" t="e">
        <f t="shared" si="48"/>
        <v>#DIV/0!</v>
      </c>
      <c r="AE360" s="301" t="str">
        <f>AF360&amp;TM[[#This Row],[Insurer Code]]&amp;"; "&amp;AG360&amp;TM[[#This Row],[Reporting Year]]&amp;"; "&amp;AH360&amp;TM[[#This Row],[Insurance Category Code]]&amp;"; "&amp;AI360&amp;TM[[#This Row],[Large Provider Entity Code]]</f>
        <v xml:space="preserve">Insurer Code ; Reporting Year ; Insurance Category Code ; Large Provider Entity Code </v>
      </c>
      <c r="AF360" s="297" t="s">
        <v>197</v>
      </c>
      <c r="AG360" s="297" t="s">
        <v>198</v>
      </c>
      <c r="AH360" s="297" t="s">
        <v>199</v>
      </c>
      <c r="AI360" s="297" t="s">
        <v>200</v>
      </c>
      <c r="AJ360" s="297"/>
      <c r="AK360" s="297"/>
      <c r="AL360" s="297"/>
      <c r="AM360" s="11"/>
      <c r="AN360" s="11"/>
      <c r="AO360" s="11"/>
    </row>
    <row r="361" spans="1:41" x14ac:dyDescent="0.4">
      <c r="A361" s="291"/>
      <c r="B361" s="292"/>
      <c r="C361" s="292"/>
      <c r="D361" s="292"/>
      <c r="E361" s="529"/>
      <c r="F361" s="527"/>
      <c r="G361" s="528"/>
      <c r="H361" s="528"/>
      <c r="I361" s="528"/>
      <c r="J361" s="528"/>
      <c r="K361" s="528"/>
      <c r="L361" s="528"/>
      <c r="M361" s="528"/>
      <c r="N361" s="528"/>
      <c r="O361" s="528"/>
      <c r="P361" s="528"/>
      <c r="Q361" s="528"/>
      <c r="R361" s="527"/>
      <c r="S361" s="528"/>
      <c r="T361" s="528"/>
      <c r="U361" s="528"/>
      <c r="V361" s="325"/>
      <c r="W361" s="530">
        <f t="shared" si="42"/>
        <v>0</v>
      </c>
      <c r="X361" s="530">
        <f t="shared" si="43"/>
        <v>0</v>
      </c>
      <c r="Y361" s="530">
        <f t="shared" si="44"/>
        <v>0</v>
      </c>
      <c r="Z361" s="530">
        <f t="shared" si="45"/>
        <v>0</v>
      </c>
      <c r="AA361" s="530">
        <f t="shared" si="46"/>
        <v>0</v>
      </c>
      <c r="AB361" s="530" t="e">
        <f t="shared" si="47"/>
        <v>#DIV/0!</v>
      </c>
      <c r="AC361" s="531" t="e">
        <f t="shared" si="48"/>
        <v>#DIV/0!</v>
      </c>
      <c r="AE361" s="301" t="str">
        <f>AF361&amp;TM[[#This Row],[Insurer Code]]&amp;"; "&amp;AG361&amp;TM[[#This Row],[Reporting Year]]&amp;"; "&amp;AH361&amp;TM[[#This Row],[Insurance Category Code]]&amp;"; "&amp;AI361&amp;TM[[#This Row],[Large Provider Entity Code]]</f>
        <v xml:space="preserve">Insurer Code ; Reporting Year ; Insurance Category Code ; Large Provider Entity Code </v>
      </c>
      <c r="AF361" s="297" t="s">
        <v>197</v>
      </c>
      <c r="AG361" s="297" t="s">
        <v>198</v>
      </c>
      <c r="AH361" s="297" t="s">
        <v>199</v>
      </c>
      <c r="AI361" s="297" t="s">
        <v>200</v>
      </c>
      <c r="AJ361" s="297"/>
      <c r="AK361" s="297"/>
      <c r="AL361" s="297"/>
      <c r="AM361" s="11"/>
      <c r="AN361" s="11"/>
      <c r="AO361" s="11"/>
    </row>
    <row r="362" spans="1:41" x14ac:dyDescent="0.4">
      <c r="A362" s="291"/>
      <c r="B362" s="292"/>
      <c r="C362" s="292"/>
      <c r="D362" s="292"/>
      <c r="E362" s="529"/>
      <c r="F362" s="527"/>
      <c r="G362" s="528"/>
      <c r="H362" s="528"/>
      <c r="I362" s="528"/>
      <c r="J362" s="528"/>
      <c r="K362" s="528"/>
      <c r="L362" s="528"/>
      <c r="M362" s="528"/>
      <c r="N362" s="528"/>
      <c r="O362" s="528"/>
      <c r="P362" s="528"/>
      <c r="Q362" s="528"/>
      <c r="R362" s="527"/>
      <c r="S362" s="528"/>
      <c r="T362" s="528"/>
      <c r="U362" s="528"/>
      <c r="V362" s="325"/>
      <c r="W362" s="530">
        <f t="shared" si="42"/>
        <v>0</v>
      </c>
      <c r="X362" s="530">
        <f t="shared" si="43"/>
        <v>0</v>
      </c>
      <c r="Y362" s="530">
        <f t="shared" si="44"/>
        <v>0</v>
      </c>
      <c r="Z362" s="530">
        <f t="shared" si="45"/>
        <v>0</v>
      </c>
      <c r="AA362" s="530">
        <f t="shared" si="46"/>
        <v>0</v>
      </c>
      <c r="AB362" s="530" t="e">
        <f t="shared" si="47"/>
        <v>#DIV/0!</v>
      </c>
      <c r="AC362" s="531" t="e">
        <f t="shared" si="48"/>
        <v>#DIV/0!</v>
      </c>
      <c r="AE362" s="301" t="str">
        <f>AF362&amp;TM[[#This Row],[Insurer Code]]&amp;"; "&amp;AG362&amp;TM[[#This Row],[Reporting Year]]&amp;"; "&amp;AH362&amp;TM[[#This Row],[Insurance Category Code]]&amp;"; "&amp;AI362&amp;TM[[#This Row],[Large Provider Entity Code]]</f>
        <v xml:space="preserve">Insurer Code ; Reporting Year ; Insurance Category Code ; Large Provider Entity Code </v>
      </c>
      <c r="AF362" s="297" t="s">
        <v>197</v>
      </c>
      <c r="AG362" s="297" t="s">
        <v>198</v>
      </c>
      <c r="AH362" s="297" t="s">
        <v>199</v>
      </c>
      <c r="AI362" s="297" t="s">
        <v>200</v>
      </c>
      <c r="AJ362" s="297"/>
      <c r="AK362" s="297"/>
      <c r="AL362" s="297"/>
      <c r="AM362" s="11"/>
      <c r="AN362" s="11"/>
      <c r="AO362" s="11"/>
    </row>
    <row r="363" spans="1:41" x14ac:dyDescent="0.4">
      <c r="A363" s="291"/>
      <c r="B363" s="292"/>
      <c r="C363" s="292"/>
      <c r="D363" s="292"/>
      <c r="E363" s="529"/>
      <c r="F363" s="527"/>
      <c r="G363" s="528"/>
      <c r="H363" s="528"/>
      <c r="I363" s="528"/>
      <c r="J363" s="528"/>
      <c r="K363" s="528"/>
      <c r="L363" s="528"/>
      <c r="M363" s="528"/>
      <c r="N363" s="528"/>
      <c r="O363" s="528"/>
      <c r="P363" s="528"/>
      <c r="Q363" s="528"/>
      <c r="R363" s="527"/>
      <c r="S363" s="528"/>
      <c r="T363" s="528"/>
      <c r="U363" s="528"/>
      <c r="V363" s="325"/>
      <c r="W363" s="530">
        <f t="shared" si="42"/>
        <v>0</v>
      </c>
      <c r="X363" s="530">
        <f t="shared" si="43"/>
        <v>0</v>
      </c>
      <c r="Y363" s="530">
        <f t="shared" si="44"/>
        <v>0</v>
      </c>
      <c r="Z363" s="530">
        <f t="shared" si="45"/>
        <v>0</v>
      </c>
      <c r="AA363" s="530">
        <f t="shared" si="46"/>
        <v>0</v>
      </c>
      <c r="AB363" s="530" t="e">
        <f t="shared" si="47"/>
        <v>#DIV/0!</v>
      </c>
      <c r="AC363" s="531" t="e">
        <f t="shared" si="48"/>
        <v>#DIV/0!</v>
      </c>
      <c r="AE363" s="301" t="str">
        <f>AF363&amp;TM[[#This Row],[Insurer Code]]&amp;"; "&amp;AG363&amp;TM[[#This Row],[Reporting Year]]&amp;"; "&amp;AH363&amp;TM[[#This Row],[Insurance Category Code]]&amp;"; "&amp;AI363&amp;TM[[#This Row],[Large Provider Entity Code]]</f>
        <v xml:space="preserve">Insurer Code ; Reporting Year ; Insurance Category Code ; Large Provider Entity Code </v>
      </c>
      <c r="AF363" s="297" t="s">
        <v>197</v>
      </c>
      <c r="AG363" s="297" t="s">
        <v>198</v>
      </c>
      <c r="AH363" s="297" t="s">
        <v>199</v>
      </c>
      <c r="AI363" s="297" t="s">
        <v>200</v>
      </c>
      <c r="AJ363" s="297"/>
      <c r="AK363" s="297"/>
      <c r="AL363" s="297"/>
      <c r="AM363" s="11"/>
      <c r="AN363" s="11"/>
      <c r="AO363" s="11"/>
    </row>
    <row r="364" spans="1:41" x14ac:dyDescent="0.4">
      <c r="A364" s="291"/>
      <c r="B364" s="292"/>
      <c r="C364" s="292"/>
      <c r="D364" s="292"/>
      <c r="E364" s="529"/>
      <c r="F364" s="527"/>
      <c r="G364" s="528"/>
      <c r="H364" s="528"/>
      <c r="I364" s="528"/>
      <c r="J364" s="528"/>
      <c r="K364" s="528"/>
      <c r="L364" s="528"/>
      <c r="M364" s="528"/>
      <c r="N364" s="528"/>
      <c r="O364" s="528"/>
      <c r="P364" s="528"/>
      <c r="Q364" s="528"/>
      <c r="R364" s="527"/>
      <c r="S364" s="528"/>
      <c r="T364" s="528"/>
      <c r="U364" s="528"/>
      <c r="V364" s="325"/>
      <c r="W364" s="530">
        <f t="shared" si="42"/>
        <v>0</v>
      </c>
      <c r="X364" s="530">
        <f t="shared" si="43"/>
        <v>0</v>
      </c>
      <c r="Y364" s="530">
        <f t="shared" si="44"/>
        <v>0</v>
      </c>
      <c r="Z364" s="530">
        <f t="shared" si="45"/>
        <v>0</v>
      </c>
      <c r="AA364" s="530">
        <f t="shared" si="46"/>
        <v>0</v>
      </c>
      <c r="AB364" s="530" t="e">
        <f t="shared" si="47"/>
        <v>#DIV/0!</v>
      </c>
      <c r="AC364" s="531" t="e">
        <f t="shared" si="48"/>
        <v>#DIV/0!</v>
      </c>
      <c r="AE364" s="301" t="str">
        <f>AF364&amp;TM[[#This Row],[Insurer Code]]&amp;"; "&amp;AG364&amp;TM[[#This Row],[Reporting Year]]&amp;"; "&amp;AH364&amp;TM[[#This Row],[Insurance Category Code]]&amp;"; "&amp;AI364&amp;TM[[#This Row],[Large Provider Entity Code]]</f>
        <v xml:space="preserve">Insurer Code ; Reporting Year ; Insurance Category Code ; Large Provider Entity Code </v>
      </c>
      <c r="AF364" s="297" t="s">
        <v>197</v>
      </c>
      <c r="AG364" s="297" t="s">
        <v>198</v>
      </c>
      <c r="AH364" s="297" t="s">
        <v>199</v>
      </c>
      <c r="AI364" s="297" t="s">
        <v>200</v>
      </c>
      <c r="AJ364" s="297"/>
      <c r="AK364" s="297"/>
      <c r="AL364" s="297"/>
      <c r="AM364" s="11"/>
      <c r="AN364" s="11"/>
      <c r="AO364" s="11"/>
    </row>
    <row r="365" spans="1:41" x14ac:dyDescent="0.4">
      <c r="A365" s="291"/>
      <c r="B365" s="292"/>
      <c r="C365" s="292"/>
      <c r="D365" s="292"/>
      <c r="E365" s="529"/>
      <c r="F365" s="527"/>
      <c r="G365" s="528"/>
      <c r="H365" s="528"/>
      <c r="I365" s="528"/>
      <c r="J365" s="528"/>
      <c r="K365" s="528"/>
      <c r="L365" s="528"/>
      <c r="M365" s="528"/>
      <c r="N365" s="528"/>
      <c r="O365" s="528"/>
      <c r="P365" s="528"/>
      <c r="Q365" s="528"/>
      <c r="R365" s="527"/>
      <c r="S365" s="528"/>
      <c r="T365" s="528"/>
      <c r="U365" s="528"/>
      <c r="V365" s="325"/>
      <c r="W365" s="530">
        <f t="shared" si="42"/>
        <v>0</v>
      </c>
      <c r="X365" s="530">
        <f t="shared" si="43"/>
        <v>0</v>
      </c>
      <c r="Y365" s="530">
        <f t="shared" si="44"/>
        <v>0</v>
      </c>
      <c r="Z365" s="530">
        <f t="shared" si="45"/>
        <v>0</v>
      </c>
      <c r="AA365" s="530">
        <f t="shared" si="46"/>
        <v>0</v>
      </c>
      <c r="AB365" s="530" t="e">
        <f t="shared" si="47"/>
        <v>#DIV/0!</v>
      </c>
      <c r="AC365" s="531" t="e">
        <f t="shared" si="48"/>
        <v>#DIV/0!</v>
      </c>
      <c r="AE365" s="301" t="str">
        <f>AF365&amp;TM[[#This Row],[Insurer Code]]&amp;"; "&amp;AG365&amp;TM[[#This Row],[Reporting Year]]&amp;"; "&amp;AH365&amp;TM[[#This Row],[Insurance Category Code]]&amp;"; "&amp;AI365&amp;TM[[#This Row],[Large Provider Entity Code]]</f>
        <v xml:space="preserve">Insurer Code ; Reporting Year ; Insurance Category Code ; Large Provider Entity Code </v>
      </c>
      <c r="AF365" s="297" t="s">
        <v>197</v>
      </c>
      <c r="AG365" s="297" t="s">
        <v>198</v>
      </c>
      <c r="AH365" s="297" t="s">
        <v>199</v>
      </c>
      <c r="AI365" s="297" t="s">
        <v>200</v>
      </c>
      <c r="AJ365" s="297"/>
      <c r="AK365" s="297"/>
      <c r="AL365" s="297"/>
      <c r="AM365" s="11"/>
      <c r="AN365" s="11"/>
      <c r="AO365" s="11"/>
    </row>
    <row r="366" spans="1:41" x14ac:dyDescent="0.4">
      <c r="A366" s="291"/>
      <c r="B366" s="292"/>
      <c r="C366" s="292"/>
      <c r="D366" s="292"/>
      <c r="E366" s="529"/>
      <c r="F366" s="527"/>
      <c r="G366" s="528"/>
      <c r="H366" s="528"/>
      <c r="I366" s="528"/>
      <c r="J366" s="528"/>
      <c r="K366" s="528"/>
      <c r="L366" s="528"/>
      <c r="M366" s="528"/>
      <c r="N366" s="528"/>
      <c r="O366" s="528"/>
      <c r="P366" s="528"/>
      <c r="Q366" s="528"/>
      <c r="R366" s="527"/>
      <c r="S366" s="528"/>
      <c r="T366" s="528"/>
      <c r="U366" s="528"/>
      <c r="V366" s="325"/>
      <c r="W366" s="530">
        <f t="shared" si="42"/>
        <v>0</v>
      </c>
      <c r="X366" s="530">
        <f t="shared" si="43"/>
        <v>0</v>
      </c>
      <c r="Y366" s="530">
        <f t="shared" si="44"/>
        <v>0</v>
      </c>
      <c r="Z366" s="530">
        <f t="shared" si="45"/>
        <v>0</v>
      </c>
      <c r="AA366" s="530">
        <f t="shared" si="46"/>
        <v>0</v>
      </c>
      <c r="AB366" s="530" t="e">
        <f t="shared" si="47"/>
        <v>#DIV/0!</v>
      </c>
      <c r="AC366" s="531" t="e">
        <f t="shared" si="48"/>
        <v>#DIV/0!</v>
      </c>
      <c r="AE366" s="301" t="str">
        <f>AF366&amp;TM[[#This Row],[Insurer Code]]&amp;"; "&amp;AG366&amp;TM[[#This Row],[Reporting Year]]&amp;"; "&amp;AH366&amp;TM[[#This Row],[Insurance Category Code]]&amp;"; "&amp;AI366&amp;TM[[#This Row],[Large Provider Entity Code]]</f>
        <v xml:space="preserve">Insurer Code ; Reporting Year ; Insurance Category Code ; Large Provider Entity Code </v>
      </c>
      <c r="AF366" s="297" t="s">
        <v>197</v>
      </c>
      <c r="AG366" s="297" t="s">
        <v>198</v>
      </c>
      <c r="AH366" s="297" t="s">
        <v>199</v>
      </c>
      <c r="AI366" s="297" t="s">
        <v>200</v>
      </c>
      <c r="AJ366" s="297"/>
      <c r="AK366" s="297"/>
      <c r="AL366" s="297"/>
      <c r="AM366" s="11"/>
      <c r="AN366" s="11"/>
      <c r="AO366" s="11"/>
    </row>
    <row r="367" spans="1:41" x14ac:dyDescent="0.4">
      <c r="A367" s="291"/>
      <c r="B367" s="292"/>
      <c r="C367" s="292"/>
      <c r="D367" s="292"/>
      <c r="E367" s="529"/>
      <c r="F367" s="527"/>
      <c r="G367" s="528"/>
      <c r="H367" s="528"/>
      <c r="I367" s="528"/>
      <c r="J367" s="528"/>
      <c r="K367" s="528"/>
      <c r="L367" s="528"/>
      <c r="M367" s="528"/>
      <c r="N367" s="528"/>
      <c r="O367" s="528"/>
      <c r="P367" s="528"/>
      <c r="Q367" s="528"/>
      <c r="R367" s="527"/>
      <c r="S367" s="528"/>
      <c r="T367" s="528"/>
      <c r="U367" s="528"/>
      <c r="V367" s="325"/>
      <c r="W367" s="530">
        <f t="shared" si="42"/>
        <v>0</v>
      </c>
      <c r="X367" s="530">
        <f t="shared" si="43"/>
        <v>0</v>
      </c>
      <c r="Y367" s="530">
        <f t="shared" si="44"/>
        <v>0</v>
      </c>
      <c r="Z367" s="530">
        <f t="shared" si="45"/>
        <v>0</v>
      </c>
      <c r="AA367" s="530">
        <f t="shared" si="46"/>
        <v>0</v>
      </c>
      <c r="AB367" s="530" t="e">
        <f t="shared" si="47"/>
        <v>#DIV/0!</v>
      </c>
      <c r="AC367" s="531" t="e">
        <f t="shared" si="48"/>
        <v>#DIV/0!</v>
      </c>
      <c r="AE367" s="301" t="str">
        <f>AF367&amp;TM[[#This Row],[Insurer Code]]&amp;"; "&amp;AG367&amp;TM[[#This Row],[Reporting Year]]&amp;"; "&amp;AH367&amp;TM[[#This Row],[Insurance Category Code]]&amp;"; "&amp;AI367&amp;TM[[#This Row],[Large Provider Entity Code]]</f>
        <v xml:space="preserve">Insurer Code ; Reporting Year ; Insurance Category Code ; Large Provider Entity Code </v>
      </c>
      <c r="AF367" s="297" t="s">
        <v>197</v>
      </c>
      <c r="AG367" s="297" t="s">
        <v>198</v>
      </c>
      <c r="AH367" s="297" t="s">
        <v>199</v>
      </c>
      <c r="AI367" s="297" t="s">
        <v>200</v>
      </c>
      <c r="AJ367" s="297"/>
      <c r="AK367" s="297"/>
      <c r="AL367" s="297"/>
      <c r="AM367" s="11"/>
      <c r="AN367" s="11"/>
      <c r="AO367" s="11"/>
    </row>
    <row r="368" spans="1:41" x14ac:dyDescent="0.4">
      <c r="A368" s="291"/>
      <c r="B368" s="292"/>
      <c r="C368" s="292"/>
      <c r="D368" s="292"/>
      <c r="E368" s="529"/>
      <c r="F368" s="527"/>
      <c r="G368" s="528"/>
      <c r="H368" s="528"/>
      <c r="I368" s="528"/>
      <c r="J368" s="528"/>
      <c r="K368" s="528"/>
      <c r="L368" s="528"/>
      <c r="M368" s="528"/>
      <c r="N368" s="528"/>
      <c r="O368" s="528"/>
      <c r="P368" s="528"/>
      <c r="Q368" s="528"/>
      <c r="R368" s="527"/>
      <c r="S368" s="528"/>
      <c r="T368" s="528"/>
      <c r="U368" s="528"/>
      <c r="V368" s="325"/>
      <c r="W368" s="530">
        <f t="shared" si="42"/>
        <v>0</v>
      </c>
      <c r="X368" s="530">
        <f t="shared" si="43"/>
        <v>0</v>
      </c>
      <c r="Y368" s="530">
        <f t="shared" si="44"/>
        <v>0</v>
      </c>
      <c r="Z368" s="530">
        <f t="shared" si="45"/>
        <v>0</v>
      </c>
      <c r="AA368" s="530">
        <f t="shared" si="46"/>
        <v>0</v>
      </c>
      <c r="AB368" s="530" t="e">
        <f t="shared" si="47"/>
        <v>#DIV/0!</v>
      </c>
      <c r="AC368" s="531" t="e">
        <f t="shared" si="48"/>
        <v>#DIV/0!</v>
      </c>
      <c r="AE368" s="301" t="str">
        <f>AF368&amp;TM[[#This Row],[Insurer Code]]&amp;"; "&amp;AG368&amp;TM[[#This Row],[Reporting Year]]&amp;"; "&amp;AH368&amp;TM[[#This Row],[Insurance Category Code]]&amp;"; "&amp;AI368&amp;TM[[#This Row],[Large Provider Entity Code]]</f>
        <v xml:space="preserve">Insurer Code ; Reporting Year ; Insurance Category Code ; Large Provider Entity Code </v>
      </c>
      <c r="AF368" s="297" t="s">
        <v>197</v>
      </c>
      <c r="AG368" s="297" t="s">
        <v>198</v>
      </c>
      <c r="AH368" s="297" t="s">
        <v>199</v>
      </c>
      <c r="AI368" s="297" t="s">
        <v>200</v>
      </c>
      <c r="AJ368" s="297"/>
      <c r="AK368" s="297"/>
      <c r="AL368" s="297"/>
      <c r="AM368" s="11"/>
      <c r="AN368" s="11"/>
      <c r="AO368" s="11"/>
    </row>
    <row r="369" spans="1:41" x14ac:dyDescent="0.4">
      <c r="A369" s="291"/>
      <c r="B369" s="292"/>
      <c r="C369" s="292"/>
      <c r="D369" s="292"/>
      <c r="E369" s="529"/>
      <c r="F369" s="527"/>
      <c r="G369" s="528"/>
      <c r="H369" s="528"/>
      <c r="I369" s="528"/>
      <c r="J369" s="528"/>
      <c r="K369" s="528"/>
      <c r="L369" s="528"/>
      <c r="M369" s="528"/>
      <c r="N369" s="528"/>
      <c r="O369" s="528"/>
      <c r="P369" s="528"/>
      <c r="Q369" s="528"/>
      <c r="R369" s="527"/>
      <c r="S369" s="528"/>
      <c r="T369" s="528"/>
      <c r="U369" s="528"/>
      <c r="V369" s="325"/>
      <c r="W369" s="530">
        <f t="shared" si="42"/>
        <v>0</v>
      </c>
      <c r="X369" s="530">
        <f t="shared" si="43"/>
        <v>0</v>
      </c>
      <c r="Y369" s="530">
        <f t="shared" si="44"/>
        <v>0</v>
      </c>
      <c r="Z369" s="530">
        <f t="shared" si="45"/>
        <v>0</v>
      </c>
      <c r="AA369" s="530">
        <f t="shared" si="46"/>
        <v>0</v>
      </c>
      <c r="AB369" s="530" t="e">
        <f t="shared" si="47"/>
        <v>#DIV/0!</v>
      </c>
      <c r="AC369" s="531" t="e">
        <f t="shared" si="48"/>
        <v>#DIV/0!</v>
      </c>
      <c r="AE369" s="301" t="str">
        <f>AF369&amp;TM[[#This Row],[Insurer Code]]&amp;"; "&amp;AG369&amp;TM[[#This Row],[Reporting Year]]&amp;"; "&amp;AH369&amp;TM[[#This Row],[Insurance Category Code]]&amp;"; "&amp;AI369&amp;TM[[#This Row],[Large Provider Entity Code]]</f>
        <v xml:space="preserve">Insurer Code ; Reporting Year ; Insurance Category Code ; Large Provider Entity Code </v>
      </c>
      <c r="AF369" s="297" t="s">
        <v>197</v>
      </c>
      <c r="AG369" s="297" t="s">
        <v>198</v>
      </c>
      <c r="AH369" s="297" t="s">
        <v>199</v>
      </c>
      <c r="AI369" s="297" t="s">
        <v>200</v>
      </c>
      <c r="AJ369" s="297"/>
      <c r="AK369" s="297"/>
      <c r="AL369" s="297"/>
      <c r="AM369" s="11"/>
      <c r="AN369" s="11"/>
      <c r="AO369" s="11"/>
    </row>
    <row r="370" spans="1:41" x14ac:dyDescent="0.4">
      <c r="A370" s="291"/>
      <c r="B370" s="292"/>
      <c r="C370" s="292"/>
      <c r="D370" s="292"/>
      <c r="E370" s="529"/>
      <c r="F370" s="527"/>
      <c r="G370" s="528"/>
      <c r="H370" s="528"/>
      <c r="I370" s="528"/>
      <c r="J370" s="528"/>
      <c r="K370" s="528"/>
      <c r="L370" s="528"/>
      <c r="M370" s="528"/>
      <c r="N370" s="528"/>
      <c r="O370" s="528"/>
      <c r="P370" s="528"/>
      <c r="Q370" s="528"/>
      <c r="R370" s="527"/>
      <c r="S370" s="528"/>
      <c r="T370" s="528"/>
      <c r="U370" s="528"/>
      <c r="V370" s="529"/>
      <c r="W370" s="530">
        <f t="shared" ref="W370:W411" si="49">SUM(F370:M370)</f>
        <v>0</v>
      </c>
      <c r="X370" s="530">
        <f t="shared" ref="X370:X411" si="50">SUM(N370:S370)</f>
        <v>0</v>
      </c>
      <c r="Y370" s="530">
        <f t="shared" ref="Y370:Y411" si="51">W370+X370</f>
        <v>0</v>
      </c>
      <c r="Z370" s="530">
        <f t="shared" ref="Z370:Z411" si="52">W370-U370</f>
        <v>0</v>
      </c>
      <c r="AA370" s="530">
        <f t="shared" ref="AA370:AA411" si="53">Z370+X370</f>
        <v>0</v>
      </c>
      <c r="AB370" s="530" t="e">
        <f t="shared" ref="AB370:AB411" si="54">Y370/E370</f>
        <v>#DIV/0!</v>
      </c>
      <c r="AC370" s="531" t="e">
        <f t="shared" ref="AC370:AC411" si="55">AA370/E370</f>
        <v>#DIV/0!</v>
      </c>
      <c r="AE370" s="301" t="str">
        <f>AF370&amp;TM[[#This Row],[Insurer Code]]&amp;"; "&amp;AG370&amp;TM[[#This Row],[Reporting Year]]&amp;"; "&amp;AH370&amp;TM[[#This Row],[Insurance Category Code]]&amp;"; "&amp;AI370&amp;TM[[#This Row],[Large Provider Entity Code]]</f>
        <v xml:space="preserve">Insurer Code ; Reporting Year ; Insurance Category Code ; Large Provider Entity Code </v>
      </c>
      <c r="AF370" s="297" t="s">
        <v>197</v>
      </c>
      <c r="AG370" s="297" t="s">
        <v>198</v>
      </c>
      <c r="AH370" s="297" t="s">
        <v>199</v>
      </c>
      <c r="AI370" s="297" t="s">
        <v>200</v>
      </c>
      <c r="AJ370" s="297"/>
      <c r="AK370" s="297"/>
      <c r="AL370" s="297"/>
      <c r="AM370" s="11"/>
      <c r="AN370" s="11"/>
      <c r="AO370" s="11"/>
    </row>
    <row r="371" spans="1:41" x14ac:dyDescent="0.4">
      <c r="A371" s="291"/>
      <c r="B371" s="292"/>
      <c r="C371" s="292"/>
      <c r="D371" s="292"/>
      <c r="E371" s="529"/>
      <c r="F371" s="527"/>
      <c r="G371" s="528"/>
      <c r="H371" s="528"/>
      <c r="I371" s="528"/>
      <c r="J371" s="528"/>
      <c r="K371" s="528"/>
      <c r="L371" s="528"/>
      <c r="M371" s="528"/>
      <c r="N371" s="528"/>
      <c r="O371" s="528"/>
      <c r="P371" s="528"/>
      <c r="Q371" s="528"/>
      <c r="R371" s="527"/>
      <c r="S371" s="528"/>
      <c r="T371" s="528"/>
      <c r="U371" s="528"/>
      <c r="V371" s="529"/>
      <c r="W371" s="530">
        <f t="shared" si="49"/>
        <v>0</v>
      </c>
      <c r="X371" s="530">
        <f t="shared" si="50"/>
        <v>0</v>
      </c>
      <c r="Y371" s="530">
        <f t="shared" si="51"/>
        <v>0</v>
      </c>
      <c r="Z371" s="530">
        <f t="shared" si="52"/>
        <v>0</v>
      </c>
      <c r="AA371" s="530">
        <f t="shared" si="53"/>
        <v>0</v>
      </c>
      <c r="AB371" s="530" t="e">
        <f t="shared" si="54"/>
        <v>#DIV/0!</v>
      </c>
      <c r="AC371" s="531" t="e">
        <f t="shared" si="55"/>
        <v>#DIV/0!</v>
      </c>
      <c r="AE371" s="301" t="str">
        <f>AF371&amp;TM[[#This Row],[Insurer Code]]&amp;"; "&amp;AG371&amp;TM[[#This Row],[Reporting Year]]&amp;"; "&amp;AH371&amp;TM[[#This Row],[Insurance Category Code]]&amp;"; "&amp;AI371&amp;TM[[#This Row],[Large Provider Entity Code]]</f>
        <v xml:space="preserve">Insurer Code ; Reporting Year ; Insurance Category Code ; Large Provider Entity Code </v>
      </c>
      <c r="AF371" s="297" t="s">
        <v>197</v>
      </c>
      <c r="AG371" s="297" t="s">
        <v>198</v>
      </c>
      <c r="AH371" s="297" t="s">
        <v>199</v>
      </c>
      <c r="AI371" s="297" t="s">
        <v>200</v>
      </c>
      <c r="AJ371" s="297"/>
      <c r="AK371" s="297"/>
      <c r="AL371" s="297"/>
      <c r="AM371" s="11"/>
      <c r="AN371" s="11"/>
      <c r="AO371" s="11"/>
    </row>
    <row r="372" spans="1:41" x14ac:dyDescent="0.4">
      <c r="A372" s="291"/>
      <c r="B372" s="292"/>
      <c r="C372" s="292"/>
      <c r="D372" s="292"/>
      <c r="E372" s="529"/>
      <c r="F372" s="527"/>
      <c r="G372" s="528"/>
      <c r="H372" s="528"/>
      <c r="I372" s="528"/>
      <c r="J372" s="528"/>
      <c r="K372" s="528"/>
      <c r="L372" s="528"/>
      <c r="M372" s="528"/>
      <c r="N372" s="528"/>
      <c r="O372" s="528"/>
      <c r="P372" s="528"/>
      <c r="Q372" s="528"/>
      <c r="R372" s="527"/>
      <c r="S372" s="528"/>
      <c r="T372" s="528"/>
      <c r="U372" s="528"/>
      <c r="V372" s="529"/>
      <c r="W372" s="530">
        <f t="shared" si="49"/>
        <v>0</v>
      </c>
      <c r="X372" s="530">
        <f t="shared" si="50"/>
        <v>0</v>
      </c>
      <c r="Y372" s="530">
        <f t="shared" si="51"/>
        <v>0</v>
      </c>
      <c r="Z372" s="530">
        <f t="shared" si="52"/>
        <v>0</v>
      </c>
      <c r="AA372" s="530">
        <f t="shared" si="53"/>
        <v>0</v>
      </c>
      <c r="AB372" s="530" t="e">
        <f t="shared" si="54"/>
        <v>#DIV/0!</v>
      </c>
      <c r="AC372" s="531" t="e">
        <f t="shared" si="55"/>
        <v>#DIV/0!</v>
      </c>
      <c r="AE372" s="301" t="str">
        <f>AF372&amp;TM[[#This Row],[Insurer Code]]&amp;"; "&amp;AG372&amp;TM[[#This Row],[Reporting Year]]&amp;"; "&amp;AH372&amp;TM[[#This Row],[Insurance Category Code]]&amp;"; "&amp;AI372&amp;TM[[#This Row],[Large Provider Entity Code]]</f>
        <v xml:space="preserve">Insurer Code ; Reporting Year ; Insurance Category Code ; Large Provider Entity Code </v>
      </c>
      <c r="AF372" s="297" t="s">
        <v>197</v>
      </c>
      <c r="AG372" s="297" t="s">
        <v>198</v>
      </c>
      <c r="AH372" s="297" t="s">
        <v>199</v>
      </c>
      <c r="AI372" s="297" t="s">
        <v>200</v>
      </c>
      <c r="AJ372" s="297"/>
      <c r="AK372" s="297"/>
      <c r="AL372" s="297"/>
      <c r="AM372" s="11"/>
      <c r="AN372" s="11"/>
      <c r="AO372" s="11"/>
    </row>
    <row r="373" spans="1:41" x14ac:dyDescent="0.4">
      <c r="A373" s="291"/>
      <c r="B373" s="292"/>
      <c r="C373" s="292"/>
      <c r="D373" s="292"/>
      <c r="E373" s="529"/>
      <c r="F373" s="527"/>
      <c r="G373" s="528"/>
      <c r="H373" s="528"/>
      <c r="I373" s="528"/>
      <c r="J373" s="528"/>
      <c r="K373" s="528"/>
      <c r="L373" s="528"/>
      <c r="M373" s="528"/>
      <c r="N373" s="528"/>
      <c r="O373" s="528"/>
      <c r="P373" s="528"/>
      <c r="Q373" s="528"/>
      <c r="R373" s="527"/>
      <c r="S373" s="528"/>
      <c r="T373" s="528"/>
      <c r="U373" s="528"/>
      <c r="V373" s="529"/>
      <c r="W373" s="530">
        <f t="shared" si="49"/>
        <v>0</v>
      </c>
      <c r="X373" s="530">
        <f t="shared" si="50"/>
        <v>0</v>
      </c>
      <c r="Y373" s="530">
        <f t="shared" si="51"/>
        <v>0</v>
      </c>
      <c r="Z373" s="530">
        <f t="shared" si="52"/>
        <v>0</v>
      </c>
      <c r="AA373" s="530">
        <f t="shared" si="53"/>
        <v>0</v>
      </c>
      <c r="AB373" s="530" t="e">
        <f t="shared" si="54"/>
        <v>#DIV/0!</v>
      </c>
      <c r="AC373" s="531" t="e">
        <f t="shared" si="55"/>
        <v>#DIV/0!</v>
      </c>
      <c r="AE373" s="301" t="str">
        <f>AF373&amp;TM[[#This Row],[Insurer Code]]&amp;"; "&amp;AG373&amp;TM[[#This Row],[Reporting Year]]&amp;"; "&amp;AH373&amp;TM[[#This Row],[Insurance Category Code]]&amp;"; "&amp;AI373&amp;TM[[#This Row],[Large Provider Entity Code]]</f>
        <v xml:space="preserve">Insurer Code ; Reporting Year ; Insurance Category Code ; Large Provider Entity Code </v>
      </c>
      <c r="AF373" s="297" t="s">
        <v>197</v>
      </c>
      <c r="AG373" s="297" t="s">
        <v>198</v>
      </c>
      <c r="AH373" s="297" t="s">
        <v>199</v>
      </c>
      <c r="AI373" s="297" t="s">
        <v>200</v>
      </c>
      <c r="AJ373" s="297"/>
      <c r="AK373" s="297"/>
      <c r="AL373" s="297"/>
      <c r="AM373" s="11"/>
      <c r="AN373" s="11"/>
      <c r="AO373" s="11"/>
    </row>
    <row r="374" spans="1:41" x14ac:dyDescent="0.4">
      <c r="A374" s="291"/>
      <c r="B374" s="292"/>
      <c r="C374" s="292"/>
      <c r="D374" s="292"/>
      <c r="E374" s="529"/>
      <c r="F374" s="527"/>
      <c r="G374" s="528"/>
      <c r="H374" s="528"/>
      <c r="I374" s="528"/>
      <c r="J374" s="528"/>
      <c r="K374" s="528"/>
      <c r="L374" s="528"/>
      <c r="M374" s="528"/>
      <c r="N374" s="528"/>
      <c r="O374" s="528"/>
      <c r="P374" s="528"/>
      <c r="Q374" s="528"/>
      <c r="R374" s="527"/>
      <c r="S374" s="528"/>
      <c r="T374" s="528"/>
      <c r="U374" s="528"/>
      <c r="V374" s="529"/>
      <c r="W374" s="530">
        <f t="shared" si="49"/>
        <v>0</v>
      </c>
      <c r="X374" s="530">
        <f t="shared" si="50"/>
        <v>0</v>
      </c>
      <c r="Y374" s="530">
        <f t="shared" si="51"/>
        <v>0</v>
      </c>
      <c r="Z374" s="530">
        <f t="shared" si="52"/>
        <v>0</v>
      </c>
      <c r="AA374" s="530">
        <f t="shared" si="53"/>
        <v>0</v>
      </c>
      <c r="AB374" s="530" t="e">
        <f t="shared" si="54"/>
        <v>#DIV/0!</v>
      </c>
      <c r="AC374" s="531" t="e">
        <f t="shared" si="55"/>
        <v>#DIV/0!</v>
      </c>
      <c r="AE374" s="301" t="str">
        <f>AF374&amp;TM[[#This Row],[Insurer Code]]&amp;"; "&amp;AG374&amp;TM[[#This Row],[Reporting Year]]&amp;"; "&amp;AH374&amp;TM[[#This Row],[Insurance Category Code]]&amp;"; "&amp;AI374&amp;TM[[#This Row],[Large Provider Entity Code]]</f>
        <v xml:space="preserve">Insurer Code ; Reporting Year ; Insurance Category Code ; Large Provider Entity Code </v>
      </c>
      <c r="AF374" s="297" t="s">
        <v>197</v>
      </c>
      <c r="AG374" s="297" t="s">
        <v>198</v>
      </c>
      <c r="AH374" s="297" t="s">
        <v>199</v>
      </c>
      <c r="AI374" s="297" t="s">
        <v>200</v>
      </c>
      <c r="AJ374" s="297"/>
      <c r="AK374" s="297"/>
      <c r="AL374" s="297"/>
      <c r="AM374" s="11"/>
      <c r="AN374" s="11"/>
      <c r="AO374" s="11"/>
    </row>
    <row r="375" spans="1:41" x14ac:dyDescent="0.4">
      <c r="A375" s="291"/>
      <c r="B375" s="292"/>
      <c r="C375" s="292"/>
      <c r="D375" s="292"/>
      <c r="E375" s="529"/>
      <c r="F375" s="527"/>
      <c r="G375" s="528"/>
      <c r="H375" s="528"/>
      <c r="I375" s="528"/>
      <c r="J375" s="528"/>
      <c r="K375" s="528"/>
      <c r="L375" s="528"/>
      <c r="M375" s="528"/>
      <c r="N375" s="528"/>
      <c r="O375" s="528"/>
      <c r="P375" s="528"/>
      <c r="Q375" s="528"/>
      <c r="R375" s="527"/>
      <c r="S375" s="528"/>
      <c r="T375" s="528"/>
      <c r="U375" s="528"/>
      <c r="V375" s="529"/>
      <c r="W375" s="530">
        <f t="shared" si="49"/>
        <v>0</v>
      </c>
      <c r="X375" s="530">
        <f t="shared" si="50"/>
        <v>0</v>
      </c>
      <c r="Y375" s="530">
        <f t="shared" si="51"/>
        <v>0</v>
      </c>
      <c r="Z375" s="530">
        <f t="shared" si="52"/>
        <v>0</v>
      </c>
      <c r="AA375" s="530">
        <f t="shared" si="53"/>
        <v>0</v>
      </c>
      <c r="AB375" s="530" t="e">
        <f t="shared" si="54"/>
        <v>#DIV/0!</v>
      </c>
      <c r="AC375" s="531" t="e">
        <f t="shared" si="55"/>
        <v>#DIV/0!</v>
      </c>
      <c r="AE375" s="301" t="str">
        <f>AF375&amp;TM[[#This Row],[Insurer Code]]&amp;"; "&amp;AG375&amp;TM[[#This Row],[Reporting Year]]&amp;"; "&amp;AH375&amp;TM[[#This Row],[Insurance Category Code]]&amp;"; "&amp;AI375&amp;TM[[#This Row],[Large Provider Entity Code]]</f>
        <v xml:space="preserve">Insurer Code ; Reporting Year ; Insurance Category Code ; Large Provider Entity Code </v>
      </c>
      <c r="AF375" s="297" t="s">
        <v>197</v>
      </c>
      <c r="AG375" s="297" t="s">
        <v>198</v>
      </c>
      <c r="AH375" s="297" t="s">
        <v>199</v>
      </c>
      <c r="AI375" s="297" t="s">
        <v>200</v>
      </c>
      <c r="AJ375" s="297"/>
      <c r="AK375" s="297"/>
      <c r="AL375" s="297"/>
      <c r="AM375" s="11"/>
      <c r="AN375" s="11"/>
      <c r="AO375" s="11"/>
    </row>
    <row r="376" spans="1:41" x14ac:dyDescent="0.4">
      <c r="A376" s="291"/>
      <c r="B376" s="292"/>
      <c r="C376" s="292"/>
      <c r="D376" s="292"/>
      <c r="E376" s="529"/>
      <c r="F376" s="527"/>
      <c r="G376" s="528"/>
      <c r="H376" s="528"/>
      <c r="I376" s="528"/>
      <c r="J376" s="528"/>
      <c r="K376" s="528"/>
      <c r="L376" s="528"/>
      <c r="M376" s="528"/>
      <c r="N376" s="528"/>
      <c r="O376" s="528"/>
      <c r="P376" s="528"/>
      <c r="Q376" s="528"/>
      <c r="R376" s="527"/>
      <c r="S376" s="528"/>
      <c r="T376" s="528"/>
      <c r="U376" s="528"/>
      <c r="V376" s="529"/>
      <c r="W376" s="530">
        <f t="shared" si="49"/>
        <v>0</v>
      </c>
      <c r="X376" s="530">
        <f t="shared" si="50"/>
        <v>0</v>
      </c>
      <c r="Y376" s="530">
        <f t="shared" si="51"/>
        <v>0</v>
      </c>
      <c r="Z376" s="530">
        <f t="shared" si="52"/>
        <v>0</v>
      </c>
      <c r="AA376" s="530">
        <f t="shared" si="53"/>
        <v>0</v>
      </c>
      <c r="AB376" s="530" t="e">
        <f t="shared" si="54"/>
        <v>#DIV/0!</v>
      </c>
      <c r="AC376" s="531" t="e">
        <f t="shared" si="55"/>
        <v>#DIV/0!</v>
      </c>
      <c r="AE376" s="301" t="str">
        <f>AF376&amp;TM[[#This Row],[Insurer Code]]&amp;"; "&amp;AG376&amp;TM[[#This Row],[Reporting Year]]&amp;"; "&amp;AH376&amp;TM[[#This Row],[Insurance Category Code]]&amp;"; "&amp;AI376&amp;TM[[#This Row],[Large Provider Entity Code]]</f>
        <v xml:space="preserve">Insurer Code ; Reporting Year ; Insurance Category Code ; Large Provider Entity Code </v>
      </c>
      <c r="AF376" s="297" t="s">
        <v>197</v>
      </c>
      <c r="AG376" s="297" t="s">
        <v>198</v>
      </c>
      <c r="AH376" s="297" t="s">
        <v>199</v>
      </c>
      <c r="AI376" s="297" t="s">
        <v>200</v>
      </c>
      <c r="AJ376" s="297"/>
      <c r="AK376" s="297"/>
      <c r="AL376" s="297"/>
      <c r="AM376" s="11"/>
      <c r="AN376" s="11"/>
      <c r="AO376" s="11"/>
    </row>
    <row r="377" spans="1:41" x14ac:dyDescent="0.4">
      <c r="A377" s="291"/>
      <c r="B377" s="292"/>
      <c r="C377" s="292"/>
      <c r="D377" s="292"/>
      <c r="E377" s="529"/>
      <c r="F377" s="527"/>
      <c r="G377" s="528"/>
      <c r="H377" s="528"/>
      <c r="I377" s="528"/>
      <c r="J377" s="528"/>
      <c r="K377" s="528"/>
      <c r="L377" s="528"/>
      <c r="M377" s="528"/>
      <c r="N377" s="528"/>
      <c r="O377" s="528"/>
      <c r="P377" s="528"/>
      <c r="Q377" s="528"/>
      <c r="R377" s="527"/>
      <c r="S377" s="528"/>
      <c r="T377" s="528"/>
      <c r="U377" s="528"/>
      <c r="V377" s="529"/>
      <c r="W377" s="530">
        <f t="shared" si="49"/>
        <v>0</v>
      </c>
      <c r="X377" s="530">
        <f t="shared" si="50"/>
        <v>0</v>
      </c>
      <c r="Y377" s="530">
        <f t="shared" si="51"/>
        <v>0</v>
      </c>
      <c r="Z377" s="530">
        <f t="shared" si="52"/>
        <v>0</v>
      </c>
      <c r="AA377" s="530">
        <f t="shared" si="53"/>
        <v>0</v>
      </c>
      <c r="AB377" s="530" t="e">
        <f t="shared" si="54"/>
        <v>#DIV/0!</v>
      </c>
      <c r="AC377" s="531" t="e">
        <f t="shared" si="55"/>
        <v>#DIV/0!</v>
      </c>
      <c r="AE377" s="301" t="str">
        <f>AF377&amp;TM[[#This Row],[Insurer Code]]&amp;"; "&amp;AG377&amp;TM[[#This Row],[Reporting Year]]&amp;"; "&amp;AH377&amp;TM[[#This Row],[Insurance Category Code]]&amp;"; "&amp;AI377&amp;TM[[#This Row],[Large Provider Entity Code]]</f>
        <v xml:space="preserve">Insurer Code ; Reporting Year ; Insurance Category Code ; Large Provider Entity Code </v>
      </c>
      <c r="AF377" s="297" t="s">
        <v>197</v>
      </c>
      <c r="AG377" s="297" t="s">
        <v>198</v>
      </c>
      <c r="AH377" s="297" t="s">
        <v>199</v>
      </c>
      <c r="AI377" s="297" t="s">
        <v>200</v>
      </c>
      <c r="AJ377" s="297"/>
      <c r="AK377" s="297"/>
      <c r="AL377" s="297"/>
      <c r="AM377" s="11"/>
      <c r="AN377" s="11"/>
      <c r="AO377" s="11"/>
    </row>
    <row r="378" spans="1:41" x14ac:dyDescent="0.4">
      <c r="A378" s="291"/>
      <c r="B378" s="292"/>
      <c r="C378" s="292"/>
      <c r="D378" s="292"/>
      <c r="E378" s="529"/>
      <c r="F378" s="527"/>
      <c r="G378" s="528"/>
      <c r="H378" s="528"/>
      <c r="I378" s="528"/>
      <c r="J378" s="528"/>
      <c r="K378" s="528"/>
      <c r="L378" s="528"/>
      <c r="M378" s="528"/>
      <c r="N378" s="528"/>
      <c r="O378" s="528"/>
      <c r="P378" s="528"/>
      <c r="Q378" s="528"/>
      <c r="R378" s="527"/>
      <c r="S378" s="528"/>
      <c r="T378" s="528"/>
      <c r="U378" s="528"/>
      <c r="V378" s="529"/>
      <c r="W378" s="530">
        <f t="shared" si="49"/>
        <v>0</v>
      </c>
      <c r="X378" s="530">
        <f t="shared" si="50"/>
        <v>0</v>
      </c>
      <c r="Y378" s="530">
        <f t="shared" si="51"/>
        <v>0</v>
      </c>
      <c r="Z378" s="530">
        <f t="shared" si="52"/>
        <v>0</v>
      </c>
      <c r="AA378" s="530">
        <f t="shared" si="53"/>
        <v>0</v>
      </c>
      <c r="AB378" s="530" t="e">
        <f t="shared" si="54"/>
        <v>#DIV/0!</v>
      </c>
      <c r="AC378" s="531" t="e">
        <f t="shared" si="55"/>
        <v>#DIV/0!</v>
      </c>
      <c r="AE378" s="301" t="str">
        <f>AF378&amp;TM[[#This Row],[Insurer Code]]&amp;"; "&amp;AG378&amp;TM[[#This Row],[Reporting Year]]&amp;"; "&amp;AH378&amp;TM[[#This Row],[Insurance Category Code]]&amp;"; "&amp;AI378&amp;TM[[#This Row],[Large Provider Entity Code]]</f>
        <v xml:space="preserve">Insurer Code ; Reporting Year ; Insurance Category Code ; Large Provider Entity Code </v>
      </c>
      <c r="AF378" s="297" t="s">
        <v>197</v>
      </c>
      <c r="AG378" s="297" t="s">
        <v>198</v>
      </c>
      <c r="AH378" s="297" t="s">
        <v>199</v>
      </c>
      <c r="AI378" s="297" t="s">
        <v>200</v>
      </c>
      <c r="AJ378" s="297"/>
      <c r="AK378" s="297"/>
      <c r="AL378" s="297"/>
      <c r="AM378" s="11"/>
      <c r="AN378" s="11"/>
      <c r="AO378" s="11"/>
    </row>
    <row r="379" spans="1:41" x14ac:dyDescent="0.4">
      <c r="A379" s="291"/>
      <c r="B379" s="292"/>
      <c r="C379" s="292"/>
      <c r="D379" s="292"/>
      <c r="E379" s="529"/>
      <c r="F379" s="527"/>
      <c r="G379" s="528"/>
      <c r="H379" s="528"/>
      <c r="I379" s="528"/>
      <c r="J379" s="528"/>
      <c r="K379" s="528"/>
      <c r="L379" s="528"/>
      <c r="M379" s="528"/>
      <c r="N379" s="528"/>
      <c r="O379" s="528"/>
      <c r="P379" s="528"/>
      <c r="Q379" s="528"/>
      <c r="R379" s="527"/>
      <c r="S379" s="528"/>
      <c r="T379" s="528"/>
      <c r="U379" s="528"/>
      <c r="V379" s="529"/>
      <c r="W379" s="530">
        <f t="shared" si="49"/>
        <v>0</v>
      </c>
      <c r="X379" s="530">
        <f t="shared" si="50"/>
        <v>0</v>
      </c>
      <c r="Y379" s="530">
        <f t="shared" si="51"/>
        <v>0</v>
      </c>
      <c r="Z379" s="530">
        <f t="shared" si="52"/>
        <v>0</v>
      </c>
      <c r="AA379" s="530">
        <f t="shared" si="53"/>
        <v>0</v>
      </c>
      <c r="AB379" s="530" t="e">
        <f t="shared" si="54"/>
        <v>#DIV/0!</v>
      </c>
      <c r="AC379" s="531" t="e">
        <f t="shared" si="55"/>
        <v>#DIV/0!</v>
      </c>
      <c r="AE379" s="301" t="str">
        <f>AF379&amp;TM[[#This Row],[Insurer Code]]&amp;"; "&amp;AG379&amp;TM[[#This Row],[Reporting Year]]&amp;"; "&amp;AH379&amp;TM[[#This Row],[Insurance Category Code]]&amp;"; "&amp;AI379&amp;TM[[#This Row],[Large Provider Entity Code]]</f>
        <v xml:space="preserve">Insurer Code ; Reporting Year ; Insurance Category Code ; Large Provider Entity Code </v>
      </c>
      <c r="AF379" s="297" t="s">
        <v>197</v>
      </c>
      <c r="AG379" s="297" t="s">
        <v>198</v>
      </c>
      <c r="AH379" s="297" t="s">
        <v>199</v>
      </c>
      <c r="AI379" s="297" t="s">
        <v>200</v>
      </c>
      <c r="AJ379" s="297"/>
      <c r="AK379" s="297"/>
      <c r="AL379" s="297"/>
      <c r="AM379" s="11"/>
      <c r="AN379" s="11"/>
      <c r="AO379" s="11"/>
    </row>
    <row r="380" spans="1:41" x14ac:dyDescent="0.4">
      <c r="A380" s="291"/>
      <c r="B380" s="292"/>
      <c r="C380" s="292"/>
      <c r="D380" s="292"/>
      <c r="E380" s="529"/>
      <c r="F380" s="527"/>
      <c r="G380" s="528"/>
      <c r="H380" s="528"/>
      <c r="I380" s="528"/>
      <c r="J380" s="528"/>
      <c r="K380" s="528"/>
      <c r="L380" s="528"/>
      <c r="M380" s="528"/>
      <c r="N380" s="528"/>
      <c r="O380" s="528"/>
      <c r="P380" s="528"/>
      <c r="Q380" s="528"/>
      <c r="R380" s="527"/>
      <c r="S380" s="528"/>
      <c r="T380" s="528"/>
      <c r="U380" s="528"/>
      <c r="V380" s="529"/>
      <c r="W380" s="530">
        <f t="shared" si="49"/>
        <v>0</v>
      </c>
      <c r="X380" s="530">
        <f t="shared" si="50"/>
        <v>0</v>
      </c>
      <c r="Y380" s="530">
        <f t="shared" si="51"/>
        <v>0</v>
      </c>
      <c r="Z380" s="530">
        <f t="shared" si="52"/>
        <v>0</v>
      </c>
      <c r="AA380" s="530">
        <f t="shared" si="53"/>
        <v>0</v>
      </c>
      <c r="AB380" s="530" t="e">
        <f t="shared" si="54"/>
        <v>#DIV/0!</v>
      </c>
      <c r="AC380" s="531" t="e">
        <f t="shared" si="55"/>
        <v>#DIV/0!</v>
      </c>
      <c r="AE380" s="301" t="str">
        <f>AF380&amp;TM[[#This Row],[Insurer Code]]&amp;"; "&amp;AG380&amp;TM[[#This Row],[Reporting Year]]&amp;"; "&amp;AH380&amp;TM[[#This Row],[Insurance Category Code]]&amp;"; "&amp;AI380&amp;TM[[#This Row],[Large Provider Entity Code]]</f>
        <v xml:space="preserve">Insurer Code ; Reporting Year ; Insurance Category Code ; Large Provider Entity Code </v>
      </c>
      <c r="AF380" s="297" t="s">
        <v>197</v>
      </c>
      <c r="AG380" s="297" t="s">
        <v>198</v>
      </c>
      <c r="AH380" s="297" t="s">
        <v>199</v>
      </c>
      <c r="AI380" s="297" t="s">
        <v>200</v>
      </c>
      <c r="AJ380" s="297"/>
      <c r="AK380" s="297"/>
      <c r="AL380" s="297"/>
      <c r="AM380" s="11"/>
      <c r="AN380" s="11"/>
      <c r="AO380" s="11"/>
    </row>
    <row r="381" spans="1:41" x14ac:dyDescent="0.4">
      <c r="A381" s="291"/>
      <c r="B381" s="292"/>
      <c r="C381" s="292"/>
      <c r="D381" s="292"/>
      <c r="E381" s="529"/>
      <c r="F381" s="527"/>
      <c r="G381" s="528"/>
      <c r="H381" s="528"/>
      <c r="I381" s="528"/>
      <c r="J381" s="528"/>
      <c r="K381" s="528"/>
      <c r="L381" s="528"/>
      <c r="M381" s="528"/>
      <c r="N381" s="528"/>
      <c r="O381" s="528"/>
      <c r="P381" s="528"/>
      <c r="Q381" s="528"/>
      <c r="R381" s="527"/>
      <c r="S381" s="528"/>
      <c r="T381" s="528"/>
      <c r="U381" s="528"/>
      <c r="V381" s="529"/>
      <c r="W381" s="530">
        <f t="shared" si="49"/>
        <v>0</v>
      </c>
      <c r="X381" s="530">
        <f t="shared" si="50"/>
        <v>0</v>
      </c>
      <c r="Y381" s="530">
        <f t="shared" si="51"/>
        <v>0</v>
      </c>
      <c r="Z381" s="530">
        <f t="shared" si="52"/>
        <v>0</v>
      </c>
      <c r="AA381" s="530">
        <f t="shared" si="53"/>
        <v>0</v>
      </c>
      <c r="AB381" s="530" t="e">
        <f t="shared" si="54"/>
        <v>#DIV/0!</v>
      </c>
      <c r="AC381" s="531" t="e">
        <f t="shared" si="55"/>
        <v>#DIV/0!</v>
      </c>
      <c r="AE381" s="301" t="str">
        <f>AF381&amp;TM[[#This Row],[Insurer Code]]&amp;"; "&amp;AG381&amp;TM[[#This Row],[Reporting Year]]&amp;"; "&amp;AH381&amp;TM[[#This Row],[Insurance Category Code]]&amp;"; "&amp;AI381&amp;TM[[#This Row],[Large Provider Entity Code]]</f>
        <v xml:space="preserve">Insurer Code ; Reporting Year ; Insurance Category Code ; Large Provider Entity Code </v>
      </c>
      <c r="AF381" s="297" t="s">
        <v>197</v>
      </c>
      <c r="AG381" s="297" t="s">
        <v>198</v>
      </c>
      <c r="AH381" s="297" t="s">
        <v>199</v>
      </c>
      <c r="AI381" s="297" t="s">
        <v>200</v>
      </c>
      <c r="AJ381" s="297"/>
      <c r="AK381" s="297"/>
      <c r="AL381" s="297"/>
      <c r="AM381" s="11"/>
      <c r="AN381" s="11"/>
      <c r="AO381" s="11"/>
    </row>
    <row r="382" spans="1:41" x14ac:dyDescent="0.4">
      <c r="A382" s="291"/>
      <c r="B382" s="292"/>
      <c r="C382" s="292"/>
      <c r="D382" s="292"/>
      <c r="E382" s="529"/>
      <c r="F382" s="527"/>
      <c r="G382" s="528"/>
      <c r="H382" s="528"/>
      <c r="I382" s="528"/>
      <c r="J382" s="528"/>
      <c r="K382" s="528"/>
      <c r="L382" s="528"/>
      <c r="M382" s="528"/>
      <c r="N382" s="528"/>
      <c r="O382" s="528"/>
      <c r="P382" s="528"/>
      <c r="Q382" s="528"/>
      <c r="R382" s="527"/>
      <c r="S382" s="528"/>
      <c r="T382" s="528"/>
      <c r="U382" s="528"/>
      <c r="V382" s="529"/>
      <c r="W382" s="530">
        <f t="shared" si="49"/>
        <v>0</v>
      </c>
      <c r="X382" s="530">
        <f t="shared" si="50"/>
        <v>0</v>
      </c>
      <c r="Y382" s="530">
        <f t="shared" si="51"/>
        <v>0</v>
      </c>
      <c r="Z382" s="530">
        <f t="shared" si="52"/>
        <v>0</v>
      </c>
      <c r="AA382" s="530">
        <f t="shared" si="53"/>
        <v>0</v>
      </c>
      <c r="AB382" s="530" t="e">
        <f t="shared" si="54"/>
        <v>#DIV/0!</v>
      </c>
      <c r="AC382" s="531" t="e">
        <f t="shared" si="55"/>
        <v>#DIV/0!</v>
      </c>
      <c r="AE382" s="301" t="str">
        <f>AF382&amp;TM[[#This Row],[Insurer Code]]&amp;"; "&amp;AG382&amp;TM[[#This Row],[Reporting Year]]&amp;"; "&amp;AH382&amp;TM[[#This Row],[Insurance Category Code]]&amp;"; "&amp;AI382&amp;TM[[#This Row],[Large Provider Entity Code]]</f>
        <v xml:space="preserve">Insurer Code ; Reporting Year ; Insurance Category Code ; Large Provider Entity Code </v>
      </c>
      <c r="AF382" s="297" t="s">
        <v>197</v>
      </c>
      <c r="AG382" s="297" t="s">
        <v>198</v>
      </c>
      <c r="AH382" s="297" t="s">
        <v>199</v>
      </c>
      <c r="AI382" s="297" t="s">
        <v>200</v>
      </c>
      <c r="AJ382" s="297"/>
      <c r="AK382" s="297"/>
      <c r="AL382" s="297"/>
      <c r="AM382" s="11"/>
      <c r="AN382" s="11"/>
      <c r="AO382" s="11"/>
    </row>
    <row r="383" spans="1:41" x14ac:dyDescent="0.4">
      <c r="A383" s="291"/>
      <c r="B383" s="292"/>
      <c r="C383" s="292"/>
      <c r="D383" s="292"/>
      <c r="E383" s="529"/>
      <c r="F383" s="527"/>
      <c r="G383" s="528"/>
      <c r="H383" s="528"/>
      <c r="I383" s="528"/>
      <c r="J383" s="528"/>
      <c r="K383" s="528"/>
      <c r="L383" s="528"/>
      <c r="M383" s="528"/>
      <c r="N383" s="528"/>
      <c r="O383" s="528"/>
      <c r="P383" s="528"/>
      <c r="Q383" s="528"/>
      <c r="R383" s="527"/>
      <c r="S383" s="528"/>
      <c r="T383" s="528"/>
      <c r="U383" s="528"/>
      <c r="V383" s="529"/>
      <c r="W383" s="530">
        <f t="shared" si="49"/>
        <v>0</v>
      </c>
      <c r="X383" s="530">
        <f t="shared" si="50"/>
        <v>0</v>
      </c>
      <c r="Y383" s="530">
        <f t="shared" si="51"/>
        <v>0</v>
      </c>
      <c r="Z383" s="530">
        <f t="shared" si="52"/>
        <v>0</v>
      </c>
      <c r="AA383" s="530">
        <f t="shared" si="53"/>
        <v>0</v>
      </c>
      <c r="AB383" s="530" t="e">
        <f t="shared" si="54"/>
        <v>#DIV/0!</v>
      </c>
      <c r="AC383" s="531" t="e">
        <f t="shared" si="55"/>
        <v>#DIV/0!</v>
      </c>
      <c r="AE383" s="301" t="str">
        <f>AF383&amp;TM[[#This Row],[Insurer Code]]&amp;"; "&amp;AG383&amp;TM[[#This Row],[Reporting Year]]&amp;"; "&amp;AH383&amp;TM[[#This Row],[Insurance Category Code]]&amp;"; "&amp;AI383&amp;TM[[#This Row],[Large Provider Entity Code]]</f>
        <v xml:space="preserve">Insurer Code ; Reporting Year ; Insurance Category Code ; Large Provider Entity Code </v>
      </c>
      <c r="AF383" s="297" t="s">
        <v>197</v>
      </c>
      <c r="AG383" s="297" t="s">
        <v>198</v>
      </c>
      <c r="AH383" s="297" t="s">
        <v>199</v>
      </c>
      <c r="AI383" s="297" t="s">
        <v>200</v>
      </c>
      <c r="AJ383" s="297"/>
      <c r="AK383" s="297"/>
      <c r="AL383" s="297"/>
      <c r="AM383" s="11"/>
      <c r="AN383" s="11"/>
      <c r="AO383" s="11"/>
    </row>
    <row r="384" spans="1:41" x14ac:dyDescent="0.4">
      <c r="A384" s="291"/>
      <c r="B384" s="292"/>
      <c r="C384" s="292"/>
      <c r="D384" s="292"/>
      <c r="E384" s="529"/>
      <c r="F384" s="527"/>
      <c r="G384" s="528"/>
      <c r="H384" s="528"/>
      <c r="I384" s="528"/>
      <c r="J384" s="528"/>
      <c r="K384" s="528"/>
      <c r="L384" s="528"/>
      <c r="M384" s="528"/>
      <c r="N384" s="528"/>
      <c r="O384" s="528"/>
      <c r="P384" s="528"/>
      <c r="Q384" s="528"/>
      <c r="R384" s="527"/>
      <c r="S384" s="528"/>
      <c r="T384" s="528"/>
      <c r="U384" s="528"/>
      <c r="V384" s="529"/>
      <c r="W384" s="530">
        <f t="shared" si="49"/>
        <v>0</v>
      </c>
      <c r="X384" s="530">
        <f t="shared" si="50"/>
        <v>0</v>
      </c>
      <c r="Y384" s="530">
        <f t="shared" si="51"/>
        <v>0</v>
      </c>
      <c r="Z384" s="530">
        <f t="shared" si="52"/>
        <v>0</v>
      </c>
      <c r="AA384" s="530">
        <f t="shared" si="53"/>
        <v>0</v>
      </c>
      <c r="AB384" s="530" t="e">
        <f t="shared" si="54"/>
        <v>#DIV/0!</v>
      </c>
      <c r="AC384" s="531" t="e">
        <f t="shared" si="55"/>
        <v>#DIV/0!</v>
      </c>
      <c r="AE384" s="301" t="str">
        <f>AF384&amp;TM[[#This Row],[Insurer Code]]&amp;"; "&amp;AG384&amp;TM[[#This Row],[Reporting Year]]&amp;"; "&amp;AH384&amp;TM[[#This Row],[Insurance Category Code]]&amp;"; "&amp;AI384&amp;TM[[#This Row],[Large Provider Entity Code]]</f>
        <v xml:space="preserve">Insurer Code ; Reporting Year ; Insurance Category Code ; Large Provider Entity Code </v>
      </c>
      <c r="AF384" s="297" t="s">
        <v>197</v>
      </c>
      <c r="AG384" s="297" t="s">
        <v>198</v>
      </c>
      <c r="AH384" s="297" t="s">
        <v>199</v>
      </c>
      <c r="AI384" s="297" t="s">
        <v>200</v>
      </c>
      <c r="AJ384" s="297"/>
      <c r="AK384" s="297"/>
      <c r="AL384" s="297"/>
      <c r="AM384" s="11"/>
      <c r="AN384" s="11"/>
      <c r="AO384" s="11"/>
    </row>
    <row r="385" spans="1:41" x14ac:dyDescent="0.4">
      <c r="A385" s="291"/>
      <c r="B385" s="292"/>
      <c r="C385" s="292"/>
      <c r="D385" s="292"/>
      <c r="E385" s="529"/>
      <c r="F385" s="527"/>
      <c r="G385" s="528"/>
      <c r="H385" s="528"/>
      <c r="I385" s="528"/>
      <c r="J385" s="528"/>
      <c r="K385" s="528"/>
      <c r="L385" s="528"/>
      <c r="M385" s="528"/>
      <c r="N385" s="528"/>
      <c r="O385" s="528"/>
      <c r="P385" s="528"/>
      <c r="Q385" s="528"/>
      <c r="R385" s="527"/>
      <c r="S385" s="528"/>
      <c r="T385" s="528"/>
      <c r="U385" s="528"/>
      <c r="V385" s="529"/>
      <c r="W385" s="530">
        <f t="shared" si="49"/>
        <v>0</v>
      </c>
      <c r="X385" s="530">
        <f t="shared" si="50"/>
        <v>0</v>
      </c>
      <c r="Y385" s="530">
        <f t="shared" si="51"/>
        <v>0</v>
      </c>
      <c r="Z385" s="530">
        <f t="shared" si="52"/>
        <v>0</v>
      </c>
      <c r="AA385" s="530">
        <f t="shared" si="53"/>
        <v>0</v>
      </c>
      <c r="AB385" s="530" t="e">
        <f t="shared" si="54"/>
        <v>#DIV/0!</v>
      </c>
      <c r="AC385" s="531" t="e">
        <f t="shared" si="55"/>
        <v>#DIV/0!</v>
      </c>
      <c r="AE385" s="301" t="str">
        <f>AF385&amp;TM[[#This Row],[Insurer Code]]&amp;"; "&amp;AG385&amp;TM[[#This Row],[Reporting Year]]&amp;"; "&amp;AH385&amp;TM[[#This Row],[Insurance Category Code]]&amp;"; "&amp;AI385&amp;TM[[#This Row],[Large Provider Entity Code]]</f>
        <v xml:space="preserve">Insurer Code ; Reporting Year ; Insurance Category Code ; Large Provider Entity Code </v>
      </c>
      <c r="AF385" s="297" t="s">
        <v>197</v>
      </c>
      <c r="AG385" s="297" t="s">
        <v>198</v>
      </c>
      <c r="AH385" s="297" t="s">
        <v>199</v>
      </c>
      <c r="AI385" s="297" t="s">
        <v>200</v>
      </c>
      <c r="AJ385" s="297"/>
      <c r="AK385" s="297"/>
      <c r="AL385" s="297"/>
      <c r="AM385" s="11"/>
      <c r="AN385" s="11"/>
      <c r="AO385" s="11"/>
    </row>
    <row r="386" spans="1:41" x14ac:dyDescent="0.4">
      <c r="A386" s="291"/>
      <c r="B386" s="292"/>
      <c r="C386" s="292"/>
      <c r="D386" s="292"/>
      <c r="E386" s="529"/>
      <c r="F386" s="527"/>
      <c r="G386" s="528"/>
      <c r="H386" s="528"/>
      <c r="I386" s="528"/>
      <c r="J386" s="528"/>
      <c r="K386" s="528"/>
      <c r="L386" s="528"/>
      <c r="M386" s="528"/>
      <c r="N386" s="528"/>
      <c r="O386" s="528"/>
      <c r="P386" s="528"/>
      <c r="Q386" s="528"/>
      <c r="R386" s="527"/>
      <c r="S386" s="528"/>
      <c r="T386" s="528"/>
      <c r="U386" s="528"/>
      <c r="V386" s="529"/>
      <c r="W386" s="530">
        <f t="shared" si="49"/>
        <v>0</v>
      </c>
      <c r="X386" s="530">
        <f t="shared" si="50"/>
        <v>0</v>
      </c>
      <c r="Y386" s="530">
        <f t="shared" si="51"/>
        <v>0</v>
      </c>
      <c r="Z386" s="530">
        <f t="shared" si="52"/>
        <v>0</v>
      </c>
      <c r="AA386" s="530">
        <f t="shared" si="53"/>
        <v>0</v>
      </c>
      <c r="AB386" s="530" t="e">
        <f t="shared" si="54"/>
        <v>#DIV/0!</v>
      </c>
      <c r="AC386" s="531" t="e">
        <f t="shared" si="55"/>
        <v>#DIV/0!</v>
      </c>
      <c r="AE386" s="301" t="str">
        <f>AF386&amp;TM[[#This Row],[Insurer Code]]&amp;"; "&amp;AG386&amp;TM[[#This Row],[Reporting Year]]&amp;"; "&amp;AH386&amp;TM[[#This Row],[Insurance Category Code]]&amp;"; "&amp;AI386&amp;TM[[#This Row],[Large Provider Entity Code]]</f>
        <v xml:space="preserve">Insurer Code ; Reporting Year ; Insurance Category Code ; Large Provider Entity Code </v>
      </c>
      <c r="AF386" s="297" t="s">
        <v>197</v>
      </c>
      <c r="AG386" s="297" t="s">
        <v>198</v>
      </c>
      <c r="AH386" s="297" t="s">
        <v>199</v>
      </c>
      <c r="AI386" s="297" t="s">
        <v>200</v>
      </c>
      <c r="AJ386" s="297"/>
      <c r="AK386" s="297"/>
      <c r="AL386" s="297"/>
      <c r="AM386" s="11"/>
      <c r="AN386" s="11"/>
      <c r="AO386" s="11"/>
    </row>
    <row r="387" spans="1:41" x14ac:dyDescent="0.4">
      <c r="A387" s="291"/>
      <c r="B387" s="292"/>
      <c r="C387" s="292"/>
      <c r="D387" s="292"/>
      <c r="E387" s="529"/>
      <c r="F387" s="527"/>
      <c r="G387" s="528"/>
      <c r="H387" s="528"/>
      <c r="I387" s="528"/>
      <c r="J387" s="528"/>
      <c r="K387" s="528"/>
      <c r="L387" s="528"/>
      <c r="M387" s="528"/>
      <c r="N387" s="528"/>
      <c r="O387" s="528"/>
      <c r="P387" s="528"/>
      <c r="Q387" s="528"/>
      <c r="R387" s="527"/>
      <c r="S387" s="528"/>
      <c r="T387" s="528"/>
      <c r="U387" s="528"/>
      <c r="V387" s="529"/>
      <c r="W387" s="530">
        <f t="shared" si="49"/>
        <v>0</v>
      </c>
      <c r="X387" s="530">
        <f t="shared" si="50"/>
        <v>0</v>
      </c>
      <c r="Y387" s="530">
        <f t="shared" si="51"/>
        <v>0</v>
      </c>
      <c r="Z387" s="530">
        <f t="shared" si="52"/>
        <v>0</v>
      </c>
      <c r="AA387" s="530">
        <f t="shared" si="53"/>
        <v>0</v>
      </c>
      <c r="AB387" s="530" t="e">
        <f t="shared" si="54"/>
        <v>#DIV/0!</v>
      </c>
      <c r="AC387" s="531" t="e">
        <f t="shared" si="55"/>
        <v>#DIV/0!</v>
      </c>
      <c r="AE387" s="301" t="str">
        <f>AF387&amp;TM[[#This Row],[Insurer Code]]&amp;"; "&amp;AG387&amp;TM[[#This Row],[Reporting Year]]&amp;"; "&amp;AH387&amp;TM[[#This Row],[Insurance Category Code]]&amp;"; "&amp;AI387&amp;TM[[#This Row],[Large Provider Entity Code]]</f>
        <v xml:space="preserve">Insurer Code ; Reporting Year ; Insurance Category Code ; Large Provider Entity Code </v>
      </c>
      <c r="AF387" s="297" t="s">
        <v>197</v>
      </c>
      <c r="AG387" s="297" t="s">
        <v>198</v>
      </c>
      <c r="AH387" s="297" t="s">
        <v>199</v>
      </c>
      <c r="AI387" s="297" t="s">
        <v>200</v>
      </c>
      <c r="AJ387" s="297"/>
      <c r="AK387" s="297"/>
      <c r="AL387" s="297"/>
      <c r="AM387" s="11"/>
      <c r="AN387" s="11"/>
      <c r="AO387" s="11"/>
    </row>
    <row r="388" spans="1:41" x14ac:dyDescent="0.4">
      <c r="A388" s="291"/>
      <c r="B388" s="292"/>
      <c r="C388" s="292"/>
      <c r="D388" s="292"/>
      <c r="E388" s="529"/>
      <c r="F388" s="527"/>
      <c r="G388" s="528"/>
      <c r="H388" s="528"/>
      <c r="I388" s="528"/>
      <c r="J388" s="528"/>
      <c r="K388" s="528"/>
      <c r="L388" s="528"/>
      <c r="M388" s="528"/>
      <c r="N388" s="528"/>
      <c r="O388" s="528"/>
      <c r="P388" s="528"/>
      <c r="Q388" s="528"/>
      <c r="R388" s="527"/>
      <c r="S388" s="528"/>
      <c r="T388" s="528"/>
      <c r="U388" s="528"/>
      <c r="V388" s="529"/>
      <c r="W388" s="530">
        <f t="shared" si="49"/>
        <v>0</v>
      </c>
      <c r="X388" s="530">
        <f t="shared" si="50"/>
        <v>0</v>
      </c>
      <c r="Y388" s="530">
        <f t="shared" si="51"/>
        <v>0</v>
      </c>
      <c r="Z388" s="530">
        <f t="shared" si="52"/>
        <v>0</v>
      </c>
      <c r="AA388" s="530">
        <f t="shared" si="53"/>
        <v>0</v>
      </c>
      <c r="AB388" s="530" t="e">
        <f t="shared" si="54"/>
        <v>#DIV/0!</v>
      </c>
      <c r="AC388" s="531" t="e">
        <f t="shared" si="55"/>
        <v>#DIV/0!</v>
      </c>
      <c r="AE388" s="301" t="str">
        <f>AF388&amp;TM[[#This Row],[Insurer Code]]&amp;"; "&amp;AG388&amp;TM[[#This Row],[Reporting Year]]&amp;"; "&amp;AH388&amp;TM[[#This Row],[Insurance Category Code]]&amp;"; "&amp;AI388&amp;TM[[#This Row],[Large Provider Entity Code]]</f>
        <v xml:space="preserve">Insurer Code ; Reporting Year ; Insurance Category Code ; Large Provider Entity Code </v>
      </c>
      <c r="AF388" s="297" t="s">
        <v>197</v>
      </c>
      <c r="AG388" s="297" t="s">
        <v>198</v>
      </c>
      <c r="AH388" s="297" t="s">
        <v>199</v>
      </c>
      <c r="AI388" s="297" t="s">
        <v>200</v>
      </c>
      <c r="AJ388" s="297"/>
      <c r="AK388" s="297"/>
      <c r="AL388" s="297"/>
      <c r="AM388" s="11"/>
      <c r="AN388" s="11"/>
      <c r="AO388" s="11"/>
    </row>
    <row r="389" spans="1:41" x14ac:dyDescent="0.4">
      <c r="A389" s="291"/>
      <c r="B389" s="292"/>
      <c r="C389" s="292"/>
      <c r="D389" s="292"/>
      <c r="E389" s="529"/>
      <c r="F389" s="527"/>
      <c r="G389" s="528"/>
      <c r="H389" s="528"/>
      <c r="I389" s="528"/>
      <c r="J389" s="528"/>
      <c r="K389" s="528"/>
      <c r="L389" s="528"/>
      <c r="M389" s="528"/>
      <c r="N389" s="528"/>
      <c r="O389" s="528"/>
      <c r="P389" s="528"/>
      <c r="Q389" s="528"/>
      <c r="R389" s="527"/>
      <c r="S389" s="528"/>
      <c r="T389" s="528"/>
      <c r="U389" s="528"/>
      <c r="V389" s="529"/>
      <c r="W389" s="530">
        <f t="shared" si="49"/>
        <v>0</v>
      </c>
      <c r="X389" s="530">
        <f t="shared" si="50"/>
        <v>0</v>
      </c>
      <c r="Y389" s="530">
        <f t="shared" si="51"/>
        <v>0</v>
      </c>
      <c r="Z389" s="530">
        <f t="shared" si="52"/>
        <v>0</v>
      </c>
      <c r="AA389" s="530">
        <f t="shared" si="53"/>
        <v>0</v>
      </c>
      <c r="AB389" s="530" t="e">
        <f t="shared" si="54"/>
        <v>#DIV/0!</v>
      </c>
      <c r="AC389" s="531" t="e">
        <f t="shared" si="55"/>
        <v>#DIV/0!</v>
      </c>
      <c r="AE389" s="301" t="str">
        <f>AF389&amp;TM[[#This Row],[Insurer Code]]&amp;"; "&amp;AG389&amp;TM[[#This Row],[Reporting Year]]&amp;"; "&amp;AH389&amp;TM[[#This Row],[Insurance Category Code]]&amp;"; "&amp;AI389&amp;TM[[#This Row],[Large Provider Entity Code]]</f>
        <v xml:space="preserve">Insurer Code ; Reporting Year ; Insurance Category Code ; Large Provider Entity Code </v>
      </c>
      <c r="AF389" s="297" t="s">
        <v>197</v>
      </c>
      <c r="AG389" s="297" t="s">
        <v>198</v>
      </c>
      <c r="AH389" s="297" t="s">
        <v>199</v>
      </c>
      <c r="AI389" s="297" t="s">
        <v>200</v>
      </c>
      <c r="AJ389" s="297"/>
      <c r="AK389" s="297"/>
      <c r="AL389" s="297"/>
      <c r="AM389" s="11"/>
      <c r="AN389" s="11"/>
      <c r="AO389" s="11"/>
    </row>
    <row r="390" spans="1:41" x14ac:dyDescent="0.4">
      <c r="A390" s="291"/>
      <c r="B390" s="292"/>
      <c r="C390" s="292"/>
      <c r="D390" s="292"/>
      <c r="E390" s="529"/>
      <c r="F390" s="527"/>
      <c r="G390" s="528"/>
      <c r="H390" s="528"/>
      <c r="I390" s="528"/>
      <c r="J390" s="528"/>
      <c r="K390" s="528"/>
      <c r="L390" s="528"/>
      <c r="M390" s="528"/>
      <c r="N390" s="528"/>
      <c r="O390" s="528"/>
      <c r="P390" s="528"/>
      <c r="Q390" s="528"/>
      <c r="R390" s="527"/>
      <c r="S390" s="528"/>
      <c r="T390" s="528"/>
      <c r="U390" s="528"/>
      <c r="V390" s="529"/>
      <c r="W390" s="530">
        <f t="shared" si="49"/>
        <v>0</v>
      </c>
      <c r="X390" s="530">
        <f t="shared" si="50"/>
        <v>0</v>
      </c>
      <c r="Y390" s="530">
        <f t="shared" si="51"/>
        <v>0</v>
      </c>
      <c r="Z390" s="530">
        <f t="shared" si="52"/>
        <v>0</v>
      </c>
      <c r="AA390" s="530">
        <f t="shared" si="53"/>
        <v>0</v>
      </c>
      <c r="AB390" s="530" t="e">
        <f t="shared" si="54"/>
        <v>#DIV/0!</v>
      </c>
      <c r="AC390" s="531" t="e">
        <f t="shared" si="55"/>
        <v>#DIV/0!</v>
      </c>
      <c r="AE390" s="301" t="str">
        <f>AF390&amp;TM[[#This Row],[Insurer Code]]&amp;"; "&amp;AG390&amp;TM[[#This Row],[Reporting Year]]&amp;"; "&amp;AH390&amp;TM[[#This Row],[Insurance Category Code]]&amp;"; "&amp;AI390&amp;TM[[#This Row],[Large Provider Entity Code]]</f>
        <v xml:space="preserve">Insurer Code ; Reporting Year ; Insurance Category Code ; Large Provider Entity Code </v>
      </c>
      <c r="AF390" s="297" t="s">
        <v>197</v>
      </c>
      <c r="AG390" s="297" t="s">
        <v>198</v>
      </c>
      <c r="AH390" s="297" t="s">
        <v>199</v>
      </c>
      <c r="AI390" s="297" t="s">
        <v>200</v>
      </c>
      <c r="AJ390" s="297"/>
      <c r="AK390" s="297"/>
      <c r="AL390" s="297"/>
      <c r="AM390" s="11"/>
      <c r="AN390" s="11"/>
      <c r="AO390" s="11"/>
    </row>
    <row r="391" spans="1:41" x14ac:dyDescent="0.4">
      <c r="A391" s="291"/>
      <c r="B391" s="292"/>
      <c r="C391" s="292"/>
      <c r="D391" s="292"/>
      <c r="E391" s="529"/>
      <c r="F391" s="527"/>
      <c r="G391" s="528"/>
      <c r="H391" s="528"/>
      <c r="I391" s="528"/>
      <c r="J391" s="528"/>
      <c r="K391" s="528"/>
      <c r="L391" s="528"/>
      <c r="M391" s="528"/>
      <c r="N391" s="528"/>
      <c r="O391" s="528"/>
      <c r="P391" s="528"/>
      <c r="Q391" s="528"/>
      <c r="R391" s="527"/>
      <c r="S391" s="528"/>
      <c r="T391" s="528"/>
      <c r="U391" s="528"/>
      <c r="V391" s="529"/>
      <c r="W391" s="530">
        <f t="shared" si="49"/>
        <v>0</v>
      </c>
      <c r="X391" s="530">
        <f t="shared" si="50"/>
        <v>0</v>
      </c>
      <c r="Y391" s="530">
        <f t="shared" si="51"/>
        <v>0</v>
      </c>
      <c r="Z391" s="530">
        <f t="shared" si="52"/>
        <v>0</v>
      </c>
      <c r="AA391" s="530">
        <f t="shared" si="53"/>
        <v>0</v>
      </c>
      <c r="AB391" s="530" t="e">
        <f t="shared" si="54"/>
        <v>#DIV/0!</v>
      </c>
      <c r="AC391" s="531" t="e">
        <f t="shared" si="55"/>
        <v>#DIV/0!</v>
      </c>
      <c r="AE391" s="301" t="str">
        <f>AF391&amp;TM[[#This Row],[Insurer Code]]&amp;"; "&amp;AG391&amp;TM[[#This Row],[Reporting Year]]&amp;"; "&amp;AH391&amp;TM[[#This Row],[Insurance Category Code]]&amp;"; "&amp;AI391&amp;TM[[#This Row],[Large Provider Entity Code]]</f>
        <v xml:space="preserve">Insurer Code ; Reporting Year ; Insurance Category Code ; Large Provider Entity Code </v>
      </c>
      <c r="AF391" s="297" t="s">
        <v>197</v>
      </c>
      <c r="AG391" s="297" t="s">
        <v>198</v>
      </c>
      <c r="AH391" s="297" t="s">
        <v>199</v>
      </c>
      <c r="AI391" s="297" t="s">
        <v>200</v>
      </c>
      <c r="AJ391" s="297"/>
      <c r="AK391" s="297"/>
      <c r="AL391" s="297"/>
      <c r="AM391" s="11"/>
      <c r="AN391" s="11"/>
      <c r="AO391" s="11"/>
    </row>
    <row r="392" spans="1:41" x14ac:dyDescent="0.4">
      <c r="A392" s="291"/>
      <c r="B392" s="292"/>
      <c r="C392" s="292"/>
      <c r="D392" s="292"/>
      <c r="E392" s="529"/>
      <c r="F392" s="527"/>
      <c r="G392" s="528"/>
      <c r="H392" s="528"/>
      <c r="I392" s="528"/>
      <c r="J392" s="528"/>
      <c r="K392" s="528"/>
      <c r="L392" s="528"/>
      <c r="M392" s="528"/>
      <c r="N392" s="528"/>
      <c r="O392" s="528"/>
      <c r="P392" s="528"/>
      <c r="Q392" s="528"/>
      <c r="R392" s="527"/>
      <c r="S392" s="528"/>
      <c r="T392" s="528"/>
      <c r="U392" s="528"/>
      <c r="V392" s="529"/>
      <c r="W392" s="530">
        <f t="shared" si="49"/>
        <v>0</v>
      </c>
      <c r="X392" s="530">
        <f t="shared" si="50"/>
        <v>0</v>
      </c>
      <c r="Y392" s="530">
        <f t="shared" si="51"/>
        <v>0</v>
      </c>
      <c r="Z392" s="530">
        <f t="shared" si="52"/>
        <v>0</v>
      </c>
      <c r="AA392" s="530">
        <f t="shared" si="53"/>
        <v>0</v>
      </c>
      <c r="AB392" s="530" t="e">
        <f t="shared" si="54"/>
        <v>#DIV/0!</v>
      </c>
      <c r="AC392" s="531" t="e">
        <f t="shared" si="55"/>
        <v>#DIV/0!</v>
      </c>
      <c r="AE392" s="301" t="str">
        <f>AF392&amp;TM[[#This Row],[Insurer Code]]&amp;"; "&amp;AG392&amp;TM[[#This Row],[Reporting Year]]&amp;"; "&amp;AH392&amp;TM[[#This Row],[Insurance Category Code]]&amp;"; "&amp;AI392&amp;TM[[#This Row],[Large Provider Entity Code]]</f>
        <v xml:space="preserve">Insurer Code ; Reporting Year ; Insurance Category Code ; Large Provider Entity Code </v>
      </c>
      <c r="AF392" s="297" t="s">
        <v>197</v>
      </c>
      <c r="AG392" s="297" t="s">
        <v>198</v>
      </c>
      <c r="AH392" s="297" t="s">
        <v>199</v>
      </c>
      <c r="AI392" s="297" t="s">
        <v>200</v>
      </c>
      <c r="AJ392" s="297"/>
      <c r="AK392" s="297"/>
      <c r="AL392" s="297"/>
      <c r="AM392" s="11"/>
      <c r="AN392" s="11"/>
      <c r="AO392" s="11"/>
    </row>
    <row r="393" spans="1:41" x14ac:dyDescent="0.4">
      <c r="A393" s="291"/>
      <c r="B393" s="292"/>
      <c r="C393" s="292"/>
      <c r="D393" s="292"/>
      <c r="E393" s="529"/>
      <c r="F393" s="527"/>
      <c r="G393" s="528"/>
      <c r="H393" s="528"/>
      <c r="I393" s="528"/>
      <c r="J393" s="528"/>
      <c r="K393" s="528"/>
      <c r="L393" s="528"/>
      <c r="M393" s="528"/>
      <c r="N393" s="528"/>
      <c r="O393" s="528"/>
      <c r="P393" s="528"/>
      <c r="Q393" s="528"/>
      <c r="R393" s="527"/>
      <c r="S393" s="528"/>
      <c r="T393" s="528"/>
      <c r="U393" s="528"/>
      <c r="V393" s="529"/>
      <c r="W393" s="530">
        <f t="shared" si="49"/>
        <v>0</v>
      </c>
      <c r="X393" s="530">
        <f t="shared" si="50"/>
        <v>0</v>
      </c>
      <c r="Y393" s="530">
        <f t="shared" si="51"/>
        <v>0</v>
      </c>
      <c r="Z393" s="530">
        <f t="shared" si="52"/>
        <v>0</v>
      </c>
      <c r="AA393" s="530">
        <f t="shared" si="53"/>
        <v>0</v>
      </c>
      <c r="AB393" s="530" t="e">
        <f t="shared" si="54"/>
        <v>#DIV/0!</v>
      </c>
      <c r="AC393" s="531" t="e">
        <f t="shared" si="55"/>
        <v>#DIV/0!</v>
      </c>
      <c r="AE393" s="301" t="str">
        <f>AF393&amp;TM[[#This Row],[Insurer Code]]&amp;"; "&amp;AG393&amp;TM[[#This Row],[Reporting Year]]&amp;"; "&amp;AH393&amp;TM[[#This Row],[Insurance Category Code]]&amp;"; "&amp;AI393&amp;TM[[#This Row],[Large Provider Entity Code]]</f>
        <v xml:space="preserve">Insurer Code ; Reporting Year ; Insurance Category Code ; Large Provider Entity Code </v>
      </c>
      <c r="AF393" s="297" t="s">
        <v>197</v>
      </c>
      <c r="AG393" s="297" t="s">
        <v>198</v>
      </c>
      <c r="AH393" s="297" t="s">
        <v>199</v>
      </c>
      <c r="AI393" s="297" t="s">
        <v>200</v>
      </c>
      <c r="AJ393" s="297"/>
      <c r="AK393" s="297"/>
      <c r="AL393" s="297"/>
      <c r="AM393" s="11"/>
      <c r="AN393" s="11"/>
      <c r="AO393" s="11"/>
    </row>
    <row r="394" spans="1:41" x14ac:dyDescent="0.4">
      <c r="A394" s="291"/>
      <c r="B394" s="292"/>
      <c r="C394" s="292"/>
      <c r="D394" s="292"/>
      <c r="E394" s="529"/>
      <c r="F394" s="527"/>
      <c r="G394" s="528"/>
      <c r="H394" s="528"/>
      <c r="I394" s="528"/>
      <c r="J394" s="528"/>
      <c r="K394" s="528"/>
      <c r="L394" s="528"/>
      <c r="M394" s="528"/>
      <c r="N394" s="528"/>
      <c r="O394" s="528"/>
      <c r="P394" s="528"/>
      <c r="Q394" s="528"/>
      <c r="R394" s="527"/>
      <c r="S394" s="528"/>
      <c r="T394" s="528"/>
      <c r="U394" s="528"/>
      <c r="V394" s="529"/>
      <c r="W394" s="530">
        <f t="shared" si="49"/>
        <v>0</v>
      </c>
      <c r="X394" s="530">
        <f t="shared" si="50"/>
        <v>0</v>
      </c>
      <c r="Y394" s="530">
        <f t="shared" si="51"/>
        <v>0</v>
      </c>
      <c r="Z394" s="530">
        <f t="shared" si="52"/>
        <v>0</v>
      </c>
      <c r="AA394" s="530">
        <f t="shared" si="53"/>
        <v>0</v>
      </c>
      <c r="AB394" s="530" t="e">
        <f t="shared" si="54"/>
        <v>#DIV/0!</v>
      </c>
      <c r="AC394" s="531" t="e">
        <f t="shared" si="55"/>
        <v>#DIV/0!</v>
      </c>
      <c r="AE394" s="301" t="str">
        <f>AF394&amp;TM[[#This Row],[Insurer Code]]&amp;"; "&amp;AG394&amp;TM[[#This Row],[Reporting Year]]&amp;"; "&amp;AH394&amp;TM[[#This Row],[Insurance Category Code]]&amp;"; "&amp;AI394&amp;TM[[#This Row],[Large Provider Entity Code]]</f>
        <v xml:space="preserve">Insurer Code ; Reporting Year ; Insurance Category Code ; Large Provider Entity Code </v>
      </c>
      <c r="AF394" s="297" t="s">
        <v>197</v>
      </c>
      <c r="AG394" s="297" t="s">
        <v>198</v>
      </c>
      <c r="AH394" s="297" t="s">
        <v>199</v>
      </c>
      <c r="AI394" s="297" t="s">
        <v>200</v>
      </c>
      <c r="AJ394" s="297"/>
      <c r="AK394" s="297"/>
      <c r="AL394" s="297"/>
      <c r="AM394" s="11"/>
      <c r="AN394" s="11"/>
      <c r="AO394" s="11"/>
    </row>
    <row r="395" spans="1:41" x14ac:dyDescent="0.4">
      <c r="A395" s="291"/>
      <c r="B395" s="292"/>
      <c r="C395" s="292"/>
      <c r="D395" s="292"/>
      <c r="E395" s="529"/>
      <c r="F395" s="527"/>
      <c r="G395" s="528"/>
      <c r="H395" s="528"/>
      <c r="I395" s="528"/>
      <c r="J395" s="528"/>
      <c r="K395" s="528"/>
      <c r="L395" s="528"/>
      <c r="M395" s="528"/>
      <c r="N395" s="528"/>
      <c r="O395" s="528"/>
      <c r="P395" s="528"/>
      <c r="Q395" s="528"/>
      <c r="R395" s="527"/>
      <c r="S395" s="528"/>
      <c r="T395" s="528"/>
      <c r="U395" s="528"/>
      <c r="V395" s="529"/>
      <c r="W395" s="530">
        <f t="shared" si="49"/>
        <v>0</v>
      </c>
      <c r="X395" s="530">
        <f t="shared" si="50"/>
        <v>0</v>
      </c>
      <c r="Y395" s="530">
        <f t="shared" si="51"/>
        <v>0</v>
      </c>
      <c r="Z395" s="530">
        <f t="shared" si="52"/>
        <v>0</v>
      </c>
      <c r="AA395" s="530">
        <f t="shared" si="53"/>
        <v>0</v>
      </c>
      <c r="AB395" s="530" t="e">
        <f t="shared" si="54"/>
        <v>#DIV/0!</v>
      </c>
      <c r="AC395" s="531" t="e">
        <f t="shared" si="55"/>
        <v>#DIV/0!</v>
      </c>
      <c r="AE395" s="301" t="str">
        <f>AF395&amp;TM[[#This Row],[Insurer Code]]&amp;"; "&amp;AG395&amp;TM[[#This Row],[Reporting Year]]&amp;"; "&amp;AH395&amp;TM[[#This Row],[Insurance Category Code]]&amp;"; "&amp;AI395&amp;TM[[#This Row],[Large Provider Entity Code]]</f>
        <v xml:space="preserve">Insurer Code ; Reporting Year ; Insurance Category Code ; Large Provider Entity Code </v>
      </c>
      <c r="AF395" s="297" t="s">
        <v>197</v>
      </c>
      <c r="AG395" s="297" t="s">
        <v>198</v>
      </c>
      <c r="AH395" s="297" t="s">
        <v>199</v>
      </c>
      <c r="AI395" s="297" t="s">
        <v>200</v>
      </c>
      <c r="AJ395" s="297"/>
      <c r="AK395" s="297"/>
      <c r="AL395" s="297"/>
      <c r="AM395" s="11"/>
      <c r="AN395" s="11"/>
      <c r="AO395" s="11"/>
    </row>
    <row r="396" spans="1:41" x14ac:dyDescent="0.4">
      <c r="A396" s="291"/>
      <c r="B396" s="292"/>
      <c r="C396" s="292"/>
      <c r="D396" s="292"/>
      <c r="E396" s="529"/>
      <c r="F396" s="527"/>
      <c r="G396" s="528"/>
      <c r="H396" s="528"/>
      <c r="I396" s="528"/>
      <c r="J396" s="528"/>
      <c r="K396" s="528"/>
      <c r="L396" s="528"/>
      <c r="M396" s="528"/>
      <c r="N396" s="528"/>
      <c r="O396" s="528"/>
      <c r="P396" s="528"/>
      <c r="Q396" s="528"/>
      <c r="R396" s="527"/>
      <c r="S396" s="528"/>
      <c r="T396" s="528"/>
      <c r="U396" s="528"/>
      <c r="V396" s="529"/>
      <c r="W396" s="530">
        <f t="shared" si="49"/>
        <v>0</v>
      </c>
      <c r="X396" s="530">
        <f t="shared" si="50"/>
        <v>0</v>
      </c>
      <c r="Y396" s="530">
        <f t="shared" si="51"/>
        <v>0</v>
      </c>
      <c r="Z396" s="530">
        <f t="shared" si="52"/>
        <v>0</v>
      </c>
      <c r="AA396" s="530">
        <f t="shared" si="53"/>
        <v>0</v>
      </c>
      <c r="AB396" s="530" t="e">
        <f t="shared" si="54"/>
        <v>#DIV/0!</v>
      </c>
      <c r="AC396" s="531" t="e">
        <f t="shared" si="55"/>
        <v>#DIV/0!</v>
      </c>
      <c r="AE396" s="301" t="str">
        <f>AF396&amp;TM[[#This Row],[Insurer Code]]&amp;"; "&amp;AG396&amp;TM[[#This Row],[Reporting Year]]&amp;"; "&amp;AH396&amp;TM[[#This Row],[Insurance Category Code]]&amp;"; "&amp;AI396&amp;TM[[#This Row],[Large Provider Entity Code]]</f>
        <v xml:space="preserve">Insurer Code ; Reporting Year ; Insurance Category Code ; Large Provider Entity Code </v>
      </c>
      <c r="AF396" s="297" t="s">
        <v>197</v>
      </c>
      <c r="AG396" s="297" t="s">
        <v>198</v>
      </c>
      <c r="AH396" s="297" t="s">
        <v>199</v>
      </c>
      <c r="AI396" s="297" t="s">
        <v>200</v>
      </c>
      <c r="AJ396" s="297"/>
      <c r="AK396" s="297"/>
      <c r="AL396" s="297"/>
      <c r="AM396" s="11"/>
      <c r="AN396" s="11"/>
      <c r="AO396" s="11"/>
    </row>
    <row r="397" spans="1:41" x14ac:dyDescent="0.4">
      <c r="A397" s="291"/>
      <c r="B397" s="292"/>
      <c r="C397" s="292"/>
      <c r="D397" s="292"/>
      <c r="E397" s="529"/>
      <c r="F397" s="527"/>
      <c r="G397" s="528"/>
      <c r="H397" s="528"/>
      <c r="I397" s="528"/>
      <c r="J397" s="528"/>
      <c r="K397" s="528"/>
      <c r="L397" s="528"/>
      <c r="M397" s="528"/>
      <c r="N397" s="528"/>
      <c r="O397" s="528"/>
      <c r="P397" s="528"/>
      <c r="Q397" s="528"/>
      <c r="R397" s="527"/>
      <c r="S397" s="528"/>
      <c r="T397" s="528"/>
      <c r="U397" s="528"/>
      <c r="V397" s="529"/>
      <c r="W397" s="530">
        <f t="shared" si="49"/>
        <v>0</v>
      </c>
      <c r="X397" s="530">
        <f t="shared" si="50"/>
        <v>0</v>
      </c>
      <c r="Y397" s="530">
        <f t="shared" si="51"/>
        <v>0</v>
      </c>
      <c r="Z397" s="530">
        <f t="shared" si="52"/>
        <v>0</v>
      </c>
      <c r="AA397" s="530">
        <f t="shared" si="53"/>
        <v>0</v>
      </c>
      <c r="AB397" s="530" t="e">
        <f t="shared" si="54"/>
        <v>#DIV/0!</v>
      </c>
      <c r="AC397" s="531" t="e">
        <f t="shared" si="55"/>
        <v>#DIV/0!</v>
      </c>
      <c r="AE397" s="301" t="str">
        <f>AF397&amp;TM[[#This Row],[Insurer Code]]&amp;"; "&amp;AG397&amp;TM[[#This Row],[Reporting Year]]&amp;"; "&amp;AH397&amp;TM[[#This Row],[Insurance Category Code]]&amp;"; "&amp;AI397&amp;TM[[#This Row],[Large Provider Entity Code]]</f>
        <v xml:space="preserve">Insurer Code ; Reporting Year ; Insurance Category Code ; Large Provider Entity Code </v>
      </c>
      <c r="AF397" s="297" t="s">
        <v>197</v>
      </c>
      <c r="AG397" s="297" t="s">
        <v>198</v>
      </c>
      <c r="AH397" s="297" t="s">
        <v>199</v>
      </c>
      <c r="AI397" s="297" t="s">
        <v>200</v>
      </c>
      <c r="AJ397" s="297"/>
      <c r="AK397" s="297"/>
      <c r="AL397" s="297"/>
      <c r="AM397" s="11"/>
      <c r="AN397" s="11"/>
      <c r="AO397" s="11"/>
    </row>
    <row r="398" spans="1:41" x14ac:dyDescent="0.4">
      <c r="A398" s="291"/>
      <c r="B398" s="292"/>
      <c r="C398" s="292"/>
      <c r="D398" s="292"/>
      <c r="E398" s="529"/>
      <c r="F398" s="527"/>
      <c r="G398" s="528"/>
      <c r="H398" s="528"/>
      <c r="I398" s="528"/>
      <c r="J398" s="528"/>
      <c r="K398" s="528"/>
      <c r="L398" s="528"/>
      <c r="M398" s="528"/>
      <c r="N398" s="528"/>
      <c r="O398" s="528"/>
      <c r="P398" s="528"/>
      <c r="Q398" s="528"/>
      <c r="R398" s="527"/>
      <c r="S398" s="528"/>
      <c r="T398" s="528"/>
      <c r="U398" s="528"/>
      <c r="V398" s="529"/>
      <c r="W398" s="530">
        <f t="shared" si="49"/>
        <v>0</v>
      </c>
      <c r="X398" s="530">
        <f t="shared" si="50"/>
        <v>0</v>
      </c>
      <c r="Y398" s="530">
        <f t="shared" si="51"/>
        <v>0</v>
      </c>
      <c r="Z398" s="530">
        <f t="shared" si="52"/>
        <v>0</v>
      </c>
      <c r="AA398" s="530">
        <f t="shared" si="53"/>
        <v>0</v>
      </c>
      <c r="AB398" s="530" t="e">
        <f t="shared" si="54"/>
        <v>#DIV/0!</v>
      </c>
      <c r="AC398" s="531" t="e">
        <f t="shared" si="55"/>
        <v>#DIV/0!</v>
      </c>
      <c r="AE398" s="301" t="str">
        <f>AF398&amp;TM[[#This Row],[Insurer Code]]&amp;"; "&amp;AG398&amp;TM[[#This Row],[Reporting Year]]&amp;"; "&amp;AH398&amp;TM[[#This Row],[Insurance Category Code]]&amp;"; "&amp;AI398&amp;TM[[#This Row],[Large Provider Entity Code]]</f>
        <v xml:space="preserve">Insurer Code ; Reporting Year ; Insurance Category Code ; Large Provider Entity Code </v>
      </c>
      <c r="AF398" s="297" t="s">
        <v>197</v>
      </c>
      <c r="AG398" s="297" t="s">
        <v>198</v>
      </c>
      <c r="AH398" s="297" t="s">
        <v>199</v>
      </c>
      <c r="AI398" s="297" t="s">
        <v>200</v>
      </c>
      <c r="AJ398" s="297"/>
      <c r="AK398" s="297"/>
      <c r="AL398" s="297"/>
      <c r="AM398" s="11"/>
      <c r="AN398" s="11"/>
      <c r="AO398" s="11"/>
    </row>
    <row r="399" spans="1:41" x14ac:dyDescent="0.4">
      <c r="A399" s="291"/>
      <c r="B399" s="292"/>
      <c r="C399" s="292"/>
      <c r="D399" s="292"/>
      <c r="E399" s="529"/>
      <c r="F399" s="527"/>
      <c r="G399" s="528"/>
      <c r="H399" s="528"/>
      <c r="I399" s="528"/>
      <c r="J399" s="528"/>
      <c r="K399" s="528"/>
      <c r="L399" s="528"/>
      <c r="M399" s="528"/>
      <c r="N399" s="528"/>
      <c r="O399" s="528"/>
      <c r="P399" s="528"/>
      <c r="Q399" s="528"/>
      <c r="R399" s="527"/>
      <c r="S399" s="528"/>
      <c r="T399" s="528"/>
      <c r="U399" s="528"/>
      <c r="V399" s="529"/>
      <c r="W399" s="530">
        <f t="shared" si="49"/>
        <v>0</v>
      </c>
      <c r="X399" s="530">
        <f t="shared" si="50"/>
        <v>0</v>
      </c>
      <c r="Y399" s="530">
        <f t="shared" si="51"/>
        <v>0</v>
      </c>
      <c r="Z399" s="530">
        <f t="shared" si="52"/>
        <v>0</v>
      </c>
      <c r="AA399" s="530">
        <f t="shared" si="53"/>
        <v>0</v>
      </c>
      <c r="AB399" s="530" t="e">
        <f t="shared" si="54"/>
        <v>#DIV/0!</v>
      </c>
      <c r="AC399" s="531" t="e">
        <f t="shared" si="55"/>
        <v>#DIV/0!</v>
      </c>
      <c r="AE399" s="301" t="str">
        <f>AF399&amp;TM[[#This Row],[Insurer Code]]&amp;"; "&amp;AG399&amp;TM[[#This Row],[Reporting Year]]&amp;"; "&amp;AH399&amp;TM[[#This Row],[Insurance Category Code]]&amp;"; "&amp;AI399&amp;TM[[#This Row],[Large Provider Entity Code]]</f>
        <v xml:space="preserve">Insurer Code ; Reporting Year ; Insurance Category Code ; Large Provider Entity Code </v>
      </c>
      <c r="AF399" s="297" t="s">
        <v>197</v>
      </c>
      <c r="AG399" s="297" t="s">
        <v>198</v>
      </c>
      <c r="AH399" s="297" t="s">
        <v>199</v>
      </c>
      <c r="AI399" s="297" t="s">
        <v>200</v>
      </c>
      <c r="AJ399" s="297"/>
      <c r="AK399" s="297"/>
      <c r="AL399" s="297"/>
      <c r="AM399" s="11"/>
      <c r="AN399" s="11"/>
      <c r="AO399" s="11"/>
    </row>
    <row r="400" spans="1:41" x14ac:dyDescent="0.4">
      <c r="A400" s="291"/>
      <c r="B400" s="292"/>
      <c r="C400" s="292"/>
      <c r="D400" s="292"/>
      <c r="E400" s="529"/>
      <c r="F400" s="527"/>
      <c r="G400" s="528"/>
      <c r="H400" s="528"/>
      <c r="I400" s="528"/>
      <c r="J400" s="528"/>
      <c r="K400" s="528"/>
      <c r="L400" s="528"/>
      <c r="M400" s="528"/>
      <c r="N400" s="528"/>
      <c r="O400" s="528"/>
      <c r="P400" s="528"/>
      <c r="Q400" s="528"/>
      <c r="R400" s="527"/>
      <c r="S400" s="528"/>
      <c r="T400" s="528"/>
      <c r="U400" s="528"/>
      <c r="V400" s="529"/>
      <c r="W400" s="530">
        <f t="shared" si="49"/>
        <v>0</v>
      </c>
      <c r="X400" s="530">
        <f t="shared" si="50"/>
        <v>0</v>
      </c>
      <c r="Y400" s="530">
        <f t="shared" si="51"/>
        <v>0</v>
      </c>
      <c r="Z400" s="530">
        <f t="shared" si="52"/>
        <v>0</v>
      </c>
      <c r="AA400" s="530">
        <f t="shared" si="53"/>
        <v>0</v>
      </c>
      <c r="AB400" s="530" t="e">
        <f t="shared" si="54"/>
        <v>#DIV/0!</v>
      </c>
      <c r="AC400" s="531" t="e">
        <f t="shared" si="55"/>
        <v>#DIV/0!</v>
      </c>
      <c r="AE400" s="301" t="str">
        <f>AF400&amp;TM[[#This Row],[Insurer Code]]&amp;"; "&amp;AG400&amp;TM[[#This Row],[Reporting Year]]&amp;"; "&amp;AH400&amp;TM[[#This Row],[Insurance Category Code]]&amp;"; "&amp;AI400&amp;TM[[#This Row],[Large Provider Entity Code]]</f>
        <v xml:space="preserve">Insurer Code ; Reporting Year ; Insurance Category Code ; Large Provider Entity Code </v>
      </c>
      <c r="AF400" s="297" t="s">
        <v>197</v>
      </c>
      <c r="AG400" s="297" t="s">
        <v>198</v>
      </c>
      <c r="AH400" s="297" t="s">
        <v>199</v>
      </c>
      <c r="AI400" s="297" t="s">
        <v>200</v>
      </c>
      <c r="AJ400" s="297"/>
      <c r="AK400" s="297"/>
      <c r="AL400" s="297"/>
      <c r="AM400" s="11"/>
      <c r="AN400" s="11"/>
      <c r="AO400" s="11"/>
    </row>
    <row r="401" spans="1:41" x14ac:dyDescent="0.4">
      <c r="A401" s="291"/>
      <c r="B401" s="292"/>
      <c r="C401" s="292"/>
      <c r="D401" s="292"/>
      <c r="E401" s="529"/>
      <c r="F401" s="527"/>
      <c r="G401" s="528"/>
      <c r="H401" s="528"/>
      <c r="I401" s="528"/>
      <c r="J401" s="528"/>
      <c r="K401" s="528"/>
      <c r="L401" s="528"/>
      <c r="M401" s="528"/>
      <c r="N401" s="528"/>
      <c r="O401" s="528"/>
      <c r="P401" s="528"/>
      <c r="Q401" s="528"/>
      <c r="R401" s="527"/>
      <c r="S401" s="528"/>
      <c r="T401" s="528"/>
      <c r="U401" s="528"/>
      <c r="V401" s="529"/>
      <c r="W401" s="530">
        <f t="shared" ref="W401:W410" si="56">SUM(F401:M401)</f>
        <v>0</v>
      </c>
      <c r="X401" s="530">
        <f t="shared" ref="X401:X410" si="57">SUM(N401:S401)</f>
        <v>0</v>
      </c>
      <c r="Y401" s="530">
        <f t="shared" ref="Y401:Y410" si="58">W401+X401</f>
        <v>0</v>
      </c>
      <c r="Z401" s="530">
        <f t="shared" ref="Z401:Z410" si="59">W401-U401</f>
        <v>0</v>
      </c>
      <c r="AA401" s="530">
        <f t="shared" ref="AA401:AA410" si="60">Z401+X401</f>
        <v>0</v>
      </c>
      <c r="AB401" s="530" t="e">
        <f t="shared" ref="AB401:AB410" si="61">Y401/E401</f>
        <v>#DIV/0!</v>
      </c>
      <c r="AC401" s="531" t="e">
        <f t="shared" ref="AC401:AC410" si="62">AA401/E401</f>
        <v>#DIV/0!</v>
      </c>
      <c r="AE401" s="301" t="str">
        <f>AF401&amp;TM[[#This Row],[Insurer Code]]&amp;"; "&amp;AG401&amp;TM[[#This Row],[Reporting Year]]&amp;"; "&amp;AH401&amp;TM[[#This Row],[Insurance Category Code]]&amp;"; "&amp;AI401&amp;TM[[#This Row],[Large Provider Entity Code]]</f>
        <v xml:space="preserve">Insurer Code ; Reporting Year ; Insurance Category Code ; Large Provider Entity Code </v>
      </c>
      <c r="AF401" s="297" t="s">
        <v>197</v>
      </c>
      <c r="AG401" s="297" t="s">
        <v>198</v>
      </c>
      <c r="AH401" s="297" t="s">
        <v>199</v>
      </c>
      <c r="AI401" s="297" t="s">
        <v>200</v>
      </c>
      <c r="AJ401" s="297"/>
      <c r="AK401" s="297"/>
      <c r="AL401" s="297"/>
      <c r="AM401" s="11"/>
      <c r="AN401" s="11"/>
      <c r="AO401" s="11"/>
    </row>
    <row r="402" spans="1:41" x14ac:dyDescent="0.4">
      <c r="A402" s="291"/>
      <c r="B402" s="292"/>
      <c r="C402" s="292"/>
      <c r="D402" s="292"/>
      <c r="E402" s="529"/>
      <c r="F402" s="527"/>
      <c r="G402" s="528"/>
      <c r="H402" s="528"/>
      <c r="I402" s="528"/>
      <c r="J402" s="528"/>
      <c r="K402" s="528"/>
      <c r="L402" s="528"/>
      <c r="M402" s="528"/>
      <c r="N402" s="528"/>
      <c r="O402" s="528"/>
      <c r="P402" s="528"/>
      <c r="Q402" s="528"/>
      <c r="R402" s="527"/>
      <c r="S402" s="528"/>
      <c r="T402" s="528"/>
      <c r="U402" s="528"/>
      <c r="V402" s="529"/>
      <c r="W402" s="530">
        <f t="shared" si="56"/>
        <v>0</v>
      </c>
      <c r="X402" s="530">
        <f t="shared" si="57"/>
        <v>0</v>
      </c>
      <c r="Y402" s="530">
        <f t="shared" si="58"/>
        <v>0</v>
      </c>
      <c r="Z402" s="530">
        <f t="shared" si="59"/>
        <v>0</v>
      </c>
      <c r="AA402" s="530">
        <f t="shared" si="60"/>
        <v>0</v>
      </c>
      <c r="AB402" s="530" t="e">
        <f t="shared" si="61"/>
        <v>#DIV/0!</v>
      </c>
      <c r="AC402" s="531" t="e">
        <f t="shared" si="62"/>
        <v>#DIV/0!</v>
      </c>
      <c r="AE402" s="301" t="str">
        <f>AF402&amp;TM[[#This Row],[Insurer Code]]&amp;"; "&amp;AG402&amp;TM[[#This Row],[Reporting Year]]&amp;"; "&amp;AH402&amp;TM[[#This Row],[Insurance Category Code]]&amp;"; "&amp;AI402&amp;TM[[#This Row],[Large Provider Entity Code]]</f>
        <v xml:space="preserve">Insurer Code ; Reporting Year ; Insurance Category Code ; Large Provider Entity Code </v>
      </c>
      <c r="AF402" s="297" t="s">
        <v>197</v>
      </c>
      <c r="AG402" s="297" t="s">
        <v>198</v>
      </c>
      <c r="AH402" s="297" t="s">
        <v>199</v>
      </c>
      <c r="AI402" s="297" t="s">
        <v>200</v>
      </c>
      <c r="AJ402" s="297"/>
      <c r="AK402" s="297"/>
      <c r="AL402" s="297"/>
      <c r="AM402" s="11"/>
      <c r="AN402" s="11"/>
      <c r="AO402" s="11"/>
    </row>
    <row r="403" spans="1:41" x14ac:dyDescent="0.4">
      <c r="A403" s="291"/>
      <c r="B403" s="292"/>
      <c r="C403" s="292"/>
      <c r="D403" s="292"/>
      <c r="E403" s="529"/>
      <c r="F403" s="527"/>
      <c r="G403" s="528"/>
      <c r="H403" s="528"/>
      <c r="I403" s="528"/>
      <c r="J403" s="528"/>
      <c r="K403" s="528"/>
      <c r="L403" s="528"/>
      <c r="M403" s="528"/>
      <c r="N403" s="528"/>
      <c r="O403" s="528"/>
      <c r="P403" s="528"/>
      <c r="Q403" s="528"/>
      <c r="R403" s="527"/>
      <c r="S403" s="528"/>
      <c r="T403" s="528"/>
      <c r="U403" s="528"/>
      <c r="V403" s="529"/>
      <c r="W403" s="530">
        <f t="shared" si="56"/>
        <v>0</v>
      </c>
      <c r="X403" s="530">
        <f t="shared" si="57"/>
        <v>0</v>
      </c>
      <c r="Y403" s="530">
        <f t="shared" si="58"/>
        <v>0</v>
      </c>
      <c r="Z403" s="530">
        <f t="shared" si="59"/>
        <v>0</v>
      </c>
      <c r="AA403" s="530">
        <f t="shared" si="60"/>
        <v>0</v>
      </c>
      <c r="AB403" s="530" t="e">
        <f t="shared" si="61"/>
        <v>#DIV/0!</v>
      </c>
      <c r="AC403" s="531" t="e">
        <f t="shared" si="62"/>
        <v>#DIV/0!</v>
      </c>
      <c r="AE403" s="301" t="str">
        <f>AF403&amp;TM[[#This Row],[Insurer Code]]&amp;"; "&amp;AG403&amp;TM[[#This Row],[Reporting Year]]&amp;"; "&amp;AH403&amp;TM[[#This Row],[Insurance Category Code]]&amp;"; "&amp;AI403&amp;TM[[#This Row],[Large Provider Entity Code]]</f>
        <v xml:space="preserve">Insurer Code ; Reporting Year ; Insurance Category Code ; Large Provider Entity Code </v>
      </c>
      <c r="AF403" s="297" t="s">
        <v>197</v>
      </c>
      <c r="AG403" s="297" t="s">
        <v>198</v>
      </c>
      <c r="AH403" s="297" t="s">
        <v>199</v>
      </c>
      <c r="AI403" s="297" t="s">
        <v>200</v>
      </c>
      <c r="AJ403" s="297"/>
      <c r="AK403" s="297"/>
      <c r="AL403" s="297"/>
      <c r="AM403" s="11"/>
      <c r="AN403" s="11"/>
      <c r="AO403" s="11"/>
    </row>
    <row r="404" spans="1:41" x14ac:dyDescent="0.4">
      <c r="A404" s="291"/>
      <c r="B404" s="292"/>
      <c r="C404" s="292"/>
      <c r="D404" s="292"/>
      <c r="E404" s="529"/>
      <c r="F404" s="527"/>
      <c r="G404" s="528"/>
      <c r="H404" s="528"/>
      <c r="I404" s="528"/>
      <c r="J404" s="528"/>
      <c r="K404" s="528"/>
      <c r="L404" s="528"/>
      <c r="M404" s="528"/>
      <c r="N404" s="528"/>
      <c r="O404" s="528"/>
      <c r="P404" s="528"/>
      <c r="Q404" s="528"/>
      <c r="R404" s="527"/>
      <c r="S404" s="528"/>
      <c r="T404" s="528"/>
      <c r="U404" s="528"/>
      <c r="V404" s="529"/>
      <c r="W404" s="530">
        <f t="shared" si="56"/>
        <v>0</v>
      </c>
      <c r="X404" s="530">
        <f t="shared" si="57"/>
        <v>0</v>
      </c>
      <c r="Y404" s="530">
        <f t="shared" si="58"/>
        <v>0</v>
      </c>
      <c r="Z404" s="530">
        <f t="shared" si="59"/>
        <v>0</v>
      </c>
      <c r="AA404" s="530">
        <f t="shared" si="60"/>
        <v>0</v>
      </c>
      <c r="AB404" s="530" t="e">
        <f t="shared" si="61"/>
        <v>#DIV/0!</v>
      </c>
      <c r="AC404" s="531" t="e">
        <f t="shared" si="62"/>
        <v>#DIV/0!</v>
      </c>
      <c r="AE404" s="301" t="str">
        <f>AF404&amp;TM[[#This Row],[Insurer Code]]&amp;"; "&amp;AG404&amp;TM[[#This Row],[Reporting Year]]&amp;"; "&amp;AH404&amp;TM[[#This Row],[Insurance Category Code]]&amp;"; "&amp;AI404&amp;TM[[#This Row],[Large Provider Entity Code]]</f>
        <v xml:space="preserve">Insurer Code ; Reporting Year ; Insurance Category Code ; Large Provider Entity Code </v>
      </c>
      <c r="AF404" s="297" t="s">
        <v>197</v>
      </c>
      <c r="AG404" s="297" t="s">
        <v>198</v>
      </c>
      <c r="AH404" s="297" t="s">
        <v>199</v>
      </c>
      <c r="AI404" s="297" t="s">
        <v>200</v>
      </c>
      <c r="AJ404" s="297"/>
      <c r="AK404" s="297"/>
      <c r="AL404" s="297"/>
      <c r="AM404" s="11"/>
      <c r="AN404" s="11"/>
      <c r="AO404" s="11"/>
    </row>
    <row r="405" spans="1:41" x14ac:dyDescent="0.4">
      <c r="A405" s="291"/>
      <c r="B405" s="292"/>
      <c r="C405" s="292"/>
      <c r="D405" s="292"/>
      <c r="E405" s="529"/>
      <c r="F405" s="527"/>
      <c r="G405" s="528"/>
      <c r="H405" s="528"/>
      <c r="I405" s="528"/>
      <c r="J405" s="528"/>
      <c r="K405" s="528"/>
      <c r="L405" s="528"/>
      <c r="M405" s="528"/>
      <c r="N405" s="528"/>
      <c r="O405" s="528"/>
      <c r="P405" s="528"/>
      <c r="Q405" s="528"/>
      <c r="R405" s="527"/>
      <c r="S405" s="528"/>
      <c r="T405" s="528"/>
      <c r="U405" s="528"/>
      <c r="V405" s="529"/>
      <c r="W405" s="530">
        <f t="shared" si="56"/>
        <v>0</v>
      </c>
      <c r="X405" s="530">
        <f t="shared" si="57"/>
        <v>0</v>
      </c>
      <c r="Y405" s="530">
        <f t="shared" si="58"/>
        <v>0</v>
      </c>
      <c r="Z405" s="530">
        <f t="shared" si="59"/>
        <v>0</v>
      </c>
      <c r="AA405" s="530">
        <f t="shared" si="60"/>
        <v>0</v>
      </c>
      <c r="AB405" s="530" t="e">
        <f t="shared" si="61"/>
        <v>#DIV/0!</v>
      </c>
      <c r="AC405" s="531" t="e">
        <f t="shared" si="62"/>
        <v>#DIV/0!</v>
      </c>
      <c r="AE405" s="301" t="str">
        <f>AF405&amp;TM[[#This Row],[Insurer Code]]&amp;"; "&amp;AG405&amp;TM[[#This Row],[Reporting Year]]&amp;"; "&amp;AH405&amp;TM[[#This Row],[Insurance Category Code]]&amp;"; "&amp;AI405&amp;TM[[#This Row],[Large Provider Entity Code]]</f>
        <v xml:space="preserve">Insurer Code ; Reporting Year ; Insurance Category Code ; Large Provider Entity Code </v>
      </c>
      <c r="AF405" s="297" t="s">
        <v>197</v>
      </c>
      <c r="AG405" s="297" t="s">
        <v>198</v>
      </c>
      <c r="AH405" s="297" t="s">
        <v>199</v>
      </c>
      <c r="AI405" s="297" t="s">
        <v>200</v>
      </c>
      <c r="AJ405" s="297"/>
      <c r="AK405" s="297"/>
      <c r="AL405" s="297"/>
      <c r="AM405" s="11"/>
      <c r="AN405" s="11"/>
      <c r="AO405" s="11"/>
    </row>
    <row r="406" spans="1:41" x14ac:dyDescent="0.4">
      <c r="A406" s="291"/>
      <c r="B406" s="292"/>
      <c r="C406" s="292"/>
      <c r="D406" s="292"/>
      <c r="E406" s="529"/>
      <c r="F406" s="527"/>
      <c r="G406" s="528"/>
      <c r="H406" s="528"/>
      <c r="I406" s="528"/>
      <c r="J406" s="528"/>
      <c r="K406" s="528"/>
      <c r="L406" s="528"/>
      <c r="M406" s="528"/>
      <c r="N406" s="528"/>
      <c r="O406" s="528"/>
      <c r="P406" s="528"/>
      <c r="Q406" s="528"/>
      <c r="R406" s="527"/>
      <c r="S406" s="528"/>
      <c r="T406" s="528"/>
      <c r="U406" s="528"/>
      <c r="V406" s="529"/>
      <c r="W406" s="530">
        <f t="shared" si="56"/>
        <v>0</v>
      </c>
      <c r="X406" s="530">
        <f t="shared" si="57"/>
        <v>0</v>
      </c>
      <c r="Y406" s="530">
        <f t="shared" si="58"/>
        <v>0</v>
      </c>
      <c r="Z406" s="530">
        <f t="shared" si="59"/>
        <v>0</v>
      </c>
      <c r="AA406" s="530">
        <f t="shared" si="60"/>
        <v>0</v>
      </c>
      <c r="AB406" s="530" t="e">
        <f t="shared" si="61"/>
        <v>#DIV/0!</v>
      </c>
      <c r="AC406" s="531" t="e">
        <f t="shared" si="62"/>
        <v>#DIV/0!</v>
      </c>
      <c r="AE406" s="301" t="str">
        <f>AF406&amp;TM[[#This Row],[Insurer Code]]&amp;"; "&amp;AG406&amp;TM[[#This Row],[Reporting Year]]&amp;"; "&amp;AH406&amp;TM[[#This Row],[Insurance Category Code]]&amp;"; "&amp;AI406&amp;TM[[#This Row],[Large Provider Entity Code]]</f>
        <v xml:space="preserve">Insurer Code ; Reporting Year ; Insurance Category Code ; Large Provider Entity Code </v>
      </c>
      <c r="AF406" s="297" t="s">
        <v>197</v>
      </c>
      <c r="AG406" s="297" t="s">
        <v>198</v>
      </c>
      <c r="AH406" s="297" t="s">
        <v>199</v>
      </c>
      <c r="AI406" s="297" t="s">
        <v>200</v>
      </c>
      <c r="AJ406" s="297"/>
      <c r="AK406" s="297"/>
      <c r="AL406" s="297"/>
      <c r="AM406" s="11"/>
      <c r="AN406" s="11"/>
      <c r="AO406" s="11"/>
    </row>
    <row r="407" spans="1:41" x14ac:dyDescent="0.4">
      <c r="A407" s="291"/>
      <c r="B407" s="292"/>
      <c r="C407" s="292"/>
      <c r="D407" s="292"/>
      <c r="E407" s="529"/>
      <c r="F407" s="527"/>
      <c r="G407" s="528"/>
      <c r="H407" s="528"/>
      <c r="I407" s="528"/>
      <c r="J407" s="528"/>
      <c r="K407" s="528"/>
      <c r="L407" s="528"/>
      <c r="M407" s="528"/>
      <c r="N407" s="528"/>
      <c r="O407" s="528"/>
      <c r="P407" s="528"/>
      <c r="Q407" s="528"/>
      <c r="R407" s="527"/>
      <c r="S407" s="528"/>
      <c r="T407" s="528"/>
      <c r="U407" s="528"/>
      <c r="V407" s="529"/>
      <c r="W407" s="530">
        <f t="shared" si="56"/>
        <v>0</v>
      </c>
      <c r="X407" s="530">
        <f t="shared" si="57"/>
        <v>0</v>
      </c>
      <c r="Y407" s="530">
        <f t="shared" si="58"/>
        <v>0</v>
      </c>
      <c r="Z407" s="530">
        <f t="shared" si="59"/>
        <v>0</v>
      </c>
      <c r="AA407" s="530">
        <f t="shared" si="60"/>
        <v>0</v>
      </c>
      <c r="AB407" s="530" t="e">
        <f t="shared" si="61"/>
        <v>#DIV/0!</v>
      </c>
      <c r="AC407" s="531" t="e">
        <f t="shared" si="62"/>
        <v>#DIV/0!</v>
      </c>
      <c r="AE407" s="301" t="str">
        <f>AF407&amp;TM[[#This Row],[Insurer Code]]&amp;"; "&amp;AG407&amp;TM[[#This Row],[Reporting Year]]&amp;"; "&amp;AH407&amp;TM[[#This Row],[Insurance Category Code]]&amp;"; "&amp;AI407&amp;TM[[#This Row],[Large Provider Entity Code]]</f>
        <v xml:space="preserve">Insurer Code ; Reporting Year ; Insurance Category Code ; Large Provider Entity Code </v>
      </c>
      <c r="AF407" s="297" t="s">
        <v>197</v>
      </c>
      <c r="AG407" s="297" t="s">
        <v>198</v>
      </c>
      <c r="AH407" s="297" t="s">
        <v>199</v>
      </c>
      <c r="AI407" s="297" t="s">
        <v>200</v>
      </c>
      <c r="AJ407" s="297"/>
      <c r="AK407" s="297"/>
      <c r="AL407" s="297"/>
      <c r="AM407" s="11"/>
      <c r="AN407" s="11"/>
      <c r="AO407" s="11"/>
    </row>
    <row r="408" spans="1:41" x14ac:dyDescent="0.4">
      <c r="A408" s="291"/>
      <c r="B408" s="292"/>
      <c r="C408" s="292"/>
      <c r="D408" s="292"/>
      <c r="E408" s="529"/>
      <c r="F408" s="527"/>
      <c r="G408" s="528"/>
      <c r="H408" s="528"/>
      <c r="I408" s="528"/>
      <c r="J408" s="528"/>
      <c r="K408" s="528"/>
      <c r="L408" s="528"/>
      <c r="M408" s="528"/>
      <c r="N408" s="528"/>
      <c r="O408" s="528"/>
      <c r="P408" s="528"/>
      <c r="Q408" s="528"/>
      <c r="R408" s="527"/>
      <c r="S408" s="528"/>
      <c r="T408" s="528"/>
      <c r="U408" s="528"/>
      <c r="V408" s="529"/>
      <c r="W408" s="530">
        <f t="shared" si="56"/>
        <v>0</v>
      </c>
      <c r="X408" s="530">
        <f t="shared" si="57"/>
        <v>0</v>
      </c>
      <c r="Y408" s="530">
        <f t="shared" si="58"/>
        <v>0</v>
      </c>
      <c r="Z408" s="530">
        <f t="shared" si="59"/>
        <v>0</v>
      </c>
      <c r="AA408" s="530">
        <f t="shared" si="60"/>
        <v>0</v>
      </c>
      <c r="AB408" s="530" t="e">
        <f t="shared" si="61"/>
        <v>#DIV/0!</v>
      </c>
      <c r="AC408" s="531" t="e">
        <f t="shared" si="62"/>
        <v>#DIV/0!</v>
      </c>
      <c r="AE408" s="301" t="str">
        <f>AF408&amp;TM[[#This Row],[Insurer Code]]&amp;"; "&amp;AG408&amp;TM[[#This Row],[Reporting Year]]&amp;"; "&amp;AH408&amp;TM[[#This Row],[Insurance Category Code]]&amp;"; "&amp;AI408&amp;TM[[#This Row],[Large Provider Entity Code]]</f>
        <v xml:space="preserve">Insurer Code ; Reporting Year ; Insurance Category Code ; Large Provider Entity Code </v>
      </c>
      <c r="AF408" s="297" t="s">
        <v>197</v>
      </c>
      <c r="AG408" s="297" t="s">
        <v>198</v>
      </c>
      <c r="AH408" s="297" t="s">
        <v>199</v>
      </c>
      <c r="AI408" s="297" t="s">
        <v>200</v>
      </c>
      <c r="AJ408" s="297"/>
      <c r="AK408" s="297"/>
      <c r="AL408" s="297"/>
      <c r="AM408" s="11"/>
      <c r="AN408" s="11"/>
      <c r="AO408" s="11"/>
    </row>
    <row r="409" spans="1:41" x14ac:dyDescent="0.4">
      <c r="A409" s="291"/>
      <c r="B409" s="292"/>
      <c r="C409" s="292"/>
      <c r="D409" s="292"/>
      <c r="E409" s="529"/>
      <c r="F409" s="527"/>
      <c r="G409" s="528"/>
      <c r="H409" s="528"/>
      <c r="I409" s="528"/>
      <c r="J409" s="528"/>
      <c r="K409" s="528"/>
      <c r="L409" s="528"/>
      <c r="M409" s="528"/>
      <c r="N409" s="528"/>
      <c r="O409" s="528"/>
      <c r="P409" s="528"/>
      <c r="Q409" s="528"/>
      <c r="R409" s="527"/>
      <c r="S409" s="528"/>
      <c r="T409" s="528"/>
      <c r="U409" s="528"/>
      <c r="V409" s="529"/>
      <c r="W409" s="530">
        <f t="shared" si="56"/>
        <v>0</v>
      </c>
      <c r="X409" s="530">
        <f t="shared" si="57"/>
        <v>0</v>
      </c>
      <c r="Y409" s="530">
        <f t="shared" si="58"/>
        <v>0</v>
      </c>
      <c r="Z409" s="530">
        <f t="shared" si="59"/>
        <v>0</v>
      </c>
      <c r="AA409" s="530">
        <f t="shared" si="60"/>
        <v>0</v>
      </c>
      <c r="AB409" s="530" t="e">
        <f t="shared" si="61"/>
        <v>#DIV/0!</v>
      </c>
      <c r="AC409" s="531" t="e">
        <f t="shared" si="62"/>
        <v>#DIV/0!</v>
      </c>
      <c r="AE409" s="301" t="str">
        <f>AF409&amp;TM[[#This Row],[Insurer Code]]&amp;"; "&amp;AG409&amp;TM[[#This Row],[Reporting Year]]&amp;"; "&amp;AH409&amp;TM[[#This Row],[Insurance Category Code]]&amp;"; "&amp;AI409&amp;TM[[#This Row],[Large Provider Entity Code]]</f>
        <v xml:space="preserve">Insurer Code ; Reporting Year ; Insurance Category Code ; Large Provider Entity Code </v>
      </c>
      <c r="AF409" s="297" t="s">
        <v>197</v>
      </c>
      <c r="AG409" s="297" t="s">
        <v>198</v>
      </c>
      <c r="AH409" s="297" t="s">
        <v>199</v>
      </c>
      <c r="AI409" s="297" t="s">
        <v>200</v>
      </c>
      <c r="AJ409" s="297"/>
      <c r="AK409" s="297"/>
      <c r="AL409" s="297"/>
      <c r="AM409" s="11"/>
      <c r="AN409" s="11"/>
      <c r="AO409" s="11"/>
    </row>
    <row r="410" spans="1:41" x14ac:dyDescent="0.4">
      <c r="A410" s="291"/>
      <c r="B410" s="292"/>
      <c r="C410" s="292"/>
      <c r="D410" s="292"/>
      <c r="E410" s="529"/>
      <c r="F410" s="527"/>
      <c r="G410" s="528"/>
      <c r="H410" s="528"/>
      <c r="I410" s="528"/>
      <c r="J410" s="528"/>
      <c r="K410" s="528"/>
      <c r="L410" s="528"/>
      <c r="M410" s="528"/>
      <c r="N410" s="528"/>
      <c r="O410" s="528"/>
      <c r="P410" s="528"/>
      <c r="Q410" s="528"/>
      <c r="R410" s="527"/>
      <c r="S410" s="528"/>
      <c r="T410" s="528"/>
      <c r="U410" s="528"/>
      <c r="V410" s="529"/>
      <c r="W410" s="530">
        <f t="shared" si="56"/>
        <v>0</v>
      </c>
      <c r="X410" s="530">
        <f t="shared" si="57"/>
        <v>0</v>
      </c>
      <c r="Y410" s="530">
        <f t="shared" si="58"/>
        <v>0</v>
      </c>
      <c r="Z410" s="530">
        <f t="shared" si="59"/>
        <v>0</v>
      </c>
      <c r="AA410" s="530">
        <f t="shared" si="60"/>
        <v>0</v>
      </c>
      <c r="AB410" s="530" t="e">
        <f t="shared" si="61"/>
        <v>#DIV/0!</v>
      </c>
      <c r="AC410" s="531" t="e">
        <f t="shared" si="62"/>
        <v>#DIV/0!</v>
      </c>
      <c r="AE410" s="301" t="str">
        <f>AF410&amp;TM[[#This Row],[Insurer Code]]&amp;"; "&amp;AG410&amp;TM[[#This Row],[Reporting Year]]&amp;"; "&amp;AH410&amp;TM[[#This Row],[Insurance Category Code]]&amp;"; "&amp;AI410&amp;TM[[#This Row],[Large Provider Entity Code]]</f>
        <v xml:space="preserve">Insurer Code ; Reporting Year ; Insurance Category Code ; Large Provider Entity Code </v>
      </c>
      <c r="AF410" s="297" t="s">
        <v>197</v>
      </c>
      <c r="AG410" s="297" t="s">
        <v>198</v>
      </c>
      <c r="AH410" s="297" t="s">
        <v>199</v>
      </c>
      <c r="AI410" s="297" t="s">
        <v>200</v>
      </c>
      <c r="AJ410" s="297"/>
      <c r="AK410" s="297"/>
      <c r="AL410" s="297"/>
      <c r="AM410" s="11"/>
      <c r="AN410" s="11"/>
      <c r="AO410" s="11"/>
    </row>
    <row r="411" spans="1:41" x14ac:dyDescent="0.4">
      <c r="A411" s="536"/>
      <c r="B411" s="537"/>
      <c r="C411" s="537"/>
      <c r="D411" s="537"/>
      <c r="E411" s="538"/>
      <c r="F411" s="539"/>
      <c r="G411" s="540"/>
      <c r="H411" s="540"/>
      <c r="I411" s="540"/>
      <c r="J411" s="540"/>
      <c r="K411" s="540"/>
      <c r="L411" s="540"/>
      <c r="M411" s="540"/>
      <c r="N411" s="540"/>
      <c r="O411" s="540"/>
      <c r="P411" s="540"/>
      <c r="Q411" s="540"/>
      <c r="R411" s="539"/>
      <c r="S411" s="540"/>
      <c r="T411" s="540"/>
      <c r="U411" s="540"/>
      <c r="V411" s="538"/>
      <c r="W411" s="541">
        <f t="shared" si="49"/>
        <v>0</v>
      </c>
      <c r="X411" s="541">
        <f t="shared" si="50"/>
        <v>0</v>
      </c>
      <c r="Y411" s="541">
        <f t="shared" si="51"/>
        <v>0</v>
      </c>
      <c r="Z411" s="541">
        <f t="shared" si="52"/>
        <v>0</v>
      </c>
      <c r="AA411" s="541">
        <f t="shared" si="53"/>
        <v>0</v>
      </c>
      <c r="AB411" s="541" t="e">
        <f t="shared" si="54"/>
        <v>#DIV/0!</v>
      </c>
      <c r="AC411" s="542" t="e">
        <f t="shared" si="55"/>
        <v>#DIV/0!</v>
      </c>
      <c r="AE411" s="301" t="str">
        <f>AF411&amp;TM[[#This Row],[Insurer Code]]&amp;"; "&amp;AG411&amp;TM[[#This Row],[Reporting Year]]&amp;"; "&amp;AH411&amp;TM[[#This Row],[Insurance Category Code]]&amp;"; "&amp;AI411&amp;TM[[#This Row],[Large Provider Entity Code]]</f>
        <v xml:space="preserve">Insurer Code ; Reporting Year ; Insurance Category Code ; Large Provider Entity Code </v>
      </c>
      <c r="AF411" s="297" t="s">
        <v>197</v>
      </c>
      <c r="AG411" s="297" t="s">
        <v>198</v>
      </c>
      <c r="AH411" s="297" t="s">
        <v>199</v>
      </c>
      <c r="AI411" s="297" t="s">
        <v>200</v>
      </c>
      <c r="AJ411" s="297"/>
      <c r="AK411" s="297"/>
      <c r="AL411" s="297"/>
      <c r="AM411" s="11"/>
      <c r="AN411" s="11"/>
      <c r="AO411" s="11"/>
    </row>
  </sheetData>
  <sheetProtection insertRows="0" sort="0" autoFilter="0" pivotTables="0"/>
  <protectedRanges>
    <protectedRange sqref="W12:AC337" name="Range1"/>
  </protectedRanges>
  <phoneticPr fontId="17" type="noConversion"/>
  <conditionalFormatting sqref="A12:A411">
    <cfRule type="containsBlanks" dxfId="162" priority="7" stopIfTrue="1">
      <formula>LEN(TRIM(A12))=0</formula>
    </cfRule>
    <cfRule type="expression" dxfId="161" priority="8">
      <formula>AND(A12&lt;&gt;201, A12&lt;&gt;202, A12&lt;&gt;203, A12&lt;&gt;204, A12&lt;&gt;205, A12&lt;&gt;206, A12&lt;&gt;207)</formula>
    </cfRule>
  </conditionalFormatting>
  <conditionalFormatting sqref="B12:B411">
    <cfRule type="containsBlanks" priority="11" stopIfTrue="1">
      <formula>LEN(TRIM(B12))=0</formula>
    </cfRule>
    <cfRule type="expression" dxfId="160" priority="12" stopIfTrue="1">
      <formula>ISNUMBER(B12)=FALSE</formula>
    </cfRule>
    <cfRule type="expression" dxfId="159" priority="13">
      <formula>AND(B12&lt;&gt;2024, B12&lt;&gt;2025)</formula>
    </cfRule>
  </conditionalFormatting>
  <conditionalFormatting sqref="C12:C411">
    <cfRule type="containsBlanks" dxfId="158" priority="5" stopIfTrue="1">
      <formula>LEN(TRIM(C12))=0</formula>
    </cfRule>
    <cfRule type="expression" dxfId="157" priority="6">
      <formula>AND(C12&lt;&gt;1, C12&lt;&gt;2, C12&lt;&gt;3, C12&lt;&gt;4, C12&lt;&gt;5, C12&lt;&gt;6, C12&lt;&gt;7, C12&lt;&gt;8)</formula>
    </cfRule>
  </conditionalFormatting>
  <conditionalFormatting sqref="D12:D411">
    <cfRule type="containsBlanks" dxfId="156" priority="1" stopIfTrue="1">
      <formula>LEN(TRIM(D12))=0</formula>
    </cfRule>
    <cfRule type="expression" dxfId="155" priority="2">
      <formula>AND(D12&lt;&gt;100, D12&lt;&gt;101, D12&lt;&gt;102, D12&lt;&gt;123, D12&lt;&gt;104, D12&lt;&gt;105, D12&lt;&gt;106, D12&lt;&gt;107, D12&lt;&gt;108, D12&lt;&gt;109, D12&lt;&gt;110, D12&lt;&gt;111, D12&lt;&gt;112, D12&lt;&gt;115, D12&lt;&gt;116, D12&lt;&gt;118, D12&lt;&gt;120, D12&lt;&gt;121, D12&lt;&gt;122, D12&lt;&gt;124, D12&lt;&gt;125, D12&lt;&gt;126, D12&lt;&gt;127, D12&lt;&gt;128, D12&lt;&gt;999)</formula>
    </cfRule>
  </conditionalFormatting>
  <dataValidations xWindow="254" yWindow="530" count="6">
    <dataValidation allowBlank="1" showInputMessage="1" showErrorMessage="1" promptTitle="Input required" prompt="Enter non-negative number" sqref="F12:N411 P12:Q411" xr:uid="{25EC3926-A98C-442E-A22E-7D393ADC4315}"/>
    <dataValidation allowBlank="1" showInputMessage="1" showErrorMessage="1" promptTitle="Input required" prompt="Enter non-positive number (zero or negative number)" sqref="R12:R411" xr:uid="{DD183768-875E-4FEA-8BC6-E804B595D952}"/>
    <dataValidation allowBlank="1" showInputMessage="1" showErrorMessage="1" promptTitle="Input requried" prompt="Enter non-negative number" sqref="S12:U411" xr:uid="{84B7C86C-FD10-4B1E-9214-E6D1A624F9F7}"/>
    <dataValidation allowBlank="1" showInputMessage="1" showErrorMessage="1" promptTitle="Input required" prompt="Enter non-negative integer" sqref="E12:E411" xr:uid="{11AF3385-C7E6-4FCB-A406-A5E85BFBD778}"/>
    <dataValidation allowBlank="1" showInputMessage="1" showErrorMessage="1" promptTitle="Input required" prompt="Enter number" sqref="O12:O411" xr:uid="{7293320D-211E-470E-A650-8323980FAEB3}"/>
    <dataValidation allowBlank="1" showInputMessage="1" showErrorMessage="1" prompt="Enter non-negative integer; input must be greater than zero if the Total Claims Excluded Due to Truncation field is greater than zero" sqref="V12:V411" xr:uid="{DE13CDAA-86AE-4654-9CD8-EB086FA4652E}"/>
  </dataValidations>
  <pageMargins left="0.7" right="0.7" top="0.75" bottom="0.75" header="0.3" footer="0.3"/>
  <pageSetup scale="17" fitToHeight="100" orientation="landscape" r:id="rId1"/>
  <headerFooter>
    <oddFooter>&amp;L&amp;"-,Bold"Carrier Benchmark Data Submission Template&amp;"-,Regular" | NJ Hart Program &amp;RPage &amp;P</oddFooter>
  </headerFooter>
  <tableParts count="1">
    <tablePart r:id="rId2"/>
  </tableParts>
  <extLst>
    <ext xmlns:x14="http://schemas.microsoft.com/office/spreadsheetml/2009/9/main" uri="{CCE6A557-97BC-4b89-ADB6-D9C93CAAB3DF}">
      <x14:dataValidations xmlns:xm="http://schemas.microsoft.com/office/excel/2006/main" xWindow="254" yWindow="530" count="4">
        <x14:dataValidation type="list" allowBlank="1" showInputMessage="1" showErrorMessage="1" errorTitle="Invalid input" error="Select option from the drop down list" promptTitle="Input required" prompt="Input must be an option from the drop down list" xr:uid="{8A268158-EA9F-4F7A-9AB2-6A1DE7BC1630}">
          <x14:formula1>
            <xm:f>'Reference Tables'!$A$16:$A$17</xm:f>
          </x14:formula1>
          <xm:sqref>B12:B411</xm:sqref>
        </x14:dataValidation>
        <x14:dataValidation type="list" allowBlank="1" showInputMessage="1" showErrorMessage="1" promptTitle="Input required" prompt="Input must be an option from the drop down list." xr:uid="{FA8E7BD8-4D13-4DBD-916E-A8FFE6D77609}">
          <x14:formula1>
            <xm:f>'Reference Tables'!$A$21:$A$28</xm:f>
          </x14:formula1>
          <xm:sqref>C12:C411</xm:sqref>
        </x14:dataValidation>
        <x14:dataValidation type="list" allowBlank="1" showInputMessage="1" showErrorMessage="1" error="Select Insurer Code as listed in the Reference Tables tab." promptTitle="Input required" prompt="Input must align with the Insurer Code in the file name and the Insurer Name on the Cover Page tab" xr:uid="{C06097DB-5E57-488A-89BE-B9FF874E27EF}">
          <x14:formula1>
            <xm:f>'Reference Tables'!$A$6:$A$12</xm:f>
          </x14:formula1>
          <xm:sqref>A12:A411</xm:sqref>
        </x14:dataValidation>
        <x14:dataValidation type="list" allowBlank="1" showInputMessage="1" showErrorMessage="1" promptTitle="Input required" prompt="Input must be an option from the drop down list if Member Months field is greater than zero" xr:uid="{B6452DC5-8789-4B12-A3E8-14282F045A39}">
          <x14:formula1>
            <xm:f>'Reference Tables'!$A$32:$A$56</xm:f>
          </x14:formula1>
          <xm:sqref>D12:D411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5417C-57D1-4B6D-9EDA-5FEED082892B}">
  <sheetPr>
    <tabColor theme="9" tint="0.39997558519241921"/>
    <pageSetUpPr fitToPage="1"/>
  </sheetPr>
  <dimension ref="A1:V6411"/>
  <sheetViews>
    <sheetView showGridLines="0" zoomScale="60" zoomScaleNormal="60" workbookViewId="0">
      <selection activeCell="A14" sqref="A14"/>
    </sheetView>
  </sheetViews>
  <sheetFormatPr defaultColWidth="9" defaultRowHeight="16.8" x14ac:dyDescent="0.4"/>
  <cols>
    <col min="1" max="6" width="15.59765625" style="10" customWidth="1"/>
    <col min="7" max="10" width="25.59765625" style="10" customWidth="1"/>
    <col min="11" max="11" width="25.59765625" style="11" customWidth="1"/>
    <col min="12" max="12" width="8.59765625" style="10" customWidth="1"/>
    <col min="13" max="13" width="131.5" style="10" customWidth="1"/>
    <col min="14" max="20" width="9" style="299"/>
    <col min="21" max="22" width="9" style="41"/>
    <col min="23" max="16384" width="9" style="10"/>
  </cols>
  <sheetData>
    <row r="1" spans="1:22" ht="20.399999999999999" x14ac:dyDescent="0.45">
      <c r="A1" s="9" t="s">
        <v>30</v>
      </c>
      <c r="B1" s="260"/>
      <c r="C1" s="260"/>
      <c r="D1" s="260"/>
      <c r="E1" s="260"/>
      <c r="F1" s="260"/>
      <c r="G1" s="1"/>
      <c r="H1" s="1"/>
      <c r="I1" s="1"/>
      <c r="J1" s="1"/>
      <c r="K1" s="1"/>
    </row>
    <row r="2" spans="1:22" ht="15" customHeight="1" x14ac:dyDescent="0.4">
      <c r="A2" s="21" t="s">
        <v>137</v>
      </c>
      <c r="B2" s="260"/>
      <c r="C2" s="260"/>
      <c r="D2" s="260"/>
      <c r="E2" s="260"/>
      <c r="F2" s="260"/>
      <c r="G2" s="1"/>
      <c r="H2" s="1"/>
      <c r="I2" s="1"/>
      <c r="J2" s="1"/>
      <c r="K2" s="1"/>
    </row>
    <row r="3" spans="1:22" ht="15" customHeight="1" x14ac:dyDescent="0.4">
      <c r="A3" s="21"/>
      <c r="B3" s="260"/>
      <c r="C3" s="260"/>
      <c r="D3" s="260"/>
      <c r="E3" s="260"/>
      <c r="F3" s="260"/>
      <c r="G3" s="1"/>
      <c r="H3" s="1"/>
      <c r="I3" s="1"/>
      <c r="J3" s="1"/>
      <c r="K3" s="1"/>
    </row>
    <row r="4" spans="1:22" s="38" customFormat="1" x14ac:dyDescent="0.4">
      <c r="A4" s="253" t="s">
        <v>122</v>
      </c>
      <c r="B4" s="39"/>
      <c r="C4" s="39"/>
      <c r="D4" s="39"/>
      <c r="E4" s="39"/>
      <c r="F4" s="39"/>
      <c r="G4" s="28"/>
      <c r="H4" s="28"/>
      <c r="I4" s="28"/>
      <c r="J4" s="28"/>
      <c r="K4" s="28"/>
      <c r="N4" s="299"/>
      <c r="O4" s="299"/>
      <c r="P4" s="299"/>
      <c r="Q4" s="299"/>
      <c r="R4" s="299"/>
      <c r="S4" s="299"/>
      <c r="T4" s="299"/>
      <c r="U4" s="41"/>
      <c r="V4" s="41"/>
    </row>
    <row r="5" spans="1:22" ht="30" customHeight="1" x14ac:dyDescent="0.4">
      <c r="A5" s="610" t="s">
        <v>201</v>
      </c>
      <c r="B5" s="610"/>
      <c r="C5" s="610"/>
      <c r="D5" s="610"/>
      <c r="E5" s="610"/>
      <c r="F5" s="610"/>
      <c r="G5" s="610"/>
      <c r="H5" s="610"/>
      <c r="I5" s="610"/>
      <c r="J5" s="610"/>
      <c r="K5" s="610"/>
    </row>
    <row r="6" spans="1:22" x14ac:dyDescent="0.4">
      <c r="A6" s="612" t="s">
        <v>123</v>
      </c>
      <c r="B6" s="612"/>
      <c r="C6" s="612"/>
      <c r="D6" s="612"/>
      <c r="E6" s="612"/>
      <c r="F6" s="612"/>
      <c r="G6" s="612"/>
      <c r="H6" s="612"/>
      <c r="I6" s="612"/>
      <c r="J6" s="612"/>
      <c r="K6" s="612"/>
    </row>
    <row r="7" spans="1:22" x14ac:dyDescent="0.4">
      <c r="A7" s="611" t="s">
        <v>140</v>
      </c>
      <c r="B7" s="611"/>
      <c r="C7" s="611"/>
      <c r="D7" s="611"/>
      <c r="E7" s="611"/>
      <c r="F7" s="611"/>
      <c r="G7" s="611"/>
      <c r="H7" s="611"/>
      <c r="I7" s="611"/>
      <c r="J7" s="611"/>
      <c r="K7" s="611"/>
    </row>
    <row r="8" spans="1:22" s="11" customFormat="1" x14ac:dyDescent="0.4">
      <c r="A8"/>
      <c r="B8"/>
      <c r="C8"/>
      <c r="D8"/>
      <c r="E8"/>
      <c r="F8"/>
      <c r="G8"/>
      <c r="H8"/>
      <c r="I8"/>
      <c r="J8"/>
      <c r="K8"/>
      <c r="N8" s="297"/>
      <c r="O8" s="297"/>
      <c r="P8" s="297"/>
      <c r="Q8" s="297"/>
      <c r="R8" s="297"/>
      <c r="S8" s="297"/>
      <c r="T8" s="297"/>
      <c r="U8" s="298"/>
      <c r="V8" s="298"/>
    </row>
    <row r="9" spans="1:22" s="11" customFormat="1" x14ac:dyDescent="0.4">
      <c r="A9"/>
      <c r="B9"/>
      <c r="C9"/>
      <c r="D9"/>
      <c r="E9"/>
      <c r="F9"/>
      <c r="G9"/>
      <c r="H9"/>
      <c r="I9"/>
      <c r="J9"/>
      <c r="K9"/>
      <c r="L9" s="20"/>
      <c r="N9" s="297"/>
      <c r="O9" s="297"/>
      <c r="P9" s="297"/>
      <c r="Q9" s="297"/>
      <c r="R9" s="297"/>
      <c r="S9" s="297"/>
      <c r="T9" s="297"/>
      <c r="U9" s="298"/>
      <c r="V9" s="298"/>
    </row>
    <row r="10" spans="1:22" s="38" customFormat="1" x14ac:dyDescent="0.4">
      <c r="A10" s="63" t="s">
        <v>202</v>
      </c>
      <c r="B10" s="63" t="s">
        <v>203</v>
      </c>
      <c r="C10" s="63" t="s">
        <v>204</v>
      </c>
      <c r="D10" s="63" t="s">
        <v>205</v>
      </c>
      <c r="E10" s="63" t="s">
        <v>206</v>
      </c>
      <c r="F10" s="63" t="s">
        <v>207</v>
      </c>
      <c r="G10" s="63" t="s">
        <v>208</v>
      </c>
      <c r="H10" s="63" t="s">
        <v>209</v>
      </c>
      <c r="I10" s="63" t="s">
        <v>210</v>
      </c>
      <c r="J10" s="63" t="s">
        <v>211</v>
      </c>
      <c r="K10" s="63" t="s">
        <v>212</v>
      </c>
      <c r="N10" s="299"/>
      <c r="O10" s="299"/>
      <c r="P10" s="299"/>
      <c r="Q10" s="299"/>
      <c r="R10" s="299"/>
      <c r="S10" s="299"/>
      <c r="T10" s="299"/>
      <c r="U10" s="41"/>
      <c r="V10" s="41"/>
    </row>
    <row r="11" spans="1:22" ht="64.2" customHeight="1" x14ac:dyDescent="0.4">
      <c r="A11" s="111" t="s">
        <v>48</v>
      </c>
      <c r="B11" s="112" t="s">
        <v>170</v>
      </c>
      <c r="C11" s="112" t="s">
        <v>56</v>
      </c>
      <c r="D11" s="112" t="s">
        <v>66</v>
      </c>
      <c r="E11" s="112" t="s">
        <v>73</v>
      </c>
      <c r="F11" s="112" t="s">
        <v>82</v>
      </c>
      <c r="G11" s="24" t="s">
        <v>171</v>
      </c>
      <c r="H11" s="23" t="s">
        <v>187</v>
      </c>
      <c r="I11" s="23" t="s">
        <v>188</v>
      </c>
      <c r="J11" s="23" t="s">
        <v>189</v>
      </c>
      <c r="K11" s="23" t="s">
        <v>192</v>
      </c>
      <c r="M11" s="301" t="s">
        <v>196</v>
      </c>
      <c r="N11" s="297"/>
      <c r="O11" s="297"/>
      <c r="P11" s="297"/>
      <c r="Q11" s="297"/>
      <c r="R11" s="297"/>
      <c r="S11" s="297"/>
    </row>
    <row r="12" spans="1:22" x14ac:dyDescent="0.4">
      <c r="A12" s="291"/>
      <c r="B12" s="292"/>
      <c r="C12" s="312"/>
      <c r="D12" s="292"/>
      <c r="E12" s="489"/>
      <c r="F12" s="489"/>
      <c r="G12" s="490"/>
      <c r="H12" s="520"/>
      <c r="I12" s="523"/>
      <c r="J12" s="521"/>
      <c r="K12" s="522"/>
      <c r="M12" s="301" t="str">
        <f>N12&amp;AS[[#This Row],[Insurer Code]]&amp;"; "&amp;O12&amp;AS[[#This Row],[Reporting Year]]&amp;"; "&amp;P12&amp;AS[[#This Row],[Insurance Category Code]]&amp;"; "&amp;Q12&amp;AS[[#This Row],[Large Provider Entity Code]]&amp;"; "&amp;R12&amp;AS[[#This Row],[Age Band Code]]&amp;"; "&amp;S12&amp;AS[[#This Row],[Sex Code]]</f>
        <v xml:space="preserve">Insurer Code ; Reporting Year ; Insurance Category Code ; Large Provider Entity Code ; Age Band Code ; Sex Code </v>
      </c>
      <c r="N12" s="297" t="s">
        <v>197</v>
      </c>
      <c r="O12" s="297" t="s">
        <v>198</v>
      </c>
      <c r="P12" s="297" t="s">
        <v>199</v>
      </c>
      <c r="Q12" s="297" t="s">
        <v>200</v>
      </c>
      <c r="R12" s="297" t="s">
        <v>213</v>
      </c>
      <c r="S12" s="297" t="s">
        <v>214</v>
      </c>
    </row>
    <row r="13" spans="1:22" x14ac:dyDescent="0.4">
      <c r="A13" s="291"/>
      <c r="B13" s="292"/>
      <c r="C13" s="312"/>
      <c r="D13" s="292"/>
      <c r="E13" s="489"/>
      <c r="F13" s="489"/>
      <c r="G13" s="490"/>
      <c r="H13" s="520"/>
      <c r="I13" s="523"/>
      <c r="J13" s="521"/>
      <c r="K13" s="522"/>
      <c r="M13" s="301" t="str">
        <f>N13&amp;AS[[#This Row],[Insurer Code]]&amp;"; "&amp;O13&amp;AS[[#This Row],[Reporting Year]]&amp;"; "&amp;P13&amp;AS[[#This Row],[Insurance Category Code]]&amp;"; "&amp;Q13&amp;AS[[#This Row],[Large Provider Entity Code]]&amp;"; "&amp;R13&amp;AS[[#This Row],[Age Band Code]]&amp;"; "&amp;S13&amp;AS[[#This Row],[Sex Code]]</f>
        <v xml:space="preserve">Insurer Code ; Reporting Year ; Insurance Category Code ; Large Provider Entity Code ; Age Band Code ; Sex Code </v>
      </c>
      <c r="N13" s="297" t="s">
        <v>197</v>
      </c>
      <c r="O13" s="297" t="s">
        <v>198</v>
      </c>
      <c r="P13" s="297" t="s">
        <v>199</v>
      </c>
      <c r="Q13" s="297" t="s">
        <v>200</v>
      </c>
      <c r="R13" s="297" t="s">
        <v>213</v>
      </c>
      <c r="S13" s="297" t="s">
        <v>214</v>
      </c>
    </row>
    <row r="14" spans="1:22" x14ac:dyDescent="0.4">
      <c r="A14" s="291"/>
      <c r="B14" s="292"/>
      <c r="C14" s="312"/>
      <c r="D14" s="292"/>
      <c r="E14" s="489"/>
      <c r="F14" s="489"/>
      <c r="G14" s="490"/>
      <c r="H14" s="520"/>
      <c r="I14" s="523"/>
      <c r="J14" s="521"/>
      <c r="K14" s="522"/>
      <c r="M14" s="301" t="str">
        <f>N14&amp;AS[[#This Row],[Insurer Code]]&amp;"; "&amp;O14&amp;AS[[#This Row],[Reporting Year]]&amp;"; "&amp;P14&amp;AS[[#This Row],[Insurance Category Code]]&amp;"; "&amp;Q14&amp;AS[[#This Row],[Large Provider Entity Code]]&amp;"; "&amp;R14&amp;AS[[#This Row],[Age Band Code]]&amp;"; "&amp;S14&amp;AS[[#This Row],[Sex Code]]</f>
        <v xml:space="preserve">Insurer Code ; Reporting Year ; Insurance Category Code ; Large Provider Entity Code ; Age Band Code ; Sex Code </v>
      </c>
      <c r="N14" s="297" t="s">
        <v>197</v>
      </c>
      <c r="O14" s="297" t="s">
        <v>198</v>
      </c>
      <c r="P14" s="297" t="s">
        <v>199</v>
      </c>
      <c r="Q14" s="297" t="s">
        <v>200</v>
      </c>
      <c r="R14" s="297" t="s">
        <v>213</v>
      </c>
      <c r="S14" s="297" t="s">
        <v>214</v>
      </c>
    </row>
    <row r="15" spans="1:22" x14ac:dyDescent="0.4">
      <c r="A15" s="291"/>
      <c r="B15" s="292"/>
      <c r="C15" s="312"/>
      <c r="D15" s="292"/>
      <c r="E15" s="489"/>
      <c r="F15" s="489"/>
      <c r="G15" s="490"/>
      <c r="H15" s="520"/>
      <c r="I15" s="523"/>
      <c r="J15" s="521"/>
      <c r="K15" s="522"/>
      <c r="M15" s="301" t="str">
        <f>N15&amp;AS[[#This Row],[Insurer Code]]&amp;"; "&amp;O15&amp;AS[[#This Row],[Reporting Year]]&amp;"; "&amp;P15&amp;AS[[#This Row],[Insurance Category Code]]&amp;"; "&amp;Q15&amp;AS[[#This Row],[Large Provider Entity Code]]&amp;"; "&amp;R15&amp;AS[[#This Row],[Age Band Code]]&amp;"; "&amp;S15&amp;AS[[#This Row],[Sex Code]]</f>
        <v xml:space="preserve">Insurer Code ; Reporting Year ; Insurance Category Code ; Large Provider Entity Code ; Age Band Code ; Sex Code </v>
      </c>
      <c r="N15" s="297" t="s">
        <v>197</v>
      </c>
      <c r="O15" s="297" t="s">
        <v>198</v>
      </c>
      <c r="P15" s="297" t="s">
        <v>199</v>
      </c>
      <c r="Q15" s="297" t="s">
        <v>200</v>
      </c>
      <c r="R15" s="297" t="s">
        <v>213</v>
      </c>
      <c r="S15" s="297" t="s">
        <v>214</v>
      </c>
    </row>
    <row r="16" spans="1:22" x14ac:dyDescent="0.4">
      <c r="A16" s="291"/>
      <c r="B16" s="292"/>
      <c r="C16" s="312"/>
      <c r="D16" s="292"/>
      <c r="E16" s="489"/>
      <c r="F16" s="489"/>
      <c r="G16" s="490"/>
      <c r="H16" s="520"/>
      <c r="I16" s="523"/>
      <c r="J16" s="521"/>
      <c r="K16" s="522"/>
      <c r="M16" s="301" t="str">
        <f>N16&amp;AS[[#This Row],[Insurer Code]]&amp;"; "&amp;O16&amp;AS[[#This Row],[Reporting Year]]&amp;"; "&amp;P16&amp;AS[[#This Row],[Insurance Category Code]]&amp;"; "&amp;Q16&amp;AS[[#This Row],[Large Provider Entity Code]]&amp;"; "&amp;R16&amp;AS[[#This Row],[Age Band Code]]&amp;"; "&amp;S16&amp;AS[[#This Row],[Sex Code]]</f>
        <v xml:space="preserve">Insurer Code ; Reporting Year ; Insurance Category Code ; Large Provider Entity Code ; Age Band Code ; Sex Code </v>
      </c>
      <c r="N16" s="297" t="s">
        <v>197</v>
      </c>
      <c r="O16" s="297" t="s">
        <v>198</v>
      </c>
      <c r="P16" s="297" t="s">
        <v>199</v>
      </c>
      <c r="Q16" s="297" t="s">
        <v>200</v>
      </c>
      <c r="R16" s="297" t="s">
        <v>213</v>
      </c>
      <c r="S16" s="297" t="s">
        <v>214</v>
      </c>
    </row>
    <row r="17" spans="1:19" x14ac:dyDescent="0.4">
      <c r="A17" s="291"/>
      <c r="B17" s="292"/>
      <c r="C17" s="312"/>
      <c r="D17" s="292"/>
      <c r="E17" s="489"/>
      <c r="F17" s="489"/>
      <c r="G17" s="490"/>
      <c r="H17" s="520"/>
      <c r="I17" s="523"/>
      <c r="J17" s="521"/>
      <c r="K17" s="522"/>
      <c r="M17" s="301" t="str">
        <f>N17&amp;AS[[#This Row],[Insurer Code]]&amp;"; "&amp;O17&amp;AS[[#This Row],[Reporting Year]]&amp;"; "&amp;P17&amp;AS[[#This Row],[Insurance Category Code]]&amp;"; "&amp;Q17&amp;AS[[#This Row],[Large Provider Entity Code]]&amp;"; "&amp;R17&amp;AS[[#This Row],[Age Band Code]]&amp;"; "&amp;S17&amp;AS[[#This Row],[Sex Code]]</f>
        <v xml:space="preserve">Insurer Code ; Reporting Year ; Insurance Category Code ; Large Provider Entity Code ; Age Band Code ; Sex Code </v>
      </c>
      <c r="N17" s="297" t="s">
        <v>197</v>
      </c>
      <c r="O17" s="297" t="s">
        <v>198</v>
      </c>
      <c r="P17" s="297" t="s">
        <v>199</v>
      </c>
      <c r="Q17" s="297" t="s">
        <v>200</v>
      </c>
      <c r="R17" s="297" t="s">
        <v>213</v>
      </c>
      <c r="S17" s="297" t="s">
        <v>214</v>
      </c>
    </row>
    <row r="18" spans="1:19" x14ac:dyDescent="0.4">
      <c r="A18" s="291"/>
      <c r="B18" s="292"/>
      <c r="C18" s="312"/>
      <c r="D18" s="292"/>
      <c r="E18" s="489"/>
      <c r="F18" s="489"/>
      <c r="G18" s="490"/>
      <c r="H18" s="520"/>
      <c r="I18" s="523"/>
      <c r="J18" s="521"/>
      <c r="K18" s="522"/>
      <c r="M18" s="301" t="str">
        <f>N18&amp;AS[[#This Row],[Insurer Code]]&amp;"; "&amp;O18&amp;AS[[#This Row],[Reporting Year]]&amp;"; "&amp;P18&amp;AS[[#This Row],[Insurance Category Code]]&amp;"; "&amp;Q18&amp;AS[[#This Row],[Large Provider Entity Code]]&amp;"; "&amp;R18&amp;AS[[#This Row],[Age Band Code]]&amp;"; "&amp;S18&amp;AS[[#This Row],[Sex Code]]</f>
        <v xml:space="preserve">Insurer Code ; Reporting Year ; Insurance Category Code ; Large Provider Entity Code ; Age Band Code ; Sex Code </v>
      </c>
      <c r="N18" s="297" t="s">
        <v>197</v>
      </c>
      <c r="O18" s="297" t="s">
        <v>198</v>
      </c>
      <c r="P18" s="297" t="s">
        <v>199</v>
      </c>
      <c r="Q18" s="297" t="s">
        <v>200</v>
      </c>
      <c r="R18" s="297" t="s">
        <v>213</v>
      </c>
      <c r="S18" s="297" t="s">
        <v>214</v>
      </c>
    </row>
    <row r="19" spans="1:19" x14ac:dyDescent="0.4">
      <c r="A19" s="291"/>
      <c r="B19" s="292"/>
      <c r="C19" s="312"/>
      <c r="D19" s="292"/>
      <c r="E19" s="489"/>
      <c r="F19" s="489"/>
      <c r="G19" s="490"/>
      <c r="H19" s="520"/>
      <c r="I19" s="523"/>
      <c r="J19" s="521"/>
      <c r="K19" s="522"/>
      <c r="M19" s="301" t="str">
        <f>N19&amp;AS[[#This Row],[Insurer Code]]&amp;"; "&amp;O19&amp;AS[[#This Row],[Reporting Year]]&amp;"; "&amp;P19&amp;AS[[#This Row],[Insurance Category Code]]&amp;"; "&amp;Q19&amp;AS[[#This Row],[Large Provider Entity Code]]&amp;"; "&amp;R19&amp;AS[[#This Row],[Age Band Code]]&amp;"; "&amp;S19&amp;AS[[#This Row],[Sex Code]]</f>
        <v xml:space="preserve">Insurer Code ; Reporting Year ; Insurance Category Code ; Large Provider Entity Code ; Age Band Code ; Sex Code </v>
      </c>
      <c r="N19" s="297" t="s">
        <v>197</v>
      </c>
      <c r="O19" s="297" t="s">
        <v>198</v>
      </c>
      <c r="P19" s="297" t="s">
        <v>199</v>
      </c>
      <c r="Q19" s="297" t="s">
        <v>200</v>
      </c>
      <c r="R19" s="297" t="s">
        <v>213</v>
      </c>
      <c r="S19" s="297" t="s">
        <v>214</v>
      </c>
    </row>
    <row r="20" spans="1:19" x14ac:dyDescent="0.4">
      <c r="A20" s="291"/>
      <c r="B20" s="292"/>
      <c r="C20" s="312"/>
      <c r="D20" s="292"/>
      <c r="E20" s="489"/>
      <c r="F20" s="489"/>
      <c r="G20" s="490"/>
      <c r="H20" s="520"/>
      <c r="I20" s="523"/>
      <c r="J20" s="521"/>
      <c r="K20" s="522"/>
      <c r="M20" s="301" t="str">
        <f>N20&amp;AS[[#This Row],[Insurer Code]]&amp;"; "&amp;O20&amp;AS[[#This Row],[Reporting Year]]&amp;"; "&amp;P20&amp;AS[[#This Row],[Insurance Category Code]]&amp;"; "&amp;Q20&amp;AS[[#This Row],[Large Provider Entity Code]]&amp;"; "&amp;R20&amp;AS[[#This Row],[Age Band Code]]&amp;"; "&amp;S20&amp;AS[[#This Row],[Sex Code]]</f>
        <v xml:space="preserve">Insurer Code ; Reporting Year ; Insurance Category Code ; Large Provider Entity Code ; Age Band Code ; Sex Code </v>
      </c>
      <c r="N20" s="297" t="s">
        <v>197</v>
      </c>
      <c r="O20" s="297" t="s">
        <v>198</v>
      </c>
      <c r="P20" s="297" t="s">
        <v>199</v>
      </c>
      <c r="Q20" s="297" t="s">
        <v>200</v>
      </c>
      <c r="R20" s="297" t="s">
        <v>213</v>
      </c>
      <c r="S20" s="297" t="s">
        <v>214</v>
      </c>
    </row>
    <row r="21" spans="1:19" x14ac:dyDescent="0.4">
      <c r="A21" s="291"/>
      <c r="B21" s="292"/>
      <c r="C21" s="312"/>
      <c r="D21" s="292"/>
      <c r="E21" s="489"/>
      <c r="F21" s="489"/>
      <c r="G21" s="490"/>
      <c r="H21" s="520"/>
      <c r="I21" s="523"/>
      <c r="J21" s="521"/>
      <c r="K21" s="522"/>
      <c r="M21" s="301" t="str">
        <f>N21&amp;AS[[#This Row],[Insurer Code]]&amp;"; "&amp;O21&amp;AS[[#This Row],[Reporting Year]]&amp;"; "&amp;P21&amp;AS[[#This Row],[Insurance Category Code]]&amp;"; "&amp;Q21&amp;AS[[#This Row],[Large Provider Entity Code]]&amp;"; "&amp;R21&amp;AS[[#This Row],[Age Band Code]]&amp;"; "&amp;S21&amp;AS[[#This Row],[Sex Code]]</f>
        <v xml:space="preserve">Insurer Code ; Reporting Year ; Insurance Category Code ; Large Provider Entity Code ; Age Band Code ; Sex Code </v>
      </c>
      <c r="N21" s="297" t="s">
        <v>197</v>
      </c>
      <c r="O21" s="297" t="s">
        <v>198</v>
      </c>
      <c r="P21" s="297" t="s">
        <v>199</v>
      </c>
      <c r="Q21" s="297" t="s">
        <v>200</v>
      </c>
      <c r="R21" s="297" t="s">
        <v>213</v>
      </c>
      <c r="S21" s="297" t="s">
        <v>214</v>
      </c>
    </row>
    <row r="22" spans="1:19" x14ac:dyDescent="0.4">
      <c r="A22" s="291"/>
      <c r="B22" s="292"/>
      <c r="C22" s="312"/>
      <c r="D22" s="292"/>
      <c r="E22" s="489"/>
      <c r="F22" s="489"/>
      <c r="G22" s="490"/>
      <c r="H22" s="520"/>
      <c r="I22" s="523"/>
      <c r="J22" s="521"/>
      <c r="K22" s="522"/>
      <c r="M22" s="301" t="str">
        <f>N22&amp;AS[[#This Row],[Insurer Code]]&amp;"; "&amp;O22&amp;AS[[#This Row],[Reporting Year]]&amp;"; "&amp;P22&amp;AS[[#This Row],[Insurance Category Code]]&amp;"; "&amp;Q22&amp;AS[[#This Row],[Large Provider Entity Code]]&amp;"; "&amp;R22&amp;AS[[#This Row],[Age Band Code]]&amp;"; "&amp;S22&amp;AS[[#This Row],[Sex Code]]</f>
        <v xml:space="preserve">Insurer Code ; Reporting Year ; Insurance Category Code ; Large Provider Entity Code ; Age Band Code ; Sex Code </v>
      </c>
      <c r="N22" s="297" t="s">
        <v>197</v>
      </c>
      <c r="O22" s="297" t="s">
        <v>198</v>
      </c>
      <c r="P22" s="297" t="s">
        <v>199</v>
      </c>
      <c r="Q22" s="297" t="s">
        <v>200</v>
      </c>
      <c r="R22" s="297" t="s">
        <v>213</v>
      </c>
      <c r="S22" s="297" t="s">
        <v>214</v>
      </c>
    </row>
    <row r="23" spans="1:19" x14ac:dyDescent="0.4">
      <c r="A23" s="291"/>
      <c r="B23" s="292"/>
      <c r="C23" s="312"/>
      <c r="D23" s="292"/>
      <c r="E23" s="489"/>
      <c r="F23" s="489"/>
      <c r="G23" s="490"/>
      <c r="H23" s="520"/>
      <c r="I23" s="523"/>
      <c r="J23" s="521"/>
      <c r="K23" s="522"/>
      <c r="M23" s="301" t="str">
        <f>N23&amp;AS[[#This Row],[Insurer Code]]&amp;"; "&amp;O23&amp;AS[[#This Row],[Reporting Year]]&amp;"; "&amp;P23&amp;AS[[#This Row],[Insurance Category Code]]&amp;"; "&amp;Q23&amp;AS[[#This Row],[Large Provider Entity Code]]&amp;"; "&amp;R23&amp;AS[[#This Row],[Age Band Code]]&amp;"; "&amp;S23&amp;AS[[#This Row],[Sex Code]]</f>
        <v xml:space="preserve">Insurer Code ; Reporting Year ; Insurance Category Code ; Large Provider Entity Code ; Age Band Code ; Sex Code </v>
      </c>
      <c r="N23" s="297" t="s">
        <v>197</v>
      </c>
      <c r="O23" s="297" t="s">
        <v>198</v>
      </c>
      <c r="P23" s="297" t="s">
        <v>199</v>
      </c>
      <c r="Q23" s="297" t="s">
        <v>200</v>
      </c>
      <c r="R23" s="297" t="s">
        <v>213</v>
      </c>
      <c r="S23" s="297" t="s">
        <v>214</v>
      </c>
    </row>
    <row r="24" spans="1:19" x14ac:dyDescent="0.4">
      <c r="A24" s="291"/>
      <c r="B24" s="292"/>
      <c r="C24" s="312"/>
      <c r="D24" s="292"/>
      <c r="E24" s="489"/>
      <c r="F24" s="489"/>
      <c r="G24" s="490"/>
      <c r="H24" s="520"/>
      <c r="I24" s="523"/>
      <c r="J24" s="521"/>
      <c r="K24" s="522"/>
      <c r="M24" s="301" t="str">
        <f>N24&amp;AS[[#This Row],[Insurer Code]]&amp;"; "&amp;O24&amp;AS[[#This Row],[Reporting Year]]&amp;"; "&amp;P24&amp;AS[[#This Row],[Insurance Category Code]]&amp;"; "&amp;Q24&amp;AS[[#This Row],[Large Provider Entity Code]]&amp;"; "&amp;R24&amp;AS[[#This Row],[Age Band Code]]&amp;"; "&amp;S24&amp;AS[[#This Row],[Sex Code]]</f>
        <v xml:space="preserve">Insurer Code ; Reporting Year ; Insurance Category Code ; Large Provider Entity Code ; Age Band Code ; Sex Code </v>
      </c>
      <c r="N24" s="297" t="s">
        <v>197</v>
      </c>
      <c r="O24" s="297" t="s">
        <v>198</v>
      </c>
      <c r="P24" s="297" t="s">
        <v>199</v>
      </c>
      <c r="Q24" s="297" t="s">
        <v>200</v>
      </c>
      <c r="R24" s="297" t="s">
        <v>213</v>
      </c>
      <c r="S24" s="297" t="s">
        <v>214</v>
      </c>
    </row>
    <row r="25" spans="1:19" x14ac:dyDescent="0.4">
      <c r="A25" s="291"/>
      <c r="B25" s="292"/>
      <c r="C25" s="312"/>
      <c r="D25" s="292"/>
      <c r="E25" s="489"/>
      <c r="F25" s="489"/>
      <c r="G25" s="490"/>
      <c r="H25" s="520"/>
      <c r="I25" s="523"/>
      <c r="J25" s="521"/>
      <c r="K25" s="522"/>
      <c r="M25" s="301" t="str">
        <f>N25&amp;AS[[#This Row],[Insurer Code]]&amp;"; "&amp;O25&amp;AS[[#This Row],[Reporting Year]]&amp;"; "&amp;P25&amp;AS[[#This Row],[Insurance Category Code]]&amp;"; "&amp;Q25&amp;AS[[#This Row],[Large Provider Entity Code]]&amp;"; "&amp;R25&amp;AS[[#This Row],[Age Band Code]]&amp;"; "&amp;S25&amp;AS[[#This Row],[Sex Code]]</f>
        <v xml:space="preserve">Insurer Code ; Reporting Year ; Insurance Category Code ; Large Provider Entity Code ; Age Band Code ; Sex Code </v>
      </c>
      <c r="N25" s="297" t="s">
        <v>197</v>
      </c>
      <c r="O25" s="297" t="s">
        <v>198</v>
      </c>
      <c r="P25" s="297" t="s">
        <v>199</v>
      </c>
      <c r="Q25" s="297" t="s">
        <v>200</v>
      </c>
      <c r="R25" s="297" t="s">
        <v>213</v>
      </c>
      <c r="S25" s="297" t="s">
        <v>214</v>
      </c>
    </row>
    <row r="26" spans="1:19" x14ac:dyDescent="0.4">
      <c r="A26" s="291"/>
      <c r="B26" s="292"/>
      <c r="C26" s="312"/>
      <c r="D26" s="292"/>
      <c r="E26" s="489"/>
      <c r="F26" s="489"/>
      <c r="G26" s="490"/>
      <c r="H26" s="520"/>
      <c r="I26" s="523"/>
      <c r="J26" s="521"/>
      <c r="K26" s="522"/>
      <c r="M26" s="301" t="str">
        <f>N26&amp;AS[[#This Row],[Insurer Code]]&amp;"; "&amp;O26&amp;AS[[#This Row],[Reporting Year]]&amp;"; "&amp;P26&amp;AS[[#This Row],[Insurance Category Code]]&amp;"; "&amp;Q26&amp;AS[[#This Row],[Large Provider Entity Code]]&amp;"; "&amp;R26&amp;AS[[#This Row],[Age Band Code]]&amp;"; "&amp;S26&amp;AS[[#This Row],[Sex Code]]</f>
        <v xml:space="preserve">Insurer Code ; Reporting Year ; Insurance Category Code ; Large Provider Entity Code ; Age Band Code ; Sex Code </v>
      </c>
      <c r="N26" s="297" t="s">
        <v>197</v>
      </c>
      <c r="O26" s="297" t="s">
        <v>198</v>
      </c>
      <c r="P26" s="297" t="s">
        <v>199</v>
      </c>
      <c r="Q26" s="297" t="s">
        <v>200</v>
      </c>
      <c r="R26" s="297" t="s">
        <v>213</v>
      </c>
      <c r="S26" s="297" t="s">
        <v>214</v>
      </c>
    </row>
    <row r="27" spans="1:19" x14ac:dyDescent="0.4">
      <c r="A27" s="291"/>
      <c r="B27" s="292"/>
      <c r="C27" s="312"/>
      <c r="D27" s="292"/>
      <c r="E27" s="489"/>
      <c r="F27" s="489"/>
      <c r="G27" s="490"/>
      <c r="H27" s="520"/>
      <c r="I27" s="523"/>
      <c r="J27" s="521"/>
      <c r="K27" s="522"/>
      <c r="M27" s="301" t="str">
        <f>N27&amp;AS[[#This Row],[Insurer Code]]&amp;"; "&amp;O27&amp;AS[[#This Row],[Reporting Year]]&amp;"; "&amp;P27&amp;AS[[#This Row],[Insurance Category Code]]&amp;"; "&amp;Q27&amp;AS[[#This Row],[Large Provider Entity Code]]&amp;"; "&amp;R27&amp;AS[[#This Row],[Age Band Code]]&amp;"; "&amp;S27&amp;AS[[#This Row],[Sex Code]]</f>
        <v xml:space="preserve">Insurer Code ; Reporting Year ; Insurance Category Code ; Large Provider Entity Code ; Age Band Code ; Sex Code </v>
      </c>
      <c r="N27" s="297" t="s">
        <v>197</v>
      </c>
      <c r="O27" s="297" t="s">
        <v>198</v>
      </c>
      <c r="P27" s="297" t="s">
        <v>199</v>
      </c>
      <c r="Q27" s="297" t="s">
        <v>200</v>
      </c>
      <c r="R27" s="297" t="s">
        <v>213</v>
      </c>
      <c r="S27" s="297" t="s">
        <v>214</v>
      </c>
    </row>
    <row r="28" spans="1:19" x14ac:dyDescent="0.4">
      <c r="A28" s="291"/>
      <c r="B28" s="292"/>
      <c r="C28" s="312"/>
      <c r="D28" s="292"/>
      <c r="E28" s="489"/>
      <c r="F28" s="489"/>
      <c r="G28" s="490"/>
      <c r="H28" s="520"/>
      <c r="I28" s="523"/>
      <c r="J28" s="521"/>
      <c r="K28" s="522"/>
      <c r="M28" s="301" t="str">
        <f>N28&amp;AS[[#This Row],[Insurer Code]]&amp;"; "&amp;O28&amp;AS[[#This Row],[Reporting Year]]&amp;"; "&amp;P28&amp;AS[[#This Row],[Insurance Category Code]]&amp;"; "&amp;Q28&amp;AS[[#This Row],[Large Provider Entity Code]]&amp;"; "&amp;R28&amp;AS[[#This Row],[Age Band Code]]&amp;"; "&amp;S28&amp;AS[[#This Row],[Sex Code]]</f>
        <v xml:space="preserve">Insurer Code ; Reporting Year ; Insurance Category Code ; Large Provider Entity Code ; Age Band Code ; Sex Code </v>
      </c>
      <c r="N28" s="297" t="s">
        <v>197</v>
      </c>
      <c r="O28" s="297" t="s">
        <v>198</v>
      </c>
      <c r="P28" s="297" t="s">
        <v>199</v>
      </c>
      <c r="Q28" s="297" t="s">
        <v>200</v>
      </c>
      <c r="R28" s="297" t="s">
        <v>213</v>
      </c>
      <c r="S28" s="297" t="s">
        <v>214</v>
      </c>
    </row>
    <row r="29" spans="1:19" x14ac:dyDescent="0.4">
      <c r="A29" s="291"/>
      <c r="B29" s="292"/>
      <c r="C29" s="312"/>
      <c r="D29" s="292"/>
      <c r="E29" s="489"/>
      <c r="F29" s="489"/>
      <c r="G29" s="490"/>
      <c r="H29" s="520"/>
      <c r="I29" s="523"/>
      <c r="J29" s="521"/>
      <c r="K29" s="522"/>
      <c r="M29" s="301" t="str">
        <f>N29&amp;AS[[#This Row],[Insurer Code]]&amp;"; "&amp;O29&amp;AS[[#This Row],[Reporting Year]]&amp;"; "&amp;P29&amp;AS[[#This Row],[Insurance Category Code]]&amp;"; "&amp;Q29&amp;AS[[#This Row],[Large Provider Entity Code]]&amp;"; "&amp;R29&amp;AS[[#This Row],[Age Band Code]]&amp;"; "&amp;S29&amp;AS[[#This Row],[Sex Code]]</f>
        <v xml:space="preserve">Insurer Code ; Reporting Year ; Insurance Category Code ; Large Provider Entity Code ; Age Band Code ; Sex Code </v>
      </c>
      <c r="N29" s="297" t="s">
        <v>197</v>
      </c>
      <c r="O29" s="297" t="s">
        <v>198</v>
      </c>
      <c r="P29" s="297" t="s">
        <v>199</v>
      </c>
      <c r="Q29" s="297" t="s">
        <v>200</v>
      </c>
      <c r="R29" s="297" t="s">
        <v>213</v>
      </c>
      <c r="S29" s="297" t="s">
        <v>214</v>
      </c>
    </row>
    <row r="30" spans="1:19" x14ac:dyDescent="0.4">
      <c r="A30" s="291"/>
      <c r="B30" s="292"/>
      <c r="C30" s="312"/>
      <c r="D30" s="292"/>
      <c r="E30" s="489"/>
      <c r="F30" s="489"/>
      <c r="G30" s="490"/>
      <c r="H30" s="520"/>
      <c r="I30" s="523"/>
      <c r="J30" s="521"/>
      <c r="K30" s="522"/>
      <c r="M30" s="301" t="str">
        <f>N30&amp;AS[[#This Row],[Insurer Code]]&amp;"; "&amp;O30&amp;AS[[#This Row],[Reporting Year]]&amp;"; "&amp;P30&amp;AS[[#This Row],[Insurance Category Code]]&amp;"; "&amp;Q30&amp;AS[[#This Row],[Large Provider Entity Code]]&amp;"; "&amp;R30&amp;AS[[#This Row],[Age Band Code]]&amp;"; "&amp;S30&amp;AS[[#This Row],[Sex Code]]</f>
        <v xml:space="preserve">Insurer Code ; Reporting Year ; Insurance Category Code ; Large Provider Entity Code ; Age Band Code ; Sex Code </v>
      </c>
      <c r="N30" s="297" t="s">
        <v>197</v>
      </c>
      <c r="O30" s="297" t="s">
        <v>198</v>
      </c>
      <c r="P30" s="297" t="s">
        <v>199</v>
      </c>
      <c r="Q30" s="297" t="s">
        <v>200</v>
      </c>
      <c r="R30" s="297" t="s">
        <v>213</v>
      </c>
      <c r="S30" s="297" t="s">
        <v>214</v>
      </c>
    </row>
    <row r="31" spans="1:19" x14ac:dyDescent="0.4">
      <c r="A31" s="291"/>
      <c r="B31" s="292"/>
      <c r="C31" s="312"/>
      <c r="D31" s="292"/>
      <c r="E31" s="489"/>
      <c r="F31" s="489"/>
      <c r="G31" s="490"/>
      <c r="H31" s="520"/>
      <c r="I31" s="523"/>
      <c r="J31" s="521"/>
      <c r="K31" s="522"/>
      <c r="M31" s="301" t="str">
        <f>N31&amp;AS[[#This Row],[Insurer Code]]&amp;"; "&amp;O31&amp;AS[[#This Row],[Reporting Year]]&amp;"; "&amp;P31&amp;AS[[#This Row],[Insurance Category Code]]&amp;"; "&amp;Q31&amp;AS[[#This Row],[Large Provider Entity Code]]&amp;"; "&amp;R31&amp;AS[[#This Row],[Age Band Code]]&amp;"; "&amp;S31&amp;AS[[#This Row],[Sex Code]]</f>
        <v xml:space="preserve">Insurer Code ; Reporting Year ; Insurance Category Code ; Large Provider Entity Code ; Age Band Code ; Sex Code </v>
      </c>
      <c r="N31" s="297" t="s">
        <v>197</v>
      </c>
      <c r="O31" s="297" t="s">
        <v>198</v>
      </c>
      <c r="P31" s="297" t="s">
        <v>199</v>
      </c>
      <c r="Q31" s="297" t="s">
        <v>200</v>
      </c>
      <c r="R31" s="297" t="s">
        <v>213</v>
      </c>
      <c r="S31" s="297" t="s">
        <v>214</v>
      </c>
    </row>
    <row r="32" spans="1:19" x14ac:dyDescent="0.4">
      <c r="A32" s="291"/>
      <c r="B32" s="292"/>
      <c r="C32" s="312"/>
      <c r="D32" s="292"/>
      <c r="E32" s="489"/>
      <c r="F32" s="489"/>
      <c r="G32" s="490"/>
      <c r="H32" s="520"/>
      <c r="I32" s="523"/>
      <c r="J32" s="521"/>
      <c r="K32" s="522"/>
      <c r="M32" s="301" t="str">
        <f>N32&amp;AS[[#This Row],[Insurer Code]]&amp;"; "&amp;O32&amp;AS[[#This Row],[Reporting Year]]&amp;"; "&amp;P32&amp;AS[[#This Row],[Insurance Category Code]]&amp;"; "&amp;Q32&amp;AS[[#This Row],[Large Provider Entity Code]]&amp;"; "&amp;R32&amp;AS[[#This Row],[Age Band Code]]&amp;"; "&amp;S32&amp;AS[[#This Row],[Sex Code]]</f>
        <v xml:space="preserve">Insurer Code ; Reporting Year ; Insurance Category Code ; Large Provider Entity Code ; Age Band Code ; Sex Code </v>
      </c>
      <c r="N32" s="297" t="s">
        <v>197</v>
      </c>
      <c r="O32" s="297" t="s">
        <v>198</v>
      </c>
      <c r="P32" s="297" t="s">
        <v>199</v>
      </c>
      <c r="Q32" s="297" t="s">
        <v>200</v>
      </c>
      <c r="R32" s="297" t="s">
        <v>213</v>
      </c>
      <c r="S32" s="297" t="s">
        <v>214</v>
      </c>
    </row>
    <row r="33" spans="1:19" x14ac:dyDescent="0.4">
      <c r="A33" s="291"/>
      <c r="B33" s="292"/>
      <c r="C33" s="312"/>
      <c r="D33" s="292"/>
      <c r="E33" s="489"/>
      <c r="F33" s="489"/>
      <c r="G33" s="490"/>
      <c r="H33" s="520"/>
      <c r="I33" s="523"/>
      <c r="J33" s="521"/>
      <c r="K33" s="522"/>
      <c r="M33" s="301" t="str">
        <f>N33&amp;AS[[#This Row],[Insurer Code]]&amp;"; "&amp;O33&amp;AS[[#This Row],[Reporting Year]]&amp;"; "&amp;P33&amp;AS[[#This Row],[Insurance Category Code]]&amp;"; "&amp;Q33&amp;AS[[#This Row],[Large Provider Entity Code]]&amp;"; "&amp;R33&amp;AS[[#This Row],[Age Band Code]]&amp;"; "&amp;S33&amp;AS[[#This Row],[Sex Code]]</f>
        <v xml:space="preserve">Insurer Code ; Reporting Year ; Insurance Category Code ; Large Provider Entity Code ; Age Band Code ; Sex Code </v>
      </c>
      <c r="N33" s="297" t="s">
        <v>197</v>
      </c>
      <c r="O33" s="297" t="s">
        <v>198</v>
      </c>
      <c r="P33" s="297" t="s">
        <v>199</v>
      </c>
      <c r="Q33" s="297" t="s">
        <v>200</v>
      </c>
      <c r="R33" s="297" t="s">
        <v>213</v>
      </c>
      <c r="S33" s="297" t="s">
        <v>214</v>
      </c>
    </row>
    <row r="34" spans="1:19" x14ac:dyDescent="0.4">
      <c r="A34" s="291"/>
      <c r="B34" s="292"/>
      <c r="C34" s="312"/>
      <c r="D34" s="292"/>
      <c r="E34" s="489"/>
      <c r="F34" s="489"/>
      <c r="G34" s="490"/>
      <c r="H34" s="520"/>
      <c r="I34" s="523"/>
      <c r="J34" s="521"/>
      <c r="K34" s="522"/>
      <c r="M34" s="301" t="str">
        <f>N34&amp;AS[[#This Row],[Insurer Code]]&amp;"; "&amp;O34&amp;AS[[#This Row],[Reporting Year]]&amp;"; "&amp;P34&amp;AS[[#This Row],[Insurance Category Code]]&amp;"; "&amp;Q34&amp;AS[[#This Row],[Large Provider Entity Code]]&amp;"; "&amp;R34&amp;AS[[#This Row],[Age Band Code]]&amp;"; "&amp;S34&amp;AS[[#This Row],[Sex Code]]</f>
        <v xml:space="preserve">Insurer Code ; Reporting Year ; Insurance Category Code ; Large Provider Entity Code ; Age Band Code ; Sex Code </v>
      </c>
      <c r="N34" s="297" t="s">
        <v>197</v>
      </c>
      <c r="O34" s="297" t="s">
        <v>198</v>
      </c>
      <c r="P34" s="297" t="s">
        <v>199</v>
      </c>
      <c r="Q34" s="297" t="s">
        <v>200</v>
      </c>
      <c r="R34" s="297" t="s">
        <v>213</v>
      </c>
      <c r="S34" s="297" t="s">
        <v>214</v>
      </c>
    </row>
    <row r="35" spans="1:19" x14ac:dyDescent="0.4">
      <c r="A35" s="291"/>
      <c r="B35" s="292"/>
      <c r="C35" s="312"/>
      <c r="D35" s="292"/>
      <c r="E35" s="489"/>
      <c r="F35" s="489"/>
      <c r="G35" s="490"/>
      <c r="H35" s="520"/>
      <c r="I35" s="523"/>
      <c r="J35" s="521"/>
      <c r="K35" s="522"/>
      <c r="M35" s="301" t="str">
        <f>N35&amp;AS[[#This Row],[Insurer Code]]&amp;"; "&amp;O35&amp;AS[[#This Row],[Reporting Year]]&amp;"; "&amp;P35&amp;AS[[#This Row],[Insurance Category Code]]&amp;"; "&amp;Q35&amp;AS[[#This Row],[Large Provider Entity Code]]&amp;"; "&amp;R35&amp;AS[[#This Row],[Age Band Code]]&amp;"; "&amp;S35&amp;AS[[#This Row],[Sex Code]]</f>
        <v xml:space="preserve">Insurer Code ; Reporting Year ; Insurance Category Code ; Large Provider Entity Code ; Age Band Code ; Sex Code </v>
      </c>
      <c r="N35" s="297" t="s">
        <v>197</v>
      </c>
      <c r="O35" s="297" t="s">
        <v>198</v>
      </c>
      <c r="P35" s="297" t="s">
        <v>199</v>
      </c>
      <c r="Q35" s="297" t="s">
        <v>200</v>
      </c>
      <c r="R35" s="297" t="s">
        <v>213</v>
      </c>
      <c r="S35" s="297" t="s">
        <v>214</v>
      </c>
    </row>
    <row r="36" spans="1:19" x14ac:dyDescent="0.4">
      <c r="A36" s="291"/>
      <c r="B36" s="292"/>
      <c r="C36" s="312"/>
      <c r="D36" s="292"/>
      <c r="E36" s="489"/>
      <c r="F36" s="489"/>
      <c r="G36" s="490"/>
      <c r="H36" s="520"/>
      <c r="I36" s="523"/>
      <c r="J36" s="521"/>
      <c r="K36" s="522"/>
      <c r="M36" s="301" t="str">
        <f>N36&amp;AS[[#This Row],[Insurer Code]]&amp;"; "&amp;O36&amp;AS[[#This Row],[Reporting Year]]&amp;"; "&amp;P36&amp;AS[[#This Row],[Insurance Category Code]]&amp;"; "&amp;Q36&amp;AS[[#This Row],[Large Provider Entity Code]]&amp;"; "&amp;R36&amp;AS[[#This Row],[Age Band Code]]&amp;"; "&amp;S36&amp;AS[[#This Row],[Sex Code]]</f>
        <v xml:space="preserve">Insurer Code ; Reporting Year ; Insurance Category Code ; Large Provider Entity Code ; Age Band Code ; Sex Code </v>
      </c>
      <c r="N36" s="297" t="s">
        <v>197</v>
      </c>
      <c r="O36" s="297" t="s">
        <v>198</v>
      </c>
      <c r="P36" s="297" t="s">
        <v>199</v>
      </c>
      <c r="Q36" s="297" t="s">
        <v>200</v>
      </c>
      <c r="R36" s="297" t="s">
        <v>213</v>
      </c>
      <c r="S36" s="297" t="s">
        <v>214</v>
      </c>
    </row>
    <row r="37" spans="1:19" x14ac:dyDescent="0.4">
      <c r="A37" s="291"/>
      <c r="B37" s="292"/>
      <c r="C37" s="312"/>
      <c r="D37" s="292"/>
      <c r="E37" s="489"/>
      <c r="F37" s="489"/>
      <c r="G37" s="490"/>
      <c r="H37" s="520"/>
      <c r="I37" s="523"/>
      <c r="J37" s="521"/>
      <c r="K37" s="522"/>
      <c r="M37" s="301" t="str">
        <f>N37&amp;AS[[#This Row],[Insurer Code]]&amp;"; "&amp;O37&amp;AS[[#This Row],[Reporting Year]]&amp;"; "&amp;P37&amp;AS[[#This Row],[Insurance Category Code]]&amp;"; "&amp;Q37&amp;AS[[#This Row],[Large Provider Entity Code]]&amp;"; "&amp;R37&amp;AS[[#This Row],[Age Band Code]]&amp;"; "&amp;S37&amp;AS[[#This Row],[Sex Code]]</f>
        <v xml:space="preserve">Insurer Code ; Reporting Year ; Insurance Category Code ; Large Provider Entity Code ; Age Band Code ; Sex Code </v>
      </c>
      <c r="N37" s="297" t="s">
        <v>197</v>
      </c>
      <c r="O37" s="297" t="s">
        <v>198</v>
      </c>
      <c r="P37" s="297" t="s">
        <v>199</v>
      </c>
      <c r="Q37" s="297" t="s">
        <v>200</v>
      </c>
      <c r="R37" s="297" t="s">
        <v>213</v>
      </c>
      <c r="S37" s="297" t="s">
        <v>214</v>
      </c>
    </row>
    <row r="38" spans="1:19" x14ac:dyDescent="0.4">
      <c r="A38" s="291"/>
      <c r="B38" s="292"/>
      <c r="C38" s="312"/>
      <c r="D38" s="292"/>
      <c r="E38" s="489"/>
      <c r="F38" s="489"/>
      <c r="G38" s="490"/>
      <c r="H38" s="520"/>
      <c r="I38" s="523"/>
      <c r="J38" s="521"/>
      <c r="K38" s="522"/>
      <c r="M38" s="301" t="str">
        <f>N38&amp;AS[[#This Row],[Insurer Code]]&amp;"; "&amp;O38&amp;AS[[#This Row],[Reporting Year]]&amp;"; "&amp;P38&amp;AS[[#This Row],[Insurance Category Code]]&amp;"; "&amp;Q38&amp;AS[[#This Row],[Large Provider Entity Code]]&amp;"; "&amp;R38&amp;AS[[#This Row],[Age Band Code]]&amp;"; "&amp;S38&amp;AS[[#This Row],[Sex Code]]</f>
        <v xml:space="preserve">Insurer Code ; Reporting Year ; Insurance Category Code ; Large Provider Entity Code ; Age Band Code ; Sex Code </v>
      </c>
      <c r="N38" s="297" t="s">
        <v>197</v>
      </c>
      <c r="O38" s="297" t="s">
        <v>198</v>
      </c>
      <c r="P38" s="297" t="s">
        <v>199</v>
      </c>
      <c r="Q38" s="297" t="s">
        <v>200</v>
      </c>
      <c r="R38" s="297" t="s">
        <v>213</v>
      </c>
      <c r="S38" s="297" t="s">
        <v>214</v>
      </c>
    </row>
    <row r="39" spans="1:19" x14ac:dyDescent="0.4">
      <c r="A39" s="291"/>
      <c r="B39" s="292"/>
      <c r="C39" s="312"/>
      <c r="D39" s="292"/>
      <c r="E39" s="489"/>
      <c r="F39" s="489"/>
      <c r="G39" s="490"/>
      <c r="H39" s="520"/>
      <c r="I39" s="523"/>
      <c r="J39" s="521"/>
      <c r="K39" s="522"/>
      <c r="M39" s="301" t="str">
        <f>N39&amp;AS[[#This Row],[Insurer Code]]&amp;"; "&amp;O39&amp;AS[[#This Row],[Reporting Year]]&amp;"; "&amp;P39&amp;AS[[#This Row],[Insurance Category Code]]&amp;"; "&amp;Q39&amp;AS[[#This Row],[Large Provider Entity Code]]&amp;"; "&amp;R39&amp;AS[[#This Row],[Age Band Code]]&amp;"; "&amp;S39&amp;AS[[#This Row],[Sex Code]]</f>
        <v xml:space="preserve">Insurer Code ; Reporting Year ; Insurance Category Code ; Large Provider Entity Code ; Age Band Code ; Sex Code </v>
      </c>
      <c r="N39" s="297" t="s">
        <v>197</v>
      </c>
      <c r="O39" s="297" t="s">
        <v>198</v>
      </c>
      <c r="P39" s="297" t="s">
        <v>199</v>
      </c>
      <c r="Q39" s="297" t="s">
        <v>200</v>
      </c>
      <c r="R39" s="297" t="s">
        <v>213</v>
      </c>
      <c r="S39" s="297" t="s">
        <v>214</v>
      </c>
    </row>
    <row r="40" spans="1:19" x14ac:dyDescent="0.4">
      <c r="A40" s="291"/>
      <c r="B40" s="292"/>
      <c r="C40" s="312"/>
      <c r="D40" s="292"/>
      <c r="E40" s="489"/>
      <c r="F40" s="489"/>
      <c r="G40" s="490"/>
      <c r="H40" s="520"/>
      <c r="I40" s="523"/>
      <c r="J40" s="521"/>
      <c r="K40" s="522"/>
      <c r="M40" s="301" t="str">
        <f>N40&amp;AS[[#This Row],[Insurer Code]]&amp;"; "&amp;O40&amp;AS[[#This Row],[Reporting Year]]&amp;"; "&amp;P40&amp;AS[[#This Row],[Insurance Category Code]]&amp;"; "&amp;Q40&amp;AS[[#This Row],[Large Provider Entity Code]]&amp;"; "&amp;R40&amp;AS[[#This Row],[Age Band Code]]&amp;"; "&amp;S40&amp;AS[[#This Row],[Sex Code]]</f>
        <v xml:space="preserve">Insurer Code ; Reporting Year ; Insurance Category Code ; Large Provider Entity Code ; Age Band Code ; Sex Code </v>
      </c>
      <c r="N40" s="297" t="s">
        <v>197</v>
      </c>
      <c r="O40" s="297" t="s">
        <v>198</v>
      </c>
      <c r="P40" s="297" t="s">
        <v>199</v>
      </c>
      <c r="Q40" s="297" t="s">
        <v>200</v>
      </c>
      <c r="R40" s="297" t="s">
        <v>213</v>
      </c>
      <c r="S40" s="297" t="s">
        <v>214</v>
      </c>
    </row>
    <row r="41" spans="1:19" x14ac:dyDescent="0.4">
      <c r="A41" s="291"/>
      <c r="B41" s="292"/>
      <c r="C41" s="312"/>
      <c r="D41" s="292"/>
      <c r="E41" s="489"/>
      <c r="F41" s="489"/>
      <c r="G41" s="490"/>
      <c r="H41" s="520"/>
      <c r="I41" s="523"/>
      <c r="J41" s="521"/>
      <c r="K41" s="522"/>
      <c r="M41" s="301" t="str">
        <f>N41&amp;AS[[#This Row],[Insurer Code]]&amp;"; "&amp;O41&amp;AS[[#This Row],[Reporting Year]]&amp;"; "&amp;P41&amp;AS[[#This Row],[Insurance Category Code]]&amp;"; "&amp;Q41&amp;AS[[#This Row],[Large Provider Entity Code]]&amp;"; "&amp;R41&amp;AS[[#This Row],[Age Band Code]]&amp;"; "&amp;S41&amp;AS[[#This Row],[Sex Code]]</f>
        <v xml:space="preserve">Insurer Code ; Reporting Year ; Insurance Category Code ; Large Provider Entity Code ; Age Band Code ; Sex Code </v>
      </c>
      <c r="N41" s="297" t="s">
        <v>197</v>
      </c>
      <c r="O41" s="297" t="s">
        <v>198</v>
      </c>
      <c r="P41" s="297" t="s">
        <v>199</v>
      </c>
      <c r="Q41" s="297" t="s">
        <v>200</v>
      </c>
      <c r="R41" s="297" t="s">
        <v>213</v>
      </c>
      <c r="S41" s="297" t="s">
        <v>214</v>
      </c>
    </row>
    <row r="42" spans="1:19" x14ac:dyDescent="0.4">
      <c r="A42" s="291"/>
      <c r="B42" s="292"/>
      <c r="C42" s="312"/>
      <c r="D42" s="292"/>
      <c r="E42" s="489"/>
      <c r="F42" s="489"/>
      <c r="G42" s="490"/>
      <c r="H42" s="520"/>
      <c r="I42" s="523"/>
      <c r="J42" s="521"/>
      <c r="K42" s="522"/>
      <c r="M42" s="301" t="str">
        <f>N42&amp;AS[[#This Row],[Insurer Code]]&amp;"; "&amp;O42&amp;AS[[#This Row],[Reporting Year]]&amp;"; "&amp;P42&amp;AS[[#This Row],[Insurance Category Code]]&amp;"; "&amp;Q42&amp;AS[[#This Row],[Large Provider Entity Code]]&amp;"; "&amp;R42&amp;AS[[#This Row],[Age Band Code]]&amp;"; "&amp;S42&amp;AS[[#This Row],[Sex Code]]</f>
        <v xml:space="preserve">Insurer Code ; Reporting Year ; Insurance Category Code ; Large Provider Entity Code ; Age Band Code ; Sex Code </v>
      </c>
      <c r="N42" s="297" t="s">
        <v>197</v>
      </c>
      <c r="O42" s="297" t="s">
        <v>198</v>
      </c>
      <c r="P42" s="297" t="s">
        <v>199</v>
      </c>
      <c r="Q42" s="297" t="s">
        <v>200</v>
      </c>
      <c r="R42" s="297" t="s">
        <v>213</v>
      </c>
      <c r="S42" s="297" t="s">
        <v>214</v>
      </c>
    </row>
    <row r="43" spans="1:19" x14ac:dyDescent="0.4">
      <c r="A43" s="291"/>
      <c r="B43" s="292"/>
      <c r="C43" s="312"/>
      <c r="D43" s="292"/>
      <c r="E43" s="489"/>
      <c r="F43" s="489"/>
      <c r="G43" s="490"/>
      <c r="H43" s="520"/>
      <c r="I43" s="523"/>
      <c r="J43" s="521"/>
      <c r="K43" s="522"/>
      <c r="M43" s="301" t="str">
        <f>N43&amp;AS[[#This Row],[Insurer Code]]&amp;"; "&amp;O43&amp;AS[[#This Row],[Reporting Year]]&amp;"; "&amp;P43&amp;AS[[#This Row],[Insurance Category Code]]&amp;"; "&amp;Q43&amp;AS[[#This Row],[Large Provider Entity Code]]&amp;"; "&amp;R43&amp;AS[[#This Row],[Age Band Code]]&amp;"; "&amp;S43&amp;AS[[#This Row],[Sex Code]]</f>
        <v xml:space="preserve">Insurer Code ; Reporting Year ; Insurance Category Code ; Large Provider Entity Code ; Age Band Code ; Sex Code </v>
      </c>
      <c r="N43" s="297" t="s">
        <v>197</v>
      </c>
      <c r="O43" s="297" t="s">
        <v>198</v>
      </c>
      <c r="P43" s="297" t="s">
        <v>199</v>
      </c>
      <c r="Q43" s="297" t="s">
        <v>200</v>
      </c>
      <c r="R43" s="297" t="s">
        <v>213</v>
      </c>
      <c r="S43" s="297" t="s">
        <v>214</v>
      </c>
    </row>
    <row r="44" spans="1:19" x14ac:dyDescent="0.4">
      <c r="A44" s="291"/>
      <c r="B44" s="292"/>
      <c r="C44" s="312"/>
      <c r="D44" s="292"/>
      <c r="E44" s="489"/>
      <c r="F44" s="489"/>
      <c r="G44" s="490"/>
      <c r="H44" s="520"/>
      <c r="I44" s="523"/>
      <c r="J44" s="521"/>
      <c r="K44" s="522"/>
      <c r="M44" s="301" t="str">
        <f>N44&amp;AS[[#This Row],[Insurer Code]]&amp;"; "&amp;O44&amp;AS[[#This Row],[Reporting Year]]&amp;"; "&amp;P44&amp;AS[[#This Row],[Insurance Category Code]]&amp;"; "&amp;Q44&amp;AS[[#This Row],[Large Provider Entity Code]]&amp;"; "&amp;R44&amp;AS[[#This Row],[Age Band Code]]&amp;"; "&amp;S44&amp;AS[[#This Row],[Sex Code]]</f>
        <v xml:space="preserve">Insurer Code ; Reporting Year ; Insurance Category Code ; Large Provider Entity Code ; Age Band Code ; Sex Code </v>
      </c>
      <c r="N44" s="297" t="s">
        <v>197</v>
      </c>
      <c r="O44" s="297" t="s">
        <v>198</v>
      </c>
      <c r="P44" s="297" t="s">
        <v>199</v>
      </c>
      <c r="Q44" s="297" t="s">
        <v>200</v>
      </c>
      <c r="R44" s="297" t="s">
        <v>213</v>
      </c>
      <c r="S44" s="297" t="s">
        <v>214</v>
      </c>
    </row>
    <row r="45" spans="1:19" x14ac:dyDescent="0.4">
      <c r="A45" s="291"/>
      <c r="B45" s="292"/>
      <c r="C45" s="312"/>
      <c r="D45" s="292"/>
      <c r="E45" s="489"/>
      <c r="F45" s="489"/>
      <c r="G45" s="490"/>
      <c r="H45" s="520"/>
      <c r="I45" s="523"/>
      <c r="J45" s="521"/>
      <c r="K45" s="522"/>
      <c r="M45" s="301" t="str">
        <f>N45&amp;AS[[#This Row],[Insurer Code]]&amp;"; "&amp;O45&amp;AS[[#This Row],[Reporting Year]]&amp;"; "&amp;P45&amp;AS[[#This Row],[Insurance Category Code]]&amp;"; "&amp;Q45&amp;AS[[#This Row],[Large Provider Entity Code]]&amp;"; "&amp;R45&amp;AS[[#This Row],[Age Band Code]]&amp;"; "&amp;S45&amp;AS[[#This Row],[Sex Code]]</f>
        <v xml:space="preserve">Insurer Code ; Reporting Year ; Insurance Category Code ; Large Provider Entity Code ; Age Band Code ; Sex Code </v>
      </c>
      <c r="N45" s="297" t="s">
        <v>197</v>
      </c>
      <c r="O45" s="297" t="s">
        <v>198</v>
      </c>
      <c r="P45" s="297" t="s">
        <v>199</v>
      </c>
      <c r="Q45" s="297" t="s">
        <v>200</v>
      </c>
      <c r="R45" s="297" t="s">
        <v>213</v>
      </c>
      <c r="S45" s="297" t="s">
        <v>214</v>
      </c>
    </row>
    <row r="46" spans="1:19" x14ac:dyDescent="0.4">
      <c r="A46" s="291"/>
      <c r="B46" s="292"/>
      <c r="C46" s="312"/>
      <c r="D46" s="292"/>
      <c r="E46" s="489"/>
      <c r="F46" s="489"/>
      <c r="G46" s="490"/>
      <c r="H46" s="520"/>
      <c r="I46" s="523"/>
      <c r="J46" s="521"/>
      <c r="K46" s="522"/>
      <c r="M46" s="301" t="str">
        <f>N46&amp;AS[[#This Row],[Insurer Code]]&amp;"; "&amp;O46&amp;AS[[#This Row],[Reporting Year]]&amp;"; "&amp;P46&amp;AS[[#This Row],[Insurance Category Code]]&amp;"; "&amp;Q46&amp;AS[[#This Row],[Large Provider Entity Code]]&amp;"; "&amp;R46&amp;AS[[#This Row],[Age Band Code]]&amp;"; "&amp;S46&amp;AS[[#This Row],[Sex Code]]</f>
        <v xml:space="preserve">Insurer Code ; Reporting Year ; Insurance Category Code ; Large Provider Entity Code ; Age Band Code ; Sex Code </v>
      </c>
      <c r="N46" s="297" t="s">
        <v>197</v>
      </c>
      <c r="O46" s="297" t="s">
        <v>198</v>
      </c>
      <c r="P46" s="297" t="s">
        <v>199</v>
      </c>
      <c r="Q46" s="297" t="s">
        <v>200</v>
      </c>
      <c r="R46" s="297" t="s">
        <v>213</v>
      </c>
      <c r="S46" s="297" t="s">
        <v>214</v>
      </c>
    </row>
    <row r="47" spans="1:19" x14ac:dyDescent="0.4">
      <c r="A47" s="291"/>
      <c r="B47" s="292"/>
      <c r="C47" s="312"/>
      <c r="D47" s="292"/>
      <c r="E47" s="489"/>
      <c r="F47" s="489"/>
      <c r="G47" s="490"/>
      <c r="H47" s="520"/>
      <c r="I47" s="523"/>
      <c r="J47" s="521"/>
      <c r="K47" s="522"/>
      <c r="M47" s="301" t="str">
        <f>N47&amp;AS[[#This Row],[Insurer Code]]&amp;"; "&amp;O47&amp;AS[[#This Row],[Reporting Year]]&amp;"; "&amp;P47&amp;AS[[#This Row],[Insurance Category Code]]&amp;"; "&amp;Q47&amp;AS[[#This Row],[Large Provider Entity Code]]&amp;"; "&amp;R47&amp;AS[[#This Row],[Age Band Code]]&amp;"; "&amp;S47&amp;AS[[#This Row],[Sex Code]]</f>
        <v xml:space="preserve">Insurer Code ; Reporting Year ; Insurance Category Code ; Large Provider Entity Code ; Age Band Code ; Sex Code </v>
      </c>
      <c r="N47" s="297" t="s">
        <v>197</v>
      </c>
      <c r="O47" s="297" t="s">
        <v>198</v>
      </c>
      <c r="P47" s="297" t="s">
        <v>199</v>
      </c>
      <c r="Q47" s="297" t="s">
        <v>200</v>
      </c>
      <c r="R47" s="297" t="s">
        <v>213</v>
      </c>
      <c r="S47" s="297" t="s">
        <v>214</v>
      </c>
    </row>
    <row r="48" spans="1:19" x14ac:dyDescent="0.4">
      <c r="A48" s="291"/>
      <c r="B48" s="292"/>
      <c r="C48" s="312"/>
      <c r="D48" s="292"/>
      <c r="E48" s="489"/>
      <c r="F48" s="489"/>
      <c r="G48" s="490"/>
      <c r="H48" s="520"/>
      <c r="I48" s="523"/>
      <c r="J48" s="521"/>
      <c r="K48" s="522"/>
      <c r="M48" s="301" t="str">
        <f>N48&amp;AS[[#This Row],[Insurer Code]]&amp;"; "&amp;O48&amp;AS[[#This Row],[Reporting Year]]&amp;"; "&amp;P48&amp;AS[[#This Row],[Insurance Category Code]]&amp;"; "&amp;Q48&amp;AS[[#This Row],[Large Provider Entity Code]]&amp;"; "&amp;R48&amp;AS[[#This Row],[Age Band Code]]&amp;"; "&amp;S48&amp;AS[[#This Row],[Sex Code]]</f>
        <v xml:space="preserve">Insurer Code ; Reporting Year ; Insurance Category Code ; Large Provider Entity Code ; Age Band Code ; Sex Code </v>
      </c>
      <c r="N48" s="297" t="s">
        <v>197</v>
      </c>
      <c r="O48" s="297" t="s">
        <v>198</v>
      </c>
      <c r="P48" s="297" t="s">
        <v>199</v>
      </c>
      <c r="Q48" s="297" t="s">
        <v>200</v>
      </c>
      <c r="R48" s="297" t="s">
        <v>213</v>
      </c>
      <c r="S48" s="297" t="s">
        <v>214</v>
      </c>
    </row>
    <row r="49" spans="1:19" x14ac:dyDescent="0.4">
      <c r="A49" s="291"/>
      <c r="B49" s="292"/>
      <c r="C49" s="312"/>
      <c r="D49" s="292"/>
      <c r="E49" s="489"/>
      <c r="F49" s="489"/>
      <c r="G49" s="490"/>
      <c r="H49" s="520"/>
      <c r="I49" s="523"/>
      <c r="J49" s="521"/>
      <c r="K49" s="522"/>
      <c r="M49" s="301" t="str">
        <f>N49&amp;AS[[#This Row],[Insurer Code]]&amp;"; "&amp;O49&amp;AS[[#This Row],[Reporting Year]]&amp;"; "&amp;P49&amp;AS[[#This Row],[Insurance Category Code]]&amp;"; "&amp;Q49&amp;AS[[#This Row],[Large Provider Entity Code]]&amp;"; "&amp;R49&amp;AS[[#This Row],[Age Band Code]]&amp;"; "&amp;S49&amp;AS[[#This Row],[Sex Code]]</f>
        <v xml:space="preserve">Insurer Code ; Reporting Year ; Insurance Category Code ; Large Provider Entity Code ; Age Band Code ; Sex Code </v>
      </c>
      <c r="N49" s="297" t="s">
        <v>197</v>
      </c>
      <c r="O49" s="297" t="s">
        <v>198</v>
      </c>
      <c r="P49" s="297" t="s">
        <v>199</v>
      </c>
      <c r="Q49" s="297" t="s">
        <v>200</v>
      </c>
      <c r="R49" s="297" t="s">
        <v>213</v>
      </c>
      <c r="S49" s="297" t="s">
        <v>214</v>
      </c>
    </row>
    <row r="50" spans="1:19" x14ac:dyDescent="0.4">
      <c r="A50" s="291"/>
      <c r="B50" s="292"/>
      <c r="C50" s="312"/>
      <c r="D50" s="292"/>
      <c r="E50" s="489"/>
      <c r="F50" s="489"/>
      <c r="G50" s="490"/>
      <c r="H50" s="520"/>
      <c r="I50" s="523"/>
      <c r="J50" s="521"/>
      <c r="K50" s="522"/>
      <c r="M50" s="301" t="str">
        <f>N50&amp;AS[[#This Row],[Insurer Code]]&amp;"; "&amp;O50&amp;AS[[#This Row],[Reporting Year]]&amp;"; "&amp;P50&amp;AS[[#This Row],[Insurance Category Code]]&amp;"; "&amp;Q50&amp;AS[[#This Row],[Large Provider Entity Code]]&amp;"; "&amp;R50&amp;AS[[#This Row],[Age Band Code]]&amp;"; "&amp;S50&amp;AS[[#This Row],[Sex Code]]</f>
        <v xml:space="preserve">Insurer Code ; Reporting Year ; Insurance Category Code ; Large Provider Entity Code ; Age Band Code ; Sex Code </v>
      </c>
      <c r="N50" s="297" t="s">
        <v>197</v>
      </c>
      <c r="O50" s="297" t="s">
        <v>198</v>
      </c>
      <c r="P50" s="297" t="s">
        <v>199</v>
      </c>
      <c r="Q50" s="297" t="s">
        <v>200</v>
      </c>
      <c r="R50" s="297" t="s">
        <v>213</v>
      </c>
      <c r="S50" s="297" t="s">
        <v>214</v>
      </c>
    </row>
    <row r="51" spans="1:19" x14ac:dyDescent="0.4">
      <c r="A51" s="291"/>
      <c r="B51" s="292"/>
      <c r="C51" s="312"/>
      <c r="D51" s="292"/>
      <c r="E51" s="489"/>
      <c r="F51" s="489"/>
      <c r="G51" s="490"/>
      <c r="H51" s="520"/>
      <c r="I51" s="523"/>
      <c r="J51" s="521"/>
      <c r="K51" s="522"/>
      <c r="M51" s="301" t="str">
        <f>N51&amp;AS[[#This Row],[Insurer Code]]&amp;"; "&amp;O51&amp;AS[[#This Row],[Reporting Year]]&amp;"; "&amp;P51&amp;AS[[#This Row],[Insurance Category Code]]&amp;"; "&amp;Q51&amp;AS[[#This Row],[Large Provider Entity Code]]&amp;"; "&amp;R51&amp;AS[[#This Row],[Age Band Code]]&amp;"; "&amp;S51&amp;AS[[#This Row],[Sex Code]]</f>
        <v xml:space="preserve">Insurer Code ; Reporting Year ; Insurance Category Code ; Large Provider Entity Code ; Age Band Code ; Sex Code </v>
      </c>
      <c r="N51" s="297" t="s">
        <v>197</v>
      </c>
      <c r="O51" s="297" t="s">
        <v>198</v>
      </c>
      <c r="P51" s="297" t="s">
        <v>199</v>
      </c>
      <c r="Q51" s="297" t="s">
        <v>200</v>
      </c>
      <c r="R51" s="297" t="s">
        <v>213</v>
      </c>
      <c r="S51" s="297" t="s">
        <v>214</v>
      </c>
    </row>
    <row r="52" spans="1:19" x14ac:dyDescent="0.4">
      <c r="A52" s="291"/>
      <c r="B52" s="292"/>
      <c r="C52" s="312"/>
      <c r="D52" s="292"/>
      <c r="E52" s="489"/>
      <c r="F52" s="489"/>
      <c r="G52" s="490"/>
      <c r="H52" s="520"/>
      <c r="I52" s="523"/>
      <c r="J52" s="521"/>
      <c r="K52" s="522"/>
      <c r="M52" s="301" t="str">
        <f>N52&amp;AS[[#This Row],[Insurer Code]]&amp;"; "&amp;O52&amp;AS[[#This Row],[Reporting Year]]&amp;"; "&amp;P52&amp;AS[[#This Row],[Insurance Category Code]]&amp;"; "&amp;Q52&amp;AS[[#This Row],[Large Provider Entity Code]]&amp;"; "&amp;R52&amp;AS[[#This Row],[Age Band Code]]&amp;"; "&amp;S52&amp;AS[[#This Row],[Sex Code]]</f>
        <v xml:space="preserve">Insurer Code ; Reporting Year ; Insurance Category Code ; Large Provider Entity Code ; Age Band Code ; Sex Code </v>
      </c>
      <c r="N52" s="297" t="s">
        <v>197</v>
      </c>
      <c r="O52" s="297" t="s">
        <v>198</v>
      </c>
      <c r="P52" s="297" t="s">
        <v>199</v>
      </c>
      <c r="Q52" s="297" t="s">
        <v>200</v>
      </c>
      <c r="R52" s="297" t="s">
        <v>213</v>
      </c>
      <c r="S52" s="297" t="s">
        <v>214</v>
      </c>
    </row>
    <row r="53" spans="1:19" x14ac:dyDescent="0.4">
      <c r="A53" s="291"/>
      <c r="B53" s="292"/>
      <c r="C53" s="312"/>
      <c r="D53" s="292"/>
      <c r="E53" s="489"/>
      <c r="F53" s="489"/>
      <c r="G53" s="490"/>
      <c r="H53" s="520"/>
      <c r="I53" s="523"/>
      <c r="J53" s="521"/>
      <c r="K53" s="522"/>
      <c r="M53" s="301" t="str">
        <f>N53&amp;AS[[#This Row],[Insurer Code]]&amp;"; "&amp;O53&amp;AS[[#This Row],[Reporting Year]]&amp;"; "&amp;P53&amp;AS[[#This Row],[Insurance Category Code]]&amp;"; "&amp;Q53&amp;AS[[#This Row],[Large Provider Entity Code]]&amp;"; "&amp;R53&amp;AS[[#This Row],[Age Band Code]]&amp;"; "&amp;S53&amp;AS[[#This Row],[Sex Code]]</f>
        <v xml:space="preserve">Insurer Code ; Reporting Year ; Insurance Category Code ; Large Provider Entity Code ; Age Band Code ; Sex Code </v>
      </c>
      <c r="N53" s="297" t="s">
        <v>197</v>
      </c>
      <c r="O53" s="297" t="s">
        <v>198</v>
      </c>
      <c r="P53" s="297" t="s">
        <v>199</v>
      </c>
      <c r="Q53" s="297" t="s">
        <v>200</v>
      </c>
      <c r="R53" s="297" t="s">
        <v>213</v>
      </c>
      <c r="S53" s="297" t="s">
        <v>214</v>
      </c>
    </row>
    <row r="54" spans="1:19" x14ac:dyDescent="0.4">
      <c r="A54" s="291"/>
      <c r="B54" s="292"/>
      <c r="C54" s="312"/>
      <c r="D54" s="292"/>
      <c r="E54" s="489"/>
      <c r="F54" s="489"/>
      <c r="G54" s="490"/>
      <c r="H54" s="520"/>
      <c r="I54" s="523"/>
      <c r="J54" s="521"/>
      <c r="K54" s="522"/>
      <c r="M54" s="301" t="str">
        <f>N54&amp;AS[[#This Row],[Insurer Code]]&amp;"; "&amp;O54&amp;AS[[#This Row],[Reporting Year]]&amp;"; "&amp;P54&amp;AS[[#This Row],[Insurance Category Code]]&amp;"; "&amp;Q54&amp;AS[[#This Row],[Large Provider Entity Code]]&amp;"; "&amp;R54&amp;AS[[#This Row],[Age Band Code]]&amp;"; "&amp;S54&amp;AS[[#This Row],[Sex Code]]</f>
        <v xml:space="preserve">Insurer Code ; Reporting Year ; Insurance Category Code ; Large Provider Entity Code ; Age Band Code ; Sex Code </v>
      </c>
      <c r="N54" s="297" t="s">
        <v>197</v>
      </c>
      <c r="O54" s="297" t="s">
        <v>198</v>
      </c>
      <c r="P54" s="297" t="s">
        <v>199</v>
      </c>
      <c r="Q54" s="297" t="s">
        <v>200</v>
      </c>
      <c r="R54" s="297" t="s">
        <v>213</v>
      </c>
      <c r="S54" s="297" t="s">
        <v>214</v>
      </c>
    </row>
    <row r="55" spans="1:19" x14ac:dyDescent="0.4">
      <c r="A55" s="291"/>
      <c r="B55" s="292"/>
      <c r="C55" s="312"/>
      <c r="D55" s="292"/>
      <c r="E55" s="489"/>
      <c r="F55" s="489"/>
      <c r="G55" s="490"/>
      <c r="H55" s="520"/>
      <c r="I55" s="523"/>
      <c r="J55" s="521"/>
      <c r="K55" s="522"/>
      <c r="M55" s="301" t="str">
        <f>N55&amp;AS[[#This Row],[Insurer Code]]&amp;"; "&amp;O55&amp;AS[[#This Row],[Reporting Year]]&amp;"; "&amp;P55&amp;AS[[#This Row],[Insurance Category Code]]&amp;"; "&amp;Q55&amp;AS[[#This Row],[Large Provider Entity Code]]&amp;"; "&amp;R55&amp;AS[[#This Row],[Age Band Code]]&amp;"; "&amp;S55&amp;AS[[#This Row],[Sex Code]]</f>
        <v xml:space="preserve">Insurer Code ; Reporting Year ; Insurance Category Code ; Large Provider Entity Code ; Age Band Code ; Sex Code </v>
      </c>
      <c r="N55" s="297" t="s">
        <v>197</v>
      </c>
      <c r="O55" s="297" t="s">
        <v>198</v>
      </c>
      <c r="P55" s="297" t="s">
        <v>199</v>
      </c>
      <c r="Q55" s="297" t="s">
        <v>200</v>
      </c>
      <c r="R55" s="297" t="s">
        <v>213</v>
      </c>
      <c r="S55" s="297" t="s">
        <v>214</v>
      </c>
    </row>
    <row r="56" spans="1:19" x14ac:dyDescent="0.4">
      <c r="A56" s="291"/>
      <c r="B56" s="292"/>
      <c r="C56" s="312"/>
      <c r="D56" s="292"/>
      <c r="E56" s="489"/>
      <c r="F56" s="489"/>
      <c r="G56" s="490"/>
      <c r="H56" s="520"/>
      <c r="I56" s="523"/>
      <c r="J56" s="521"/>
      <c r="K56" s="522"/>
      <c r="M56" s="301" t="str">
        <f>N56&amp;AS[[#This Row],[Insurer Code]]&amp;"; "&amp;O56&amp;AS[[#This Row],[Reporting Year]]&amp;"; "&amp;P56&amp;AS[[#This Row],[Insurance Category Code]]&amp;"; "&amp;Q56&amp;AS[[#This Row],[Large Provider Entity Code]]&amp;"; "&amp;R56&amp;AS[[#This Row],[Age Band Code]]&amp;"; "&amp;S56&amp;AS[[#This Row],[Sex Code]]</f>
        <v xml:space="preserve">Insurer Code ; Reporting Year ; Insurance Category Code ; Large Provider Entity Code ; Age Band Code ; Sex Code </v>
      </c>
      <c r="N56" s="297" t="s">
        <v>197</v>
      </c>
      <c r="O56" s="297" t="s">
        <v>198</v>
      </c>
      <c r="P56" s="297" t="s">
        <v>199</v>
      </c>
      <c r="Q56" s="297" t="s">
        <v>200</v>
      </c>
      <c r="R56" s="297" t="s">
        <v>213</v>
      </c>
      <c r="S56" s="297" t="s">
        <v>214</v>
      </c>
    </row>
    <row r="57" spans="1:19" x14ac:dyDescent="0.4">
      <c r="A57" s="291"/>
      <c r="B57" s="292"/>
      <c r="C57" s="312"/>
      <c r="D57" s="292"/>
      <c r="E57" s="489"/>
      <c r="F57" s="489"/>
      <c r="G57" s="490"/>
      <c r="H57" s="520"/>
      <c r="I57" s="523"/>
      <c r="J57" s="521"/>
      <c r="K57" s="522"/>
      <c r="M57" s="301" t="str">
        <f>N57&amp;AS[[#This Row],[Insurer Code]]&amp;"; "&amp;O57&amp;AS[[#This Row],[Reporting Year]]&amp;"; "&amp;P57&amp;AS[[#This Row],[Insurance Category Code]]&amp;"; "&amp;Q57&amp;AS[[#This Row],[Large Provider Entity Code]]&amp;"; "&amp;R57&amp;AS[[#This Row],[Age Band Code]]&amp;"; "&amp;S57&amp;AS[[#This Row],[Sex Code]]</f>
        <v xml:space="preserve">Insurer Code ; Reporting Year ; Insurance Category Code ; Large Provider Entity Code ; Age Band Code ; Sex Code </v>
      </c>
      <c r="N57" s="297" t="s">
        <v>197</v>
      </c>
      <c r="O57" s="297" t="s">
        <v>198</v>
      </c>
      <c r="P57" s="297" t="s">
        <v>199</v>
      </c>
      <c r="Q57" s="297" t="s">
        <v>200</v>
      </c>
      <c r="R57" s="297" t="s">
        <v>213</v>
      </c>
      <c r="S57" s="297" t="s">
        <v>214</v>
      </c>
    </row>
    <row r="58" spans="1:19" x14ac:dyDescent="0.4">
      <c r="A58" s="291"/>
      <c r="B58" s="292"/>
      <c r="C58" s="312"/>
      <c r="D58" s="292"/>
      <c r="E58" s="489"/>
      <c r="F58" s="489"/>
      <c r="G58" s="490"/>
      <c r="H58" s="520"/>
      <c r="I58" s="523"/>
      <c r="J58" s="521"/>
      <c r="K58" s="522"/>
      <c r="M58" s="301" t="str">
        <f>N58&amp;AS[[#This Row],[Insurer Code]]&amp;"; "&amp;O58&amp;AS[[#This Row],[Reporting Year]]&amp;"; "&amp;P58&amp;AS[[#This Row],[Insurance Category Code]]&amp;"; "&amp;Q58&amp;AS[[#This Row],[Large Provider Entity Code]]&amp;"; "&amp;R58&amp;AS[[#This Row],[Age Band Code]]&amp;"; "&amp;S58&amp;AS[[#This Row],[Sex Code]]</f>
        <v xml:space="preserve">Insurer Code ; Reporting Year ; Insurance Category Code ; Large Provider Entity Code ; Age Band Code ; Sex Code </v>
      </c>
      <c r="N58" s="297" t="s">
        <v>197</v>
      </c>
      <c r="O58" s="297" t="s">
        <v>198</v>
      </c>
      <c r="P58" s="297" t="s">
        <v>199</v>
      </c>
      <c r="Q58" s="297" t="s">
        <v>200</v>
      </c>
      <c r="R58" s="297" t="s">
        <v>213</v>
      </c>
      <c r="S58" s="297" t="s">
        <v>214</v>
      </c>
    </row>
    <row r="59" spans="1:19" x14ac:dyDescent="0.4">
      <c r="A59" s="291"/>
      <c r="B59" s="292"/>
      <c r="C59" s="312"/>
      <c r="D59" s="292"/>
      <c r="E59" s="489"/>
      <c r="F59" s="489"/>
      <c r="G59" s="490"/>
      <c r="H59" s="520"/>
      <c r="I59" s="523"/>
      <c r="J59" s="521"/>
      <c r="K59" s="522"/>
      <c r="M59" s="301" t="str">
        <f>N59&amp;AS[[#This Row],[Insurer Code]]&amp;"; "&amp;O59&amp;AS[[#This Row],[Reporting Year]]&amp;"; "&amp;P59&amp;AS[[#This Row],[Insurance Category Code]]&amp;"; "&amp;Q59&amp;AS[[#This Row],[Large Provider Entity Code]]&amp;"; "&amp;R59&amp;AS[[#This Row],[Age Band Code]]&amp;"; "&amp;S59&amp;AS[[#This Row],[Sex Code]]</f>
        <v xml:space="preserve">Insurer Code ; Reporting Year ; Insurance Category Code ; Large Provider Entity Code ; Age Band Code ; Sex Code </v>
      </c>
      <c r="N59" s="297" t="s">
        <v>197</v>
      </c>
      <c r="O59" s="297" t="s">
        <v>198</v>
      </c>
      <c r="P59" s="297" t="s">
        <v>199</v>
      </c>
      <c r="Q59" s="297" t="s">
        <v>200</v>
      </c>
      <c r="R59" s="297" t="s">
        <v>213</v>
      </c>
      <c r="S59" s="297" t="s">
        <v>214</v>
      </c>
    </row>
    <row r="60" spans="1:19" x14ac:dyDescent="0.4">
      <c r="A60" s="291"/>
      <c r="B60" s="292"/>
      <c r="C60" s="312"/>
      <c r="D60" s="292"/>
      <c r="E60" s="489"/>
      <c r="F60" s="489"/>
      <c r="G60" s="490"/>
      <c r="H60" s="520"/>
      <c r="I60" s="523"/>
      <c r="J60" s="521"/>
      <c r="K60" s="522"/>
      <c r="M60" s="301" t="str">
        <f>N60&amp;AS[[#This Row],[Insurer Code]]&amp;"; "&amp;O60&amp;AS[[#This Row],[Reporting Year]]&amp;"; "&amp;P60&amp;AS[[#This Row],[Insurance Category Code]]&amp;"; "&amp;Q60&amp;AS[[#This Row],[Large Provider Entity Code]]&amp;"; "&amp;R60&amp;AS[[#This Row],[Age Band Code]]&amp;"; "&amp;S60&amp;AS[[#This Row],[Sex Code]]</f>
        <v xml:space="preserve">Insurer Code ; Reporting Year ; Insurance Category Code ; Large Provider Entity Code ; Age Band Code ; Sex Code </v>
      </c>
      <c r="N60" s="297" t="s">
        <v>197</v>
      </c>
      <c r="O60" s="297" t="s">
        <v>198</v>
      </c>
      <c r="P60" s="297" t="s">
        <v>199</v>
      </c>
      <c r="Q60" s="297" t="s">
        <v>200</v>
      </c>
      <c r="R60" s="297" t="s">
        <v>213</v>
      </c>
      <c r="S60" s="297" t="s">
        <v>214</v>
      </c>
    </row>
    <row r="61" spans="1:19" x14ac:dyDescent="0.4">
      <c r="A61" s="291"/>
      <c r="B61" s="292"/>
      <c r="C61" s="312"/>
      <c r="D61" s="292"/>
      <c r="E61" s="489"/>
      <c r="F61" s="489"/>
      <c r="G61" s="490"/>
      <c r="H61" s="520"/>
      <c r="I61" s="523"/>
      <c r="J61" s="521"/>
      <c r="K61" s="522"/>
      <c r="M61" s="301" t="str">
        <f>N61&amp;AS[[#This Row],[Insurer Code]]&amp;"; "&amp;O61&amp;AS[[#This Row],[Reporting Year]]&amp;"; "&amp;P61&amp;AS[[#This Row],[Insurance Category Code]]&amp;"; "&amp;Q61&amp;AS[[#This Row],[Large Provider Entity Code]]&amp;"; "&amp;R61&amp;AS[[#This Row],[Age Band Code]]&amp;"; "&amp;S61&amp;AS[[#This Row],[Sex Code]]</f>
        <v xml:space="preserve">Insurer Code ; Reporting Year ; Insurance Category Code ; Large Provider Entity Code ; Age Band Code ; Sex Code </v>
      </c>
      <c r="N61" s="297" t="s">
        <v>197</v>
      </c>
      <c r="O61" s="297" t="s">
        <v>198</v>
      </c>
      <c r="P61" s="297" t="s">
        <v>199</v>
      </c>
      <c r="Q61" s="297" t="s">
        <v>200</v>
      </c>
      <c r="R61" s="297" t="s">
        <v>213</v>
      </c>
      <c r="S61" s="297" t="s">
        <v>214</v>
      </c>
    </row>
    <row r="62" spans="1:19" x14ac:dyDescent="0.4">
      <c r="A62" s="291"/>
      <c r="B62" s="292"/>
      <c r="C62" s="312"/>
      <c r="D62" s="292"/>
      <c r="E62" s="489"/>
      <c r="F62" s="489"/>
      <c r="G62" s="490"/>
      <c r="H62" s="520"/>
      <c r="I62" s="523"/>
      <c r="J62" s="521"/>
      <c r="K62" s="522"/>
      <c r="M62" s="301" t="str">
        <f>N62&amp;AS[[#This Row],[Insurer Code]]&amp;"; "&amp;O62&amp;AS[[#This Row],[Reporting Year]]&amp;"; "&amp;P62&amp;AS[[#This Row],[Insurance Category Code]]&amp;"; "&amp;Q62&amp;AS[[#This Row],[Large Provider Entity Code]]&amp;"; "&amp;R62&amp;AS[[#This Row],[Age Band Code]]&amp;"; "&amp;S62&amp;AS[[#This Row],[Sex Code]]</f>
        <v xml:space="preserve">Insurer Code ; Reporting Year ; Insurance Category Code ; Large Provider Entity Code ; Age Band Code ; Sex Code </v>
      </c>
      <c r="N62" s="297" t="s">
        <v>197</v>
      </c>
      <c r="O62" s="297" t="s">
        <v>198</v>
      </c>
      <c r="P62" s="297" t="s">
        <v>199</v>
      </c>
      <c r="Q62" s="297" t="s">
        <v>200</v>
      </c>
      <c r="R62" s="297" t="s">
        <v>213</v>
      </c>
      <c r="S62" s="297" t="s">
        <v>214</v>
      </c>
    </row>
    <row r="63" spans="1:19" x14ac:dyDescent="0.4">
      <c r="A63" s="291"/>
      <c r="B63" s="292"/>
      <c r="C63" s="312"/>
      <c r="D63" s="292"/>
      <c r="E63" s="489"/>
      <c r="F63" s="489"/>
      <c r="G63" s="490"/>
      <c r="H63" s="520"/>
      <c r="I63" s="523"/>
      <c r="J63" s="521"/>
      <c r="K63" s="522"/>
      <c r="M63" s="301" t="str">
        <f>N63&amp;AS[[#This Row],[Insurer Code]]&amp;"; "&amp;O63&amp;AS[[#This Row],[Reporting Year]]&amp;"; "&amp;P63&amp;AS[[#This Row],[Insurance Category Code]]&amp;"; "&amp;Q63&amp;AS[[#This Row],[Large Provider Entity Code]]&amp;"; "&amp;R63&amp;AS[[#This Row],[Age Band Code]]&amp;"; "&amp;S63&amp;AS[[#This Row],[Sex Code]]</f>
        <v xml:space="preserve">Insurer Code ; Reporting Year ; Insurance Category Code ; Large Provider Entity Code ; Age Band Code ; Sex Code </v>
      </c>
      <c r="N63" s="297" t="s">
        <v>197</v>
      </c>
      <c r="O63" s="297" t="s">
        <v>198</v>
      </c>
      <c r="P63" s="297" t="s">
        <v>199</v>
      </c>
      <c r="Q63" s="297" t="s">
        <v>200</v>
      </c>
      <c r="R63" s="297" t="s">
        <v>213</v>
      </c>
      <c r="S63" s="297" t="s">
        <v>214</v>
      </c>
    </row>
    <row r="64" spans="1:19" x14ac:dyDescent="0.4">
      <c r="A64" s="291"/>
      <c r="B64" s="292"/>
      <c r="C64" s="312"/>
      <c r="D64" s="292"/>
      <c r="E64" s="489"/>
      <c r="F64" s="489"/>
      <c r="G64" s="490"/>
      <c r="H64" s="520"/>
      <c r="I64" s="523"/>
      <c r="J64" s="521"/>
      <c r="K64" s="522"/>
      <c r="M64" s="301" t="str">
        <f>N64&amp;AS[[#This Row],[Insurer Code]]&amp;"; "&amp;O64&amp;AS[[#This Row],[Reporting Year]]&amp;"; "&amp;P64&amp;AS[[#This Row],[Insurance Category Code]]&amp;"; "&amp;Q64&amp;AS[[#This Row],[Large Provider Entity Code]]&amp;"; "&amp;R64&amp;AS[[#This Row],[Age Band Code]]&amp;"; "&amp;S64&amp;AS[[#This Row],[Sex Code]]</f>
        <v xml:space="preserve">Insurer Code ; Reporting Year ; Insurance Category Code ; Large Provider Entity Code ; Age Band Code ; Sex Code </v>
      </c>
      <c r="N64" s="297" t="s">
        <v>197</v>
      </c>
      <c r="O64" s="297" t="s">
        <v>198</v>
      </c>
      <c r="P64" s="297" t="s">
        <v>199</v>
      </c>
      <c r="Q64" s="297" t="s">
        <v>200</v>
      </c>
      <c r="R64" s="297" t="s">
        <v>213</v>
      </c>
      <c r="S64" s="297" t="s">
        <v>214</v>
      </c>
    </row>
    <row r="65" spans="1:19" x14ac:dyDescent="0.4">
      <c r="A65" s="291"/>
      <c r="B65" s="292"/>
      <c r="C65" s="312"/>
      <c r="D65" s="292"/>
      <c r="E65" s="489"/>
      <c r="F65" s="489"/>
      <c r="G65" s="490"/>
      <c r="H65" s="520"/>
      <c r="I65" s="523"/>
      <c r="J65" s="521"/>
      <c r="K65" s="522"/>
      <c r="M65" s="301" t="str">
        <f>N65&amp;AS[[#This Row],[Insurer Code]]&amp;"; "&amp;O65&amp;AS[[#This Row],[Reporting Year]]&amp;"; "&amp;P65&amp;AS[[#This Row],[Insurance Category Code]]&amp;"; "&amp;Q65&amp;AS[[#This Row],[Large Provider Entity Code]]&amp;"; "&amp;R65&amp;AS[[#This Row],[Age Band Code]]&amp;"; "&amp;S65&amp;AS[[#This Row],[Sex Code]]</f>
        <v xml:space="preserve">Insurer Code ; Reporting Year ; Insurance Category Code ; Large Provider Entity Code ; Age Band Code ; Sex Code </v>
      </c>
      <c r="N65" s="297" t="s">
        <v>197</v>
      </c>
      <c r="O65" s="297" t="s">
        <v>198</v>
      </c>
      <c r="P65" s="297" t="s">
        <v>199</v>
      </c>
      <c r="Q65" s="297" t="s">
        <v>200</v>
      </c>
      <c r="R65" s="297" t="s">
        <v>213</v>
      </c>
      <c r="S65" s="297" t="s">
        <v>214</v>
      </c>
    </row>
    <row r="66" spans="1:19" x14ac:dyDescent="0.4">
      <c r="A66" s="291"/>
      <c r="B66" s="292"/>
      <c r="C66" s="312"/>
      <c r="D66" s="292"/>
      <c r="E66" s="489"/>
      <c r="F66" s="489"/>
      <c r="G66" s="490"/>
      <c r="H66" s="520"/>
      <c r="I66" s="523"/>
      <c r="J66" s="521"/>
      <c r="K66" s="522"/>
      <c r="M66" s="301" t="str">
        <f>N66&amp;AS[[#This Row],[Insurer Code]]&amp;"; "&amp;O66&amp;AS[[#This Row],[Reporting Year]]&amp;"; "&amp;P66&amp;AS[[#This Row],[Insurance Category Code]]&amp;"; "&amp;Q66&amp;AS[[#This Row],[Large Provider Entity Code]]&amp;"; "&amp;R66&amp;AS[[#This Row],[Age Band Code]]&amp;"; "&amp;S66&amp;AS[[#This Row],[Sex Code]]</f>
        <v xml:space="preserve">Insurer Code ; Reporting Year ; Insurance Category Code ; Large Provider Entity Code ; Age Band Code ; Sex Code </v>
      </c>
      <c r="N66" s="297" t="s">
        <v>197</v>
      </c>
      <c r="O66" s="297" t="s">
        <v>198</v>
      </c>
      <c r="P66" s="297" t="s">
        <v>199</v>
      </c>
      <c r="Q66" s="297" t="s">
        <v>200</v>
      </c>
      <c r="R66" s="297" t="s">
        <v>213</v>
      </c>
      <c r="S66" s="297" t="s">
        <v>214</v>
      </c>
    </row>
    <row r="67" spans="1:19" x14ac:dyDescent="0.4">
      <c r="A67" s="291"/>
      <c r="B67" s="292"/>
      <c r="C67" s="312"/>
      <c r="D67" s="292"/>
      <c r="E67" s="489"/>
      <c r="F67" s="489"/>
      <c r="G67" s="490"/>
      <c r="H67" s="520"/>
      <c r="I67" s="523"/>
      <c r="J67" s="521"/>
      <c r="K67" s="522"/>
      <c r="M67" s="301" t="str">
        <f>N67&amp;AS[[#This Row],[Insurer Code]]&amp;"; "&amp;O67&amp;AS[[#This Row],[Reporting Year]]&amp;"; "&amp;P67&amp;AS[[#This Row],[Insurance Category Code]]&amp;"; "&amp;Q67&amp;AS[[#This Row],[Large Provider Entity Code]]&amp;"; "&amp;R67&amp;AS[[#This Row],[Age Band Code]]&amp;"; "&amp;S67&amp;AS[[#This Row],[Sex Code]]</f>
        <v xml:space="preserve">Insurer Code ; Reporting Year ; Insurance Category Code ; Large Provider Entity Code ; Age Band Code ; Sex Code </v>
      </c>
      <c r="N67" s="297" t="s">
        <v>197</v>
      </c>
      <c r="O67" s="297" t="s">
        <v>198</v>
      </c>
      <c r="P67" s="297" t="s">
        <v>199</v>
      </c>
      <c r="Q67" s="297" t="s">
        <v>200</v>
      </c>
      <c r="R67" s="297" t="s">
        <v>213</v>
      </c>
      <c r="S67" s="297" t="s">
        <v>214</v>
      </c>
    </row>
    <row r="68" spans="1:19" x14ac:dyDescent="0.4">
      <c r="A68" s="291"/>
      <c r="B68" s="292"/>
      <c r="C68" s="312"/>
      <c r="D68" s="292"/>
      <c r="E68" s="489"/>
      <c r="F68" s="489"/>
      <c r="G68" s="490"/>
      <c r="H68" s="520"/>
      <c r="I68" s="523"/>
      <c r="J68" s="521"/>
      <c r="K68" s="522"/>
      <c r="M68" s="301" t="str">
        <f>N68&amp;AS[[#This Row],[Insurer Code]]&amp;"; "&amp;O68&amp;AS[[#This Row],[Reporting Year]]&amp;"; "&amp;P68&amp;AS[[#This Row],[Insurance Category Code]]&amp;"; "&amp;Q68&amp;AS[[#This Row],[Large Provider Entity Code]]&amp;"; "&amp;R68&amp;AS[[#This Row],[Age Band Code]]&amp;"; "&amp;S68&amp;AS[[#This Row],[Sex Code]]</f>
        <v xml:space="preserve">Insurer Code ; Reporting Year ; Insurance Category Code ; Large Provider Entity Code ; Age Band Code ; Sex Code </v>
      </c>
      <c r="N68" s="297" t="s">
        <v>197</v>
      </c>
      <c r="O68" s="297" t="s">
        <v>198</v>
      </c>
      <c r="P68" s="297" t="s">
        <v>199</v>
      </c>
      <c r="Q68" s="297" t="s">
        <v>200</v>
      </c>
      <c r="R68" s="297" t="s">
        <v>213</v>
      </c>
      <c r="S68" s="297" t="s">
        <v>214</v>
      </c>
    </row>
    <row r="69" spans="1:19" x14ac:dyDescent="0.4">
      <c r="A69" s="291"/>
      <c r="B69" s="292"/>
      <c r="C69" s="312"/>
      <c r="D69" s="292"/>
      <c r="E69" s="489"/>
      <c r="F69" s="489"/>
      <c r="G69" s="490"/>
      <c r="H69" s="520"/>
      <c r="I69" s="523"/>
      <c r="J69" s="521"/>
      <c r="K69" s="522"/>
      <c r="M69" s="301" t="str">
        <f>N69&amp;AS[[#This Row],[Insurer Code]]&amp;"; "&amp;O69&amp;AS[[#This Row],[Reporting Year]]&amp;"; "&amp;P69&amp;AS[[#This Row],[Insurance Category Code]]&amp;"; "&amp;Q69&amp;AS[[#This Row],[Large Provider Entity Code]]&amp;"; "&amp;R69&amp;AS[[#This Row],[Age Band Code]]&amp;"; "&amp;S69&amp;AS[[#This Row],[Sex Code]]</f>
        <v xml:space="preserve">Insurer Code ; Reporting Year ; Insurance Category Code ; Large Provider Entity Code ; Age Band Code ; Sex Code </v>
      </c>
      <c r="N69" s="297" t="s">
        <v>197</v>
      </c>
      <c r="O69" s="297" t="s">
        <v>198</v>
      </c>
      <c r="P69" s="297" t="s">
        <v>199</v>
      </c>
      <c r="Q69" s="297" t="s">
        <v>200</v>
      </c>
      <c r="R69" s="297" t="s">
        <v>213</v>
      </c>
      <c r="S69" s="297" t="s">
        <v>214</v>
      </c>
    </row>
    <row r="70" spans="1:19" x14ac:dyDescent="0.4">
      <c r="A70" s="291"/>
      <c r="B70" s="292"/>
      <c r="C70" s="312"/>
      <c r="D70" s="292"/>
      <c r="E70" s="489"/>
      <c r="F70" s="489"/>
      <c r="G70" s="490"/>
      <c r="H70" s="520"/>
      <c r="I70" s="523"/>
      <c r="J70" s="521"/>
      <c r="K70" s="522"/>
      <c r="M70" s="301" t="str">
        <f>N70&amp;AS[[#This Row],[Insurer Code]]&amp;"; "&amp;O70&amp;AS[[#This Row],[Reporting Year]]&amp;"; "&amp;P70&amp;AS[[#This Row],[Insurance Category Code]]&amp;"; "&amp;Q70&amp;AS[[#This Row],[Large Provider Entity Code]]&amp;"; "&amp;R70&amp;AS[[#This Row],[Age Band Code]]&amp;"; "&amp;S70&amp;AS[[#This Row],[Sex Code]]</f>
        <v xml:space="preserve">Insurer Code ; Reporting Year ; Insurance Category Code ; Large Provider Entity Code ; Age Band Code ; Sex Code </v>
      </c>
      <c r="N70" s="297" t="s">
        <v>197</v>
      </c>
      <c r="O70" s="297" t="s">
        <v>198</v>
      </c>
      <c r="P70" s="297" t="s">
        <v>199</v>
      </c>
      <c r="Q70" s="297" t="s">
        <v>200</v>
      </c>
      <c r="R70" s="297" t="s">
        <v>213</v>
      </c>
      <c r="S70" s="297" t="s">
        <v>214</v>
      </c>
    </row>
    <row r="71" spans="1:19" x14ac:dyDescent="0.4">
      <c r="A71" s="291"/>
      <c r="B71" s="292"/>
      <c r="C71" s="312"/>
      <c r="D71" s="292"/>
      <c r="E71" s="489"/>
      <c r="F71" s="489"/>
      <c r="G71" s="490"/>
      <c r="H71" s="520"/>
      <c r="I71" s="523"/>
      <c r="J71" s="521"/>
      <c r="K71" s="522"/>
      <c r="M71" s="301" t="str">
        <f>N71&amp;AS[[#This Row],[Insurer Code]]&amp;"; "&amp;O71&amp;AS[[#This Row],[Reporting Year]]&amp;"; "&amp;P71&amp;AS[[#This Row],[Insurance Category Code]]&amp;"; "&amp;Q71&amp;AS[[#This Row],[Large Provider Entity Code]]&amp;"; "&amp;R71&amp;AS[[#This Row],[Age Band Code]]&amp;"; "&amp;S71&amp;AS[[#This Row],[Sex Code]]</f>
        <v xml:space="preserve">Insurer Code ; Reporting Year ; Insurance Category Code ; Large Provider Entity Code ; Age Band Code ; Sex Code </v>
      </c>
      <c r="N71" s="297" t="s">
        <v>197</v>
      </c>
      <c r="O71" s="297" t="s">
        <v>198</v>
      </c>
      <c r="P71" s="297" t="s">
        <v>199</v>
      </c>
      <c r="Q71" s="297" t="s">
        <v>200</v>
      </c>
      <c r="R71" s="297" t="s">
        <v>213</v>
      </c>
      <c r="S71" s="297" t="s">
        <v>214</v>
      </c>
    </row>
    <row r="72" spans="1:19" x14ac:dyDescent="0.4">
      <c r="A72" s="291"/>
      <c r="B72" s="292"/>
      <c r="C72" s="312"/>
      <c r="D72" s="292"/>
      <c r="E72" s="489"/>
      <c r="F72" s="489"/>
      <c r="G72" s="490"/>
      <c r="H72" s="520"/>
      <c r="I72" s="523"/>
      <c r="J72" s="521"/>
      <c r="K72" s="522"/>
      <c r="M72" s="301" t="str">
        <f>N72&amp;AS[[#This Row],[Insurer Code]]&amp;"; "&amp;O72&amp;AS[[#This Row],[Reporting Year]]&amp;"; "&amp;P72&amp;AS[[#This Row],[Insurance Category Code]]&amp;"; "&amp;Q72&amp;AS[[#This Row],[Large Provider Entity Code]]&amp;"; "&amp;R72&amp;AS[[#This Row],[Age Band Code]]&amp;"; "&amp;S72&amp;AS[[#This Row],[Sex Code]]</f>
        <v xml:space="preserve">Insurer Code ; Reporting Year ; Insurance Category Code ; Large Provider Entity Code ; Age Band Code ; Sex Code </v>
      </c>
      <c r="N72" s="297" t="s">
        <v>197</v>
      </c>
      <c r="O72" s="297" t="s">
        <v>198</v>
      </c>
      <c r="P72" s="297" t="s">
        <v>199</v>
      </c>
      <c r="Q72" s="297" t="s">
        <v>200</v>
      </c>
      <c r="R72" s="297" t="s">
        <v>213</v>
      </c>
      <c r="S72" s="297" t="s">
        <v>214</v>
      </c>
    </row>
    <row r="73" spans="1:19" x14ac:dyDescent="0.4">
      <c r="A73" s="291"/>
      <c r="B73" s="292"/>
      <c r="C73" s="312"/>
      <c r="D73" s="292"/>
      <c r="E73" s="489"/>
      <c r="F73" s="489"/>
      <c r="G73" s="490"/>
      <c r="H73" s="520"/>
      <c r="I73" s="523"/>
      <c r="J73" s="521"/>
      <c r="K73" s="522"/>
      <c r="M73" s="301" t="str">
        <f>N73&amp;AS[[#This Row],[Insurer Code]]&amp;"; "&amp;O73&amp;AS[[#This Row],[Reporting Year]]&amp;"; "&amp;P73&amp;AS[[#This Row],[Insurance Category Code]]&amp;"; "&amp;Q73&amp;AS[[#This Row],[Large Provider Entity Code]]&amp;"; "&amp;R73&amp;AS[[#This Row],[Age Band Code]]&amp;"; "&amp;S73&amp;AS[[#This Row],[Sex Code]]</f>
        <v xml:space="preserve">Insurer Code ; Reporting Year ; Insurance Category Code ; Large Provider Entity Code ; Age Band Code ; Sex Code </v>
      </c>
      <c r="N73" s="297" t="s">
        <v>197</v>
      </c>
      <c r="O73" s="297" t="s">
        <v>198</v>
      </c>
      <c r="P73" s="297" t="s">
        <v>199</v>
      </c>
      <c r="Q73" s="297" t="s">
        <v>200</v>
      </c>
      <c r="R73" s="297" t="s">
        <v>213</v>
      </c>
      <c r="S73" s="297" t="s">
        <v>214</v>
      </c>
    </row>
    <row r="74" spans="1:19" x14ac:dyDescent="0.4">
      <c r="A74" s="291"/>
      <c r="B74" s="292"/>
      <c r="C74" s="312"/>
      <c r="D74" s="292"/>
      <c r="E74" s="489"/>
      <c r="F74" s="489"/>
      <c r="G74" s="490"/>
      <c r="H74" s="520"/>
      <c r="I74" s="523"/>
      <c r="J74" s="521"/>
      <c r="K74" s="522"/>
      <c r="M74" s="301" t="str">
        <f>N74&amp;AS[[#This Row],[Insurer Code]]&amp;"; "&amp;O74&amp;AS[[#This Row],[Reporting Year]]&amp;"; "&amp;P74&amp;AS[[#This Row],[Insurance Category Code]]&amp;"; "&amp;Q74&amp;AS[[#This Row],[Large Provider Entity Code]]&amp;"; "&amp;R74&amp;AS[[#This Row],[Age Band Code]]&amp;"; "&amp;S74&amp;AS[[#This Row],[Sex Code]]</f>
        <v xml:space="preserve">Insurer Code ; Reporting Year ; Insurance Category Code ; Large Provider Entity Code ; Age Band Code ; Sex Code </v>
      </c>
      <c r="N74" s="297" t="s">
        <v>197</v>
      </c>
      <c r="O74" s="297" t="s">
        <v>198</v>
      </c>
      <c r="P74" s="297" t="s">
        <v>199</v>
      </c>
      <c r="Q74" s="297" t="s">
        <v>200</v>
      </c>
      <c r="R74" s="297" t="s">
        <v>213</v>
      </c>
      <c r="S74" s="297" t="s">
        <v>214</v>
      </c>
    </row>
    <row r="75" spans="1:19" x14ac:dyDescent="0.4">
      <c r="A75" s="291"/>
      <c r="B75" s="292"/>
      <c r="C75" s="312"/>
      <c r="D75" s="292"/>
      <c r="E75" s="489"/>
      <c r="F75" s="489"/>
      <c r="G75" s="490"/>
      <c r="H75" s="520"/>
      <c r="I75" s="523"/>
      <c r="J75" s="521"/>
      <c r="K75" s="522"/>
      <c r="M75" s="301" t="str">
        <f>N75&amp;AS[[#This Row],[Insurer Code]]&amp;"; "&amp;O75&amp;AS[[#This Row],[Reporting Year]]&amp;"; "&amp;P75&amp;AS[[#This Row],[Insurance Category Code]]&amp;"; "&amp;Q75&amp;AS[[#This Row],[Large Provider Entity Code]]&amp;"; "&amp;R75&amp;AS[[#This Row],[Age Band Code]]&amp;"; "&amp;S75&amp;AS[[#This Row],[Sex Code]]</f>
        <v xml:space="preserve">Insurer Code ; Reporting Year ; Insurance Category Code ; Large Provider Entity Code ; Age Band Code ; Sex Code </v>
      </c>
      <c r="N75" s="297" t="s">
        <v>197</v>
      </c>
      <c r="O75" s="297" t="s">
        <v>198</v>
      </c>
      <c r="P75" s="297" t="s">
        <v>199</v>
      </c>
      <c r="Q75" s="297" t="s">
        <v>200</v>
      </c>
      <c r="R75" s="297" t="s">
        <v>213</v>
      </c>
      <c r="S75" s="297" t="s">
        <v>214</v>
      </c>
    </row>
    <row r="76" spans="1:19" x14ac:dyDescent="0.4">
      <c r="A76" s="291"/>
      <c r="B76" s="292"/>
      <c r="C76" s="312"/>
      <c r="D76" s="292"/>
      <c r="E76" s="489"/>
      <c r="F76" s="489"/>
      <c r="G76" s="490"/>
      <c r="H76" s="520"/>
      <c r="I76" s="523"/>
      <c r="J76" s="521"/>
      <c r="K76" s="522"/>
      <c r="M76" s="301" t="str">
        <f>N76&amp;AS[[#This Row],[Insurer Code]]&amp;"; "&amp;O76&amp;AS[[#This Row],[Reporting Year]]&amp;"; "&amp;P76&amp;AS[[#This Row],[Insurance Category Code]]&amp;"; "&amp;Q76&amp;AS[[#This Row],[Large Provider Entity Code]]&amp;"; "&amp;R76&amp;AS[[#This Row],[Age Band Code]]&amp;"; "&amp;S76&amp;AS[[#This Row],[Sex Code]]</f>
        <v xml:space="preserve">Insurer Code ; Reporting Year ; Insurance Category Code ; Large Provider Entity Code ; Age Band Code ; Sex Code </v>
      </c>
      <c r="N76" s="297" t="s">
        <v>197</v>
      </c>
      <c r="O76" s="297" t="s">
        <v>198</v>
      </c>
      <c r="P76" s="297" t="s">
        <v>199</v>
      </c>
      <c r="Q76" s="297" t="s">
        <v>200</v>
      </c>
      <c r="R76" s="297" t="s">
        <v>213</v>
      </c>
      <c r="S76" s="297" t="s">
        <v>214</v>
      </c>
    </row>
    <row r="77" spans="1:19" x14ac:dyDescent="0.4">
      <c r="A77" s="291"/>
      <c r="B77" s="292"/>
      <c r="C77" s="312"/>
      <c r="D77" s="292"/>
      <c r="E77" s="489"/>
      <c r="F77" s="489"/>
      <c r="G77" s="490"/>
      <c r="H77" s="520"/>
      <c r="I77" s="523"/>
      <c r="J77" s="521"/>
      <c r="K77" s="522"/>
      <c r="M77" s="301" t="str">
        <f>N77&amp;AS[[#This Row],[Insurer Code]]&amp;"; "&amp;O77&amp;AS[[#This Row],[Reporting Year]]&amp;"; "&amp;P77&amp;AS[[#This Row],[Insurance Category Code]]&amp;"; "&amp;Q77&amp;AS[[#This Row],[Large Provider Entity Code]]&amp;"; "&amp;R77&amp;AS[[#This Row],[Age Band Code]]&amp;"; "&amp;S77&amp;AS[[#This Row],[Sex Code]]</f>
        <v xml:space="preserve">Insurer Code ; Reporting Year ; Insurance Category Code ; Large Provider Entity Code ; Age Band Code ; Sex Code </v>
      </c>
      <c r="N77" s="297" t="s">
        <v>197</v>
      </c>
      <c r="O77" s="297" t="s">
        <v>198</v>
      </c>
      <c r="P77" s="297" t="s">
        <v>199</v>
      </c>
      <c r="Q77" s="297" t="s">
        <v>200</v>
      </c>
      <c r="R77" s="297" t="s">
        <v>213</v>
      </c>
      <c r="S77" s="297" t="s">
        <v>214</v>
      </c>
    </row>
    <row r="78" spans="1:19" x14ac:dyDescent="0.4">
      <c r="A78" s="291"/>
      <c r="B78" s="292"/>
      <c r="C78" s="312"/>
      <c r="D78" s="292"/>
      <c r="E78" s="489"/>
      <c r="F78" s="489"/>
      <c r="G78" s="490"/>
      <c r="H78" s="520"/>
      <c r="I78" s="523"/>
      <c r="J78" s="521"/>
      <c r="K78" s="522"/>
      <c r="M78" s="301" t="str">
        <f>N78&amp;AS[[#This Row],[Insurer Code]]&amp;"; "&amp;O78&amp;AS[[#This Row],[Reporting Year]]&amp;"; "&amp;P78&amp;AS[[#This Row],[Insurance Category Code]]&amp;"; "&amp;Q78&amp;AS[[#This Row],[Large Provider Entity Code]]&amp;"; "&amp;R78&amp;AS[[#This Row],[Age Band Code]]&amp;"; "&amp;S78&amp;AS[[#This Row],[Sex Code]]</f>
        <v xml:space="preserve">Insurer Code ; Reporting Year ; Insurance Category Code ; Large Provider Entity Code ; Age Band Code ; Sex Code </v>
      </c>
      <c r="N78" s="297" t="s">
        <v>197</v>
      </c>
      <c r="O78" s="297" t="s">
        <v>198</v>
      </c>
      <c r="P78" s="297" t="s">
        <v>199</v>
      </c>
      <c r="Q78" s="297" t="s">
        <v>200</v>
      </c>
      <c r="R78" s="297" t="s">
        <v>213</v>
      </c>
      <c r="S78" s="297" t="s">
        <v>214</v>
      </c>
    </row>
    <row r="79" spans="1:19" x14ac:dyDescent="0.4">
      <c r="A79" s="291"/>
      <c r="B79" s="292"/>
      <c r="C79" s="312"/>
      <c r="D79" s="292"/>
      <c r="E79" s="489"/>
      <c r="F79" s="489"/>
      <c r="G79" s="490"/>
      <c r="H79" s="520"/>
      <c r="I79" s="523"/>
      <c r="J79" s="521"/>
      <c r="K79" s="522"/>
      <c r="M79" s="301" t="str">
        <f>N79&amp;AS[[#This Row],[Insurer Code]]&amp;"; "&amp;O79&amp;AS[[#This Row],[Reporting Year]]&amp;"; "&amp;P79&amp;AS[[#This Row],[Insurance Category Code]]&amp;"; "&amp;Q79&amp;AS[[#This Row],[Large Provider Entity Code]]&amp;"; "&amp;R79&amp;AS[[#This Row],[Age Band Code]]&amp;"; "&amp;S79&amp;AS[[#This Row],[Sex Code]]</f>
        <v xml:space="preserve">Insurer Code ; Reporting Year ; Insurance Category Code ; Large Provider Entity Code ; Age Band Code ; Sex Code </v>
      </c>
      <c r="N79" s="297" t="s">
        <v>197</v>
      </c>
      <c r="O79" s="297" t="s">
        <v>198</v>
      </c>
      <c r="P79" s="297" t="s">
        <v>199</v>
      </c>
      <c r="Q79" s="297" t="s">
        <v>200</v>
      </c>
      <c r="R79" s="297" t="s">
        <v>213</v>
      </c>
      <c r="S79" s="297" t="s">
        <v>214</v>
      </c>
    </row>
    <row r="80" spans="1:19" x14ac:dyDescent="0.4">
      <c r="A80" s="291"/>
      <c r="B80" s="292"/>
      <c r="C80" s="312"/>
      <c r="D80" s="292"/>
      <c r="E80" s="489"/>
      <c r="F80" s="489"/>
      <c r="G80" s="490"/>
      <c r="H80" s="520"/>
      <c r="I80" s="523"/>
      <c r="J80" s="521"/>
      <c r="K80" s="522"/>
      <c r="M80" s="301" t="str">
        <f>N80&amp;AS[[#This Row],[Insurer Code]]&amp;"; "&amp;O80&amp;AS[[#This Row],[Reporting Year]]&amp;"; "&amp;P80&amp;AS[[#This Row],[Insurance Category Code]]&amp;"; "&amp;Q80&amp;AS[[#This Row],[Large Provider Entity Code]]&amp;"; "&amp;R80&amp;AS[[#This Row],[Age Band Code]]&amp;"; "&amp;S80&amp;AS[[#This Row],[Sex Code]]</f>
        <v xml:space="preserve">Insurer Code ; Reporting Year ; Insurance Category Code ; Large Provider Entity Code ; Age Band Code ; Sex Code </v>
      </c>
      <c r="N80" s="297" t="s">
        <v>197</v>
      </c>
      <c r="O80" s="297" t="s">
        <v>198</v>
      </c>
      <c r="P80" s="297" t="s">
        <v>199</v>
      </c>
      <c r="Q80" s="297" t="s">
        <v>200</v>
      </c>
      <c r="R80" s="297" t="s">
        <v>213</v>
      </c>
      <c r="S80" s="297" t="s">
        <v>214</v>
      </c>
    </row>
    <row r="81" spans="1:19" x14ac:dyDescent="0.4">
      <c r="A81" s="291"/>
      <c r="B81" s="292"/>
      <c r="C81" s="312"/>
      <c r="D81" s="292"/>
      <c r="E81" s="489"/>
      <c r="F81" s="489"/>
      <c r="G81" s="490"/>
      <c r="H81" s="520"/>
      <c r="I81" s="523"/>
      <c r="J81" s="521"/>
      <c r="K81" s="522"/>
      <c r="M81" s="301" t="str">
        <f>N81&amp;AS[[#This Row],[Insurer Code]]&amp;"; "&amp;O81&amp;AS[[#This Row],[Reporting Year]]&amp;"; "&amp;P81&amp;AS[[#This Row],[Insurance Category Code]]&amp;"; "&amp;Q81&amp;AS[[#This Row],[Large Provider Entity Code]]&amp;"; "&amp;R81&amp;AS[[#This Row],[Age Band Code]]&amp;"; "&amp;S81&amp;AS[[#This Row],[Sex Code]]</f>
        <v xml:space="preserve">Insurer Code ; Reporting Year ; Insurance Category Code ; Large Provider Entity Code ; Age Band Code ; Sex Code </v>
      </c>
      <c r="N81" s="297" t="s">
        <v>197</v>
      </c>
      <c r="O81" s="297" t="s">
        <v>198</v>
      </c>
      <c r="P81" s="297" t="s">
        <v>199</v>
      </c>
      <c r="Q81" s="297" t="s">
        <v>200</v>
      </c>
      <c r="R81" s="297" t="s">
        <v>213</v>
      </c>
      <c r="S81" s="297" t="s">
        <v>214</v>
      </c>
    </row>
    <row r="82" spans="1:19" x14ac:dyDescent="0.4">
      <c r="A82" s="291"/>
      <c r="B82" s="292"/>
      <c r="C82" s="312"/>
      <c r="D82" s="292"/>
      <c r="E82" s="489"/>
      <c r="F82" s="489"/>
      <c r="G82" s="490"/>
      <c r="H82" s="520"/>
      <c r="I82" s="523"/>
      <c r="J82" s="521"/>
      <c r="K82" s="522"/>
      <c r="M82" s="301" t="str">
        <f>N82&amp;AS[[#This Row],[Insurer Code]]&amp;"; "&amp;O82&amp;AS[[#This Row],[Reporting Year]]&amp;"; "&amp;P82&amp;AS[[#This Row],[Insurance Category Code]]&amp;"; "&amp;Q82&amp;AS[[#This Row],[Large Provider Entity Code]]&amp;"; "&amp;R82&amp;AS[[#This Row],[Age Band Code]]&amp;"; "&amp;S82&amp;AS[[#This Row],[Sex Code]]</f>
        <v xml:space="preserve">Insurer Code ; Reporting Year ; Insurance Category Code ; Large Provider Entity Code ; Age Band Code ; Sex Code </v>
      </c>
      <c r="N82" s="297" t="s">
        <v>197</v>
      </c>
      <c r="O82" s="297" t="s">
        <v>198</v>
      </c>
      <c r="P82" s="297" t="s">
        <v>199</v>
      </c>
      <c r="Q82" s="297" t="s">
        <v>200</v>
      </c>
      <c r="R82" s="297" t="s">
        <v>213</v>
      </c>
      <c r="S82" s="297" t="s">
        <v>214</v>
      </c>
    </row>
    <row r="83" spans="1:19" x14ac:dyDescent="0.4">
      <c r="A83" s="291"/>
      <c r="B83" s="292"/>
      <c r="C83" s="312"/>
      <c r="D83" s="292"/>
      <c r="E83" s="489"/>
      <c r="F83" s="489"/>
      <c r="G83" s="490"/>
      <c r="H83" s="520"/>
      <c r="I83" s="523"/>
      <c r="J83" s="521"/>
      <c r="K83" s="522"/>
      <c r="M83" s="301" t="str">
        <f>N83&amp;AS[[#This Row],[Insurer Code]]&amp;"; "&amp;O83&amp;AS[[#This Row],[Reporting Year]]&amp;"; "&amp;P83&amp;AS[[#This Row],[Insurance Category Code]]&amp;"; "&amp;Q83&amp;AS[[#This Row],[Large Provider Entity Code]]&amp;"; "&amp;R83&amp;AS[[#This Row],[Age Band Code]]&amp;"; "&amp;S83&amp;AS[[#This Row],[Sex Code]]</f>
        <v xml:space="preserve">Insurer Code ; Reporting Year ; Insurance Category Code ; Large Provider Entity Code ; Age Band Code ; Sex Code </v>
      </c>
      <c r="N83" s="297" t="s">
        <v>197</v>
      </c>
      <c r="O83" s="297" t="s">
        <v>198</v>
      </c>
      <c r="P83" s="297" t="s">
        <v>199</v>
      </c>
      <c r="Q83" s="297" t="s">
        <v>200</v>
      </c>
      <c r="R83" s="297" t="s">
        <v>213</v>
      </c>
      <c r="S83" s="297" t="s">
        <v>214</v>
      </c>
    </row>
    <row r="84" spans="1:19" x14ac:dyDescent="0.4">
      <c r="A84" s="291"/>
      <c r="B84" s="292"/>
      <c r="C84" s="312"/>
      <c r="D84" s="292"/>
      <c r="E84" s="489"/>
      <c r="F84" s="489"/>
      <c r="G84" s="490"/>
      <c r="H84" s="520"/>
      <c r="I84" s="523"/>
      <c r="J84" s="521"/>
      <c r="K84" s="522"/>
      <c r="M84" s="301" t="str">
        <f>N84&amp;AS[[#This Row],[Insurer Code]]&amp;"; "&amp;O84&amp;AS[[#This Row],[Reporting Year]]&amp;"; "&amp;P84&amp;AS[[#This Row],[Insurance Category Code]]&amp;"; "&amp;Q84&amp;AS[[#This Row],[Large Provider Entity Code]]&amp;"; "&amp;R84&amp;AS[[#This Row],[Age Band Code]]&amp;"; "&amp;S84&amp;AS[[#This Row],[Sex Code]]</f>
        <v xml:space="preserve">Insurer Code ; Reporting Year ; Insurance Category Code ; Large Provider Entity Code ; Age Band Code ; Sex Code </v>
      </c>
      <c r="N84" s="297" t="s">
        <v>197</v>
      </c>
      <c r="O84" s="297" t="s">
        <v>198</v>
      </c>
      <c r="P84" s="297" t="s">
        <v>199</v>
      </c>
      <c r="Q84" s="297" t="s">
        <v>200</v>
      </c>
      <c r="R84" s="297" t="s">
        <v>213</v>
      </c>
      <c r="S84" s="297" t="s">
        <v>214</v>
      </c>
    </row>
    <row r="85" spans="1:19" x14ac:dyDescent="0.4">
      <c r="A85" s="291"/>
      <c r="B85" s="292"/>
      <c r="C85" s="312"/>
      <c r="D85" s="292"/>
      <c r="E85" s="489"/>
      <c r="F85" s="489"/>
      <c r="G85" s="490"/>
      <c r="H85" s="520"/>
      <c r="I85" s="523"/>
      <c r="J85" s="521"/>
      <c r="K85" s="522"/>
      <c r="M85" s="301" t="str">
        <f>N85&amp;AS[[#This Row],[Insurer Code]]&amp;"; "&amp;O85&amp;AS[[#This Row],[Reporting Year]]&amp;"; "&amp;P85&amp;AS[[#This Row],[Insurance Category Code]]&amp;"; "&amp;Q85&amp;AS[[#This Row],[Large Provider Entity Code]]&amp;"; "&amp;R85&amp;AS[[#This Row],[Age Band Code]]&amp;"; "&amp;S85&amp;AS[[#This Row],[Sex Code]]</f>
        <v xml:space="preserve">Insurer Code ; Reporting Year ; Insurance Category Code ; Large Provider Entity Code ; Age Band Code ; Sex Code </v>
      </c>
      <c r="N85" s="297" t="s">
        <v>197</v>
      </c>
      <c r="O85" s="297" t="s">
        <v>198</v>
      </c>
      <c r="P85" s="297" t="s">
        <v>199</v>
      </c>
      <c r="Q85" s="297" t="s">
        <v>200</v>
      </c>
      <c r="R85" s="297" t="s">
        <v>213</v>
      </c>
      <c r="S85" s="297" t="s">
        <v>214</v>
      </c>
    </row>
    <row r="86" spans="1:19" x14ac:dyDescent="0.4">
      <c r="A86" s="291"/>
      <c r="B86" s="292"/>
      <c r="C86" s="312"/>
      <c r="D86" s="292"/>
      <c r="E86" s="489"/>
      <c r="F86" s="489"/>
      <c r="G86" s="490"/>
      <c r="H86" s="520"/>
      <c r="I86" s="523"/>
      <c r="J86" s="521"/>
      <c r="K86" s="522"/>
      <c r="M86" s="301" t="str">
        <f>N86&amp;AS[[#This Row],[Insurer Code]]&amp;"; "&amp;O86&amp;AS[[#This Row],[Reporting Year]]&amp;"; "&amp;P86&amp;AS[[#This Row],[Insurance Category Code]]&amp;"; "&amp;Q86&amp;AS[[#This Row],[Large Provider Entity Code]]&amp;"; "&amp;R86&amp;AS[[#This Row],[Age Band Code]]&amp;"; "&amp;S86&amp;AS[[#This Row],[Sex Code]]</f>
        <v xml:space="preserve">Insurer Code ; Reporting Year ; Insurance Category Code ; Large Provider Entity Code ; Age Band Code ; Sex Code </v>
      </c>
      <c r="N86" s="297" t="s">
        <v>197</v>
      </c>
      <c r="O86" s="297" t="s">
        <v>198</v>
      </c>
      <c r="P86" s="297" t="s">
        <v>199</v>
      </c>
      <c r="Q86" s="297" t="s">
        <v>200</v>
      </c>
      <c r="R86" s="297" t="s">
        <v>213</v>
      </c>
      <c r="S86" s="297" t="s">
        <v>214</v>
      </c>
    </row>
    <row r="87" spans="1:19" x14ac:dyDescent="0.4">
      <c r="A87" s="291"/>
      <c r="B87" s="292"/>
      <c r="C87" s="312"/>
      <c r="D87" s="292"/>
      <c r="E87" s="489"/>
      <c r="F87" s="489"/>
      <c r="G87" s="490"/>
      <c r="H87" s="520"/>
      <c r="I87" s="523"/>
      <c r="J87" s="521"/>
      <c r="K87" s="522"/>
      <c r="M87" s="301" t="str">
        <f>N87&amp;AS[[#This Row],[Insurer Code]]&amp;"; "&amp;O87&amp;AS[[#This Row],[Reporting Year]]&amp;"; "&amp;P87&amp;AS[[#This Row],[Insurance Category Code]]&amp;"; "&amp;Q87&amp;AS[[#This Row],[Large Provider Entity Code]]&amp;"; "&amp;R87&amp;AS[[#This Row],[Age Band Code]]&amp;"; "&amp;S87&amp;AS[[#This Row],[Sex Code]]</f>
        <v xml:space="preserve">Insurer Code ; Reporting Year ; Insurance Category Code ; Large Provider Entity Code ; Age Band Code ; Sex Code </v>
      </c>
      <c r="N87" s="297" t="s">
        <v>197</v>
      </c>
      <c r="O87" s="297" t="s">
        <v>198</v>
      </c>
      <c r="P87" s="297" t="s">
        <v>199</v>
      </c>
      <c r="Q87" s="297" t="s">
        <v>200</v>
      </c>
      <c r="R87" s="297" t="s">
        <v>213</v>
      </c>
      <c r="S87" s="297" t="s">
        <v>214</v>
      </c>
    </row>
    <row r="88" spans="1:19" x14ac:dyDescent="0.4">
      <c r="A88" s="291"/>
      <c r="B88" s="292"/>
      <c r="C88" s="312"/>
      <c r="D88" s="292"/>
      <c r="E88" s="489"/>
      <c r="F88" s="489"/>
      <c r="G88" s="490"/>
      <c r="H88" s="520"/>
      <c r="I88" s="523"/>
      <c r="J88" s="521"/>
      <c r="K88" s="522"/>
      <c r="M88" s="301" t="str">
        <f>N88&amp;AS[[#This Row],[Insurer Code]]&amp;"; "&amp;O88&amp;AS[[#This Row],[Reporting Year]]&amp;"; "&amp;P88&amp;AS[[#This Row],[Insurance Category Code]]&amp;"; "&amp;Q88&amp;AS[[#This Row],[Large Provider Entity Code]]&amp;"; "&amp;R88&amp;AS[[#This Row],[Age Band Code]]&amp;"; "&amp;S88&amp;AS[[#This Row],[Sex Code]]</f>
        <v xml:space="preserve">Insurer Code ; Reporting Year ; Insurance Category Code ; Large Provider Entity Code ; Age Band Code ; Sex Code </v>
      </c>
      <c r="N88" s="297" t="s">
        <v>197</v>
      </c>
      <c r="O88" s="297" t="s">
        <v>198</v>
      </c>
      <c r="P88" s="297" t="s">
        <v>199</v>
      </c>
      <c r="Q88" s="297" t="s">
        <v>200</v>
      </c>
      <c r="R88" s="297" t="s">
        <v>213</v>
      </c>
      <c r="S88" s="297" t="s">
        <v>214</v>
      </c>
    </row>
    <row r="89" spans="1:19" x14ac:dyDescent="0.4">
      <c r="A89" s="291"/>
      <c r="B89" s="292"/>
      <c r="C89" s="312"/>
      <c r="D89" s="292"/>
      <c r="E89" s="489"/>
      <c r="F89" s="489"/>
      <c r="G89" s="490"/>
      <c r="H89" s="520"/>
      <c r="I89" s="523"/>
      <c r="J89" s="521"/>
      <c r="K89" s="522"/>
      <c r="M89" s="301" t="str">
        <f>N89&amp;AS[[#This Row],[Insurer Code]]&amp;"; "&amp;O89&amp;AS[[#This Row],[Reporting Year]]&amp;"; "&amp;P89&amp;AS[[#This Row],[Insurance Category Code]]&amp;"; "&amp;Q89&amp;AS[[#This Row],[Large Provider Entity Code]]&amp;"; "&amp;R89&amp;AS[[#This Row],[Age Band Code]]&amp;"; "&amp;S89&amp;AS[[#This Row],[Sex Code]]</f>
        <v xml:space="preserve">Insurer Code ; Reporting Year ; Insurance Category Code ; Large Provider Entity Code ; Age Band Code ; Sex Code </v>
      </c>
      <c r="N89" s="297" t="s">
        <v>197</v>
      </c>
      <c r="O89" s="297" t="s">
        <v>198</v>
      </c>
      <c r="P89" s="297" t="s">
        <v>199</v>
      </c>
      <c r="Q89" s="297" t="s">
        <v>200</v>
      </c>
      <c r="R89" s="297" t="s">
        <v>213</v>
      </c>
      <c r="S89" s="297" t="s">
        <v>214</v>
      </c>
    </row>
    <row r="90" spans="1:19" x14ac:dyDescent="0.4">
      <c r="A90" s="291"/>
      <c r="B90" s="292"/>
      <c r="C90" s="312"/>
      <c r="D90" s="292"/>
      <c r="E90" s="489"/>
      <c r="F90" s="489"/>
      <c r="G90" s="490"/>
      <c r="H90" s="520"/>
      <c r="I90" s="523"/>
      <c r="J90" s="521"/>
      <c r="K90" s="522"/>
      <c r="M90" s="301" t="str">
        <f>N90&amp;AS[[#This Row],[Insurer Code]]&amp;"; "&amp;O90&amp;AS[[#This Row],[Reporting Year]]&amp;"; "&amp;P90&amp;AS[[#This Row],[Insurance Category Code]]&amp;"; "&amp;Q90&amp;AS[[#This Row],[Large Provider Entity Code]]&amp;"; "&amp;R90&amp;AS[[#This Row],[Age Band Code]]&amp;"; "&amp;S90&amp;AS[[#This Row],[Sex Code]]</f>
        <v xml:space="preserve">Insurer Code ; Reporting Year ; Insurance Category Code ; Large Provider Entity Code ; Age Band Code ; Sex Code </v>
      </c>
      <c r="N90" s="297" t="s">
        <v>197</v>
      </c>
      <c r="O90" s="297" t="s">
        <v>198</v>
      </c>
      <c r="P90" s="297" t="s">
        <v>199</v>
      </c>
      <c r="Q90" s="297" t="s">
        <v>200</v>
      </c>
      <c r="R90" s="297" t="s">
        <v>213</v>
      </c>
      <c r="S90" s="297" t="s">
        <v>214</v>
      </c>
    </row>
    <row r="91" spans="1:19" x14ac:dyDescent="0.4">
      <c r="A91" s="291"/>
      <c r="B91" s="292"/>
      <c r="C91" s="312"/>
      <c r="D91" s="292"/>
      <c r="E91" s="489"/>
      <c r="F91" s="489"/>
      <c r="G91" s="490"/>
      <c r="H91" s="520"/>
      <c r="I91" s="523"/>
      <c r="J91" s="521"/>
      <c r="K91" s="522"/>
      <c r="M91" s="301" t="str">
        <f>N91&amp;AS[[#This Row],[Insurer Code]]&amp;"; "&amp;O91&amp;AS[[#This Row],[Reporting Year]]&amp;"; "&amp;P91&amp;AS[[#This Row],[Insurance Category Code]]&amp;"; "&amp;Q91&amp;AS[[#This Row],[Large Provider Entity Code]]&amp;"; "&amp;R91&amp;AS[[#This Row],[Age Band Code]]&amp;"; "&amp;S91&amp;AS[[#This Row],[Sex Code]]</f>
        <v xml:space="preserve">Insurer Code ; Reporting Year ; Insurance Category Code ; Large Provider Entity Code ; Age Band Code ; Sex Code </v>
      </c>
      <c r="N91" s="297" t="s">
        <v>197</v>
      </c>
      <c r="O91" s="297" t="s">
        <v>198</v>
      </c>
      <c r="P91" s="297" t="s">
        <v>199</v>
      </c>
      <c r="Q91" s="297" t="s">
        <v>200</v>
      </c>
      <c r="R91" s="297" t="s">
        <v>213</v>
      </c>
      <c r="S91" s="297" t="s">
        <v>214</v>
      </c>
    </row>
    <row r="92" spans="1:19" x14ac:dyDescent="0.4">
      <c r="A92" s="291"/>
      <c r="B92" s="292"/>
      <c r="C92" s="312"/>
      <c r="D92" s="292"/>
      <c r="E92" s="489"/>
      <c r="F92" s="489"/>
      <c r="G92" s="490"/>
      <c r="H92" s="520"/>
      <c r="I92" s="523"/>
      <c r="J92" s="521"/>
      <c r="K92" s="522"/>
      <c r="M92" s="301" t="str">
        <f>N92&amp;AS[[#This Row],[Insurer Code]]&amp;"; "&amp;O92&amp;AS[[#This Row],[Reporting Year]]&amp;"; "&amp;P92&amp;AS[[#This Row],[Insurance Category Code]]&amp;"; "&amp;Q92&amp;AS[[#This Row],[Large Provider Entity Code]]&amp;"; "&amp;R92&amp;AS[[#This Row],[Age Band Code]]&amp;"; "&amp;S92&amp;AS[[#This Row],[Sex Code]]</f>
        <v xml:space="preserve">Insurer Code ; Reporting Year ; Insurance Category Code ; Large Provider Entity Code ; Age Band Code ; Sex Code </v>
      </c>
      <c r="N92" s="297" t="s">
        <v>197</v>
      </c>
      <c r="O92" s="297" t="s">
        <v>198</v>
      </c>
      <c r="P92" s="297" t="s">
        <v>199</v>
      </c>
      <c r="Q92" s="297" t="s">
        <v>200</v>
      </c>
      <c r="R92" s="297" t="s">
        <v>213</v>
      </c>
      <c r="S92" s="297" t="s">
        <v>214</v>
      </c>
    </row>
    <row r="93" spans="1:19" x14ac:dyDescent="0.4">
      <c r="A93" s="291"/>
      <c r="B93" s="292"/>
      <c r="C93" s="312"/>
      <c r="D93" s="292"/>
      <c r="E93" s="489"/>
      <c r="F93" s="489"/>
      <c r="G93" s="490"/>
      <c r="H93" s="520"/>
      <c r="I93" s="523"/>
      <c r="J93" s="521"/>
      <c r="K93" s="522"/>
      <c r="M93" s="301" t="str">
        <f>N93&amp;AS[[#This Row],[Insurer Code]]&amp;"; "&amp;O93&amp;AS[[#This Row],[Reporting Year]]&amp;"; "&amp;P93&amp;AS[[#This Row],[Insurance Category Code]]&amp;"; "&amp;Q93&amp;AS[[#This Row],[Large Provider Entity Code]]&amp;"; "&amp;R93&amp;AS[[#This Row],[Age Band Code]]&amp;"; "&amp;S93&amp;AS[[#This Row],[Sex Code]]</f>
        <v xml:space="preserve">Insurer Code ; Reporting Year ; Insurance Category Code ; Large Provider Entity Code ; Age Band Code ; Sex Code </v>
      </c>
      <c r="N93" s="297" t="s">
        <v>197</v>
      </c>
      <c r="O93" s="297" t="s">
        <v>198</v>
      </c>
      <c r="P93" s="297" t="s">
        <v>199</v>
      </c>
      <c r="Q93" s="297" t="s">
        <v>200</v>
      </c>
      <c r="R93" s="297" t="s">
        <v>213</v>
      </c>
      <c r="S93" s="297" t="s">
        <v>214</v>
      </c>
    </row>
    <row r="94" spans="1:19" x14ac:dyDescent="0.4">
      <c r="A94" s="291"/>
      <c r="B94" s="292"/>
      <c r="C94" s="312"/>
      <c r="D94" s="292"/>
      <c r="E94" s="489"/>
      <c r="F94" s="489"/>
      <c r="G94" s="490"/>
      <c r="H94" s="520"/>
      <c r="I94" s="523"/>
      <c r="J94" s="521"/>
      <c r="K94" s="522"/>
      <c r="M94" s="301" t="str">
        <f>N94&amp;AS[[#This Row],[Insurer Code]]&amp;"; "&amp;O94&amp;AS[[#This Row],[Reporting Year]]&amp;"; "&amp;P94&amp;AS[[#This Row],[Insurance Category Code]]&amp;"; "&amp;Q94&amp;AS[[#This Row],[Large Provider Entity Code]]&amp;"; "&amp;R94&amp;AS[[#This Row],[Age Band Code]]&amp;"; "&amp;S94&amp;AS[[#This Row],[Sex Code]]</f>
        <v xml:space="preserve">Insurer Code ; Reporting Year ; Insurance Category Code ; Large Provider Entity Code ; Age Band Code ; Sex Code </v>
      </c>
      <c r="N94" s="297" t="s">
        <v>197</v>
      </c>
      <c r="O94" s="297" t="s">
        <v>198</v>
      </c>
      <c r="P94" s="297" t="s">
        <v>199</v>
      </c>
      <c r="Q94" s="297" t="s">
        <v>200</v>
      </c>
      <c r="R94" s="297" t="s">
        <v>213</v>
      </c>
      <c r="S94" s="297" t="s">
        <v>214</v>
      </c>
    </row>
    <row r="95" spans="1:19" x14ac:dyDescent="0.4">
      <c r="A95" s="291"/>
      <c r="B95" s="292"/>
      <c r="C95" s="312"/>
      <c r="D95" s="292"/>
      <c r="E95" s="489"/>
      <c r="F95" s="489"/>
      <c r="G95" s="490"/>
      <c r="H95" s="520"/>
      <c r="I95" s="523"/>
      <c r="J95" s="521"/>
      <c r="K95" s="522"/>
      <c r="M95" s="301" t="str">
        <f>N95&amp;AS[[#This Row],[Insurer Code]]&amp;"; "&amp;O95&amp;AS[[#This Row],[Reporting Year]]&amp;"; "&amp;P95&amp;AS[[#This Row],[Insurance Category Code]]&amp;"; "&amp;Q95&amp;AS[[#This Row],[Large Provider Entity Code]]&amp;"; "&amp;R95&amp;AS[[#This Row],[Age Band Code]]&amp;"; "&amp;S95&amp;AS[[#This Row],[Sex Code]]</f>
        <v xml:space="preserve">Insurer Code ; Reporting Year ; Insurance Category Code ; Large Provider Entity Code ; Age Band Code ; Sex Code </v>
      </c>
      <c r="N95" s="297" t="s">
        <v>197</v>
      </c>
      <c r="O95" s="297" t="s">
        <v>198</v>
      </c>
      <c r="P95" s="297" t="s">
        <v>199</v>
      </c>
      <c r="Q95" s="297" t="s">
        <v>200</v>
      </c>
      <c r="R95" s="297" t="s">
        <v>213</v>
      </c>
      <c r="S95" s="297" t="s">
        <v>214</v>
      </c>
    </row>
    <row r="96" spans="1:19" x14ac:dyDescent="0.4">
      <c r="A96" s="291"/>
      <c r="B96" s="292"/>
      <c r="C96" s="312"/>
      <c r="D96" s="292"/>
      <c r="E96" s="489"/>
      <c r="F96" s="489"/>
      <c r="G96" s="490"/>
      <c r="H96" s="520"/>
      <c r="I96" s="523"/>
      <c r="J96" s="521"/>
      <c r="K96" s="522"/>
      <c r="M96" s="301" t="str">
        <f>N96&amp;AS[[#This Row],[Insurer Code]]&amp;"; "&amp;O96&amp;AS[[#This Row],[Reporting Year]]&amp;"; "&amp;P96&amp;AS[[#This Row],[Insurance Category Code]]&amp;"; "&amp;Q96&amp;AS[[#This Row],[Large Provider Entity Code]]&amp;"; "&amp;R96&amp;AS[[#This Row],[Age Band Code]]&amp;"; "&amp;S96&amp;AS[[#This Row],[Sex Code]]</f>
        <v xml:space="preserve">Insurer Code ; Reporting Year ; Insurance Category Code ; Large Provider Entity Code ; Age Band Code ; Sex Code </v>
      </c>
      <c r="N96" s="297" t="s">
        <v>197</v>
      </c>
      <c r="O96" s="297" t="s">
        <v>198</v>
      </c>
      <c r="P96" s="297" t="s">
        <v>199</v>
      </c>
      <c r="Q96" s="297" t="s">
        <v>200</v>
      </c>
      <c r="R96" s="297" t="s">
        <v>213</v>
      </c>
      <c r="S96" s="297" t="s">
        <v>214</v>
      </c>
    </row>
    <row r="97" spans="1:19" x14ac:dyDescent="0.4">
      <c r="A97" s="291"/>
      <c r="B97" s="292"/>
      <c r="C97" s="312"/>
      <c r="D97" s="292"/>
      <c r="E97" s="489"/>
      <c r="F97" s="489"/>
      <c r="G97" s="490"/>
      <c r="H97" s="520"/>
      <c r="I97" s="523"/>
      <c r="J97" s="521"/>
      <c r="K97" s="522"/>
      <c r="M97" s="301" t="str">
        <f>N97&amp;AS[[#This Row],[Insurer Code]]&amp;"; "&amp;O97&amp;AS[[#This Row],[Reporting Year]]&amp;"; "&amp;P97&amp;AS[[#This Row],[Insurance Category Code]]&amp;"; "&amp;Q97&amp;AS[[#This Row],[Large Provider Entity Code]]&amp;"; "&amp;R97&amp;AS[[#This Row],[Age Band Code]]&amp;"; "&amp;S97&amp;AS[[#This Row],[Sex Code]]</f>
        <v xml:space="preserve">Insurer Code ; Reporting Year ; Insurance Category Code ; Large Provider Entity Code ; Age Band Code ; Sex Code </v>
      </c>
      <c r="N97" s="297" t="s">
        <v>197</v>
      </c>
      <c r="O97" s="297" t="s">
        <v>198</v>
      </c>
      <c r="P97" s="297" t="s">
        <v>199</v>
      </c>
      <c r="Q97" s="297" t="s">
        <v>200</v>
      </c>
      <c r="R97" s="297" t="s">
        <v>213</v>
      </c>
      <c r="S97" s="297" t="s">
        <v>214</v>
      </c>
    </row>
    <row r="98" spans="1:19" x14ac:dyDescent="0.4">
      <c r="A98" s="291"/>
      <c r="B98" s="292"/>
      <c r="C98" s="312"/>
      <c r="D98" s="292"/>
      <c r="E98" s="489"/>
      <c r="F98" s="489"/>
      <c r="G98" s="490"/>
      <c r="H98" s="520"/>
      <c r="I98" s="523"/>
      <c r="J98" s="521"/>
      <c r="K98" s="522"/>
      <c r="M98" s="301" t="str">
        <f>N98&amp;AS[[#This Row],[Insurer Code]]&amp;"; "&amp;O98&amp;AS[[#This Row],[Reporting Year]]&amp;"; "&amp;P98&amp;AS[[#This Row],[Insurance Category Code]]&amp;"; "&amp;Q98&amp;AS[[#This Row],[Large Provider Entity Code]]&amp;"; "&amp;R98&amp;AS[[#This Row],[Age Band Code]]&amp;"; "&amp;S98&amp;AS[[#This Row],[Sex Code]]</f>
        <v xml:space="preserve">Insurer Code ; Reporting Year ; Insurance Category Code ; Large Provider Entity Code ; Age Band Code ; Sex Code </v>
      </c>
      <c r="N98" s="297" t="s">
        <v>197</v>
      </c>
      <c r="O98" s="297" t="s">
        <v>198</v>
      </c>
      <c r="P98" s="297" t="s">
        <v>199</v>
      </c>
      <c r="Q98" s="297" t="s">
        <v>200</v>
      </c>
      <c r="R98" s="297" t="s">
        <v>213</v>
      </c>
      <c r="S98" s="297" t="s">
        <v>214</v>
      </c>
    </row>
    <row r="99" spans="1:19" x14ac:dyDescent="0.4">
      <c r="A99" s="291"/>
      <c r="B99" s="292"/>
      <c r="C99" s="312"/>
      <c r="D99" s="292"/>
      <c r="E99" s="489"/>
      <c r="F99" s="489"/>
      <c r="G99" s="490"/>
      <c r="H99" s="520"/>
      <c r="I99" s="523"/>
      <c r="J99" s="521"/>
      <c r="K99" s="522"/>
      <c r="M99" s="301" t="str">
        <f>N99&amp;AS[[#This Row],[Insurer Code]]&amp;"; "&amp;O99&amp;AS[[#This Row],[Reporting Year]]&amp;"; "&amp;P99&amp;AS[[#This Row],[Insurance Category Code]]&amp;"; "&amp;Q99&amp;AS[[#This Row],[Large Provider Entity Code]]&amp;"; "&amp;R99&amp;AS[[#This Row],[Age Band Code]]&amp;"; "&amp;S99&amp;AS[[#This Row],[Sex Code]]</f>
        <v xml:space="preserve">Insurer Code ; Reporting Year ; Insurance Category Code ; Large Provider Entity Code ; Age Band Code ; Sex Code </v>
      </c>
      <c r="N99" s="297" t="s">
        <v>197</v>
      </c>
      <c r="O99" s="297" t="s">
        <v>198</v>
      </c>
      <c r="P99" s="297" t="s">
        <v>199</v>
      </c>
      <c r="Q99" s="297" t="s">
        <v>200</v>
      </c>
      <c r="R99" s="297" t="s">
        <v>213</v>
      </c>
      <c r="S99" s="297" t="s">
        <v>214</v>
      </c>
    </row>
    <row r="100" spans="1:19" x14ac:dyDescent="0.4">
      <c r="A100" s="291"/>
      <c r="B100" s="292"/>
      <c r="C100" s="312"/>
      <c r="D100" s="292"/>
      <c r="E100" s="489"/>
      <c r="F100" s="489"/>
      <c r="G100" s="490"/>
      <c r="H100" s="520"/>
      <c r="I100" s="523"/>
      <c r="J100" s="521"/>
      <c r="K100" s="522"/>
      <c r="M100" s="301" t="str">
        <f>N100&amp;AS[[#This Row],[Insurer Code]]&amp;"; "&amp;O100&amp;AS[[#This Row],[Reporting Year]]&amp;"; "&amp;P100&amp;AS[[#This Row],[Insurance Category Code]]&amp;"; "&amp;Q100&amp;AS[[#This Row],[Large Provider Entity Code]]&amp;"; "&amp;R100&amp;AS[[#This Row],[Age Band Code]]&amp;"; "&amp;S100&amp;AS[[#This Row],[Sex Code]]</f>
        <v xml:space="preserve">Insurer Code ; Reporting Year ; Insurance Category Code ; Large Provider Entity Code ; Age Band Code ; Sex Code </v>
      </c>
      <c r="N100" s="297" t="s">
        <v>197</v>
      </c>
      <c r="O100" s="297" t="s">
        <v>198</v>
      </c>
      <c r="P100" s="297" t="s">
        <v>199</v>
      </c>
      <c r="Q100" s="297" t="s">
        <v>200</v>
      </c>
      <c r="R100" s="297" t="s">
        <v>213</v>
      </c>
      <c r="S100" s="297" t="s">
        <v>214</v>
      </c>
    </row>
    <row r="101" spans="1:19" x14ac:dyDescent="0.4">
      <c r="A101" s="291"/>
      <c r="B101" s="292"/>
      <c r="C101" s="312"/>
      <c r="D101" s="292"/>
      <c r="E101" s="489"/>
      <c r="F101" s="489"/>
      <c r="G101" s="490"/>
      <c r="H101" s="520"/>
      <c r="I101" s="523"/>
      <c r="J101" s="521"/>
      <c r="K101" s="522"/>
      <c r="M101" s="301" t="str">
        <f>N101&amp;AS[[#This Row],[Insurer Code]]&amp;"; "&amp;O101&amp;AS[[#This Row],[Reporting Year]]&amp;"; "&amp;P101&amp;AS[[#This Row],[Insurance Category Code]]&amp;"; "&amp;Q101&amp;AS[[#This Row],[Large Provider Entity Code]]&amp;"; "&amp;R101&amp;AS[[#This Row],[Age Band Code]]&amp;"; "&amp;S101&amp;AS[[#This Row],[Sex Code]]</f>
        <v xml:space="preserve">Insurer Code ; Reporting Year ; Insurance Category Code ; Large Provider Entity Code ; Age Band Code ; Sex Code </v>
      </c>
      <c r="N101" s="297" t="s">
        <v>197</v>
      </c>
      <c r="O101" s="297" t="s">
        <v>198</v>
      </c>
      <c r="P101" s="297" t="s">
        <v>199</v>
      </c>
      <c r="Q101" s="297" t="s">
        <v>200</v>
      </c>
      <c r="R101" s="297" t="s">
        <v>213</v>
      </c>
      <c r="S101" s="297" t="s">
        <v>214</v>
      </c>
    </row>
    <row r="102" spans="1:19" x14ac:dyDescent="0.4">
      <c r="A102" s="291"/>
      <c r="B102" s="292"/>
      <c r="C102" s="312"/>
      <c r="D102" s="292"/>
      <c r="E102" s="489"/>
      <c r="F102" s="489"/>
      <c r="G102" s="490"/>
      <c r="H102" s="520"/>
      <c r="I102" s="523"/>
      <c r="J102" s="521"/>
      <c r="K102" s="522"/>
      <c r="M102" s="301" t="str">
        <f>N102&amp;AS[[#This Row],[Insurer Code]]&amp;"; "&amp;O102&amp;AS[[#This Row],[Reporting Year]]&amp;"; "&amp;P102&amp;AS[[#This Row],[Insurance Category Code]]&amp;"; "&amp;Q102&amp;AS[[#This Row],[Large Provider Entity Code]]&amp;"; "&amp;R102&amp;AS[[#This Row],[Age Band Code]]&amp;"; "&amp;S102&amp;AS[[#This Row],[Sex Code]]</f>
        <v xml:space="preserve">Insurer Code ; Reporting Year ; Insurance Category Code ; Large Provider Entity Code ; Age Band Code ; Sex Code </v>
      </c>
      <c r="N102" s="297" t="s">
        <v>197</v>
      </c>
      <c r="O102" s="297" t="s">
        <v>198</v>
      </c>
      <c r="P102" s="297" t="s">
        <v>199</v>
      </c>
      <c r="Q102" s="297" t="s">
        <v>200</v>
      </c>
      <c r="R102" s="297" t="s">
        <v>213</v>
      </c>
      <c r="S102" s="297" t="s">
        <v>214</v>
      </c>
    </row>
    <row r="103" spans="1:19" x14ac:dyDescent="0.4">
      <c r="A103" s="291"/>
      <c r="B103" s="292"/>
      <c r="C103" s="312"/>
      <c r="D103" s="292"/>
      <c r="E103" s="489"/>
      <c r="F103" s="489"/>
      <c r="G103" s="490"/>
      <c r="H103" s="520"/>
      <c r="I103" s="523"/>
      <c r="J103" s="521"/>
      <c r="K103" s="522"/>
      <c r="M103" s="301" t="str">
        <f>N103&amp;AS[[#This Row],[Insurer Code]]&amp;"; "&amp;O103&amp;AS[[#This Row],[Reporting Year]]&amp;"; "&amp;P103&amp;AS[[#This Row],[Insurance Category Code]]&amp;"; "&amp;Q103&amp;AS[[#This Row],[Large Provider Entity Code]]&amp;"; "&amp;R103&amp;AS[[#This Row],[Age Band Code]]&amp;"; "&amp;S103&amp;AS[[#This Row],[Sex Code]]</f>
        <v xml:space="preserve">Insurer Code ; Reporting Year ; Insurance Category Code ; Large Provider Entity Code ; Age Band Code ; Sex Code </v>
      </c>
      <c r="N103" s="297" t="s">
        <v>197</v>
      </c>
      <c r="O103" s="297" t="s">
        <v>198</v>
      </c>
      <c r="P103" s="297" t="s">
        <v>199</v>
      </c>
      <c r="Q103" s="297" t="s">
        <v>200</v>
      </c>
      <c r="R103" s="297" t="s">
        <v>213</v>
      </c>
      <c r="S103" s="297" t="s">
        <v>214</v>
      </c>
    </row>
    <row r="104" spans="1:19" x14ac:dyDescent="0.4">
      <c r="A104" s="291"/>
      <c r="B104" s="292"/>
      <c r="C104" s="312"/>
      <c r="D104" s="292"/>
      <c r="E104" s="489"/>
      <c r="F104" s="489"/>
      <c r="G104" s="490"/>
      <c r="H104" s="520"/>
      <c r="I104" s="523"/>
      <c r="J104" s="521"/>
      <c r="K104" s="522"/>
      <c r="M104" s="301" t="str">
        <f>N104&amp;AS[[#This Row],[Insurer Code]]&amp;"; "&amp;O104&amp;AS[[#This Row],[Reporting Year]]&amp;"; "&amp;P104&amp;AS[[#This Row],[Insurance Category Code]]&amp;"; "&amp;Q104&amp;AS[[#This Row],[Large Provider Entity Code]]&amp;"; "&amp;R104&amp;AS[[#This Row],[Age Band Code]]&amp;"; "&amp;S104&amp;AS[[#This Row],[Sex Code]]</f>
        <v xml:space="preserve">Insurer Code ; Reporting Year ; Insurance Category Code ; Large Provider Entity Code ; Age Band Code ; Sex Code </v>
      </c>
      <c r="N104" s="297" t="s">
        <v>197</v>
      </c>
      <c r="O104" s="297" t="s">
        <v>198</v>
      </c>
      <c r="P104" s="297" t="s">
        <v>199</v>
      </c>
      <c r="Q104" s="297" t="s">
        <v>200</v>
      </c>
      <c r="R104" s="297" t="s">
        <v>213</v>
      </c>
      <c r="S104" s="297" t="s">
        <v>214</v>
      </c>
    </row>
    <row r="105" spans="1:19" x14ac:dyDescent="0.4">
      <c r="A105" s="291"/>
      <c r="B105" s="292"/>
      <c r="C105" s="312"/>
      <c r="D105" s="292"/>
      <c r="E105" s="489"/>
      <c r="F105" s="489"/>
      <c r="G105" s="490"/>
      <c r="H105" s="520"/>
      <c r="I105" s="523"/>
      <c r="J105" s="521"/>
      <c r="K105" s="522"/>
      <c r="M105" s="301" t="str">
        <f>N105&amp;AS[[#This Row],[Insurer Code]]&amp;"; "&amp;O105&amp;AS[[#This Row],[Reporting Year]]&amp;"; "&amp;P105&amp;AS[[#This Row],[Insurance Category Code]]&amp;"; "&amp;Q105&amp;AS[[#This Row],[Large Provider Entity Code]]&amp;"; "&amp;R105&amp;AS[[#This Row],[Age Band Code]]&amp;"; "&amp;S105&amp;AS[[#This Row],[Sex Code]]</f>
        <v xml:space="preserve">Insurer Code ; Reporting Year ; Insurance Category Code ; Large Provider Entity Code ; Age Band Code ; Sex Code </v>
      </c>
      <c r="N105" s="297" t="s">
        <v>197</v>
      </c>
      <c r="O105" s="297" t="s">
        <v>198</v>
      </c>
      <c r="P105" s="297" t="s">
        <v>199</v>
      </c>
      <c r="Q105" s="297" t="s">
        <v>200</v>
      </c>
      <c r="R105" s="297" t="s">
        <v>213</v>
      </c>
      <c r="S105" s="297" t="s">
        <v>214</v>
      </c>
    </row>
    <row r="106" spans="1:19" x14ac:dyDescent="0.4">
      <c r="A106" s="291"/>
      <c r="B106" s="292"/>
      <c r="C106" s="312"/>
      <c r="D106" s="292"/>
      <c r="E106" s="489"/>
      <c r="F106" s="489"/>
      <c r="G106" s="490"/>
      <c r="H106" s="520"/>
      <c r="I106" s="523"/>
      <c r="J106" s="521"/>
      <c r="K106" s="522"/>
      <c r="M106" s="301" t="str">
        <f>N106&amp;AS[[#This Row],[Insurer Code]]&amp;"; "&amp;O106&amp;AS[[#This Row],[Reporting Year]]&amp;"; "&amp;P106&amp;AS[[#This Row],[Insurance Category Code]]&amp;"; "&amp;Q106&amp;AS[[#This Row],[Large Provider Entity Code]]&amp;"; "&amp;R106&amp;AS[[#This Row],[Age Band Code]]&amp;"; "&amp;S106&amp;AS[[#This Row],[Sex Code]]</f>
        <v xml:space="preserve">Insurer Code ; Reporting Year ; Insurance Category Code ; Large Provider Entity Code ; Age Band Code ; Sex Code </v>
      </c>
      <c r="N106" s="297" t="s">
        <v>197</v>
      </c>
      <c r="O106" s="297" t="s">
        <v>198</v>
      </c>
      <c r="P106" s="297" t="s">
        <v>199</v>
      </c>
      <c r="Q106" s="297" t="s">
        <v>200</v>
      </c>
      <c r="R106" s="297" t="s">
        <v>213</v>
      </c>
      <c r="S106" s="297" t="s">
        <v>214</v>
      </c>
    </row>
    <row r="107" spans="1:19" x14ac:dyDescent="0.4">
      <c r="A107" s="291"/>
      <c r="B107" s="292"/>
      <c r="C107" s="312"/>
      <c r="D107" s="292"/>
      <c r="E107" s="489"/>
      <c r="F107" s="489"/>
      <c r="G107" s="490"/>
      <c r="H107" s="520"/>
      <c r="I107" s="523"/>
      <c r="J107" s="521"/>
      <c r="K107" s="522"/>
      <c r="M107" s="301" t="str">
        <f>N107&amp;AS[[#This Row],[Insurer Code]]&amp;"; "&amp;O107&amp;AS[[#This Row],[Reporting Year]]&amp;"; "&amp;P107&amp;AS[[#This Row],[Insurance Category Code]]&amp;"; "&amp;Q107&amp;AS[[#This Row],[Large Provider Entity Code]]&amp;"; "&amp;R107&amp;AS[[#This Row],[Age Band Code]]&amp;"; "&amp;S107&amp;AS[[#This Row],[Sex Code]]</f>
        <v xml:space="preserve">Insurer Code ; Reporting Year ; Insurance Category Code ; Large Provider Entity Code ; Age Band Code ; Sex Code </v>
      </c>
      <c r="N107" s="297" t="s">
        <v>197</v>
      </c>
      <c r="O107" s="297" t="s">
        <v>198</v>
      </c>
      <c r="P107" s="297" t="s">
        <v>199</v>
      </c>
      <c r="Q107" s="297" t="s">
        <v>200</v>
      </c>
      <c r="R107" s="297" t="s">
        <v>213</v>
      </c>
      <c r="S107" s="297" t="s">
        <v>214</v>
      </c>
    </row>
    <row r="108" spans="1:19" x14ac:dyDescent="0.4">
      <c r="A108" s="291"/>
      <c r="B108" s="292"/>
      <c r="C108" s="312"/>
      <c r="D108" s="292"/>
      <c r="E108" s="489"/>
      <c r="F108" s="489"/>
      <c r="G108" s="490"/>
      <c r="H108" s="520"/>
      <c r="I108" s="523"/>
      <c r="J108" s="521"/>
      <c r="K108" s="522"/>
      <c r="M108" s="301" t="str">
        <f>N108&amp;AS[[#This Row],[Insurer Code]]&amp;"; "&amp;O108&amp;AS[[#This Row],[Reporting Year]]&amp;"; "&amp;P108&amp;AS[[#This Row],[Insurance Category Code]]&amp;"; "&amp;Q108&amp;AS[[#This Row],[Large Provider Entity Code]]&amp;"; "&amp;R108&amp;AS[[#This Row],[Age Band Code]]&amp;"; "&amp;S108&amp;AS[[#This Row],[Sex Code]]</f>
        <v xml:space="preserve">Insurer Code ; Reporting Year ; Insurance Category Code ; Large Provider Entity Code ; Age Band Code ; Sex Code </v>
      </c>
      <c r="N108" s="297" t="s">
        <v>197</v>
      </c>
      <c r="O108" s="297" t="s">
        <v>198</v>
      </c>
      <c r="P108" s="297" t="s">
        <v>199</v>
      </c>
      <c r="Q108" s="297" t="s">
        <v>200</v>
      </c>
      <c r="R108" s="297" t="s">
        <v>213</v>
      </c>
      <c r="S108" s="297" t="s">
        <v>214</v>
      </c>
    </row>
    <row r="109" spans="1:19" x14ac:dyDescent="0.4">
      <c r="A109" s="291"/>
      <c r="B109" s="292"/>
      <c r="C109" s="312"/>
      <c r="D109" s="292"/>
      <c r="E109" s="489"/>
      <c r="F109" s="489"/>
      <c r="G109" s="490"/>
      <c r="H109" s="520"/>
      <c r="I109" s="523"/>
      <c r="J109" s="521"/>
      <c r="K109" s="522"/>
      <c r="M109" s="301" t="str">
        <f>N109&amp;AS[[#This Row],[Insurer Code]]&amp;"; "&amp;O109&amp;AS[[#This Row],[Reporting Year]]&amp;"; "&amp;P109&amp;AS[[#This Row],[Insurance Category Code]]&amp;"; "&amp;Q109&amp;AS[[#This Row],[Large Provider Entity Code]]&amp;"; "&amp;R109&amp;AS[[#This Row],[Age Band Code]]&amp;"; "&amp;S109&amp;AS[[#This Row],[Sex Code]]</f>
        <v xml:space="preserve">Insurer Code ; Reporting Year ; Insurance Category Code ; Large Provider Entity Code ; Age Band Code ; Sex Code </v>
      </c>
      <c r="N109" s="297" t="s">
        <v>197</v>
      </c>
      <c r="O109" s="297" t="s">
        <v>198</v>
      </c>
      <c r="P109" s="297" t="s">
        <v>199</v>
      </c>
      <c r="Q109" s="297" t="s">
        <v>200</v>
      </c>
      <c r="R109" s="297" t="s">
        <v>213</v>
      </c>
      <c r="S109" s="297" t="s">
        <v>214</v>
      </c>
    </row>
    <row r="110" spans="1:19" x14ac:dyDescent="0.4">
      <c r="A110" s="291"/>
      <c r="B110" s="292"/>
      <c r="C110" s="312"/>
      <c r="D110" s="292"/>
      <c r="E110" s="489"/>
      <c r="F110" s="489"/>
      <c r="G110" s="490"/>
      <c r="H110" s="520"/>
      <c r="I110" s="523"/>
      <c r="J110" s="521"/>
      <c r="K110" s="522"/>
      <c r="M110" s="301" t="str">
        <f>N110&amp;AS[[#This Row],[Insurer Code]]&amp;"; "&amp;O110&amp;AS[[#This Row],[Reporting Year]]&amp;"; "&amp;P110&amp;AS[[#This Row],[Insurance Category Code]]&amp;"; "&amp;Q110&amp;AS[[#This Row],[Large Provider Entity Code]]&amp;"; "&amp;R110&amp;AS[[#This Row],[Age Band Code]]&amp;"; "&amp;S110&amp;AS[[#This Row],[Sex Code]]</f>
        <v xml:space="preserve">Insurer Code ; Reporting Year ; Insurance Category Code ; Large Provider Entity Code ; Age Band Code ; Sex Code </v>
      </c>
      <c r="N110" s="297" t="s">
        <v>197</v>
      </c>
      <c r="O110" s="297" t="s">
        <v>198</v>
      </c>
      <c r="P110" s="297" t="s">
        <v>199</v>
      </c>
      <c r="Q110" s="297" t="s">
        <v>200</v>
      </c>
      <c r="R110" s="297" t="s">
        <v>213</v>
      </c>
      <c r="S110" s="297" t="s">
        <v>214</v>
      </c>
    </row>
    <row r="111" spans="1:19" x14ac:dyDescent="0.4">
      <c r="A111" s="291"/>
      <c r="B111" s="292"/>
      <c r="C111" s="312"/>
      <c r="D111" s="292"/>
      <c r="E111" s="489"/>
      <c r="F111" s="489"/>
      <c r="G111" s="490"/>
      <c r="H111" s="520"/>
      <c r="I111" s="523"/>
      <c r="J111" s="521"/>
      <c r="K111" s="522"/>
      <c r="M111" s="301" t="str">
        <f>N111&amp;AS[[#This Row],[Insurer Code]]&amp;"; "&amp;O111&amp;AS[[#This Row],[Reporting Year]]&amp;"; "&amp;P111&amp;AS[[#This Row],[Insurance Category Code]]&amp;"; "&amp;Q111&amp;AS[[#This Row],[Large Provider Entity Code]]&amp;"; "&amp;R111&amp;AS[[#This Row],[Age Band Code]]&amp;"; "&amp;S111&amp;AS[[#This Row],[Sex Code]]</f>
        <v xml:space="preserve">Insurer Code ; Reporting Year ; Insurance Category Code ; Large Provider Entity Code ; Age Band Code ; Sex Code </v>
      </c>
      <c r="N111" s="297" t="s">
        <v>197</v>
      </c>
      <c r="O111" s="297" t="s">
        <v>198</v>
      </c>
      <c r="P111" s="297" t="s">
        <v>199</v>
      </c>
      <c r="Q111" s="297" t="s">
        <v>200</v>
      </c>
      <c r="R111" s="297" t="s">
        <v>213</v>
      </c>
      <c r="S111" s="297" t="s">
        <v>214</v>
      </c>
    </row>
    <row r="112" spans="1:19" x14ac:dyDescent="0.4">
      <c r="A112" s="291"/>
      <c r="B112" s="292"/>
      <c r="C112" s="312"/>
      <c r="D112" s="292"/>
      <c r="E112" s="489"/>
      <c r="F112" s="489"/>
      <c r="G112" s="490"/>
      <c r="H112" s="520"/>
      <c r="I112" s="523"/>
      <c r="J112" s="521"/>
      <c r="K112" s="522"/>
      <c r="M112" s="301" t="str">
        <f>N112&amp;AS[[#This Row],[Insurer Code]]&amp;"; "&amp;O112&amp;AS[[#This Row],[Reporting Year]]&amp;"; "&amp;P112&amp;AS[[#This Row],[Insurance Category Code]]&amp;"; "&amp;Q112&amp;AS[[#This Row],[Large Provider Entity Code]]&amp;"; "&amp;R112&amp;AS[[#This Row],[Age Band Code]]&amp;"; "&amp;S112&amp;AS[[#This Row],[Sex Code]]</f>
        <v xml:space="preserve">Insurer Code ; Reporting Year ; Insurance Category Code ; Large Provider Entity Code ; Age Band Code ; Sex Code </v>
      </c>
      <c r="N112" s="297" t="s">
        <v>197</v>
      </c>
      <c r="O112" s="297" t="s">
        <v>198</v>
      </c>
      <c r="P112" s="297" t="s">
        <v>199</v>
      </c>
      <c r="Q112" s="297" t="s">
        <v>200</v>
      </c>
      <c r="R112" s="297" t="s">
        <v>213</v>
      </c>
      <c r="S112" s="297" t="s">
        <v>214</v>
      </c>
    </row>
    <row r="113" spans="1:19" x14ac:dyDescent="0.4">
      <c r="A113" s="291"/>
      <c r="B113" s="292"/>
      <c r="C113" s="312"/>
      <c r="D113" s="292"/>
      <c r="E113" s="489"/>
      <c r="F113" s="489"/>
      <c r="G113" s="490"/>
      <c r="H113" s="520"/>
      <c r="I113" s="523"/>
      <c r="J113" s="521"/>
      <c r="K113" s="522"/>
      <c r="M113" s="301" t="str">
        <f>N113&amp;AS[[#This Row],[Insurer Code]]&amp;"; "&amp;O113&amp;AS[[#This Row],[Reporting Year]]&amp;"; "&amp;P113&amp;AS[[#This Row],[Insurance Category Code]]&amp;"; "&amp;Q113&amp;AS[[#This Row],[Large Provider Entity Code]]&amp;"; "&amp;R113&amp;AS[[#This Row],[Age Band Code]]&amp;"; "&amp;S113&amp;AS[[#This Row],[Sex Code]]</f>
        <v xml:space="preserve">Insurer Code ; Reporting Year ; Insurance Category Code ; Large Provider Entity Code ; Age Band Code ; Sex Code </v>
      </c>
      <c r="N113" s="297" t="s">
        <v>197</v>
      </c>
      <c r="O113" s="297" t="s">
        <v>198</v>
      </c>
      <c r="P113" s="297" t="s">
        <v>199</v>
      </c>
      <c r="Q113" s="297" t="s">
        <v>200</v>
      </c>
      <c r="R113" s="297" t="s">
        <v>213</v>
      </c>
      <c r="S113" s="297" t="s">
        <v>214</v>
      </c>
    </row>
    <row r="114" spans="1:19" x14ac:dyDescent="0.4">
      <c r="A114" s="291"/>
      <c r="B114" s="292"/>
      <c r="C114" s="312"/>
      <c r="D114" s="292"/>
      <c r="E114" s="489"/>
      <c r="F114" s="489"/>
      <c r="G114" s="490"/>
      <c r="H114" s="520"/>
      <c r="I114" s="523"/>
      <c r="J114" s="521"/>
      <c r="K114" s="522"/>
      <c r="M114" s="301" t="str">
        <f>N114&amp;AS[[#This Row],[Insurer Code]]&amp;"; "&amp;O114&amp;AS[[#This Row],[Reporting Year]]&amp;"; "&amp;P114&amp;AS[[#This Row],[Insurance Category Code]]&amp;"; "&amp;Q114&amp;AS[[#This Row],[Large Provider Entity Code]]&amp;"; "&amp;R114&amp;AS[[#This Row],[Age Band Code]]&amp;"; "&amp;S114&amp;AS[[#This Row],[Sex Code]]</f>
        <v xml:space="preserve">Insurer Code ; Reporting Year ; Insurance Category Code ; Large Provider Entity Code ; Age Band Code ; Sex Code </v>
      </c>
      <c r="N114" s="297" t="s">
        <v>197</v>
      </c>
      <c r="O114" s="297" t="s">
        <v>198</v>
      </c>
      <c r="P114" s="297" t="s">
        <v>199</v>
      </c>
      <c r="Q114" s="297" t="s">
        <v>200</v>
      </c>
      <c r="R114" s="297" t="s">
        <v>213</v>
      </c>
      <c r="S114" s="297" t="s">
        <v>214</v>
      </c>
    </row>
    <row r="115" spans="1:19" x14ac:dyDescent="0.4">
      <c r="A115" s="291"/>
      <c r="B115" s="292"/>
      <c r="C115" s="312"/>
      <c r="D115" s="292"/>
      <c r="E115" s="489"/>
      <c r="F115" s="489"/>
      <c r="G115" s="490"/>
      <c r="H115" s="520"/>
      <c r="I115" s="523"/>
      <c r="J115" s="521"/>
      <c r="K115" s="522"/>
      <c r="M115" s="301" t="str">
        <f>N115&amp;AS[[#This Row],[Insurer Code]]&amp;"; "&amp;O115&amp;AS[[#This Row],[Reporting Year]]&amp;"; "&amp;P115&amp;AS[[#This Row],[Insurance Category Code]]&amp;"; "&amp;Q115&amp;AS[[#This Row],[Large Provider Entity Code]]&amp;"; "&amp;R115&amp;AS[[#This Row],[Age Band Code]]&amp;"; "&amp;S115&amp;AS[[#This Row],[Sex Code]]</f>
        <v xml:space="preserve">Insurer Code ; Reporting Year ; Insurance Category Code ; Large Provider Entity Code ; Age Band Code ; Sex Code </v>
      </c>
      <c r="N115" s="297" t="s">
        <v>197</v>
      </c>
      <c r="O115" s="297" t="s">
        <v>198</v>
      </c>
      <c r="P115" s="297" t="s">
        <v>199</v>
      </c>
      <c r="Q115" s="297" t="s">
        <v>200</v>
      </c>
      <c r="R115" s="297" t="s">
        <v>213</v>
      </c>
      <c r="S115" s="297" t="s">
        <v>214</v>
      </c>
    </row>
    <row r="116" spans="1:19" x14ac:dyDescent="0.4">
      <c r="A116" s="291"/>
      <c r="B116" s="292"/>
      <c r="C116" s="312"/>
      <c r="D116" s="292"/>
      <c r="E116" s="489"/>
      <c r="F116" s="489"/>
      <c r="G116" s="490"/>
      <c r="H116" s="520"/>
      <c r="I116" s="523"/>
      <c r="J116" s="521"/>
      <c r="K116" s="522"/>
      <c r="M116" s="301" t="str">
        <f>N116&amp;AS[[#This Row],[Insurer Code]]&amp;"; "&amp;O116&amp;AS[[#This Row],[Reporting Year]]&amp;"; "&amp;P116&amp;AS[[#This Row],[Insurance Category Code]]&amp;"; "&amp;Q116&amp;AS[[#This Row],[Large Provider Entity Code]]&amp;"; "&amp;R116&amp;AS[[#This Row],[Age Band Code]]&amp;"; "&amp;S116&amp;AS[[#This Row],[Sex Code]]</f>
        <v xml:space="preserve">Insurer Code ; Reporting Year ; Insurance Category Code ; Large Provider Entity Code ; Age Band Code ; Sex Code </v>
      </c>
      <c r="N116" s="297" t="s">
        <v>197</v>
      </c>
      <c r="O116" s="297" t="s">
        <v>198</v>
      </c>
      <c r="P116" s="297" t="s">
        <v>199</v>
      </c>
      <c r="Q116" s="297" t="s">
        <v>200</v>
      </c>
      <c r="R116" s="297" t="s">
        <v>213</v>
      </c>
      <c r="S116" s="297" t="s">
        <v>214</v>
      </c>
    </row>
    <row r="117" spans="1:19" x14ac:dyDescent="0.4">
      <c r="A117" s="291"/>
      <c r="B117" s="292"/>
      <c r="C117" s="312"/>
      <c r="D117" s="292"/>
      <c r="E117" s="489"/>
      <c r="F117" s="489"/>
      <c r="G117" s="490"/>
      <c r="H117" s="520"/>
      <c r="I117" s="523"/>
      <c r="J117" s="521"/>
      <c r="K117" s="522"/>
      <c r="M117" s="301" t="str">
        <f>N117&amp;AS[[#This Row],[Insurer Code]]&amp;"; "&amp;O117&amp;AS[[#This Row],[Reporting Year]]&amp;"; "&amp;P117&amp;AS[[#This Row],[Insurance Category Code]]&amp;"; "&amp;Q117&amp;AS[[#This Row],[Large Provider Entity Code]]&amp;"; "&amp;R117&amp;AS[[#This Row],[Age Band Code]]&amp;"; "&amp;S117&amp;AS[[#This Row],[Sex Code]]</f>
        <v xml:space="preserve">Insurer Code ; Reporting Year ; Insurance Category Code ; Large Provider Entity Code ; Age Band Code ; Sex Code </v>
      </c>
      <c r="N117" s="297" t="s">
        <v>197</v>
      </c>
      <c r="O117" s="297" t="s">
        <v>198</v>
      </c>
      <c r="P117" s="297" t="s">
        <v>199</v>
      </c>
      <c r="Q117" s="297" t="s">
        <v>200</v>
      </c>
      <c r="R117" s="297" t="s">
        <v>213</v>
      </c>
      <c r="S117" s="297" t="s">
        <v>214</v>
      </c>
    </row>
    <row r="118" spans="1:19" x14ac:dyDescent="0.4">
      <c r="A118" s="291"/>
      <c r="B118" s="292"/>
      <c r="C118" s="312"/>
      <c r="D118" s="292"/>
      <c r="E118" s="489"/>
      <c r="F118" s="489"/>
      <c r="G118" s="490"/>
      <c r="H118" s="520"/>
      <c r="I118" s="523"/>
      <c r="J118" s="521"/>
      <c r="K118" s="522"/>
      <c r="M118" s="301" t="str">
        <f>N118&amp;AS[[#This Row],[Insurer Code]]&amp;"; "&amp;O118&amp;AS[[#This Row],[Reporting Year]]&amp;"; "&amp;P118&amp;AS[[#This Row],[Insurance Category Code]]&amp;"; "&amp;Q118&amp;AS[[#This Row],[Large Provider Entity Code]]&amp;"; "&amp;R118&amp;AS[[#This Row],[Age Band Code]]&amp;"; "&amp;S118&amp;AS[[#This Row],[Sex Code]]</f>
        <v xml:space="preserve">Insurer Code ; Reporting Year ; Insurance Category Code ; Large Provider Entity Code ; Age Band Code ; Sex Code </v>
      </c>
      <c r="N118" s="297" t="s">
        <v>197</v>
      </c>
      <c r="O118" s="297" t="s">
        <v>198</v>
      </c>
      <c r="P118" s="297" t="s">
        <v>199</v>
      </c>
      <c r="Q118" s="297" t="s">
        <v>200</v>
      </c>
      <c r="R118" s="297" t="s">
        <v>213</v>
      </c>
      <c r="S118" s="297" t="s">
        <v>214</v>
      </c>
    </row>
    <row r="119" spans="1:19" x14ac:dyDescent="0.4">
      <c r="A119" s="291"/>
      <c r="B119" s="292"/>
      <c r="C119" s="312"/>
      <c r="D119" s="292"/>
      <c r="E119" s="489"/>
      <c r="F119" s="489"/>
      <c r="G119" s="490"/>
      <c r="H119" s="520"/>
      <c r="I119" s="523"/>
      <c r="J119" s="521"/>
      <c r="K119" s="522"/>
      <c r="M119" s="301" t="str">
        <f>N119&amp;AS[[#This Row],[Insurer Code]]&amp;"; "&amp;O119&amp;AS[[#This Row],[Reporting Year]]&amp;"; "&amp;P119&amp;AS[[#This Row],[Insurance Category Code]]&amp;"; "&amp;Q119&amp;AS[[#This Row],[Large Provider Entity Code]]&amp;"; "&amp;R119&amp;AS[[#This Row],[Age Band Code]]&amp;"; "&amp;S119&amp;AS[[#This Row],[Sex Code]]</f>
        <v xml:space="preserve">Insurer Code ; Reporting Year ; Insurance Category Code ; Large Provider Entity Code ; Age Band Code ; Sex Code </v>
      </c>
      <c r="N119" s="297" t="s">
        <v>197</v>
      </c>
      <c r="O119" s="297" t="s">
        <v>198</v>
      </c>
      <c r="P119" s="297" t="s">
        <v>199</v>
      </c>
      <c r="Q119" s="297" t="s">
        <v>200</v>
      </c>
      <c r="R119" s="297" t="s">
        <v>213</v>
      </c>
      <c r="S119" s="297" t="s">
        <v>214</v>
      </c>
    </row>
    <row r="120" spans="1:19" x14ac:dyDescent="0.4">
      <c r="A120" s="291"/>
      <c r="B120" s="292"/>
      <c r="C120" s="312"/>
      <c r="D120" s="292"/>
      <c r="E120" s="489"/>
      <c r="F120" s="489"/>
      <c r="G120" s="490"/>
      <c r="H120" s="520"/>
      <c r="I120" s="523"/>
      <c r="J120" s="521"/>
      <c r="K120" s="522"/>
      <c r="M120" s="301" t="str">
        <f>N120&amp;AS[[#This Row],[Insurer Code]]&amp;"; "&amp;O120&amp;AS[[#This Row],[Reporting Year]]&amp;"; "&amp;P120&amp;AS[[#This Row],[Insurance Category Code]]&amp;"; "&amp;Q120&amp;AS[[#This Row],[Large Provider Entity Code]]&amp;"; "&amp;R120&amp;AS[[#This Row],[Age Band Code]]&amp;"; "&amp;S120&amp;AS[[#This Row],[Sex Code]]</f>
        <v xml:space="preserve">Insurer Code ; Reporting Year ; Insurance Category Code ; Large Provider Entity Code ; Age Band Code ; Sex Code </v>
      </c>
      <c r="N120" s="297" t="s">
        <v>197</v>
      </c>
      <c r="O120" s="297" t="s">
        <v>198</v>
      </c>
      <c r="P120" s="297" t="s">
        <v>199</v>
      </c>
      <c r="Q120" s="297" t="s">
        <v>200</v>
      </c>
      <c r="R120" s="297" t="s">
        <v>213</v>
      </c>
      <c r="S120" s="297" t="s">
        <v>214</v>
      </c>
    </row>
    <row r="121" spans="1:19" x14ac:dyDescent="0.4">
      <c r="A121" s="291"/>
      <c r="B121" s="292"/>
      <c r="C121" s="312"/>
      <c r="D121" s="292"/>
      <c r="E121" s="489"/>
      <c r="F121" s="489"/>
      <c r="G121" s="490"/>
      <c r="H121" s="520"/>
      <c r="I121" s="523"/>
      <c r="J121" s="521"/>
      <c r="K121" s="522"/>
      <c r="M121" s="301" t="str">
        <f>N121&amp;AS[[#This Row],[Insurer Code]]&amp;"; "&amp;O121&amp;AS[[#This Row],[Reporting Year]]&amp;"; "&amp;P121&amp;AS[[#This Row],[Insurance Category Code]]&amp;"; "&amp;Q121&amp;AS[[#This Row],[Large Provider Entity Code]]&amp;"; "&amp;R121&amp;AS[[#This Row],[Age Band Code]]&amp;"; "&amp;S121&amp;AS[[#This Row],[Sex Code]]</f>
        <v xml:space="preserve">Insurer Code ; Reporting Year ; Insurance Category Code ; Large Provider Entity Code ; Age Band Code ; Sex Code </v>
      </c>
      <c r="N121" s="297" t="s">
        <v>197</v>
      </c>
      <c r="O121" s="297" t="s">
        <v>198</v>
      </c>
      <c r="P121" s="297" t="s">
        <v>199</v>
      </c>
      <c r="Q121" s="297" t="s">
        <v>200</v>
      </c>
      <c r="R121" s="297" t="s">
        <v>213</v>
      </c>
      <c r="S121" s="297" t="s">
        <v>214</v>
      </c>
    </row>
    <row r="122" spans="1:19" x14ac:dyDescent="0.4">
      <c r="A122" s="291"/>
      <c r="B122" s="292"/>
      <c r="C122" s="312"/>
      <c r="D122" s="292"/>
      <c r="E122" s="489"/>
      <c r="F122" s="489"/>
      <c r="G122" s="490"/>
      <c r="H122" s="520"/>
      <c r="I122" s="523"/>
      <c r="J122" s="521"/>
      <c r="K122" s="522"/>
      <c r="M122" s="301" t="str">
        <f>N122&amp;AS[[#This Row],[Insurer Code]]&amp;"; "&amp;O122&amp;AS[[#This Row],[Reporting Year]]&amp;"; "&amp;P122&amp;AS[[#This Row],[Insurance Category Code]]&amp;"; "&amp;Q122&amp;AS[[#This Row],[Large Provider Entity Code]]&amp;"; "&amp;R122&amp;AS[[#This Row],[Age Band Code]]&amp;"; "&amp;S122&amp;AS[[#This Row],[Sex Code]]</f>
        <v xml:space="preserve">Insurer Code ; Reporting Year ; Insurance Category Code ; Large Provider Entity Code ; Age Band Code ; Sex Code </v>
      </c>
      <c r="N122" s="297" t="s">
        <v>197</v>
      </c>
      <c r="O122" s="297" t="s">
        <v>198</v>
      </c>
      <c r="P122" s="297" t="s">
        <v>199</v>
      </c>
      <c r="Q122" s="297" t="s">
        <v>200</v>
      </c>
      <c r="R122" s="297" t="s">
        <v>213</v>
      </c>
      <c r="S122" s="297" t="s">
        <v>214</v>
      </c>
    </row>
    <row r="123" spans="1:19" x14ac:dyDescent="0.4">
      <c r="A123" s="291"/>
      <c r="B123" s="292"/>
      <c r="C123" s="312"/>
      <c r="D123" s="292"/>
      <c r="E123" s="489"/>
      <c r="F123" s="489"/>
      <c r="G123" s="490"/>
      <c r="H123" s="520"/>
      <c r="I123" s="523"/>
      <c r="J123" s="521"/>
      <c r="K123" s="522"/>
      <c r="M123" s="301" t="str">
        <f>N123&amp;AS[[#This Row],[Insurer Code]]&amp;"; "&amp;O123&amp;AS[[#This Row],[Reporting Year]]&amp;"; "&amp;P123&amp;AS[[#This Row],[Insurance Category Code]]&amp;"; "&amp;Q123&amp;AS[[#This Row],[Large Provider Entity Code]]&amp;"; "&amp;R123&amp;AS[[#This Row],[Age Band Code]]&amp;"; "&amp;S123&amp;AS[[#This Row],[Sex Code]]</f>
        <v xml:space="preserve">Insurer Code ; Reporting Year ; Insurance Category Code ; Large Provider Entity Code ; Age Band Code ; Sex Code </v>
      </c>
      <c r="N123" s="297" t="s">
        <v>197</v>
      </c>
      <c r="O123" s="297" t="s">
        <v>198</v>
      </c>
      <c r="P123" s="297" t="s">
        <v>199</v>
      </c>
      <c r="Q123" s="297" t="s">
        <v>200</v>
      </c>
      <c r="R123" s="297" t="s">
        <v>213</v>
      </c>
      <c r="S123" s="297" t="s">
        <v>214</v>
      </c>
    </row>
    <row r="124" spans="1:19" x14ac:dyDescent="0.4">
      <c r="A124" s="291"/>
      <c r="B124" s="292"/>
      <c r="C124" s="312"/>
      <c r="D124" s="292"/>
      <c r="E124" s="489"/>
      <c r="F124" s="489"/>
      <c r="G124" s="490"/>
      <c r="H124" s="520"/>
      <c r="I124" s="523"/>
      <c r="J124" s="521"/>
      <c r="K124" s="522"/>
      <c r="M124" s="301" t="str">
        <f>N124&amp;AS[[#This Row],[Insurer Code]]&amp;"; "&amp;O124&amp;AS[[#This Row],[Reporting Year]]&amp;"; "&amp;P124&amp;AS[[#This Row],[Insurance Category Code]]&amp;"; "&amp;Q124&amp;AS[[#This Row],[Large Provider Entity Code]]&amp;"; "&amp;R124&amp;AS[[#This Row],[Age Band Code]]&amp;"; "&amp;S124&amp;AS[[#This Row],[Sex Code]]</f>
        <v xml:space="preserve">Insurer Code ; Reporting Year ; Insurance Category Code ; Large Provider Entity Code ; Age Band Code ; Sex Code </v>
      </c>
      <c r="N124" s="297" t="s">
        <v>197</v>
      </c>
      <c r="O124" s="297" t="s">
        <v>198</v>
      </c>
      <c r="P124" s="297" t="s">
        <v>199</v>
      </c>
      <c r="Q124" s="297" t="s">
        <v>200</v>
      </c>
      <c r="R124" s="297" t="s">
        <v>213</v>
      </c>
      <c r="S124" s="297" t="s">
        <v>214</v>
      </c>
    </row>
    <row r="125" spans="1:19" x14ac:dyDescent="0.4">
      <c r="A125" s="291"/>
      <c r="B125" s="292"/>
      <c r="C125" s="312"/>
      <c r="D125" s="292"/>
      <c r="E125" s="489"/>
      <c r="F125" s="489"/>
      <c r="G125" s="490"/>
      <c r="H125" s="520"/>
      <c r="I125" s="523"/>
      <c r="J125" s="521"/>
      <c r="K125" s="522"/>
      <c r="M125" s="301" t="str">
        <f>N125&amp;AS[[#This Row],[Insurer Code]]&amp;"; "&amp;O125&amp;AS[[#This Row],[Reporting Year]]&amp;"; "&amp;P125&amp;AS[[#This Row],[Insurance Category Code]]&amp;"; "&amp;Q125&amp;AS[[#This Row],[Large Provider Entity Code]]&amp;"; "&amp;R125&amp;AS[[#This Row],[Age Band Code]]&amp;"; "&amp;S125&amp;AS[[#This Row],[Sex Code]]</f>
        <v xml:space="preserve">Insurer Code ; Reporting Year ; Insurance Category Code ; Large Provider Entity Code ; Age Band Code ; Sex Code </v>
      </c>
      <c r="N125" s="297" t="s">
        <v>197</v>
      </c>
      <c r="O125" s="297" t="s">
        <v>198</v>
      </c>
      <c r="P125" s="297" t="s">
        <v>199</v>
      </c>
      <c r="Q125" s="297" t="s">
        <v>200</v>
      </c>
      <c r="R125" s="297" t="s">
        <v>213</v>
      </c>
      <c r="S125" s="297" t="s">
        <v>214</v>
      </c>
    </row>
    <row r="126" spans="1:19" x14ac:dyDescent="0.4">
      <c r="A126" s="291"/>
      <c r="B126" s="292"/>
      <c r="C126" s="312"/>
      <c r="D126" s="292"/>
      <c r="E126" s="489"/>
      <c r="F126" s="489"/>
      <c r="G126" s="490"/>
      <c r="H126" s="520"/>
      <c r="I126" s="523"/>
      <c r="J126" s="521"/>
      <c r="K126" s="522"/>
      <c r="M126" s="301" t="str">
        <f>N126&amp;AS[[#This Row],[Insurer Code]]&amp;"; "&amp;O126&amp;AS[[#This Row],[Reporting Year]]&amp;"; "&amp;P126&amp;AS[[#This Row],[Insurance Category Code]]&amp;"; "&amp;Q126&amp;AS[[#This Row],[Large Provider Entity Code]]&amp;"; "&amp;R126&amp;AS[[#This Row],[Age Band Code]]&amp;"; "&amp;S126&amp;AS[[#This Row],[Sex Code]]</f>
        <v xml:space="preserve">Insurer Code ; Reporting Year ; Insurance Category Code ; Large Provider Entity Code ; Age Band Code ; Sex Code </v>
      </c>
      <c r="N126" s="297" t="s">
        <v>197</v>
      </c>
      <c r="O126" s="297" t="s">
        <v>198</v>
      </c>
      <c r="P126" s="297" t="s">
        <v>199</v>
      </c>
      <c r="Q126" s="297" t="s">
        <v>200</v>
      </c>
      <c r="R126" s="297" t="s">
        <v>213</v>
      </c>
      <c r="S126" s="297" t="s">
        <v>214</v>
      </c>
    </row>
    <row r="127" spans="1:19" x14ac:dyDescent="0.4">
      <c r="A127" s="291"/>
      <c r="B127" s="292"/>
      <c r="C127" s="312"/>
      <c r="D127" s="292"/>
      <c r="E127" s="489"/>
      <c r="F127" s="489"/>
      <c r="G127" s="490"/>
      <c r="H127" s="520"/>
      <c r="I127" s="523"/>
      <c r="J127" s="521"/>
      <c r="K127" s="522"/>
      <c r="M127" s="301" t="str">
        <f>N127&amp;AS[[#This Row],[Insurer Code]]&amp;"; "&amp;O127&amp;AS[[#This Row],[Reporting Year]]&amp;"; "&amp;P127&amp;AS[[#This Row],[Insurance Category Code]]&amp;"; "&amp;Q127&amp;AS[[#This Row],[Large Provider Entity Code]]&amp;"; "&amp;R127&amp;AS[[#This Row],[Age Band Code]]&amp;"; "&amp;S127&amp;AS[[#This Row],[Sex Code]]</f>
        <v xml:space="preserve">Insurer Code ; Reporting Year ; Insurance Category Code ; Large Provider Entity Code ; Age Band Code ; Sex Code </v>
      </c>
      <c r="N127" s="297" t="s">
        <v>197</v>
      </c>
      <c r="O127" s="297" t="s">
        <v>198</v>
      </c>
      <c r="P127" s="297" t="s">
        <v>199</v>
      </c>
      <c r="Q127" s="297" t="s">
        <v>200</v>
      </c>
      <c r="R127" s="297" t="s">
        <v>213</v>
      </c>
      <c r="S127" s="297" t="s">
        <v>214</v>
      </c>
    </row>
    <row r="128" spans="1:19" x14ac:dyDescent="0.4">
      <c r="A128" s="291"/>
      <c r="B128" s="292"/>
      <c r="C128" s="312"/>
      <c r="D128" s="292"/>
      <c r="E128" s="489"/>
      <c r="F128" s="489"/>
      <c r="G128" s="490"/>
      <c r="H128" s="520"/>
      <c r="I128" s="523"/>
      <c r="J128" s="521"/>
      <c r="K128" s="522"/>
      <c r="M128" s="301" t="str">
        <f>N128&amp;AS[[#This Row],[Insurer Code]]&amp;"; "&amp;O128&amp;AS[[#This Row],[Reporting Year]]&amp;"; "&amp;P128&amp;AS[[#This Row],[Insurance Category Code]]&amp;"; "&amp;Q128&amp;AS[[#This Row],[Large Provider Entity Code]]&amp;"; "&amp;R128&amp;AS[[#This Row],[Age Band Code]]&amp;"; "&amp;S128&amp;AS[[#This Row],[Sex Code]]</f>
        <v xml:space="preserve">Insurer Code ; Reporting Year ; Insurance Category Code ; Large Provider Entity Code ; Age Band Code ; Sex Code </v>
      </c>
      <c r="N128" s="297" t="s">
        <v>197</v>
      </c>
      <c r="O128" s="297" t="s">
        <v>198</v>
      </c>
      <c r="P128" s="297" t="s">
        <v>199</v>
      </c>
      <c r="Q128" s="297" t="s">
        <v>200</v>
      </c>
      <c r="R128" s="297" t="s">
        <v>213</v>
      </c>
      <c r="S128" s="297" t="s">
        <v>214</v>
      </c>
    </row>
    <row r="129" spans="1:19" x14ac:dyDescent="0.4">
      <c r="A129" s="291"/>
      <c r="B129" s="292"/>
      <c r="C129" s="312"/>
      <c r="D129" s="292"/>
      <c r="E129" s="489"/>
      <c r="F129" s="489"/>
      <c r="G129" s="490"/>
      <c r="H129" s="520"/>
      <c r="I129" s="523"/>
      <c r="J129" s="521"/>
      <c r="K129" s="522"/>
      <c r="M129" s="301" t="str">
        <f>N129&amp;AS[[#This Row],[Insurer Code]]&amp;"; "&amp;O129&amp;AS[[#This Row],[Reporting Year]]&amp;"; "&amp;P129&amp;AS[[#This Row],[Insurance Category Code]]&amp;"; "&amp;Q129&amp;AS[[#This Row],[Large Provider Entity Code]]&amp;"; "&amp;R129&amp;AS[[#This Row],[Age Band Code]]&amp;"; "&amp;S129&amp;AS[[#This Row],[Sex Code]]</f>
        <v xml:space="preserve">Insurer Code ; Reporting Year ; Insurance Category Code ; Large Provider Entity Code ; Age Band Code ; Sex Code </v>
      </c>
      <c r="N129" s="297" t="s">
        <v>197</v>
      </c>
      <c r="O129" s="297" t="s">
        <v>198</v>
      </c>
      <c r="P129" s="297" t="s">
        <v>199</v>
      </c>
      <c r="Q129" s="297" t="s">
        <v>200</v>
      </c>
      <c r="R129" s="297" t="s">
        <v>213</v>
      </c>
      <c r="S129" s="297" t="s">
        <v>214</v>
      </c>
    </row>
    <row r="130" spans="1:19" x14ac:dyDescent="0.4">
      <c r="A130" s="291"/>
      <c r="B130" s="292"/>
      <c r="C130" s="312"/>
      <c r="D130" s="292"/>
      <c r="E130" s="489"/>
      <c r="F130" s="489"/>
      <c r="G130" s="490"/>
      <c r="H130" s="520"/>
      <c r="I130" s="523"/>
      <c r="J130" s="521"/>
      <c r="K130" s="522"/>
      <c r="M130" s="301" t="str">
        <f>N130&amp;AS[[#This Row],[Insurer Code]]&amp;"; "&amp;O130&amp;AS[[#This Row],[Reporting Year]]&amp;"; "&amp;P130&amp;AS[[#This Row],[Insurance Category Code]]&amp;"; "&amp;Q130&amp;AS[[#This Row],[Large Provider Entity Code]]&amp;"; "&amp;R130&amp;AS[[#This Row],[Age Band Code]]&amp;"; "&amp;S130&amp;AS[[#This Row],[Sex Code]]</f>
        <v xml:space="preserve">Insurer Code ; Reporting Year ; Insurance Category Code ; Large Provider Entity Code ; Age Band Code ; Sex Code </v>
      </c>
      <c r="N130" s="297" t="s">
        <v>197</v>
      </c>
      <c r="O130" s="297" t="s">
        <v>198</v>
      </c>
      <c r="P130" s="297" t="s">
        <v>199</v>
      </c>
      <c r="Q130" s="297" t="s">
        <v>200</v>
      </c>
      <c r="R130" s="297" t="s">
        <v>213</v>
      </c>
      <c r="S130" s="297" t="s">
        <v>214</v>
      </c>
    </row>
    <row r="131" spans="1:19" x14ac:dyDescent="0.4">
      <c r="A131" s="291"/>
      <c r="B131" s="292"/>
      <c r="C131" s="312"/>
      <c r="D131" s="292"/>
      <c r="E131" s="489"/>
      <c r="F131" s="489"/>
      <c r="G131" s="490"/>
      <c r="H131" s="520"/>
      <c r="I131" s="523"/>
      <c r="J131" s="521"/>
      <c r="K131" s="522"/>
      <c r="M131" s="301" t="str">
        <f>N131&amp;AS[[#This Row],[Insurer Code]]&amp;"; "&amp;O131&amp;AS[[#This Row],[Reporting Year]]&amp;"; "&amp;P131&amp;AS[[#This Row],[Insurance Category Code]]&amp;"; "&amp;Q131&amp;AS[[#This Row],[Large Provider Entity Code]]&amp;"; "&amp;R131&amp;AS[[#This Row],[Age Band Code]]&amp;"; "&amp;S131&amp;AS[[#This Row],[Sex Code]]</f>
        <v xml:space="preserve">Insurer Code ; Reporting Year ; Insurance Category Code ; Large Provider Entity Code ; Age Band Code ; Sex Code </v>
      </c>
      <c r="N131" s="297" t="s">
        <v>197</v>
      </c>
      <c r="O131" s="297" t="s">
        <v>198</v>
      </c>
      <c r="P131" s="297" t="s">
        <v>199</v>
      </c>
      <c r="Q131" s="297" t="s">
        <v>200</v>
      </c>
      <c r="R131" s="297" t="s">
        <v>213</v>
      </c>
      <c r="S131" s="297" t="s">
        <v>214</v>
      </c>
    </row>
    <row r="132" spans="1:19" x14ac:dyDescent="0.4">
      <c r="A132" s="291"/>
      <c r="B132" s="292"/>
      <c r="C132" s="312"/>
      <c r="D132" s="292"/>
      <c r="E132" s="489"/>
      <c r="F132" s="489"/>
      <c r="G132" s="490"/>
      <c r="H132" s="520"/>
      <c r="I132" s="523"/>
      <c r="J132" s="521"/>
      <c r="K132" s="522"/>
      <c r="M132" s="301" t="str">
        <f>N132&amp;AS[[#This Row],[Insurer Code]]&amp;"; "&amp;O132&amp;AS[[#This Row],[Reporting Year]]&amp;"; "&amp;P132&amp;AS[[#This Row],[Insurance Category Code]]&amp;"; "&amp;Q132&amp;AS[[#This Row],[Large Provider Entity Code]]&amp;"; "&amp;R132&amp;AS[[#This Row],[Age Band Code]]&amp;"; "&amp;S132&amp;AS[[#This Row],[Sex Code]]</f>
        <v xml:space="preserve">Insurer Code ; Reporting Year ; Insurance Category Code ; Large Provider Entity Code ; Age Band Code ; Sex Code </v>
      </c>
      <c r="N132" s="297" t="s">
        <v>197</v>
      </c>
      <c r="O132" s="297" t="s">
        <v>198</v>
      </c>
      <c r="P132" s="297" t="s">
        <v>199</v>
      </c>
      <c r="Q132" s="297" t="s">
        <v>200</v>
      </c>
      <c r="R132" s="297" t="s">
        <v>213</v>
      </c>
      <c r="S132" s="297" t="s">
        <v>214</v>
      </c>
    </row>
    <row r="133" spans="1:19" x14ac:dyDescent="0.4">
      <c r="A133" s="291"/>
      <c r="B133" s="292"/>
      <c r="C133" s="312"/>
      <c r="D133" s="292"/>
      <c r="E133" s="489"/>
      <c r="F133" s="489"/>
      <c r="G133" s="490"/>
      <c r="H133" s="520"/>
      <c r="I133" s="523"/>
      <c r="J133" s="521"/>
      <c r="K133" s="522"/>
      <c r="M133" s="301" t="str">
        <f>N133&amp;AS[[#This Row],[Insurer Code]]&amp;"; "&amp;O133&amp;AS[[#This Row],[Reporting Year]]&amp;"; "&amp;P133&amp;AS[[#This Row],[Insurance Category Code]]&amp;"; "&amp;Q133&amp;AS[[#This Row],[Large Provider Entity Code]]&amp;"; "&amp;R133&amp;AS[[#This Row],[Age Band Code]]&amp;"; "&amp;S133&amp;AS[[#This Row],[Sex Code]]</f>
        <v xml:space="preserve">Insurer Code ; Reporting Year ; Insurance Category Code ; Large Provider Entity Code ; Age Band Code ; Sex Code </v>
      </c>
      <c r="N133" s="297" t="s">
        <v>197</v>
      </c>
      <c r="O133" s="297" t="s">
        <v>198</v>
      </c>
      <c r="P133" s="297" t="s">
        <v>199</v>
      </c>
      <c r="Q133" s="297" t="s">
        <v>200</v>
      </c>
      <c r="R133" s="297" t="s">
        <v>213</v>
      </c>
      <c r="S133" s="297" t="s">
        <v>214</v>
      </c>
    </row>
    <row r="134" spans="1:19" x14ac:dyDescent="0.4">
      <c r="A134" s="291"/>
      <c r="B134" s="292"/>
      <c r="C134" s="312"/>
      <c r="D134" s="292"/>
      <c r="E134" s="489"/>
      <c r="F134" s="489"/>
      <c r="G134" s="490"/>
      <c r="H134" s="520"/>
      <c r="I134" s="523"/>
      <c r="J134" s="521"/>
      <c r="K134" s="522"/>
      <c r="M134" s="301" t="str">
        <f>N134&amp;AS[[#This Row],[Insurer Code]]&amp;"; "&amp;O134&amp;AS[[#This Row],[Reporting Year]]&amp;"; "&amp;P134&amp;AS[[#This Row],[Insurance Category Code]]&amp;"; "&amp;Q134&amp;AS[[#This Row],[Large Provider Entity Code]]&amp;"; "&amp;R134&amp;AS[[#This Row],[Age Band Code]]&amp;"; "&amp;S134&amp;AS[[#This Row],[Sex Code]]</f>
        <v xml:space="preserve">Insurer Code ; Reporting Year ; Insurance Category Code ; Large Provider Entity Code ; Age Band Code ; Sex Code </v>
      </c>
      <c r="N134" s="297" t="s">
        <v>197</v>
      </c>
      <c r="O134" s="297" t="s">
        <v>198</v>
      </c>
      <c r="P134" s="297" t="s">
        <v>199</v>
      </c>
      <c r="Q134" s="297" t="s">
        <v>200</v>
      </c>
      <c r="R134" s="297" t="s">
        <v>213</v>
      </c>
      <c r="S134" s="297" t="s">
        <v>214</v>
      </c>
    </row>
    <row r="135" spans="1:19" x14ac:dyDescent="0.4">
      <c r="A135" s="291"/>
      <c r="B135" s="292"/>
      <c r="C135" s="312"/>
      <c r="D135" s="292"/>
      <c r="E135" s="489"/>
      <c r="F135" s="489"/>
      <c r="G135" s="490"/>
      <c r="H135" s="520"/>
      <c r="I135" s="523"/>
      <c r="J135" s="521"/>
      <c r="K135" s="522"/>
      <c r="M135" s="301" t="str">
        <f>N135&amp;AS[[#This Row],[Insurer Code]]&amp;"; "&amp;O135&amp;AS[[#This Row],[Reporting Year]]&amp;"; "&amp;P135&amp;AS[[#This Row],[Insurance Category Code]]&amp;"; "&amp;Q135&amp;AS[[#This Row],[Large Provider Entity Code]]&amp;"; "&amp;R135&amp;AS[[#This Row],[Age Band Code]]&amp;"; "&amp;S135&amp;AS[[#This Row],[Sex Code]]</f>
        <v xml:space="preserve">Insurer Code ; Reporting Year ; Insurance Category Code ; Large Provider Entity Code ; Age Band Code ; Sex Code </v>
      </c>
      <c r="N135" s="297" t="s">
        <v>197</v>
      </c>
      <c r="O135" s="297" t="s">
        <v>198</v>
      </c>
      <c r="P135" s="297" t="s">
        <v>199</v>
      </c>
      <c r="Q135" s="297" t="s">
        <v>200</v>
      </c>
      <c r="R135" s="297" t="s">
        <v>213</v>
      </c>
      <c r="S135" s="297" t="s">
        <v>214</v>
      </c>
    </row>
    <row r="136" spans="1:19" x14ac:dyDescent="0.4">
      <c r="A136" s="291"/>
      <c r="B136" s="292"/>
      <c r="C136" s="312"/>
      <c r="D136" s="292"/>
      <c r="E136" s="489"/>
      <c r="F136" s="489"/>
      <c r="G136" s="490"/>
      <c r="H136" s="520"/>
      <c r="I136" s="523"/>
      <c r="J136" s="521"/>
      <c r="K136" s="522"/>
      <c r="M136" s="301" t="str">
        <f>N136&amp;AS[[#This Row],[Insurer Code]]&amp;"; "&amp;O136&amp;AS[[#This Row],[Reporting Year]]&amp;"; "&amp;P136&amp;AS[[#This Row],[Insurance Category Code]]&amp;"; "&amp;Q136&amp;AS[[#This Row],[Large Provider Entity Code]]&amp;"; "&amp;R136&amp;AS[[#This Row],[Age Band Code]]&amp;"; "&amp;S136&amp;AS[[#This Row],[Sex Code]]</f>
        <v xml:space="preserve">Insurer Code ; Reporting Year ; Insurance Category Code ; Large Provider Entity Code ; Age Band Code ; Sex Code </v>
      </c>
      <c r="N136" s="297" t="s">
        <v>197</v>
      </c>
      <c r="O136" s="297" t="s">
        <v>198</v>
      </c>
      <c r="P136" s="297" t="s">
        <v>199</v>
      </c>
      <c r="Q136" s="297" t="s">
        <v>200</v>
      </c>
      <c r="R136" s="297" t="s">
        <v>213</v>
      </c>
      <c r="S136" s="297" t="s">
        <v>214</v>
      </c>
    </row>
    <row r="137" spans="1:19" x14ac:dyDescent="0.4">
      <c r="A137" s="291"/>
      <c r="B137" s="292"/>
      <c r="C137" s="312"/>
      <c r="D137" s="292"/>
      <c r="E137" s="489"/>
      <c r="F137" s="489"/>
      <c r="G137" s="490"/>
      <c r="H137" s="520"/>
      <c r="I137" s="523"/>
      <c r="J137" s="521"/>
      <c r="K137" s="522"/>
      <c r="M137" s="301" t="str">
        <f>N137&amp;AS[[#This Row],[Insurer Code]]&amp;"; "&amp;O137&amp;AS[[#This Row],[Reporting Year]]&amp;"; "&amp;P137&amp;AS[[#This Row],[Insurance Category Code]]&amp;"; "&amp;Q137&amp;AS[[#This Row],[Large Provider Entity Code]]&amp;"; "&amp;R137&amp;AS[[#This Row],[Age Band Code]]&amp;"; "&amp;S137&amp;AS[[#This Row],[Sex Code]]</f>
        <v xml:space="preserve">Insurer Code ; Reporting Year ; Insurance Category Code ; Large Provider Entity Code ; Age Band Code ; Sex Code </v>
      </c>
      <c r="N137" s="297" t="s">
        <v>197</v>
      </c>
      <c r="O137" s="297" t="s">
        <v>198</v>
      </c>
      <c r="P137" s="297" t="s">
        <v>199</v>
      </c>
      <c r="Q137" s="297" t="s">
        <v>200</v>
      </c>
      <c r="R137" s="297" t="s">
        <v>213</v>
      </c>
      <c r="S137" s="297" t="s">
        <v>214</v>
      </c>
    </row>
    <row r="138" spans="1:19" x14ac:dyDescent="0.4">
      <c r="A138" s="291"/>
      <c r="B138" s="292"/>
      <c r="C138" s="312"/>
      <c r="D138" s="292"/>
      <c r="E138" s="489"/>
      <c r="F138" s="489"/>
      <c r="G138" s="490"/>
      <c r="H138" s="520"/>
      <c r="I138" s="523"/>
      <c r="J138" s="521"/>
      <c r="K138" s="522"/>
      <c r="M138" s="301" t="str">
        <f>N138&amp;AS[[#This Row],[Insurer Code]]&amp;"; "&amp;O138&amp;AS[[#This Row],[Reporting Year]]&amp;"; "&amp;P138&amp;AS[[#This Row],[Insurance Category Code]]&amp;"; "&amp;Q138&amp;AS[[#This Row],[Large Provider Entity Code]]&amp;"; "&amp;R138&amp;AS[[#This Row],[Age Band Code]]&amp;"; "&amp;S138&amp;AS[[#This Row],[Sex Code]]</f>
        <v xml:space="preserve">Insurer Code ; Reporting Year ; Insurance Category Code ; Large Provider Entity Code ; Age Band Code ; Sex Code </v>
      </c>
      <c r="N138" s="297" t="s">
        <v>197</v>
      </c>
      <c r="O138" s="297" t="s">
        <v>198</v>
      </c>
      <c r="P138" s="297" t="s">
        <v>199</v>
      </c>
      <c r="Q138" s="297" t="s">
        <v>200</v>
      </c>
      <c r="R138" s="297" t="s">
        <v>213</v>
      </c>
      <c r="S138" s="297" t="s">
        <v>214</v>
      </c>
    </row>
    <row r="139" spans="1:19" x14ac:dyDescent="0.4">
      <c r="A139" s="291"/>
      <c r="B139" s="292"/>
      <c r="C139" s="312"/>
      <c r="D139" s="292"/>
      <c r="E139" s="489"/>
      <c r="F139" s="489"/>
      <c r="G139" s="490"/>
      <c r="H139" s="520"/>
      <c r="I139" s="523"/>
      <c r="J139" s="521"/>
      <c r="K139" s="522"/>
      <c r="M139" s="301" t="str">
        <f>N139&amp;AS[[#This Row],[Insurer Code]]&amp;"; "&amp;O139&amp;AS[[#This Row],[Reporting Year]]&amp;"; "&amp;P139&amp;AS[[#This Row],[Insurance Category Code]]&amp;"; "&amp;Q139&amp;AS[[#This Row],[Large Provider Entity Code]]&amp;"; "&amp;R139&amp;AS[[#This Row],[Age Band Code]]&amp;"; "&amp;S139&amp;AS[[#This Row],[Sex Code]]</f>
        <v xml:space="preserve">Insurer Code ; Reporting Year ; Insurance Category Code ; Large Provider Entity Code ; Age Band Code ; Sex Code </v>
      </c>
      <c r="N139" s="297" t="s">
        <v>197</v>
      </c>
      <c r="O139" s="297" t="s">
        <v>198</v>
      </c>
      <c r="P139" s="297" t="s">
        <v>199</v>
      </c>
      <c r="Q139" s="297" t="s">
        <v>200</v>
      </c>
      <c r="R139" s="297" t="s">
        <v>213</v>
      </c>
      <c r="S139" s="297" t="s">
        <v>214</v>
      </c>
    </row>
    <row r="140" spans="1:19" x14ac:dyDescent="0.4">
      <c r="A140" s="291"/>
      <c r="B140" s="292"/>
      <c r="C140" s="312"/>
      <c r="D140" s="292"/>
      <c r="E140" s="489"/>
      <c r="F140" s="489"/>
      <c r="G140" s="490"/>
      <c r="H140" s="520"/>
      <c r="I140" s="523"/>
      <c r="J140" s="521"/>
      <c r="K140" s="522"/>
      <c r="M140" s="301" t="str">
        <f>N140&amp;AS[[#This Row],[Insurer Code]]&amp;"; "&amp;O140&amp;AS[[#This Row],[Reporting Year]]&amp;"; "&amp;P140&amp;AS[[#This Row],[Insurance Category Code]]&amp;"; "&amp;Q140&amp;AS[[#This Row],[Large Provider Entity Code]]&amp;"; "&amp;R140&amp;AS[[#This Row],[Age Band Code]]&amp;"; "&amp;S140&amp;AS[[#This Row],[Sex Code]]</f>
        <v xml:space="preserve">Insurer Code ; Reporting Year ; Insurance Category Code ; Large Provider Entity Code ; Age Band Code ; Sex Code </v>
      </c>
      <c r="N140" s="297" t="s">
        <v>197</v>
      </c>
      <c r="O140" s="297" t="s">
        <v>198</v>
      </c>
      <c r="P140" s="297" t="s">
        <v>199</v>
      </c>
      <c r="Q140" s="297" t="s">
        <v>200</v>
      </c>
      <c r="R140" s="297" t="s">
        <v>213</v>
      </c>
      <c r="S140" s="297" t="s">
        <v>214</v>
      </c>
    </row>
    <row r="141" spans="1:19" x14ac:dyDescent="0.4">
      <c r="A141" s="291"/>
      <c r="B141" s="292"/>
      <c r="C141" s="312"/>
      <c r="D141" s="292"/>
      <c r="E141" s="489"/>
      <c r="F141" s="489"/>
      <c r="G141" s="490"/>
      <c r="H141" s="520"/>
      <c r="I141" s="523"/>
      <c r="J141" s="521"/>
      <c r="K141" s="522"/>
      <c r="M141" s="301" t="str">
        <f>N141&amp;AS[[#This Row],[Insurer Code]]&amp;"; "&amp;O141&amp;AS[[#This Row],[Reporting Year]]&amp;"; "&amp;P141&amp;AS[[#This Row],[Insurance Category Code]]&amp;"; "&amp;Q141&amp;AS[[#This Row],[Large Provider Entity Code]]&amp;"; "&amp;R141&amp;AS[[#This Row],[Age Band Code]]&amp;"; "&amp;S141&amp;AS[[#This Row],[Sex Code]]</f>
        <v xml:space="preserve">Insurer Code ; Reporting Year ; Insurance Category Code ; Large Provider Entity Code ; Age Band Code ; Sex Code </v>
      </c>
      <c r="N141" s="297" t="s">
        <v>197</v>
      </c>
      <c r="O141" s="297" t="s">
        <v>198</v>
      </c>
      <c r="P141" s="297" t="s">
        <v>199</v>
      </c>
      <c r="Q141" s="297" t="s">
        <v>200</v>
      </c>
      <c r="R141" s="297" t="s">
        <v>213</v>
      </c>
      <c r="S141" s="297" t="s">
        <v>214</v>
      </c>
    </row>
    <row r="142" spans="1:19" x14ac:dyDescent="0.4">
      <c r="A142" s="291"/>
      <c r="B142" s="292"/>
      <c r="C142" s="312"/>
      <c r="D142" s="292"/>
      <c r="E142" s="489"/>
      <c r="F142" s="489"/>
      <c r="G142" s="490"/>
      <c r="H142" s="520"/>
      <c r="I142" s="523"/>
      <c r="J142" s="521"/>
      <c r="K142" s="522"/>
      <c r="M142" s="301" t="str">
        <f>N142&amp;AS[[#This Row],[Insurer Code]]&amp;"; "&amp;O142&amp;AS[[#This Row],[Reporting Year]]&amp;"; "&amp;P142&amp;AS[[#This Row],[Insurance Category Code]]&amp;"; "&amp;Q142&amp;AS[[#This Row],[Large Provider Entity Code]]&amp;"; "&amp;R142&amp;AS[[#This Row],[Age Band Code]]&amp;"; "&amp;S142&amp;AS[[#This Row],[Sex Code]]</f>
        <v xml:space="preserve">Insurer Code ; Reporting Year ; Insurance Category Code ; Large Provider Entity Code ; Age Band Code ; Sex Code </v>
      </c>
      <c r="N142" s="297" t="s">
        <v>197</v>
      </c>
      <c r="O142" s="297" t="s">
        <v>198</v>
      </c>
      <c r="P142" s="297" t="s">
        <v>199</v>
      </c>
      <c r="Q142" s="297" t="s">
        <v>200</v>
      </c>
      <c r="R142" s="297" t="s">
        <v>213</v>
      </c>
      <c r="S142" s="297" t="s">
        <v>214</v>
      </c>
    </row>
    <row r="143" spans="1:19" x14ac:dyDescent="0.4">
      <c r="A143" s="291"/>
      <c r="B143" s="292"/>
      <c r="C143" s="312"/>
      <c r="D143" s="292"/>
      <c r="E143" s="489"/>
      <c r="F143" s="489"/>
      <c r="G143" s="490"/>
      <c r="H143" s="520"/>
      <c r="I143" s="523"/>
      <c r="J143" s="521"/>
      <c r="K143" s="522"/>
      <c r="M143" s="301" t="str">
        <f>N143&amp;AS[[#This Row],[Insurer Code]]&amp;"; "&amp;O143&amp;AS[[#This Row],[Reporting Year]]&amp;"; "&amp;P143&amp;AS[[#This Row],[Insurance Category Code]]&amp;"; "&amp;Q143&amp;AS[[#This Row],[Large Provider Entity Code]]&amp;"; "&amp;R143&amp;AS[[#This Row],[Age Band Code]]&amp;"; "&amp;S143&amp;AS[[#This Row],[Sex Code]]</f>
        <v xml:space="preserve">Insurer Code ; Reporting Year ; Insurance Category Code ; Large Provider Entity Code ; Age Band Code ; Sex Code </v>
      </c>
      <c r="N143" s="297" t="s">
        <v>197</v>
      </c>
      <c r="O143" s="297" t="s">
        <v>198</v>
      </c>
      <c r="P143" s="297" t="s">
        <v>199</v>
      </c>
      <c r="Q143" s="297" t="s">
        <v>200</v>
      </c>
      <c r="R143" s="297" t="s">
        <v>213</v>
      </c>
      <c r="S143" s="297" t="s">
        <v>214</v>
      </c>
    </row>
    <row r="144" spans="1:19" x14ac:dyDescent="0.4">
      <c r="A144" s="291"/>
      <c r="B144" s="292"/>
      <c r="C144" s="312"/>
      <c r="D144" s="292"/>
      <c r="E144" s="489"/>
      <c r="F144" s="489"/>
      <c r="G144" s="490"/>
      <c r="H144" s="520"/>
      <c r="I144" s="523"/>
      <c r="J144" s="521"/>
      <c r="K144" s="522"/>
      <c r="M144" s="301" t="str">
        <f>N144&amp;AS[[#This Row],[Insurer Code]]&amp;"; "&amp;O144&amp;AS[[#This Row],[Reporting Year]]&amp;"; "&amp;P144&amp;AS[[#This Row],[Insurance Category Code]]&amp;"; "&amp;Q144&amp;AS[[#This Row],[Large Provider Entity Code]]&amp;"; "&amp;R144&amp;AS[[#This Row],[Age Band Code]]&amp;"; "&amp;S144&amp;AS[[#This Row],[Sex Code]]</f>
        <v xml:space="preserve">Insurer Code ; Reporting Year ; Insurance Category Code ; Large Provider Entity Code ; Age Band Code ; Sex Code </v>
      </c>
      <c r="N144" s="297" t="s">
        <v>197</v>
      </c>
      <c r="O144" s="297" t="s">
        <v>198</v>
      </c>
      <c r="P144" s="297" t="s">
        <v>199</v>
      </c>
      <c r="Q144" s="297" t="s">
        <v>200</v>
      </c>
      <c r="R144" s="297" t="s">
        <v>213</v>
      </c>
      <c r="S144" s="297" t="s">
        <v>214</v>
      </c>
    </row>
    <row r="145" spans="1:19" x14ac:dyDescent="0.4">
      <c r="A145" s="291"/>
      <c r="B145" s="292"/>
      <c r="C145" s="312"/>
      <c r="D145" s="292"/>
      <c r="E145" s="489"/>
      <c r="F145" s="489"/>
      <c r="G145" s="490"/>
      <c r="H145" s="520"/>
      <c r="I145" s="523"/>
      <c r="J145" s="521"/>
      <c r="K145" s="522"/>
      <c r="M145" s="301" t="str">
        <f>N145&amp;AS[[#This Row],[Insurer Code]]&amp;"; "&amp;O145&amp;AS[[#This Row],[Reporting Year]]&amp;"; "&amp;P145&amp;AS[[#This Row],[Insurance Category Code]]&amp;"; "&amp;Q145&amp;AS[[#This Row],[Large Provider Entity Code]]&amp;"; "&amp;R145&amp;AS[[#This Row],[Age Band Code]]&amp;"; "&amp;S145&amp;AS[[#This Row],[Sex Code]]</f>
        <v xml:space="preserve">Insurer Code ; Reporting Year ; Insurance Category Code ; Large Provider Entity Code ; Age Band Code ; Sex Code </v>
      </c>
      <c r="N145" s="297" t="s">
        <v>197</v>
      </c>
      <c r="O145" s="297" t="s">
        <v>198</v>
      </c>
      <c r="P145" s="297" t="s">
        <v>199</v>
      </c>
      <c r="Q145" s="297" t="s">
        <v>200</v>
      </c>
      <c r="R145" s="297" t="s">
        <v>213</v>
      </c>
      <c r="S145" s="297" t="s">
        <v>214</v>
      </c>
    </row>
    <row r="146" spans="1:19" x14ac:dyDescent="0.4">
      <c r="A146" s="291"/>
      <c r="B146" s="292"/>
      <c r="C146" s="312"/>
      <c r="D146" s="292"/>
      <c r="E146" s="489"/>
      <c r="F146" s="489"/>
      <c r="G146" s="490"/>
      <c r="H146" s="520"/>
      <c r="I146" s="523"/>
      <c r="J146" s="521"/>
      <c r="K146" s="522"/>
      <c r="M146" s="301" t="str">
        <f>N146&amp;AS[[#This Row],[Insurer Code]]&amp;"; "&amp;O146&amp;AS[[#This Row],[Reporting Year]]&amp;"; "&amp;P146&amp;AS[[#This Row],[Insurance Category Code]]&amp;"; "&amp;Q146&amp;AS[[#This Row],[Large Provider Entity Code]]&amp;"; "&amp;R146&amp;AS[[#This Row],[Age Band Code]]&amp;"; "&amp;S146&amp;AS[[#This Row],[Sex Code]]</f>
        <v xml:space="preserve">Insurer Code ; Reporting Year ; Insurance Category Code ; Large Provider Entity Code ; Age Band Code ; Sex Code </v>
      </c>
      <c r="N146" s="297" t="s">
        <v>197</v>
      </c>
      <c r="O146" s="297" t="s">
        <v>198</v>
      </c>
      <c r="P146" s="297" t="s">
        <v>199</v>
      </c>
      <c r="Q146" s="297" t="s">
        <v>200</v>
      </c>
      <c r="R146" s="297" t="s">
        <v>213</v>
      </c>
      <c r="S146" s="297" t="s">
        <v>214</v>
      </c>
    </row>
    <row r="147" spans="1:19" x14ac:dyDescent="0.4">
      <c r="A147" s="291"/>
      <c r="B147" s="292"/>
      <c r="C147" s="312"/>
      <c r="D147" s="292"/>
      <c r="E147" s="489"/>
      <c r="F147" s="489"/>
      <c r="G147" s="490"/>
      <c r="H147" s="520"/>
      <c r="I147" s="523"/>
      <c r="J147" s="521"/>
      <c r="K147" s="522"/>
      <c r="M147" s="301" t="str">
        <f>N147&amp;AS[[#This Row],[Insurer Code]]&amp;"; "&amp;O147&amp;AS[[#This Row],[Reporting Year]]&amp;"; "&amp;P147&amp;AS[[#This Row],[Insurance Category Code]]&amp;"; "&amp;Q147&amp;AS[[#This Row],[Large Provider Entity Code]]&amp;"; "&amp;R147&amp;AS[[#This Row],[Age Band Code]]&amp;"; "&amp;S147&amp;AS[[#This Row],[Sex Code]]</f>
        <v xml:space="preserve">Insurer Code ; Reporting Year ; Insurance Category Code ; Large Provider Entity Code ; Age Band Code ; Sex Code </v>
      </c>
      <c r="N147" s="297" t="s">
        <v>197</v>
      </c>
      <c r="O147" s="297" t="s">
        <v>198</v>
      </c>
      <c r="P147" s="297" t="s">
        <v>199</v>
      </c>
      <c r="Q147" s="297" t="s">
        <v>200</v>
      </c>
      <c r="R147" s="297" t="s">
        <v>213</v>
      </c>
      <c r="S147" s="297" t="s">
        <v>214</v>
      </c>
    </row>
    <row r="148" spans="1:19" x14ac:dyDescent="0.4">
      <c r="A148" s="291"/>
      <c r="B148" s="292"/>
      <c r="C148" s="312"/>
      <c r="D148" s="292"/>
      <c r="E148" s="489"/>
      <c r="F148" s="489"/>
      <c r="G148" s="490"/>
      <c r="H148" s="520"/>
      <c r="I148" s="523"/>
      <c r="J148" s="521"/>
      <c r="K148" s="522"/>
      <c r="M148" s="301" t="str">
        <f>N148&amp;AS[[#This Row],[Insurer Code]]&amp;"; "&amp;O148&amp;AS[[#This Row],[Reporting Year]]&amp;"; "&amp;P148&amp;AS[[#This Row],[Insurance Category Code]]&amp;"; "&amp;Q148&amp;AS[[#This Row],[Large Provider Entity Code]]&amp;"; "&amp;R148&amp;AS[[#This Row],[Age Band Code]]&amp;"; "&amp;S148&amp;AS[[#This Row],[Sex Code]]</f>
        <v xml:space="preserve">Insurer Code ; Reporting Year ; Insurance Category Code ; Large Provider Entity Code ; Age Band Code ; Sex Code </v>
      </c>
      <c r="N148" s="297" t="s">
        <v>197</v>
      </c>
      <c r="O148" s="297" t="s">
        <v>198</v>
      </c>
      <c r="P148" s="297" t="s">
        <v>199</v>
      </c>
      <c r="Q148" s="297" t="s">
        <v>200</v>
      </c>
      <c r="R148" s="297" t="s">
        <v>213</v>
      </c>
      <c r="S148" s="297" t="s">
        <v>214</v>
      </c>
    </row>
    <row r="149" spans="1:19" x14ac:dyDescent="0.4">
      <c r="A149" s="291"/>
      <c r="B149" s="292"/>
      <c r="C149" s="312"/>
      <c r="D149" s="292"/>
      <c r="E149" s="489"/>
      <c r="F149" s="489"/>
      <c r="G149" s="490"/>
      <c r="H149" s="520"/>
      <c r="I149" s="523"/>
      <c r="J149" s="521"/>
      <c r="K149" s="522"/>
      <c r="M149" s="301" t="str">
        <f>N149&amp;AS[[#This Row],[Insurer Code]]&amp;"; "&amp;O149&amp;AS[[#This Row],[Reporting Year]]&amp;"; "&amp;P149&amp;AS[[#This Row],[Insurance Category Code]]&amp;"; "&amp;Q149&amp;AS[[#This Row],[Large Provider Entity Code]]&amp;"; "&amp;R149&amp;AS[[#This Row],[Age Band Code]]&amp;"; "&amp;S149&amp;AS[[#This Row],[Sex Code]]</f>
        <v xml:space="preserve">Insurer Code ; Reporting Year ; Insurance Category Code ; Large Provider Entity Code ; Age Band Code ; Sex Code </v>
      </c>
      <c r="N149" s="297" t="s">
        <v>197</v>
      </c>
      <c r="O149" s="297" t="s">
        <v>198</v>
      </c>
      <c r="P149" s="297" t="s">
        <v>199</v>
      </c>
      <c r="Q149" s="297" t="s">
        <v>200</v>
      </c>
      <c r="R149" s="297" t="s">
        <v>213</v>
      </c>
      <c r="S149" s="297" t="s">
        <v>214</v>
      </c>
    </row>
    <row r="150" spans="1:19" x14ac:dyDescent="0.4">
      <c r="A150" s="291"/>
      <c r="B150" s="292"/>
      <c r="C150" s="312"/>
      <c r="D150" s="292"/>
      <c r="E150" s="489"/>
      <c r="F150" s="489"/>
      <c r="G150" s="490"/>
      <c r="H150" s="520"/>
      <c r="I150" s="523"/>
      <c r="J150" s="521"/>
      <c r="K150" s="522"/>
      <c r="M150" s="301" t="str">
        <f>N150&amp;AS[[#This Row],[Insurer Code]]&amp;"; "&amp;O150&amp;AS[[#This Row],[Reporting Year]]&amp;"; "&amp;P150&amp;AS[[#This Row],[Insurance Category Code]]&amp;"; "&amp;Q150&amp;AS[[#This Row],[Large Provider Entity Code]]&amp;"; "&amp;R150&amp;AS[[#This Row],[Age Band Code]]&amp;"; "&amp;S150&amp;AS[[#This Row],[Sex Code]]</f>
        <v xml:space="preserve">Insurer Code ; Reporting Year ; Insurance Category Code ; Large Provider Entity Code ; Age Band Code ; Sex Code </v>
      </c>
      <c r="N150" s="297" t="s">
        <v>197</v>
      </c>
      <c r="O150" s="297" t="s">
        <v>198</v>
      </c>
      <c r="P150" s="297" t="s">
        <v>199</v>
      </c>
      <c r="Q150" s="297" t="s">
        <v>200</v>
      </c>
      <c r="R150" s="297" t="s">
        <v>213</v>
      </c>
      <c r="S150" s="297" t="s">
        <v>214</v>
      </c>
    </row>
    <row r="151" spans="1:19" x14ac:dyDescent="0.4">
      <c r="A151" s="291"/>
      <c r="B151" s="292"/>
      <c r="C151" s="312"/>
      <c r="D151" s="292"/>
      <c r="E151" s="489"/>
      <c r="F151" s="489"/>
      <c r="G151" s="490"/>
      <c r="H151" s="520"/>
      <c r="I151" s="523"/>
      <c r="J151" s="521"/>
      <c r="K151" s="522"/>
      <c r="M151" s="301" t="str">
        <f>N151&amp;AS[[#This Row],[Insurer Code]]&amp;"; "&amp;O151&amp;AS[[#This Row],[Reporting Year]]&amp;"; "&amp;P151&amp;AS[[#This Row],[Insurance Category Code]]&amp;"; "&amp;Q151&amp;AS[[#This Row],[Large Provider Entity Code]]&amp;"; "&amp;R151&amp;AS[[#This Row],[Age Band Code]]&amp;"; "&amp;S151&amp;AS[[#This Row],[Sex Code]]</f>
        <v xml:space="preserve">Insurer Code ; Reporting Year ; Insurance Category Code ; Large Provider Entity Code ; Age Band Code ; Sex Code </v>
      </c>
      <c r="N151" s="297" t="s">
        <v>197</v>
      </c>
      <c r="O151" s="297" t="s">
        <v>198</v>
      </c>
      <c r="P151" s="297" t="s">
        <v>199</v>
      </c>
      <c r="Q151" s="297" t="s">
        <v>200</v>
      </c>
      <c r="R151" s="297" t="s">
        <v>213</v>
      </c>
      <c r="S151" s="297" t="s">
        <v>214</v>
      </c>
    </row>
    <row r="152" spans="1:19" x14ac:dyDescent="0.4">
      <c r="A152" s="291"/>
      <c r="B152" s="292"/>
      <c r="C152" s="312"/>
      <c r="D152" s="292"/>
      <c r="E152" s="489"/>
      <c r="F152" s="489"/>
      <c r="G152" s="490"/>
      <c r="H152" s="520"/>
      <c r="I152" s="523"/>
      <c r="J152" s="521"/>
      <c r="K152" s="522"/>
      <c r="M152" s="301" t="str">
        <f>N152&amp;AS[[#This Row],[Insurer Code]]&amp;"; "&amp;O152&amp;AS[[#This Row],[Reporting Year]]&amp;"; "&amp;P152&amp;AS[[#This Row],[Insurance Category Code]]&amp;"; "&amp;Q152&amp;AS[[#This Row],[Large Provider Entity Code]]&amp;"; "&amp;R152&amp;AS[[#This Row],[Age Band Code]]&amp;"; "&amp;S152&amp;AS[[#This Row],[Sex Code]]</f>
        <v xml:space="preserve">Insurer Code ; Reporting Year ; Insurance Category Code ; Large Provider Entity Code ; Age Band Code ; Sex Code </v>
      </c>
      <c r="N152" s="297" t="s">
        <v>197</v>
      </c>
      <c r="O152" s="297" t="s">
        <v>198</v>
      </c>
      <c r="P152" s="297" t="s">
        <v>199</v>
      </c>
      <c r="Q152" s="297" t="s">
        <v>200</v>
      </c>
      <c r="R152" s="297" t="s">
        <v>213</v>
      </c>
      <c r="S152" s="297" t="s">
        <v>214</v>
      </c>
    </row>
    <row r="153" spans="1:19" x14ac:dyDescent="0.4">
      <c r="A153" s="291"/>
      <c r="B153" s="292"/>
      <c r="C153" s="312"/>
      <c r="D153" s="292"/>
      <c r="E153" s="489"/>
      <c r="F153" s="489"/>
      <c r="G153" s="490"/>
      <c r="H153" s="520"/>
      <c r="I153" s="523"/>
      <c r="J153" s="521"/>
      <c r="K153" s="522"/>
      <c r="M153" s="301" t="str">
        <f>N153&amp;AS[[#This Row],[Insurer Code]]&amp;"; "&amp;O153&amp;AS[[#This Row],[Reporting Year]]&amp;"; "&amp;P153&amp;AS[[#This Row],[Insurance Category Code]]&amp;"; "&amp;Q153&amp;AS[[#This Row],[Large Provider Entity Code]]&amp;"; "&amp;R153&amp;AS[[#This Row],[Age Band Code]]&amp;"; "&amp;S153&amp;AS[[#This Row],[Sex Code]]</f>
        <v xml:space="preserve">Insurer Code ; Reporting Year ; Insurance Category Code ; Large Provider Entity Code ; Age Band Code ; Sex Code </v>
      </c>
      <c r="N153" s="297" t="s">
        <v>197</v>
      </c>
      <c r="O153" s="297" t="s">
        <v>198</v>
      </c>
      <c r="P153" s="297" t="s">
        <v>199</v>
      </c>
      <c r="Q153" s="297" t="s">
        <v>200</v>
      </c>
      <c r="R153" s="297" t="s">
        <v>213</v>
      </c>
      <c r="S153" s="297" t="s">
        <v>214</v>
      </c>
    </row>
    <row r="154" spans="1:19" x14ac:dyDescent="0.4">
      <c r="A154" s="291"/>
      <c r="B154" s="292"/>
      <c r="C154" s="312"/>
      <c r="D154" s="292"/>
      <c r="E154" s="489"/>
      <c r="F154" s="489"/>
      <c r="G154" s="490"/>
      <c r="H154" s="520"/>
      <c r="I154" s="523"/>
      <c r="J154" s="521"/>
      <c r="K154" s="522"/>
      <c r="M154" s="301" t="str">
        <f>N154&amp;AS[[#This Row],[Insurer Code]]&amp;"; "&amp;O154&amp;AS[[#This Row],[Reporting Year]]&amp;"; "&amp;P154&amp;AS[[#This Row],[Insurance Category Code]]&amp;"; "&amp;Q154&amp;AS[[#This Row],[Large Provider Entity Code]]&amp;"; "&amp;R154&amp;AS[[#This Row],[Age Band Code]]&amp;"; "&amp;S154&amp;AS[[#This Row],[Sex Code]]</f>
        <v xml:space="preserve">Insurer Code ; Reporting Year ; Insurance Category Code ; Large Provider Entity Code ; Age Band Code ; Sex Code </v>
      </c>
      <c r="N154" s="297" t="s">
        <v>197</v>
      </c>
      <c r="O154" s="297" t="s">
        <v>198</v>
      </c>
      <c r="P154" s="297" t="s">
        <v>199</v>
      </c>
      <c r="Q154" s="297" t="s">
        <v>200</v>
      </c>
      <c r="R154" s="297" t="s">
        <v>213</v>
      </c>
      <c r="S154" s="297" t="s">
        <v>214</v>
      </c>
    </row>
    <row r="155" spans="1:19" x14ac:dyDescent="0.4">
      <c r="A155" s="291"/>
      <c r="B155" s="292"/>
      <c r="C155" s="312"/>
      <c r="D155" s="292"/>
      <c r="E155" s="489"/>
      <c r="F155" s="489"/>
      <c r="G155" s="490"/>
      <c r="H155" s="520"/>
      <c r="I155" s="523"/>
      <c r="J155" s="521"/>
      <c r="K155" s="522"/>
      <c r="M155" s="301" t="str">
        <f>N155&amp;AS[[#This Row],[Insurer Code]]&amp;"; "&amp;O155&amp;AS[[#This Row],[Reporting Year]]&amp;"; "&amp;P155&amp;AS[[#This Row],[Insurance Category Code]]&amp;"; "&amp;Q155&amp;AS[[#This Row],[Large Provider Entity Code]]&amp;"; "&amp;R155&amp;AS[[#This Row],[Age Band Code]]&amp;"; "&amp;S155&amp;AS[[#This Row],[Sex Code]]</f>
        <v xml:space="preserve">Insurer Code ; Reporting Year ; Insurance Category Code ; Large Provider Entity Code ; Age Band Code ; Sex Code </v>
      </c>
      <c r="N155" s="297" t="s">
        <v>197</v>
      </c>
      <c r="O155" s="297" t="s">
        <v>198</v>
      </c>
      <c r="P155" s="297" t="s">
        <v>199</v>
      </c>
      <c r="Q155" s="297" t="s">
        <v>200</v>
      </c>
      <c r="R155" s="297" t="s">
        <v>213</v>
      </c>
      <c r="S155" s="297" t="s">
        <v>214</v>
      </c>
    </row>
    <row r="156" spans="1:19" x14ac:dyDescent="0.4">
      <c r="A156" s="291"/>
      <c r="B156" s="292"/>
      <c r="C156" s="312"/>
      <c r="D156" s="292"/>
      <c r="E156" s="489"/>
      <c r="F156" s="489"/>
      <c r="G156" s="490"/>
      <c r="H156" s="520"/>
      <c r="I156" s="523"/>
      <c r="J156" s="521"/>
      <c r="K156" s="522"/>
      <c r="M156" s="301" t="str">
        <f>N156&amp;AS[[#This Row],[Insurer Code]]&amp;"; "&amp;O156&amp;AS[[#This Row],[Reporting Year]]&amp;"; "&amp;P156&amp;AS[[#This Row],[Insurance Category Code]]&amp;"; "&amp;Q156&amp;AS[[#This Row],[Large Provider Entity Code]]&amp;"; "&amp;R156&amp;AS[[#This Row],[Age Band Code]]&amp;"; "&amp;S156&amp;AS[[#This Row],[Sex Code]]</f>
        <v xml:space="preserve">Insurer Code ; Reporting Year ; Insurance Category Code ; Large Provider Entity Code ; Age Band Code ; Sex Code </v>
      </c>
      <c r="N156" s="297" t="s">
        <v>197</v>
      </c>
      <c r="O156" s="297" t="s">
        <v>198</v>
      </c>
      <c r="P156" s="297" t="s">
        <v>199</v>
      </c>
      <c r="Q156" s="297" t="s">
        <v>200</v>
      </c>
      <c r="R156" s="297" t="s">
        <v>213</v>
      </c>
      <c r="S156" s="297" t="s">
        <v>214</v>
      </c>
    </row>
    <row r="157" spans="1:19" x14ac:dyDescent="0.4">
      <c r="A157" s="291"/>
      <c r="B157" s="292"/>
      <c r="C157" s="312"/>
      <c r="D157" s="292"/>
      <c r="E157" s="489"/>
      <c r="F157" s="489"/>
      <c r="G157" s="490"/>
      <c r="H157" s="520"/>
      <c r="I157" s="523"/>
      <c r="J157" s="521"/>
      <c r="K157" s="522"/>
      <c r="M157" s="301" t="str">
        <f>N157&amp;AS[[#This Row],[Insurer Code]]&amp;"; "&amp;O157&amp;AS[[#This Row],[Reporting Year]]&amp;"; "&amp;P157&amp;AS[[#This Row],[Insurance Category Code]]&amp;"; "&amp;Q157&amp;AS[[#This Row],[Large Provider Entity Code]]&amp;"; "&amp;R157&amp;AS[[#This Row],[Age Band Code]]&amp;"; "&amp;S157&amp;AS[[#This Row],[Sex Code]]</f>
        <v xml:space="preserve">Insurer Code ; Reporting Year ; Insurance Category Code ; Large Provider Entity Code ; Age Band Code ; Sex Code </v>
      </c>
      <c r="N157" s="297" t="s">
        <v>197</v>
      </c>
      <c r="O157" s="297" t="s">
        <v>198</v>
      </c>
      <c r="P157" s="297" t="s">
        <v>199</v>
      </c>
      <c r="Q157" s="297" t="s">
        <v>200</v>
      </c>
      <c r="R157" s="297" t="s">
        <v>213</v>
      </c>
      <c r="S157" s="297" t="s">
        <v>214</v>
      </c>
    </row>
    <row r="158" spans="1:19" x14ac:dyDescent="0.4">
      <c r="A158" s="291"/>
      <c r="B158" s="292"/>
      <c r="C158" s="312"/>
      <c r="D158" s="292"/>
      <c r="E158" s="489"/>
      <c r="F158" s="489"/>
      <c r="G158" s="490"/>
      <c r="H158" s="520"/>
      <c r="I158" s="523"/>
      <c r="J158" s="521"/>
      <c r="K158" s="522"/>
      <c r="M158" s="301" t="str">
        <f>N158&amp;AS[[#This Row],[Insurer Code]]&amp;"; "&amp;O158&amp;AS[[#This Row],[Reporting Year]]&amp;"; "&amp;P158&amp;AS[[#This Row],[Insurance Category Code]]&amp;"; "&amp;Q158&amp;AS[[#This Row],[Large Provider Entity Code]]&amp;"; "&amp;R158&amp;AS[[#This Row],[Age Band Code]]&amp;"; "&amp;S158&amp;AS[[#This Row],[Sex Code]]</f>
        <v xml:space="preserve">Insurer Code ; Reporting Year ; Insurance Category Code ; Large Provider Entity Code ; Age Band Code ; Sex Code </v>
      </c>
      <c r="N158" s="297" t="s">
        <v>197</v>
      </c>
      <c r="O158" s="297" t="s">
        <v>198</v>
      </c>
      <c r="P158" s="297" t="s">
        <v>199</v>
      </c>
      <c r="Q158" s="297" t="s">
        <v>200</v>
      </c>
      <c r="R158" s="297" t="s">
        <v>213</v>
      </c>
      <c r="S158" s="297" t="s">
        <v>214</v>
      </c>
    </row>
    <row r="159" spans="1:19" x14ac:dyDescent="0.4">
      <c r="A159" s="291"/>
      <c r="B159" s="292"/>
      <c r="C159" s="312"/>
      <c r="D159" s="292"/>
      <c r="E159" s="489"/>
      <c r="F159" s="489"/>
      <c r="G159" s="490"/>
      <c r="H159" s="520"/>
      <c r="I159" s="523"/>
      <c r="J159" s="521"/>
      <c r="K159" s="522"/>
      <c r="M159" s="301" t="str">
        <f>N159&amp;AS[[#This Row],[Insurer Code]]&amp;"; "&amp;O159&amp;AS[[#This Row],[Reporting Year]]&amp;"; "&amp;P159&amp;AS[[#This Row],[Insurance Category Code]]&amp;"; "&amp;Q159&amp;AS[[#This Row],[Large Provider Entity Code]]&amp;"; "&amp;R159&amp;AS[[#This Row],[Age Band Code]]&amp;"; "&amp;S159&amp;AS[[#This Row],[Sex Code]]</f>
        <v xml:space="preserve">Insurer Code ; Reporting Year ; Insurance Category Code ; Large Provider Entity Code ; Age Band Code ; Sex Code </v>
      </c>
      <c r="N159" s="297" t="s">
        <v>197</v>
      </c>
      <c r="O159" s="297" t="s">
        <v>198</v>
      </c>
      <c r="P159" s="297" t="s">
        <v>199</v>
      </c>
      <c r="Q159" s="297" t="s">
        <v>200</v>
      </c>
      <c r="R159" s="297" t="s">
        <v>213</v>
      </c>
      <c r="S159" s="297" t="s">
        <v>214</v>
      </c>
    </row>
    <row r="160" spans="1:19" x14ac:dyDescent="0.4">
      <c r="A160" s="291"/>
      <c r="B160" s="292"/>
      <c r="C160" s="312"/>
      <c r="D160" s="292"/>
      <c r="E160" s="489"/>
      <c r="F160" s="489"/>
      <c r="G160" s="490"/>
      <c r="H160" s="520"/>
      <c r="I160" s="523"/>
      <c r="J160" s="521"/>
      <c r="K160" s="522"/>
      <c r="M160" s="301" t="str">
        <f>N160&amp;AS[[#This Row],[Insurer Code]]&amp;"; "&amp;O160&amp;AS[[#This Row],[Reporting Year]]&amp;"; "&amp;P160&amp;AS[[#This Row],[Insurance Category Code]]&amp;"; "&amp;Q160&amp;AS[[#This Row],[Large Provider Entity Code]]&amp;"; "&amp;R160&amp;AS[[#This Row],[Age Band Code]]&amp;"; "&amp;S160&amp;AS[[#This Row],[Sex Code]]</f>
        <v xml:space="preserve">Insurer Code ; Reporting Year ; Insurance Category Code ; Large Provider Entity Code ; Age Band Code ; Sex Code </v>
      </c>
      <c r="N160" s="297" t="s">
        <v>197</v>
      </c>
      <c r="O160" s="297" t="s">
        <v>198</v>
      </c>
      <c r="P160" s="297" t="s">
        <v>199</v>
      </c>
      <c r="Q160" s="297" t="s">
        <v>200</v>
      </c>
      <c r="R160" s="297" t="s">
        <v>213</v>
      </c>
      <c r="S160" s="297" t="s">
        <v>214</v>
      </c>
    </row>
    <row r="161" spans="1:19" x14ac:dyDescent="0.4">
      <c r="A161" s="291"/>
      <c r="B161" s="292"/>
      <c r="C161" s="312"/>
      <c r="D161" s="292"/>
      <c r="E161" s="489"/>
      <c r="F161" s="489"/>
      <c r="G161" s="490"/>
      <c r="H161" s="520"/>
      <c r="I161" s="523"/>
      <c r="J161" s="521"/>
      <c r="K161" s="522"/>
      <c r="M161" s="301" t="str">
        <f>N161&amp;AS[[#This Row],[Insurer Code]]&amp;"; "&amp;O161&amp;AS[[#This Row],[Reporting Year]]&amp;"; "&amp;P161&amp;AS[[#This Row],[Insurance Category Code]]&amp;"; "&amp;Q161&amp;AS[[#This Row],[Large Provider Entity Code]]&amp;"; "&amp;R161&amp;AS[[#This Row],[Age Band Code]]&amp;"; "&amp;S161&amp;AS[[#This Row],[Sex Code]]</f>
        <v xml:space="preserve">Insurer Code ; Reporting Year ; Insurance Category Code ; Large Provider Entity Code ; Age Band Code ; Sex Code </v>
      </c>
      <c r="N161" s="297" t="s">
        <v>197</v>
      </c>
      <c r="O161" s="297" t="s">
        <v>198</v>
      </c>
      <c r="P161" s="297" t="s">
        <v>199</v>
      </c>
      <c r="Q161" s="297" t="s">
        <v>200</v>
      </c>
      <c r="R161" s="297" t="s">
        <v>213</v>
      </c>
      <c r="S161" s="297" t="s">
        <v>214</v>
      </c>
    </row>
    <row r="162" spans="1:19" x14ac:dyDescent="0.4">
      <c r="A162" s="291"/>
      <c r="B162" s="292"/>
      <c r="C162" s="312"/>
      <c r="D162" s="292"/>
      <c r="E162" s="489"/>
      <c r="F162" s="489"/>
      <c r="G162" s="490"/>
      <c r="H162" s="520"/>
      <c r="I162" s="523"/>
      <c r="J162" s="521"/>
      <c r="K162" s="522"/>
      <c r="M162" s="301" t="str">
        <f>N162&amp;AS[[#This Row],[Insurer Code]]&amp;"; "&amp;O162&amp;AS[[#This Row],[Reporting Year]]&amp;"; "&amp;P162&amp;AS[[#This Row],[Insurance Category Code]]&amp;"; "&amp;Q162&amp;AS[[#This Row],[Large Provider Entity Code]]&amp;"; "&amp;R162&amp;AS[[#This Row],[Age Band Code]]&amp;"; "&amp;S162&amp;AS[[#This Row],[Sex Code]]</f>
        <v xml:space="preserve">Insurer Code ; Reporting Year ; Insurance Category Code ; Large Provider Entity Code ; Age Band Code ; Sex Code </v>
      </c>
      <c r="N162" s="297" t="s">
        <v>197</v>
      </c>
      <c r="O162" s="297" t="s">
        <v>198</v>
      </c>
      <c r="P162" s="297" t="s">
        <v>199</v>
      </c>
      <c r="Q162" s="297" t="s">
        <v>200</v>
      </c>
      <c r="R162" s="297" t="s">
        <v>213</v>
      </c>
      <c r="S162" s="297" t="s">
        <v>214</v>
      </c>
    </row>
    <row r="163" spans="1:19" x14ac:dyDescent="0.4">
      <c r="A163" s="291"/>
      <c r="B163" s="292"/>
      <c r="C163" s="312"/>
      <c r="D163" s="292"/>
      <c r="E163" s="489"/>
      <c r="F163" s="489"/>
      <c r="G163" s="490"/>
      <c r="H163" s="520"/>
      <c r="I163" s="523"/>
      <c r="J163" s="521"/>
      <c r="K163" s="522"/>
      <c r="M163" s="301" t="str">
        <f>N163&amp;AS[[#This Row],[Insurer Code]]&amp;"; "&amp;O163&amp;AS[[#This Row],[Reporting Year]]&amp;"; "&amp;P163&amp;AS[[#This Row],[Insurance Category Code]]&amp;"; "&amp;Q163&amp;AS[[#This Row],[Large Provider Entity Code]]&amp;"; "&amp;R163&amp;AS[[#This Row],[Age Band Code]]&amp;"; "&amp;S163&amp;AS[[#This Row],[Sex Code]]</f>
        <v xml:space="preserve">Insurer Code ; Reporting Year ; Insurance Category Code ; Large Provider Entity Code ; Age Band Code ; Sex Code </v>
      </c>
      <c r="N163" s="297" t="s">
        <v>197</v>
      </c>
      <c r="O163" s="297" t="s">
        <v>198</v>
      </c>
      <c r="P163" s="297" t="s">
        <v>199</v>
      </c>
      <c r="Q163" s="297" t="s">
        <v>200</v>
      </c>
      <c r="R163" s="297" t="s">
        <v>213</v>
      </c>
      <c r="S163" s="297" t="s">
        <v>214</v>
      </c>
    </row>
    <row r="164" spans="1:19" x14ac:dyDescent="0.4">
      <c r="A164" s="291"/>
      <c r="B164" s="292"/>
      <c r="C164" s="312"/>
      <c r="D164" s="292"/>
      <c r="E164" s="489"/>
      <c r="F164" s="489"/>
      <c r="G164" s="490"/>
      <c r="H164" s="520"/>
      <c r="I164" s="523"/>
      <c r="J164" s="521"/>
      <c r="K164" s="522"/>
      <c r="M164" s="301" t="str">
        <f>N164&amp;AS[[#This Row],[Insurer Code]]&amp;"; "&amp;O164&amp;AS[[#This Row],[Reporting Year]]&amp;"; "&amp;P164&amp;AS[[#This Row],[Insurance Category Code]]&amp;"; "&amp;Q164&amp;AS[[#This Row],[Large Provider Entity Code]]&amp;"; "&amp;R164&amp;AS[[#This Row],[Age Band Code]]&amp;"; "&amp;S164&amp;AS[[#This Row],[Sex Code]]</f>
        <v xml:space="preserve">Insurer Code ; Reporting Year ; Insurance Category Code ; Large Provider Entity Code ; Age Band Code ; Sex Code </v>
      </c>
      <c r="N164" s="297" t="s">
        <v>197</v>
      </c>
      <c r="O164" s="297" t="s">
        <v>198</v>
      </c>
      <c r="P164" s="297" t="s">
        <v>199</v>
      </c>
      <c r="Q164" s="297" t="s">
        <v>200</v>
      </c>
      <c r="R164" s="297" t="s">
        <v>213</v>
      </c>
      <c r="S164" s="297" t="s">
        <v>214</v>
      </c>
    </row>
    <row r="165" spans="1:19" x14ac:dyDescent="0.4">
      <c r="A165" s="291"/>
      <c r="B165" s="292"/>
      <c r="C165" s="312"/>
      <c r="D165" s="292"/>
      <c r="E165" s="489"/>
      <c r="F165" s="489"/>
      <c r="G165" s="490"/>
      <c r="H165" s="520"/>
      <c r="I165" s="523"/>
      <c r="J165" s="521"/>
      <c r="K165" s="522"/>
      <c r="M165" s="301" t="str">
        <f>N165&amp;AS[[#This Row],[Insurer Code]]&amp;"; "&amp;O165&amp;AS[[#This Row],[Reporting Year]]&amp;"; "&amp;P165&amp;AS[[#This Row],[Insurance Category Code]]&amp;"; "&amp;Q165&amp;AS[[#This Row],[Large Provider Entity Code]]&amp;"; "&amp;R165&amp;AS[[#This Row],[Age Band Code]]&amp;"; "&amp;S165&amp;AS[[#This Row],[Sex Code]]</f>
        <v xml:space="preserve">Insurer Code ; Reporting Year ; Insurance Category Code ; Large Provider Entity Code ; Age Band Code ; Sex Code </v>
      </c>
      <c r="N165" s="297" t="s">
        <v>197</v>
      </c>
      <c r="O165" s="297" t="s">
        <v>198</v>
      </c>
      <c r="P165" s="297" t="s">
        <v>199</v>
      </c>
      <c r="Q165" s="297" t="s">
        <v>200</v>
      </c>
      <c r="R165" s="297" t="s">
        <v>213</v>
      </c>
      <c r="S165" s="297" t="s">
        <v>214</v>
      </c>
    </row>
    <row r="166" spans="1:19" x14ac:dyDescent="0.4">
      <c r="A166" s="291"/>
      <c r="B166" s="292"/>
      <c r="C166" s="312"/>
      <c r="D166" s="292"/>
      <c r="E166" s="489"/>
      <c r="F166" s="489"/>
      <c r="G166" s="490"/>
      <c r="H166" s="520"/>
      <c r="I166" s="523"/>
      <c r="J166" s="521"/>
      <c r="K166" s="522"/>
      <c r="M166" s="301" t="str">
        <f>N166&amp;AS[[#This Row],[Insurer Code]]&amp;"; "&amp;O166&amp;AS[[#This Row],[Reporting Year]]&amp;"; "&amp;P166&amp;AS[[#This Row],[Insurance Category Code]]&amp;"; "&amp;Q166&amp;AS[[#This Row],[Large Provider Entity Code]]&amp;"; "&amp;R166&amp;AS[[#This Row],[Age Band Code]]&amp;"; "&amp;S166&amp;AS[[#This Row],[Sex Code]]</f>
        <v xml:space="preserve">Insurer Code ; Reporting Year ; Insurance Category Code ; Large Provider Entity Code ; Age Band Code ; Sex Code </v>
      </c>
      <c r="N166" s="297" t="s">
        <v>197</v>
      </c>
      <c r="O166" s="297" t="s">
        <v>198</v>
      </c>
      <c r="P166" s="297" t="s">
        <v>199</v>
      </c>
      <c r="Q166" s="297" t="s">
        <v>200</v>
      </c>
      <c r="R166" s="297" t="s">
        <v>213</v>
      </c>
      <c r="S166" s="297" t="s">
        <v>214</v>
      </c>
    </row>
    <row r="167" spans="1:19" x14ac:dyDescent="0.4">
      <c r="A167" s="291"/>
      <c r="B167" s="292"/>
      <c r="C167" s="312"/>
      <c r="D167" s="292"/>
      <c r="E167" s="489"/>
      <c r="F167" s="489"/>
      <c r="G167" s="490"/>
      <c r="H167" s="520"/>
      <c r="I167" s="523"/>
      <c r="J167" s="521"/>
      <c r="K167" s="522"/>
      <c r="M167" s="301" t="str">
        <f>N167&amp;AS[[#This Row],[Insurer Code]]&amp;"; "&amp;O167&amp;AS[[#This Row],[Reporting Year]]&amp;"; "&amp;P167&amp;AS[[#This Row],[Insurance Category Code]]&amp;"; "&amp;Q167&amp;AS[[#This Row],[Large Provider Entity Code]]&amp;"; "&amp;R167&amp;AS[[#This Row],[Age Band Code]]&amp;"; "&amp;S167&amp;AS[[#This Row],[Sex Code]]</f>
        <v xml:space="preserve">Insurer Code ; Reporting Year ; Insurance Category Code ; Large Provider Entity Code ; Age Band Code ; Sex Code </v>
      </c>
      <c r="N167" s="297" t="s">
        <v>197</v>
      </c>
      <c r="O167" s="297" t="s">
        <v>198</v>
      </c>
      <c r="P167" s="297" t="s">
        <v>199</v>
      </c>
      <c r="Q167" s="297" t="s">
        <v>200</v>
      </c>
      <c r="R167" s="297" t="s">
        <v>213</v>
      </c>
      <c r="S167" s="297" t="s">
        <v>214</v>
      </c>
    </row>
    <row r="168" spans="1:19" x14ac:dyDescent="0.4">
      <c r="A168" s="291"/>
      <c r="B168" s="292"/>
      <c r="C168" s="312"/>
      <c r="D168" s="292"/>
      <c r="E168" s="489"/>
      <c r="F168" s="489"/>
      <c r="G168" s="490"/>
      <c r="H168" s="520"/>
      <c r="I168" s="523"/>
      <c r="J168" s="521"/>
      <c r="K168" s="522"/>
      <c r="M168" s="301" t="str">
        <f>N168&amp;AS[[#This Row],[Insurer Code]]&amp;"; "&amp;O168&amp;AS[[#This Row],[Reporting Year]]&amp;"; "&amp;P168&amp;AS[[#This Row],[Insurance Category Code]]&amp;"; "&amp;Q168&amp;AS[[#This Row],[Large Provider Entity Code]]&amp;"; "&amp;R168&amp;AS[[#This Row],[Age Band Code]]&amp;"; "&amp;S168&amp;AS[[#This Row],[Sex Code]]</f>
        <v xml:space="preserve">Insurer Code ; Reporting Year ; Insurance Category Code ; Large Provider Entity Code ; Age Band Code ; Sex Code </v>
      </c>
      <c r="N168" s="297" t="s">
        <v>197</v>
      </c>
      <c r="O168" s="297" t="s">
        <v>198</v>
      </c>
      <c r="P168" s="297" t="s">
        <v>199</v>
      </c>
      <c r="Q168" s="297" t="s">
        <v>200</v>
      </c>
      <c r="R168" s="297" t="s">
        <v>213</v>
      </c>
      <c r="S168" s="297" t="s">
        <v>214</v>
      </c>
    </row>
    <row r="169" spans="1:19" x14ac:dyDescent="0.4">
      <c r="A169" s="291"/>
      <c r="B169" s="292"/>
      <c r="C169" s="312"/>
      <c r="D169" s="292"/>
      <c r="E169" s="489"/>
      <c r="F169" s="489"/>
      <c r="G169" s="490"/>
      <c r="H169" s="520"/>
      <c r="I169" s="523"/>
      <c r="J169" s="521"/>
      <c r="K169" s="522"/>
      <c r="M169" s="301" t="str">
        <f>N169&amp;AS[[#This Row],[Insurer Code]]&amp;"; "&amp;O169&amp;AS[[#This Row],[Reporting Year]]&amp;"; "&amp;P169&amp;AS[[#This Row],[Insurance Category Code]]&amp;"; "&amp;Q169&amp;AS[[#This Row],[Large Provider Entity Code]]&amp;"; "&amp;R169&amp;AS[[#This Row],[Age Band Code]]&amp;"; "&amp;S169&amp;AS[[#This Row],[Sex Code]]</f>
        <v xml:space="preserve">Insurer Code ; Reporting Year ; Insurance Category Code ; Large Provider Entity Code ; Age Band Code ; Sex Code </v>
      </c>
      <c r="N169" s="297" t="s">
        <v>197</v>
      </c>
      <c r="O169" s="297" t="s">
        <v>198</v>
      </c>
      <c r="P169" s="297" t="s">
        <v>199</v>
      </c>
      <c r="Q169" s="297" t="s">
        <v>200</v>
      </c>
      <c r="R169" s="297" t="s">
        <v>213</v>
      </c>
      <c r="S169" s="297" t="s">
        <v>214</v>
      </c>
    </row>
    <row r="170" spans="1:19" x14ac:dyDescent="0.4">
      <c r="A170" s="291"/>
      <c r="B170" s="292"/>
      <c r="C170" s="312"/>
      <c r="D170" s="292"/>
      <c r="E170" s="489"/>
      <c r="F170" s="489"/>
      <c r="G170" s="490"/>
      <c r="H170" s="520"/>
      <c r="I170" s="523"/>
      <c r="J170" s="521"/>
      <c r="K170" s="522"/>
      <c r="M170" s="301" t="str">
        <f>N170&amp;AS[[#This Row],[Insurer Code]]&amp;"; "&amp;O170&amp;AS[[#This Row],[Reporting Year]]&amp;"; "&amp;P170&amp;AS[[#This Row],[Insurance Category Code]]&amp;"; "&amp;Q170&amp;AS[[#This Row],[Large Provider Entity Code]]&amp;"; "&amp;R170&amp;AS[[#This Row],[Age Band Code]]&amp;"; "&amp;S170&amp;AS[[#This Row],[Sex Code]]</f>
        <v xml:space="preserve">Insurer Code ; Reporting Year ; Insurance Category Code ; Large Provider Entity Code ; Age Band Code ; Sex Code </v>
      </c>
      <c r="N170" s="297" t="s">
        <v>197</v>
      </c>
      <c r="O170" s="297" t="s">
        <v>198</v>
      </c>
      <c r="P170" s="297" t="s">
        <v>199</v>
      </c>
      <c r="Q170" s="297" t="s">
        <v>200</v>
      </c>
      <c r="R170" s="297" t="s">
        <v>213</v>
      </c>
      <c r="S170" s="297" t="s">
        <v>214</v>
      </c>
    </row>
    <row r="171" spans="1:19" x14ac:dyDescent="0.4">
      <c r="A171" s="291"/>
      <c r="B171" s="292"/>
      <c r="C171" s="312"/>
      <c r="D171" s="292"/>
      <c r="E171" s="489"/>
      <c r="F171" s="489"/>
      <c r="G171" s="490"/>
      <c r="H171" s="520"/>
      <c r="I171" s="523"/>
      <c r="J171" s="521"/>
      <c r="K171" s="522"/>
      <c r="M171" s="301" t="str">
        <f>N171&amp;AS[[#This Row],[Insurer Code]]&amp;"; "&amp;O171&amp;AS[[#This Row],[Reporting Year]]&amp;"; "&amp;P171&amp;AS[[#This Row],[Insurance Category Code]]&amp;"; "&amp;Q171&amp;AS[[#This Row],[Large Provider Entity Code]]&amp;"; "&amp;R171&amp;AS[[#This Row],[Age Band Code]]&amp;"; "&amp;S171&amp;AS[[#This Row],[Sex Code]]</f>
        <v xml:space="preserve">Insurer Code ; Reporting Year ; Insurance Category Code ; Large Provider Entity Code ; Age Band Code ; Sex Code </v>
      </c>
      <c r="N171" s="297" t="s">
        <v>197</v>
      </c>
      <c r="O171" s="297" t="s">
        <v>198</v>
      </c>
      <c r="P171" s="297" t="s">
        <v>199</v>
      </c>
      <c r="Q171" s="297" t="s">
        <v>200</v>
      </c>
      <c r="R171" s="297" t="s">
        <v>213</v>
      </c>
      <c r="S171" s="297" t="s">
        <v>214</v>
      </c>
    </row>
    <row r="172" spans="1:19" x14ac:dyDescent="0.4">
      <c r="A172" s="291"/>
      <c r="B172" s="292"/>
      <c r="C172" s="312"/>
      <c r="D172" s="292"/>
      <c r="E172" s="489"/>
      <c r="F172" s="489"/>
      <c r="G172" s="490"/>
      <c r="H172" s="520"/>
      <c r="I172" s="523"/>
      <c r="J172" s="521"/>
      <c r="K172" s="522"/>
      <c r="M172" s="301" t="str">
        <f>N172&amp;AS[[#This Row],[Insurer Code]]&amp;"; "&amp;O172&amp;AS[[#This Row],[Reporting Year]]&amp;"; "&amp;P172&amp;AS[[#This Row],[Insurance Category Code]]&amp;"; "&amp;Q172&amp;AS[[#This Row],[Large Provider Entity Code]]&amp;"; "&amp;R172&amp;AS[[#This Row],[Age Band Code]]&amp;"; "&amp;S172&amp;AS[[#This Row],[Sex Code]]</f>
        <v xml:space="preserve">Insurer Code ; Reporting Year ; Insurance Category Code ; Large Provider Entity Code ; Age Band Code ; Sex Code </v>
      </c>
      <c r="N172" s="297" t="s">
        <v>197</v>
      </c>
      <c r="O172" s="297" t="s">
        <v>198</v>
      </c>
      <c r="P172" s="297" t="s">
        <v>199</v>
      </c>
      <c r="Q172" s="297" t="s">
        <v>200</v>
      </c>
      <c r="R172" s="297" t="s">
        <v>213</v>
      </c>
      <c r="S172" s="297" t="s">
        <v>214</v>
      </c>
    </row>
    <row r="173" spans="1:19" x14ac:dyDescent="0.4">
      <c r="A173" s="291"/>
      <c r="B173" s="292"/>
      <c r="C173" s="312"/>
      <c r="D173" s="292"/>
      <c r="E173" s="489"/>
      <c r="F173" s="489"/>
      <c r="G173" s="490"/>
      <c r="H173" s="520"/>
      <c r="I173" s="523"/>
      <c r="J173" s="521"/>
      <c r="K173" s="522"/>
      <c r="M173" s="301" t="str">
        <f>N173&amp;AS[[#This Row],[Insurer Code]]&amp;"; "&amp;O173&amp;AS[[#This Row],[Reporting Year]]&amp;"; "&amp;P173&amp;AS[[#This Row],[Insurance Category Code]]&amp;"; "&amp;Q173&amp;AS[[#This Row],[Large Provider Entity Code]]&amp;"; "&amp;R173&amp;AS[[#This Row],[Age Band Code]]&amp;"; "&amp;S173&amp;AS[[#This Row],[Sex Code]]</f>
        <v xml:space="preserve">Insurer Code ; Reporting Year ; Insurance Category Code ; Large Provider Entity Code ; Age Band Code ; Sex Code </v>
      </c>
      <c r="N173" s="297" t="s">
        <v>197</v>
      </c>
      <c r="O173" s="297" t="s">
        <v>198</v>
      </c>
      <c r="P173" s="297" t="s">
        <v>199</v>
      </c>
      <c r="Q173" s="297" t="s">
        <v>200</v>
      </c>
      <c r="R173" s="297" t="s">
        <v>213</v>
      </c>
      <c r="S173" s="297" t="s">
        <v>214</v>
      </c>
    </row>
    <row r="174" spans="1:19" x14ac:dyDescent="0.4">
      <c r="A174" s="291"/>
      <c r="B174" s="292"/>
      <c r="C174" s="312"/>
      <c r="D174" s="292"/>
      <c r="E174" s="489"/>
      <c r="F174" s="489"/>
      <c r="G174" s="490"/>
      <c r="H174" s="520"/>
      <c r="I174" s="523"/>
      <c r="J174" s="521"/>
      <c r="K174" s="522"/>
      <c r="M174" s="301" t="str">
        <f>N174&amp;AS[[#This Row],[Insurer Code]]&amp;"; "&amp;O174&amp;AS[[#This Row],[Reporting Year]]&amp;"; "&amp;P174&amp;AS[[#This Row],[Insurance Category Code]]&amp;"; "&amp;Q174&amp;AS[[#This Row],[Large Provider Entity Code]]&amp;"; "&amp;R174&amp;AS[[#This Row],[Age Band Code]]&amp;"; "&amp;S174&amp;AS[[#This Row],[Sex Code]]</f>
        <v xml:space="preserve">Insurer Code ; Reporting Year ; Insurance Category Code ; Large Provider Entity Code ; Age Band Code ; Sex Code </v>
      </c>
      <c r="N174" s="297" t="s">
        <v>197</v>
      </c>
      <c r="O174" s="297" t="s">
        <v>198</v>
      </c>
      <c r="P174" s="297" t="s">
        <v>199</v>
      </c>
      <c r="Q174" s="297" t="s">
        <v>200</v>
      </c>
      <c r="R174" s="297" t="s">
        <v>213</v>
      </c>
      <c r="S174" s="297" t="s">
        <v>214</v>
      </c>
    </row>
    <row r="175" spans="1:19" x14ac:dyDescent="0.4">
      <c r="A175" s="291"/>
      <c r="B175" s="292"/>
      <c r="C175" s="312"/>
      <c r="D175" s="292"/>
      <c r="E175" s="489"/>
      <c r="F175" s="489"/>
      <c r="G175" s="490"/>
      <c r="H175" s="520"/>
      <c r="I175" s="523"/>
      <c r="J175" s="521"/>
      <c r="K175" s="522"/>
      <c r="M175" s="301" t="str">
        <f>N175&amp;AS[[#This Row],[Insurer Code]]&amp;"; "&amp;O175&amp;AS[[#This Row],[Reporting Year]]&amp;"; "&amp;P175&amp;AS[[#This Row],[Insurance Category Code]]&amp;"; "&amp;Q175&amp;AS[[#This Row],[Large Provider Entity Code]]&amp;"; "&amp;R175&amp;AS[[#This Row],[Age Band Code]]&amp;"; "&amp;S175&amp;AS[[#This Row],[Sex Code]]</f>
        <v xml:space="preserve">Insurer Code ; Reporting Year ; Insurance Category Code ; Large Provider Entity Code ; Age Band Code ; Sex Code </v>
      </c>
      <c r="N175" s="297" t="s">
        <v>197</v>
      </c>
      <c r="O175" s="297" t="s">
        <v>198</v>
      </c>
      <c r="P175" s="297" t="s">
        <v>199</v>
      </c>
      <c r="Q175" s="297" t="s">
        <v>200</v>
      </c>
      <c r="R175" s="297" t="s">
        <v>213</v>
      </c>
      <c r="S175" s="297" t="s">
        <v>214</v>
      </c>
    </row>
    <row r="176" spans="1:19" x14ac:dyDescent="0.4">
      <c r="A176" s="291"/>
      <c r="B176" s="292"/>
      <c r="C176" s="312"/>
      <c r="D176" s="292"/>
      <c r="E176" s="489"/>
      <c r="F176" s="489"/>
      <c r="G176" s="490"/>
      <c r="H176" s="520"/>
      <c r="I176" s="523"/>
      <c r="J176" s="521"/>
      <c r="K176" s="522"/>
      <c r="M176" s="301" t="str">
        <f>N176&amp;AS[[#This Row],[Insurer Code]]&amp;"; "&amp;O176&amp;AS[[#This Row],[Reporting Year]]&amp;"; "&amp;P176&amp;AS[[#This Row],[Insurance Category Code]]&amp;"; "&amp;Q176&amp;AS[[#This Row],[Large Provider Entity Code]]&amp;"; "&amp;R176&amp;AS[[#This Row],[Age Band Code]]&amp;"; "&amp;S176&amp;AS[[#This Row],[Sex Code]]</f>
        <v xml:space="preserve">Insurer Code ; Reporting Year ; Insurance Category Code ; Large Provider Entity Code ; Age Band Code ; Sex Code </v>
      </c>
      <c r="N176" s="297" t="s">
        <v>197</v>
      </c>
      <c r="O176" s="297" t="s">
        <v>198</v>
      </c>
      <c r="P176" s="297" t="s">
        <v>199</v>
      </c>
      <c r="Q176" s="297" t="s">
        <v>200</v>
      </c>
      <c r="R176" s="297" t="s">
        <v>213</v>
      </c>
      <c r="S176" s="297" t="s">
        <v>214</v>
      </c>
    </row>
    <row r="177" spans="1:19" x14ac:dyDescent="0.4">
      <c r="A177" s="291"/>
      <c r="B177" s="292"/>
      <c r="C177" s="312"/>
      <c r="D177" s="292"/>
      <c r="E177" s="489"/>
      <c r="F177" s="489"/>
      <c r="G177" s="490"/>
      <c r="H177" s="520"/>
      <c r="I177" s="523"/>
      <c r="J177" s="521"/>
      <c r="K177" s="522"/>
      <c r="M177" s="301" t="str">
        <f>N177&amp;AS[[#This Row],[Insurer Code]]&amp;"; "&amp;O177&amp;AS[[#This Row],[Reporting Year]]&amp;"; "&amp;P177&amp;AS[[#This Row],[Insurance Category Code]]&amp;"; "&amp;Q177&amp;AS[[#This Row],[Large Provider Entity Code]]&amp;"; "&amp;R177&amp;AS[[#This Row],[Age Band Code]]&amp;"; "&amp;S177&amp;AS[[#This Row],[Sex Code]]</f>
        <v xml:space="preserve">Insurer Code ; Reporting Year ; Insurance Category Code ; Large Provider Entity Code ; Age Band Code ; Sex Code </v>
      </c>
      <c r="N177" s="297" t="s">
        <v>197</v>
      </c>
      <c r="O177" s="297" t="s">
        <v>198</v>
      </c>
      <c r="P177" s="297" t="s">
        <v>199</v>
      </c>
      <c r="Q177" s="297" t="s">
        <v>200</v>
      </c>
      <c r="R177" s="297" t="s">
        <v>213</v>
      </c>
      <c r="S177" s="297" t="s">
        <v>214</v>
      </c>
    </row>
    <row r="178" spans="1:19" x14ac:dyDescent="0.4">
      <c r="A178" s="291"/>
      <c r="B178" s="292"/>
      <c r="C178" s="312"/>
      <c r="D178" s="292"/>
      <c r="E178" s="489"/>
      <c r="F178" s="489"/>
      <c r="G178" s="490"/>
      <c r="H178" s="520"/>
      <c r="I178" s="523"/>
      <c r="J178" s="521"/>
      <c r="K178" s="522"/>
      <c r="M178" s="301" t="str">
        <f>N178&amp;AS[[#This Row],[Insurer Code]]&amp;"; "&amp;O178&amp;AS[[#This Row],[Reporting Year]]&amp;"; "&amp;P178&amp;AS[[#This Row],[Insurance Category Code]]&amp;"; "&amp;Q178&amp;AS[[#This Row],[Large Provider Entity Code]]&amp;"; "&amp;R178&amp;AS[[#This Row],[Age Band Code]]&amp;"; "&amp;S178&amp;AS[[#This Row],[Sex Code]]</f>
        <v xml:space="preserve">Insurer Code ; Reporting Year ; Insurance Category Code ; Large Provider Entity Code ; Age Band Code ; Sex Code </v>
      </c>
      <c r="N178" s="297" t="s">
        <v>197</v>
      </c>
      <c r="O178" s="297" t="s">
        <v>198</v>
      </c>
      <c r="P178" s="297" t="s">
        <v>199</v>
      </c>
      <c r="Q178" s="297" t="s">
        <v>200</v>
      </c>
      <c r="R178" s="297" t="s">
        <v>213</v>
      </c>
      <c r="S178" s="297" t="s">
        <v>214</v>
      </c>
    </row>
    <row r="179" spans="1:19" x14ac:dyDescent="0.4">
      <c r="A179" s="291"/>
      <c r="B179" s="292"/>
      <c r="C179" s="312"/>
      <c r="D179" s="292"/>
      <c r="E179" s="489"/>
      <c r="F179" s="489"/>
      <c r="G179" s="490"/>
      <c r="H179" s="520"/>
      <c r="I179" s="523"/>
      <c r="J179" s="521"/>
      <c r="K179" s="522"/>
      <c r="M179" s="301" t="str">
        <f>N179&amp;AS[[#This Row],[Insurer Code]]&amp;"; "&amp;O179&amp;AS[[#This Row],[Reporting Year]]&amp;"; "&amp;P179&amp;AS[[#This Row],[Insurance Category Code]]&amp;"; "&amp;Q179&amp;AS[[#This Row],[Large Provider Entity Code]]&amp;"; "&amp;R179&amp;AS[[#This Row],[Age Band Code]]&amp;"; "&amp;S179&amp;AS[[#This Row],[Sex Code]]</f>
        <v xml:space="preserve">Insurer Code ; Reporting Year ; Insurance Category Code ; Large Provider Entity Code ; Age Band Code ; Sex Code </v>
      </c>
      <c r="N179" s="297" t="s">
        <v>197</v>
      </c>
      <c r="O179" s="297" t="s">
        <v>198</v>
      </c>
      <c r="P179" s="297" t="s">
        <v>199</v>
      </c>
      <c r="Q179" s="297" t="s">
        <v>200</v>
      </c>
      <c r="R179" s="297" t="s">
        <v>213</v>
      </c>
      <c r="S179" s="297" t="s">
        <v>214</v>
      </c>
    </row>
    <row r="180" spans="1:19" x14ac:dyDescent="0.4">
      <c r="A180" s="291"/>
      <c r="B180" s="292"/>
      <c r="C180" s="312"/>
      <c r="D180" s="292"/>
      <c r="E180" s="489"/>
      <c r="F180" s="489"/>
      <c r="G180" s="490"/>
      <c r="H180" s="520"/>
      <c r="I180" s="523"/>
      <c r="J180" s="521"/>
      <c r="K180" s="522"/>
      <c r="M180" s="301" t="str">
        <f>N180&amp;AS[[#This Row],[Insurer Code]]&amp;"; "&amp;O180&amp;AS[[#This Row],[Reporting Year]]&amp;"; "&amp;P180&amp;AS[[#This Row],[Insurance Category Code]]&amp;"; "&amp;Q180&amp;AS[[#This Row],[Large Provider Entity Code]]&amp;"; "&amp;R180&amp;AS[[#This Row],[Age Band Code]]&amp;"; "&amp;S180&amp;AS[[#This Row],[Sex Code]]</f>
        <v xml:space="preserve">Insurer Code ; Reporting Year ; Insurance Category Code ; Large Provider Entity Code ; Age Band Code ; Sex Code </v>
      </c>
      <c r="N180" s="297" t="s">
        <v>197</v>
      </c>
      <c r="O180" s="297" t="s">
        <v>198</v>
      </c>
      <c r="P180" s="297" t="s">
        <v>199</v>
      </c>
      <c r="Q180" s="297" t="s">
        <v>200</v>
      </c>
      <c r="R180" s="297" t="s">
        <v>213</v>
      </c>
      <c r="S180" s="297" t="s">
        <v>214</v>
      </c>
    </row>
    <row r="181" spans="1:19" x14ac:dyDescent="0.4">
      <c r="A181" s="291"/>
      <c r="B181" s="292"/>
      <c r="C181" s="312"/>
      <c r="D181" s="292"/>
      <c r="E181" s="489"/>
      <c r="F181" s="489"/>
      <c r="G181" s="490"/>
      <c r="H181" s="520"/>
      <c r="I181" s="523"/>
      <c r="J181" s="521"/>
      <c r="K181" s="522"/>
      <c r="M181" s="301" t="str">
        <f>N181&amp;AS[[#This Row],[Insurer Code]]&amp;"; "&amp;O181&amp;AS[[#This Row],[Reporting Year]]&amp;"; "&amp;P181&amp;AS[[#This Row],[Insurance Category Code]]&amp;"; "&amp;Q181&amp;AS[[#This Row],[Large Provider Entity Code]]&amp;"; "&amp;R181&amp;AS[[#This Row],[Age Band Code]]&amp;"; "&amp;S181&amp;AS[[#This Row],[Sex Code]]</f>
        <v xml:space="preserve">Insurer Code ; Reporting Year ; Insurance Category Code ; Large Provider Entity Code ; Age Band Code ; Sex Code </v>
      </c>
      <c r="N181" s="297" t="s">
        <v>197</v>
      </c>
      <c r="O181" s="297" t="s">
        <v>198</v>
      </c>
      <c r="P181" s="297" t="s">
        <v>199</v>
      </c>
      <c r="Q181" s="297" t="s">
        <v>200</v>
      </c>
      <c r="R181" s="297" t="s">
        <v>213</v>
      </c>
      <c r="S181" s="297" t="s">
        <v>214</v>
      </c>
    </row>
    <row r="182" spans="1:19" x14ac:dyDescent="0.4">
      <c r="A182" s="291"/>
      <c r="B182" s="292"/>
      <c r="C182" s="312"/>
      <c r="D182" s="292"/>
      <c r="E182" s="489"/>
      <c r="F182" s="489"/>
      <c r="G182" s="490"/>
      <c r="H182" s="520"/>
      <c r="I182" s="523"/>
      <c r="J182" s="521"/>
      <c r="K182" s="522"/>
      <c r="M182" s="301" t="str">
        <f>N182&amp;AS[[#This Row],[Insurer Code]]&amp;"; "&amp;O182&amp;AS[[#This Row],[Reporting Year]]&amp;"; "&amp;P182&amp;AS[[#This Row],[Insurance Category Code]]&amp;"; "&amp;Q182&amp;AS[[#This Row],[Large Provider Entity Code]]&amp;"; "&amp;R182&amp;AS[[#This Row],[Age Band Code]]&amp;"; "&amp;S182&amp;AS[[#This Row],[Sex Code]]</f>
        <v xml:space="preserve">Insurer Code ; Reporting Year ; Insurance Category Code ; Large Provider Entity Code ; Age Band Code ; Sex Code </v>
      </c>
      <c r="N182" s="297" t="s">
        <v>197</v>
      </c>
      <c r="O182" s="297" t="s">
        <v>198</v>
      </c>
      <c r="P182" s="297" t="s">
        <v>199</v>
      </c>
      <c r="Q182" s="297" t="s">
        <v>200</v>
      </c>
      <c r="R182" s="297" t="s">
        <v>213</v>
      </c>
      <c r="S182" s="297" t="s">
        <v>214</v>
      </c>
    </row>
    <row r="183" spans="1:19" x14ac:dyDescent="0.4">
      <c r="A183" s="291"/>
      <c r="B183" s="292"/>
      <c r="C183" s="312"/>
      <c r="D183" s="292"/>
      <c r="E183" s="489"/>
      <c r="F183" s="489"/>
      <c r="G183" s="490"/>
      <c r="H183" s="520"/>
      <c r="I183" s="523"/>
      <c r="J183" s="521"/>
      <c r="K183" s="522"/>
      <c r="M183" s="301" t="str">
        <f>N183&amp;AS[[#This Row],[Insurer Code]]&amp;"; "&amp;O183&amp;AS[[#This Row],[Reporting Year]]&amp;"; "&amp;P183&amp;AS[[#This Row],[Insurance Category Code]]&amp;"; "&amp;Q183&amp;AS[[#This Row],[Large Provider Entity Code]]&amp;"; "&amp;R183&amp;AS[[#This Row],[Age Band Code]]&amp;"; "&amp;S183&amp;AS[[#This Row],[Sex Code]]</f>
        <v xml:space="preserve">Insurer Code ; Reporting Year ; Insurance Category Code ; Large Provider Entity Code ; Age Band Code ; Sex Code </v>
      </c>
      <c r="N183" s="297" t="s">
        <v>197</v>
      </c>
      <c r="O183" s="297" t="s">
        <v>198</v>
      </c>
      <c r="P183" s="297" t="s">
        <v>199</v>
      </c>
      <c r="Q183" s="297" t="s">
        <v>200</v>
      </c>
      <c r="R183" s="297" t="s">
        <v>213</v>
      </c>
      <c r="S183" s="297" t="s">
        <v>214</v>
      </c>
    </row>
    <row r="184" spans="1:19" x14ac:dyDescent="0.4">
      <c r="A184" s="291"/>
      <c r="B184" s="292"/>
      <c r="C184" s="312"/>
      <c r="D184" s="292"/>
      <c r="E184" s="489"/>
      <c r="F184" s="489"/>
      <c r="G184" s="490"/>
      <c r="H184" s="520"/>
      <c r="I184" s="523"/>
      <c r="J184" s="521"/>
      <c r="K184" s="522"/>
      <c r="M184" s="301" t="str">
        <f>N184&amp;AS[[#This Row],[Insurer Code]]&amp;"; "&amp;O184&amp;AS[[#This Row],[Reporting Year]]&amp;"; "&amp;P184&amp;AS[[#This Row],[Insurance Category Code]]&amp;"; "&amp;Q184&amp;AS[[#This Row],[Large Provider Entity Code]]&amp;"; "&amp;R184&amp;AS[[#This Row],[Age Band Code]]&amp;"; "&amp;S184&amp;AS[[#This Row],[Sex Code]]</f>
        <v xml:space="preserve">Insurer Code ; Reporting Year ; Insurance Category Code ; Large Provider Entity Code ; Age Band Code ; Sex Code </v>
      </c>
      <c r="N184" s="297" t="s">
        <v>197</v>
      </c>
      <c r="O184" s="297" t="s">
        <v>198</v>
      </c>
      <c r="P184" s="297" t="s">
        <v>199</v>
      </c>
      <c r="Q184" s="297" t="s">
        <v>200</v>
      </c>
      <c r="R184" s="297" t="s">
        <v>213</v>
      </c>
      <c r="S184" s="297" t="s">
        <v>214</v>
      </c>
    </row>
    <row r="185" spans="1:19" x14ac:dyDescent="0.4">
      <c r="A185" s="291"/>
      <c r="B185" s="292"/>
      <c r="C185" s="312"/>
      <c r="D185" s="292"/>
      <c r="E185" s="489"/>
      <c r="F185" s="489"/>
      <c r="G185" s="490"/>
      <c r="H185" s="520"/>
      <c r="I185" s="523"/>
      <c r="J185" s="521"/>
      <c r="K185" s="522"/>
      <c r="M185" s="301" t="str">
        <f>N185&amp;AS[[#This Row],[Insurer Code]]&amp;"; "&amp;O185&amp;AS[[#This Row],[Reporting Year]]&amp;"; "&amp;P185&amp;AS[[#This Row],[Insurance Category Code]]&amp;"; "&amp;Q185&amp;AS[[#This Row],[Large Provider Entity Code]]&amp;"; "&amp;R185&amp;AS[[#This Row],[Age Band Code]]&amp;"; "&amp;S185&amp;AS[[#This Row],[Sex Code]]</f>
        <v xml:space="preserve">Insurer Code ; Reporting Year ; Insurance Category Code ; Large Provider Entity Code ; Age Band Code ; Sex Code </v>
      </c>
      <c r="N185" s="297" t="s">
        <v>197</v>
      </c>
      <c r="O185" s="297" t="s">
        <v>198</v>
      </c>
      <c r="P185" s="297" t="s">
        <v>199</v>
      </c>
      <c r="Q185" s="297" t="s">
        <v>200</v>
      </c>
      <c r="R185" s="297" t="s">
        <v>213</v>
      </c>
      <c r="S185" s="297" t="s">
        <v>214</v>
      </c>
    </row>
    <row r="186" spans="1:19" x14ac:dyDescent="0.4">
      <c r="A186" s="291"/>
      <c r="B186" s="292"/>
      <c r="C186" s="312"/>
      <c r="D186" s="292"/>
      <c r="E186" s="489"/>
      <c r="F186" s="489"/>
      <c r="G186" s="490"/>
      <c r="H186" s="520"/>
      <c r="I186" s="523"/>
      <c r="J186" s="521"/>
      <c r="K186" s="522"/>
      <c r="M186" s="301" t="str">
        <f>N186&amp;AS[[#This Row],[Insurer Code]]&amp;"; "&amp;O186&amp;AS[[#This Row],[Reporting Year]]&amp;"; "&amp;P186&amp;AS[[#This Row],[Insurance Category Code]]&amp;"; "&amp;Q186&amp;AS[[#This Row],[Large Provider Entity Code]]&amp;"; "&amp;R186&amp;AS[[#This Row],[Age Band Code]]&amp;"; "&amp;S186&amp;AS[[#This Row],[Sex Code]]</f>
        <v xml:space="preserve">Insurer Code ; Reporting Year ; Insurance Category Code ; Large Provider Entity Code ; Age Band Code ; Sex Code </v>
      </c>
      <c r="N186" s="297" t="s">
        <v>197</v>
      </c>
      <c r="O186" s="297" t="s">
        <v>198</v>
      </c>
      <c r="P186" s="297" t="s">
        <v>199</v>
      </c>
      <c r="Q186" s="297" t="s">
        <v>200</v>
      </c>
      <c r="R186" s="297" t="s">
        <v>213</v>
      </c>
      <c r="S186" s="297" t="s">
        <v>214</v>
      </c>
    </row>
    <row r="187" spans="1:19" x14ac:dyDescent="0.4">
      <c r="A187" s="291"/>
      <c r="B187" s="292"/>
      <c r="C187" s="312"/>
      <c r="D187" s="292"/>
      <c r="E187" s="489"/>
      <c r="F187" s="489"/>
      <c r="G187" s="490"/>
      <c r="H187" s="520"/>
      <c r="I187" s="523"/>
      <c r="J187" s="521"/>
      <c r="K187" s="522"/>
      <c r="M187" s="301" t="str">
        <f>N187&amp;AS[[#This Row],[Insurer Code]]&amp;"; "&amp;O187&amp;AS[[#This Row],[Reporting Year]]&amp;"; "&amp;P187&amp;AS[[#This Row],[Insurance Category Code]]&amp;"; "&amp;Q187&amp;AS[[#This Row],[Large Provider Entity Code]]&amp;"; "&amp;R187&amp;AS[[#This Row],[Age Band Code]]&amp;"; "&amp;S187&amp;AS[[#This Row],[Sex Code]]</f>
        <v xml:space="preserve">Insurer Code ; Reporting Year ; Insurance Category Code ; Large Provider Entity Code ; Age Band Code ; Sex Code </v>
      </c>
      <c r="N187" s="297" t="s">
        <v>197</v>
      </c>
      <c r="O187" s="297" t="s">
        <v>198</v>
      </c>
      <c r="P187" s="297" t="s">
        <v>199</v>
      </c>
      <c r="Q187" s="297" t="s">
        <v>200</v>
      </c>
      <c r="R187" s="297" t="s">
        <v>213</v>
      </c>
      <c r="S187" s="297" t="s">
        <v>214</v>
      </c>
    </row>
    <row r="188" spans="1:19" x14ac:dyDescent="0.4">
      <c r="A188" s="291"/>
      <c r="B188" s="292"/>
      <c r="C188" s="312"/>
      <c r="D188" s="292"/>
      <c r="E188" s="489"/>
      <c r="F188" s="489"/>
      <c r="G188" s="490"/>
      <c r="H188" s="520"/>
      <c r="I188" s="523"/>
      <c r="J188" s="521"/>
      <c r="K188" s="522"/>
      <c r="M188" s="301" t="str">
        <f>N188&amp;AS[[#This Row],[Insurer Code]]&amp;"; "&amp;O188&amp;AS[[#This Row],[Reporting Year]]&amp;"; "&amp;P188&amp;AS[[#This Row],[Insurance Category Code]]&amp;"; "&amp;Q188&amp;AS[[#This Row],[Large Provider Entity Code]]&amp;"; "&amp;R188&amp;AS[[#This Row],[Age Band Code]]&amp;"; "&amp;S188&amp;AS[[#This Row],[Sex Code]]</f>
        <v xml:space="preserve">Insurer Code ; Reporting Year ; Insurance Category Code ; Large Provider Entity Code ; Age Band Code ; Sex Code </v>
      </c>
      <c r="N188" s="297" t="s">
        <v>197</v>
      </c>
      <c r="O188" s="297" t="s">
        <v>198</v>
      </c>
      <c r="P188" s="297" t="s">
        <v>199</v>
      </c>
      <c r="Q188" s="297" t="s">
        <v>200</v>
      </c>
      <c r="R188" s="297" t="s">
        <v>213</v>
      </c>
      <c r="S188" s="297" t="s">
        <v>214</v>
      </c>
    </row>
    <row r="189" spans="1:19" x14ac:dyDescent="0.4">
      <c r="A189" s="291"/>
      <c r="B189" s="292"/>
      <c r="C189" s="312"/>
      <c r="D189" s="292"/>
      <c r="E189" s="489"/>
      <c r="F189" s="489"/>
      <c r="G189" s="490"/>
      <c r="H189" s="520"/>
      <c r="I189" s="523"/>
      <c r="J189" s="521"/>
      <c r="K189" s="522"/>
      <c r="M189" s="301" t="str">
        <f>N189&amp;AS[[#This Row],[Insurer Code]]&amp;"; "&amp;O189&amp;AS[[#This Row],[Reporting Year]]&amp;"; "&amp;P189&amp;AS[[#This Row],[Insurance Category Code]]&amp;"; "&amp;Q189&amp;AS[[#This Row],[Large Provider Entity Code]]&amp;"; "&amp;R189&amp;AS[[#This Row],[Age Band Code]]&amp;"; "&amp;S189&amp;AS[[#This Row],[Sex Code]]</f>
        <v xml:space="preserve">Insurer Code ; Reporting Year ; Insurance Category Code ; Large Provider Entity Code ; Age Band Code ; Sex Code </v>
      </c>
      <c r="N189" s="297" t="s">
        <v>197</v>
      </c>
      <c r="O189" s="297" t="s">
        <v>198</v>
      </c>
      <c r="P189" s="297" t="s">
        <v>199</v>
      </c>
      <c r="Q189" s="297" t="s">
        <v>200</v>
      </c>
      <c r="R189" s="297" t="s">
        <v>213</v>
      </c>
      <c r="S189" s="297" t="s">
        <v>214</v>
      </c>
    </row>
    <row r="190" spans="1:19" x14ac:dyDescent="0.4">
      <c r="A190" s="291"/>
      <c r="B190" s="292"/>
      <c r="C190" s="312"/>
      <c r="D190" s="292"/>
      <c r="E190" s="489"/>
      <c r="F190" s="489"/>
      <c r="G190" s="490"/>
      <c r="H190" s="520"/>
      <c r="I190" s="523"/>
      <c r="J190" s="521"/>
      <c r="K190" s="522"/>
      <c r="M190" s="301" t="str">
        <f>N190&amp;AS[[#This Row],[Insurer Code]]&amp;"; "&amp;O190&amp;AS[[#This Row],[Reporting Year]]&amp;"; "&amp;P190&amp;AS[[#This Row],[Insurance Category Code]]&amp;"; "&amp;Q190&amp;AS[[#This Row],[Large Provider Entity Code]]&amp;"; "&amp;R190&amp;AS[[#This Row],[Age Band Code]]&amp;"; "&amp;S190&amp;AS[[#This Row],[Sex Code]]</f>
        <v xml:space="preserve">Insurer Code ; Reporting Year ; Insurance Category Code ; Large Provider Entity Code ; Age Band Code ; Sex Code </v>
      </c>
      <c r="N190" s="297" t="s">
        <v>197</v>
      </c>
      <c r="O190" s="297" t="s">
        <v>198</v>
      </c>
      <c r="P190" s="297" t="s">
        <v>199</v>
      </c>
      <c r="Q190" s="297" t="s">
        <v>200</v>
      </c>
      <c r="R190" s="297" t="s">
        <v>213</v>
      </c>
      <c r="S190" s="297" t="s">
        <v>214</v>
      </c>
    </row>
    <row r="191" spans="1:19" x14ac:dyDescent="0.4">
      <c r="A191" s="291"/>
      <c r="B191" s="292"/>
      <c r="C191" s="312"/>
      <c r="D191" s="292"/>
      <c r="E191" s="489"/>
      <c r="F191" s="489"/>
      <c r="G191" s="490"/>
      <c r="H191" s="520"/>
      <c r="I191" s="523"/>
      <c r="J191" s="521"/>
      <c r="K191" s="522"/>
      <c r="M191" s="301" t="str">
        <f>N191&amp;AS[[#This Row],[Insurer Code]]&amp;"; "&amp;O191&amp;AS[[#This Row],[Reporting Year]]&amp;"; "&amp;P191&amp;AS[[#This Row],[Insurance Category Code]]&amp;"; "&amp;Q191&amp;AS[[#This Row],[Large Provider Entity Code]]&amp;"; "&amp;R191&amp;AS[[#This Row],[Age Band Code]]&amp;"; "&amp;S191&amp;AS[[#This Row],[Sex Code]]</f>
        <v xml:space="preserve">Insurer Code ; Reporting Year ; Insurance Category Code ; Large Provider Entity Code ; Age Band Code ; Sex Code </v>
      </c>
      <c r="N191" s="297" t="s">
        <v>197</v>
      </c>
      <c r="O191" s="297" t="s">
        <v>198</v>
      </c>
      <c r="P191" s="297" t="s">
        <v>199</v>
      </c>
      <c r="Q191" s="297" t="s">
        <v>200</v>
      </c>
      <c r="R191" s="297" t="s">
        <v>213</v>
      </c>
      <c r="S191" s="297" t="s">
        <v>214</v>
      </c>
    </row>
    <row r="192" spans="1:19" x14ac:dyDescent="0.4">
      <c r="A192" s="291"/>
      <c r="B192" s="292"/>
      <c r="C192" s="312"/>
      <c r="D192" s="292"/>
      <c r="E192" s="489"/>
      <c r="F192" s="489"/>
      <c r="G192" s="490"/>
      <c r="H192" s="520"/>
      <c r="I192" s="523"/>
      <c r="J192" s="521"/>
      <c r="K192" s="522"/>
      <c r="M192" s="301" t="str">
        <f>N192&amp;AS[[#This Row],[Insurer Code]]&amp;"; "&amp;O192&amp;AS[[#This Row],[Reporting Year]]&amp;"; "&amp;P192&amp;AS[[#This Row],[Insurance Category Code]]&amp;"; "&amp;Q192&amp;AS[[#This Row],[Large Provider Entity Code]]&amp;"; "&amp;R192&amp;AS[[#This Row],[Age Band Code]]&amp;"; "&amp;S192&amp;AS[[#This Row],[Sex Code]]</f>
        <v xml:space="preserve">Insurer Code ; Reporting Year ; Insurance Category Code ; Large Provider Entity Code ; Age Band Code ; Sex Code </v>
      </c>
      <c r="N192" s="297" t="s">
        <v>197</v>
      </c>
      <c r="O192" s="297" t="s">
        <v>198</v>
      </c>
      <c r="P192" s="297" t="s">
        <v>199</v>
      </c>
      <c r="Q192" s="297" t="s">
        <v>200</v>
      </c>
      <c r="R192" s="297" t="s">
        <v>213</v>
      </c>
      <c r="S192" s="297" t="s">
        <v>214</v>
      </c>
    </row>
    <row r="193" spans="1:19" x14ac:dyDescent="0.4">
      <c r="A193" s="291"/>
      <c r="B193" s="292"/>
      <c r="C193" s="312"/>
      <c r="D193" s="292"/>
      <c r="E193" s="489"/>
      <c r="F193" s="489"/>
      <c r="G193" s="490"/>
      <c r="H193" s="520"/>
      <c r="I193" s="523"/>
      <c r="J193" s="521"/>
      <c r="K193" s="522"/>
      <c r="M193" s="301" t="str">
        <f>N193&amp;AS[[#This Row],[Insurer Code]]&amp;"; "&amp;O193&amp;AS[[#This Row],[Reporting Year]]&amp;"; "&amp;P193&amp;AS[[#This Row],[Insurance Category Code]]&amp;"; "&amp;Q193&amp;AS[[#This Row],[Large Provider Entity Code]]&amp;"; "&amp;R193&amp;AS[[#This Row],[Age Band Code]]&amp;"; "&amp;S193&amp;AS[[#This Row],[Sex Code]]</f>
        <v xml:space="preserve">Insurer Code ; Reporting Year ; Insurance Category Code ; Large Provider Entity Code ; Age Band Code ; Sex Code </v>
      </c>
      <c r="N193" s="297" t="s">
        <v>197</v>
      </c>
      <c r="O193" s="297" t="s">
        <v>198</v>
      </c>
      <c r="P193" s="297" t="s">
        <v>199</v>
      </c>
      <c r="Q193" s="297" t="s">
        <v>200</v>
      </c>
      <c r="R193" s="297" t="s">
        <v>213</v>
      </c>
      <c r="S193" s="297" t="s">
        <v>214</v>
      </c>
    </row>
    <row r="194" spans="1:19" x14ac:dyDescent="0.4">
      <c r="A194" s="291"/>
      <c r="B194" s="292"/>
      <c r="C194" s="312"/>
      <c r="D194" s="292"/>
      <c r="E194" s="489"/>
      <c r="F194" s="489"/>
      <c r="G194" s="490"/>
      <c r="H194" s="520"/>
      <c r="I194" s="523"/>
      <c r="J194" s="521"/>
      <c r="K194" s="522"/>
      <c r="M194" s="301" t="str">
        <f>N194&amp;AS[[#This Row],[Insurer Code]]&amp;"; "&amp;O194&amp;AS[[#This Row],[Reporting Year]]&amp;"; "&amp;P194&amp;AS[[#This Row],[Insurance Category Code]]&amp;"; "&amp;Q194&amp;AS[[#This Row],[Large Provider Entity Code]]&amp;"; "&amp;R194&amp;AS[[#This Row],[Age Band Code]]&amp;"; "&amp;S194&amp;AS[[#This Row],[Sex Code]]</f>
        <v xml:space="preserve">Insurer Code ; Reporting Year ; Insurance Category Code ; Large Provider Entity Code ; Age Band Code ; Sex Code </v>
      </c>
      <c r="N194" s="297" t="s">
        <v>197</v>
      </c>
      <c r="O194" s="297" t="s">
        <v>198</v>
      </c>
      <c r="P194" s="297" t="s">
        <v>199</v>
      </c>
      <c r="Q194" s="297" t="s">
        <v>200</v>
      </c>
      <c r="R194" s="297" t="s">
        <v>213</v>
      </c>
      <c r="S194" s="297" t="s">
        <v>214</v>
      </c>
    </row>
    <row r="195" spans="1:19" x14ac:dyDescent="0.4">
      <c r="A195" s="291"/>
      <c r="B195" s="292"/>
      <c r="C195" s="312"/>
      <c r="D195" s="292"/>
      <c r="E195" s="489"/>
      <c r="F195" s="489"/>
      <c r="G195" s="490"/>
      <c r="H195" s="520"/>
      <c r="I195" s="523"/>
      <c r="J195" s="521"/>
      <c r="K195" s="522"/>
      <c r="M195" s="301" t="str">
        <f>N195&amp;AS[[#This Row],[Insurer Code]]&amp;"; "&amp;O195&amp;AS[[#This Row],[Reporting Year]]&amp;"; "&amp;P195&amp;AS[[#This Row],[Insurance Category Code]]&amp;"; "&amp;Q195&amp;AS[[#This Row],[Large Provider Entity Code]]&amp;"; "&amp;R195&amp;AS[[#This Row],[Age Band Code]]&amp;"; "&amp;S195&amp;AS[[#This Row],[Sex Code]]</f>
        <v xml:space="preserve">Insurer Code ; Reporting Year ; Insurance Category Code ; Large Provider Entity Code ; Age Band Code ; Sex Code </v>
      </c>
      <c r="N195" s="297" t="s">
        <v>197</v>
      </c>
      <c r="O195" s="297" t="s">
        <v>198</v>
      </c>
      <c r="P195" s="297" t="s">
        <v>199</v>
      </c>
      <c r="Q195" s="297" t="s">
        <v>200</v>
      </c>
      <c r="R195" s="297" t="s">
        <v>213</v>
      </c>
      <c r="S195" s="297" t="s">
        <v>214</v>
      </c>
    </row>
    <row r="196" spans="1:19" x14ac:dyDescent="0.4">
      <c r="A196" s="291"/>
      <c r="B196" s="292"/>
      <c r="C196" s="312"/>
      <c r="D196" s="292"/>
      <c r="E196" s="489"/>
      <c r="F196" s="489"/>
      <c r="G196" s="490"/>
      <c r="H196" s="520"/>
      <c r="I196" s="523"/>
      <c r="J196" s="521"/>
      <c r="K196" s="522"/>
      <c r="M196" s="301" t="str">
        <f>N196&amp;AS[[#This Row],[Insurer Code]]&amp;"; "&amp;O196&amp;AS[[#This Row],[Reporting Year]]&amp;"; "&amp;P196&amp;AS[[#This Row],[Insurance Category Code]]&amp;"; "&amp;Q196&amp;AS[[#This Row],[Large Provider Entity Code]]&amp;"; "&amp;R196&amp;AS[[#This Row],[Age Band Code]]&amp;"; "&amp;S196&amp;AS[[#This Row],[Sex Code]]</f>
        <v xml:space="preserve">Insurer Code ; Reporting Year ; Insurance Category Code ; Large Provider Entity Code ; Age Band Code ; Sex Code </v>
      </c>
      <c r="N196" s="297" t="s">
        <v>197</v>
      </c>
      <c r="O196" s="297" t="s">
        <v>198</v>
      </c>
      <c r="P196" s="297" t="s">
        <v>199</v>
      </c>
      <c r="Q196" s="297" t="s">
        <v>200</v>
      </c>
      <c r="R196" s="297" t="s">
        <v>213</v>
      </c>
      <c r="S196" s="297" t="s">
        <v>214</v>
      </c>
    </row>
    <row r="197" spans="1:19" x14ac:dyDescent="0.4">
      <c r="A197" s="291"/>
      <c r="B197" s="292"/>
      <c r="C197" s="312"/>
      <c r="D197" s="292"/>
      <c r="E197" s="489"/>
      <c r="F197" s="489"/>
      <c r="G197" s="490"/>
      <c r="H197" s="520"/>
      <c r="I197" s="523"/>
      <c r="J197" s="521"/>
      <c r="K197" s="522"/>
      <c r="M197" s="301" t="str">
        <f>N197&amp;AS[[#This Row],[Insurer Code]]&amp;"; "&amp;O197&amp;AS[[#This Row],[Reporting Year]]&amp;"; "&amp;P197&amp;AS[[#This Row],[Insurance Category Code]]&amp;"; "&amp;Q197&amp;AS[[#This Row],[Large Provider Entity Code]]&amp;"; "&amp;R197&amp;AS[[#This Row],[Age Band Code]]&amp;"; "&amp;S197&amp;AS[[#This Row],[Sex Code]]</f>
        <v xml:space="preserve">Insurer Code ; Reporting Year ; Insurance Category Code ; Large Provider Entity Code ; Age Band Code ; Sex Code </v>
      </c>
      <c r="N197" s="297" t="s">
        <v>197</v>
      </c>
      <c r="O197" s="297" t="s">
        <v>198</v>
      </c>
      <c r="P197" s="297" t="s">
        <v>199</v>
      </c>
      <c r="Q197" s="297" t="s">
        <v>200</v>
      </c>
      <c r="R197" s="297" t="s">
        <v>213</v>
      </c>
      <c r="S197" s="297" t="s">
        <v>214</v>
      </c>
    </row>
    <row r="198" spans="1:19" x14ac:dyDescent="0.4">
      <c r="A198" s="291"/>
      <c r="B198" s="292"/>
      <c r="C198" s="312"/>
      <c r="D198" s="292"/>
      <c r="E198" s="489"/>
      <c r="F198" s="489"/>
      <c r="G198" s="490"/>
      <c r="H198" s="520"/>
      <c r="I198" s="523"/>
      <c r="J198" s="521"/>
      <c r="K198" s="522"/>
      <c r="M198" s="301" t="str">
        <f>N198&amp;AS[[#This Row],[Insurer Code]]&amp;"; "&amp;O198&amp;AS[[#This Row],[Reporting Year]]&amp;"; "&amp;P198&amp;AS[[#This Row],[Insurance Category Code]]&amp;"; "&amp;Q198&amp;AS[[#This Row],[Large Provider Entity Code]]&amp;"; "&amp;R198&amp;AS[[#This Row],[Age Band Code]]&amp;"; "&amp;S198&amp;AS[[#This Row],[Sex Code]]</f>
        <v xml:space="preserve">Insurer Code ; Reporting Year ; Insurance Category Code ; Large Provider Entity Code ; Age Band Code ; Sex Code </v>
      </c>
      <c r="N198" s="297" t="s">
        <v>197</v>
      </c>
      <c r="O198" s="297" t="s">
        <v>198</v>
      </c>
      <c r="P198" s="297" t="s">
        <v>199</v>
      </c>
      <c r="Q198" s="297" t="s">
        <v>200</v>
      </c>
      <c r="R198" s="297" t="s">
        <v>213</v>
      </c>
      <c r="S198" s="297" t="s">
        <v>214</v>
      </c>
    </row>
    <row r="199" spans="1:19" x14ac:dyDescent="0.4">
      <c r="A199" s="291"/>
      <c r="B199" s="292"/>
      <c r="C199" s="312"/>
      <c r="D199" s="292"/>
      <c r="E199" s="489"/>
      <c r="F199" s="489"/>
      <c r="G199" s="490"/>
      <c r="H199" s="520"/>
      <c r="I199" s="523"/>
      <c r="J199" s="521"/>
      <c r="K199" s="522"/>
      <c r="M199" s="301" t="str">
        <f>N199&amp;AS[[#This Row],[Insurer Code]]&amp;"; "&amp;O199&amp;AS[[#This Row],[Reporting Year]]&amp;"; "&amp;P199&amp;AS[[#This Row],[Insurance Category Code]]&amp;"; "&amp;Q199&amp;AS[[#This Row],[Large Provider Entity Code]]&amp;"; "&amp;R199&amp;AS[[#This Row],[Age Band Code]]&amp;"; "&amp;S199&amp;AS[[#This Row],[Sex Code]]</f>
        <v xml:space="preserve">Insurer Code ; Reporting Year ; Insurance Category Code ; Large Provider Entity Code ; Age Band Code ; Sex Code </v>
      </c>
      <c r="N199" s="297" t="s">
        <v>197</v>
      </c>
      <c r="O199" s="297" t="s">
        <v>198</v>
      </c>
      <c r="P199" s="297" t="s">
        <v>199</v>
      </c>
      <c r="Q199" s="297" t="s">
        <v>200</v>
      </c>
      <c r="R199" s="297" t="s">
        <v>213</v>
      </c>
      <c r="S199" s="297" t="s">
        <v>214</v>
      </c>
    </row>
    <row r="200" spans="1:19" x14ac:dyDescent="0.4">
      <c r="A200" s="291"/>
      <c r="B200" s="292"/>
      <c r="C200" s="312"/>
      <c r="D200" s="292"/>
      <c r="E200" s="489"/>
      <c r="F200" s="489"/>
      <c r="G200" s="490"/>
      <c r="H200" s="520"/>
      <c r="I200" s="523"/>
      <c r="J200" s="521"/>
      <c r="K200" s="522"/>
      <c r="M200" s="301" t="str">
        <f>N200&amp;AS[[#This Row],[Insurer Code]]&amp;"; "&amp;O200&amp;AS[[#This Row],[Reporting Year]]&amp;"; "&amp;P200&amp;AS[[#This Row],[Insurance Category Code]]&amp;"; "&amp;Q200&amp;AS[[#This Row],[Large Provider Entity Code]]&amp;"; "&amp;R200&amp;AS[[#This Row],[Age Band Code]]&amp;"; "&amp;S200&amp;AS[[#This Row],[Sex Code]]</f>
        <v xml:space="preserve">Insurer Code ; Reporting Year ; Insurance Category Code ; Large Provider Entity Code ; Age Band Code ; Sex Code </v>
      </c>
      <c r="N200" s="297" t="s">
        <v>197</v>
      </c>
      <c r="O200" s="297" t="s">
        <v>198</v>
      </c>
      <c r="P200" s="297" t="s">
        <v>199</v>
      </c>
      <c r="Q200" s="297" t="s">
        <v>200</v>
      </c>
      <c r="R200" s="297" t="s">
        <v>213</v>
      </c>
      <c r="S200" s="297" t="s">
        <v>214</v>
      </c>
    </row>
    <row r="201" spans="1:19" x14ac:dyDescent="0.4">
      <c r="A201" s="291"/>
      <c r="B201" s="292"/>
      <c r="C201" s="312"/>
      <c r="D201" s="292"/>
      <c r="E201" s="489"/>
      <c r="F201" s="489"/>
      <c r="G201" s="490"/>
      <c r="H201" s="520"/>
      <c r="I201" s="523"/>
      <c r="J201" s="521"/>
      <c r="K201" s="522"/>
      <c r="M201" s="301" t="str">
        <f>N201&amp;AS[[#This Row],[Insurer Code]]&amp;"; "&amp;O201&amp;AS[[#This Row],[Reporting Year]]&amp;"; "&amp;P201&amp;AS[[#This Row],[Insurance Category Code]]&amp;"; "&amp;Q201&amp;AS[[#This Row],[Large Provider Entity Code]]&amp;"; "&amp;R201&amp;AS[[#This Row],[Age Band Code]]&amp;"; "&amp;S201&amp;AS[[#This Row],[Sex Code]]</f>
        <v xml:space="preserve">Insurer Code ; Reporting Year ; Insurance Category Code ; Large Provider Entity Code ; Age Band Code ; Sex Code </v>
      </c>
      <c r="N201" s="297" t="s">
        <v>197</v>
      </c>
      <c r="O201" s="297" t="s">
        <v>198</v>
      </c>
      <c r="P201" s="297" t="s">
        <v>199</v>
      </c>
      <c r="Q201" s="297" t="s">
        <v>200</v>
      </c>
      <c r="R201" s="297" t="s">
        <v>213</v>
      </c>
      <c r="S201" s="297" t="s">
        <v>214</v>
      </c>
    </row>
    <row r="202" spans="1:19" x14ac:dyDescent="0.4">
      <c r="A202" s="291"/>
      <c r="B202" s="292"/>
      <c r="C202" s="312"/>
      <c r="D202" s="292"/>
      <c r="E202" s="489"/>
      <c r="F202" s="489"/>
      <c r="G202" s="490"/>
      <c r="H202" s="520"/>
      <c r="I202" s="523"/>
      <c r="J202" s="521"/>
      <c r="K202" s="522"/>
      <c r="M202" s="301" t="str">
        <f>N202&amp;AS[[#This Row],[Insurer Code]]&amp;"; "&amp;O202&amp;AS[[#This Row],[Reporting Year]]&amp;"; "&amp;P202&amp;AS[[#This Row],[Insurance Category Code]]&amp;"; "&amp;Q202&amp;AS[[#This Row],[Large Provider Entity Code]]&amp;"; "&amp;R202&amp;AS[[#This Row],[Age Band Code]]&amp;"; "&amp;S202&amp;AS[[#This Row],[Sex Code]]</f>
        <v xml:space="preserve">Insurer Code ; Reporting Year ; Insurance Category Code ; Large Provider Entity Code ; Age Band Code ; Sex Code </v>
      </c>
      <c r="N202" s="297" t="s">
        <v>197</v>
      </c>
      <c r="O202" s="297" t="s">
        <v>198</v>
      </c>
      <c r="P202" s="297" t="s">
        <v>199</v>
      </c>
      <c r="Q202" s="297" t="s">
        <v>200</v>
      </c>
      <c r="R202" s="297" t="s">
        <v>213</v>
      </c>
      <c r="S202" s="297" t="s">
        <v>214</v>
      </c>
    </row>
    <row r="203" spans="1:19" x14ac:dyDescent="0.4">
      <c r="A203" s="291"/>
      <c r="B203" s="292"/>
      <c r="C203" s="312"/>
      <c r="D203" s="292"/>
      <c r="E203" s="489"/>
      <c r="F203" s="489"/>
      <c r="G203" s="490"/>
      <c r="H203" s="520"/>
      <c r="I203" s="523"/>
      <c r="J203" s="521"/>
      <c r="K203" s="522"/>
      <c r="M203" s="301" t="str">
        <f>N203&amp;AS[[#This Row],[Insurer Code]]&amp;"; "&amp;O203&amp;AS[[#This Row],[Reporting Year]]&amp;"; "&amp;P203&amp;AS[[#This Row],[Insurance Category Code]]&amp;"; "&amp;Q203&amp;AS[[#This Row],[Large Provider Entity Code]]&amp;"; "&amp;R203&amp;AS[[#This Row],[Age Band Code]]&amp;"; "&amp;S203&amp;AS[[#This Row],[Sex Code]]</f>
        <v xml:space="preserve">Insurer Code ; Reporting Year ; Insurance Category Code ; Large Provider Entity Code ; Age Band Code ; Sex Code </v>
      </c>
      <c r="N203" s="297" t="s">
        <v>197</v>
      </c>
      <c r="O203" s="297" t="s">
        <v>198</v>
      </c>
      <c r="P203" s="297" t="s">
        <v>199</v>
      </c>
      <c r="Q203" s="297" t="s">
        <v>200</v>
      </c>
      <c r="R203" s="297" t="s">
        <v>213</v>
      </c>
      <c r="S203" s="297" t="s">
        <v>214</v>
      </c>
    </row>
    <row r="204" spans="1:19" x14ac:dyDescent="0.4">
      <c r="A204" s="291"/>
      <c r="B204" s="292"/>
      <c r="C204" s="312"/>
      <c r="D204" s="292"/>
      <c r="E204" s="489"/>
      <c r="F204" s="489"/>
      <c r="G204" s="490"/>
      <c r="H204" s="520"/>
      <c r="I204" s="523"/>
      <c r="J204" s="521"/>
      <c r="K204" s="522"/>
      <c r="M204" s="301" t="str">
        <f>N204&amp;AS[[#This Row],[Insurer Code]]&amp;"; "&amp;O204&amp;AS[[#This Row],[Reporting Year]]&amp;"; "&amp;P204&amp;AS[[#This Row],[Insurance Category Code]]&amp;"; "&amp;Q204&amp;AS[[#This Row],[Large Provider Entity Code]]&amp;"; "&amp;R204&amp;AS[[#This Row],[Age Band Code]]&amp;"; "&amp;S204&amp;AS[[#This Row],[Sex Code]]</f>
        <v xml:space="preserve">Insurer Code ; Reporting Year ; Insurance Category Code ; Large Provider Entity Code ; Age Band Code ; Sex Code </v>
      </c>
      <c r="N204" s="297" t="s">
        <v>197</v>
      </c>
      <c r="O204" s="297" t="s">
        <v>198</v>
      </c>
      <c r="P204" s="297" t="s">
        <v>199</v>
      </c>
      <c r="Q204" s="297" t="s">
        <v>200</v>
      </c>
      <c r="R204" s="297" t="s">
        <v>213</v>
      </c>
      <c r="S204" s="297" t="s">
        <v>214</v>
      </c>
    </row>
    <row r="205" spans="1:19" x14ac:dyDescent="0.4">
      <c r="A205" s="291"/>
      <c r="B205" s="292"/>
      <c r="C205" s="312"/>
      <c r="D205" s="292"/>
      <c r="E205" s="489"/>
      <c r="F205" s="489"/>
      <c r="G205" s="490"/>
      <c r="H205" s="520"/>
      <c r="I205" s="523"/>
      <c r="J205" s="521"/>
      <c r="K205" s="522"/>
      <c r="M205" s="301" t="str">
        <f>N205&amp;AS[[#This Row],[Insurer Code]]&amp;"; "&amp;O205&amp;AS[[#This Row],[Reporting Year]]&amp;"; "&amp;P205&amp;AS[[#This Row],[Insurance Category Code]]&amp;"; "&amp;Q205&amp;AS[[#This Row],[Large Provider Entity Code]]&amp;"; "&amp;R205&amp;AS[[#This Row],[Age Band Code]]&amp;"; "&amp;S205&amp;AS[[#This Row],[Sex Code]]</f>
        <v xml:space="preserve">Insurer Code ; Reporting Year ; Insurance Category Code ; Large Provider Entity Code ; Age Band Code ; Sex Code </v>
      </c>
      <c r="N205" s="297" t="s">
        <v>197</v>
      </c>
      <c r="O205" s="297" t="s">
        <v>198</v>
      </c>
      <c r="P205" s="297" t="s">
        <v>199</v>
      </c>
      <c r="Q205" s="297" t="s">
        <v>200</v>
      </c>
      <c r="R205" s="297" t="s">
        <v>213</v>
      </c>
      <c r="S205" s="297" t="s">
        <v>214</v>
      </c>
    </row>
    <row r="206" spans="1:19" x14ac:dyDescent="0.4">
      <c r="A206" s="291"/>
      <c r="B206" s="292"/>
      <c r="C206" s="312"/>
      <c r="D206" s="292"/>
      <c r="E206" s="489"/>
      <c r="F206" s="489"/>
      <c r="G206" s="490"/>
      <c r="H206" s="520"/>
      <c r="I206" s="523"/>
      <c r="J206" s="521"/>
      <c r="K206" s="522"/>
      <c r="M206" s="301" t="str">
        <f>N206&amp;AS[[#This Row],[Insurer Code]]&amp;"; "&amp;O206&amp;AS[[#This Row],[Reporting Year]]&amp;"; "&amp;P206&amp;AS[[#This Row],[Insurance Category Code]]&amp;"; "&amp;Q206&amp;AS[[#This Row],[Large Provider Entity Code]]&amp;"; "&amp;R206&amp;AS[[#This Row],[Age Band Code]]&amp;"; "&amp;S206&amp;AS[[#This Row],[Sex Code]]</f>
        <v xml:space="preserve">Insurer Code ; Reporting Year ; Insurance Category Code ; Large Provider Entity Code ; Age Band Code ; Sex Code </v>
      </c>
      <c r="N206" s="297" t="s">
        <v>197</v>
      </c>
      <c r="O206" s="297" t="s">
        <v>198</v>
      </c>
      <c r="P206" s="297" t="s">
        <v>199</v>
      </c>
      <c r="Q206" s="297" t="s">
        <v>200</v>
      </c>
      <c r="R206" s="297" t="s">
        <v>213</v>
      </c>
      <c r="S206" s="297" t="s">
        <v>214</v>
      </c>
    </row>
    <row r="207" spans="1:19" x14ac:dyDescent="0.4">
      <c r="A207" s="291"/>
      <c r="B207" s="292"/>
      <c r="C207" s="312"/>
      <c r="D207" s="292"/>
      <c r="E207" s="489"/>
      <c r="F207" s="489"/>
      <c r="G207" s="490"/>
      <c r="H207" s="520"/>
      <c r="I207" s="523"/>
      <c r="J207" s="521"/>
      <c r="K207" s="522"/>
      <c r="M207" s="301" t="str">
        <f>N207&amp;AS[[#This Row],[Insurer Code]]&amp;"; "&amp;O207&amp;AS[[#This Row],[Reporting Year]]&amp;"; "&amp;P207&amp;AS[[#This Row],[Insurance Category Code]]&amp;"; "&amp;Q207&amp;AS[[#This Row],[Large Provider Entity Code]]&amp;"; "&amp;R207&amp;AS[[#This Row],[Age Band Code]]&amp;"; "&amp;S207&amp;AS[[#This Row],[Sex Code]]</f>
        <v xml:space="preserve">Insurer Code ; Reporting Year ; Insurance Category Code ; Large Provider Entity Code ; Age Band Code ; Sex Code </v>
      </c>
      <c r="N207" s="297" t="s">
        <v>197</v>
      </c>
      <c r="O207" s="297" t="s">
        <v>198</v>
      </c>
      <c r="P207" s="297" t="s">
        <v>199</v>
      </c>
      <c r="Q207" s="297" t="s">
        <v>200</v>
      </c>
      <c r="R207" s="297" t="s">
        <v>213</v>
      </c>
      <c r="S207" s="297" t="s">
        <v>214</v>
      </c>
    </row>
    <row r="208" spans="1:19" x14ac:dyDescent="0.4">
      <c r="A208" s="291"/>
      <c r="B208" s="292"/>
      <c r="C208" s="312"/>
      <c r="D208" s="292"/>
      <c r="E208" s="489"/>
      <c r="F208" s="489"/>
      <c r="G208" s="490"/>
      <c r="H208" s="520"/>
      <c r="I208" s="523"/>
      <c r="J208" s="521"/>
      <c r="K208" s="522"/>
      <c r="M208" s="301" t="str">
        <f>N208&amp;AS[[#This Row],[Insurer Code]]&amp;"; "&amp;O208&amp;AS[[#This Row],[Reporting Year]]&amp;"; "&amp;P208&amp;AS[[#This Row],[Insurance Category Code]]&amp;"; "&amp;Q208&amp;AS[[#This Row],[Large Provider Entity Code]]&amp;"; "&amp;R208&amp;AS[[#This Row],[Age Band Code]]&amp;"; "&amp;S208&amp;AS[[#This Row],[Sex Code]]</f>
        <v xml:space="preserve">Insurer Code ; Reporting Year ; Insurance Category Code ; Large Provider Entity Code ; Age Band Code ; Sex Code </v>
      </c>
      <c r="N208" s="297" t="s">
        <v>197</v>
      </c>
      <c r="O208" s="297" t="s">
        <v>198</v>
      </c>
      <c r="P208" s="297" t="s">
        <v>199</v>
      </c>
      <c r="Q208" s="297" t="s">
        <v>200</v>
      </c>
      <c r="R208" s="297" t="s">
        <v>213</v>
      </c>
      <c r="S208" s="297" t="s">
        <v>214</v>
      </c>
    </row>
    <row r="209" spans="1:19" x14ac:dyDescent="0.4">
      <c r="A209" s="291"/>
      <c r="B209" s="292"/>
      <c r="C209" s="312"/>
      <c r="D209" s="292"/>
      <c r="E209" s="489"/>
      <c r="F209" s="489"/>
      <c r="G209" s="490"/>
      <c r="H209" s="520"/>
      <c r="I209" s="523"/>
      <c r="J209" s="521"/>
      <c r="K209" s="522"/>
      <c r="M209" s="301" t="str">
        <f>N209&amp;AS[[#This Row],[Insurer Code]]&amp;"; "&amp;O209&amp;AS[[#This Row],[Reporting Year]]&amp;"; "&amp;P209&amp;AS[[#This Row],[Insurance Category Code]]&amp;"; "&amp;Q209&amp;AS[[#This Row],[Large Provider Entity Code]]&amp;"; "&amp;R209&amp;AS[[#This Row],[Age Band Code]]&amp;"; "&amp;S209&amp;AS[[#This Row],[Sex Code]]</f>
        <v xml:space="preserve">Insurer Code ; Reporting Year ; Insurance Category Code ; Large Provider Entity Code ; Age Band Code ; Sex Code </v>
      </c>
      <c r="N209" s="297" t="s">
        <v>197</v>
      </c>
      <c r="O209" s="297" t="s">
        <v>198</v>
      </c>
      <c r="P209" s="297" t="s">
        <v>199</v>
      </c>
      <c r="Q209" s="297" t="s">
        <v>200</v>
      </c>
      <c r="R209" s="297" t="s">
        <v>213</v>
      </c>
      <c r="S209" s="297" t="s">
        <v>214</v>
      </c>
    </row>
    <row r="210" spans="1:19" x14ac:dyDescent="0.4">
      <c r="A210" s="291"/>
      <c r="B210" s="292"/>
      <c r="C210" s="312"/>
      <c r="D210" s="292"/>
      <c r="E210" s="489"/>
      <c r="F210" s="489"/>
      <c r="G210" s="490"/>
      <c r="H210" s="520"/>
      <c r="I210" s="523"/>
      <c r="J210" s="521"/>
      <c r="K210" s="522"/>
      <c r="M210" s="301" t="str">
        <f>N210&amp;AS[[#This Row],[Insurer Code]]&amp;"; "&amp;O210&amp;AS[[#This Row],[Reporting Year]]&amp;"; "&amp;P210&amp;AS[[#This Row],[Insurance Category Code]]&amp;"; "&amp;Q210&amp;AS[[#This Row],[Large Provider Entity Code]]&amp;"; "&amp;R210&amp;AS[[#This Row],[Age Band Code]]&amp;"; "&amp;S210&amp;AS[[#This Row],[Sex Code]]</f>
        <v xml:space="preserve">Insurer Code ; Reporting Year ; Insurance Category Code ; Large Provider Entity Code ; Age Band Code ; Sex Code </v>
      </c>
      <c r="N210" s="297" t="s">
        <v>197</v>
      </c>
      <c r="O210" s="297" t="s">
        <v>198</v>
      </c>
      <c r="P210" s="297" t="s">
        <v>199</v>
      </c>
      <c r="Q210" s="297" t="s">
        <v>200</v>
      </c>
      <c r="R210" s="297" t="s">
        <v>213</v>
      </c>
      <c r="S210" s="297" t="s">
        <v>214</v>
      </c>
    </row>
    <row r="211" spans="1:19" x14ac:dyDescent="0.4">
      <c r="A211" s="291"/>
      <c r="B211" s="292"/>
      <c r="C211" s="312"/>
      <c r="D211" s="292"/>
      <c r="E211" s="489"/>
      <c r="F211" s="489"/>
      <c r="G211" s="490"/>
      <c r="H211" s="520"/>
      <c r="I211" s="523"/>
      <c r="J211" s="521"/>
      <c r="K211" s="522"/>
      <c r="M211" s="301" t="str">
        <f>N211&amp;AS[[#This Row],[Insurer Code]]&amp;"; "&amp;O211&amp;AS[[#This Row],[Reporting Year]]&amp;"; "&amp;P211&amp;AS[[#This Row],[Insurance Category Code]]&amp;"; "&amp;Q211&amp;AS[[#This Row],[Large Provider Entity Code]]&amp;"; "&amp;R211&amp;AS[[#This Row],[Age Band Code]]&amp;"; "&amp;S211&amp;AS[[#This Row],[Sex Code]]</f>
        <v xml:space="preserve">Insurer Code ; Reporting Year ; Insurance Category Code ; Large Provider Entity Code ; Age Band Code ; Sex Code </v>
      </c>
      <c r="N211" s="297" t="s">
        <v>197</v>
      </c>
      <c r="O211" s="297" t="s">
        <v>198</v>
      </c>
      <c r="P211" s="297" t="s">
        <v>199</v>
      </c>
      <c r="Q211" s="297" t="s">
        <v>200</v>
      </c>
      <c r="R211" s="297" t="s">
        <v>213</v>
      </c>
      <c r="S211" s="297" t="s">
        <v>214</v>
      </c>
    </row>
    <row r="212" spans="1:19" x14ac:dyDescent="0.4">
      <c r="A212" s="291"/>
      <c r="B212" s="292"/>
      <c r="C212" s="312"/>
      <c r="D212" s="292"/>
      <c r="E212" s="489"/>
      <c r="F212" s="489"/>
      <c r="G212" s="490"/>
      <c r="H212" s="520"/>
      <c r="I212" s="523"/>
      <c r="J212" s="521"/>
      <c r="K212" s="522"/>
      <c r="M212" s="301" t="str">
        <f>N212&amp;AS[[#This Row],[Insurer Code]]&amp;"; "&amp;O212&amp;AS[[#This Row],[Reporting Year]]&amp;"; "&amp;P212&amp;AS[[#This Row],[Insurance Category Code]]&amp;"; "&amp;Q212&amp;AS[[#This Row],[Large Provider Entity Code]]&amp;"; "&amp;R212&amp;AS[[#This Row],[Age Band Code]]&amp;"; "&amp;S212&amp;AS[[#This Row],[Sex Code]]</f>
        <v xml:space="preserve">Insurer Code ; Reporting Year ; Insurance Category Code ; Large Provider Entity Code ; Age Band Code ; Sex Code </v>
      </c>
      <c r="N212" s="297" t="s">
        <v>197</v>
      </c>
      <c r="O212" s="297" t="s">
        <v>198</v>
      </c>
      <c r="P212" s="297" t="s">
        <v>199</v>
      </c>
      <c r="Q212" s="297" t="s">
        <v>200</v>
      </c>
      <c r="R212" s="297" t="s">
        <v>213</v>
      </c>
      <c r="S212" s="297" t="s">
        <v>214</v>
      </c>
    </row>
    <row r="213" spans="1:19" x14ac:dyDescent="0.4">
      <c r="A213" s="291"/>
      <c r="B213" s="292"/>
      <c r="C213" s="312"/>
      <c r="D213" s="292"/>
      <c r="E213" s="489"/>
      <c r="F213" s="489"/>
      <c r="G213" s="490"/>
      <c r="H213" s="520"/>
      <c r="I213" s="523"/>
      <c r="J213" s="521"/>
      <c r="K213" s="522"/>
      <c r="M213" s="301" t="str">
        <f>N213&amp;AS[[#This Row],[Insurer Code]]&amp;"; "&amp;O213&amp;AS[[#This Row],[Reporting Year]]&amp;"; "&amp;P213&amp;AS[[#This Row],[Insurance Category Code]]&amp;"; "&amp;Q213&amp;AS[[#This Row],[Large Provider Entity Code]]&amp;"; "&amp;R213&amp;AS[[#This Row],[Age Band Code]]&amp;"; "&amp;S213&amp;AS[[#This Row],[Sex Code]]</f>
        <v xml:space="preserve">Insurer Code ; Reporting Year ; Insurance Category Code ; Large Provider Entity Code ; Age Band Code ; Sex Code </v>
      </c>
      <c r="N213" s="297" t="s">
        <v>197</v>
      </c>
      <c r="O213" s="297" t="s">
        <v>198</v>
      </c>
      <c r="P213" s="297" t="s">
        <v>199</v>
      </c>
      <c r="Q213" s="297" t="s">
        <v>200</v>
      </c>
      <c r="R213" s="297" t="s">
        <v>213</v>
      </c>
      <c r="S213" s="297" t="s">
        <v>214</v>
      </c>
    </row>
    <row r="214" spans="1:19" x14ac:dyDescent="0.4">
      <c r="A214" s="291"/>
      <c r="B214" s="292"/>
      <c r="C214" s="312"/>
      <c r="D214" s="292"/>
      <c r="E214" s="489"/>
      <c r="F214" s="489"/>
      <c r="G214" s="490"/>
      <c r="H214" s="520"/>
      <c r="I214" s="523"/>
      <c r="J214" s="521"/>
      <c r="K214" s="522"/>
      <c r="M214" s="301" t="str">
        <f>N214&amp;AS[[#This Row],[Insurer Code]]&amp;"; "&amp;O214&amp;AS[[#This Row],[Reporting Year]]&amp;"; "&amp;P214&amp;AS[[#This Row],[Insurance Category Code]]&amp;"; "&amp;Q214&amp;AS[[#This Row],[Large Provider Entity Code]]&amp;"; "&amp;R214&amp;AS[[#This Row],[Age Band Code]]&amp;"; "&amp;S214&amp;AS[[#This Row],[Sex Code]]</f>
        <v xml:space="preserve">Insurer Code ; Reporting Year ; Insurance Category Code ; Large Provider Entity Code ; Age Band Code ; Sex Code </v>
      </c>
      <c r="N214" s="297" t="s">
        <v>197</v>
      </c>
      <c r="O214" s="297" t="s">
        <v>198</v>
      </c>
      <c r="P214" s="297" t="s">
        <v>199</v>
      </c>
      <c r="Q214" s="297" t="s">
        <v>200</v>
      </c>
      <c r="R214" s="297" t="s">
        <v>213</v>
      </c>
      <c r="S214" s="297" t="s">
        <v>214</v>
      </c>
    </row>
    <row r="215" spans="1:19" x14ac:dyDescent="0.4">
      <c r="A215" s="291"/>
      <c r="B215" s="292"/>
      <c r="C215" s="312"/>
      <c r="D215" s="292"/>
      <c r="E215" s="489"/>
      <c r="F215" s="489"/>
      <c r="G215" s="490"/>
      <c r="H215" s="520"/>
      <c r="I215" s="523"/>
      <c r="J215" s="521"/>
      <c r="K215" s="522"/>
      <c r="M215" s="301" t="str">
        <f>N215&amp;AS[[#This Row],[Insurer Code]]&amp;"; "&amp;O215&amp;AS[[#This Row],[Reporting Year]]&amp;"; "&amp;P215&amp;AS[[#This Row],[Insurance Category Code]]&amp;"; "&amp;Q215&amp;AS[[#This Row],[Large Provider Entity Code]]&amp;"; "&amp;R215&amp;AS[[#This Row],[Age Band Code]]&amp;"; "&amp;S215&amp;AS[[#This Row],[Sex Code]]</f>
        <v xml:space="preserve">Insurer Code ; Reporting Year ; Insurance Category Code ; Large Provider Entity Code ; Age Band Code ; Sex Code </v>
      </c>
      <c r="N215" s="297" t="s">
        <v>197</v>
      </c>
      <c r="O215" s="297" t="s">
        <v>198</v>
      </c>
      <c r="P215" s="297" t="s">
        <v>199</v>
      </c>
      <c r="Q215" s="297" t="s">
        <v>200</v>
      </c>
      <c r="R215" s="297" t="s">
        <v>213</v>
      </c>
      <c r="S215" s="297" t="s">
        <v>214</v>
      </c>
    </row>
    <row r="216" spans="1:19" x14ac:dyDescent="0.4">
      <c r="A216" s="291"/>
      <c r="B216" s="292"/>
      <c r="C216" s="312"/>
      <c r="D216" s="292"/>
      <c r="E216" s="489"/>
      <c r="F216" s="489"/>
      <c r="G216" s="490"/>
      <c r="H216" s="520"/>
      <c r="I216" s="523"/>
      <c r="J216" s="521"/>
      <c r="K216" s="522"/>
      <c r="M216" s="301" t="str">
        <f>N216&amp;AS[[#This Row],[Insurer Code]]&amp;"; "&amp;O216&amp;AS[[#This Row],[Reporting Year]]&amp;"; "&amp;P216&amp;AS[[#This Row],[Insurance Category Code]]&amp;"; "&amp;Q216&amp;AS[[#This Row],[Large Provider Entity Code]]&amp;"; "&amp;R216&amp;AS[[#This Row],[Age Band Code]]&amp;"; "&amp;S216&amp;AS[[#This Row],[Sex Code]]</f>
        <v xml:space="preserve">Insurer Code ; Reporting Year ; Insurance Category Code ; Large Provider Entity Code ; Age Band Code ; Sex Code </v>
      </c>
      <c r="N216" s="297" t="s">
        <v>197</v>
      </c>
      <c r="O216" s="297" t="s">
        <v>198</v>
      </c>
      <c r="P216" s="297" t="s">
        <v>199</v>
      </c>
      <c r="Q216" s="297" t="s">
        <v>200</v>
      </c>
      <c r="R216" s="297" t="s">
        <v>213</v>
      </c>
      <c r="S216" s="297" t="s">
        <v>214</v>
      </c>
    </row>
    <row r="217" spans="1:19" x14ac:dyDescent="0.4">
      <c r="A217" s="291"/>
      <c r="B217" s="292"/>
      <c r="C217" s="312"/>
      <c r="D217" s="292"/>
      <c r="E217" s="489"/>
      <c r="F217" s="489"/>
      <c r="G217" s="490"/>
      <c r="H217" s="520"/>
      <c r="I217" s="523"/>
      <c r="J217" s="521"/>
      <c r="K217" s="522"/>
      <c r="M217" s="301" t="str">
        <f>N217&amp;AS[[#This Row],[Insurer Code]]&amp;"; "&amp;O217&amp;AS[[#This Row],[Reporting Year]]&amp;"; "&amp;P217&amp;AS[[#This Row],[Insurance Category Code]]&amp;"; "&amp;Q217&amp;AS[[#This Row],[Large Provider Entity Code]]&amp;"; "&amp;R217&amp;AS[[#This Row],[Age Band Code]]&amp;"; "&amp;S217&amp;AS[[#This Row],[Sex Code]]</f>
        <v xml:space="preserve">Insurer Code ; Reporting Year ; Insurance Category Code ; Large Provider Entity Code ; Age Band Code ; Sex Code </v>
      </c>
      <c r="N217" s="297" t="s">
        <v>197</v>
      </c>
      <c r="O217" s="297" t="s">
        <v>198</v>
      </c>
      <c r="P217" s="297" t="s">
        <v>199</v>
      </c>
      <c r="Q217" s="297" t="s">
        <v>200</v>
      </c>
      <c r="R217" s="297" t="s">
        <v>213</v>
      </c>
      <c r="S217" s="297" t="s">
        <v>214</v>
      </c>
    </row>
    <row r="218" spans="1:19" x14ac:dyDescent="0.4">
      <c r="A218" s="291"/>
      <c r="B218" s="292"/>
      <c r="C218" s="312"/>
      <c r="D218" s="292"/>
      <c r="E218" s="489"/>
      <c r="F218" s="489"/>
      <c r="G218" s="490"/>
      <c r="H218" s="520"/>
      <c r="I218" s="523"/>
      <c r="J218" s="521"/>
      <c r="K218" s="522"/>
      <c r="M218" s="301" t="str">
        <f>N218&amp;AS[[#This Row],[Insurer Code]]&amp;"; "&amp;O218&amp;AS[[#This Row],[Reporting Year]]&amp;"; "&amp;P218&amp;AS[[#This Row],[Insurance Category Code]]&amp;"; "&amp;Q218&amp;AS[[#This Row],[Large Provider Entity Code]]&amp;"; "&amp;R218&amp;AS[[#This Row],[Age Band Code]]&amp;"; "&amp;S218&amp;AS[[#This Row],[Sex Code]]</f>
        <v xml:space="preserve">Insurer Code ; Reporting Year ; Insurance Category Code ; Large Provider Entity Code ; Age Band Code ; Sex Code </v>
      </c>
      <c r="N218" s="297" t="s">
        <v>197</v>
      </c>
      <c r="O218" s="297" t="s">
        <v>198</v>
      </c>
      <c r="P218" s="297" t="s">
        <v>199</v>
      </c>
      <c r="Q218" s="297" t="s">
        <v>200</v>
      </c>
      <c r="R218" s="297" t="s">
        <v>213</v>
      </c>
      <c r="S218" s="297" t="s">
        <v>214</v>
      </c>
    </row>
    <row r="219" spans="1:19" x14ac:dyDescent="0.4">
      <c r="A219" s="291"/>
      <c r="B219" s="292"/>
      <c r="C219" s="312"/>
      <c r="D219" s="292"/>
      <c r="E219" s="489"/>
      <c r="F219" s="489"/>
      <c r="G219" s="490"/>
      <c r="H219" s="520"/>
      <c r="I219" s="523"/>
      <c r="J219" s="521"/>
      <c r="K219" s="522"/>
      <c r="M219" s="301" t="str">
        <f>N219&amp;AS[[#This Row],[Insurer Code]]&amp;"; "&amp;O219&amp;AS[[#This Row],[Reporting Year]]&amp;"; "&amp;P219&amp;AS[[#This Row],[Insurance Category Code]]&amp;"; "&amp;Q219&amp;AS[[#This Row],[Large Provider Entity Code]]&amp;"; "&amp;R219&amp;AS[[#This Row],[Age Band Code]]&amp;"; "&amp;S219&amp;AS[[#This Row],[Sex Code]]</f>
        <v xml:space="preserve">Insurer Code ; Reporting Year ; Insurance Category Code ; Large Provider Entity Code ; Age Band Code ; Sex Code </v>
      </c>
      <c r="N219" s="297" t="s">
        <v>197</v>
      </c>
      <c r="O219" s="297" t="s">
        <v>198</v>
      </c>
      <c r="P219" s="297" t="s">
        <v>199</v>
      </c>
      <c r="Q219" s="297" t="s">
        <v>200</v>
      </c>
      <c r="R219" s="297" t="s">
        <v>213</v>
      </c>
      <c r="S219" s="297" t="s">
        <v>214</v>
      </c>
    </row>
    <row r="220" spans="1:19" x14ac:dyDescent="0.4">
      <c r="A220" s="291"/>
      <c r="B220" s="292"/>
      <c r="C220" s="312"/>
      <c r="D220" s="292"/>
      <c r="E220" s="489"/>
      <c r="F220" s="489"/>
      <c r="G220" s="490"/>
      <c r="H220" s="520"/>
      <c r="I220" s="523"/>
      <c r="J220" s="521"/>
      <c r="K220" s="522"/>
      <c r="M220" s="301" t="str">
        <f>N220&amp;AS[[#This Row],[Insurer Code]]&amp;"; "&amp;O220&amp;AS[[#This Row],[Reporting Year]]&amp;"; "&amp;P220&amp;AS[[#This Row],[Insurance Category Code]]&amp;"; "&amp;Q220&amp;AS[[#This Row],[Large Provider Entity Code]]&amp;"; "&amp;R220&amp;AS[[#This Row],[Age Band Code]]&amp;"; "&amp;S220&amp;AS[[#This Row],[Sex Code]]</f>
        <v xml:space="preserve">Insurer Code ; Reporting Year ; Insurance Category Code ; Large Provider Entity Code ; Age Band Code ; Sex Code </v>
      </c>
      <c r="N220" s="297" t="s">
        <v>197</v>
      </c>
      <c r="O220" s="297" t="s">
        <v>198</v>
      </c>
      <c r="P220" s="297" t="s">
        <v>199</v>
      </c>
      <c r="Q220" s="297" t="s">
        <v>200</v>
      </c>
      <c r="R220" s="297" t="s">
        <v>213</v>
      </c>
      <c r="S220" s="297" t="s">
        <v>214</v>
      </c>
    </row>
    <row r="221" spans="1:19" x14ac:dyDescent="0.4">
      <c r="A221" s="291"/>
      <c r="B221" s="292"/>
      <c r="C221" s="312"/>
      <c r="D221" s="292"/>
      <c r="E221" s="489"/>
      <c r="F221" s="489"/>
      <c r="G221" s="490"/>
      <c r="H221" s="520"/>
      <c r="I221" s="523"/>
      <c r="J221" s="521"/>
      <c r="K221" s="522"/>
      <c r="M221" s="301" t="str">
        <f>N221&amp;AS[[#This Row],[Insurer Code]]&amp;"; "&amp;O221&amp;AS[[#This Row],[Reporting Year]]&amp;"; "&amp;P221&amp;AS[[#This Row],[Insurance Category Code]]&amp;"; "&amp;Q221&amp;AS[[#This Row],[Large Provider Entity Code]]&amp;"; "&amp;R221&amp;AS[[#This Row],[Age Band Code]]&amp;"; "&amp;S221&amp;AS[[#This Row],[Sex Code]]</f>
        <v xml:space="preserve">Insurer Code ; Reporting Year ; Insurance Category Code ; Large Provider Entity Code ; Age Band Code ; Sex Code </v>
      </c>
      <c r="N221" s="297" t="s">
        <v>197</v>
      </c>
      <c r="O221" s="297" t="s">
        <v>198</v>
      </c>
      <c r="P221" s="297" t="s">
        <v>199</v>
      </c>
      <c r="Q221" s="297" t="s">
        <v>200</v>
      </c>
      <c r="R221" s="297" t="s">
        <v>213</v>
      </c>
      <c r="S221" s="297" t="s">
        <v>214</v>
      </c>
    </row>
    <row r="222" spans="1:19" x14ac:dyDescent="0.4">
      <c r="A222" s="291"/>
      <c r="B222" s="292"/>
      <c r="C222" s="312"/>
      <c r="D222" s="292"/>
      <c r="E222" s="489"/>
      <c r="F222" s="489"/>
      <c r="G222" s="490"/>
      <c r="H222" s="520"/>
      <c r="I222" s="523"/>
      <c r="J222" s="521"/>
      <c r="K222" s="522"/>
      <c r="M222" s="301" t="str">
        <f>N222&amp;AS[[#This Row],[Insurer Code]]&amp;"; "&amp;O222&amp;AS[[#This Row],[Reporting Year]]&amp;"; "&amp;P222&amp;AS[[#This Row],[Insurance Category Code]]&amp;"; "&amp;Q222&amp;AS[[#This Row],[Large Provider Entity Code]]&amp;"; "&amp;R222&amp;AS[[#This Row],[Age Band Code]]&amp;"; "&amp;S222&amp;AS[[#This Row],[Sex Code]]</f>
        <v xml:space="preserve">Insurer Code ; Reporting Year ; Insurance Category Code ; Large Provider Entity Code ; Age Band Code ; Sex Code </v>
      </c>
      <c r="N222" s="297" t="s">
        <v>197</v>
      </c>
      <c r="O222" s="297" t="s">
        <v>198</v>
      </c>
      <c r="P222" s="297" t="s">
        <v>199</v>
      </c>
      <c r="Q222" s="297" t="s">
        <v>200</v>
      </c>
      <c r="R222" s="297" t="s">
        <v>213</v>
      </c>
      <c r="S222" s="297" t="s">
        <v>214</v>
      </c>
    </row>
    <row r="223" spans="1:19" x14ac:dyDescent="0.4">
      <c r="A223" s="291"/>
      <c r="B223" s="292"/>
      <c r="C223" s="312"/>
      <c r="D223" s="292"/>
      <c r="E223" s="489"/>
      <c r="F223" s="489"/>
      <c r="G223" s="490"/>
      <c r="H223" s="520"/>
      <c r="I223" s="523"/>
      <c r="J223" s="521"/>
      <c r="K223" s="522"/>
      <c r="M223" s="301" t="str">
        <f>N223&amp;AS[[#This Row],[Insurer Code]]&amp;"; "&amp;O223&amp;AS[[#This Row],[Reporting Year]]&amp;"; "&amp;P223&amp;AS[[#This Row],[Insurance Category Code]]&amp;"; "&amp;Q223&amp;AS[[#This Row],[Large Provider Entity Code]]&amp;"; "&amp;R223&amp;AS[[#This Row],[Age Band Code]]&amp;"; "&amp;S223&amp;AS[[#This Row],[Sex Code]]</f>
        <v xml:space="preserve">Insurer Code ; Reporting Year ; Insurance Category Code ; Large Provider Entity Code ; Age Band Code ; Sex Code </v>
      </c>
      <c r="N223" s="297" t="s">
        <v>197</v>
      </c>
      <c r="O223" s="297" t="s">
        <v>198</v>
      </c>
      <c r="P223" s="297" t="s">
        <v>199</v>
      </c>
      <c r="Q223" s="297" t="s">
        <v>200</v>
      </c>
      <c r="R223" s="297" t="s">
        <v>213</v>
      </c>
      <c r="S223" s="297" t="s">
        <v>214</v>
      </c>
    </row>
    <row r="224" spans="1:19" x14ac:dyDescent="0.4">
      <c r="A224" s="291"/>
      <c r="B224" s="292"/>
      <c r="C224" s="312"/>
      <c r="D224" s="292"/>
      <c r="E224" s="489"/>
      <c r="F224" s="489"/>
      <c r="G224" s="490"/>
      <c r="H224" s="520"/>
      <c r="I224" s="523"/>
      <c r="J224" s="521"/>
      <c r="K224" s="522"/>
      <c r="M224" s="301" t="str">
        <f>N224&amp;AS[[#This Row],[Insurer Code]]&amp;"; "&amp;O224&amp;AS[[#This Row],[Reporting Year]]&amp;"; "&amp;P224&amp;AS[[#This Row],[Insurance Category Code]]&amp;"; "&amp;Q224&amp;AS[[#This Row],[Large Provider Entity Code]]&amp;"; "&amp;R224&amp;AS[[#This Row],[Age Band Code]]&amp;"; "&amp;S224&amp;AS[[#This Row],[Sex Code]]</f>
        <v xml:space="preserve">Insurer Code ; Reporting Year ; Insurance Category Code ; Large Provider Entity Code ; Age Band Code ; Sex Code </v>
      </c>
      <c r="N224" s="297" t="s">
        <v>197</v>
      </c>
      <c r="O224" s="297" t="s">
        <v>198</v>
      </c>
      <c r="P224" s="297" t="s">
        <v>199</v>
      </c>
      <c r="Q224" s="297" t="s">
        <v>200</v>
      </c>
      <c r="R224" s="297" t="s">
        <v>213</v>
      </c>
      <c r="S224" s="297" t="s">
        <v>214</v>
      </c>
    </row>
    <row r="225" spans="1:19" x14ac:dyDescent="0.4">
      <c r="A225" s="291"/>
      <c r="B225" s="292"/>
      <c r="C225" s="312"/>
      <c r="D225" s="292"/>
      <c r="E225" s="489"/>
      <c r="F225" s="489"/>
      <c r="G225" s="490"/>
      <c r="H225" s="520"/>
      <c r="I225" s="523"/>
      <c r="J225" s="521"/>
      <c r="K225" s="522"/>
      <c r="M225" s="301" t="str">
        <f>N225&amp;AS[[#This Row],[Insurer Code]]&amp;"; "&amp;O225&amp;AS[[#This Row],[Reporting Year]]&amp;"; "&amp;P225&amp;AS[[#This Row],[Insurance Category Code]]&amp;"; "&amp;Q225&amp;AS[[#This Row],[Large Provider Entity Code]]&amp;"; "&amp;R225&amp;AS[[#This Row],[Age Band Code]]&amp;"; "&amp;S225&amp;AS[[#This Row],[Sex Code]]</f>
        <v xml:space="preserve">Insurer Code ; Reporting Year ; Insurance Category Code ; Large Provider Entity Code ; Age Band Code ; Sex Code </v>
      </c>
      <c r="N225" s="297" t="s">
        <v>197</v>
      </c>
      <c r="O225" s="297" t="s">
        <v>198</v>
      </c>
      <c r="P225" s="297" t="s">
        <v>199</v>
      </c>
      <c r="Q225" s="297" t="s">
        <v>200</v>
      </c>
      <c r="R225" s="297" t="s">
        <v>213</v>
      </c>
      <c r="S225" s="297" t="s">
        <v>214</v>
      </c>
    </row>
    <row r="226" spans="1:19" x14ac:dyDescent="0.4">
      <c r="A226" s="291"/>
      <c r="B226" s="292"/>
      <c r="C226" s="312"/>
      <c r="D226" s="292"/>
      <c r="E226" s="489"/>
      <c r="F226" s="489"/>
      <c r="G226" s="490"/>
      <c r="H226" s="520"/>
      <c r="I226" s="523"/>
      <c r="J226" s="521"/>
      <c r="K226" s="522"/>
      <c r="M226" s="301" t="str">
        <f>N226&amp;AS[[#This Row],[Insurer Code]]&amp;"; "&amp;O226&amp;AS[[#This Row],[Reporting Year]]&amp;"; "&amp;P226&amp;AS[[#This Row],[Insurance Category Code]]&amp;"; "&amp;Q226&amp;AS[[#This Row],[Large Provider Entity Code]]&amp;"; "&amp;R226&amp;AS[[#This Row],[Age Band Code]]&amp;"; "&amp;S226&amp;AS[[#This Row],[Sex Code]]</f>
        <v xml:space="preserve">Insurer Code ; Reporting Year ; Insurance Category Code ; Large Provider Entity Code ; Age Band Code ; Sex Code </v>
      </c>
      <c r="N226" s="297" t="s">
        <v>197</v>
      </c>
      <c r="O226" s="297" t="s">
        <v>198</v>
      </c>
      <c r="P226" s="297" t="s">
        <v>199</v>
      </c>
      <c r="Q226" s="297" t="s">
        <v>200</v>
      </c>
      <c r="R226" s="297" t="s">
        <v>213</v>
      </c>
      <c r="S226" s="297" t="s">
        <v>214</v>
      </c>
    </row>
    <row r="227" spans="1:19" x14ac:dyDescent="0.4">
      <c r="A227" s="291"/>
      <c r="B227" s="292"/>
      <c r="C227" s="312"/>
      <c r="D227" s="292"/>
      <c r="E227" s="489"/>
      <c r="F227" s="489"/>
      <c r="G227" s="490"/>
      <c r="H227" s="520"/>
      <c r="I227" s="523"/>
      <c r="J227" s="521"/>
      <c r="K227" s="522"/>
      <c r="M227" s="301" t="str">
        <f>N227&amp;AS[[#This Row],[Insurer Code]]&amp;"; "&amp;O227&amp;AS[[#This Row],[Reporting Year]]&amp;"; "&amp;P227&amp;AS[[#This Row],[Insurance Category Code]]&amp;"; "&amp;Q227&amp;AS[[#This Row],[Large Provider Entity Code]]&amp;"; "&amp;R227&amp;AS[[#This Row],[Age Band Code]]&amp;"; "&amp;S227&amp;AS[[#This Row],[Sex Code]]</f>
        <v xml:space="preserve">Insurer Code ; Reporting Year ; Insurance Category Code ; Large Provider Entity Code ; Age Band Code ; Sex Code </v>
      </c>
      <c r="N227" s="297" t="s">
        <v>197</v>
      </c>
      <c r="O227" s="297" t="s">
        <v>198</v>
      </c>
      <c r="P227" s="297" t="s">
        <v>199</v>
      </c>
      <c r="Q227" s="297" t="s">
        <v>200</v>
      </c>
      <c r="R227" s="297" t="s">
        <v>213</v>
      </c>
      <c r="S227" s="297" t="s">
        <v>214</v>
      </c>
    </row>
    <row r="228" spans="1:19" x14ac:dyDescent="0.4">
      <c r="A228" s="291"/>
      <c r="B228" s="292"/>
      <c r="C228" s="312"/>
      <c r="D228" s="292"/>
      <c r="E228" s="489"/>
      <c r="F228" s="489"/>
      <c r="G228" s="490"/>
      <c r="H228" s="520"/>
      <c r="I228" s="523"/>
      <c r="J228" s="521"/>
      <c r="K228" s="522"/>
      <c r="M228" s="301" t="str">
        <f>N228&amp;AS[[#This Row],[Insurer Code]]&amp;"; "&amp;O228&amp;AS[[#This Row],[Reporting Year]]&amp;"; "&amp;P228&amp;AS[[#This Row],[Insurance Category Code]]&amp;"; "&amp;Q228&amp;AS[[#This Row],[Large Provider Entity Code]]&amp;"; "&amp;R228&amp;AS[[#This Row],[Age Band Code]]&amp;"; "&amp;S228&amp;AS[[#This Row],[Sex Code]]</f>
        <v xml:space="preserve">Insurer Code ; Reporting Year ; Insurance Category Code ; Large Provider Entity Code ; Age Band Code ; Sex Code </v>
      </c>
      <c r="N228" s="297" t="s">
        <v>197</v>
      </c>
      <c r="O228" s="297" t="s">
        <v>198</v>
      </c>
      <c r="P228" s="297" t="s">
        <v>199</v>
      </c>
      <c r="Q228" s="297" t="s">
        <v>200</v>
      </c>
      <c r="R228" s="297" t="s">
        <v>213</v>
      </c>
      <c r="S228" s="297" t="s">
        <v>214</v>
      </c>
    </row>
    <row r="229" spans="1:19" x14ac:dyDescent="0.4">
      <c r="A229" s="291"/>
      <c r="B229" s="292"/>
      <c r="C229" s="312"/>
      <c r="D229" s="292"/>
      <c r="E229" s="489"/>
      <c r="F229" s="489"/>
      <c r="G229" s="490"/>
      <c r="H229" s="520"/>
      <c r="I229" s="523"/>
      <c r="J229" s="521"/>
      <c r="K229" s="522"/>
      <c r="M229" s="301" t="str">
        <f>N229&amp;AS[[#This Row],[Insurer Code]]&amp;"; "&amp;O229&amp;AS[[#This Row],[Reporting Year]]&amp;"; "&amp;P229&amp;AS[[#This Row],[Insurance Category Code]]&amp;"; "&amp;Q229&amp;AS[[#This Row],[Large Provider Entity Code]]&amp;"; "&amp;R229&amp;AS[[#This Row],[Age Band Code]]&amp;"; "&amp;S229&amp;AS[[#This Row],[Sex Code]]</f>
        <v xml:space="preserve">Insurer Code ; Reporting Year ; Insurance Category Code ; Large Provider Entity Code ; Age Band Code ; Sex Code </v>
      </c>
      <c r="N229" s="297" t="s">
        <v>197</v>
      </c>
      <c r="O229" s="297" t="s">
        <v>198</v>
      </c>
      <c r="P229" s="297" t="s">
        <v>199</v>
      </c>
      <c r="Q229" s="297" t="s">
        <v>200</v>
      </c>
      <c r="R229" s="297" t="s">
        <v>213</v>
      </c>
      <c r="S229" s="297" t="s">
        <v>214</v>
      </c>
    </row>
    <row r="230" spans="1:19" x14ac:dyDescent="0.4">
      <c r="A230" s="291"/>
      <c r="B230" s="292"/>
      <c r="C230" s="312"/>
      <c r="D230" s="292"/>
      <c r="E230" s="489"/>
      <c r="F230" s="489"/>
      <c r="G230" s="490"/>
      <c r="H230" s="520"/>
      <c r="I230" s="523"/>
      <c r="J230" s="521"/>
      <c r="K230" s="522"/>
      <c r="M230" s="301" t="str">
        <f>N230&amp;AS[[#This Row],[Insurer Code]]&amp;"; "&amp;O230&amp;AS[[#This Row],[Reporting Year]]&amp;"; "&amp;P230&amp;AS[[#This Row],[Insurance Category Code]]&amp;"; "&amp;Q230&amp;AS[[#This Row],[Large Provider Entity Code]]&amp;"; "&amp;R230&amp;AS[[#This Row],[Age Band Code]]&amp;"; "&amp;S230&amp;AS[[#This Row],[Sex Code]]</f>
        <v xml:space="preserve">Insurer Code ; Reporting Year ; Insurance Category Code ; Large Provider Entity Code ; Age Band Code ; Sex Code </v>
      </c>
      <c r="N230" s="297" t="s">
        <v>197</v>
      </c>
      <c r="O230" s="297" t="s">
        <v>198</v>
      </c>
      <c r="P230" s="297" t="s">
        <v>199</v>
      </c>
      <c r="Q230" s="297" t="s">
        <v>200</v>
      </c>
      <c r="R230" s="297" t="s">
        <v>213</v>
      </c>
      <c r="S230" s="297" t="s">
        <v>214</v>
      </c>
    </row>
    <row r="231" spans="1:19" x14ac:dyDescent="0.4">
      <c r="A231" s="291"/>
      <c r="B231" s="292"/>
      <c r="C231" s="312"/>
      <c r="D231" s="292"/>
      <c r="E231" s="489"/>
      <c r="F231" s="489"/>
      <c r="G231" s="490"/>
      <c r="H231" s="520"/>
      <c r="I231" s="523"/>
      <c r="J231" s="521"/>
      <c r="K231" s="522"/>
      <c r="M231" s="301" t="str">
        <f>N231&amp;AS[[#This Row],[Insurer Code]]&amp;"; "&amp;O231&amp;AS[[#This Row],[Reporting Year]]&amp;"; "&amp;P231&amp;AS[[#This Row],[Insurance Category Code]]&amp;"; "&amp;Q231&amp;AS[[#This Row],[Large Provider Entity Code]]&amp;"; "&amp;R231&amp;AS[[#This Row],[Age Band Code]]&amp;"; "&amp;S231&amp;AS[[#This Row],[Sex Code]]</f>
        <v xml:space="preserve">Insurer Code ; Reporting Year ; Insurance Category Code ; Large Provider Entity Code ; Age Band Code ; Sex Code </v>
      </c>
      <c r="N231" s="297" t="s">
        <v>197</v>
      </c>
      <c r="O231" s="297" t="s">
        <v>198</v>
      </c>
      <c r="P231" s="297" t="s">
        <v>199</v>
      </c>
      <c r="Q231" s="297" t="s">
        <v>200</v>
      </c>
      <c r="R231" s="297" t="s">
        <v>213</v>
      </c>
      <c r="S231" s="297" t="s">
        <v>214</v>
      </c>
    </row>
    <row r="232" spans="1:19" x14ac:dyDescent="0.4">
      <c r="A232" s="291"/>
      <c r="B232" s="292"/>
      <c r="C232" s="312"/>
      <c r="D232" s="292"/>
      <c r="E232" s="489"/>
      <c r="F232" s="489"/>
      <c r="G232" s="490"/>
      <c r="H232" s="520"/>
      <c r="I232" s="523"/>
      <c r="J232" s="521"/>
      <c r="K232" s="522"/>
      <c r="M232" s="301" t="str">
        <f>N232&amp;AS[[#This Row],[Insurer Code]]&amp;"; "&amp;O232&amp;AS[[#This Row],[Reporting Year]]&amp;"; "&amp;P232&amp;AS[[#This Row],[Insurance Category Code]]&amp;"; "&amp;Q232&amp;AS[[#This Row],[Large Provider Entity Code]]&amp;"; "&amp;R232&amp;AS[[#This Row],[Age Band Code]]&amp;"; "&amp;S232&amp;AS[[#This Row],[Sex Code]]</f>
        <v xml:space="preserve">Insurer Code ; Reporting Year ; Insurance Category Code ; Large Provider Entity Code ; Age Band Code ; Sex Code </v>
      </c>
      <c r="N232" s="297" t="s">
        <v>197</v>
      </c>
      <c r="O232" s="297" t="s">
        <v>198</v>
      </c>
      <c r="P232" s="297" t="s">
        <v>199</v>
      </c>
      <c r="Q232" s="297" t="s">
        <v>200</v>
      </c>
      <c r="R232" s="297" t="s">
        <v>213</v>
      </c>
      <c r="S232" s="297" t="s">
        <v>214</v>
      </c>
    </row>
    <row r="233" spans="1:19" x14ac:dyDescent="0.4">
      <c r="A233" s="291"/>
      <c r="B233" s="292"/>
      <c r="C233" s="312"/>
      <c r="D233" s="292"/>
      <c r="E233" s="489"/>
      <c r="F233" s="489"/>
      <c r="G233" s="490"/>
      <c r="H233" s="520"/>
      <c r="I233" s="523"/>
      <c r="J233" s="521"/>
      <c r="K233" s="522"/>
      <c r="M233" s="301" t="str">
        <f>N233&amp;AS[[#This Row],[Insurer Code]]&amp;"; "&amp;O233&amp;AS[[#This Row],[Reporting Year]]&amp;"; "&amp;P233&amp;AS[[#This Row],[Insurance Category Code]]&amp;"; "&amp;Q233&amp;AS[[#This Row],[Large Provider Entity Code]]&amp;"; "&amp;R233&amp;AS[[#This Row],[Age Band Code]]&amp;"; "&amp;S233&amp;AS[[#This Row],[Sex Code]]</f>
        <v xml:space="preserve">Insurer Code ; Reporting Year ; Insurance Category Code ; Large Provider Entity Code ; Age Band Code ; Sex Code </v>
      </c>
      <c r="N233" s="297" t="s">
        <v>197</v>
      </c>
      <c r="O233" s="297" t="s">
        <v>198</v>
      </c>
      <c r="P233" s="297" t="s">
        <v>199</v>
      </c>
      <c r="Q233" s="297" t="s">
        <v>200</v>
      </c>
      <c r="R233" s="297" t="s">
        <v>213</v>
      </c>
      <c r="S233" s="297" t="s">
        <v>214</v>
      </c>
    </row>
    <row r="234" spans="1:19" x14ac:dyDescent="0.4">
      <c r="A234" s="291"/>
      <c r="B234" s="292"/>
      <c r="C234" s="312"/>
      <c r="D234" s="292"/>
      <c r="E234" s="489"/>
      <c r="F234" s="489"/>
      <c r="G234" s="490"/>
      <c r="H234" s="520"/>
      <c r="I234" s="523"/>
      <c r="J234" s="521"/>
      <c r="K234" s="522"/>
      <c r="M234" s="301" t="str">
        <f>N234&amp;AS[[#This Row],[Insurer Code]]&amp;"; "&amp;O234&amp;AS[[#This Row],[Reporting Year]]&amp;"; "&amp;P234&amp;AS[[#This Row],[Insurance Category Code]]&amp;"; "&amp;Q234&amp;AS[[#This Row],[Large Provider Entity Code]]&amp;"; "&amp;R234&amp;AS[[#This Row],[Age Band Code]]&amp;"; "&amp;S234&amp;AS[[#This Row],[Sex Code]]</f>
        <v xml:space="preserve">Insurer Code ; Reporting Year ; Insurance Category Code ; Large Provider Entity Code ; Age Band Code ; Sex Code </v>
      </c>
      <c r="N234" s="297" t="s">
        <v>197</v>
      </c>
      <c r="O234" s="297" t="s">
        <v>198</v>
      </c>
      <c r="P234" s="297" t="s">
        <v>199</v>
      </c>
      <c r="Q234" s="297" t="s">
        <v>200</v>
      </c>
      <c r="R234" s="297" t="s">
        <v>213</v>
      </c>
      <c r="S234" s="297" t="s">
        <v>214</v>
      </c>
    </row>
    <row r="235" spans="1:19" x14ac:dyDescent="0.4">
      <c r="A235" s="291"/>
      <c r="B235" s="292"/>
      <c r="C235" s="312"/>
      <c r="D235" s="292"/>
      <c r="E235" s="489"/>
      <c r="F235" s="489"/>
      <c r="G235" s="490"/>
      <c r="H235" s="520"/>
      <c r="I235" s="523"/>
      <c r="J235" s="521"/>
      <c r="K235" s="522"/>
      <c r="M235" s="301" t="str">
        <f>N235&amp;AS[[#This Row],[Insurer Code]]&amp;"; "&amp;O235&amp;AS[[#This Row],[Reporting Year]]&amp;"; "&amp;P235&amp;AS[[#This Row],[Insurance Category Code]]&amp;"; "&amp;Q235&amp;AS[[#This Row],[Large Provider Entity Code]]&amp;"; "&amp;R235&amp;AS[[#This Row],[Age Band Code]]&amp;"; "&amp;S235&amp;AS[[#This Row],[Sex Code]]</f>
        <v xml:space="preserve">Insurer Code ; Reporting Year ; Insurance Category Code ; Large Provider Entity Code ; Age Band Code ; Sex Code </v>
      </c>
      <c r="N235" s="297" t="s">
        <v>197</v>
      </c>
      <c r="O235" s="297" t="s">
        <v>198</v>
      </c>
      <c r="P235" s="297" t="s">
        <v>199</v>
      </c>
      <c r="Q235" s="297" t="s">
        <v>200</v>
      </c>
      <c r="R235" s="297" t="s">
        <v>213</v>
      </c>
      <c r="S235" s="297" t="s">
        <v>214</v>
      </c>
    </row>
    <row r="236" spans="1:19" x14ac:dyDescent="0.4">
      <c r="A236" s="291"/>
      <c r="B236" s="292"/>
      <c r="C236" s="312"/>
      <c r="D236" s="292"/>
      <c r="E236" s="489"/>
      <c r="F236" s="489"/>
      <c r="G236" s="490"/>
      <c r="H236" s="520"/>
      <c r="I236" s="523"/>
      <c r="J236" s="521"/>
      <c r="K236" s="522"/>
      <c r="M236" s="301" t="str">
        <f>N236&amp;AS[[#This Row],[Insurer Code]]&amp;"; "&amp;O236&amp;AS[[#This Row],[Reporting Year]]&amp;"; "&amp;P236&amp;AS[[#This Row],[Insurance Category Code]]&amp;"; "&amp;Q236&amp;AS[[#This Row],[Large Provider Entity Code]]&amp;"; "&amp;R236&amp;AS[[#This Row],[Age Band Code]]&amp;"; "&amp;S236&amp;AS[[#This Row],[Sex Code]]</f>
        <v xml:space="preserve">Insurer Code ; Reporting Year ; Insurance Category Code ; Large Provider Entity Code ; Age Band Code ; Sex Code </v>
      </c>
      <c r="N236" s="297" t="s">
        <v>197</v>
      </c>
      <c r="O236" s="297" t="s">
        <v>198</v>
      </c>
      <c r="P236" s="297" t="s">
        <v>199</v>
      </c>
      <c r="Q236" s="297" t="s">
        <v>200</v>
      </c>
      <c r="R236" s="297" t="s">
        <v>213</v>
      </c>
      <c r="S236" s="297" t="s">
        <v>214</v>
      </c>
    </row>
    <row r="237" spans="1:19" x14ac:dyDescent="0.4">
      <c r="A237" s="291"/>
      <c r="B237" s="292"/>
      <c r="C237" s="312"/>
      <c r="D237" s="292"/>
      <c r="E237" s="489"/>
      <c r="F237" s="489"/>
      <c r="G237" s="490"/>
      <c r="H237" s="520"/>
      <c r="I237" s="523"/>
      <c r="J237" s="521"/>
      <c r="K237" s="522"/>
      <c r="M237" s="301" t="str">
        <f>N237&amp;AS[[#This Row],[Insurer Code]]&amp;"; "&amp;O237&amp;AS[[#This Row],[Reporting Year]]&amp;"; "&amp;P237&amp;AS[[#This Row],[Insurance Category Code]]&amp;"; "&amp;Q237&amp;AS[[#This Row],[Large Provider Entity Code]]&amp;"; "&amp;R237&amp;AS[[#This Row],[Age Band Code]]&amp;"; "&amp;S237&amp;AS[[#This Row],[Sex Code]]</f>
        <v xml:space="preserve">Insurer Code ; Reporting Year ; Insurance Category Code ; Large Provider Entity Code ; Age Band Code ; Sex Code </v>
      </c>
      <c r="N237" s="297" t="s">
        <v>197</v>
      </c>
      <c r="O237" s="297" t="s">
        <v>198</v>
      </c>
      <c r="P237" s="297" t="s">
        <v>199</v>
      </c>
      <c r="Q237" s="297" t="s">
        <v>200</v>
      </c>
      <c r="R237" s="297" t="s">
        <v>213</v>
      </c>
      <c r="S237" s="297" t="s">
        <v>214</v>
      </c>
    </row>
    <row r="238" spans="1:19" x14ac:dyDescent="0.4">
      <c r="A238" s="291"/>
      <c r="B238" s="292"/>
      <c r="C238" s="312"/>
      <c r="D238" s="292"/>
      <c r="E238" s="489"/>
      <c r="F238" s="489"/>
      <c r="G238" s="490"/>
      <c r="H238" s="520"/>
      <c r="I238" s="523"/>
      <c r="J238" s="521"/>
      <c r="K238" s="522"/>
      <c r="M238" s="301" t="str">
        <f>N238&amp;AS[[#This Row],[Insurer Code]]&amp;"; "&amp;O238&amp;AS[[#This Row],[Reporting Year]]&amp;"; "&amp;P238&amp;AS[[#This Row],[Insurance Category Code]]&amp;"; "&amp;Q238&amp;AS[[#This Row],[Large Provider Entity Code]]&amp;"; "&amp;R238&amp;AS[[#This Row],[Age Band Code]]&amp;"; "&amp;S238&amp;AS[[#This Row],[Sex Code]]</f>
        <v xml:space="preserve">Insurer Code ; Reporting Year ; Insurance Category Code ; Large Provider Entity Code ; Age Band Code ; Sex Code </v>
      </c>
      <c r="N238" s="297" t="s">
        <v>197</v>
      </c>
      <c r="O238" s="297" t="s">
        <v>198</v>
      </c>
      <c r="P238" s="297" t="s">
        <v>199</v>
      </c>
      <c r="Q238" s="297" t="s">
        <v>200</v>
      </c>
      <c r="R238" s="297" t="s">
        <v>213</v>
      </c>
      <c r="S238" s="297" t="s">
        <v>214</v>
      </c>
    </row>
    <row r="239" spans="1:19" x14ac:dyDescent="0.4">
      <c r="A239" s="291"/>
      <c r="B239" s="292"/>
      <c r="C239" s="312"/>
      <c r="D239" s="292"/>
      <c r="E239" s="489"/>
      <c r="F239" s="489"/>
      <c r="G239" s="490"/>
      <c r="H239" s="520"/>
      <c r="I239" s="523"/>
      <c r="J239" s="521"/>
      <c r="K239" s="522"/>
      <c r="M239" s="301" t="str">
        <f>N239&amp;AS[[#This Row],[Insurer Code]]&amp;"; "&amp;O239&amp;AS[[#This Row],[Reporting Year]]&amp;"; "&amp;P239&amp;AS[[#This Row],[Insurance Category Code]]&amp;"; "&amp;Q239&amp;AS[[#This Row],[Large Provider Entity Code]]&amp;"; "&amp;R239&amp;AS[[#This Row],[Age Band Code]]&amp;"; "&amp;S239&amp;AS[[#This Row],[Sex Code]]</f>
        <v xml:space="preserve">Insurer Code ; Reporting Year ; Insurance Category Code ; Large Provider Entity Code ; Age Band Code ; Sex Code </v>
      </c>
      <c r="N239" s="297" t="s">
        <v>197</v>
      </c>
      <c r="O239" s="297" t="s">
        <v>198</v>
      </c>
      <c r="P239" s="297" t="s">
        <v>199</v>
      </c>
      <c r="Q239" s="297" t="s">
        <v>200</v>
      </c>
      <c r="R239" s="297" t="s">
        <v>213</v>
      </c>
      <c r="S239" s="297" t="s">
        <v>214</v>
      </c>
    </row>
    <row r="240" spans="1:19" x14ac:dyDescent="0.4">
      <c r="A240" s="291"/>
      <c r="B240" s="292"/>
      <c r="C240" s="312"/>
      <c r="D240" s="292"/>
      <c r="E240" s="489"/>
      <c r="F240" s="489"/>
      <c r="G240" s="490"/>
      <c r="H240" s="520"/>
      <c r="I240" s="523"/>
      <c r="J240" s="521"/>
      <c r="K240" s="522"/>
      <c r="M240" s="301" t="str">
        <f>N240&amp;AS[[#This Row],[Insurer Code]]&amp;"; "&amp;O240&amp;AS[[#This Row],[Reporting Year]]&amp;"; "&amp;P240&amp;AS[[#This Row],[Insurance Category Code]]&amp;"; "&amp;Q240&amp;AS[[#This Row],[Large Provider Entity Code]]&amp;"; "&amp;R240&amp;AS[[#This Row],[Age Band Code]]&amp;"; "&amp;S240&amp;AS[[#This Row],[Sex Code]]</f>
        <v xml:space="preserve">Insurer Code ; Reporting Year ; Insurance Category Code ; Large Provider Entity Code ; Age Band Code ; Sex Code </v>
      </c>
      <c r="N240" s="297" t="s">
        <v>197</v>
      </c>
      <c r="O240" s="297" t="s">
        <v>198</v>
      </c>
      <c r="P240" s="297" t="s">
        <v>199</v>
      </c>
      <c r="Q240" s="297" t="s">
        <v>200</v>
      </c>
      <c r="R240" s="297" t="s">
        <v>213</v>
      </c>
      <c r="S240" s="297" t="s">
        <v>214</v>
      </c>
    </row>
    <row r="241" spans="1:19" x14ac:dyDescent="0.4">
      <c r="A241" s="291"/>
      <c r="B241" s="292"/>
      <c r="C241" s="312"/>
      <c r="D241" s="292"/>
      <c r="E241" s="489"/>
      <c r="F241" s="489"/>
      <c r="G241" s="490"/>
      <c r="H241" s="520"/>
      <c r="I241" s="523"/>
      <c r="J241" s="521"/>
      <c r="K241" s="522"/>
      <c r="M241" s="301" t="str">
        <f>N241&amp;AS[[#This Row],[Insurer Code]]&amp;"; "&amp;O241&amp;AS[[#This Row],[Reporting Year]]&amp;"; "&amp;P241&amp;AS[[#This Row],[Insurance Category Code]]&amp;"; "&amp;Q241&amp;AS[[#This Row],[Large Provider Entity Code]]&amp;"; "&amp;R241&amp;AS[[#This Row],[Age Band Code]]&amp;"; "&amp;S241&amp;AS[[#This Row],[Sex Code]]</f>
        <v xml:space="preserve">Insurer Code ; Reporting Year ; Insurance Category Code ; Large Provider Entity Code ; Age Band Code ; Sex Code </v>
      </c>
      <c r="N241" s="297" t="s">
        <v>197</v>
      </c>
      <c r="O241" s="297" t="s">
        <v>198</v>
      </c>
      <c r="P241" s="297" t="s">
        <v>199</v>
      </c>
      <c r="Q241" s="297" t="s">
        <v>200</v>
      </c>
      <c r="R241" s="297" t="s">
        <v>213</v>
      </c>
      <c r="S241" s="297" t="s">
        <v>214</v>
      </c>
    </row>
    <row r="242" spans="1:19" x14ac:dyDescent="0.4">
      <c r="A242" s="291"/>
      <c r="B242" s="292"/>
      <c r="C242" s="312"/>
      <c r="D242" s="292"/>
      <c r="E242" s="489"/>
      <c r="F242" s="489"/>
      <c r="G242" s="490"/>
      <c r="H242" s="520"/>
      <c r="I242" s="523"/>
      <c r="J242" s="521"/>
      <c r="K242" s="522"/>
      <c r="M242" s="301" t="str">
        <f>N242&amp;AS[[#This Row],[Insurer Code]]&amp;"; "&amp;O242&amp;AS[[#This Row],[Reporting Year]]&amp;"; "&amp;P242&amp;AS[[#This Row],[Insurance Category Code]]&amp;"; "&amp;Q242&amp;AS[[#This Row],[Large Provider Entity Code]]&amp;"; "&amp;R242&amp;AS[[#This Row],[Age Band Code]]&amp;"; "&amp;S242&amp;AS[[#This Row],[Sex Code]]</f>
        <v xml:space="preserve">Insurer Code ; Reporting Year ; Insurance Category Code ; Large Provider Entity Code ; Age Band Code ; Sex Code </v>
      </c>
      <c r="N242" s="297" t="s">
        <v>197</v>
      </c>
      <c r="O242" s="297" t="s">
        <v>198</v>
      </c>
      <c r="P242" s="297" t="s">
        <v>199</v>
      </c>
      <c r="Q242" s="297" t="s">
        <v>200</v>
      </c>
      <c r="R242" s="297" t="s">
        <v>213</v>
      </c>
      <c r="S242" s="297" t="s">
        <v>214</v>
      </c>
    </row>
    <row r="243" spans="1:19" x14ac:dyDescent="0.4">
      <c r="A243" s="291"/>
      <c r="B243" s="292"/>
      <c r="C243" s="312"/>
      <c r="D243" s="292"/>
      <c r="E243" s="489"/>
      <c r="F243" s="489"/>
      <c r="G243" s="490"/>
      <c r="H243" s="520"/>
      <c r="I243" s="523"/>
      <c r="J243" s="521"/>
      <c r="K243" s="522"/>
      <c r="M243" s="301" t="str">
        <f>N243&amp;AS[[#This Row],[Insurer Code]]&amp;"; "&amp;O243&amp;AS[[#This Row],[Reporting Year]]&amp;"; "&amp;P243&amp;AS[[#This Row],[Insurance Category Code]]&amp;"; "&amp;Q243&amp;AS[[#This Row],[Large Provider Entity Code]]&amp;"; "&amp;R243&amp;AS[[#This Row],[Age Band Code]]&amp;"; "&amp;S243&amp;AS[[#This Row],[Sex Code]]</f>
        <v xml:space="preserve">Insurer Code ; Reporting Year ; Insurance Category Code ; Large Provider Entity Code ; Age Band Code ; Sex Code </v>
      </c>
      <c r="N243" s="297" t="s">
        <v>197</v>
      </c>
      <c r="O243" s="297" t="s">
        <v>198</v>
      </c>
      <c r="P243" s="297" t="s">
        <v>199</v>
      </c>
      <c r="Q243" s="297" t="s">
        <v>200</v>
      </c>
      <c r="R243" s="297" t="s">
        <v>213</v>
      </c>
      <c r="S243" s="297" t="s">
        <v>214</v>
      </c>
    </row>
    <row r="244" spans="1:19" x14ac:dyDescent="0.4">
      <c r="A244" s="291"/>
      <c r="B244" s="292"/>
      <c r="C244" s="312"/>
      <c r="D244" s="292"/>
      <c r="E244" s="489"/>
      <c r="F244" s="489"/>
      <c r="G244" s="490"/>
      <c r="H244" s="520"/>
      <c r="I244" s="523"/>
      <c r="J244" s="521"/>
      <c r="K244" s="522"/>
      <c r="M244" s="301" t="str">
        <f>N244&amp;AS[[#This Row],[Insurer Code]]&amp;"; "&amp;O244&amp;AS[[#This Row],[Reporting Year]]&amp;"; "&amp;P244&amp;AS[[#This Row],[Insurance Category Code]]&amp;"; "&amp;Q244&amp;AS[[#This Row],[Large Provider Entity Code]]&amp;"; "&amp;R244&amp;AS[[#This Row],[Age Band Code]]&amp;"; "&amp;S244&amp;AS[[#This Row],[Sex Code]]</f>
        <v xml:space="preserve">Insurer Code ; Reporting Year ; Insurance Category Code ; Large Provider Entity Code ; Age Band Code ; Sex Code </v>
      </c>
      <c r="N244" s="297" t="s">
        <v>197</v>
      </c>
      <c r="O244" s="297" t="s">
        <v>198</v>
      </c>
      <c r="P244" s="297" t="s">
        <v>199</v>
      </c>
      <c r="Q244" s="297" t="s">
        <v>200</v>
      </c>
      <c r="R244" s="297" t="s">
        <v>213</v>
      </c>
      <c r="S244" s="297" t="s">
        <v>214</v>
      </c>
    </row>
    <row r="245" spans="1:19" x14ac:dyDescent="0.4">
      <c r="A245" s="291"/>
      <c r="B245" s="292"/>
      <c r="C245" s="312"/>
      <c r="D245" s="292"/>
      <c r="E245" s="489"/>
      <c r="F245" s="489"/>
      <c r="G245" s="490"/>
      <c r="H245" s="520"/>
      <c r="I245" s="523"/>
      <c r="J245" s="521"/>
      <c r="K245" s="522"/>
      <c r="M245" s="301" t="str">
        <f>N245&amp;AS[[#This Row],[Insurer Code]]&amp;"; "&amp;O245&amp;AS[[#This Row],[Reporting Year]]&amp;"; "&amp;P245&amp;AS[[#This Row],[Insurance Category Code]]&amp;"; "&amp;Q245&amp;AS[[#This Row],[Large Provider Entity Code]]&amp;"; "&amp;R245&amp;AS[[#This Row],[Age Band Code]]&amp;"; "&amp;S245&amp;AS[[#This Row],[Sex Code]]</f>
        <v xml:space="preserve">Insurer Code ; Reporting Year ; Insurance Category Code ; Large Provider Entity Code ; Age Band Code ; Sex Code </v>
      </c>
      <c r="N245" s="297" t="s">
        <v>197</v>
      </c>
      <c r="O245" s="297" t="s">
        <v>198</v>
      </c>
      <c r="P245" s="297" t="s">
        <v>199</v>
      </c>
      <c r="Q245" s="297" t="s">
        <v>200</v>
      </c>
      <c r="R245" s="297" t="s">
        <v>213</v>
      </c>
      <c r="S245" s="297" t="s">
        <v>214</v>
      </c>
    </row>
    <row r="246" spans="1:19" x14ac:dyDescent="0.4">
      <c r="A246" s="291"/>
      <c r="B246" s="292"/>
      <c r="C246" s="312"/>
      <c r="D246" s="292"/>
      <c r="E246" s="489"/>
      <c r="F246" s="489"/>
      <c r="G246" s="490"/>
      <c r="H246" s="520"/>
      <c r="I246" s="523"/>
      <c r="J246" s="521"/>
      <c r="K246" s="522"/>
      <c r="M246" s="301" t="str">
        <f>N246&amp;AS[[#This Row],[Insurer Code]]&amp;"; "&amp;O246&amp;AS[[#This Row],[Reporting Year]]&amp;"; "&amp;P246&amp;AS[[#This Row],[Insurance Category Code]]&amp;"; "&amp;Q246&amp;AS[[#This Row],[Large Provider Entity Code]]&amp;"; "&amp;R246&amp;AS[[#This Row],[Age Band Code]]&amp;"; "&amp;S246&amp;AS[[#This Row],[Sex Code]]</f>
        <v xml:space="preserve">Insurer Code ; Reporting Year ; Insurance Category Code ; Large Provider Entity Code ; Age Band Code ; Sex Code </v>
      </c>
      <c r="N246" s="297" t="s">
        <v>197</v>
      </c>
      <c r="O246" s="297" t="s">
        <v>198</v>
      </c>
      <c r="P246" s="297" t="s">
        <v>199</v>
      </c>
      <c r="Q246" s="297" t="s">
        <v>200</v>
      </c>
      <c r="R246" s="297" t="s">
        <v>213</v>
      </c>
      <c r="S246" s="297" t="s">
        <v>214</v>
      </c>
    </row>
    <row r="247" spans="1:19" x14ac:dyDescent="0.4">
      <c r="A247" s="291"/>
      <c r="B247" s="292"/>
      <c r="C247" s="312"/>
      <c r="D247" s="292"/>
      <c r="E247" s="489"/>
      <c r="F247" s="489"/>
      <c r="G247" s="490"/>
      <c r="H247" s="520"/>
      <c r="I247" s="523"/>
      <c r="J247" s="521"/>
      <c r="K247" s="522"/>
      <c r="M247" s="301" t="str">
        <f>N247&amp;AS[[#This Row],[Insurer Code]]&amp;"; "&amp;O247&amp;AS[[#This Row],[Reporting Year]]&amp;"; "&amp;P247&amp;AS[[#This Row],[Insurance Category Code]]&amp;"; "&amp;Q247&amp;AS[[#This Row],[Large Provider Entity Code]]&amp;"; "&amp;R247&amp;AS[[#This Row],[Age Band Code]]&amp;"; "&amp;S247&amp;AS[[#This Row],[Sex Code]]</f>
        <v xml:space="preserve">Insurer Code ; Reporting Year ; Insurance Category Code ; Large Provider Entity Code ; Age Band Code ; Sex Code </v>
      </c>
      <c r="N247" s="297" t="s">
        <v>197</v>
      </c>
      <c r="O247" s="297" t="s">
        <v>198</v>
      </c>
      <c r="P247" s="297" t="s">
        <v>199</v>
      </c>
      <c r="Q247" s="297" t="s">
        <v>200</v>
      </c>
      <c r="R247" s="297" t="s">
        <v>213</v>
      </c>
      <c r="S247" s="297" t="s">
        <v>214</v>
      </c>
    </row>
    <row r="248" spans="1:19" x14ac:dyDescent="0.4">
      <c r="A248" s="291"/>
      <c r="B248" s="292"/>
      <c r="C248" s="312"/>
      <c r="D248" s="292"/>
      <c r="E248" s="489"/>
      <c r="F248" s="489"/>
      <c r="G248" s="490"/>
      <c r="H248" s="520"/>
      <c r="I248" s="523"/>
      <c r="J248" s="521"/>
      <c r="K248" s="522"/>
      <c r="M248" s="301" t="str">
        <f>N248&amp;AS[[#This Row],[Insurer Code]]&amp;"; "&amp;O248&amp;AS[[#This Row],[Reporting Year]]&amp;"; "&amp;P248&amp;AS[[#This Row],[Insurance Category Code]]&amp;"; "&amp;Q248&amp;AS[[#This Row],[Large Provider Entity Code]]&amp;"; "&amp;R248&amp;AS[[#This Row],[Age Band Code]]&amp;"; "&amp;S248&amp;AS[[#This Row],[Sex Code]]</f>
        <v xml:space="preserve">Insurer Code ; Reporting Year ; Insurance Category Code ; Large Provider Entity Code ; Age Band Code ; Sex Code </v>
      </c>
      <c r="N248" s="297" t="s">
        <v>197</v>
      </c>
      <c r="O248" s="297" t="s">
        <v>198</v>
      </c>
      <c r="P248" s="297" t="s">
        <v>199</v>
      </c>
      <c r="Q248" s="297" t="s">
        <v>200</v>
      </c>
      <c r="R248" s="297" t="s">
        <v>213</v>
      </c>
      <c r="S248" s="297" t="s">
        <v>214</v>
      </c>
    </row>
    <row r="249" spans="1:19" x14ac:dyDescent="0.4">
      <c r="A249" s="291"/>
      <c r="B249" s="292"/>
      <c r="C249" s="312"/>
      <c r="D249" s="292"/>
      <c r="E249" s="489"/>
      <c r="F249" s="489"/>
      <c r="G249" s="490"/>
      <c r="H249" s="520"/>
      <c r="I249" s="523"/>
      <c r="J249" s="521"/>
      <c r="K249" s="522"/>
      <c r="M249" s="301" t="str">
        <f>N249&amp;AS[[#This Row],[Insurer Code]]&amp;"; "&amp;O249&amp;AS[[#This Row],[Reporting Year]]&amp;"; "&amp;P249&amp;AS[[#This Row],[Insurance Category Code]]&amp;"; "&amp;Q249&amp;AS[[#This Row],[Large Provider Entity Code]]&amp;"; "&amp;R249&amp;AS[[#This Row],[Age Band Code]]&amp;"; "&amp;S249&amp;AS[[#This Row],[Sex Code]]</f>
        <v xml:space="preserve">Insurer Code ; Reporting Year ; Insurance Category Code ; Large Provider Entity Code ; Age Band Code ; Sex Code </v>
      </c>
      <c r="N249" s="297" t="s">
        <v>197</v>
      </c>
      <c r="O249" s="297" t="s">
        <v>198</v>
      </c>
      <c r="P249" s="297" t="s">
        <v>199</v>
      </c>
      <c r="Q249" s="297" t="s">
        <v>200</v>
      </c>
      <c r="R249" s="297" t="s">
        <v>213</v>
      </c>
      <c r="S249" s="297" t="s">
        <v>214</v>
      </c>
    </row>
    <row r="250" spans="1:19" x14ac:dyDescent="0.4">
      <c r="A250" s="291"/>
      <c r="B250" s="292"/>
      <c r="C250" s="312"/>
      <c r="D250" s="292"/>
      <c r="E250" s="489"/>
      <c r="F250" s="489"/>
      <c r="G250" s="490"/>
      <c r="H250" s="520"/>
      <c r="I250" s="523"/>
      <c r="J250" s="521"/>
      <c r="K250" s="522"/>
      <c r="M250" s="301" t="str">
        <f>N250&amp;AS[[#This Row],[Insurer Code]]&amp;"; "&amp;O250&amp;AS[[#This Row],[Reporting Year]]&amp;"; "&amp;P250&amp;AS[[#This Row],[Insurance Category Code]]&amp;"; "&amp;Q250&amp;AS[[#This Row],[Large Provider Entity Code]]&amp;"; "&amp;R250&amp;AS[[#This Row],[Age Band Code]]&amp;"; "&amp;S250&amp;AS[[#This Row],[Sex Code]]</f>
        <v xml:space="preserve">Insurer Code ; Reporting Year ; Insurance Category Code ; Large Provider Entity Code ; Age Band Code ; Sex Code </v>
      </c>
      <c r="N250" s="297" t="s">
        <v>197</v>
      </c>
      <c r="O250" s="297" t="s">
        <v>198</v>
      </c>
      <c r="P250" s="297" t="s">
        <v>199</v>
      </c>
      <c r="Q250" s="297" t="s">
        <v>200</v>
      </c>
      <c r="R250" s="297" t="s">
        <v>213</v>
      </c>
      <c r="S250" s="297" t="s">
        <v>214</v>
      </c>
    </row>
    <row r="251" spans="1:19" x14ac:dyDescent="0.4">
      <c r="A251" s="291"/>
      <c r="B251" s="292"/>
      <c r="C251" s="312"/>
      <c r="D251" s="292"/>
      <c r="E251" s="489"/>
      <c r="F251" s="489"/>
      <c r="G251" s="490"/>
      <c r="H251" s="520"/>
      <c r="I251" s="523"/>
      <c r="J251" s="521"/>
      <c r="K251" s="522"/>
      <c r="M251" s="301" t="str">
        <f>N251&amp;AS[[#This Row],[Insurer Code]]&amp;"; "&amp;O251&amp;AS[[#This Row],[Reporting Year]]&amp;"; "&amp;P251&amp;AS[[#This Row],[Insurance Category Code]]&amp;"; "&amp;Q251&amp;AS[[#This Row],[Large Provider Entity Code]]&amp;"; "&amp;R251&amp;AS[[#This Row],[Age Band Code]]&amp;"; "&amp;S251&amp;AS[[#This Row],[Sex Code]]</f>
        <v xml:space="preserve">Insurer Code ; Reporting Year ; Insurance Category Code ; Large Provider Entity Code ; Age Band Code ; Sex Code </v>
      </c>
      <c r="N251" s="297" t="s">
        <v>197</v>
      </c>
      <c r="O251" s="297" t="s">
        <v>198</v>
      </c>
      <c r="P251" s="297" t="s">
        <v>199</v>
      </c>
      <c r="Q251" s="297" t="s">
        <v>200</v>
      </c>
      <c r="R251" s="297" t="s">
        <v>213</v>
      </c>
      <c r="S251" s="297" t="s">
        <v>214</v>
      </c>
    </row>
    <row r="252" spans="1:19" x14ac:dyDescent="0.4">
      <c r="A252" s="291"/>
      <c r="B252" s="292"/>
      <c r="C252" s="312"/>
      <c r="D252" s="292"/>
      <c r="E252" s="489"/>
      <c r="F252" s="489"/>
      <c r="G252" s="490"/>
      <c r="H252" s="520"/>
      <c r="I252" s="523"/>
      <c r="J252" s="521"/>
      <c r="K252" s="522"/>
      <c r="M252" s="301" t="str">
        <f>N252&amp;AS[[#This Row],[Insurer Code]]&amp;"; "&amp;O252&amp;AS[[#This Row],[Reporting Year]]&amp;"; "&amp;P252&amp;AS[[#This Row],[Insurance Category Code]]&amp;"; "&amp;Q252&amp;AS[[#This Row],[Large Provider Entity Code]]&amp;"; "&amp;R252&amp;AS[[#This Row],[Age Band Code]]&amp;"; "&amp;S252&amp;AS[[#This Row],[Sex Code]]</f>
        <v xml:space="preserve">Insurer Code ; Reporting Year ; Insurance Category Code ; Large Provider Entity Code ; Age Band Code ; Sex Code </v>
      </c>
      <c r="N252" s="297" t="s">
        <v>197</v>
      </c>
      <c r="O252" s="297" t="s">
        <v>198</v>
      </c>
      <c r="P252" s="297" t="s">
        <v>199</v>
      </c>
      <c r="Q252" s="297" t="s">
        <v>200</v>
      </c>
      <c r="R252" s="297" t="s">
        <v>213</v>
      </c>
      <c r="S252" s="297" t="s">
        <v>214</v>
      </c>
    </row>
    <row r="253" spans="1:19" x14ac:dyDescent="0.4">
      <c r="A253" s="291"/>
      <c r="B253" s="292"/>
      <c r="C253" s="312"/>
      <c r="D253" s="292"/>
      <c r="E253" s="489"/>
      <c r="F253" s="489"/>
      <c r="G253" s="490"/>
      <c r="H253" s="520"/>
      <c r="I253" s="523"/>
      <c r="J253" s="521"/>
      <c r="K253" s="522"/>
      <c r="M253" s="301" t="str">
        <f>N253&amp;AS[[#This Row],[Insurer Code]]&amp;"; "&amp;O253&amp;AS[[#This Row],[Reporting Year]]&amp;"; "&amp;P253&amp;AS[[#This Row],[Insurance Category Code]]&amp;"; "&amp;Q253&amp;AS[[#This Row],[Large Provider Entity Code]]&amp;"; "&amp;R253&amp;AS[[#This Row],[Age Band Code]]&amp;"; "&amp;S253&amp;AS[[#This Row],[Sex Code]]</f>
        <v xml:space="preserve">Insurer Code ; Reporting Year ; Insurance Category Code ; Large Provider Entity Code ; Age Band Code ; Sex Code </v>
      </c>
      <c r="N253" s="297" t="s">
        <v>197</v>
      </c>
      <c r="O253" s="297" t="s">
        <v>198</v>
      </c>
      <c r="P253" s="297" t="s">
        <v>199</v>
      </c>
      <c r="Q253" s="297" t="s">
        <v>200</v>
      </c>
      <c r="R253" s="297" t="s">
        <v>213</v>
      </c>
      <c r="S253" s="297" t="s">
        <v>214</v>
      </c>
    </row>
    <row r="254" spans="1:19" x14ac:dyDescent="0.4">
      <c r="A254" s="291"/>
      <c r="B254" s="292"/>
      <c r="C254" s="312"/>
      <c r="D254" s="292"/>
      <c r="E254" s="489"/>
      <c r="F254" s="489"/>
      <c r="G254" s="490"/>
      <c r="H254" s="520"/>
      <c r="I254" s="523"/>
      <c r="J254" s="521"/>
      <c r="K254" s="522"/>
      <c r="M254" s="301" t="str">
        <f>N254&amp;AS[[#This Row],[Insurer Code]]&amp;"; "&amp;O254&amp;AS[[#This Row],[Reporting Year]]&amp;"; "&amp;P254&amp;AS[[#This Row],[Insurance Category Code]]&amp;"; "&amp;Q254&amp;AS[[#This Row],[Large Provider Entity Code]]&amp;"; "&amp;R254&amp;AS[[#This Row],[Age Band Code]]&amp;"; "&amp;S254&amp;AS[[#This Row],[Sex Code]]</f>
        <v xml:space="preserve">Insurer Code ; Reporting Year ; Insurance Category Code ; Large Provider Entity Code ; Age Band Code ; Sex Code </v>
      </c>
      <c r="N254" s="297" t="s">
        <v>197</v>
      </c>
      <c r="O254" s="297" t="s">
        <v>198</v>
      </c>
      <c r="P254" s="297" t="s">
        <v>199</v>
      </c>
      <c r="Q254" s="297" t="s">
        <v>200</v>
      </c>
      <c r="R254" s="297" t="s">
        <v>213</v>
      </c>
      <c r="S254" s="297" t="s">
        <v>214</v>
      </c>
    </row>
    <row r="255" spans="1:19" x14ac:dyDescent="0.4">
      <c r="A255" s="291"/>
      <c r="B255" s="292"/>
      <c r="C255" s="312"/>
      <c r="D255" s="292"/>
      <c r="E255" s="489"/>
      <c r="F255" s="489"/>
      <c r="G255" s="490"/>
      <c r="H255" s="520"/>
      <c r="I255" s="523"/>
      <c r="J255" s="521"/>
      <c r="K255" s="522"/>
      <c r="M255" s="301" t="str">
        <f>N255&amp;AS[[#This Row],[Insurer Code]]&amp;"; "&amp;O255&amp;AS[[#This Row],[Reporting Year]]&amp;"; "&amp;P255&amp;AS[[#This Row],[Insurance Category Code]]&amp;"; "&amp;Q255&amp;AS[[#This Row],[Large Provider Entity Code]]&amp;"; "&amp;R255&amp;AS[[#This Row],[Age Band Code]]&amp;"; "&amp;S255&amp;AS[[#This Row],[Sex Code]]</f>
        <v xml:space="preserve">Insurer Code ; Reporting Year ; Insurance Category Code ; Large Provider Entity Code ; Age Band Code ; Sex Code </v>
      </c>
      <c r="N255" s="297" t="s">
        <v>197</v>
      </c>
      <c r="O255" s="297" t="s">
        <v>198</v>
      </c>
      <c r="P255" s="297" t="s">
        <v>199</v>
      </c>
      <c r="Q255" s="297" t="s">
        <v>200</v>
      </c>
      <c r="R255" s="297" t="s">
        <v>213</v>
      </c>
      <c r="S255" s="297" t="s">
        <v>214</v>
      </c>
    </row>
    <row r="256" spans="1:19" x14ac:dyDescent="0.4">
      <c r="A256" s="291"/>
      <c r="B256" s="292"/>
      <c r="C256" s="312"/>
      <c r="D256" s="292"/>
      <c r="E256" s="489"/>
      <c r="F256" s="489"/>
      <c r="G256" s="490"/>
      <c r="H256" s="520"/>
      <c r="I256" s="523"/>
      <c r="J256" s="521"/>
      <c r="K256" s="522"/>
      <c r="M256" s="301" t="str">
        <f>N256&amp;AS[[#This Row],[Insurer Code]]&amp;"; "&amp;O256&amp;AS[[#This Row],[Reporting Year]]&amp;"; "&amp;P256&amp;AS[[#This Row],[Insurance Category Code]]&amp;"; "&amp;Q256&amp;AS[[#This Row],[Large Provider Entity Code]]&amp;"; "&amp;R256&amp;AS[[#This Row],[Age Band Code]]&amp;"; "&amp;S256&amp;AS[[#This Row],[Sex Code]]</f>
        <v xml:space="preserve">Insurer Code ; Reporting Year ; Insurance Category Code ; Large Provider Entity Code ; Age Band Code ; Sex Code </v>
      </c>
      <c r="N256" s="297" t="s">
        <v>197</v>
      </c>
      <c r="O256" s="297" t="s">
        <v>198</v>
      </c>
      <c r="P256" s="297" t="s">
        <v>199</v>
      </c>
      <c r="Q256" s="297" t="s">
        <v>200</v>
      </c>
      <c r="R256" s="297" t="s">
        <v>213</v>
      </c>
      <c r="S256" s="297" t="s">
        <v>214</v>
      </c>
    </row>
    <row r="257" spans="1:19" x14ac:dyDescent="0.4">
      <c r="A257" s="291"/>
      <c r="B257" s="292"/>
      <c r="C257" s="312"/>
      <c r="D257" s="292"/>
      <c r="E257" s="489"/>
      <c r="F257" s="489"/>
      <c r="G257" s="490"/>
      <c r="H257" s="520"/>
      <c r="I257" s="523"/>
      <c r="J257" s="521"/>
      <c r="K257" s="522"/>
      <c r="M257" s="301" t="str">
        <f>N257&amp;AS[[#This Row],[Insurer Code]]&amp;"; "&amp;O257&amp;AS[[#This Row],[Reporting Year]]&amp;"; "&amp;P257&amp;AS[[#This Row],[Insurance Category Code]]&amp;"; "&amp;Q257&amp;AS[[#This Row],[Large Provider Entity Code]]&amp;"; "&amp;R257&amp;AS[[#This Row],[Age Band Code]]&amp;"; "&amp;S257&amp;AS[[#This Row],[Sex Code]]</f>
        <v xml:space="preserve">Insurer Code ; Reporting Year ; Insurance Category Code ; Large Provider Entity Code ; Age Band Code ; Sex Code </v>
      </c>
      <c r="N257" s="297" t="s">
        <v>197</v>
      </c>
      <c r="O257" s="297" t="s">
        <v>198</v>
      </c>
      <c r="P257" s="297" t="s">
        <v>199</v>
      </c>
      <c r="Q257" s="297" t="s">
        <v>200</v>
      </c>
      <c r="R257" s="297" t="s">
        <v>213</v>
      </c>
      <c r="S257" s="297" t="s">
        <v>214</v>
      </c>
    </row>
    <row r="258" spans="1:19" x14ac:dyDescent="0.4">
      <c r="A258" s="291"/>
      <c r="B258" s="292"/>
      <c r="C258" s="312"/>
      <c r="D258" s="292"/>
      <c r="E258" s="489"/>
      <c r="F258" s="489"/>
      <c r="G258" s="490"/>
      <c r="H258" s="520"/>
      <c r="I258" s="523"/>
      <c r="J258" s="521"/>
      <c r="K258" s="522"/>
      <c r="M258" s="301" t="str">
        <f>N258&amp;AS[[#This Row],[Insurer Code]]&amp;"; "&amp;O258&amp;AS[[#This Row],[Reporting Year]]&amp;"; "&amp;P258&amp;AS[[#This Row],[Insurance Category Code]]&amp;"; "&amp;Q258&amp;AS[[#This Row],[Large Provider Entity Code]]&amp;"; "&amp;R258&amp;AS[[#This Row],[Age Band Code]]&amp;"; "&amp;S258&amp;AS[[#This Row],[Sex Code]]</f>
        <v xml:space="preserve">Insurer Code ; Reporting Year ; Insurance Category Code ; Large Provider Entity Code ; Age Band Code ; Sex Code </v>
      </c>
      <c r="N258" s="297" t="s">
        <v>197</v>
      </c>
      <c r="O258" s="297" t="s">
        <v>198</v>
      </c>
      <c r="P258" s="297" t="s">
        <v>199</v>
      </c>
      <c r="Q258" s="297" t="s">
        <v>200</v>
      </c>
      <c r="R258" s="297" t="s">
        <v>213</v>
      </c>
      <c r="S258" s="297" t="s">
        <v>214</v>
      </c>
    </row>
    <row r="259" spans="1:19" x14ac:dyDescent="0.4">
      <c r="A259" s="291"/>
      <c r="B259" s="292"/>
      <c r="C259" s="312"/>
      <c r="D259" s="292"/>
      <c r="E259" s="489"/>
      <c r="F259" s="489"/>
      <c r="G259" s="490"/>
      <c r="H259" s="520"/>
      <c r="I259" s="523"/>
      <c r="J259" s="521"/>
      <c r="K259" s="522"/>
      <c r="M259" s="301" t="str">
        <f>N259&amp;AS[[#This Row],[Insurer Code]]&amp;"; "&amp;O259&amp;AS[[#This Row],[Reporting Year]]&amp;"; "&amp;P259&amp;AS[[#This Row],[Insurance Category Code]]&amp;"; "&amp;Q259&amp;AS[[#This Row],[Large Provider Entity Code]]&amp;"; "&amp;R259&amp;AS[[#This Row],[Age Band Code]]&amp;"; "&amp;S259&amp;AS[[#This Row],[Sex Code]]</f>
        <v xml:space="preserve">Insurer Code ; Reporting Year ; Insurance Category Code ; Large Provider Entity Code ; Age Band Code ; Sex Code </v>
      </c>
      <c r="N259" s="297" t="s">
        <v>197</v>
      </c>
      <c r="O259" s="297" t="s">
        <v>198</v>
      </c>
      <c r="P259" s="297" t="s">
        <v>199</v>
      </c>
      <c r="Q259" s="297" t="s">
        <v>200</v>
      </c>
      <c r="R259" s="297" t="s">
        <v>213</v>
      </c>
      <c r="S259" s="297" t="s">
        <v>214</v>
      </c>
    </row>
    <row r="260" spans="1:19" x14ac:dyDescent="0.4">
      <c r="A260" s="291"/>
      <c r="B260" s="292"/>
      <c r="C260" s="312"/>
      <c r="D260" s="292"/>
      <c r="E260" s="489"/>
      <c r="F260" s="489"/>
      <c r="G260" s="490"/>
      <c r="H260" s="520"/>
      <c r="I260" s="523"/>
      <c r="J260" s="521"/>
      <c r="K260" s="522"/>
      <c r="M260" s="301" t="str">
        <f>N260&amp;AS[[#This Row],[Insurer Code]]&amp;"; "&amp;O260&amp;AS[[#This Row],[Reporting Year]]&amp;"; "&amp;P260&amp;AS[[#This Row],[Insurance Category Code]]&amp;"; "&amp;Q260&amp;AS[[#This Row],[Large Provider Entity Code]]&amp;"; "&amp;R260&amp;AS[[#This Row],[Age Band Code]]&amp;"; "&amp;S260&amp;AS[[#This Row],[Sex Code]]</f>
        <v xml:space="preserve">Insurer Code ; Reporting Year ; Insurance Category Code ; Large Provider Entity Code ; Age Band Code ; Sex Code </v>
      </c>
      <c r="N260" s="297" t="s">
        <v>197</v>
      </c>
      <c r="O260" s="297" t="s">
        <v>198</v>
      </c>
      <c r="P260" s="297" t="s">
        <v>199</v>
      </c>
      <c r="Q260" s="297" t="s">
        <v>200</v>
      </c>
      <c r="R260" s="297" t="s">
        <v>213</v>
      </c>
      <c r="S260" s="297" t="s">
        <v>214</v>
      </c>
    </row>
    <row r="261" spans="1:19" x14ac:dyDescent="0.4">
      <c r="A261" s="291"/>
      <c r="B261" s="292"/>
      <c r="C261" s="312"/>
      <c r="D261" s="292"/>
      <c r="E261" s="489"/>
      <c r="F261" s="489"/>
      <c r="G261" s="490"/>
      <c r="H261" s="520"/>
      <c r="I261" s="523"/>
      <c r="J261" s="521"/>
      <c r="K261" s="522"/>
      <c r="M261" s="301" t="str">
        <f>N261&amp;AS[[#This Row],[Insurer Code]]&amp;"; "&amp;O261&amp;AS[[#This Row],[Reporting Year]]&amp;"; "&amp;P261&amp;AS[[#This Row],[Insurance Category Code]]&amp;"; "&amp;Q261&amp;AS[[#This Row],[Large Provider Entity Code]]&amp;"; "&amp;R261&amp;AS[[#This Row],[Age Band Code]]&amp;"; "&amp;S261&amp;AS[[#This Row],[Sex Code]]</f>
        <v xml:space="preserve">Insurer Code ; Reporting Year ; Insurance Category Code ; Large Provider Entity Code ; Age Band Code ; Sex Code </v>
      </c>
      <c r="N261" s="297" t="s">
        <v>197</v>
      </c>
      <c r="O261" s="297" t="s">
        <v>198</v>
      </c>
      <c r="P261" s="297" t="s">
        <v>199</v>
      </c>
      <c r="Q261" s="297" t="s">
        <v>200</v>
      </c>
      <c r="R261" s="297" t="s">
        <v>213</v>
      </c>
      <c r="S261" s="297" t="s">
        <v>214</v>
      </c>
    </row>
    <row r="262" spans="1:19" x14ac:dyDescent="0.4">
      <c r="A262" s="291"/>
      <c r="B262" s="292"/>
      <c r="C262" s="312"/>
      <c r="D262" s="292"/>
      <c r="E262" s="489"/>
      <c r="F262" s="489"/>
      <c r="G262" s="490"/>
      <c r="H262" s="520"/>
      <c r="I262" s="523"/>
      <c r="J262" s="521"/>
      <c r="K262" s="522"/>
      <c r="M262" s="301" t="str">
        <f>N262&amp;AS[[#This Row],[Insurer Code]]&amp;"; "&amp;O262&amp;AS[[#This Row],[Reporting Year]]&amp;"; "&amp;P262&amp;AS[[#This Row],[Insurance Category Code]]&amp;"; "&amp;Q262&amp;AS[[#This Row],[Large Provider Entity Code]]&amp;"; "&amp;R262&amp;AS[[#This Row],[Age Band Code]]&amp;"; "&amp;S262&amp;AS[[#This Row],[Sex Code]]</f>
        <v xml:space="preserve">Insurer Code ; Reporting Year ; Insurance Category Code ; Large Provider Entity Code ; Age Band Code ; Sex Code </v>
      </c>
      <c r="N262" s="297" t="s">
        <v>197</v>
      </c>
      <c r="O262" s="297" t="s">
        <v>198</v>
      </c>
      <c r="P262" s="297" t="s">
        <v>199</v>
      </c>
      <c r="Q262" s="297" t="s">
        <v>200</v>
      </c>
      <c r="R262" s="297" t="s">
        <v>213</v>
      </c>
      <c r="S262" s="297" t="s">
        <v>214</v>
      </c>
    </row>
    <row r="263" spans="1:19" x14ac:dyDescent="0.4">
      <c r="A263" s="291"/>
      <c r="B263" s="292"/>
      <c r="C263" s="312"/>
      <c r="D263" s="292"/>
      <c r="E263" s="489"/>
      <c r="F263" s="489"/>
      <c r="G263" s="490"/>
      <c r="H263" s="520"/>
      <c r="I263" s="523"/>
      <c r="J263" s="521"/>
      <c r="K263" s="522"/>
      <c r="M263" s="301" t="str">
        <f>N263&amp;AS[[#This Row],[Insurer Code]]&amp;"; "&amp;O263&amp;AS[[#This Row],[Reporting Year]]&amp;"; "&amp;P263&amp;AS[[#This Row],[Insurance Category Code]]&amp;"; "&amp;Q263&amp;AS[[#This Row],[Large Provider Entity Code]]&amp;"; "&amp;R263&amp;AS[[#This Row],[Age Band Code]]&amp;"; "&amp;S263&amp;AS[[#This Row],[Sex Code]]</f>
        <v xml:space="preserve">Insurer Code ; Reporting Year ; Insurance Category Code ; Large Provider Entity Code ; Age Band Code ; Sex Code </v>
      </c>
      <c r="N263" s="297" t="s">
        <v>197</v>
      </c>
      <c r="O263" s="297" t="s">
        <v>198</v>
      </c>
      <c r="P263" s="297" t="s">
        <v>199</v>
      </c>
      <c r="Q263" s="297" t="s">
        <v>200</v>
      </c>
      <c r="R263" s="297" t="s">
        <v>213</v>
      </c>
      <c r="S263" s="297" t="s">
        <v>214</v>
      </c>
    </row>
    <row r="264" spans="1:19" x14ac:dyDescent="0.4">
      <c r="A264" s="291"/>
      <c r="B264" s="292"/>
      <c r="C264" s="312"/>
      <c r="D264" s="292"/>
      <c r="E264" s="489"/>
      <c r="F264" s="489"/>
      <c r="G264" s="490"/>
      <c r="H264" s="520"/>
      <c r="I264" s="523"/>
      <c r="J264" s="521"/>
      <c r="K264" s="522"/>
      <c r="M264" s="301" t="str">
        <f>N264&amp;AS[[#This Row],[Insurer Code]]&amp;"; "&amp;O264&amp;AS[[#This Row],[Reporting Year]]&amp;"; "&amp;P264&amp;AS[[#This Row],[Insurance Category Code]]&amp;"; "&amp;Q264&amp;AS[[#This Row],[Large Provider Entity Code]]&amp;"; "&amp;R264&amp;AS[[#This Row],[Age Band Code]]&amp;"; "&amp;S264&amp;AS[[#This Row],[Sex Code]]</f>
        <v xml:space="preserve">Insurer Code ; Reporting Year ; Insurance Category Code ; Large Provider Entity Code ; Age Band Code ; Sex Code </v>
      </c>
      <c r="N264" s="297" t="s">
        <v>197</v>
      </c>
      <c r="O264" s="297" t="s">
        <v>198</v>
      </c>
      <c r="P264" s="297" t="s">
        <v>199</v>
      </c>
      <c r="Q264" s="297" t="s">
        <v>200</v>
      </c>
      <c r="R264" s="297" t="s">
        <v>213</v>
      </c>
      <c r="S264" s="297" t="s">
        <v>214</v>
      </c>
    </row>
    <row r="265" spans="1:19" x14ac:dyDescent="0.4">
      <c r="A265" s="291"/>
      <c r="B265" s="292"/>
      <c r="C265" s="312"/>
      <c r="D265" s="292"/>
      <c r="E265" s="489"/>
      <c r="F265" s="489"/>
      <c r="G265" s="490"/>
      <c r="H265" s="520"/>
      <c r="I265" s="523"/>
      <c r="J265" s="521"/>
      <c r="K265" s="522"/>
      <c r="M265" s="301" t="str">
        <f>N265&amp;AS[[#This Row],[Insurer Code]]&amp;"; "&amp;O265&amp;AS[[#This Row],[Reporting Year]]&amp;"; "&amp;P265&amp;AS[[#This Row],[Insurance Category Code]]&amp;"; "&amp;Q265&amp;AS[[#This Row],[Large Provider Entity Code]]&amp;"; "&amp;R265&amp;AS[[#This Row],[Age Band Code]]&amp;"; "&amp;S265&amp;AS[[#This Row],[Sex Code]]</f>
        <v xml:space="preserve">Insurer Code ; Reporting Year ; Insurance Category Code ; Large Provider Entity Code ; Age Band Code ; Sex Code </v>
      </c>
      <c r="N265" s="297" t="s">
        <v>197</v>
      </c>
      <c r="O265" s="297" t="s">
        <v>198</v>
      </c>
      <c r="P265" s="297" t="s">
        <v>199</v>
      </c>
      <c r="Q265" s="297" t="s">
        <v>200</v>
      </c>
      <c r="R265" s="297" t="s">
        <v>213</v>
      </c>
      <c r="S265" s="297" t="s">
        <v>214</v>
      </c>
    </row>
    <row r="266" spans="1:19" x14ac:dyDescent="0.4">
      <c r="A266" s="291"/>
      <c r="B266" s="292"/>
      <c r="C266" s="312"/>
      <c r="D266" s="292"/>
      <c r="E266" s="489"/>
      <c r="F266" s="489"/>
      <c r="G266" s="490"/>
      <c r="H266" s="520"/>
      <c r="I266" s="523"/>
      <c r="J266" s="521"/>
      <c r="K266" s="522"/>
      <c r="M266" s="301" t="str">
        <f>N266&amp;AS[[#This Row],[Insurer Code]]&amp;"; "&amp;O266&amp;AS[[#This Row],[Reporting Year]]&amp;"; "&amp;P266&amp;AS[[#This Row],[Insurance Category Code]]&amp;"; "&amp;Q266&amp;AS[[#This Row],[Large Provider Entity Code]]&amp;"; "&amp;R266&amp;AS[[#This Row],[Age Band Code]]&amp;"; "&amp;S266&amp;AS[[#This Row],[Sex Code]]</f>
        <v xml:space="preserve">Insurer Code ; Reporting Year ; Insurance Category Code ; Large Provider Entity Code ; Age Band Code ; Sex Code </v>
      </c>
      <c r="N266" s="297" t="s">
        <v>197</v>
      </c>
      <c r="O266" s="297" t="s">
        <v>198</v>
      </c>
      <c r="P266" s="297" t="s">
        <v>199</v>
      </c>
      <c r="Q266" s="297" t="s">
        <v>200</v>
      </c>
      <c r="R266" s="297" t="s">
        <v>213</v>
      </c>
      <c r="S266" s="297" t="s">
        <v>214</v>
      </c>
    </row>
    <row r="267" spans="1:19" x14ac:dyDescent="0.4">
      <c r="A267" s="291"/>
      <c r="B267" s="292"/>
      <c r="C267" s="312"/>
      <c r="D267" s="292"/>
      <c r="E267" s="489"/>
      <c r="F267" s="489"/>
      <c r="G267" s="490"/>
      <c r="H267" s="520"/>
      <c r="I267" s="523"/>
      <c r="J267" s="521"/>
      <c r="K267" s="522"/>
      <c r="M267" s="301" t="str">
        <f>N267&amp;AS[[#This Row],[Insurer Code]]&amp;"; "&amp;O267&amp;AS[[#This Row],[Reporting Year]]&amp;"; "&amp;P267&amp;AS[[#This Row],[Insurance Category Code]]&amp;"; "&amp;Q267&amp;AS[[#This Row],[Large Provider Entity Code]]&amp;"; "&amp;R267&amp;AS[[#This Row],[Age Band Code]]&amp;"; "&amp;S267&amp;AS[[#This Row],[Sex Code]]</f>
        <v xml:space="preserve">Insurer Code ; Reporting Year ; Insurance Category Code ; Large Provider Entity Code ; Age Band Code ; Sex Code </v>
      </c>
      <c r="N267" s="297" t="s">
        <v>197</v>
      </c>
      <c r="O267" s="297" t="s">
        <v>198</v>
      </c>
      <c r="P267" s="297" t="s">
        <v>199</v>
      </c>
      <c r="Q267" s="297" t="s">
        <v>200</v>
      </c>
      <c r="R267" s="297" t="s">
        <v>213</v>
      </c>
      <c r="S267" s="297" t="s">
        <v>214</v>
      </c>
    </row>
    <row r="268" spans="1:19" x14ac:dyDescent="0.4">
      <c r="A268" s="291"/>
      <c r="B268" s="292"/>
      <c r="C268" s="312"/>
      <c r="D268" s="292"/>
      <c r="E268" s="489"/>
      <c r="F268" s="489"/>
      <c r="G268" s="490"/>
      <c r="H268" s="520"/>
      <c r="I268" s="523"/>
      <c r="J268" s="521"/>
      <c r="K268" s="522"/>
      <c r="M268" s="301" t="str">
        <f>N268&amp;AS[[#This Row],[Insurer Code]]&amp;"; "&amp;O268&amp;AS[[#This Row],[Reporting Year]]&amp;"; "&amp;P268&amp;AS[[#This Row],[Insurance Category Code]]&amp;"; "&amp;Q268&amp;AS[[#This Row],[Large Provider Entity Code]]&amp;"; "&amp;R268&amp;AS[[#This Row],[Age Band Code]]&amp;"; "&amp;S268&amp;AS[[#This Row],[Sex Code]]</f>
        <v xml:space="preserve">Insurer Code ; Reporting Year ; Insurance Category Code ; Large Provider Entity Code ; Age Band Code ; Sex Code </v>
      </c>
      <c r="N268" s="297" t="s">
        <v>197</v>
      </c>
      <c r="O268" s="297" t="s">
        <v>198</v>
      </c>
      <c r="P268" s="297" t="s">
        <v>199</v>
      </c>
      <c r="Q268" s="297" t="s">
        <v>200</v>
      </c>
      <c r="R268" s="297" t="s">
        <v>213</v>
      </c>
      <c r="S268" s="297" t="s">
        <v>214</v>
      </c>
    </row>
    <row r="269" spans="1:19" x14ac:dyDescent="0.4">
      <c r="A269" s="291"/>
      <c r="B269" s="292"/>
      <c r="C269" s="312"/>
      <c r="D269" s="292"/>
      <c r="E269" s="489"/>
      <c r="F269" s="489"/>
      <c r="G269" s="490"/>
      <c r="H269" s="520"/>
      <c r="I269" s="523"/>
      <c r="J269" s="521"/>
      <c r="K269" s="522"/>
      <c r="M269" s="301" t="str">
        <f>N269&amp;AS[[#This Row],[Insurer Code]]&amp;"; "&amp;O269&amp;AS[[#This Row],[Reporting Year]]&amp;"; "&amp;P269&amp;AS[[#This Row],[Insurance Category Code]]&amp;"; "&amp;Q269&amp;AS[[#This Row],[Large Provider Entity Code]]&amp;"; "&amp;R269&amp;AS[[#This Row],[Age Band Code]]&amp;"; "&amp;S269&amp;AS[[#This Row],[Sex Code]]</f>
        <v xml:space="preserve">Insurer Code ; Reporting Year ; Insurance Category Code ; Large Provider Entity Code ; Age Band Code ; Sex Code </v>
      </c>
      <c r="N269" s="297" t="s">
        <v>197</v>
      </c>
      <c r="O269" s="297" t="s">
        <v>198</v>
      </c>
      <c r="P269" s="297" t="s">
        <v>199</v>
      </c>
      <c r="Q269" s="297" t="s">
        <v>200</v>
      </c>
      <c r="R269" s="297" t="s">
        <v>213</v>
      </c>
      <c r="S269" s="297" t="s">
        <v>214</v>
      </c>
    </row>
    <row r="270" spans="1:19" x14ac:dyDescent="0.4">
      <c r="A270" s="291"/>
      <c r="B270" s="292"/>
      <c r="C270" s="312"/>
      <c r="D270" s="292"/>
      <c r="E270" s="489"/>
      <c r="F270" s="489"/>
      <c r="G270" s="490"/>
      <c r="H270" s="520"/>
      <c r="I270" s="523"/>
      <c r="J270" s="521"/>
      <c r="K270" s="522"/>
      <c r="M270" s="301" t="str">
        <f>N270&amp;AS[[#This Row],[Insurer Code]]&amp;"; "&amp;O270&amp;AS[[#This Row],[Reporting Year]]&amp;"; "&amp;P270&amp;AS[[#This Row],[Insurance Category Code]]&amp;"; "&amp;Q270&amp;AS[[#This Row],[Large Provider Entity Code]]&amp;"; "&amp;R270&amp;AS[[#This Row],[Age Band Code]]&amp;"; "&amp;S270&amp;AS[[#This Row],[Sex Code]]</f>
        <v xml:space="preserve">Insurer Code ; Reporting Year ; Insurance Category Code ; Large Provider Entity Code ; Age Band Code ; Sex Code </v>
      </c>
      <c r="N270" s="297" t="s">
        <v>197</v>
      </c>
      <c r="O270" s="297" t="s">
        <v>198</v>
      </c>
      <c r="P270" s="297" t="s">
        <v>199</v>
      </c>
      <c r="Q270" s="297" t="s">
        <v>200</v>
      </c>
      <c r="R270" s="297" t="s">
        <v>213</v>
      </c>
      <c r="S270" s="297" t="s">
        <v>214</v>
      </c>
    </row>
    <row r="271" spans="1:19" x14ac:dyDescent="0.4">
      <c r="A271" s="291"/>
      <c r="B271" s="292"/>
      <c r="C271" s="312"/>
      <c r="D271" s="292"/>
      <c r="E271" s="489"/>
      <c r="F271" s="489"/>
      <c r="G271" s="490"/>
      <c r="H271" s="520"/>
      <c r="I271" s="523"/>
      <c r="J271" s="521"/>
      <c r="K271" s="522"/>
      <c r="M271" s="301" t="str">
        <f>N271&amp;AS[[#This Row],[Insurer Code]]&amp;"; "&amp;O271&amp;AS[[#This Row],[Reporting Year]]&amp;"; "&amp;P271&amp;AS[[#This Row],[Insurance Category Code]]&amp;"; "&amp;Q271&amp;AS[[#This Row],[Large Provider Entity Code]]&amp;"; "&amp;R271&amp;AS[[#This Row],[Age Band Code]]&amp;"; "&amp;S271&amp;AS[[#This Row],[Sex Code]]</f>
        <v xml:space="preserve">Insurer Code ; Reporting Year ; Insurance Category Code ; Large Provider Entity Code ; Age Band Code ; Sex Code </v>
      </c>
      <c r="N271" s="297" t="s">
        <v>197</v>
      </c>
      <c r="O271" s="297" t="s">
        <v>198</v>
      </c>
      <c r="P271" s="297" t="s">
        <v>199</v>
      </c>
      <c r="Q271" s="297" t="s">
        <v>200</v>
      </c>
      <c r="R271" s="297" t="s">
        <v>213</v>
      </c>
      <c r="S271" s="297" t="s">
        <v>214</v>
      </c>
    </row>
    <row r="272" spans="1:19" x14ac:dyDescent="0.4">
      <c r="A272" s="291"/>
      <c r="B272" s="292"/>
      <c r="C272" s="312"/>
      <c r="D272" s="292"/>
      <c r="E272" s="489"/>
      <c r="F272" s="489"/>
      <c r="G272" s="490"/>
      <c r="H272" s="520"/>
      <c r="I272" s="523"/>
      <c r="J272" s="521"/>
      <c r="K272" s="522"/>
      <c r="M272" s="301" t="str">
        <f>N272&amp;AS[[#This Row],[Insurer Code]]&amp;"; "&amp;O272&amp;AS[[#This Row],[Reporting Year]]&amp;"; "&amp;P272&amp;AS[[#This Row],[Insurance Category Code]]&amp;"; "&amp;Q272&amp;AS[[#This Row],[Large Provider Entity Code]]&amp;"; "&amp;R272&amp;AS[[#This Row],[Age Band Code]]&amp;"; "&amp;S272&amp;AS[[#This Row],[Sex Code]]</f>
        <v xml:space="preserve">Insurer Code ; Reporting Year ; Insurance Category Code ; Large Provider Entity Code ; Age Band Code ; Sex Code </v>
      </c>
      <c r="N272" s="297" t="s">
        <v>197</v>
      </c>
      <c r="O272" s="297" t="s">
        <v>198</v>
      </c>
      <c r="P272" s="297" t="s">
        <v>199</v>
      </c>
      <c r="Q272" s="297" t="s">
        <v>200</v>
      </c>
      <c r="R272" s="297" t="s">
        <v>213</v>
      </c>
      <c r="S272" s="297" t="s">
        <v>214</v>
      </c>
    </row>
    <row r="273" spans="1:19" x14ac:dyDescent="0.4">
      <c r="A273" s="291"/>
      <c r="B273" s="292"/>
      <c r="C273" s="312"/>
      <c r="D273" s="292"/>
      <c r="E273" s="489"/>
      <c r="F273" s="489"/>
      <c r="G273" s="490"/>
      <c r="H273" s="520"/>
      <c r="I273" s="523"/>
      <c r="J273" s="521"/>
      <c r="K273" s="522"/>
      <c r="M273" s="301" t="str">
        <f>N273&amp;AS[[#This Row],[Insurer Code]]&amp;"; "&amp;O273&amp;AS[[#This Row],[Reporting Year]]&amp;"; "&amp;P273&amp;AS[[#This Row],[Insurance Category Code]]&amp;"; "&amp;Q273&amp;AS[[#This Row],[Large Provider Entity Code]]&amp;"; "&amp;R273&amp;AS[[#This Row],[Age Band Code]]&amp;"; "&amp;S273&amp;AS[[#This Row],[Sex Code]]</f>
        <v xml:space="preserve">Insurer Code ; Reporting Year ; Insurance Category Code ; Large Provider Entity Code ; Age Band Code ; Sex Code </v>
      </c>
      <c r="N273" s="297" t="s">
        <v>197</v>
      </c>
      <c r="O273" s="297" t="s">
        <v>198</v>
      </c>
      <c r="P273" s="297" t="s">
        <v>199</v>
      </c>
      <c r="Q273" s="297" t="s">
        <v>200</v>
      </c>
      <c r="R273" s="297" t="s">
        <v>213</v>
      </c>
      <c r="S273" s="297" t="s">
        <v>214</v>
      </c>
    </row>
    <row r="274" spans="1:19" x14ac:dyDescent="0.4">
      <c r="A274" s="291"/>
      <c r="B274" s="292"/>
      <c r="C274" s="312"/>
      <c r="D274" s="292"/>
      <c r="E274" s="489"/>
      <c r="F274" s="489"/>
      <c r="G274" s="490"/>
      <c r="H274" s="520"/>
      <c r="I274" s="523"/>
      <c r="J274" s="521"/>
      <c r="K274" s="522"/>
      <c r="M274" s="301" t="str">
        <f>N274&amp;AS[[#This Row],[Insurer Code]]&amp;"; "&amp;O274&amp;AS[[#This Row],[Reporting Year]]&amp;"; "&amp;P274&amp;AS[[#This Row],[Insurance Category Code]]&amp;"; "&amp;Q274&amp;AS[[#This Row],[Large Provider Entity Code]]&amp;"; "&amp;R274&amp;AS[[#This Row],[Age Band Code]]&amp;"; "&amp;S274&amp;AS[[#This Row],[Sex Code]]</f>
        <v xml:space="preserve">Insurer Code ; Reporting Year ; Insurance Category Code ; Large Provider Entity Code ; Age Band Code ; Sex Code </v>
      </c>
      <c r="N274" s="297" t="s">
        <v>197</v>
      </c>
      <c r="O274" s="297" t="s">
        <v>198</v>
      </c>
      <c r="P274" s="297" t="s">
        <v>199</v>
      </c>
      <c r="Q274" s="297" t="s">
        <v>200</v>
      </c>
      <c r="R274" s="297" t="s">
        <v>213</v>
      </c>
      <c r="S274" s="297" t="s">
        <v>214</v>
      </c>
    </row>
    <row r="275" spans="1:19" x14ac:dyDescent="0.4">
      <c r="A275" s="291"/>
      <c r="B275" s="292"/>
      <c r="C275" s="312"/>
      <c r="D275" s="292"/>
      <c r="E275" s="489"/>
      <c r="F275" s="489"/>
      <c r="G275" s="490"/>
      <c r="H275" s="520"/>
      <c r="I275" s="523"/>
      <c r="J275" s="521"/>
      <c r="K275" s="522"/>
      <c r="M275" s="301" t="str">
        <f>N275&amp;AS[[#This Row],[Insurer Code]]&amp;"; "&amp;O275&amp;AS[[#This Row],[Reporting Year]]&amp;"; "&amp;P275&amp;AS[[#This Row],[Insurance Category Code]]&amp;"; "&amp;Q275&amp;AS[[#This Row],[Large Provider Entity Code]]&amp;"; "&amp;R275&amp;AS[[#This Row],[Age Band Code]]&amp;"; "&amp;S275&amp;AS[[#This Row],[Sex Code]]</f>
        <v xml:space="preserve">Insurer Code ; Reporting Year ; Insurance Category Code ; Large Provider Entity Code ; Age Band Code ; Sex Code </v>
      </c>
      <c r="N275" s="297" t="s">
        <v>197</v>
      </c>
      <c r="O275" s="297" t="s">
        <v>198</v>
      </c>
      <c r="P275" s="297" t="s">
        <v>199</v>
      </c>
      <c r="Q275" s="297" t="s">
        <v>200</v>
      </c>
      <c r="R275" s="297" t="s">
        <v>213</v>
      </c>
      <c r="S275" s="297" t="s">
        <v>214</v>
      </c>
    </row>
    <row r="276" spans="1:19" x14ac:dyDescent="0.4">
      <c r="A276" s="291"/>
      <c r="B276" s="292"/>
      <c r="C276" s="312"/>
      <c r="D276" s="292"/>
      <c r="E276" s="489"/>
      <c r="F276" s="489"/>
      <c r="G276" s="490"/>
      <c r="H276" s="520"/>
      <c r="I276" s="523"/>
      <c r="J276" s="521"/>
      <c r="K276" s="522"/>
      <c r="M276" s="301" t="str">
        <f>N276&amp;AS[[#This Row],[Insurer Code]]&amp;"; "&amp;O276&amp;AS[[#This Row],[Reporting Year]]&amp;"; "&amp;P276&amp;AS[[#This Row],[Insurance Category Code]]&amp;"; "&amp;Q276&amp;AS[[#This Row],[Large Provider Entity Code]]&amp;"; "&amp;R276&amp;AS[[#This Row],[Age Band Code]]&amp;"; "&amp;S276&amp;AS[[#This Row],[Sex Code]]</f>
        <v xml:space="preserve">Insurer Code ; Reporting Year ; Insurance Category Code ; Large Provider Entity Code ; Age Band Code ; Sex Code </v>
      </c>
      <c r="N276" s="297" t="s">
        <v>197</v>
      </c>
      <c r="O276" s="297" t="s">
        <v>198</v>
      </c>
      <c r="P276" s="297" t="s">
        <v>199</v>
      </c>
      <c r="Q276" s="297" t="s">
        <v>200</v>
      </c>
      <c r="R276" s="297" t="s">
        <v>213</v>
      </c>
      <c r="S276" s="297" t="s">
        <v>214</v>
      </c>
    </row>
    <row r="277" spans="1:19" x14ac:dyDescent="0.4">
      <c r="A277" s="291"/>
      <c r="B277" s="292"/>
      <c r="C277" s="312"/>
      <c r="D277" s="292"/>
      <c r="E277" s="489"/>
      <c r="F277" s="489"/>
      <c r="G277" s="490"/>
      <c r="H277" s="520"/>
      <c r="I277" s="523"/>
      <c r="J277" s="521"/>
      <c r="K277" s="522"/>
      <c r="M277" s="301" t="str">
        <f>N277&amp;AS[[#This Row],[Insurer Code]]&amp;"; "&amp;O277&amp;AS[[#This Row],[Reporting Year]]&amp;"; "&amp;P277&amp;AS[[#This Row],[Insurance Category Code]]&amp;"; "&amp;Q277&amp;AS[[#This Row],[Large Provider Entity Code]]&amp;"; "&amp;R277&amp;AS[[#This Row],[Age Band Code]]&amp;"; "&amp;S277&amp;AS[[#This Row],[Sex Code]]</f>
        <v xml:space="preserve">Insurer Code ; Reporting Year ; Insurance Category Code ; Large Provider Entity Code ; Age Band Code ; Sex Code </v>
      </c>
      <c r="N277" s="297" t="s">
        <v>197</v>
      </c>
      <c r="O277" s="297" t="s">
        <v>198</v>
      </c>
      <c r="P277" s="297" t="s">
        <v>199</v>
      </c>
      <c r="Q277" s="297" t="s">
        <v>200</v>
      </c>
      <c r="R277" s="297" t="s">
        <v>213</v>
      </c>
      <c r="S277" s="297" t="s">
        <v>214</v>
      </c>
    </row>
    <row r="278" spans="1:19" x14ac:dyDescent="0.4">
      <c r="A278" s="291"/>
      <c r="B278" s="292"/>
      <c r="C278" s="312"/>
      <c r="D278" s="292"/>
      <c r="E278" s="489"/>
      <c r="F278" s="489"/>
      <c r="G278" s="490"/>
      <c r="H278" s="520"/>
      <c r="I278" s="523"/>
      <c r="J278" s="521"/>
      <c r="K278" s="522"/>
      <c r="M278" s="301" t="str">
        <f>N278&amp;AS[[#This Row],[Insurer Code]]&amp;"; "&amp;O278&amp;AS[[#This Row],[Reporting Year]]&amp;"; "&amp;P278&amp;AS[[#This Row],[Insurance Category Code]]&amp;"; "&amp;Q278&amp;AS[[#This Row],[Large Provider Entity Code]]&amp;"; "&amp;R278&amp;AS[[#This Row],[Age Band Code]]&amp;"; "&amp;S278&amp;AS[[#This Row],[Sex Code]]</f>
        <v xml:space="preserve">Insurer Code ; Reporting Year ; Insurance Category Code ; Large Provider Entity Code ; Age Band Code ; Sex Code </v>
      </c>
      <c r="N278" s="297" t="s">
        <v>197</v>
      </c>
      <c r="O278" s="297" t="s">
        <v>198</v>
      </c>
      <c r="P278" s="297" t="s">
        <v>199</v>
      </c>
      <c r="Q278" s="297" t="s">
        <v>200</v>
      </c>
      <c r="R278" s="297" t="s">
        <v>213</v>
      </c>
      <c r="S278" s="297" t="s">
        <v>214</v>
      </c>
    </row>
    <row r="279" spans="1:19" x14ac:dyDescent="0.4">
      <c r="A279" s="291"/>
      <c r="B279" s="292"/>
      <c r="C279" s="312"/>
      <c r="D279" s="292"/>
      <c r="E279" s="489"/>
      <c r="F279" s="489"/>
      <c r="G279" s="490"/>
      <c r="H279" s="520"/>
      <c r="I279" s="523"/>
      <c r="J279" s="521"/>
      <c r="K279" s="522"/>
      <c r="M279" s="301" t="str">
        <f>N279&amp;AS[[#This Row],[Insurer Code]]&amp;"; "&amp;O279&amp;AS[[#This Row],[Reporting Year]]&amp;"; "&amp;P279&amp;AS[[#This Row],[Insurance Category Code]]&amp;"; "&amp;Q279&amp;AS[[#This Row],[Large Provider Entity Code]]&amp;"; "&amp;R279&amp;AS[[#This Row],[Age Band Code]]&amp;"; "&amp;S279&amp;AS[[#This Row],[Sex Code]]</f>
        <v xml:space="preserve">Insurer Code ; Reporting Year ; Insurance Category Code ; Large Provider Entity Code ; Age Band Code ; Sex Code </v>
      </c>
      <c r="N279" s="297" t="s">
        <v>197</v>
      </c>
      <c r="O279" s="297" t="s">
        <v>198</v>
      </c>
      <c r="P279" s="297" t="s">
        <v>199</v>
      </c>
      <c r="Q279" s="297" t="s">
        <v>200</v>
      </c>
      <c r="R279" s="297" t="s">
        <v>213</v>
      </c>
      <c r="S279" s="297" t="s">
        <v>214</v>
      </c>
    </row>
    <row r="280" spans="1:19" x14ac:dyDescent="0.4">
      <c r="A280" s="291"/>
      <c r="B280" s="292"/>
      <c r="C280" s="312"/>
      <c r="D280" s="292"/>
      <c r="E280" s="489"/>
      <c r="F280" s="489"/>
      <c r="G280" s="490"/>
      <c r="H280" s="520"/>
      <c r="I280" s="523"/>
      <c r="J280" s="521"/>
      <c r="K280" s="522"/>
      <c r="M280" s="301" t="str">
        <f>N280&amp;AS[[#This Row],[Insurer Code]]&amp;"; "&amp;O280&amp;AS[[#This Row],[Reporting Year]]&amp;"; "&amp;P280&amp;AS[[#This Row],[Insurance Category Code]]&amp;"; "&amp;Q280&amp;AS[[#This Row],[Large Provider Entity Code]]&amp;"; "&amp;R280&amp;AS[[#This Row],[Age Band Code]]&amp;"; "&amp;S280&amp;AS[[#This Row],[Sex Code]]</f>
        <v xml:space="preserve">Insurer Code ; Reporting Year ; Insurance Category Code ; Large Provider Entity Code ; Age Band Code ; Sex Code </v>
      </c>
      <c r="N280" s="297" t="s">
        <v>197</v>
      </c>
      <c r="O280" s="297" t="s">
        <v>198</v>
      </c>
      <c r="P280" s="297" t="s">
        <v>199</v>
      </c>
      <c r="Q280" s="297" t="s">
        <v>200</v>
      </c>
      <c r="R280" s="297" t="s">
        <v>213</v>
      </c>
      <c r="S280" s="297" t="s">
        <v>214</v>
      </c>
    </row>
    <row r="281" spans="1:19" x14ac:dyDescent="0.4">
      <c r="A281" s="291"/>
      <c r="B281" s="292"/>
      <c r="C281" s="312"/>
      <c r="D281" s="292"/>
      <c r="E281" s="489"/>
      <c r="F281" s="489"/>
      <c r="G281" s="490"/>
      <c r="H281" s="520"/>
      <c r="I281" s="523"/>
      <c r="J281" s="521"/>
      <c r="K281" s="522"/>
      <c r="M281" s="301" t="str">
        <f>N281&amp;AS[[#This Row],[Insurer Code]]&amp;"; "&amp;O281&amp;AS[[#This Row],[Reporting Year]]&amp;"; "&amp;P281&amp;AS[[#This Row],[Insurance Category Code]]&amp;"; "&amp;Q281&amp;AS[[#This Row],[Large Provider Entity Code]]&amp;"; "&amp;R281&amp;AS[[#This Row],[Age Band Code]]&amp;"; "&amp;S281&amp;AS[[#This Row],[Sex Code]]</f>
        <v xml:space="preserve">Insurer Code ; Reporting Year ; Insurance Category Code ; Large Provider Entity Code ; Age Band Code ; Sex Code </v>
      </c>
      <c r="N281" s="297" t="s">
        <v>197</v>
      </c>
      <c r="O281" s="297" t="s">
        <v>198</v>
      </c>
      <c r="P281" s="297" t="s">
        <v>199</v>
      </c>
      <c r="Q281" s="297" t="s">
        <v>200</v>
      </c>
      <c r="R281" s="297" t="s">
        <v>213</v>
      </c>
      <c r="S281" s="297" t="s">
        <v>214</v>
      </c>
    </row>
    <row r="282" spans="1:19" x14ac:dyDescent="0.4">
      <c r="A282" s="291"/>
      <c r="B282" s="292"/>
      <c r="C282" s="312"/>
      <c r="D282" s="292"/>
      <c r="E282" s="489"/>
      <c r="F282" s="489"/>
      <c r="G282" s="490"/>
      <c r="H282" s="520"/>
      <c r="I282" s="523"/>
      <c r="J282" s="521"/>
      <c r="K282" s="522"/>
      <c r="M282" s="301" t="str">
        <f>N282&amp;AS[[#This Row],[Insurer Code]]&amp;"; "&amp;O282&amp;AS[[#This Row],[Reporting Year]]&amp;"; "&amp;P282&amp;AS[[#This Row],[Insurance Category Code]]&amp;"; "&amp;Q282&amp;AS[[#This Row],[Large Provider Entity Code]]&amp;"; "&amp;R282&amp;AS[[#This Row],[Age Band Code]]&amp;"; "&amp;S282&amp;AS[[#This Row],[Sex Code]]</f>
        <v xml:space="preserve">Insurer Code ; Reporting Year ; Insurance Category Code ; Large Provider Entity Code ; Age Band Code ; Sex Code </v>
      </c>
      <c r="N282" s="297" t="s">
        <v>197</v>
      </c>
      <c r="O282" s="297" t="s">
        <v>198</v>
      </c>
      <c r="P282" s="297" t="s">
        <v>199</v>
      </c>
      <c r="Q282" s="297" t="s">
        <v>200</v>
      </c>
      <c r="R282" s="297" t="s">
        <v>213</v>
      </c>
      <c r="S282" s="297" t="s">
        <v>214</v>
      </c>
    </row>
    <row r="283" spans="1:19" x14ac:dyDescent="0.4">
      <c r="A283" s="291"/>
      <c r="B283" s="292"/>
      <c r="C283" s="312"/>
      <c r="D283" s="292"/>
      <c r="E283" s="489"/>
      <c r="F283" s="489"/>
      <c r="G283" s="490"/>
      <c r="H283" s="520"/>
      <c r="I283" s="523"/>
      <c r="J283" s="521"/>
      <c r="K283" s="522"/>
      <c r="M283" s="301" t="str">
        <f>N283&amp;AS[[#This Row],[Insurer Code]]&amp;"; "&amp;O283&amp;AS[[#This Row],[Reporting Year]]&amp;"; "&amp;P283&amp;AS[[#This Row],[Insurance Category Code]]&amp;"; "&amp;Q283&amp;AS[[#This Row],[Large Provider Entity Code]]&amp;"; "&amp;R283&amp;AS[[#This Row],[Age Band Code]]&amp;"; "&amp;S283&amp;AS[[#This Row],[Sex Code]]</f>
        <v xml:space="preserve">Insurer Code ; Reporting Year ; Insurance Category Code ; Large Provider Entity Code ; Age Band Code ; Sex Code </v>
      </c>
      <c r="N283" s="297" t="s">
        <v>197</v>
      </c>
      <c r="O283" s="297" t="s">
        <v>198</v>
      </c>
      <c r="P283" s="297" t="s">
        <v>199</v>
      </c>
      <c r="Q283" s="297" t="s">
        <v>200</v>
      </c>
      <c r="R283" s="297" t="s">
        <v>213</v>
      </c>
      <c r="S283" s="297" t="s">
        <v>214</v>
      </c>
    </row>
    <row r="284" spans="1:19" x14ac:dyDescent="0.4">
      <c r="A284" s="291"/>
      <c r="B284" s="292"/>
      <c r="C284" s="312"/>
      <c r="D284" s="292"/>
      <c r="E284" s="489"/>
      <c r="F284" s="489"/>
      <c r="G284" s="490"/>
      <c r="H284" s="520"/>
      <c r="I284" s="523"/>
      <c r="J284" s="521"/>
      <c r="K284" s="522"/>
      <c r="M284" s="301" t="str">
        <f>N284&amp;AS[[#This Row],[Insurer Code]]&amp;"; "&amp;O284&amp;AS[[#This Row],[Reporting Year]]&amp;"; "&amp;P284&amp;AS[[#This Row],[Insurance Category Code]]&amp;"; "&amp;Q284&amp;AS[[#This Row],[Large Provider Entity Code]]&amp;"; "&amp;R284&amp;AS[[#This Row],[Age Band Code]]&amp;"; "&amp;S284&amp;AS[[#This Row],[Sex Code]]</f>
        <v xml:space="preserve">Insurer Code ; Reporting Year ; Insurance Category Code ; Large Provider Entity Code ; Age Band Code ; Sex Code </v>
      </c>
      <c r="N284" s="297" t="s">
        <v>197</v>
      </c>
      <c r="O284" s="297" t="s">
        <v>198</v>
      </c>
      <c r="P284" s="297" t="s">
        <v>199</v>
      </c>
      <c r="Q284" s="297" t="s">
        <v>200</v>
      </c>
      <c r="R284" s="297" t="s">
        <v>213</v>
      </c>
      <c r="S284" s="297" t="s">
        <v>214</v>
      </c>
    </row>
    <row r="285" spans="1:19" x14ac:dyDescent="0.4">
      <c r="A285" s="291"/>
      <c r="B285" s="292"/>
      <c r="C285" s="312"/>
      <c r="D285" s="292"/>
      <c r="E285" s="489"/>
      <c r="F285" s="489"/>
      <c r="G285" s="490"/>
      <c r="H285" s="520"/>
      <c r="I285" s="523"/>
      <c r="J285" s="521"/>
      <c r="K285" s="522"/>
      <c r="M285" s="301" t="str">
        <f>N285&amp;AS[[#This Row],[Insurer Code]]&amp;"; "&amp;O285&amp;AS[[#This Row],[Reporting Year]]&amp;"; "&amp;P285&amp;AS[[#This Row],[Insurance Category Code]]&amp;"; "&amp;Q285&amp;AS[[#This Row],[Large Provider Entity Code]]&amp;"; "&amp;R285&amp;AS[[#This Row],[Age Band Code]]&amp;"; "&amp;S285&amp;AS[[#This Row],[Sex Code]]</f>
        <v xml:space="preserve">Insurer Code ; Reporting Year ; Insurance Category Code ; Large Provider Entity Code ; Age Band Code ; Sex Code </v>
      </c>
      <c r="N285" s="297" t="s">
        <v>197</v>
      </c>
      <c r="O285" s="297" t="s">
        <v>198</v>
      </c>
      <c r="P285" s="297" t="s">
        <v>199</v>
      </c>
      <c r="Q285" s="297" t="s">
        <v>200</v>
      </c>
      <c r="R285" s="297" t="s">
        <v>213</v>
      </c>
      <c r="S285" s="297" t="s">
        <v>214</v>
      </c>
    </row>
    <row r="286" spans="1:19" x14ac:dyDescent="0.4">
      <c r="A286" s="291"/>
      <c r="B286" s="292"/>
      <c r="C286" s="312"/>
      <c r="D286" s="292"/>
      <c r="E286" s="489"/>
      <c r="F286" s="489"/>
      <c r="G286" s="490"/>
      <c r="H286" s="520"/>
      <c r="I286" s="523"/>
      <c r="J286" s="521"/>
      <c r="K286" s="522"/>
      <c r="M286" s="301" t="str">
        <f>N286&amp;AS[[#This Row],[Insurer Code]]&amp;"; "&amp;O286&amp;AS[[#This Row],[Reporting Year]]&amp;"; "&amp;P286&amp;AS[[#This Row],[Insurance Category Code]]&amp;"; "&amp;Q286&amp;AS[[#This Row],[Large Provider Entity Code]]&amp;"; "&amp;R286&amp;AS[[#This Row],[Age Band Code]]&amp;"; "&amp;S286&amp;AS[[#This Row],[Sex Code]]</f>
        <v xml:space="preserve">Insurer Code ; Reporting Year ; Insurance Category Code ; Large Provider Entity Code ; Age Band Code ; Sex Code </v>
      </c>
      <c r="N286" s="297" t="s">
        <v>197</v>
      </c>
      <c r="O286" s="297" t="s">
        <v>198</v>
      </c>
      <c r="P286" s="297" t="s">
        <v>199</v>
      </c>
      <c r="Q286" s="297" t="s">
        <v>200</v>
      </c>
      <c r="R286" s="297" t="s">
        <v>213</v>
      </c>
      <c r="S286" s="297" t="s">
        <v>214</v>
      </c>
    </row>
    <row r="287" spans="1:19" x14ac:dyDescent="0.4">
      <c r="A287" s="291"/>
      <c r="B287" s="292"/>
      <c r="C287" s="312"/>
      <c r="D287" s="292"/>
      <c r="E287" s="489"/>
      <c r="F287" s="489"/>
      <c r="G287" s="490"/>
      <c r="H287" s="520"/>
      <c r="I287" s="523"/>
      <c r="J287" s="521"/>
      <c r="K287" s="522"/>
      <c r="M287" s="301" t="str">
        <f>N287&amp;AS[[#This Row],[Insurer Code]]&amp;"; "&amp;O287&amp;AS[[#This Row],[Reporting Year]]&amp;"; "&amp;P287&amp;AS[[#This Row],[Insurance Category Code]]&amp;"; "&amp;Q287&amp;AS[[#This Row],[Large Provider Entity Code]]&amp;"; "&amp;R287&amp;AS[[#This Row],[Age Band Code]]&amp;"; "&amp;S287&amp;AS[[#This Row],[Sex Code]]</f>
        <v xml:space="preserve">Insurer Code ; Reporting Year ; Insurance Category Code ; Large Provider Entity Code ; Age Band Code ; Sex Code </v>
      </c>
      <c r="N287" s="297" t="s">
        <v>197</v>
      </c>
      <c r="O287" s="297" t="s">
        <v>198</v>
      </c>
      <c r="P287" s="297" t="s">
        <v>199</v>
      </c>
      <c r="Q287" s="297" t="s">
        <v>200</v>
      </c>
      <c r="R287" s="297" t="s">
        <v>213</v>
      </c>
      <c r="S287" s="297" t="s">
        <v>214</v>
      </c>
    </row>
    <row r="288" spans="1:19" x14ac:dyDescent="0.4">
      <c r="A288" s="291"/>
      <c r="B288" s="292"/>
      <c r="C288" s="312"/>
      <c r="D288" s="292"/>
      <c r="E288" s="489"/>
      <c r="F288" s="489"/>
      <c r="G288" s="490"/>
      <c r="H288" s="520"/>
      <c r="I288" s="523"/>
      <c r="J288" s="521"/>
      <c r="K288" s="522"/>
      <c r="M288" s="301" t="str">
        <f>N288&amp;AS[[#This Row],[Insurer Code]]&amp;"; "&amp;O288&amp;AS[[#This Row],[Reporting Year]]&amp;"; "&amp;P288&amp;AS[[#This Row],[Insurance Category Code]]&amp;"; "&amp;Q288&amp;AS[[#This Row],[Large Provider Entity Code]]&amp;"; "&amp;R288&amp;AS[[#This Row],[Age Band Code]]&amp;"; "&amp;S288&amp;AS[[#This Row],[Sex Code]]</f>
        <v xml:space="preserve">Insurer Code ; Reporting Year ; Insurance Category Code ; Large Provider Entity Code ; Age Band Code ; Sex Code </v>
      </c>
      <c r="N288" s="297" t="s">
        <v>197</v>
      </c>
      <c r="O288" s="297" t="s">
        <v>198</v>
      </c>
      <c r="P288" s="297" t="s">
        <v>199</v>
      </c>
      <c r="Q288" s="297" t="s">
        <v>200</v>
      </c>
      <c r="R288" s="297" t="s">
        <v>213</v>
      </c>
      <c r="S288" s="297" t="s">
        <v>214</v>
      </c>
    </row>
    <row r="289" spans="1:19" x14ac:dyDescent="0.4">
      <c r="A289" s="291"/>
      <c r="B289" s="292"/>
      <c r="C289" s="312"/>
      <c r="D289" s="292"/>
      <c r="E289" s="489"/>
      <c r="F289" s="489"/>
      <c r="G289" s="490"/>
      <c r="H289" s="520"/>
      <c r="I289" s="523"/>
      <c r="J289" s="521"/>
      <c r="K289" s="522"/>
      <c r="M289" s="301" t="str">
        <f>N289&amp;AS[[#This Row],[Insurer Code]]&amp;"; "&amp;O289&amp;AS[[#This Row],[Reporting Year]]&amp;"; "&amp;P289&amp;AS[[#This Row],[Insurance Category Code]]&amp;"; "&amp;Q289&amp;AS[[#This Row],[Large Provider Entity Code]]&amp;"; "&amp;R289&amp;AS[[#This Row],[Age Band Code]]&amp;"; "&amp;S289&amp;AS[[#This Row],[Sex Code]]</f>
        <v xml:space="preserve">Insurer Code ; Reporting Year ; Insurance Category Code ; Large Provider Entity Code ; Age Band Code ; Sex Code </v>
      </c>
      <c r="N289" s="297" t="s">
        <v>197</v>
      </c>
      <c r="O289" s="297" t="s">
        <v>198</v>
      </c>
      <c r="P289" s="297" t="s">
        <v>199</v>
      </c>
      <c r="Q289" s="297" t="s">
        <v>200</v>
      </c>
      <c r="R289" s="297" t="s">
        <v>213</v>
      </c>
      <c r="S289" s="297" t="s">
        <v>214</v>
      </c>
    </row>
    <row r="290" spans="1:19" x14ac:dyDescent="0.4">
      <c r="A290" s="291"/>
      <c r="B290" s="292"/>
      <c r="C290" s="312"/>
      <c r="D290" s="292"/>
      <c r="E290" s="489"/>
      <c r="F290" s="489"/>
      <c r="G290" s="490"/>
      <c r="H290" s="520"/>
      <c r="I290" s="523"/>
      <c r="J290" s="521"/>
      <c r="K290" s="522"/>
      <c r="M290" s="301" t="str">
        <f>N290&amp;AS[[#This Row],[Insurer Code]]&amp;"; "&amp;O290&amp;AS[[#This Row],[Reporting Year]]&amp;"; "&amp;P290&amp;AS[[#This Row],[Insurance Category Code]]&amp;"; "&amp;Q290&amp;AS[[#This Row],[Large Provider Entity Code]]&amp;"; "&amp;R290&amp;AS[[#This Row],[Age Band Code]]&amp;"; "&amp;S290&amp;AS[[#This Row],[Sex Code]]</f>
        <v xml:space="preserve">Insurer Code ; Reporting Year ; Insurance Category Code ; Large Provider Entity Code ; Age Band Code ; Sex Code </v>
      </c>
      <c r="N290" s="297" t="s">
        <v>197</v>
      </c>
      <c r="O290" s="297" t="s">
        <v>198</v>
      </c>
      <c r="P290" s="297" t="s">
        <v>199</v>
      </c>
      <c r="Q290" s="297" t="s">
        <v>200</v>
      </c>
      <c r="R290" s="297" t="s">
        <v>213</v>
      </c>
      <c r="S290" s="297" t="s">
        <v>214</v>
      </c>
    </row>
    <row r="291" spans="1:19" x14ac:dyDescent="0.4">
      <c r="A291" s="291"/>
      <c r="B291" s="292"/>
      <c r="C291" s="312"/>
      <c r="D291" s="292"/>
      <c r="E291" s="489"/>
      <c r="F291" s="489"/>
      <c r="G291" s="490"/>
      <c r="H291" s="520"/>
      <c r="I291" s="523"/>
      <c r="J291" s="521"/>
      <c r="K291" s="522"/>
      <c r="M291" s="301" t="str">
        <f>N291&amp;AS[[#This Row],[Insurer Code]]&amp;"; "&amp;O291&amp;AS[[#This Row],[Reporting Year]]&amp;"; "&amp;P291&amp;AS[[#This Row],[Insurance Category Code]]&amp;"; "&amp;Q291&amp;AS[[#This Row],[Large Provider Entity Code]]&amp;"; "&amp;R291&amp;AS[[#This Row],[Age Band Code]]&amp;"; "&amp;S291&amp;AS[[#This Row],[Sex Code]]</f>
        <v xml:space="preserve">Insurer Code ; Reporting Year ; Insurance Category Code ; Large Provider Entity Code ; Age Band Code ; Sex Code </v>
      </c>
      <c r="N291" s="297" t="s">
        <v>197</v>
      </c>
      <c r="O291" s="297" t="s">
        <v>198</v>
      </c>
      <c r="P291" s="297" t="s">
        <v>199</v>
      </c>
      <c r="Q291" s="297" t="s">
        <v>200</v>
      </c>
      <c r="R291" s="297" t="s">
        <v>213</v>
      </c>
      <c r="S291" s="297" t="s">
        <v>214</v>
      </c>
    </row>
    <row r="292" spans="1:19" x14ac:dyDescent="0.4">
      <c r="A292" s="291"/>
      <c r="B292" s="292"/>
      <c r="C292" s="312"/>
      <c r="D292" s="292"/>
      <c r="E292" s="489"/>
      <c r="F292" s="489"/>
      <c r="G292" s="490"/>
      <c r="H292" s="520"/>
      <c r="I292" s="523"/>
      <c r="J292" s="521"/>
      <c r="K292" s="522"/>
      <c r="M292" s="301" t="str">
        <f>N292&amp;AS[[#This Row],[Insurer Code]]&amp;"; "&amp;O292&amp;AS[[#This Row],[Reporting Year]]&amp;"; "&amp;P292&amp;AS[[#This Row],[Insurance Category Code]]&amp;"; "&amp;Q292&amp;AS[[#This Row],[Large Provider Entity Code]]&amp;"; "&amp;R292&amp;AS[[#This Row],[Age Band Code]]&amp;"; "&amp;S292&amp;AS[[#This Row],[Sex Code]]</f>
        <v xml:space="preserve">Insurer Code ; Reporting Year ; Insurance Category Code ; Large Provider Entity Code ; Age Band Code ; Sex Code </v>
      </c>
      <c r="N292" s="297" t="s">
        <v>197</v>
      </c>
      <c r="O292" s="297" t="s">
        <v>198</v>
      </c>
      <c r="P292" s="297" t="s">
        <v>199</v>
      </c>
      <c r="Q292" s="297" t="s">
        <v>200</v>
      </c>
      <c r="R292" s="297" t="s">
        <v>213</v>
      </c>
      <c r="S292" s="297" t="s">
        <v>214</v>
      </c>
    </row>
    <row r="293" spans="1:19" x14ac:dyDescent="0.4">
      <c r="A293" s="291"/>
      <c r="B293" s="292"/>
      <c r="C293" s="312"/>
      <c r="D293" s="292"/>
      <c r="E293" s="489"/>
      <c r="F293" s="489"/>
      <c r="G293" s="490"/>
      <c r="H293" s="520"/>
      <c r="I293" s="523"/>
      <c r="J293" s="521"/>
      <c r="K293" s="522"/>
      <c r="M293" s="301" t="str">
        <f>N293&amp;AS[[#This Row],[Insurer Code]]&amp;"; "&amp;O293&amp;AS[[#This Row],[Reporting Year]]&amp;"; "&amp;P293&amp;AS[[#This Row],[Insurance Category Code]]&amp;"; "&amp;Q293&amp;AS[[#This Row],[Large Provider Entity Code]]&amp;"; "&amp;R293&amp;AS[[#This Row],[Age Band Code]]&amp;"; "&amp;S293&amp;AS[[#This Row],[Sex Code]]</f>
        <v xml:space="preserve">Insurer Code ; Reporting Year ; Insurance Category Code ; Large Provider Entity Code ; Age Band Code ; Sex Code </v>
      </c>
      <c r="N293" s="297" t="s">
        <v>197</v>
      </c>
      <c r="O293" s="297" t="s">
        <v>198</v>
      </c>
      <c r="P293" s="297" t="s">
        <v>199</v>
      </c>
      <c r="Q293" s="297" t="s">
        <v>200</v>
      </c>
      <c r="R293" s="297" t="s">
        <v>213</v>
      </c>
      <c r="S293" s="297" t="s">
        <v>214</v>
      </c>
    </row>
    <row r="294" spans="1:19" x14ac:dyDescent="0.4">
      <c r="A294" s="291"/>
      <c r="B294" s="292"/>
      <c r="C294" s="312"/>
      <c r="D294" s="292"/>
      <c r="E294" s="489"/>
      <c r="F294" s="489"/>
      <c r="G294" s="490"/>
      <c r="H294" s="520"/>
      <c r="I294" s="523"/>
      <c r="J294" s="521"/>
      <c r="K294" s="522"/>
      <c r="M294" s="301" t="str">
        <f>N294&amp;AS[[#This Row],[Insurer Code]]&amp;"; "&amp;O294&amp;AS[[#This Row],[Reporting Year]]&amp;"; "&amp;P294&amp;AS[[#This Row],[Insurance Category Code]]&amp;"; "&amp;Q294&amp;AS[[#This Row],[Large Provider Entity Code]]&amp;"; "&amp;R294&amp;AS[[#This Row],[Age Band Code]]&amp;"; "&amp;S294&amp;AS[[#This Row],[Sex Code]]</f>
        <v xml:space="preserve">Insurer Code ; Reporting Year ; Insurance Category Code ; Large Provider Entity Code ; Age Band Code ; Sex Code </v>
      </c>
      <c r="N294" s="297" t="s">
        <v>197</v>
      </c>
      <c r="O294" s="297" t="s">
        <v>198</v>
      </c>
      <c r="P294" s="297" t="s">
        <v>199</v>
      </c>
      <c r="Q294" s="297" t="s">
        <v>200</v>
      </c>
      <c r="R294" s="297" t="s">
        <v>213</v>
      </c>
      <c r="S294" s="297" t="s">
        <v>214</v>
      </c>
    </row>
    <row r="295" spans="1:19" x14ac:dyDescent="0.4">
      <c r="A295" s="291"/>
      <c r="B295" s="292"/>
      <c r="C295" s="312"/>
      <c r="D295" s="292"/>
      <c r="E295" s="489"/>
      <c r="F295" s="489"/>
      <c r="G295" s="490"/>
      <c r="H295" s="520"/>
      <c r="I295" s="523"/>
      <c r="J295" s="521"/>
      <c r="K295" s="522"/>
      <c r="M295" s="301" t="str">
        <f>N295&amp;AS[[#This Row],[Insurer Code]]&amp;"; "&amp;O295&amp;AS[[#This Row],[Reporting Year]]&amp;"; "&amp;P295&amp;AS[[#This Row],[Insurance Category Code]]&amp;"; "&amp;Q295&amp;AS[[#This Row],[Large Provider Entity Code]]&amp;"; "&amp;R295&amp;AS[[#This Row],[Age Band Code]]&amp;"; "&amp;S295&amp;AS[[#This Row],[Sex Code]]</f>
        <v xml:space="preserve">Insurer Code ; Reporting Year ; Insurance Category Code ; Large Provider Entity Code ; Age Band Code ; Sex Code </v>
      </c>
      <c r="N295" s="297" t="s">
        <v>197</v>
      </c>
      <c r="O295" s="297" t="s">
        <v>198</v>
      </c>
      <c r="P295" s="297" t="s">
        <v>199</v>
      </c>
      <c r="Q295" s="297" t="s">
        <v>200</v>
      </c>
      <c r="R295" s="297" t="s">
        <v>213</v>
      </c>
      <c r="S295" s="297" t="s">
        <v>214</v>
      </c>
    </row>
    <row r="296" spans="1:19" x14ac:dyDescent="0.4">
      <c r="A296" s="291"/>
      <c r="B296" s="292"/>
      <c r="C296" s="312"/>
      <c r="D296" s="292"/>
      <c r="E296" s="489"/>
      <c r="F296" s="489"/>
      <c r="G296" s="490"/>
      <c r="H296" s="520"/>
      <c r="I296" s="523"/>
      <c r="J296" s="521"/>
      <c r="K296" s="522"/>
      <c r="M296" s="301" t="str">
        <f>N296&amp;AS[[#This Row],[Insurer Code]]&amp;"; "&amp;O296&amp;AS[[#This Row],[Reporting Year]]&amp;"; "&amp;P296&amp;AS[[#This Row],[Insurance Category Code]]&amp;"; "&amp;Q296&amp;AS[[#This Row],[Large Provider Entity Code]]&amp;"; "&amp;R296&amp;AS[[#This Row],[Age Band Code]]&amp;"; "&amp;S296&amp;AS[[#This Row],[Sex Code]]</f>
        <v xml:space="preserve">Insurer Code ; Reporting Year ; Insurance Category Code ; Large Provider Entity Code ; Age Band Code ; Sex Code </v>
      </c>
      <c r="N296" s="297" t="s">
        <v>197</v>
      </c>
      <c r="O296" s="297" t="s">
        <v>198</v>
      </c>
      <c r="P296" s="297" t="s">
        <v>199</v>
      </c>
      <c r="Q296" s="297" t="s">
        <v>200</v>
      </c>
      <c r="R296" s="297" t="s">
        <v>213</v>
      </c>
      <c r="S296" s="297" t="s">
        <v>214</v>
      </c>
    </row>
    <row r="297" spans="1:19" x14ac:dyDescent="0.4">
      <c r="A297" s="291"/>
      <c r="B297" s="292"/>
      <c r="C297" s="312"/>
      <c r="D297" s="292"/>
      <c r="E297" s="489"/>
      <c r="F297" s="489"/>
      <c r="G297" s="490"/>
      <c r="H297" s="520"/>
      <c r="I297" s="523"/>
      <c r="J297" s="521"/>
      <c r="K297" s="522"/>
      <c r="M297" s="301" t="str">
        <f>N297&amp;AS[[#This Row],[Insurer Code]]&amp;"; "&amp;O297&amp;AS[[#This Row],[Reporting Year]]&amp;"; "&amp;P297&amp;AS[[#This Row],[Insurance Category Code]]&amp;"; "&amp;Q297&amp;AS[[#This Row],[Large Provider Entity Code]]&amp;"; "&amp;R297&amp;AS[[#This Row],[Age Band Code]]&amp;"; "&amp;S297&amp;AS[[#This Row],[Sex Code]]</f>
        <v xml:space="preserve">Insurer Code ; Reporting Year ; Insurance Category Code ; Large Provider Entity Code ; Age Band Code ; Sex Code </v>
      </c>
      <c r="N297" s="297" t="s">
        <v>197</v>
      </c>
      <c r="O297" s="297" t="s">
        <v>198</v>
      </c>
      <c r="P297" s="297" t="s">
        <v>199</v>
      </c>
      <c r="Q297" s="297" t="s">
        <v>200</v>
      </c>
      <c r="R297" s="297" t="s">
        <v>213</v>
      </c>
      <c r="S297" s="297" t="s">
        <v>214</v>
      </c>
    </row>
    <row r="298" spans="1:19" x14ac:dyDescent="0.4">
      <c r="A298" s="291"/>
      <c r="B298" s="292"/>
      <c r="C298" s="312"/>
      <c r="D298" s="292"/>
      <c r="E298" s="489"/>
      <c r="F298" s="489"/>
      <c r="G298" s="490"/>
      <c r="H298" s="520"/>
      <c r="I298" s="523"/>
      <c r="J298" s="521"/>
      <c r="K298" s="522"/>
      <c r="M298" s="301" t="str">
        <f>N298&amp;AS[[#This Row],[Insurer Code]]&amp;"; "&amp;O298&amp;AS[[#This Row],[Reporting Year]]&amp;"; "&amp;P298&amp;AS[[#This Row],[Insurance Category Code]]&amp;"; "&amp;Q298&amp;AS[[#This Row],[Large Provider Entity Code]]&amp;"; "&amp;R298&amp;AS[[#This Row],[Age Band Code]]&amp;"; "&amp;S298&amp;AS[[#This Row],[Sex Code]]</f>
        <v xml:space="preserve">Insurer Code ; Reporting Year ; Insurance Category Code ; Large Provider Entity Code ; Age Band Code ; Sex Code </v>
      </c>
      <c r="N298" s="297" t="s">
        <v>197</v>
      </c>
      <c r="O298" s="297" t="s">
        <v>198</v>
      </c>
      <c r="P298" s="297" t="s">
        <v>199</v>
      </c>
      <c r="Q298" s="297" t="s">
        <v>200</v>
      </c>
      <c r="R298" s="297" t="s">
        <v>213</v>
      </c>
      <c r="S298" s="297" t="s">
        <v>214</v>
      </c>
    </row>
    <row r="299" spans="1:19" x14ac:dyDescent="0.4">
      <c r="A299" s="291"/>
      <c r="B299" s="292"/>
      <c r="C299" s="312"/>
      <c r="D299" s="292"/>
      <c r="E299" s="489"/>
      <c r="F299" s="489"/>
      <c r="G299" s="490"/>
      <c r="H299" s="520"/>
      <c r="I299" s="523"/>
      <c r="J299" s="521"/>
      <c r="K299" s="522"/>
      <c r="M299" s="301" t="str">
        <f>N299&amp;AS[[#This Row],[Insurer Code]]&amp;"; "&amp;O299&amp;AS[[#This Row],[Reporting Year]]&amp;"; "&amp;P299&amp;AS[[#This Row],[Insurance Category Code]]&amp;"; "&amp;Q299&amp;AS[[#This Row],[Large Provider Entity Code]]&amp;"; "&amp;R299&amp;AS[[#This Row],[Age Band Code]]&amp;"; "&amp;S299&amp;AS[[#This Row],[Sex Code]]</f>
        <v xml:space="preserve">Insurer Code ; Reporting Year ; Insurance Category Code ; Large Provider Entity Code ; Age Band Code ; Sex Code </v>
      </c>
      <c r="N299" s="297" t="s">
        <v>197</v>
      </c>
      <c r="O299" s="297" t="s">
        <v>198</v>
      </c>
      <c r="P299" s="297" t="s">
        <v>199</v>
      </c>
      <c r="Q299" s="297" t="s">
        <v>200</v>
      </c>
      <c r="R299" s="297" t="s">
        <v>213</v>
      </c>
      <c r="S299" s="297" t="s">
        <v>214</v>
      </c>
    </row>
    <row r="300" spans="1:19" x14ac:dyDescent="0.4">
      <c r="A300" s="291"/>
      <c r="B300" s="292"/>
      <c r="C300" s="312"/>
      <c r="D300" s="292"/>
      <c r="E300" s="489"/>
      <c r="F300" s="489"/>
      <c r="G300" s="490"/>
      <c r="H300" s="520"/>
      <c r="I300" s="523"/>
      <c r="J300" s="521"/>
      <c r="K300" s="522"/>
      <c r="M300" s="301" t="str">
        <f>N300&amp;AS[[#This Row],[Insurer Code]]&amp;"; "&amp;O300&amp;AS[[#This Row],[Reporting Year]]&amp;"; "&amp;P300&amp;AS[[#This Row],[Insurance Category Code]]&amp;"; "&amp;Q300&amp;AS[[#This Row],[Large Provider Entity Code]]&amp;"; "&amp;R300&amp;AS[[#This Row],[Age Band Code]]&amp;"; "&amp;S300&amp;AS[[#This Row],[Sex Code]]</f>
        <v xml:space="preserve">Insurer Code ; Reporting Year ; Insurance Category Code ; Large Provider Entity Code ; Age Band Code ; Sex Code </v>
      </c>
      <c r="N300" s="297" t="s">
        <v>197</v>
      </c>
      <c r="O300" s="297" t="s">
        <v>198</v>
      </c>
      <c r="P300" s="297" t="s">
        <v>199</v>
      </c>
      <c r="Q300" s="297" t="s">
        <v>200</v>
      </c>
      <c r="R300" s="297" t="s">
        <v>213</v>
      </c>
      <c r="S300" s="297" t="s">
        <v>214</v>
      </c>
    </row>
    <row r="301" spans="1:19" x14ac:dyDescent="0.4">
      <c r="A301" s="291"/>
      <c r="B301" s="292"/>
      <c r="C301" s="312"/>
      <c r="D301" s="292"/>
      <c r="E301" s="489"/>
      <c r="F301" s="489"/>
      <c r="G301" s="490"/>
      <c r="H301" s="520"/>
      <c r="I301" s="523"/>
      <c r="J301" s="521"/>
      <c r="K301" s="522"/>
      <c r="M301" s="301" t="str">
        <f>N301&amp;AS[[#This Row],[Insurer Code]]&amp;"; "&amp;O301&amp;AS[[#This Row],[Reporting Year]]&amp;"; "&amp;P301&amp;AS[[#This Row],[Insurance Category Code]]&amp;"; "&amp;Q301&amp;AS[[#This Row],[Large Provider Entity Code]]&amp;"; "&amp;R301&amp;AS[[#This Row],[Age Band Code]]&amp;"; "&amp;S301&amp;AS[[#This Row],[Sex Code]]</f>
        <v xml:space="preserve">Insurer Code ; Reporting Year ; Insurance Category Code ; Large Provider Entity Code ; Age Band Code ; Sex Code </v>
      </c>
      <c r="N301" s="297" t="s">
        <v>197</v>
      </c>
      <c r="O301" s="297" t="s">
        <v>198</v>
      </c>
      <c r="P301" s="297" t="s">
        <v>199</v>
      </c>
      <c r="Q301" s="297" t="s">
        <v>200</v>
      </c>
      <c r="R301" s="297" t="s">
        <v>213</v>
      </c>
      <c r="S301" s="297" t="s">
        <v>214</v>
      </c>
    </row>
    <row r="302" spans="1:19" x14ac:dyDescent="0.4">
      <c r="A302" s="291"/>
      <c r="B302" s="292"/>
      <c r="C302" s="312"/>
      <c r="D302" s="292"/>
      <c r="E302" s="489"/>
      <c r="F302" s="489"/>
      <c r="G302" s="490"/>
      <c r="H302" s="520"/>
      <c r="I302" s="523"/>
      <c r="J302" s="521"/>
      <c r="K302" s="522"/>
      <c r="M302" s="301" t="str">
        <f>N302&amp;AS[[#This Row],[Insurer Code]]&amp;"; "&amp;O302&amp;AS[[#This Row],[Reporting Year]]&amp;"; "&amp;P302&amp;AS[[#This Row],[Insurance Category Code]]&amp;"; "&amp;Q302&amp;AS[[#This Row],[Large Provider Entity Code]]&amp;"; "&amp;R302&amp;AS[[#This Row],[Age Band Code]]&amp;"; "&amp;S302&amp;AS[[#This Row],[Sex Code]]</f>
        <v xml:space="preserve">Insurer Code ; Reporting Year ; Insurance Category Code ; Large Provider Entity Code ; Age Band Code ; Sex Code </v>
      </c>
      <c r="N302" s="297" t="s">
        <v>197</v>
      </c>
      <c r="O302" s="297" t="s">
        <v>198</v>
      </c>
      <c r="P302" s="297" t="s">
        <v>199</v>
      </c>
      <c r="Q302" s="297" t="s">
        <v>200</v>
      </c>
      <c r="R302" s="297" t="s">
        <v>213</v>
      </c>
      <c r="S302" s="297" t="s">
        <v>214</v>
      </c>
    </row>
    <row r="303" spans="1:19" x14ac:dyDescent="0.4">
      <c r="A303" s="291"/>
      <c r="B303" s="292"/>
      <c r="C303" s="312"/>
      <c r="D303" s="292"/>
      <c r="E303" s="489"/>
      <c r="F303" s="489"/>
      <c r="G303" s="490"/>
      <c r="H303" s="520"/>
      <c r="I303" s="523"/>
      <c r="J303" s="521"/>
      <c r="K303" s="522"/>
      <c r="M303" s="301" t="str">
        <f>N303&amp;AS[[#This Row],[Insurer Code]]&amp;"; "&amp;O303&amp;AS[[#This Row],[Reporting Year]]&amp;"; "&amp;P303&amp;AS[[#This Row],[Insurance Category Code]]&amp;"; "&amp;Q303&amp;AS[[#This Row],[Large Provider Entity Code]]&amp;"; "&amp;R303&amp;AS[[#This Row],[Age Band Code]]&amp;"; "&amp;S303&amp;AS[[#This Row],[Sex Code]]</f>
        <v xml:space="preserve">Insurer Code ; Reporting Year ; Insurance Category Code ; Large Provider Entity Code ; Age Band Code ; Sex Code </v>
      </c>
      <c r="N303" s="297" t="s">
        <v>197</v>
      </c>
      <c r="O303" s="297" t="s">
        <v>198</v>
      </c>
      <c r="P303" s="297" t="s">
        <v>199</v>
      </c>
      <c r="Q303" s="297" t="s">
        <v>200</v>
      </c>
      <c r="R303" s="297" t="s">
        <v>213</v>
      </c>
      <c r="S303" s="297" t="s">
        <v>214</v>
      </c>
    </row>
    <row r="304" spans="1:19" x14ac:dyDescent="0.4">
      <c r="A304" s="291"/>
      <c r="B304" s="292"/>
      <c r="C304" s="312"/>
      <c r="D304" s="292"/>
      <c r="E304" s="489"/>
      <c r="F304" s="489"/>
      <c r="G304" s="490"/>
      <c r="H304" s="520"/>
      <c r="I304" s="523"/>
      <c r="J304" s="521"/>
      <c r="K304" s="522"/>
      <c r="M304" s="301" t="str">
        <f>N304&amp;AS[[#This Row],[Insurer Code]]&amp;"; "&amp;O304&amp;AS[[#This Row],[Reporting Year]]&amp;"; "&amp;P304&amp;AS[[#This Row],[Insurance Category Code]]&amp;"; "&amp;Q304&amp;AS[[#This Row],[Large Provider Entity Code]]&amp;"; "&amp;R304&amp;AS[[#This Row],[Age Band Code]]&amp;"; "&amp;S304&amp;AS[[#This Row],[Sex Code]]</f>
        <v xml:space="preserve">Insurer Code ; Reporting Year ; Insurance Category Code ; Large Provider Entity Code ; Age Band Code ; Sex Code </v>
      </c>
      <c r="N304" s="297" t="s">
        <v>197</v>
      </c>
      <c r="O304" s="297" t="s">
        <v>198</v>
      </c>
      <c r="P304" s="297" t="s">
        <v>199</v>
      </c>
      <c r="Q304" s="297" t="s">
        <v>200</v>
      </c>
      <c r="R304" s="297" t="s">
        <v>213</v>
      </c>
      <c r="S304" s="297" t="s">
        <v>214</v>
      </c>
    </row>
    <row r="305" spans="1:19" x14ac:dyDescent="0.4">
      <c r="A305" s="291"/>
      <c r="B305" s="292"/>
      <c r="C305" s="312"/>
      <c r="D305" s="292"/>
      <c r="E305" s="489"/>
      <c r="F305" s="489"/>
      <c r="G305" s="490"/>
      <c r="H305" s="520"/>
      <c r="I305" s="523"/>
      <c r="J305" s="521"/>
      <c r="K305" s="522"/>
      <c r="M305" s="301" t="str">
        <f>N305&amp;AS[[#This Row],[Insurer Code]]&amp;"; "&amp;O305&amp;AS[[#This Row],[Reporting Year]]&amp;"; "&amp;P305&amp;AS[[#This Row],[Insurance Category Code]]&amp;"; "&amp;Q305&amp;AS[[#This Row],[Large Provider Entity Code]]&amp;"; "&amp;R305&amp;AS[[#This Row],[Age Band Code]]&amp;"; "&amp;S305&amp;AS[[#This Row],[Sex Code]]</f>
        <v xml:space="preserve">Insurer Code ; Reporting Year ; Insurance Category Code ; Large Provider Entity Code ; Age Band Code ; Sex Code </v>
      </c>
      <c r="N305" s="297" t="s">
        <v>197</v>
      </c>
      <c r="O305" s="297" t="s">
        <v>198</v>
      </c>
      <c r="P305" s="297" t="s">
        <v>199</v>
      </c>
      <c r="Q305" s="297" t="s">
        <v>200</v>
      </c>
      <c r="R305" s="297" t="s">
        <v>213</v>
      </c>
      <c r="S305" s="297" t="s">
        <v>214</v>
      </c>
    </row>
    <row r="306" spans="1:19" x14ac:dyDescent="0.4">
      <c r="A306" s="291"/>
      <c r="B306" s="292"/>
      <c r="C306" s="312"/>
      <c r="D306" s="292"/>
      <c r="E306" s="489"/>
      <c r="F306" s="489"/>
      <c r="G306" s="490"/>
      <c r="H306" s="520"/>
      <c r="I306" s="523"/>
      <c r="J306" s="521"/>
      <c r="K306" s="522"/>
      <c r="M306" s="301" t="str">
        <f>N306&amp;AS[[#This Row],[Insurer Code]]&amp;"; "&amp;O306&amp;AS[[#This Row],[Reporting Year]]&amp;"; "&amp;P306&amp;AS[[#This Row],[Insurance Category Code]]&amp;"; "&amp;Q306&amp;AS[[#This Row],[Large Provider Entity Code]]&amp;"; "&amp;R306&amp;AS[[#This Row],[Age Band Code]]&amp;"; "&amp;S306&amp;AS[[#This Row],[Sex Code]]</f>
        <v xml:space="preserve">Insurer Code ; Reporting Year ; Insurance Category Code ; Large Provider Entity Code ; Age Band Code ; Sex Code </v>
      </c>
      <c r="N306" s="297" t="s">
        <v>197</v>
      </c>
      <c r="O306" s="297" t="s">
        <v>198</v>
      </c>
      <c r="P306" s="297" t="s">
        <v>199</v>
      </c>
      <c r="Q306" s="297" t="s">
        <v>200</v>
      </c>
      <c r="R306" s="297" t="s">
        <v>213</v>
      </c>
      <c r="S306" s="297" t="s">
        <v>214</v>
      </c>
    </row>
    <row r="307" spans="1:19" x14ac:dyDescent="0.4">
      <c r="A307" s="291"/>
      <c r="B307" s="292"/>
      <c r="C307" s="312"/>
      <c r="D307" s="292"/>
      <c r="E307" s="489"/>
      <c r="F307" s="489"/>
      <c r="G307" s="490"/>
      <c r="H307" s="520"/>
      <c r="I307" s="523"/>
      <c r="J307" s="521"/>
      <c r="K307" s="522"/>
      <c r="M307" s="301" t="str">
        <f>N307&amp;AS[[#This Row],[Insurer Code]]&amp;"; "&amp;O307&amp;AS[[#This Row],[Reporting Year]]&amp;"; "&amp;P307&amp;AS[[#This Row],[Insurance Category Code]]&amp;"; "&amp;Q307&amp;AS[[#This Row],[Large Provider Entity Code]]&amp;"; "&amp;R307&amp;AS[[#This Row],[Age Band Code]]&amp;"; "&amp;S307&amp;AS[[#This Row],[Sex Code]]</f>
        <v xml:space="preserve">Insurer Code ; Reporting Year ; Insurance Category Code ; Large Provider Entity Code ; Age Band Code ; Sex Code </v>
      </c>
      <c r="N307" s="297" t="s">
        <v>197</v>
      </c>
      <c r="O307" s="297" t="s">
        <v>198</v>
      </c>
      <c r="P307" s="297" t="s">
        <v>199</v>
      </c>
      <c r="Q307" s="297" t="s">
        <v>200</v>
      </c>
      <c r="R307" s="297" t="s">
        <v>213</v>
      </c>
      <c r="S307" s="297" t="s">
        <v>214</v>
      </c>
    </row>
    <row r="308" spans="1:19" x14ac:dyDescent="0.4">
      <c r="A308" s="291"/>
      <c r="B308" s="292"/>
      <c r="C308" s="312"/>
      <c r="D308" s="292"/>
      <c r="E308" s="489"/>
      <c r="F308" s="489"/>
      <c r="G308" s="490"/>
      <c r="H308" s="520"/>
      <c r="I308" s="523"/>
      <c r="J308" s="521"/>
      <c r="K308" s="522"/>
      <c r="M308" s="301" t="str">
        <f>N308&amp;AS[[#This Row],[Insurer Code]]&amp;"; "&amp;O308&amp;AS[[#This Row],[Reporting Year]]&amp;"; "&amp;P308&amp;AS[[#This Row],[Insurance Category Code]]&amp;"; "&amp;Q308&amp;AS[[#This Row],[Large Provider Entity Code]]&amp;"; "&amp;R308&amp;AS[[#This Row],[Age Band Code]]&amp;"; "&amp;S308&amp;AS[[#This Row],[Sex Code]]</f>
        <v xml:space="preserve">Insurer Code ; Reporting Year ; Insurance Category Code ; Large Provider Entity Code ; Age Band Code ; Sex Code </v>
      </c>
      <c r="N308" s="297" t="s">
        <v>197</v>
      </c>
      <c r="O308" s="297" t="s">
        <v>198</v>
      </c>
      <c r="P308" s="297" t="s">
        <v>199</v>
      </c>
      <c r="Q308" s="297" t="s">
        <v>200</v>
      </c>
      <c r="R308" s="297" t="s">
        <v>213</v>
      </c>
      <c r="S308" s="297" t="s">
        <v>214</v>
      </c>
    </row>
    <row r="309" spans="1:19" x14ac:dyDescent="0.4">
      <c r="A309" s="291"/>
      <c r="B309" s="292"/>
      <c r="C309" s="312"/>
      <c r="D309" s="292"/>
      <c r="E309" s="489"/>
      <c r="F309" s="489"/>
      <c r="G309" s="490"/>
      <c r="H309" s="520"/>
      <c r="I309" s="523"/>
      <c r="J309" s="521"/>
      <c r="K309" s="522"/>
      <c r="M309" s="301" t="str">
        <f>N309&amp;AS[[#This Row],[Insurer Code]]&amp;"; "&amp;O309&amp;AS[[#This Row],[Reporting Year]]&amp;"; "&amp;P309&amp;AS[[#This Row],[Insurance Category Code]]&amp;"; "&amp;Q309&amp;AS[[#This Row],[Large Provider Entity Code]]&amp;"; "&amp;R309&amp;AS[[#This Row],[Age Band Code]]&amp;"; "&amp;S309&amp;AS[[#This Row],[Sex Code]]</f>
        <v xml:space="preserve">Insurer Code ; Reporting Year ; Insurance Category Code ; Large Provider Entity Code ; Age Band Code ; Sex Code </v>
      </c>
      <c r="N309" s="297" t="s">
        <v>197</v>
      </c>
      <c r="O309" s="297" t="s">
        <v>198</v>
      </c>
      <c r="P309" s="297" t="s">
        <v>199</v>
      </c>
      <c r="Q309" s="297" t="s">
        <v>200</v>
      </c>
      <c r="R309" s="297" t="s">
        <v>213</v>
      </c>
      <c r="S309" s="297" t="s">
        <v>214</v>
      </c>
    </row>
    <row r="310" spans="1:19" x14ac:dyDescent="0.4">
      <c r="A310" s="291"/>
      <c r="B310" s="292"/>
      <c r="C310" s="312"/>
      <c r="D310" s="292"/>
      <c r="E310" s="489"/>
      <c r="F310" s="489"/>
      <c r="G310" s="490"/>
      <c r="H310" s="520"/>
      <c r="I310" s="523"/>
      <c r="J310" s="521"/>
      <c r="K310" s="522"/>
      <c r="M310" s="301" t="str">
        <f>N310&amp;AS[[#This Row],[Insurer Code]]&amp;"; "&amp;O310&amp;AS[[#This Row],[Reporting Year]]&amp;"; "&amp;P310&amp;AS[[#This Row],[Insurance Category Code]]&amp;"; "&amp;Q310&amp;AS[[#This Row],[Large Provider Entity Code]]&amp;"; "&amp;R310&amp;AS[[#This Row],[Age Band Code]]&amp;"; "&amp;S310&amp;AS[[#This Row],[Sex Code]]</f>
        <v xml:space="preserve">Insurer Code ; Reporting Year ; Insurance Category Code ; Large Provider Entity Code ; Age Band Code ; Sex Code </v>
      </c>
      <c r="N310" s="297" t="s">
        <v>197</v>
      </c>
      <c r="O310" s="297" t="s">
        <v>198</v>
      </c>
      <c r="P310" s="297" t="s">
        <v>199</v>
      </c>
      <c r="Q310" s="297" t="s">
        <v>200</v>
      </c>
      <c r="R310" s="297" t="s">
        <v>213</v>
      </c>
      <c r="S310" s="297" t="s">
        <v>214</v>
      </c>
    </row>
    <row r="311" spans="1:19" x14ac:dyDescent="0.4">
      <c r="A311" s="291"/>
      <c r="B311" s="292"/>
      <c r="C311" s="312"/>
      <c r="D311" s="292"/>
      <c r="E311" s="489"/>
      <c r="F311" s="489"/>
      <c r="G311" s="490"/>
      <c r="H311" s="520"/>
      <c r="I311" s="523"/>
      <c r="J311" s="521"/>
      <c r="K311" s="522"/>
      <c r="M311" s="301" t="str">
        <f>N311&amp;AS[[#This Row],[Insurer Code]]&amp;"; "&amp;O311&amp;AS[[#This Row],[Reporting Year]]&amp;"; "&amp;P311&amp;AS[[#This Row],[Insurance Category Code]]&amp;"; "&amp;Q311&amp;AS[[#This Row],[Large Provider Entity Code]]&amp;"; "&amp;R311&amp;AS[[#This Row],[Age Band Code]]&amp;"; "&amp;S311&amp;AS[[#This Row],[Sex Code]]</f>
        <v xml:space="preserve">Insurer Code ; Reporting Year ; Insurance Category Code ; Large Provider Entity Code ; Age Band Code ; Sex Code </v>
      </c>
      <c r="N311" s="297" t="s">
        <v>197</v>
      </c>
      <c r="O311" s="297" t="s">
        <v>198</v>
      </c>
      <c r="P311" s="297" t="s">
        <v>199</v>
      </c>
      <c r="Q311" s="297" t="s">
        <v>200</v>
      </c>
      <c r="R311" s="297" t="s">
        <v>213</v>
      </c>
      <c r="S311" s="297" t="s">
        <v>214</v>
      </c>
    </row>
    <row r="312" spans="1:19" x14ac:dyDescent="0.4">
      <c r="A312" s="291"/>
      <c r="B312" s="292"/>
      <c r="C312" s="312"/>
      <c r="D312" s="292"/>
      <c r="E312" s="489"/>
      <c r="F312" s="489"/>
      <c r="G312" s="490"/>
      <c r="H312" s="520"/>
      <c r="I312" s="523"/>
      <c r="J312" s="521"/>
      <c r="K312" s="522"/>
      <c r="M312" s="301" t="str">
        <f>N312&amp;AS[[#This Row],[Insurer Code]]&amp;"; "&amp;O312&amp;AS[[#This Row],[Reporting Year]]&amp;"; "&amp;P312&amp;AS[[#This Row],[Insurance Category Code]]&amp;"; "&amp;Q312&amp;AS[[#This Row],[Large Provider Entity Code]]&amp;"; "&amp;R312&amp;AS[[#This Row],[Age Band Code]]&amp;"; "&amp;S312&amp;AS[[#This Row],[Sex Code]]</f>
        <v xml:space="preserve">Insurer Code ; Reporting Year ; Insurance Category Code ; Large Provider Entity Code ; Age Band Code ; Sex Code </v>
      </c>
      <c r="N312" s="297" t="s">
        <v>197</v>
      </c>
      <c r="O312" s="297" t="s">
        <v>198</v>
      </c>
      <c r="P312" s="297" t="s">
        <v>199</v>
      </c>
      <c r="Q312" s="297" t="s">
        <v>200</v>
      </c>
      <c r="R312" s="297" t="s">
        <v>213</v>
      </c>
      <c r="S312" s="297" t="s">
        <v>214</v>
      </c>
    </row>
    <row r="313" spans="1:19" x14ac:dyDescent="0.4">
      <c r="A313" s="291"/>
      <c r="B313" s="292"/>
      <c r="C313" s="312"/>
      <c r="D313" s="292"/>
      <c r="E313" s="489"/>
      <c r="F313" s="489"/>
      <c r="G313" s="490"/>
      <c r="H313" s="520"/>
      <c r="I313" s="523"/>
      <c r="J313" s="521"/>
      <c r="K313" s="522"/>
      <c r="M313" s="301" t="str">
        <f>N313&amp;AS[[#This Row],[Insurer Code]]&amp;"; "&amp;O313&amp;AS[[#This Row],[Reporting Year]]&amp;"; "&amp;P313&amp;AS[[#This Row],[Insurance Category Code]]&amp;"; "&amp;Q313&amp;AS[[#This Row],[Large Provider Entity Code]]&amp;"; "&amp;R313&amp;AS[[#This Row],[Age Band Code]]&amp;"; "&amp;S313&amp;AS[[#This Row],[Sex Code]]</f>
        <v xml:space="preserve">Insurer Code ; Reporting Year ; Insurance Category Code ; Large Provider Entity Code ; Age Band Code ; Sex Code </v>
      </c>
      <c r="N313" s="297" t="s">
        <v>197</v>
      </c>
      <c r="O313" s="297" t="s">
        <v>198</v>
      </c>
      <c r="P313" s="297" t="s">
        <v>199</v>
      </c>
      <c r="Q313" s="297" t="s">
        <v>200</v>
      </c>
      <c r="R313" s="297" t="s">
        <v>213</v>
      </c>
      <c r="S313" s="297" t="s">
        <v>214</v>
      </c>
    </row>
    <row r="314" spans="1:19" x14ac:dyDescent="0.4">
      <c r="A314" s="291"/>
      <c r="B314" s="292"/>
      <c r="C314" s="312"/>
      <c r="D314" s="292"/>
      <c r="E314" s="489"/>
      <c r="F314" s="489"/>
      <c r="G314" s="490"/>
      <c r="H314" s="520"/>
      <c r="I314" s="523"/>
      <c r="J314" s="521"/>
      <c r="K314" s="522"/>
      <c r="M314" s="301" t="str">
        <f>N314&amp;AS[[#This Row],[Insurer Code]]&amp;"; "&amp;O314&amp;AS[[#This Row],[Reporting Year]]&amp;"; "&amp;P314&amp;AS[[#This Row],[Insurance Category Code]]&amp;"; "&amp;Q314&amp;AS[[#This Row],[Large Provider Entity Code]]&amp;"; "&amp;R314&amp;AS[[#This Row],[Age Band Code]]&amp;"; "&amp;S314&amp;AS[[#This Row],[Sex Code]]</f>
        <v xml:space="preserve">Insurer Code ; Reporting Year ; Insurance Category Code ; Large Provider Entity Code ; Age Band Code ; Sex Code </v>
      </c>
      <c r="N314" s="297" t="s">
        <v>197</v>
      </c>
      <c r="O314" s="297" t="s">
        <v>198</v>
      </c>
      <c r="P314" s="297" t="s">
        <v>199</v>
      </c>
      <c r="Q314" s="297" t="s">
        <v>200</v>
      </c>
      <c r="R314" s="297" t="s">
        <v>213</v>
      </c>
      <c r="S314" s="297" t="s">
        <v>214</v>
      </c>
    </row>
    <row r="315" spans="1:19" x14ac:dyDescent="0.4">
      <c r="A315" s="291"/>
      <c r="B315" s="292"/>
      <c r="C315" s="312"/>
      <c r="D315" s="292"/>
      <c r="E315" s="489"/>
      <c r="F315" s="489"/>
      <c r="G315" s="490"/>
      <c r="H315" s="520"/>
      <c r="I315" s="523"/>
      <c r="J315" s="521"/>
      <c r="K315" s="522"/>
      <c r="M315" s="301" t="str">
        <f>N315&amp;AS[[#This Row],[Insurer Code]]&amp;"; "&amp;O315&amp;AS[[#This Row],[Reporting Year]]&amp;"; "&amp;P315&amp;AS[[#This Row],[Insurance Category Code]]&amp;"; "&amp;Q315&amp;AS[[#This Row],[Large Provider Entity Code]]&amp;"; "&amp;R315&amp;AS[[#This Row],[Age Band Code]]&amp;"; "&amp;S315&amp;AS[[#This Row],[Sex Code]]</f>
        <v xml:space="preserve">Insurer Code ; Reporting Year ; Insurance Category Code ; Large Provider Entity Code ; Age Band Code ; Sex Code </v>
      </c>
      <c r="N315" s="297" t="s">
        <v>197</v>
      </c>
      <c r="O315" s="297" t="s">
        <v>198</v>
      </c>
      <c r="P315" s="297" t="s">
        <v>199</v>
      </c>
      <c r="Q315" s="297" t="s">
        <v>200</v>
      </c>
      <c r="R315" s="297" t="s">
        <v>213</v>
      </c>
      <c r="S315" s="297" t="s">
        <v>214</v>
      </c>
    </row>
    <row r="316" spans="1:19" x14ac:dyDescent="0.4">
      <c r="A316" s="291"/>
      <c r="B316" s="292"/>
      <c r="C316" s="312"/>
      <c r="D316" s="292"/>
      <c r="E316" s="489"/>
      <c r="F316" s="489"/>
      <c r="G316" s="490"/>
      <c r="H316" s="520"/>
      <c r="I316" s="523"/>
      <c r="J316" s="521"/>
      <c r="K316" s="522"/>
      <c r="M316" s="301" t="str">
        <f>N316&amp;AS[[#This Row],[Insurer Code]]&amp;"; "&amp;O316&amp;AS[[#This Row],[Reporting Year]]&amp;"; "&amp;P316&amp;AS[[#This Row],[Insurance Category Code]]&amp;"; "&amp;Q316&amp;AS[[#This Row],[Large Provider Entity Code]]&amp;"; "&amp;R316&amp;AS[[#This Row],[Age Band Code]]&amp;"; "&amp;S316&amp;AS[[#This Row],[Sex Code]]</f>
        <v xml:space="preserve">Insurer Code ; Reporting Year ; Insurance Category Code ; Large Provider Entity Code ; Age Band Code ; Sex Code </v>
      </c>
      <c r="N316" s="297" t="s">
        <v>197</v>
      </c>
      <c r="O316" s="297" t="s">
        <v>198</v>
      </c>
      <c r="P316" s="297" t="s">
        <v>199</v>
      </c>
      <c r="Q316" s="297" t="s">
        <v>200</v>
      </c>
      <c r="R316" s="297" t="s">
        <v>213</v>
      </c>
      <c r="S316" s="297" t="s">
        <v>214</v>
      </c>
    </row>
    <row r="317" spans="1:19" x14ac:dyDescent="0.4">
      <c r="A317" s="291"/>
      <c r="B317" s="292"/>
      <c r="C317" s="312"/>
      <c r="D317" s="292"/>
      <c r="E317" s="489"/>
      <c r="F317" s="489"/>
      <c r="G317" s="490"/>
      <c r="H317" s="520"/>
      <c r="I317" s="523"/>
      <c r="J317" s="521"/>
      <c r="K317" s="522"/>
      <c r="M317" s="301" t="str">
        <f>N317&amp;AS[[#This Row],[Insurer Code]]&amp;"; "&amp;O317&amp;AS[[#This Row],[Reporting Year]]&amp;"; "&amp;P317&amp;AS[[#This Row],[Insurance Category Code]]&amp;"; "&amp;Q317&amp;AS[[#This Row],[Large Provider Entity Code]]&amp;"; "&amp;R317&amp;AS[[#This Row],[Age Band Code]]&amp;"; "&amp;S317&amp;AS[[#This Row],[Sex Code]]</f>
        <v xml:space="preserve">Insurer Code ; Reporting Year ; Insurance Category Code ; Large Provider Entity Code ; Age Band Code ; Sex Code </v>
      </c>
      <c r="N317" s="297" t="s">
        <v>197</v>
      </c>
      <c r="O317" s="297" t="s">
        <v>198</v>
      </c>
      <c r="P317" s="297" t="s">
        <v>199</v>
      </c>
      <c r="Q317" s="297" t="s">
        <v>200</v>
      </c>
      <c r="R317" s="297" t="s">
        <v>213</v>
      </c>
      <c r="S317" s="297" t="s">
        <v>214</v>
      </c>
    </row>
    <row r="318" spans="1:19" x14ac:dyDescent="0.4">
      <c r="A318" s="291"/>
      <c r="B318" s="292"/>
      <c r="C318" s="312"/>
      <c r="D318" s="292"/>
      <c r="E318" s="489"/>
      <c r="F318" s="489"/>
      <c r="G318" s="490"/>
      <c r="H318" s="520"/>
      <c r="I318" s="523"/>
      <c r="J318" s="521"/>
      <c r="K318" s="522"/>
      <c r="M318" s="301" t="str">
        <f>N318&amp;AS[[#This Row],[Insurer Code]]&amp;"; "&amp;O318&amp;AS[[#This Row],[Reporting Year]]&amp;"; "&amp;P318&amp;AS[[#This Row],[Insurance Category Code]]&amp;"; "&amp;Q318&amp;AS[[#This Row],[Large Provider Entity Code]]&amp;"; "&amp;R318&amp;AS[[#This Row],[Age Band Code]]&amp;"; "&amp;S318&amp;AS[[#This Row],[Sex Code]]</f>
        <v xml:space="preserve">Insurer Code ; Reporting Year ; Insurance Category Code ; Large Provider Entity Code ; Age Band Code ; Sex Code </v>
      </c>
      <c r="N318" s="297" t="s">
        <v>197</v>
      </c>
      <c r="O318" s="297" t="s">
        <v>198</v>
      </c>
      <c r="P318" s="297" t="s">
        <v>199</v>
      </c>
      <c r="Q318" s="297" t="s">
        <v>200</v>
      </c>
      <c r="R318" s="297" t="s">
        <v>213</v>
      </c>
      <c r="S318" s="297" t="s">
        <v>214</v>
      </c>
    </row>
    <row r="319" spans="1:19" x14ac:dyDescent="0.4">
      <c r="A319" s="291"/>
      <c r="B319" s="292"/>
      <c r="C319" s="312"/>
      <c r="D319" s="292"/>
      <c r="E319" s="489"/>
      <c r="F319" s="489"/>
      <c r="G319" s="490"/>
      <c r="H319" s="520"/>
      <c r="I319" s="523"/>
      <c r="J319" s="521"/>
      <c r="K319" s="522"/>
      <c r="M319" s="301" t="str">
        <f>N319&amp;AS[[#This Row],[Insurer Code]]&amp;"; "&amp;O319&amp;AS[[#This Row],[Reporting Year]]&amp;"; "&amp;P319&amp;AS[[#This Row],[Insurance Category Code]]&amp;"; "&amp;Q319&amp;AS[[#This Row],[Large Provider Entity Code]]&amp;"; "&amp;R319&amp;AS[[#This Row],[Age Band Code]]&amp;"; "&amp;S319&amp;AS[[#This Row],[Sex Code]]</f>
        <v xml:space="preserve">Insurer Code ; Reporting Year ; Insurance Category Code ; Large Provider Entity Code ; Age Band Code ; Sex Code </v>
      </c>
      <c r="N319" s="297" t="s">
        <v>197</v>
      </c>
      <c r="O319" s="297" t="s">
        <v>198</v>
      </c>
      <c r="P319" s="297" t="s">
        <v>199</v>
      </c>
      <c r="Q319" s="297" t="s">
        <v>200</v>
      </c>
      <c r="R319" s="297" t="s">
        <v>213</v>
      </c>
      <c r="S319" s="297" t="s">
        <v>214</v>
      </c>
    </row>
    <row r="320" spans="1:19" x14ac:dyDescent="0.4">
      <c r="A320" s="291"/>
      <c r="B320" s="292"/>
      <c r="C320" s="312"/>
      <c r="D320" s="292"/>
      <c r="E320" s="489"/>
      <c r="F320" s="489"/>
      <c r="G320" s="490"/>
      <c r="H320" s="520"/>
      <c r="I320" s="523"/>
      <c r="J320" s="521"/>
      <c r="K320" s="522"/>
      <c r="M320" s="301" t="str">
        <f>N320&amp;AS[[#This Row],[Insurer Code]]&amp;"; "&amp;O320&amp;AS[[#This Row],[Reporting Year]]&amp;"; "&amp;P320&amp;AS[[#This Row],[Insurance Category Code]]&amp;"; "&amp;Q320&amp;AS[[#This Row],[Large Provider Entity Code]]&amp;"; "&amp;R320&amp;AS[[#This Row],[Age Band Code]]&amp;"; "&amp;S320&amp;AS[[#This Row],[Sex Code]]</f>
        <v xml:space="preserve">Insurer Code ; Reporting Year ; Insurance Category Code ; Large Provider Entity Code ; Age Band Code ; Sex Code </v>
      </c>
      <c r="N320" s="297" t="s">
        <v>197</v>
      </c>
      <c r="O320" s="297" t="s">
        <v>198</v>
      </c>
      <c r="P320" s="297" t="s">
        <v>199</v>
      </c>
      <c r="Q320" s="297" t="s">
        <v>200</v>
      </c>
      <c r="R320" s="297" t="s">
        <v>213</v>
      </c>
      <c r="S320" s="297" t="s">
        <v>214</v>
      </c>
    </row>
    <row r="321" spans="1:19" x14ac:dyDescent="0.4">
      <c r="A321" s="291"/>
      <c r="B321" s="292"/>
      <c r="C321" s="312"/>
      <c r="D321" s="292"/>
      <c r="E321" s="489"/>
      <c r="F321" s="489"/>
      <c r="G321" s="490"/>
      <c r="H321" s="520"/>
      <c r="I321" s="523"/>
      <c r="J321" s="521"/>
      <c r="K321" s="522"/>
      <c r="M321" s="301" t="str">
        <f>N321&amp;AS[[#This Row],[Insurer Code]]&amp;"; "&amp;O321&amp;AS[[#This Row],[Reporting Year]]&amp;"; "&amp;P321&amp;AS[[#This Row],[Insurance Category Code]]&amp;"; "&amp;Q321&amp;AS[[#This Row],[Large Provider Entity Code]]&amp;"; "&amp;R321&amp;AS[[#This Row],[Age Band Code]]&amp;"; "&amp;S321&amp;AS[[#This Row],[Sex Code]]</f>
        <v xml:space="preserve">Insurer Code ; Reporting Year ; Insurance Category Code ; Large Provider Entity Code ; Age Band Code ; Sex Code </v>
      </c>
      <c r="N321" s="297" t="s">
        <v>197</v>
      </c>
      <c r="O321" s="297" t="s">
        <v>198</v>
      </c>
      <c r="P321" s="297" t="s">
        <v>199</v>
      </c>
      <c r="Q321" s="297" t="s">
        <v>200</v>
      </c>
      <c r="R321" s="297" t="s">
        <v>213</v>
      </c>
      <c r="S321" s="297" t="s">
        <v>214</v>
      </c>
    </row>
    <row r="322" spans="1:19" x14ac:dyDescent="0.4">
      <c r="A322" s="291"/>
      <c r="B322" s="292"/>
      <c r="C322" s="312"/>
      <c r="D322" s="292"/>
      <c r="E322" s="489"/>
      <c r="F322" s="489"/>
      <c r="G322" s="490"/>
      <c r="H322" s="520"/>
      <c r="I322" s="523"/>
      <c r="J322" s="521"/>
      <c r="K322" s="522"/>
      <c r="M322" s="301" t="str">
        <f>N322&amp;AS[[#This Row],[Insurer Code]]&amp;"; "&amp;O322&amp;AS[[#This Row],[Reporting Year]]&amp;"; "&amp;P322&amp;AS[[#This Row],[Insurance Category Code]]&amp;"; "&amp;Q322&amp;AS[[#This Row],[Large Provider Entity Code]]&amp;"; "&amp;R322&amp;AS[[#This Row],[Age Band Code]]&amp;"; "&amp;S322&amp;AS[[#This Row],[Sex Code]]</f>
        <v xml:space="preserve">Insurer Code ; Reporting Year ; Insurance Category Code ; Large Provider Entity Code ; Age Band Code ; Sex Code </v>
      </c>
      <c r="N322" s="297" t="s">
        <v>197</v>
      </c>
      <c r="O322" s="297" t="s">
        <v>198</v>
      </c>
      <c r="P322" s="297" t="s">
        <v>199</v>
      </c>
      <c r="Q322" s="297" t="s">
        <v>200</v>
      </c>
      <c r="R322" s="297" t="s">
        <v>213</v>
      </c>
      <c r="S322" s="297" t="s">
        <v>214</v>
      </c>
    </row>
    <row r="323" spans="1:19" x14ac:dyDescent="0.4">
      <c r="A323" s="291"/>
      <c r="B323" s="292"/>
      <c r="C323" s="312"/>
      <c r="D323" s="292"/>
      <c r="E323" s="489"/>
      <c r="F323" s="489"/>
      <c r="G323" s="490"/>
      <c r="H323" s="520"/>
      <c r="I323" s="523"/>
      <c r="J323" s="521"/>
      <c r="K323" s="522"/>
      <c r="M323" s="301" t="str">
        <f>N323&amp;AS[[#This Row],[Insurer Code]]&amp;"; "&amp;O323&amp;AS[[#This Row],[Reporting Year]]&amp;"; "&amp;P323&amp;AS[[#This Row],[Insurance Category Code]]&amp;"; "&amp;Q323&amp;AS[[#This Row],[Large Provider Entity Code]]&amp;"; "&amp;R323&amp;AS[[#This Row],[Age Band Code]]&amp;"; "&amp;S323&amp;AS[[#This Row],[Sex Code]]</f>
        <v xml:space="preserve">Insurer Code ; Reporting Year ; Insurance Category Code ; Large Provider Entity Code ; Age Band Code ; Sex Code </v>
      </c>
      <c r="N323" s="297" t="s">
        <v>197</v>
      </c>
      <c r="O323" s="297" t="s">
        <v>198</v>
      </c>
      <c r="P323" s="297" t="s">
        <v>199</v>
      </c>
      <c r="Q323" s="297" t="s">
        <v>200</v>
      </c>
      <c r="R323" s="297" t="s">
        <v>213</v>
      </c>
      <c r="S323" s="297" t="s">
        <v>214</v>
      </c>
    </row>
    <row r="324" spans="1:19" x14ac:dyDescent="0.4">
      <c r="A324" s="291"/>
      <c r="B324" s="292"/>
      <c r="C324" s="312"/>
      <c r="D324" s="292"/>
      <c r="E324" s="489"/>
      <c r="F324" s="489"/>
      <c r="G324" s="490"/>
      <c r="H324" s="520"/>
      <c r="I324" s="523"/>
      <c r="J324" s="521"/>
      <c r="K324" s="522"/>
      <c r="M324" s="301" t="str">
        <f>N324&amp;AS[[#This Row],[Insurer Code]]&amp;"; "&amp;O324&amp;AS[[#This Row],[Reporting Year]]&amp;"; "&amp;P324&amp;AS[[#This Row],[Insurance Category Code]]&amp;"; "&amp;Q324&amp;AS[[#This Row],[Large Provider Entity Code]]&amp;"; "&amp;R324&amp;AS[[#This Row],[Age Band Code]]&amp;"; "&amp;S324&amp;AS[[#This Row],[Sex Code]]</f>
        <v xml:space="preserve">Insurer Code ; Reporting Year ; Insurance Category Code ; Large Provider Entity Code ; Age Band Code ; Sex Code </v>
      </c>
      <c r="N324" s="297" t="s">
        <v>197</v>
      </c>
      <c r="O324" s="297" t="s">
        <v>198</v>
      </c>
      <c r="P324" s="297" t="s">
        <v>199</v>
      </c>
      <c r="Q324" s="297" t="s">
        <v>200</v>
      </c>
      <c r="R324" s="297" t="s">
        <v>213</v>
      </c>
      <c r="S324" s="297" t="s">
        <v>214</v>
      </c>
    </row>
    <row r="325" spans="1:19" x14ac:dyDescent="0.4">
      <c r="A325" s="291"/>
      <c r="B325" s="292"/>
      <c r="C325" s="312"/>
      <c r="D325" s="292"/>
      <c r="E325" s="489"/>
      <c r="F325" s="489"/>
      <c r="G325" s="490"/>
      <c r="H325" s="520"/>
      <c r="I325" s="523"/>
      <c r="J325" s="521"/>
      <c r="K325" s="522"/>
      <c r="M325" s="301" t="str">
        <f>N325&amp;AS[[#This Row],[Insurer Code]]&amp;"; "&amp;O325&amp;AS[[#This Row],[Reporting Year]]&amp;"; "&amp;P325&amp;AS[[#This Row],[Insurance Category Code]]&amp;"; "&amp;Q325&amp;AS[[#This Row],[Large Provider Entity Code]]&amp;"; "&amp;R325&amp;AS[[#This Row],[Age Band Code]]&amp;"; "&amp;S325&amp;AS[[#This Row],[Sex Code]]</f>
        <v xml:space="preserve">Insurer Code ; Reporting Year ; Insurance Category Code ; Large Provider Entity Code ; Age Band Code ; Sex Code </v>
      </c>
      <c r="N325" s="297" t="s">
        <v>197</v>
      </c>
      <c r="O325" s="297" t="s">
        <v>198</v>
      </c>
      <c r="P325" s="297" t="s">
        <v>199</v>
      </c>
      <c r="Q325" s="297" t="s">
        <v>200</v>
      </c>
      <c r="R325" s="297" t="s">
        <v>213</v>
      </c>
      <c r="S325" s="297" t="s">
        <v>214</v>
      </c>
    </row>
    <row r="326" spans="1:19" x14ac:dyDescent="0.4">
      <c r="A326" s="291"/>
      <c r="B326" s="292"/>
      <c r="C326" s="312"/>
      <c r="D326" s="292"/>
      <c r="E326" s="489"/>
      <c r="F326" s="489"/>
      <c r="G326" s="490"/>
      <c r="H326" s="520"/>
      <c r="I326" s="523"/>
      <c r="J326" s="521"/>
      <c r="K326" s="522"/>
      <c r="M326" s="301" t="str">
        <f>N326&amp;AS[[#This Row],[Insurer Code]]&amp;"; "&amp;O326&amp;AS[[#This Row],[Reporting Year]]&amp;"; "&amp;P326&amp;AS[[#This Row],[Insurance Category Code]]&amp;"; "&amp;Q326&amp;AS[[#This Row],[Large Provider Entity Code]]&amp;"; "&amp;R326&amp;AS[[#This Row],[Age Band Code]]&amp;"; "&amp;S326&amp;AS[[#This Row],[Sex Code]]</f>
        <v xml:space="preserve">Insurer Code ; Reporting Year ; Insurance Category Code ; Large Provider Entity Code ; Age Band Code ; Sex Code </v>
      </c>
      <c r="N326" s="297" t="s">
        <v>197</v>
      </c>
      <c r="O326" s="297" t="s">
        <v>198</v>
      </c>
      <c r="P326" s="297" t="s">
        <v>199</v>
      </c>
      <c r="Q326" s="297" t="s">
        <v>200</v>
      </c>
      <c r="R326" s="297" t="s">
        <v>213</v>
      </c>
      <c r="S326" s="297" t="s">
        <v>214</v>
      </c>
    </row>
    <row r="327" spans="1:19" x14ac:dyDescent="0.4">
      <c r="A327" s="291"/>
      <c r="B327" s="292"/>
      <c r="C327" s="312"/>
      <c r="D327" s="292"/>
      <c r="E327" s="489"/>
      <c r="F327" s="489"/>
      <c r="G327" s="490"/>
      <c r="H327" s="520"/>
      <c r="I327" s="523"/>
      <c r="J327" s="521"/>
      <c r="K327" s="522"/>
      <c r="M327" s="301" t="str">
        <f>N327&amp;AS[[#This Row],[Insurer Code]]&amp;"; "&amp;O327&amp;AS[[#This Row],[Reporting Year]]&amp;"; "&amp;P327&amp;AS[[#This Row],[Insurance Category Code]]&amp;"; "&amp;Q327&amp;AS[[#This Row],[Large Provider Entity Code]]&amp;"; "&amp;R327&amp;AS[[#This Row],[Age Band Code]]&amp;"; "&amp;S327&amp;AS[[#This Row],[Sex Code]]</f>
        <v xml:space="preserve">Insurer Code ; Reporting Year ; Insurance Category Code ; Large Provider Entity Code ; Age Band Code ; Sex Code </v>
      </c>
      <c r="N327" s="297" t="s">
        <v>197</v>
      </c>
      <c r="O327" s="297" t="s">
        <v>198</v>
      </c>
      <c r="P327" s="297" t="s">
        <v>199</v>
      </c>
      <c r="Q327" s="297" t="s">
        <v>200</v>
      </c>
      <c r="R327" s="297" t="s">
        <v>213</v>
      </c>
      <c r="S327" s="297" t="s">
        <v>214</v>
      </c>
    </row>
    <row r="328" spans="1:19" x14ac:dyDescent="0.4">
      <c r="A328" s="291"/>
      <c r="B328" s="292"/>
      <c r="C328" s="312"/>
      <c r="D328" s="292"/>
      <c r="E328" s="489"/>
      <c r="F328" s="489"/>
      <c r="G328" s="490"/>
      <c r="H328" s="520"/>
      <c r="I328" s="523"/>
      <c r="J328" s="521"/>
      <c r="K328" s="522"/>
      <c r="M328" s="301" t="str">
        <f>N328&amp;AS[[#This Row],[Insurer Code]]&amp;"; "&amp;O328&amp;AS[[#This Row],[Reporting Year]]&amp;"; "&amp;P328&amp;AS[[#This Row],[Insurance Category Code]]&amp;"; "&amp;Q328&amp;AS[[#This Row],[Large Provider Entity Code]]&amp;"; "&amp;R328&amp;AS[[#This Row],[Age Band Code]]&amp;"; "&amp;S328&amp;AS[[#This Row],[Sex Code]]</f>
        <v xml:space="preserve">Insurer Code ; Reporting Year ; Insurance Category Code ; Large Provider Entity Code ; Age Band Code ; Sex Code </v>
      </c>
      <c r="N328" s="297" t="s">
        <v>197</v>
      </c>
      <c r="O328" s="297" t="s">
        <v>198</v>
      </c>
      <c r="P328" s="297" t="s">
        <v>199</v>
      </c>
      <c r="Q328" s="297" t="s">
        <v>200</v>
      </c>
      <c r="R328" s="297" t="s">
        <v>213</v>
      </c>
      <c r="S328" s="297" t="s">
        <v>214</v>
      </c>
    </row>
    <row r="329" spans="1:19" x14ac:dyDescent="0.4">
      <c r="A329" s="291"/>
      <c r="B329" s="292"/>
      <c r="C329" s="312"/>
      <c r="D329" s="292"/>
      <c r="E329" s="489"/>
      <c r="F329" s="489"/>
      <c r="G329" s="490"/>
      <c r="H329" s="520"/>
      <c r="I329" s="523"/>
      <c r="J329" s="521"/>
      <c r="K329" s="522"/>
      <c r="M329" s="301" t="str">
        <f>N329&amp;AS[[#This Row],[Insurer Code]]&amp;"; "&amp;O329&amp;AS[[#This Row],[Reporting Year]]&amp;"; "&amp;P329&amp;AS[[#This Row],[Insurance Category Code]]&amp;"; "&amp;Q329&amp;AS[[#This Row],[Large Provider Entity Code]]&amp;"; "&amp;R329&amp;AS[[#This Row],[Age Band Code]]&amp;"; "&amp;S329&amp;AS[[#This Row],[Sex Code]]</f>
        <v xml:space="preserve">Insurer Code ; Reporting Year ; Insurance Category Code ; Large Provider Entity Code ; Age Band Code ; Sex Code </v>
      </c>
      <c r="N329" s="297" t="s">
        <v>197</v>
      </c>
      <c r="O329" s="297" t="s">
        <v>198</v>
      </c>
      <c r="P329" s="297" t="s">
        <v>199</v>
      </c>
      <c r="Q329" s="297" t="s">
        <v>200</v>
      </c>
      <c r="R329" s="297" t="s">
        <v>213</v>
      </c>
      <c r="S329" s="297" t="s">
        <v>214</v>
      </c>
    </row>
    <row r="330" spans="1:19" x14ac:dyDescent="0.4">
      <c r="A330" s="291"/>
      <c r="B330" s="292"/>
      <c r="C330" s="312"/>
      <c r="D330" s="292"/>
      <c r="E330" s="489"/>
      <c r="F330" s="489"/>
      <c r="G330" s="490"/>
      <c r="H330" s="520"/>
      <c r="I330" s="523"/>
      <c r="J330" s="521"/>
      <c r="K330" s="522"/>
      <c r="M330" s="301" t="str">
        <f>N330&amp;AS[[#This Row],[Insurer Code]]&amp;"; "&amp;O330&amp;AS[[#This Row],[Reporting Year]]&amp;"; "&amp;P330&amp;AS[[#This Row],[Insurance Category Code]]&amp;"; "&amp;Q330&amp;AS[[#This Row],[Large Provider Entity Code]]&amp;"; "&amp;R330&amp;AS[[#This Row],[Age Band Code]]&amp;"; "&amp;S330&amp;AS[[#This Row],[Sex Code]]</f>
        <v xml:space="preserve">Insurer Code ; Reporting Year ; Insurance Category Code ; Large Provider Entity Code ; Age Band Code ; Sex Code </v>
      </c>
      <c r="N330" s="297" t="s">
        <v>197</v>
      </c>
      <c r="O330" s="297" t="s">
        <v>198</v>
      </c>
      <c r="P330" s="297" t="s">
        <v>199</v>
      </c>
      <c r="Q330" s="297" t="s">
        <v>200</v>
      </c>
      <c r="R330" s="297" t="s">
        <v>213</v>
      </c>
      <c r="S330" s="297" t="s">
        <v>214</v>
      </c>
    </row>
    <row r="331" spans="1:19" x14ac:dyDescent="0.4">
      <c r="A331" s="291"/>
      <c r="B331" s="292"/>
      <c r="C331" s="312"/>
      <c r="D331" s="292"/>
      <c r="E331" s="489"/>
      <c r="F331" s="489"/>
      <c r="G331" s="490"/>
      <c r="H331" s="520"/>
      <c r="I331" s="523"/>
      <c r="J331" s="521"/>
      <c r="K331" s="522"/>
      <c r="M331" s="301" t="str">
        <f>N331&amp;AS[[#This Row],[Insurer Code]]&amp;"; "&amp;O331&amp;AS[[#This Row],[Reporting Year]]&amp;"; "&amp;P331&amp;AS[[#This Row],[Insurance Category Code]]&amp;"; "&amp;Q331&amp;AS[[#This Row],[Large Provider Entity Code]]&amp;"; "&amp;R331&amp;AS[[#This Row],[Age Band Code]]&amp;"; "&amp;S331&amp;AS[[#This Row],[Sex Code]]</f>
        <v xml:space="preserve">Insurer Code ; Reporting Year ; Insurance Category Code ; Large Provider Entity Code ; Age Band Code ; Sex Code </v>
      </c>
      <c r="N331" s="297" t="s">
        <v>197</v>
      </c>
      <c r="O331" s="297" t="s">
        <v>198</v>
      </c>
      <c r="P331" s="297" t="s">
        <v>199</v>
      </c>
      <c r="Q331" s="297" t="s">
        <v>200</v>
      </c>
      <c r="R331" s="297" t="s">
        <v>213</v>
      </c>
      <c r="S331" s="297" t="s">
        <v>214</v>
      </c>
    </row>
    <row r="332" spans="1:19" x14ac:dyDescent="0.4">
      <c r="A332" s="291"/>
      <c r="B332" s="292"/>
      <c r="C332" s="312"/>
      <c r="D332" s="292"/>
      <c r="E332" s="489"/>
      <c r="F332" s="489"/>
      <c r="G332" s="490"/>
      <c r="H332" s="520"/>
      <c r="I332" s="523"/>
      <c r="J332" s="521"/>
      <c r="K332" s="522"/>
      <c r="M332" s="301" t="str">
        <f>N332&amp;AS[[#This Row],[Insurer Code]]&amp;"; "&amp;O332&amp;AS[[#This Row],[Reporting Year]]&amp;"; "&amp;P332&amp;AS[[#This Row],[Insurance Category Code]]&amp;"; "&amp;Q332&amp;AS[[#This Row],[Large Provider Entity Code]]&amp;"; "&amp;R332&amp;AS[[#This Row],[Age Band Code]]&amp;"; "&amp;S332&amp;AS[[#This Row],[Sex Code]]</f>
        <v xml:space="preserve">Insurer Code ; Reporting Year ; Insurance Category Code ; Large Provider Entity Code ; Age Band Code ; Sex Code </v>
      </c>
      <c r="N332" s="297" t="s">
        <v>197</v>
      </c>
      <c r="O332" s="297" t="s">
        <v>198</v>
      </c>
      <c r="P332" s="297" t="s">
        <v>199</v>
      </c>
      <c r="Q332" s="297" t="s">
        <v>200</v>
      </c>
      <c r="R332" s="297" t="s">
        <v>213</v>
      </c>
      <c r="S332" s="297" t="s">
        <v>214</v>
      </c>
    </row>
    <row r="333" spans="1:19" x14ac:dyDescent="0.4">
      <c r="A333" s="291"/>
      <c r="B333" s="292"/>
      <c r="C333" s="312"/>
      <c r="D333" s="292"/>
      <c r="E333" s="489"/>
      <c r="F333" s="489"/>
      <c r="G333" s="490"/>
      <c r="H333" s="520"/>
      <c r="I333" s="523"/>
      <c r="J333" s="521"/>
      <c r="K333" s="522"/>
      <c r="M333" s="301" t="str">
        <f>N333&amp;AS[[#This Row],[Insurer Code]]&amp;"; "&amp;O333&amp;AS[[#This Row],[Reporting Year]]&amp;"; "&amp;P333&amp;AS[[#This Row],[Insurance Category Code]]&amp;"; "&amp;Q333&amp;AS[[#This Row],[Large Provider Entity Code]]&amp;"; "&amp;R333&amp;AS[[#This Row],[Age Band Code]]&amp;"; "&amp;S333&amp;AS[[#This Row],[Sex Code]]</f>
        <v xml:space="preserve">Insurer Code ; Reporting Year ; Insurance Category Code ; Large Provider Entity Code ; Age Band Code ; Sex Code </v>
      </c>
      <c r="N333" s="297" t="s">
        <v>197</v>
      </c>
      <c r="O333" s="297" t="s">
        <v>198</v>
      </c>
      <c r="P333" s="297" t="s">
        <v>199</v>
      </c>
      <c r="Q333" s="297" t="s">
        <v>200</v>
      </c>
      <c r="R333" s="297" t="s">
        <v>213</v>
      </c>
      <c r="S333" s="297" t="s">
        <v>214</v>
      </c>
    </row>
    <row r="334" spans="1:19" x14ac:dyDescent="0.4">
      <c r="A334" s="291"/>
      <c r="B334" s="292"/>
      <c r="C334" s="312"/>
      <c r="D334" s="292"/>
      <c r="E334" s="489"/>
      <c r="F334" s="489"/>
      <c r="G334" s="490"/>
      <c r="H334" s="520"/>
      <c r="I334" s="523"/>
      <c r="J334" s="521"/>
      <c r="K334" s="522"/>
      <c r="M334" s="301" t="str">
        <f>N334&amp;AS[[#This Row],[Insurer Code]]&amp;"; "&amp;O334&amp;AS[[#This Row],[Reporting Year]]&amp;"; "&amp;P334&amp;AS[[#This Row],[Insurance Category Code]]&amp;"; "&amp;Q334&amp;AS[[#This Row],[Large Provider Entity Code]]&amp;"; "&amp;R334&amp;AS[[#This Row],[Age Band Code]]&amp;"; "&amp;S334&amp;AS[[#This Row],[Sex Code]]</f>
        <v xml:space="preserve">Insurer Code ; Reporting Year ; Insurance Category Code ; Large Provider Entity Code ; Age Band Code ; Sex Code </v>
      </c>
      <c r="N334" s="297" t="s">
        <v>197</v>
      </c>
      <c r="O334" s="297" t="s">
        <v>198</v>
      </c>
      <c r="P334" s="297" t="s">
        <v>199</v>
      </c>
      <c r="Q334" s="297" t="s">
        <v>200</v>
      </c>
      <c r="R334" s="297" t="s">
        <v>213</v>
      </c>
      <c r="S334" s="297" t="s">
        <v>214</v>
      </c>
    </row>
    <row r="335" spans="1:19" x14ac:dyDescent="0.4">
      <c r="A335" s="291"/>
      <c r="B335" s="292"/>
      <c r="C335" s="312"/>
      <c r="D335" s="292"/>
      <c r="E335" s="489"/>
      <c r="F335" s="489"/>
      <c r="G335" s="490"/>
      <c r="H335" s="520"/>
      <c r="I335" s="523"/>
      <c r="J335" s="521"/>
      <c r="K335" s="522"/>
      <c r="M335" s="301" t="str">
        <f>N335&amp;AS[[#This Row],[Insurer Code]]&amp;"; "&amp;O335&amp;AS[[#This Row],[Reporting Year]]&amp;"; "&amp;P335&amp;AS[[#This Row],[Insurance Category Code]]&amp;"; "&amp;Q335&amp;AS[[#This Row],[Large Provider Entity Code]]&amp;"; "&amp;R335&amp;AS[[#This Row],[Age Band Code]]&amp;"; "&amp;S335&amp;AS[[#This Row],[Sex Code]]</f>
        <v xml:space="preserve">Insurer Code ; Reporting Year ; Insurance Category Code ; Large Provider Entity Code ; Age Band Code ; Sex Code </v>
      </c>
      <c r="N335" s="297" t="s">
        <v>197</v>
      </c>
      <c r="O335" s="297" t="s">
        <v>198</v>
      </c>
      <c r="P335" s="297" t="s">
        <v>199</v>
      </c>
      <c r="Q335" s="297" t="s">
        <v>200</v>
      </c>
      <c r="R335" s="297" t="s">
        <v>213</v>
      </c>
      <c r="S335" s="297" t="s">
        <v>214</v>
      </c>
    </row>
    <row r="336" spans="1:19" x14ac:dyDescent="0.4">
      <c r="A336" s="291"/>
      <c r="B336" s="292"/>
      <c r="C336" s="312"/>
      <c r="D336" s="292"/>
      <c r="E336" s="489"/>
      <c r="F336" s="489"/>
      <c r="G336" s="490"/>
      <c r="H336" s="520"/>
      <c r="I336" s="523"/>
      <c r="J336" s="521"/>
      <c r="K336" s="522"/>
      <c r="M336" s="301" t="str">
        <f>N336&amp;AS[[#This Row],[Insurer Code]]&amp;"; "&amp;O336&amp;AS[[#This Row],[Reporting Year]]&amp;"; "&amp;P336&amp;AS[[#This Row],[Insurance Category Code]]&amp;"; "&amp;Q336&amp;AS[[#This Row],[Large Provider Entity Code]]&amp;"; "&amp;R336&amp;AS[[#This Row],[Age Band Code]]&amp;"; "&amp;S336&amp;AS[[#This Row],[Sex Code]]</f>
        <v xml:space="preserve">Insurer Code ; Reporting Year ; Insurance Category Code ; Large Provider Entity Code ; Age Band Code ; Sex Code </v>
      </c>
      <c r="N336" s="297" t="s">
        <v>197</v>
      </c>
      <c r="O336" s="297" t="s">
        <v>198</v>
      </c>
      <c r="P336" s="297" t="s">
        <v>199</v>
      </c>
      <c r="Q336" s="297" t="s">
        <v>200</v>
      </c>
      <c r="R336" s="297" t="s">
        <v>213</v>
      </c>
      <c r="S336" s="297" t="s">
        <v>214</v>
      </c>
    </row>
    <row r="337" spans="1:19" x14ac:dyDescent="0.4">
      <c r="A337" s="291"/>
      <c r="B337" s="292"/>
      <c r="C337" s="312"/>
      <c r="D337" s="292"/>
      <c r="E337" s="489"/>
      <c r="F337" s="489"/>
      <c r="G337" s="490"/>
      <c r="H337" s="520"/>
      <c r="I337" s="523"/>
      <c r="J337" s="521"/>
      <c r="K337" s="522"/>
      <c r="M337" s="301" t="str">
        <f>N337&amp;AS[[#This Row],[Insurer Code]]&amp;"; "&amp;O337&amp;AS[[#This Row],[Reporting Year]]&amp;"; "&amp;P337&amp;AS[[#This Row],[Insurance Category Code]]&amp;"; "&amp;Q337&amp;AS[[#This Row],[Large Provider Entity Code]]&amp;"; "&amp;R337&amp;AS[[#This Row],[Age Band Code]]&amp;"; "&amp;S337&amp;AS[[#This Row],[Sex Code]]</f>
        <v xml:space="preserve">Insurer Code ; Reporting Year ; Insurance Category Code ; Large Provider Entity Code ; Age Band Code ; Sex Code </v>
      </c>
      <c r="N337" s="297" t="s">
        <v>197</v>
      </c>
      <c r="O337" s="297" t="s">
        <v>198</v>
      </c>
      <c r="P337" s="297" t="s">
        <v>199</v>
      </c>
      <c r="Q337" s="297" t="s">
        <v>200</v>
      </c>
      <c r="R337" s="297" t="s">
        <v>213</v>
      </c>
      <c r="S337" s="297" t="s">
        <v>214</v>
      </c>
    </row>
    <row r="338" spans="1:19" x14ac:dyDescent="0.4">
      <c r="A338" s="291"/>
      <c r="B338" s="292"/>
      <c r="C338" s="312"/>
      <c r="D338" s="292"/>
      <c r="E338" s="489"/>
      <c r="F338" s="489"/>
      <c r="G338" s="490"/>
      <c r="H338" s="520"/>
      <c r="I338" s="523"/>
      <c r="J338" s="521"/>
      <c r="K338" s="522"/>
      <c r="M338" s="301" t="str">
        <f>N338&amp;AS[[#This Row],[Insurer Code]]&amp;"; "&amp;O338&amp;AS[[#This Row],[Reporting Year]]&amp;"; "&amp;P338&amp;AS[[#This Row],[Insurance Category Code]]&amp;"; "&amp;Q338&amp;AS[[#This Row],[Large Provider Entity Code]]&amp;"; "&amp;R338&amp;AS[[#This Row],[Age Band Code]]&amp;"; "&amp;S338&amp;AS[[#This Row],[Sex Code]]</f>
        <v xml:space="preserve">Insurer Code ; Reporting Year ; Insurance Category Code ; Large Provider Entity Code ; Age Band Code ; Sex Code </v>
      </c>
      <c r="N338" s="297" t="s">
        <v>197</v>
      </c>
      <c r="O338" s="297" t="s">
        <v>198</v>
      </c>
      <c r="P338" s="297" t="s">
        <v>199</v>
      </c>
      <c r="Q338" s="297" t="s">
        <v>200</v>
      </c>
      <c r="R338" s="297" t="s">
        <v>213</v>
      </c>
      <c r="S338" s="297" t="s">
        <v>214</v>
      </c>
    </row>
    <row r="339" spans="1:19" x14ac:dyDescent="0.4">
      <c r="A339" s="291"/>
      <c r="B339" s="292"/>
      <c r="C339" s="312"/>
      <c r="D339" s="292"/>
      <c r="E339" s="489"/>
      <c r="F339" s="489"/>
      <c r="G339" s="490"/>
      <c r="H339" s="520"/>
      <c r="I339" s="523"/>
      <c r="J339" s="521"/>
      <c r="K339" s="522"/>
      <c r="M339" s="301" t="str">
        <f>N339&amp;AS[[#This Row],[Insurer Code]]&amp;"; "&amp;O339&amp;AS[[#This Row],[Reporting Year]]&amp;"; "&amp;P339&amp;AS[[#This Row],[Insurance Category Code]]&amp;"; "&amp;Q339&amp;AS[[#This Row],[Large Provider Entity Code]]&amp;"; "&amp;R339&amp;AS[[#This Row],[Age Band Code]]&amp;"; "&amp;S339&amp;AS[[#This Row],[Sex Code]]</f>
        <v xml:space="preserve">Insurer Code ; Reporting Year ; Insurance Category Code ; Large Provider Entity Code ; Age Band Code ; Sex Code </v>
      </c>
      <c r="N339" s="297" t="s">
        <v>197</v>
      </c>
      <c r="O339" s="297" t="s">
        <v>198</v>
      </c>
      <c r="P339" s="297" t="s">
        <v>199</v>
      </c>
      <c r="Q339" s="297" t="s">
        <v>200</v>
      </c>
      <c r="R339" s="297" t="s">
        <v>213</v>
      </c>
      <c r="S339" s="297" t="s">
        <v>214</v>
      </c>
    </row>
    <row r="340" spans="1:19" x14ac:dyDescent="0.4">
      <c r="A340" s="291"/>
      <c r="B340" s="292"/>
      <c r="C340" s="312"/>
      <c r="D340" s="292"/>
      <c r="E340" s="489"/>
      <c r="F340" s="489"/>
      <c r="G340" s="490"/>
      <c r="H340" s="520"/>
      <c r="I340" s="523"/>
      <c r="J340" s="521"/>
      <c r="K340" s="522"/>
      <c r="M340" s="301" t="str">
        <f>N340&amp;AS[[#This Row],[Insurer Code]]&amp;"; "&amp;O340&amp;AS[[#This Row],[Reporting Year]]&amp;"; "&amp;P340&amp;AS[[#This Row],[Insurance Category Code]]&amp;"; "&amp;Q340&amp;AS[[#This Row],[Large Provider Entity Code]]&amp;"; "&amp;R340&amp;AS[[#This Row],[Age Band Code]]&amp;"; "&amp;S340&amp;AS[[#This Row],[Sex Code]]</f>
        <v xml:space="preserve">Insurer Code ; Reporting Year ; Insurance Category Code ; Large Provider Entity Code ; Age Band Code ; Sex Code </v>
      </c>
      <c r="N340" s="297" t="s">
        <v>197</v>
      </c>
      <c r="O340" s="297" t="s">
        <v>198</v>
      </c>
      <c r="P340" s="297" t="s">
        <v>199</v>
      </c>
      <c r="Q340" s="297" t="s">
        <v>200</v>
      </c>
      <c r="R340" s="297" t="s">
        <v>213</v>
      </c>
      <c r="S340" s="297" t="s">
        <v>214</v>
      </c>
    </row>
    <row r="341" spans="1:19" x14ac:dyDescent="0.4">
      <c r="A341" s="291"/>
      <c r="B341" s="292"/>
      <c r="C341" s="312"/>
      <c r="D341" s="292"/>
      <c r="E341" s="489"/>
      <c r="F341" s="489"/>
      <c r="G341" s="490"/>
      <c r="H341" s="520"/>
      <c r="I341" s="523"/>
      <c r="J341" s="521"/>
      <c r="K341" s="522"/>
      <c r="M341" s="301" t="str">
        <f>N341&amp;AS[[#This Row],[Insurer Code]]&amp;"; "&amp;O341&amp;AS[[#This Row],[Reporting Year]]&amp;"; "&amp;P341&amp;AS[[#This Row],[Insurance Category Code]]&amp;"; "&amp;Q341&amp;AS[[#This Row],[Large Provider Entity Code]]&amp;"; "&amp;R341&amp;AS[[#This Row],[Age Band Code]]&amp;"; "&amp;S341&amp;AS[[#This Row],[Sex Code]]</f>
        <v xml:space="preserve">Insurer Code ; Reporting Year ; Insurance Category Code ; Large Provider Entity Code ; Age Band Code ; Sex Code </v>
      </c>
      <c r="N341" s="297" t="s">
        <v>197</v>
      </c>
      <c r="O341" s="297" t="s">
        <v>198</v>
      </c>
      <c r="P341" s="297" t="s">
        <v>199</v>
      </c>
      <c r="Q341" s="297" t="s">
        <v>200</v>
      </c>
      <c r="R341" s="297" t="s">
        <v>213</v>
      </c>
      <c r="S341" s="297" t="s">
        <v>214</v>
      </c>
    </row>
    <row r="342" spans="1:19" x14ac:dyDescent="0.4">
      <c r="A342" s="291"/>
      <c r="B342" s="292"/>
      <c r="C342" s="312"/>
      <c r="D342" s="292"/>
      <c r="E342" s="489"/>
      <c r="F342" s="489"/>
      <c r="G342" s="490"/>
      <c r="H342" s="520"/>
      <c r="I342" s="523"/>
      <c r="J342" s="521"/>
      <c r="K342" s="522"/>
      <c r="M342" s="301" t="str">
        <f>N342&amp;AS[[#This Row],[Insurer Code]]&amp;"; "&amp;O342&amp;AS[[#This Row],[Reporting Year]]&amp;"; "&amp;P342&amp;AS[[#This Row],[Insurance Category Code]]&amp;"; "&amp;Q342&amp;AS[[#This Row],[Large Provider Entity Code]]&amp;"; "&amp;R342&amp;AS[[#This Row],[Age Band Code]]&amp;"; "&amp;S342&amp;AS[[#This Row],[Sex Code]]</f>
        <v xml:space="preserve">Insurer Code ; Reporting Year ; Insurance Category Code ; Large Provider Entity Code ; Age Band Code ; Sex Code </v>
      </c>
      <c r="N342" s="297" t="s">
        <v>197</v>
      </c>
      <c r="O342" s="297" t="s">
        <v>198</v>
      </c>
      <c r="P342" s="297" t="s">
        <v>199</v>
      </c>
      <c r="Q342" s="297" t="s">
        <v>200</v>
      </c>
      <c r="R342" s="297" t="s">
        <v>213</v>
      </c>
      <c r="S342" s="297" t="s">
        <v>214</v>
      </c>
    </row>
    <row r="343" spans="1:19" x14ac:dyDescent="0.4">
      <c r="A343" s="291"/>
      <c r="B343" s="292"/>
      <c r="C343" s="312"/>
      <c r="D343" s="292"/>
      <c r="E343" s="489"/>
      <c r="F343" s="489"/>
      <c r="G343" s="490"/>
      <c r="H343" s="520"/>
      <c r="I343" s="523"/>
      <c r="J343" s="521"/>
      <c r="K343" s="522"/>
      <c r="M343" s="301" t="str">
        <f>N343&amp;AS[[#This Row],[Insurer Code]]&amp;"; "&amp;O343&amp;AS[[#This Row],[Reporting Year]]&amp;"; "&amp;P343&amp;AS[[#This Row],[Insurance Category Code]]&amp;"; "&amp;Q343&amp;AS[[#This Row],[Large Provider Entity Code]]&amp;"; "&amp;R343&amp;AS[[#This Row],[Age Band Code]]&amp;"; "&amp;S343&amp;AS[[#This Row],[Sex Code]]</f>
        <v xml:space="preserve">Insurer Code ; Reporting Year ; Insurance Category Code ; Large Provider Entity Code ; Age Band Code ; Sex Code </v>
      </c>
      <c r="N343" s="297" t="s">
        <v>197</v>
      </c>
      <c r="O343" s="297" t="s">
        <v>198</v>
      </c>
      <c r="P343" s="297" t="s">
        <v>199</v>
      </c>
      <c r="Q343" s="297" t="s">
        <v>200</v>
      </c>
      <c r="R343" s="297" t="s">
        <v>213</v>
      </c>
      <c r="S343" s="297" t="s">
        <v>214</v>
      </c>
    </row>
    <row r="344" spans="1:19" x14ac:dyDescent="0.4">
      <c r="A344" s="291"/>
      <c r="B344" s="292"/>
      <c r="C344" s="312"/>
      <c r="D344" s="292"/>
      <c r="E344" s="489"/>
      <c r="F344" s="489"/>
      <c r="G344" s="490"/>
      <c r="H344" s="520"/>
      <c r="I344" s="523"/>
      <c r="J344" s="521"/>
      <c r="K344" s="522"/>
      <c r="M344" s="301" t="str">
        <f>N344&amp;AS[[#This Row],[Insurer Code]]&amp;"; "&amp;O344&amp;AS[[#This Row],[Reporting Year]]&amp;"; "&amp;P344&amp;AS[[#This Row],[Insurance Category Code]]&amp;"; "&amp;Q344&amp;AS[[#This Row],[Large Provider Entity Code]]&amp;"; "&amp;R344&amp;AS[[#This Row],[Age Band Code]]&amp;"; "&amp;S344&amp;AS[[#This Row],[Sex Code]]</f>
        <v xml:space="preserve">Insurer Code ; Reporting Year ; Insurance Category Code ; Large Provider Entity Code ; Age Band Code ; Sex Code </v>
      </c>
      <c r="N344" s="297" t="s">
        <v>197</v>
      </c>
      <c r="O344" s="297" t="s">
        <v>198</v>
      </c>
      <c r="P344" s="297" t="s">
        <v>199</v>
      </c>
      <c r="Q344" s="297" t="s">
        <v>200</v>
      </c>
      <c r="R344" s="297" t="s">
        <v>213</v>
      </c>
      <c r="S344" s="297" t="s">
        <v>214</v>
      </c>
    </row>
    <row r="345" spans="1:19" x14ac:dyDescent="0.4">
      <c r="A345" s="291"/>
      <c r="B345" s="292"/>
      <c r="C345" s="312"/>
      <c r="D345" s="292"/>
      <c r="E345" s="489"/>
      <c r="F345" s="489"/>
      <c r="G345" s="490"/>
      <c r="H345" s="520"/>
      <c r="I345" s="523"/>
      <c r="J345" s="521"/>
      <c r="K345" s="522"/>
      <c r="M345" s="301" t="str">
        <f>N345&amp;AS[[#This Row],[Insurer Code]]&amp;"; "&amp;O345&amp;AS[[#This Row],[Reporting Year]]&amp;"; "&amp;P345&amp;AS[[#This Row],[Insurance Category Code]]&amp;"; "&amp;Q345&amp;AS[[#This Row],[Large Provider Entity Code]]&amp;"; "&amp;R345&amp;AS[[#This Row],[Age Band Code]]&amp;"; "&amp;S345&amp;AS[[#This Row],[Sex Code]]</f>
        <v xml:space="preserve">Insurer Code ; Reporting Year ; Insurance Category Code ; Large Provider Entity Code ; Age Band Code ; Sex Code </v>
      </c>
      <c r="N345" s="297" t="s">
        <v>197</v>
      </c>
      <c r="O345" s="297" t="s">
        <v>198</v>
      </c>
      <c r="P345" s="297" t="s">
        <v>199</v>
      </c>
      <c r="Q345" s="297" t="s">
        <v>200</v>
      </c>
      <c r="R345" s="297" t="s">
        <v>213</v>
      </c>
      <c r="S345" s="297" t="s">
        <v>214</v>
      </c>
    </row>
    <row r="346" spans="1:19" x14ac:dyDescent="0.4">
      <c r="A346" s="291"/>
      <c r="B346" s="292"/>
      <c r="C346" s="312"/>
      <c r="D346" s="292"/>
      <c r="E346" s="489"/>
      <c r="F346" s="489"/>
      <c r="G346" s="490"/>
      <c r="H346" s="520"/>
      <c r="I346" s="523"/>
      <c r="J346" s="521"/>
      <c r="K346" s="522"/>
      <c r="M346" s="301" t="str">
        <f>N346&amp;AS[[#This Row],[Insurer Code]]&amp;"; "&amp;O346&amp;AS[[#This Row],[Reporting Year]]&amp;"; "&amp;P346&amp;AS[[#This Row],[Insurance Category Code]]&amp;"; "&amp;Q346&amp;AS[[#This Row],[Large Provider Entity Code]]&amp;"; "&amp;R346&amp;AS[[#This Row],[Age Band Code]]&amp;"; "&amp;S346&amp;AS[[#This Row],[Sex Code]]</f>
        <v xml:space="preserve">Insurer Code ; Reporting Year ; Insurance Category Code ; Large Provider Entity Code ; Age Band Code ; Sex Code </v>
      </c>
      <c r="N346" s="297" t="s">
        <v>197</v>
      </c>
      <c r="O346" s="297" t="s">
        <v>198</v>
      </c>
      <c r="P346" s="297" t="s">
        <v>199</v>
      </c>
      <c r="Q346" s="297" t="s">
        <v>200</v>
      </c>
      <c r="R346" s="297" t="s">
        <v>213</v>
      </c>
      <c r="S346" s="297" t="s">
        <v>214</v>
      </c>
    </row>
    <row r="347" spans="1:19" x14ac:dyDescent="0.4">
      <c r="A347" s="291"/>
      <c r="B347" s="292"/>
      <c r="C347" s="312"/>
      <c r="D347" s="292"/>
      <c r="E347" s="489"/>
      <c r="F347" s="489"/>
      <c r="G347" s="490"/>
      <c r="H347" s="520"/>
      <c r="I347" s="523"/>
      <c r="J347" s="521"/>
      <c r="K347" s="522"/>
      <c r="M347" s="301" t="str">
        <f>N347&amp;AS[[#This Row],[Insurer Code]]&amp;"; "&amp;O347&amp;AS[[#This Row],[Reporting Year]]&amp;"; "&amp;P347&amp;AS[[#This Row],[Insurance Category Code]]&amp;"; "&amp;Q347&amp;AS[[#This Row],[Large Provider Entity Code]]&amp;"; "&amp;R347&amp;AS[[#This Row],[Age Band Code]]&amp;"; "&amp;S347&amp;AS[[#This Row],[Sex Code]]</f>
        <v xml:space="preserve">Insurer Code ; Reporting Year ; Insurance Category Code ; Large Provider Entity Code ; Age Band Code ; Sex Code </v>
      </c>
      <c r="N347" s="297" t="s">
        <v>197</v>
      </c>
      <c r="O347" s="297" t="s">
        <v>198</v>
      </c>
      <c r="P347" s="297" t="s">
        <v>199</v>
      </c>
      <c r="Q347" s="297" t="s">
        <v>200</v>
      </c>
      <c r="R347" s="297" t="s">
        <v>213</v>
      </c>
      <c r="S347" s="297" t="s">
        <v>214</v>
      </c>
    </row>
    <row r="348" spans="1:19" x14ac:dyDescent="0.4">
      <c r="A348" s="291"/>
      <c r="B348" s="292"/>
      <c r="C348" s="312"/>
      <c r="D348" s="292"/>
      <c r="E348" s="489"/>
      <c r="F348" s="489"/>
      <c r="G348" s="490"/>
      <c r="H348" s="520"/>
      <c r="I348" s="523"/>
      <c r="J348" s="521"/>
      <c r="K348" s="522"/>
      <c r="M348" s="301" t="str">
        <f>N348&amp;AS[[#This Row],[Insurer Code]]&amp;"; "&amp;O348&amp;AS[[#This Row],[Reporting Year]]&amp;"; "&amp;P348&amp;AS[[#This Row],[Insurance Category Code]]&amp;"; "&amp;Q348&amp;AS[[#This Row],[Large Provider Entity Code]]&amp;"; "&amp;R348&amp;AS[[#This Row],[Age Band Code]]&amp;"; "&amp;S348&amp;AS[[#This Row],[Sex Code]]</f>
        <v xml:space="preserve">Insurer Code ; Reporting Year ; Insurance Category Code ; Large Provider Entity Code ; Age Band Code ; Sex Code </v>
      </c>
      <c r="N348" s="297" t="s">
        <v>197</v>
      </c>
      <c r="O348" s="297" t="s">
        <v>198</v>
      </c>
      <c r="P348" s="297" t="s">
        <v>199</v>
      </c>
      <c r="Q348" s="297" t="s">
        <v>200</v>
      </c>
      <c r="R348" s="297" t="s">
        <v>213</v>
      </c>
      <c r="S348" s="297" t="s">
        <v>214</v>
      </c>
    </row>
    <row r="349" spans="1:19" x14ac:dyDescent="0.4">
      <c r="A349" s="291"/>
      <c r="B349" s="292"/>
      <c r="C349" s="312"/>
      <c r="D349" s="292"/>
      <c r="E349" s="489"/>
      <c r="F349" s="489"/>
      <c r="G349" s="490"/>
      <c r="H349" s="520"/>
      <c r="I349" s="523"/>
      <c r="J349" s="521"/>
      <c r="K349" s="522"/>
      <c r="M349" s="301" t="str">
        <f>N349&amp;AS[[#This Row],[Insurer Code]]&amp;"; "&amp;O349&amp;AS[[#This Row],[Reporting Year]]&amp;"; "&amp;P349&amp;AS[[#This Row],[Insurance Category Code]]&amp;"; "&amp;Q349&amp;AS[[#This Row],[Large Provider Entity Code]]&amp;"; "&amp;R349&amp;AS[[#This Row],[Age Band Code]]&amp;"; "&amp;S349&amp;AS[[#This Row],[Sex Code]]</f>
        <v xml:space="preserve">Insurer Code ; Reporting Year ; Insurance Category Code ; Large Provider Entity Code ; Age Band Code ; Sex Code </v>
      </c>
      <c r="N349" s="297" t="s">
        <v>197</v>
      </c>
      <c r="O349" s="297" t="s">
        <v>198</v>
      </c>
      <c r="P349" s="297" t="s">
        <v>199</v>
      </c>
      <c r="Q349" s="297" t="s">
        <v>200</v>
      </c>
      <c r="R349" s="297" t="s">
        <v>213</v>
      </c>
      <c r="S349" s="297" t="s">
        <v>214</v>
      </c>
    </row>
    <row r="350" spans="1:19" x14ac:dyDescent="0.4">
      <c r="A350" s="291"/>
      <c r="B350" s="292"/>
      <c r="C350" s="312"/>
      <c r="D350" s="292"/>
      <c r="E350" s="489"/>
      <c r="F350" s="489"/>
      <c r="G350" s="490"/>
      <c r="H350" s="520"/>
      <c r="I350" s="523"/>
      <c r="J350" s="521"/>
      <c r="K350" s="522"/>
      <c r="M350" s="301" t="str">
        <f>N350&amp;AS[[#This Row],[Insurer Code]]&amp;"; "&amp;O350&amp;AS[[#This Row],[Reporting Year]]&amp;"; "&amp;P350&amp;AS[[#This Row],[Insurance Category Code]]&amp;"; "&amp;Q350&amp;AS[[#This Row],[Large Provider Entity Code]]&amp;"; "&amp;R350&amp;AS[[#This Row],[Age Band Code]]&amp;"; "&amp;S350&amp;AS[[#This Row],[Sex Code]]</f>
        <v xml:space="preserve">Insurer Code ; Reporting Year ; Insurance Category Code ; Large Provider Entity Code ; Age Band Code ; Sex Code </v>
      </c>
      <c r="N350" s="297" t="s">
        <v>197</v>
      </c>
      <c r="O350" s="297" t="s">
        <v>198</v>
      </c>
      <c r="P350" s="297" t="s">
        <v>199</v>
      </c>
      <c r="Q350" s="297" t="s">
        <v>200</v>
      </c>
      <c r="R350" s="297" t="s">
        <v>213</v>
      </c>
      <c r="S350" s="297" t="s">
        <v>214</v>
      </c>
    </row>
    <row r="351" spans="1:19" x14ac:dyDescent="0.4">
      <c r="A351" s="291"/>
      <c r="B351" s="292"/>
      <c r="C351" s="312"/>
      <c r="D351" s="292"/>
      <c r="E351" s="489"/>
      <c r="F351" s="489"/>
      <c r="G351" s="490"/>
      <c r="H351" s="520"/>
      <c r="I351" s="523"/>
      <c r="J351" s="521"/>
      <c r="K351" s="522"/>
      <c r="M351" s="301" t="str">
        <f>N351&amp;AS[[#This Row],[Insurer Code]]&amp;"; "&amp;O351&amp;AS[[#This Row],[Reporting Year]]&amp;"; "&amp;P351&amp;AS[[#This Row],[Insurance Category Code]]&amp;"; "&amp;Q351&amp;AS[[#This Row],[Large Provider Entity Code]]&amp;"; "&amp;R351&amp;AS[[#This Row],[Age Band Code]]&amp;"; "&amp;S351&amp;AS[[#This Row],[Sex Code]]</f>
        <v xml:space="preserve">Insurer Code ; Reporting Year ; Insurance Category Code ; Large Provider Entity Code ; Age Band Code ; Sex Code </v>
      </c>
      <c r="N351" s="297" t="s">
        <v>197</v>
      </c>
      <c r="O351" s="297" t="s">
        <v>198</v>
      </c>
      <c r="P351" s="297" t="s">
        <v>199</v>
      </c>
      <c r="Q351" s="297" t="s">
        <v>200</v>
      </c>
      <c r="R351" s="297" t="s">
        <v>213</v>
      </c>
      <c r="S351" s="297" t="s">
        <v>214</v>
      </c>
    </row>
    <row r="352" spans="1:19" x14ac:dyDescent="0.4">
      <c r="A352" s="291"/>
      <c r="B352" s="292"/>
      <c r="C352" s="312"/>
      <c r="D352" s="292"/>
      <c r="E352" s="489"/>
      <c r="F352" s="489"/>
      <c r="G352" s="490"/>
      <c r="H352" s="520"/>
      <c r="I352" s="523"/>
      <c r="J352" s="521"/>
      <c r="K352" s="522"/>
      <c r="M352" s="301" t="str">
        <f>N352&amp;AS[[#This Row],[Insurer Code]]&amp;"; "&amp;O352&amp;AS[[#This Row],[Reporting Year]]&amp;"; "&amp;P352&amp;AS[[#This Row],[Insurance Category Code]]&amp;"; "&amp;Q352&amp;AS[[#This Row],[Large Provider Entity Code]]&amp;"; "&amp;R352&amp;AS[[#This Row],[Age Band Code]]&amp;"; "&amp;S352&amp;AS[[#This Row],[Sex Code]]</f>
        <v xml:space="preserve">Insurer Code ; Reporting Year ; Insurance Category Code ; Large Provider Entity Code ; Age Band Code ; Sex Code </v>
      </c>
      <c r="N352" s="297" t="s">
        <v>197</v>
      </c>
      <c r="O352" s="297" t="s">
        <v>198</v>
      </c>
      <c r="P352" s="297" t="s">
        <v>199</v>
      </c>
      <c r="Q352" s="297" t="s">
        <v>200</v>
      </c>
      <c r="R352" s="297" t="s">
        <v>213</v>
      </c>
      <c r="S352" s="297" t="s">
        <v>214</v>
      </c>
    </row>
    <row r="353" spans="1:19" x14ac:dyDescent="0.4">
      <c r="A353" s="291"/>
      <c r="B353" s="292"/>
      <c r="C353" s="312"/>
      <c r="D353" s="292"/>
      <c r="E353" s="489"/>
      <c r="F353" s="489"/>
      <c r="G353" s="490"/>
      <c r="H353" s="520"/>
      <c r="I353" s="523"/>
      <c r="J353" s="521"/>
      <c r="K353" s="522"/>
      <c r="M353" s="301" t="str">
        <f>N353&amp;AS[[#This Row],[Insurer Code]]&amp;"; "&amp;O353&amp;AS[[#This Row],[Reporting Year]]&amp;"; "&amp;P353&amp;AS[[#This Row],[Insurance Category Code]]&amp;"; "&amp;Q353&amp;AS[[#This Row],[Large Provider Entity Code]]&amp;"; "&amp;R353&amp;AS[[#This Row],[Age Band Code]]&amp;"; "&amp;S353&amp;AS[[#This Row],[Sex Code]]</f>
        <v xml:space="preserve">Insurer Code ; Reporting Year ; Insurance Category Code ; Large Provider Entity Code ; Age Band Code ; Sex Code </v>
      </c>
      <c r="N353" s="297" t="s">
        <v>197</v>
      </c>
      <c r="O353" s="297" t="s">
        <v>198</v>
      </c>
      <c r="P353" s="297" t="s">
        <v>199</v>
      </c>
      <c r="Q353" s="297" t="s">
        <v>200</v>
      </c>
      <c r="R353" s="297" t="s">
        <v>213</v>
      </c>
      <c r="S353" s="297" t="s">
        <v>214</v>
      </c>
    </row>
    <row r="354" spans="1:19" x14ac:dyDescent="0.4">
      <c r="A354" s="291"/>
      <c r="B354" s="292"/>
      <c r="C354" s="312"/>
      <c r="D354" s="292"/>
      <c r="E354" s="489"/>
      <c r="F354" s="489"/>
      <c r="G354" s="490"/>
      <c r="H354" s="520"/>
      <c r="I354" s="523"/>
      <c r="J354" s="521"/>
      <c r="K354" s="522"/>
      <c r="M354" s="301" t="str">
        <f>N354&amp;AS[[#This Row],[Insurer Code]]&amp;"; "&amp;O354&amp;AS[[#This Row],[Reporting Year]]&amp;"; "&amp;P354&amp;AS[[#This Row],[Insurance Category Code]]&amp;"; "&amp;Q354&amp;AS[[#This Row],[Large Provider Entity Code]]&amp;"; "&amp;R354&amp;AS[[#This Row],[Age Band Code]]&amp;"; "&amp;S354&amp;AS[[#This Row],[Sex Code]]</f>
        <v xml:space="preserve">Insurer Code ; Reporting Year ; Insurance Category Code ; Large Provider Entity Code ; Age Band Code ; Sex Code </v>
      </c>
      <c r="N354" s="297" t="s">
        <v>197</v>
      </c>
      <c r="O354" s="297" t="s">
        <v>198</v>
      </c>
      <c r="P354" s="297" t="s">
        <v>199</v>
      </c>
      <c r="Q354" s="297" t="s">
        <v>200</v>
      </c>
      <c r="R354" s="297" t="s">
        <v>213</v>
      </c>
      <c r="S354" s="297" t="s">
        <v>214</v>
      </c>
    </row>
    <row r="355" spans="1:19" x14ac:dyDescent="0.4">
      <c r="A355" s="291"/>
      <c r="B355" s="292"/>
      <c r="C355" s="312"/>
      <c r="D355" s="292"/>
      <c r="E355" s="489"/>
      <c r="F355" s="489"/>
      <c r="G355" s="490"/>
      <c r="H355" s="520"/>
      <c r="I355" s="523"/>
      <c r="J355" s="521"/>
      <c r="K355" s="522"/>
      <c r="M355" s="301" t="str">
        <f>N355&amp;AS[[#This Row],[Insurer Code]]&amp;"; "&amp;O355&amp;AS[[#This Row],[Reporting Year]]&amp;"; "&amp;P355&amp;AS[[#This Row],[Insurance Category Code]]&amp;"; "&amp;Q355&amp;AS[[#This Row],[Large Provider Entity Code]]&amp;"; "&amp;R355&amp;AS[[#This Row],[Age Band Code]]&amp;"; "&amp;S355&amp;AS[[#This Row],[Sex Code]]</f>
        <v xml:space="preserve">Insurer Code ; Reporting Year ; Insurance Category Code ; Large Provider Entity Code ; Age Band Code ; Sex Code </v>
      </c>
      <c r="N355" s="297" t="s">
        <v>197</v>
      </c>
      <c r="O355" s="297" t="s">
        <v>198</v>
      </c>
      <c r="P355" s="297" t="s">
        <v>199</v>
      </c>
      <c r="Q355" s="297" t="s">
        <v>200</v>
      </c>
      <c r="R355" s="297" t="s">
        <v>213</v>
      </c>
      <c r="S355" s="297" t="s">
        <v>214</v>
      </c>
    </row>
    <row r="356" spans="1:19" x14ac:dyDescent="0.4">
      <c r="A356" s="291"/>
      <c r="B356" s="292"/>
      <c r="C356" s="312"/>
      <c r="D356" s="292"/>
      <c r="E356" s="489"/>
      <c r="F356" s="489"/>
      <c r="G356" s="490"/>
      <c r="H356" s="520"/>
      <c r="I356" s="523"/>
      <c r="J356" s="521"/>
      <c r="K356" s="522"/>
      <c r="M356" s="301" t="str">
        <f>N356&amp;AS[[#This Row],[Insurer Code]]&amp;"; "&amp;O356&amp;AS[[#This Row],[Reporting Year]]&amp;"; "&amp;P356&amp;AS[[#This Row],[Insurance Category Code]]&amp;"; "&amp;Q356&amp;AS[[#This Row],[Large Provider Entity Code]]&amp;"; "&amp;R356&amp;AS[[#This Row],[Age Band Code]]&amp;"; "&amp;S356&amp;AS[[#This Row],[Sex Code]]</f>
        <v xml:space="preserve">Insurer Code ; Reporting Year ; Insurance Category Code ; Large Provider Entity Code ; Age Band Code ; Sex Code </v>
      </c>
      <c r="N356" s="297" t="s">
        <v>197</v>
      </c>
      <c r="O356" s="297" t="s">
        <v>198</v>
      </c>
      <c r="P356" s="297" t="s">
        <v>199</v>
      </c>
      <c r="Q356" s="297" t="s">
        <v>200</v>
      </c>
      <c r="R356" s="297" t="s">
        <v>213</v>
      </c>
      <c r="S356" s="297" t="s">
        <v>214</v>
      </c>
    </row>
    <row r="357" spans="1:19" x14ac:dyDescent="0.4">
      <c r="A357" s="291"/>
      <c r="B357" s="292"/>
      <c r="C357" s="312"/>
      <c r="D357" s="292"/>
      <c r="E357" s="489"/>
      <c r="F357" s="489"/>
      <c r="G357" s="490"/>
      <c r="H357" s="520"/>
      <c r="I357" s="523"/>
      <c r="J357" s="521"/>
      <c r="K357" s="522"/>
      <c r="M357" s="301" t="str">
        <f>N357&amp;AS[[#This Row],[Insurer Code]]&amp;"; "&amp;O357&amp;AS[[#This Row],[Reporting Year]]&amp;"; "&amp;P357&amp;AS[[#This Row],[Insurance Category Code]]&amp;"; "&amp;Q357&amp;AS[[#This Row],[Large Provider Entity Code]]&amp;"; "&amp;R357&amp;AS[[#This Row],[Age Band Code]]&amp;"; "&amp;S357&amp;AS[[#This Row],[Sex Code]]</f>
        <v xml:space="preserve">Insurer Code ; Reporting Year ; Insurance Category Code ; Large Provider Entity Code ; Age Band Code ; Sex Code </v>
      </c>
      <c r="N357" s="297" t="s">
        <v>197</v>
      </c>
      <c r="O357" s="297" t="s">
        <v>198</v>
      </c>
      <c r="P357" s="297" t="s">
        <v>199</v>
      </c>
      <c r="Q357" s="297" t="s">
        <v>200</v>
      </c>
      <c r="R357" s="297" t="s">
        <v>213</v>
      </c>
      <c r="S357" s="297" t="s">
        <v>214</v>
      </c>
    </row>
    <row r="358" spans="1:19" x14ac:dyDescent="0.4">
      <c r="A358" s="291"/>
      <c r="B358" s="292"/>
      <c r="C358" s="312"/>
      <c r="D358" s="292"/>
      <c r="E358" s="489"/>
      <c r="F358" s="489"/>
      <c r="G358" s="490"/>
      <c r="H358" s="520"/>
      <c r="I358" s="523"/>
      <c r="J358" s="521"/>
      <c r="K358" s="522"/>
      <c r="M358" s="301" t="str">
        <f>N358&amp;AS[[#This Row],[Insurer Code]]&amp;"; "&amp;O358&amp;AS[[#This Row],[Reporting Year]]&amp;"; "&amp;P358&amp;AS[[#This Row],[Insurance Category Code]]&amp;"; "&amp;Q358&amp;AS[[#This Row],[Large Provider Entity Code]]&amp;"; "&amp;R358&amp;AS[[#This Row],[Age Band Code]]&amp;"; "&amp;S358&amp;AS[[#This Row],[Sex Code]]</f>
        <v xml:space="preserve">Insurer Code ; Reporting Year ; Insurance Category Code ; Large Provider Entity Code ; Age Band Code ; Sex Code </v>
      </c>
      <c r="N358" s="297" t="s">
        <v>197</v>
      </c>
      <c r="O358" s="297" t="s">
        <v>198</v>
      </c>
      <c r="P358" s="297" t="s">
        <v>199</v>
      </c>
      <c r="Q358" s="297" t="s">
        <v>200</v>
      </c>
      <c r="R358" s="297" t="s">
        <v>213</v>
      </c>
      <c r="S358" s="297" t="s">
        <v>214</v>
      </c>
    </row>
    <row r="359" spans="1:19" x14ac:dyDescent="0.4">
      <c r="A359" s="291"/>
      <c r="B359" s="292"/>
      <c r="C359" s="312"/>
      <c r="D359" s="292"/>
      <c r="E359" s="489"/>
      <c r="F359" s="489"/>
      <c r="G359" s="490"/>
      <c r="H359" s="520"/>
      <c r="I359" s="523"/>
      <c r="J359" s="521"/>
      <c r="K359" s="522"/>
      <c r="M359" s="301" t="str">
        <f>N359&amp;AS[[#This Row],[Insurer Code]]&amp;"; "&amp;O359&amp;AS[[#This Row],[Reporting Year]]&amp;"; "&amp;P359&amp;AS[[#This Row],[Insurance Category Code]]&amp;"; "&amp;Q359&amp;AS[[#This Row],[Large Provider Entity Code]]&amp;"; "&amp;R359&amp;AS[[#This Row],[Age Band Code]]&amp;"; "&amp;S359&amp;AS[[#This Row],[Sex Code]]</f>
        <v xml:space="preserve">Insurer Code ; Reporting Year ; Insurance Category Code ; Large Provider Entity Code ; Age Band Code ; Sex Code </v>
      </c>
      <c r="N359" s="297" t="s">
        <v>197</v>
      </c>
      <c r="O359" s="297" t="s">
        <v>198</v>
      </c>
      <c r="P359" s="297" t="s">
        <v>199</v>
      </c>
      <c r="Q359" s="297" t="s">
        <v>200</v>
      </c>
      <c r="R359" s="297" t="s">
        <v>213</v>
      </c>
      <c r="S359" s="297" t="s">
        <v>214</v>
      </c>
    </row>
    <row r="360" spans="1:19" x14ac:dyDescent="0.4">
      <c r="A360" s="291"/>
      <c r="B360" s="292"/>
      <c r="C360" s="312"/>
      <c r="D360" s="292"/>
      <c r="E360" s="489"/>
      <c r="F360" s="489"/>
      <c r="G360" s="490"/>
      <c r="H360" s="520"/>
      <c r="I360" s="523"/>
      <c r="J360" s="521"/>
      <c r="K360" s="522"/>
      <c r="M360" s="301" t="str">
        <f>N360&amp;AS[[#This Row],[Insurer Code]]&amp;"; "&amp;O360&amp;AS[[#This Row],[Reporting Year]]&amp;"; "&amp;P360&amp;AS[[#This Row],[Insurance Category Code]]&amp;"; "&amp;Q360&amp;AS[[#This Row],[Large Provider Entity Code]]&amp;"; "&amp;R360&amp;AS[[#This Row],[Age Band Code]]&amp;"; "&amp;S360&amp;AS[[#This Row],[Sex Code]]</f>
        <v xml:space="preserve">Insurer Code ; Reporting Year ; Insurance Category Code ; Large Provider Entity Code ; Age Band Code ; Sex Code </v>
      </c>
      <c r="N360" s="297" t="s">
        <v>197</v>
      </c>
      <c r="O360" s="297" t="s">
        <v>198</v>
      </c>
      <c r="P360" s="297" t="s">
        <v>199</v>
      </c>
      <c r="Q360" s="297" t="s">
        <v>200</v>
      </c>
      <c r="R360" s="297" t="s">
        <v>213</v>
      </c>
      <c r="S360" s="297" t="s">
        <v>214</v>
      </c>
    </row>
    <row r="361" spans="1:19" x14ac:dyDescent="0.4">
      <c r="A361" s="291"/>
      <c r="B361" s="292"/>
      <c r="C361" s="312"/>
      <c r="D361" s="292"/>
      <c r="E361" s="489"/>
      <c r="F361" s="489"/>
      <c r="G361" s="490"/>
      <c r="H361" s="520"/>
      <c r="I361" s="523"/>
      <c r="J361" s="521"/>
      <c r="K361" s="522"/>
      <c r="M361" s="301" t="str">
        <f>N361&amp;AS[[#This Row],[Insurer Code]]&amp;"; "&amp;O361&amp;AS[[#This Row],[Reporting Year]]&amp;"; "&amp;P361&amp;AS[[#This Row],[Insurance Category Code]]&amp;"; "&amp;Q361&amp;AS[[#This Row],[Large Provider Entity Code]]&amp;"; "&amp;R361&amp;AS[[#This Row],[Age Band Code]]&amp;"; "&amp;S361&amp;AS[[#This Row],[Sex Code]]</f>
        <v xml:space="preserve">Insurer Code ; Reporting Year ; Insurance Category Code ; Large Provider Entity Code ; Age Band Code ; Sex Code </v>
      </c>
      <c r="N361" s="297" t="s">
        <v>197</v>
      </c>
      <c r="O361" s="297" t="s">
        <v>198</v>
      </c>
      <c r="P361" s="297" t="s">
        <v>199</v>
      </c>
      <c r="Q361" s="297" t="s">
        <v>200</v>
      </c>
      <c r="R361" s="297" t="s">
        <v>213</v>
      </c>
      <c r="S361" s="297" t="s">
        <v>214</v>
      </c>
    </row>
    <row r="362" spans="1:19" x14ac:dyDescent="0.4">
      <c r="A362" s="291"/>
      <c r="B362" s="292"/>
      <c r="C362" s="312"/>
      <c r="D362" s="292"/>
      <c r="E362" s="489"/>
      <c r="F362" s="489"/>
      <c r="G362" s="490"/>
      <c r="H362" s="520"/>
      <c r="I362" s="523"/>
      <c r="J362" s="521"/>
      <c r="K362" s="522"/>
      <c r="M362" s="301" t="str">
        <f>N362&amp;AS[[#This Row],[Insurer Code]]&amp;"; "&amp;O362&amp;AS[[#This Row],[Reporting Year]]&amp;"; "&amp;P362&amp;AS[[#This Row],[Insurance Category Code]]&amp;"; "&amp;Q362&amp;AS[[#This Row],[Large Provider Entity Code]]&amp;"; "&amp;R362&amp;AS[[#This Row],[Age Band Code]]&amp;"; "&amp;S362&amp;AS[[#This Row],[Sex Code]]</f>
        <v xml:space="preserve">Insurer Code ; Reporting Year ; Insurance Category Code ; Large Provider Entity Code ; Age Band Code ; Sex Code </v>
      </c>
      <c r="N362" s="297" t="s">
        <v>197</v>
      </c>
      <c r="O362" s="297" t="s">
        <v>198</v>
      </c>
      <c r="P362" s="297" t="s">
        <v>199</v>
      </c>
      <c r="Q362" s="297" t="s">
        <v>200</v>
      </c>
      <c r="R362" s="297" t="s">
        <v>213</v>
      </c>
      <c r="S362" s="297" t="s">
        <v>214</v>
      </c>
    </row>
    <row r="363" spans="1:19" x14ac:dyDescent="0.4">
      <c r="A363" s="291"/>
      <c r="B363" s="292"/>
      <c r="C363" s="312"/>
      <c r="D363" s="292"/>
      <c r="E363" s="489"/>
      <c r="F363" s="489"/>
      <c r="G363" s="490"/>
      <c r="H363" s="520"/>
      <c r="I363" s="523"/>
      <c r="J363" s="521"/>
      <c r="K363" s="522"/>
      <c r="M363" s="301" t="str">
        <f>N363&amp;AS[[#This Row],[Insurer Code]]&amp;"; "&amp;O363&amp;AS[[#This Row],[Reporting Year]]&amp;"; "&amp;P363&amp;AS[[#This Row],[Insurance Category Code]]&amp;"; "&amp;Q363&amp;AS[[#This Row],[Large Provider Entity Code]]&amp;"; "&amp;R363&amp;AS[[#This Row],[Age Band Code]]&amp;"; "&amp;S363&amp;AS[[#This Row],[Sex Code]]</f>
        <v xml:space="preserve">Insurer Code ; Reporting Year ; Insurance Category Code ; Large Provider Entity Code ; Age Band Code ; Sex Code </v>
      </c>
      <c r="N363" s="297" t="s">
        <v>197</v>
      </c>
      <c r="O363" s="297" t="s">
        <v>198</v>
      </c>
      <c r="P363" s="297" t="s">
        <v>199</v>
      </c>
      <c r="Q363" s="297" t="s">
        <v>200</v>
      </c>
      <c r="R363" s="297" t="s">
        <v>213</v>
      </c>
      <c r="S363" s="297" t="s">
        <v>214</v>
      </c>
    </row>
    <row r="364" spans="1:19" x14ac:dyDescent="0.4">
      <c r="A364" s="291"/>
      <c r="B364" s="292"/>
      <c r="C364" s="312"/>
      <c r="D364" s="292"/>
      <c r="E364" s="489"/>
      <c r="F364" s="489"/>
      <c r="G364" s="490"/>
      <c r="H364" s="520"/>
      <c r="I364" s="523"/>
      <c r="J364" s="521"/>
      <c r="K364" s="522"/>
      <c r="M364" s="301" t="str">
        <f>N364&amp;AS[[#This Row],[Insurer Code]]&amp;"; "&amp;O364&amp;AS[[#This Row],[Reporting Year]]&amp;"; "&amp;P364&amp;AS[[#This Row],[Insurance Category Code]]&amp;"; "&amp;Q364&amp;AS[[#This Row],[Large Provider Entity Code]]&amp;"; "&amp;R364&amp;AS[[#This Row],[Age Band Code]]&amp;"; "&amp;S364&amp;AS[[#This Row],[Sex Code]]</f>
        <v xml:space="preserve">Insurer Code ; Reporting Year ; Insurance Category Code ; Large Provider Entity Code ; Age Band Code ; Sex Code </v>
      </c>
      <c r="N364" s="297" t="s">
        <v>197</v>
      </c>
      <c r="O364" s="297" t="s">
        <v>198</v>
      </c>
      <c r="P364" s="297" t="s">
        <v>199</v>
      </c>
      <c r="Q364" s="297" t="s">
        <v>200</v>
      </c>
      <c r="R364" s="297" t="s">
        <v>213</v>
      </c>
      <c r="S364" s="297" t="s">
        <v>214</v>
      </c>
    </row>
    <row r="365" spans="1:19" x14ac:dyDescent="0.4">
      <c r="A365" s="291"/>
      <c r="B365" s="292"/>
      <c r="C365" s="312"/>
      <c r="D365" s="292"/>
      <c r="E365" s="489"/>
      <c r="F365" s="489"/>
      <c r="G365" s="490"/>
      <c r="H365" s="520"/>
      <c r="I365" s="523"/>
      <c r="J365" s="521"/>
      <c r="K365" s="522"/>
      <c r="M365" s="301" t="str">
        <f>N365&amp;AS[[#This Row],[Insurer Code]]&amp;"; "&amp;O365&amp;AS[[#This Row],[Reporting Year]]&amp;"; "&amp;P365&amp;AS[[#This Row],[Insurance Category Code]]&amp;"; "&amp;Q365&amp;AS[[#This Row],[Large Provider Entity Code]]&amp;"; "&amp;R365&amp;AS[[#This Row],[Age Band Code]]&amp;"; "&amp;S365&amp;AS[[#This Row],[Sex Code]]</f>
        <v xml:space="preserve">Insurer Code ; Reporting Year ; Insurance Category Code ; Large Provider Entity Code ; Age Band Code ; Sex Code </v>
      </c>
      <c r="N365" s="297" t="s">
        <v>197</v>
      </c>
      <c r="O365" s="297" t="s">
        <v>198</v>
      </c>
      <c r="P365" s="297" t="s">
        <v>199</v>
      </c>
      <c r="Q365" s="297" t="s">
        <v>200</v>
      </c>
      <c r="R365" s="297" t="s">
        <v>213</v>
      </c>
      <c r="S365" s="297" t="s">
        <v>214</v>
      </c>
    </row>
    <row r="366" spans="1:19" x14ac:dyDescent="0.4">
      <c r="A366" s="291"/>
      <c r="B366" s="292"/>
      <c r="C366" s="312"/>
      <c r="D366" s="292"/>
      <c r="E366" s="489"/>
      <c r="F366" s="489"/>
      <c r="G366" s="490"/>
      <c r="H366" s="520"/>
      <c r="I366" s="523"/>
      <c r="J366" s="521"/>
      <c r="K366" s="522"/>
      <c r="M366" s="301" t="str">
        <f>N366&amp;AS[[#This Row],[Insurer Code]]&amp;"; "&amp;O366&amp;AS[[#This Row],[Reporting Year]]&amp;"; "&amp;P366&amp;AS[[#This Row],[Insurance Category Code]]&amp;"; "&amp;Q366&amp;AS[[#This Row],[Large Provider Entity Code]]&amp;"; "&amp;R366&amp;AS[[#This Row],[Age Band Code]]&amp;"; "&amp;S366&amp;AS[[#This Row],[Sex Code]]</f>
        <v xml:space="preserve">Insurer Code ; Reporting Year ; Insurance Category Code ; Large Provider Entity Code ; Age Band Code ; Sex Code </v>
      </c>
      <c r="N366" s="297" t="s">
        <v>197</v>
      </c>
      <c r="O366" s="297" t="s">
        <v>198</v>
      </c>
      <c r="P366" s="297" t="s">
        <v>199</v>
      </c>
      <c r="Q366" s="297" t="s">
        <v>200</v>
      </c>
      <c r="R366" s="297" t="s">
        <v>213</v>
      </c>
      <c r="S366" s="297" t="s">
        <v>214</v>
      </c>
    </row>
    <row r="367" spans="1:19" x14ac:dyDescent="0.4">
      <c r="A367" s="291"/>
      <c r="B367" s="292"/>
      <c r="C367" s="312"/>
      <c r="D367" s="292"/>
      <c r="E367" s="489"/>
      <c r="F367" s="489"/>
      <c r="G367" s="490"/>
      <c r="H367" s="520"/>
      <c r="I367" s="523"/>
      <c r="J367" s="521"/>
      <c r="K367" s="522"/>
      <c r="M367" s="301" t="str">
        <f>N367&amp;AS[[#This Row],[Insurer Code]]&amp;"; "&amp;O367&amp;AS[[#This Row],[Reporting Year]]&amp;"; "&amp;P367&amp;AS[[#This Row],[Insurance Category Code]]&amp;"; "&amp;Q367&amp;AS[[#This Row],[Large Provider Entity Code]]&amp;"; "&amp;R367&amp;AS[[#This Row],[Age Band Code]]&amp;"; "&amp;S367&amp;AS[[#This Row],[Sex Code]]</f>
        <v xml:space="preserve">Insurer Code ; Reporting Year ; Insurance Category Code ; Large Provider Entity Code ; Age Band Code ; Sex Code </v>
      </c>
      <c r="N367" s="297" t="s">
        <v>197</v>
      </c>
      <c r="O367" s="297" t="s">
        <v>198</v>
      </c>
      <c r="P367" s="297" t="s">
        <v>199</v>
      </c>
      <c r="Q367" s="297" t="s">
        <v>200</v>
      </c>
      <c r="R367" s="297" t="s">
        <v>213</v>
      </c>
      <c r="S367" s="297" t="s">
        <v>214</v>
      </c>
    </row>
    <row r="368" spans="1:19" x14ac:dyDescent="0.4">
      <c r="A368" s="291"/>
      <c r="B368" s="292"/>
      <c r="C368" s="312"/>
      <c r="D368" s="292"/>
      <c r="E368" s="489"/>
      <c r="F368" s="489"/>
      <c r="G368" s="490"/>
      <c r="H368" s="520"/>
      <c r="I368" s="523"/>
      <c r="J368" s="521"/>
      <c r="K368" s="522"/>
      <c r="M368" s="301" t="str">
        <f>N368&amp;AS[[#This Row],[Insurer Code]]&amp;"; "&amp;O368&amp;AS[[#This Row],[Reporting Year]]&amp;"; "&amp;P368&amp;AS[[#This Row],[Insurance Category Code]]&amp;"; "&amp;Q368&amp;AS[[#This Row],[Large Provider Entity Code]]&amp;"; "&amp;R368&amp;AS[[#This Row],[Age Band Code]]&amp;"; "&amp;S368&amp;AS[[#This Row],[Sex Code]]</f>
        <v xml:space="preserve">Insurer Code ; Reporting Year ; Insurance Category Code ; Large Provider Entity Code ; Age Band Code ; Sex Code </v>
      </c>
      <c r="N368" s="297" t="s">
        <v>197</v>
      </c>
      <c r="O368" s="297" t="s">
        <v>198</v>
      </c>
      <c r="P368" s="297" t="s">
        <v>199</v>
      </c>
      <c r="Q368" s="297" t="s">
        <v>200</v>
      </c>
      <c r="R368" s="297" t="s">
        <v>213</v>
      </c>
      <c r="S368" s="297" t="s">
        <v>214</v>
      </c>
    </row>
    <row r="369" spans="1:19" x14ac:dyDescent="0.4">
      <c r="A369" s="291"/>
      <c r="B369" s="292"/>
      <c r="C369" s="312"/>
      <c r="D369" s="292"/>
      <c r="E369" s="489"/>
      <c r="F369" s="489"/>
      <c r="G369" s="490"/>
      <c r="H369" s="520"/>
      <c r="I369" s="523"/>
      <c r="J369" s="521"/>
      <c r="K369" s="522"/>
      <c r="M369" s="301" t="str">
        <f>N369&amp;AS[[#This Row],[Insurer Code]]&amp;"; "&amp;O369&amp;AS[[#This Row],[Reporting Year]]&amp;"; "&amp;P369&amp;AS[[#This Row],[Insurance Category Code]]&amp;"; "&amp;Q369&amp;AS[[#This Row],[Large Provider Entity Code]]&amp;"; "&amp;R369&amp;AS[[#This Row],[Age Band Code]]&amp;"; "&amp;S369&amp;AS[[#This Row],[Sex Code]]</f>
        <v xml:space="preserve">Insurer Code ; Reporting Year ; Insurance Category Code ; Large Provider Entity Code ; Age Band Code ; Sex Code </v>
      </c>
      <c r="N369" s="297" t="s">
        <v>197</v>
      </c>
      <c r="O369" s="297" t="s">
        <v>198</v>
      </c>
      <c r="P369" s="297" t="s">
        <v>199</v>
      </c>
      <c r="Q369" s="297" t="s">
        <v>200</v>
      </c>
      <c r="R369" s="297" t="s">
        <v>213</v>
      </c>
      <c r="S369" s="297" t="s">
        <v>214</v>
      </c>
    </row>
    <row r="370" spans="1:19" x14ac:dyDescent="0.4">
      <c r="A370" s="291"/>
      <c r="B370" s="292"/>
      <c r="C370" s="312"/>
      <c r="D370" s="292"/>
      <c r="E370" s="489"/>
      <c r="F370" s="489"/>
      <c r="G370" s="490"/>
      <c r="H370" s="520"/>
      <c r="I370" s="523"/>
      <c r="J370" s="521"/>
      <c r="K370" s="522"/>
      <c r="M370" s="301" t="str">
        <f>N370&amp;AS[[#This Row],[Insurer Code]]&amp;"; "&amp;O370&amp;AS[[#This Row],[Reporting Year]]&amp;"; "&amp;P370&amp;AS[[#This Row],[Insurance Category Code]]&amp;"; "&amp;Q370&amp;AS[[#This Row],[Large Provider Entity Code]]&amp;"; "&amp;R370&amp;AS[[#This Row],[Age Band Code]]&amp;"; "&amp;S370&amp;AS[[#This Row],[Sex Code]]</f>
        <v xml:space="preserve">Insurer Code ; Reporting Year ; Insurance Category Code ; Large Provider Entity Code ; Age Band Code ; Sex Code </v>
      </c>
      <c r="N370" s="297" t="s">
        <v>197</v>
      </c>
      <c r="O370" s="297" t="s">
        <v>198</v>
      </c>
      <c r="P370" s="297" t="s">
        <v>199</v>
      </c>
      <c r="Q370" s="297" t="s">
        <v>200</v>
      </c>
      <c r="R370" s="297" t="s">
        <v>213</v>
      </c>
      <c r="S370" s="297" t="s">
        <v>214</v>
      </c>
    </row>
    <row r="371" spans="1:19" x14ac:dyDescent="0.4">
      <c r="A371" s="291"/>
      <c r="B371" s="292"/>
      <c r="C371" s="312"/>
      <c r="D371" s="292"/>
      <c r="E371" s="489"/>
      <c r="F371" s="489"/>
      <c r="G371" s="490"/>
      <c r="H371" s="520"/>
      <c r="I371" s="523"/>
      <c r="J371" s="521"/>
      <c r="K371" s="522"/>
      <c r="M371" s="301" t="str">
        <f>N371&amp;AS[[#This Row],[Insurer Code]]&amp;"; "&amp;O371&amp;AS[[#This Row],[Reporting Year]]&amp;"; "&amp;P371&amp;AS[[#This Row],[Insurance Category Code]]&amp;"; "&amp;Q371&amp;AS[[#This Row],[Large Provider Entity Code]]&amp;"; "&amp;R371&amp;AS[[#This Row],[Age Band Code]]&amp;"; "&amp;S371&amp;AS[[#This Row],[Sex Code]]</f>
        <v xml:space="preserve">Insurer Code ; Reporting Year ; Insurance Category Code ; Large Provider Entity Code ; Age Band Code ; Sex Code </v>
      </c>
      <c r="N371" s="297" t="s">
        <v>197</v>
      </c>
      <c r="O371" s="297" t="s">
        <v>198</v>
      </c>
      <c r="P371" s="297" t="s">
        <v>199</v>
      </c>
      <c r="Q371" s="297" t="s">
        <v>200</v>
      </c>
      <c r="R371" s="297" t="s">
        <v>213</v>
      </c>
      <c r="S371" s="297" t="s">
        <v>214</v>
      </c>
    </row>
    <row r="372" spans="1:19" x14ac:dyDescent="0.4">
      <c r="A372" s="291"/>
      <c r="B372" s="292"/>
      <c r="C372" s="312"/>
      <c r="D372" s="292"/>
      <c r="E372" s="489"/>
      <c r="F372" s="489"/>
      <c r="G372" s="490"/>
      <c r="H372" s="520"/>
      <c r="I372" s="523"/>
      <c r="J372" s="521"/>
      <c r="K372" s="522"/>
      <c r="M372" s="301" t="str">
        <f>N372&amp;AS[[#This Row],[Insurer Code]]&amp;"; "&amp;O372&amp;AS[[#This Row],[Reporting Year]]&amp;"; "&amp;P372&amp;AS[[#This Row],[Insurance Category Code]]&amp;"; "&amp;Q372&amp;AS[[#This Row],[Large Provider Entity Code]]&amp;"; "&amp;R372&amp;AS[[#This Row],[Age Band Code]]&amp;"; "&amp;S372&amp;AS[[#This Row],[Sex Code]]</f>
        <v xml:space="preserve">Insurer Code ; Reporting Year ; Insurance Category Code ; Large Provider Entity Code ; Age Band Code ; Sex Code </v>
      </c>
      <c r="N372" s="297" t="s">
        <v>197</v>
      </c>
      <c r="O372" s="297" t="s">
        <v>198</v>
      </c>
      <c r="P372" s="297" t="s">
        <v>199</v>
      </c>
      <c r="Q372" s="297" t="s">
        <v>200</v>
      </c>
      <c r="R372" s="297" t="s">
        <v>213</v>
      </c>
      <c r="S372" s="297" t="s">
        <v>214</v>
      </c>
    </row>
    <row r="373" spans="1:19" x14ac:dyDescent="0.4">
      <c r="A373" s="291"/>
      <c r="B373" s="292"/>
      <c r="C373" s="312"/>
      <c r="D373" s="292"/>
      <c r="E373" s="489"/>
      <c r="F373" s="489"/>
      <c r="G373" s="490"/>
      <c r="H373" s="520"/>
      <c r="I373" s="523"/>
      <c r="J373" s="521"/>
      <c r="K373" s="522"/>
      <c r="M373" s="301" t="str">
        <f>N373&amp;AS[[#This Row],[Insurer Code]]&amp;"; "&amp;O373&amp;AS[[#This Row],[Reporting Year]]&amp;"; "&amp;P373&amp;AS[[#This Row],[Insurance Category Code]]&amp;"; "&amp;Q373&amp;AS[[#This Row],[Large Provider Entity Code]]&amp;"; "&amp;R373&amp;AS[[#This Row],[Age Band Code]]&amp;"; "&amp;S373&amp;AS[[#This Row],[Sex Code]]</f>
        <v xml:space="preserve">Insurer Code ; Reporting Year ; Insurance Category Code ; Large Provider Entity Code ; Age Band Code ; Sex Code </v>
      </c>
      <c r="N373" s="297" t="s">
        <v>197</v>
      </c>
      <c r="O373" s="297" t="s">
        <v>198</v>
      </c>
      <c r="P373" s="297" t="s">
        <v>199</v>
      </c>
      <c r="Q373" s="297" t="s">
        <v>200</v>
      </c>
      <c r="R373" s="297" t="s">
        <v>213</v>
      </c>
      <c r="S373" s="297" t="s">
        <v>214</v>
      </c>
    </row>
    <row r="374" spans="1:19" x14ac:dyDescent="0.4">
      <c r="A374" s="291"/>
      <c r="B374" s="292"/>
      <c r="C374" s="312"/>
      <c r="D374" s="292"/>
      <c r="E374" s="489"/>
      <c r="F374" s="489"/>
      <c r="G374" s="490"/>
      <c r="H374" s="520"/>
      <c r="I374" s="523"/>
      <c r="J374" s="521"/>
      <c r="K374" s="522"/>
      <c r="M374" s="301" t="str">
        <f>N374&amp;AS[[#This Row],[Insurer Code]]&amp;"; "&amp;O374&amp;AS[[#This Row],[Reporting Year]]&amp;"; "&amp;P374&amp;AS[[#This Row],[Insurance Category Code]]&amp;"; "&amp;Q374&amp;AS[[#This Row],[Large Provider Entity Code]]&amp;"; "&amp;R374&amp;AS[[#This Row],[Age Band Code]]&amp;"; "&amp;S374&amp;AS[[#This Row],[Sex Code]]</f>
        <v xml:space="preserve">Insurer Code ; Reporting Year ; Insurance Category Code ; Large Provider Entity Code ; Age Band Code ; Sex Code </v>
      </c>
      <c r="N374" s="297" t="s">
        <v>197</v>
      </c>
      <c r="O374" s="297" t="s">
        <v>198</v>
      </c>
      <c r="P374" s="297" t="s">
        <v>199</v>
      </c>
      <c r="Q374" s="297" t="s">
        <v>200</v>
      </c>
      <c r="R374" s="297" t="s">
        <v>213</v>
      </c>
      <c r="S374" s="297" t="s">
        <v>214</v>
      </c>
    </row>
    <row r="375" spans="1:19" x14ac:dyDescent="0.4">
      <c r="A375" s="291"/>
      <c r="B375" s="292"/>
      <c r="C375" s="312"/>
      <c r="D375" s="292"/>
      <c r="E375" s="489"/>
      <c r="F375" s="489"/>
      <c r="G375" s="490"/>
      <c r="H375" s="520"/>
      <c r="I375" s="523"/>
      <c r="J375" s="521"/>
      <c r="K375" s="522"/>
      <c r="M375" s="301" t="str">
        <f>N375&amp;AS[[#This Row],[Insurer Code]]&amp;"; "&amp;O375&amp;AS[[#This Row],[Reporting Year]]&amp;"; "&amp;P375&amp;AS[[#This Row],[Insurance Category Code]]&amp;"; "&amp;Q375&amp;AS[[#This Row],[Large Provider Entity Code]]&amp;"; "&amp;R375&amp;AS[[#This Row],[Age Band Code]]&amp;"; "&amp;S375&amp;AS[[#This Row],[Sex Code]]</f>
        <v xml:space="preserve">Insurer Code ; Reporting Year ; Insurance Category Code ; Large Provider Entity Code ; Age Band Code ; Sex Code </v>
      </c>
      <c r="N375" s="297" t="s">
        <v>197</v>
      </c>
      <c r="O375" s="297" t="s">
        <v>198</v>
      </c>
      <c r="P375" s="297" t="s">
        <v>199</v>
      </c>
      <c r="Q375" s="297" t="s">
        <v>200</v>
      </c>
      <c r="R375" s="297" t="s">
        <v>213</v>
      </c>
      <c r="S375" s="297" t="s">
        <v>214</v>
      </c>
    </row>
    <row r="376" spans="1:19" x14ac:dyDescent="0.4">
      <c r="A376" s="291"/>
      <c r="B376" s="292"/>
      <c r="C376" s="312"/>
      <c r="D376" s="292"/>
      <c r="E376" s="489"/>
      <c r="F376" s="489"/>
      <c r="G376" s="490"/>
      <c r="H376" s="520"/>
      <c r="I376" s="523"/>
      <c r="J376" s="521"/>
      <c r="K376" s="522"/>
      <c r="M376" s="301" t="str">
        <f>N376&amp;AS[[#This Row],[Insurer Code]]&amp;"; "&amp;O376&amp;AS[[#This Row],[Reporting Year]]&amp;"; "&amp;P376&amp;AS[[#This Row],[Insurance Category Code]]&amp;"; "&amp;Q376&amp;AS[[#This Row],[Large Provider Entity Code]]&amp;"; "&amp;R376&amp;AS[[#This Row],[Age Band Code]]&amp;"; "&amp;S376&amp;AS[[#This Row],[Sex Code]]</f>
        <v xml:space="preserve">Insurer Code ; Reporting Year ; Insurance Category Code ; Large Provider Entity Code ; Age Band Code ; Sex Code </v>
      </c>
      <c r="N376" s="297" t="s">
        <v>197</v>
      </c>
      <c r="O376" s="297" t="s">
        <v>198</v>
      </c>
      <c r="P376" s="297" t="s">
        <v>199</v>
      </c>
      <c r="Q376" s="297" t="s">
        <v>200</v>
      </c>
      <c r="R376" s="297" t="s">
        <v>213</v>
      </c>
      <c r="S376" s="297" t="s">
        <v>214</v>
      </c>
    </row>
    <row r="377" spans="1:19" x14ac:dyDescent="0.4">
      <c r="A377" s="291"/>
      <c r="B377" s="292"/>
      <c r="C377" s="312"/>
      <c r="D377" s="292"/>
      <c r="E377" s="489"/>
      <c r="F377" s="489"/>
      <c r="G377" s="490"/>
      <c r="H377" s="520"/>
      <c r="I377" s="523"/>
      <c r="J377" s="521"/>
      <c r="K377" s="522"/>
      <c r="M377" s="301" t="str">
        <f>N377&amp;AS[[#This Row],[Insurer Code]]&amp;"; "&amp;O377&amp;AS[[#This Row],[Reporting Year]]&amp;"; "&amp;P377&amp;AS[[#This Row],[Insurance Category Code]]&amp;"; "&amp;Q377&amp;AS[[#This Row],[Large Provider Entity Code]]&amp;"; "&amp;R377&amp;AS[[#This Row],[Age Band Code]]&amp;"; "&amp;S377&amp;AS[[#This Row],[Sex Code]]</f>
        <v xml:space="preserve">Insurer Code ; Reporting Year ; Insurance Category Code ; Large Provider Entity Code ; Age Band Code ; Sex Code </v>
      </c>
      <c r="N377" s="297" t="s">
        <v>197</v>
      </c>
      <c r="O377" s="297" t="s">
        <v>198</v>
      </c>
      <c r="P377" s="297" t="s">
        <v>199</v>
      </c>
      <c r="Q377" s="297" t="s">
        <v>200</v>
      </c>
      <c r="R377" s="297" t="s">
        <v>213</v>
      </c>
      <c r="S377" s="297" t="s">
        <v>214</v>
      </c>
    </row>
    <row r="378" spans="1:19" x14ac:dyDescent="0.4">
      <c r="A378" s="291"/>
      <c r="B378" s="292"/>
      <c r="C378" s="312"/>
      <c r="D378" s="292"/>
      <c r="E378" s="489"/>
      <c r="F378" s="489"/>
      <c r="G378" s="490"/>
      <c r="H378" s="520"/>
      <c r="I378" s="523"/>
      <c r="J378" s="521"/>
      <c r="K378" s="522"/>
      <c r="M378" s="301" t="str">
        <f>N378&amp;AS[[#This Row],[Insurer Code]]&amp;"; "&amp;O378&amp;AS[[#This Row],[Reporting Year]]&amp;"; "&amp;P378&amp;AS[[#This Row],[Insurance Category Code]]&amp;"; "&amp;Q378&amp;AS[[#This Row],[Large Provider Entity Code]]&amp;"; "&amp;R378&amp;AS[[#This Row],[Age Band Code]]&amp;"; "&amp;S378&amp;AS[[#This Row],[Sex Code]]</f>
        <v xml:space="preserve">Insurer Code ; Reporting Year ; Insurance Category Code ; Large Provider Entity Code ; Age Band Code ; Sex Code </v>
      </c>
      <c r="N378" s="297" t="s">
        <v>197</v>
      </c>
      <c r="O378" s="297" t="s">
        <v>198</v>
      </c>
      <c r="P378" s="297" t="s">
        <v>199</v>
      </c>
      <c r="Q378" s="297" t="s">
        <v>200</v>
      </c>
      <c r="R378" s="297" t="s">
        <v>213</v>
      </c>
      <c r="S378" s="297" t="s">
        <v>214</v>
      </c>
    </row>
    <row r="379" spans="1:19" x14ac:dyDescent="0.4">
      <c r="A379" s="291"/>
      <c r="B379" s="292"/>
      <c r="C379" s="312"/>
      <c r="D379" s="292"/>
      <c r="E379" s="489"/>
      <c r="F379" s="489"/>
      <c r="G379" s="490"/>
      <c r="H379" s="520"/>
      <c r="I379" s="523"/>
      <c r="J379" s="521"/>
      <c r="K379" s="522"/>
      <c r="M379" s="301" t="str">
        <f>N379&amp;AS[[#This Row],[Insurer Code]]&amp;"; "&amp;O379&amp;AS[[#This Row],[Reporting Year]]&amp;"; "&amp;P379&amp;AS[[#This Row],[Insurance Category Code]]&amp;"; "&amp;Q379&amp;AS[[#This Row],[Large Provider Entity Code]]&amp;"; "&amp;R379&amp;AS[[#This Row],[Age Band Code]]&amp;"; "&amp;S379&amp;AS[[#This Row],[Sex Code]]</f>
        <v xml:space="preserve">Insurer Code ; Reporting Year ; Insurance Category Code ; Large Provider Entity Code ; Age Band Code ; Sex Code </v>
      </c>
      <c r="N379" s="297" t="s">
        <v>197</v>
      </c>
      <c r="O379" s="297" t="s">
        <v>198</v>
      </c>
      <c r="P379" s="297" t="s">
        <v>199</v>
      </c>
      <c r="Q379" s="297" t="s">
        <v>200</v>
      </c>
      <c r="R379" s="297" t="s">
        <v>213</v>
      </c>
      <c r="S379" s="297" t="s">
        <v>214</v>
      </c>
    </row>
    <row r="380" spans="1:19" x14ac:dyDescent="0.4">
      <c r="A380" s="291"/>
      <c r="B380" s="292"/>
      <c r="C380" s="312"/>
      <c r="D380" s="292"/>
      <c r="E380" s="489"/>
      <c r="F380" s="489"/>
      <c r="G380" s="490"/>
      <c r="H380" s="520"/>
      <c r="I380" s="523"/>
      <c r="J380" s="521"/>
      <c r="K380" s="522"/>
      <c r="M380" s="301" t="str">
        <f>N380&amp;AS[[#This Row],[Insurer Code]]&amp;"; "&amp;O380&amp;AS[[#This Row],[Reporting Year]]&amp;"; "&amp;P380&amp;AS[[#This Row],[Insurance Category Code]]&amp;"; "&amp;Q380&amp;AS[[#This Row],[Large Provider Entity Code]]&amp;"; "&amp;R380&amp;AS[[#This Row],[Age Band Code]]&amp;"; "&amp;S380&amp;AS[[#This Row],[Sex Code]]</f>
        <v xml:space="preserve">Insurer Code ; Reporting Year ; Insurance Category Code ; Large Provider Entity Code ; Age Band Code ; Sex Code </v>
      </c>
      <c r="N380" s="297" t="s">
        <v>197</v>
      </c>
      <c r="O380" s="297" t="s">
        <v>198</v>
      </c>
      <c r="P380" s="297" t="s">
        <v>199</v>
      </c>
      <c r="Q380" s="297" t="s">
        <v>200</v>
      </c>
      <c r="R380" s="297" t="s">
        <v>213</v>
      </c>
      <c r="S380" s="297" t="s">
        <v>214</v>
      </c>
    </row>
    <row r="381" spans="1:19" x14ac:dyDescent="0.4">
      <c r="A381" s="291"/>
      <c r="B381" s="292"/>
      <c r="C381" s="312"/>
      <c r="D381" s="292"/>
      <c r="E381" s="489"/>
      <c r="F381" s="489"/>
      <c r="G381" s="490"/>
      <c r="H381" s="520"/>
      <c r="I381" s="523"/>
      <c r="J381" s="521"/>
      <c r="K381" s="522"/>
      <c r="M381" s="301" t="str">
        <f>N381&amp;AS[[#This Row],[Insurer Code]]&amp;"; "&amp;O381&amp;AS[[#This Row],[Reporting Year]]&amp;"; "&amp;P381&amp;AS[[#This Row],[Insurance Category Code]]&amp;"; "&amp;Q381&amp;AS[[#This Row],[Large Provider Entity Code]]&amp;"; "&amp;R381&amp;AS[[#This Row],[Age Band Code]]&amp;"; "&amp;S381&amp;AS[[#This Row],[Sex Code]]</f>
        <v xml:space="preserve">Insurer Code ; Reporting Year ; Insurance Category Code ; Large Provider Entity Code ; Age Band Code ; Sex Code </v>
      </c>
      <c r="N381" s="297" t="s">
        <v>197</v>
      </c>
      <c r="O381" s="297" t="s">
        <v>198</v>
      </c>
      <c r="P381" s="297" t="s">
        <v>199</v>
      </c>
      <c r="Q381" s="297" t="s">
        <v>200</v>
      </c>
      <c r="R381" s="297" t="s">
        <v>213</v>
      </c>
      <c r="S381" s="297" t="s">
        <v>214</v>
      </c>
    </row>
    <row r="382" spans="1:19" x14ac:dyDescent="0.4">
      <c r="A382" s="291"/>
      <c r="B382" s="292"/>
      <c r="C382" s="312"/>
      <c r="D382" s="292"/>
      <c r="E382" s="489"/>
      <c r="F382" s="489"/>
      <c r="G382" s="490"/>
      <c r="H382" s="520"/>
      <c r="I382" s="523"/>
      <c r="J382" s="521"/>
      <c r="K382" s="522"/>
      <c r="M382" s="301" t="str">
        <f>N382&amp;AS[[#This Row],[Insurer Code]]&amp;"; "&amp;O382&amp;AS[[#This Row],[Reporting Year]]&amp;"; "&amp;P382&amp;AS[[#This Row],[Insurance Category Code]]&amp;"; "&amp;Q382&amp;AS[[#This Row],[Large Provider Entity Code]]&amp;"; "&amp;R382&amp;AS[[#This Row],[Age Band Code]]&amp;"; "&amp;S382&amp;AS[[#This Row],[Sex Code]]</f>
        <v xml:space="preserve">Insurer Code ; Reporting Year ; Insurance Category Code ; Large Provider Entity Code ; Age Band Code ; Sex Code </v>
      </c>
      <c r="N382" s="297" t="s">
        <v>197</v>
      </c>
      <c r="O382" s="297" t="s">
        <v>198</v>
      </c>
      <c r="P382" s="297" t="s">
        <v>199</v>
      </c>
      <c r="Q382" s="297" t="s">
        <v>200</v>
      </c>
      <c r="R382" s="297" t="s">
        <v>213</v>
      </c>
      <c r="S382" s="297" t="s">
        <v>214</v>
      </c>
    </row>
    <row r="383" spans="1:19" x14ac:dyDescent="0.4">
      <c r="A383" s="291"/>
      <c r="B383" s="292"/>
      <c r="C383" s="312"/>
      <c r="D383" s="292"/>
      <c r="E383" s="489"/>
      <c r="F383" s="489"/>
      <c r="G383" s="490"/>
      <c r="H383" s="520"/>
      <c r="I383" s="523"/>
      <c r="J383" s="521"/>
      <c r="K383" s="522"/>
      <c r="M383" s="301" t="str">
        <f>N383&amp;AS[[#This Row],[Insurer Code]]&amp;"; "&amp;O383&amp;AS[[#This Row],[Reporting Year]]&amp;"; "&amp;P383&amp;AS[[#This Row],[Insurance Category Code]]&amp;"; "&amp;Q383&amp;AS[[#This Row],[Large Provider Entity Code]]&amp;"; "&amp;R383&amp;AS[[#This Row],[Age Band Code]]&amp;"; "&amp;S383&amp;AS[[#This Row],[Sex Code]]</f>
        <v xml:space="preserve">Insurer Code ; Reporting Year ; Insurance Category Code ; Large Provider Entity Code ; Age Band Code ; Sex Code </v>
      </c>
      <c r="N383" s="297" t="s">
        <v>197</v>
      </c>
      <c r="O383" s="297" t="s">
        <v>198</v>
      </c>
      <c r="P383" s="297" t="s">
        <v>199</v>
      </c>
      <c r="Q383" s="297" t="s">
        <v>200</v>
      </c>
      <c r="R383" s="297" t="s">
        <v>213</v>
      </c>
      <c r="S383" s="297" t="s">
        <v>214</v>
      </c>
    </row>
    <row r="384" spans="1:19" x14ac:dyDescent="0.4">
      <c r="A384" s="291"/>
      <c r="B384" s="292"/>
      <c r="C384" s="312"/>
      <c r="D384" s="292"/>
      <c r="E384" s="489"/>
      <c r="F384" s="489"/>
      <c r="G384" s="490"/>
      <c r="H384" s="520"/>
      <c r="I384" s="523"/>
      <c r="J384" s="521"/>
      <c r="K384" s="522"/>
      <c r="M384" s="301" t="str">
        <f>N384&amp;AS[[#This Row],[Insurer Code]]&amp;"; "&amp;O384&amp;AS[[#This Row],[Reporting Year]]&amp;"; "&amp;P384&amp;AS[[#This Row],[Insurance Category Code]]&amp;"; "&amp;Q384&amp;AS[[#This Row],[Large Provider Entity Code]]&amp;"; "&amp;R384&amp;AS[[#This Row],[Age Band Code]]&amp;"; "&amp;S384&amp;AS[[#This Row],[Sex Code]]</f>
        <v xml:space="preserve">Insurer Code ; Reporting Year ; Insurance Category Code ; Large Provider Entity Code ; Age Band Code ; Sex Code </v>
      </c>
      <c r="N384" s="297" t="s">
        <v>197</v>
      </c>
      <c r="O384" s="297" t="s">
        <v>198</v>
      </c>
      <c r="P384" s="297" t="s">
        <v>199</v>
      </c>
      <c r="Q384" s="297" t="s">
        <v>200</v>
      </c>
      <c r="R384" s="297" t="s">
        <v>213</v>
      </c>
      <c r="S384" s="297" t="s">
        <v>214</v>
      </c>
    </row>
    <row r="385" spans="1:19" x14ac:dyDescent="0.4">
      <c r="A385" s="291"/>
      <c r="B385" s="292"/>
      <c r="C385" s="312"/>
      <c r="D385" s="292"/>
      <c r="E385" s="489"/>
      <c r="F385" s="489"/>
      <c r="G385" s="490"/>
      <c r="H385" s="520"/>
      <c r="I385" s="523"/>
      <c r="J385" s="521"/>
      <c r="K385" s="522"/>
      <c r="M385" s="301" t="str">
        <f>N385&amp;AS[[#This Row],[Insurer Code]]&amp;"; "&amp;O385&amp;AS[[#This Row],[Reporting Year]]&amp;"; "&amp;P385&amp;AS[[#This Row],[Insurance Category Code]]&amp;"; "&amp;Q385&amp;AS[[#This Row],[Large Provider Entity Code]]&amp;"; "&amp;R385&amp;AS[[#This Row],[Age Band Code]]&amp;"; "&amp;S385&amp;AS[[#This Row],[Sex Code]]</f>
        <v xml:space="preserve">Insurer Code ; Reporting Year ; Insurance Category Code ; Large Provider Entity Code ; Age Band Code ; Sex Code </v>
      </c>
      <c r="N385" s="297" t="s">
        <v>197</v>
      </c>
      <c r="O385" s="297" t="s">
        <v>198</v>
      </c>
      <c r="P385" s="297" t="s">
        <v>199</v>
      </c>
      <c r="Q385" s="297" t="s">
        <v>200</v>
      </c>
      <c r="R385" s="297" t="s">
        <v>213</v>
      </c>
      <c r="S385" s="297" t="s">
        <v>214</v>
      </c>
    </row>
    <row r="386" spans="1:19" x14ac:dyDescent="0.4">
      <c r="A386" s="291"/>
      <c r="B386" s="292"/>
      <c r="C386" s="312"/>
      <c r="D386" s="292"/>
      <c r="E386" s="489"/>
      <c r="F386" s="489"/>
      <c r="G386" s="490"/>
      <c r="H386" s="520"/>
      <c r="I386" s="523"/>
      <c r="J386" s="521"/>
      <c r="K386" s="522"/>
      <c r="M386" s="301" t="str">
        <f>N386&amp;AS[[#This Row],[Insurer Code]]&amp;"; "&amp;O386&amp;AS[[#This Row],[Reporting Year]]&amp;"; "&amp;P386&amp;AS[[#This Row],[Insurance Category Code]]&amp;"; "&amp;Q386&amp;AS[[#This Row],[Large Provider Entity Code]]&amp;"; "&amp;R386&amp;AS[[#This Row],[Age Band Code]]&amp;"; "&amp;S386&amp;AS[[#This Row],[Sex Code]]</f>
        <v xml:space="preserve">Insurer Code ; Reporting Year ; Insurance Category Code ; Large Provider Entity Code ; Age Band Code ; Sex Code </v>
      </c>
      <c r="N386" s="297" t="s">
        <v>197</v>
      </c>
      <c r="O386" s="297" t="s">
        <v>198</v>
      </c>
      <c r="P386" s="297" t="s">
        <v>199</v>
      </c>
      <c r="Q386" s="297" t="s">
        <v>200</v>
      </c>
      <c r="R386" s="297" t="s">
        <v>213</v>
      </c>
      <c r="S386" s="297" t="s">
        <v>214</v>
      </c>
    </row>
    <row r="387" spans="1:19" x14ac:dyDescent="0.4">
      <c r="A387" s="291"/>
      <c r="B387" s="292"/>
      <c r="C387" s="312"/>
      <c r="D387" s="292"/>
      <c r="E387" s="489"/>
      <c r="F387" s="489"/>
      <c r="G387" s="490"/>
      <c r="H387" s="520"/>
      <c r="I387" s="523"/>
      <c r="J387" s="521"/>
      <c r="K387" s="522"/>
      <c r="M387" s="301" t="str">
        <f>N387&amp;AS[[#This Row],[Insurer Code]]&amp;"; "&amp;O387&amp;AS[[#This Row],[Reporting Year]]&amp;"; "&amp;P387&amp;AS[[#This Row],[Insurance Category Code]]&amp;"; "&amp;Q387&amp;AS[[#This Row],[Large Provider Entity Code]]&amp;"; "&amp;R387&amp;AS[[#This Row],[Age Band Code]]&amp;"; "&amp;S387&amp;AS[[#This Row],[Sex Code]]</f>
        <v xml:space="preserve">Insurer Code ; Reporting Year ; Insurance Category Code ; Large Provider Entity Code ; Age Band Code ; Sex Code </v>
      </c>
      <c r="N387" s="297" t="s">
        <v>197</v>
      </c>
      <c r="O387" s="297" t="s">
        <v>198</v>
      </c>
      <c r="P387" s="297" t="s">
        <v>199</v>
      </c>
      <c r="Q387" s="297" t="s">
        <v>200</v>
      </c>
      <c r="R387" s="297" t="s">
        <v>213</v>
      </c>
      <c r="S387" s="297" t="s">
        <v>214</v>
      </c>
    </row>
    <row r="388" spans="1:19" x14ac:dyDescent="0.4">
      <c r="A388" s="291"/>
      <c r="B388" s="292"/>
      <c r="C388" s="312"/>
      <c r="D388" s="292"/>
      <c r="E388" s="489"/>
      <c r="F388" s="489"/>
      <c r="G388" s="490"/>
      <c r="H388" s="520"/>
      <c r="I388" s="523"/>
      <c r="J388" s="521"/>
      <c r="K388" s="522"/>
      <c r="M388" s="301" t="str">
        <f>N388&amp;AS[[#This Row],[Insurer Code]]&amp;"; "&amp;O388&amp;AS[[#This Row],[Reporting Year]]&amp;"; "&amp;P388&amp;AS[[#This Row],[Insurance Category Code]]&amp;"; "&amp;Q388&amp;AS[[#This Row],[Large Provider Entity Code]]&amp;"; "&amp;R388&amp;AS[[#This Row],[Age Band Code]]&amp;"; "&amp;S388&amp;AS[[#This Row],[Sex Code]]</f>
        <v xml:space="preserve">Insurer Code ; Reporting Year ; Insurance Category Code ; Large Provider Entity Code ; Age Band Code ; Sex Code </v>
      </c>
      <c r="N388" s="297" t="s">
        <v>197</v>
      </c>
      <c r="O388" s="297" t="s">
        <v>198</v>
      </c>
      <c r="P388" s="297" t="s">
        <v>199</v>
      </c>
      <c r="Q388" s="297" t="s">
        <v>200</v>
      </c>
      <c r="R388" s="297" t="s">
        <v>213</v>
      </c>
      <c r="S388" s="297" t="s">
        <v>214</v>
      </c>
    </row>
    <row r="389" spans="1:19" x14ac:dyDescent="0.4">
      <c r="A389" s="291"/>
      <c r="B389" s="292"/>
      <c r="C389" s="312"/>
      <c r="D389" s="292"/>
      <c r="E389" s="489"/>
      <c r="F389" s="489"/>
      <c r="G389" s="490"/>
      <c r="H389" s="520"/>
      <c r="I389" s="523"/>
      <c r="J389" s="521"/>
      <c r="K389" s="522"/>
      <c r="M389" s="301" t="str">
        <f>N389&amp;AS[[#This Row],[Insurer Code]]&amp;"; "&amp;O389&amp;AS[[#This Row],[Reporting Year]]&amp;"; "&amp;P389&amp;AS[[#This Row],[Insurance Category Code]]&amp;"; "&amp;Q389&amp;AS[[#This Row],[Large Provider Entity Code]]&amp;"; "&amp;R389&amp;AS[[#This Row],[Age Band Code]]&amp;"; "&amp;S389&amp;AS[[#This Row],[Sex Code]]</f>
        <v xml:space="preserve">Insurer Code ; Reporting Year ; Insurance Category Code ; Large Provider Entity Code ; Age Band Code ; Sex Code </v>
      </c>
      <c r="N389" s="297" t="s">
        <v>197</v>
      </c>
      <c r="O389" s="297" t="s">
        <v>198</v>
      </c>
      <c r="P389" s="297" t="s">
        <v>199</v>
      </c>
      <c r="Q389" s="297" t="s">
        <v>200</v>
      </c>
      <c r="R389" s="297" t="s">
        <v>213</v>
      </c>
      <c r="S389" s="297" t="s">
        <v>214</v>
      </c>
    </row>
    <row r="390" spans="1:19" x14ac:dyDescent="0.4">
      <c r="A390" s="291"/>
      <c r="B390" s="292"/>
      <c r="C390" s="312"/>
      <c r="D390" s="292"/>
      <c r="E390" s="489"/>
      <c r="F390" s="489"/>
      <c r="G390" s="490"/>
      <c r="H390" s="520"/>
      <c r="I390" s="523"/>
      <c r="J390" s="521"/>
      <c r="K390" s="522"/>
      <c r="M390" s="301" t="str">
        <f>N390&amp;AS[[#This Row],[Insurer Code]]&amp;"; "&amp;O390&amp;AS[[#This Row],[Reporting Year]]&amp;"; "&amp;P390&amp;AS[[#This Row],[Insurance Category Code]]&amp;"; "&amp;Q390&amp;AS[[#This Row],[Large Provider Entity Code]]&amp;"; "&amp;R390&amp;AS[[#This Row],[Age Band Code]]&amp;"; "&amp;S390&amp;AS[[#This Row],[Sex Code]]</f>
        <v xml:space="preserve">Insurer Code ; Reporting Year ; Insurance Category Code ; Large Provider Entity Code ; Age Band Code ; Sex Code </v>
      </c>
      <c r="N390" s="297" t="s">
        <v>197</v>
      </c>
      <c r="O390" s="297" t="s">
        <v>198</v>
      </c>
      <c r="P390" s="297" t="s">
        <v>199</v>
      </c>
      <c r="Q390" s="297" t="s">
        <v>200</v>
      </c>
      <c r="R390" s="297" t="s">
        <v>213</v>
      </c>
      <c r="S390" s="297" t="s">
        <v>214</v>
      </c>
    </row>
    <row r="391" spans="1:19" x14ac:dyDescent="0.4">
      <c r="A391" s="291"/>
      <c r="B391" s="292"/>
      <c r="C391" s="312"/>
      <c r="D391" s="292"/>
      <c r="E391" s="489"/>
      <c r="F391" s="489"/>
      <c r="G391" s="490"/>
      <c r="H391" s="520"/>
      <c r="I391" s="523"/>
      <c r="J391" s="521"/>
      <c r="K391" s="522"/>
      <c r="M391" s="301" t="str">
        <f>N391&amp;AS[[#This Row],[Insurer Code]]&amp;"; "&amp;O391&amp;AS[[#This Row],[Reporting Year]]&amp;"; "&amp;P391&amp;AS[[#This Row],[Insurance Category Code]]&amp;"; "&amp;Q391&amp;AS[[#This Row],[Large Provider Entity Code]]&amp;"; "&amp;R391&amp;AS[[#This Row],[Age Band Code]]&amp;"; "&amp;S391&amp;AS[[#This Row],[Sex Code]]</f>
        <v xml:space="preserve">Insurer Code ; Reporting Year ; Insurance Category Code ; Large Provider Entity Code ; Age Band Code ; Sex Code </v>
      </c>
      <c r="N391" s="297" t="s">
        <v>197</v>
      </c>
      <c r="O391" s="297" t="s">
        <v>198</v>
      </c>
      <c r="P391" s="297" t="s">
        <v>199</v>
      </c>
      <c r="Q391" s="297" t="s">
        <v>200</v>
      </c>
      <c r="R391" s="297" t="s">
        <v>213</v>
      </c>
      <c r="S391" s="297" t="s">
        <v>214</v>
      </c>
    </row>
    <row r="392" spans="1:19" x14ac:dyDescent="0.4">
      <c r="A392" s="291"/>
      <c r="B392" s="292"/>
      <c r="C392" s="312"/>
      <c r="D392" s="292"/>
      <c r="E392" s="489"/>
      <c r="F392" s="489"/>
      <c r="G392" s="490"/>
      <c r="H392" s="520"/>
      <c r="I392" s="523"/>
      <c r="J392" s="521"/>
      <c r="K392" s="522"/>
      <c r="M392" s="301" t="str">
        <f>N392&amp;AS[[#This Row],[Insurer Code]]&amp;"; "&amp;O392&amp;AS[[#This Row],[Reporting Year]]&amp;"; "&amp;P392&amp;AS[[#This Row],[Insurance Category Code]]&amp;"; "&amp;Q392&amp;AS[[#This Row],[Large Provider Entity Code]]&amp;"; "&amp;R392&amp;AS[[#This Row],[Age Band Code]]&amp;"; "&amp;S392&amp;AS[[#This Row],[Sex Code]]</f>
        <v xml:space="preserve">Insurer Code ; Reporting Year ; Insurance Category Code ; Large Provider Entity Code ; Age Band Code ; Sex Code </v>
      </c>
      <c r="N392" s="297" t="s">
        <v>197</v>
      </c>
      <c r="O392" s="297" t="s">
        <v>198</v>
      </c>
      <c r="P392" s="297" t="s">
        <v>199</v>
      </c>
      <c r="Q392" s="297" t="s">
        <v>200</v>
      </c>
      <c r="R392" s="297" t="s">
        <v>213</v>
      </c>
      <c r="S392" s="297" t="s">
        <v>214</v>
      </c>
    </row>
    <row r="393" spans="1:19" x14ac:dyDescent="0.4">
      <c r="A393" s="291"/>
      <c r="B393" s="292"/>
      <c r="C393" s="312"/>
      <c r="D393" s="292"/>
      <c r="E393" s="489"/>
      <c r="F393" s="489"/>
      <c r="G393" s="490"/>
      <c r="H393" s="520"/>
      <c r="I393" s="523"/>
      <c r="J393" s="521"/>
      <c r="K393" s="522"/>
      <c r="M393" s="301" t="str">
        <f>N393&amp;AS[[#This Row],[Insurer Code]]&amp;"; "&amp;O393&amp;AS[[#This Row],[Reporting Year]]&amp;"; "&amp;P393&amp;AS[[#This Row],[Insurance Category Code]]&amp;"; "&amp;Q393&amp;AS[[#This Row],[Large Provider Entity Code]]&amp;"; "&amp;R393&amp;AS[[#This Row],[Age Band Code]]&amp;"; "&amp;S393&amp;AS[[#This Row],[Sex Code]]</f>
        <v xml:space="preserve">Insurer Code ; Reporting Year ; Insurance Category Code ; Large Provider Entity Code ; Age Band Code ; Sex Code </v>
      </c>
      <c r="N393" s="297" t="s">
        <v>197</v>
      </c>
      <c r="O393" s="297" t="s">
        <v>198</v>
      </c>
      <c r="P393" s="297" t="s">
        <v>199</v>
      </c>
      <c r="Q393" s="297" t="s">
        <v>200</v>
      </c>
      <c r="R393" s="297" t="s">
        <v>213</v>
      </c>
      <c r="S393" s="297" t="s">
        <v>214</v>
      </c>
    </row>
    <row r="394" spans="1:19" x14ac:dyDescent="0.4">
      <c r="A394" s="291"/>
      <c r="B394" s="292"/>
      <c r="C394" s="312"/>
      <c r="D394" s="292"/>
      <c r="E394" s="489"/>
      <c r="F394" s="489"/>
      <c r="G394" s="490"/>
      <c r="H394" s="520"/>
      <c r="I394" s="523"/>
      <c r="J394" s="521"/>
      <c r="K394" s="522"/>
      <c r="M394" s="301" t="str">
        <f>N394&amp;AS[[#This Row],[Insurer Code]]&amp;"; "&amp;O394&amp;AS[[#This Row],[Reporting Year]]&amp;"; "&amp;P394&amp;AS[[#This Row],[Insurance Category Code]]&amp;"; "&amp;Q394&amp;AS[[#This Row],[Large Provider Entity Code]]&amp;"; "&amp;R394&amp;AS[[#This Row],[Age Band Code]]&amp;"; "&amp;S394&amp;AS[[#This Row],[Sex Code]]</f>
        <v xml:space="preserve">Insurer Code ; Reporting Year ; Insurance Category Code ; Large Provider Entity Code ; Age Band Code ; Sex Code </v>
      </c>
      <c r="N394" s="297" t="s">
        <v>197</v>
      </c>
      <c r="O394" s="297" t="s">
        <v>198</v>
      </c>
      <c r="P394" s="297" t="s">
        <v>199</v>
      </c>
      <c r="Q394" s="297" t="s">
        <v>200</v>
      </c>
      <c r="R394" s="297" t="s">
        <v>213</v>
      </c>
      <c r="S394" s="297" t="s">
        <v>214</v>
      </c>
    </row>
    <row r="395" spans="1:19" x14ac:dyDescent="0.4">
      <c r="A395" s="291"/>
      <c r="B395" s="292"/>
      <c r="C395" s="312"/>
      <c r="D395" s="292"/>
      <c r="E395" s="489"/>
      <c r="F395" s="489"/>
      <c r="G395" s="490"/>
      <c r="H395" s="520"/>
      <c r="I395" s="523"/>
      <c r="J395" s="521"/>
      <c r="K395" s="522"/>
      <c r="M395" s="301" t="str">
        <f>N395&amp;AS[[#This Row],[Insurer Code]]&amp;"; "&amp;O395&amp;AS[[#This Row],[Reporting Year]]&amp;"; "&amp;P395&amp;AS[[#This Row],[Insurance Category Code]]&amp;"; "&amp;Q395&amp;AS[[#This Row],[Large Provider Entity Code]]&amp;"; "&amp;R395&amp;AS[[#This Row],[Age Band Code]]&amp;"; "&amp;S395&amp;AS[[#This Row],[Sex Code]]</f>
        <v xml:space="preserve">Insurer Code ; Reporting Year ; Insurance Category Code ; Large Provider Entity Code ; Age Band Code ; Sex Code </v>
      </c>
      <c r="N395" s="297" t="s">
        <v>197</v>
      </c>
      <c r="O395" s="297" t="s">
        <v>198</v>
      </c>
      <c r="P395" s="297" t="s">
        <v>199</v>
      </c>
      <c r="Q395" s="297" t="s">
        <v>200</v>
      </c>
      <c r="R395" s="297" t="s">
        <v>213</v>
      </c>
      <c r="S395" s="297" t="s">
        <v>214</v>
      </c>
    </row>
    <row r="396" spans="1:19" x14ac:dyDescent="0.4">
      <c r="A396" s="291"/>
      <c r="B396" s="292"/>
      <c r="C396" s="312"/>
      <c r="D396" s="292"/>
      <c r="E396" s="489"/>
      <c r="F396" s="489"/>
      <c r="G396" s="490"/>
      <c r="H396" s="520"/>
      <c r="I396" s="523"/>
      <c r="J396" s="521"/>
      <c r="K396" s="522"/>
      <c r="M396" s="301" t="str">
        <f>N396&amp;AS[[#This Row],[Insurer Code]]&amp;"; "&amp;O396&amp;AS[[#This Row],[Reporting Year]]&amp;"; "&amp;P396&amp;AS[[#This Row],[Insurance Category Code]]&amp;"; "&amp;Q396&amp;AS[[#This Row],[Large Provider Entity Code]]&amp;"; "&amp;R396&amp;AS[[#This Row],[Age Band Code]]&amp;"; "&amp;S396&amp;AS[[#This Row],[Sex Code]]</f>
        <v xml:space="preserve">Insurer Code ; Reporting Year ; Insurance Category Code ; Large Provider Entity Code ; Age Band Code ; Sex Code </v>
      </c>
      <c r="N396" s="297" t="s">
        <v>197</v>
      </c>
      <c r="O396" s="297" t="s">
        <v>198</v>
      </c>
      <c r="P396" s="297" t="s">
        <v>199</v>
      </c>
      <c r="Q396" s="297" t="s">
        <v>200</v>
      </c>
      <c r="R396" s="297" t="s">
        <v>213</v>
      </c>
      <c r="S396" s="297" t="s">
        <v>214</v>
      </c>
    </row>
    <row r="397" spans="1:19" x14ac:dyDescent="0.4">
      <c r="A397" s="291"/>
      <c r="B397" s="292"/>
      <c r="C397" s="312"/>
      <c r="D397" s="292"/>
      <c r="E397" s="489"/>
      <c r="F397" s="489"/>
      <c r="G397" s="490"/>
      <c r="H397" s="520"/>
      <c r="I397" s="523"/>
      <c r="J397" s="521"/>
      <c r="K397" s="522"/>
      <c r="M397" s="301" t="str">
        <f>N397&amp;AS[[#This Row],[Insurer Code]]&amp;"; "&amp;O397&amp;AS[[#This Row],[Reporting Year]]&amp;"; "&amp;P397&amp;AS[[#This Row],[Insurance Category Code]]&amp;"; "&amp;Q397&amp;AS[[#This Row],[Large Provider Entity Code]]&amp;"; "&amp;R397&amp;AS[[#This Row],[Age Band Code]]&amp;"; "&amp;S397&amp;AS[[#This Row],[Sex Code]]</f>
        <v xml:space="preserve">Insurer Code ; Reporting Year ; Insurance Category Code ; Large Provider Entity Code ; Age Band Code ; Sex Code </v>
      </c>
      <c r="N397" s="297" t="s">
        <v>197</v>
      </c>
      <c r="O397" s="297" t="s">
        <v>198</v>
      </c>
      <c r="P397" s="297" t="s">
        <v>199</v>
      </c>
      <c r="Q397" s="297" t="s">
        <v>200</v>
      </c>
      <c r="R397" s="297" t="s">
        <v>213</v>
      </c>
      <c r="S397" s="297" t="s">
        <v>214</v>
      </c>
    </row>
    <row r="398" spans="1:19" x14ac:dyDescent="0.4">
      <c r="A398" s="291"/>
      <c r="B398" s="292"/>
      <c r="C398" s="312"/>
      <c r="D398" s="292"/>
      <c r="E398" s="489"/>
      <c r="F398" s="489"/>
      <c r="G398" s="490"/>
      <c r="H398" s="520"/>
      <c r="I398" s="523"/>
      <c r="J398" s="521"/>
      <c r="K398" s="522"/>
      <c r="M398" s="301" t="str">
        <f>N398&amp;AS[[#This Row],[Insurer Code]]&amp;"; "&amp;O398&amp;AS[[#This Row],[Reporting Year]]&amp;"; "&amp;P398&amp;AS[[#This Row],[Insurance Category Code]]&amp;"; "&amp;Q398&amp;AS[[#This Row],[Large Provider Entity Code]]&amp;"; "&amp;R398&amp;AS[[#This Row],[Age Band Code]]&amp;"; "&amp;S398&amp;AS[[#This Row],[Sex Code]]</f>
        <v xml:space="preserve">Insurer Code ; Reporting Year ; Insurance Category Code ; Large Provider Entity Code ; Age Band Code ; Sex Code </v>
      </c>
      <c r="N398" s="297" t="s">
        <v>197</v>
      </c>
      <c r="O398" s="297" t="s">
        <v>198</v>
      </c>
      <c r="P398" s="297" t="s">
        <v>199</v>
      </c>
      <c r="Q398" s="297" t="s">
        <v>200</v>
      </c>
      <c r="R398" s="297" t="s">
        <v>213</v>
      </c>
      <c r="S398" s="297" t="s">
        <v>214</v>
      </c>
    </row>
    <row r="399" spans="1:19" x14ac:dyDescent="0.4">
      <c r="A399" s="291"/>
      <c r="B399" s="292"/>
      <c r="C399" s="312"/>
      <c r="D399" s="292"/>
      <c r="E399" s="489"/>
      <c r="F399" s="489"/>
      <c r="G399" s="490"/>
      <c r="H399" s="520"/>
      <c r="I399" s="523"/>
      <c r="J399" s="521"/>
      <c r="K399" s="522"/>
      <c r="M399" s="301" t="str">
        <f>N399&amp;AS[[#This Row],[Insurer Code]]&amp;"; "&amp;O399&amp;AS[[#This Row],[Reporting Year]]&amp;"; "&amp;P399&amp;AS[[#This Row],[Insurance Category Code]]&amp;"; "&amp;Q399&amp;AS[[#This Row],[Large Provider Entity Code]]&amp;"; "&amp;R399&amp;AS[[#This Row],[Age Band Code]]&amp;"; "&amp;S399&amp;AS[[#This Row],[Sex Code]]</f>
        <v xml:space="preserve">Insurer Code ; Reporting Year ; Insurance Category Code ; Large Provider Entity Code ; Age Band Code ; Sex Code </v>
      </c>
      <c r="N399" s="297" t="s">
        <v>197</v>
      </c>
      <c r="O399" s="297" t="s">
        <v>198</v>
      </c>
      <c r="P399" s="297" t="s">
        <v>199</v>
      </c>
      <c r="Q399" s="297" t="s">
        <v>200</v>
      </c>
      <c r="R399" s="297" t="s">
        <v>213</v>
      </c>
      <c r="S399" s="297" t="s">
        <v>214</v>
      </c>
    </row>
    <row r="400" spans="1:19" x14ac:dyDescent="0.4">
      <c r="A400" s="291"/>
      <c r="B400" s="292"/>
      <c r="C400" s="312"/>
      <c r="D400" s="292"/>
      <c r="E400" s="489"/>
      <c r="F400" s="489"/>
      <c r="G400" s="490"/>
      <c r="H400" s="520"/>
      <c r="I400" s="523"/>
      <c r="J400" s="521"/>
      <c r="K400" s="522"/>
      <c r="M400" s="301" t="str">
        <f>N400&amp;AS[[#This Row],[Insurer Code]]&amp;"; "&amp;O400&amp;AS[[#This Row],[Reporting Year]]&amp;"; "&amp;P400&amp;AS[[#This Row],[Insurance Category Code]]&amp;"; "&amp;Q400&amp;AS[[#This Row],[Large Provider Entity Code]]&amp;"; "&amp;R400&amp;AS[[#This Row],[Age Band Code]]&amp;"; "&amp;S400&amp;AS[[#This Row],[Sex Code]]</f>
        <v xml:space="preserve">Insurer Code ; Reporting Year ; Insurance Category Code ; Large Provider Entity Code ; Age Band Code ; Sex Code </v>
      </c>
      <c r="N400" s="297" t="s">
        <v>197</v>
      </c>
      <c r="O400" s="297" t="s">
        <v>198</v>
      </c>
      <c r="P400" s="297" t="s">
        <v>199</v>
      </c>
      <c r="Q400" s="297" t="s">
        <v>200</v>
      </c>
      <c r="R400" s="297" t="s">
        <v>213</v>
      </c>
      <c r="S400" s="297" t="s">
        <v>214</v>
      </c>
    </row>
    <row r="401" spans="1:19" x14ac:dyDescent="0.4">
      <c r="A401" s="291"/>
      <c r="B401" s="292"/>
      <c r="C401" s="312"/>
      <c r="D401" s="292"/>
      <c r="E401" s="489"/>
      <c r="F401" s="489"/>
      <c r="G401" s="490"/>
      <c r="H401" s="520"/>
      <c r="I401" s="523"/>
      <c r="J401" s="521"/>
      <c r="K401" s="522"/>
      <c r="M401" s="301" t="str">
        <f>N401&amp;AS[[#This Row],[Insurer Code]]&amp;"; "&amp;O401&amp;AS[[#This Row],[Reporting Year]]&amp;"; "&amp;P401&amp;AS[[#This Row],[Insurance Category Code]]&amp;"; "&amp;Q401&amp;AS[[#This Row],[Large Provider Entity Code]]&amp;"; "&amp;R401&amp;AS[[#This Row],[Age Band Code]]&amp;"; "&amp;S401&amp;AS[[#This Row],[Sex Code]]</f>
        <v xml:space="preserve">Insurer Code ; Reporting Year ; Insurance Category Code ; Large Provider Entity Code ; Age Band Code ; Sex Code </v>
      </c>
      <c r="N401" s="297" t="s">
        <v>197</v>
      </c>
      <c r="O401" s="297" t="s">
        <v>198</v>
      </c>
      <c r="P401" s="297" t="s">
        <v>199</v>
      </c>
      <c r="Q401" s="297" t="s">
        <v>200</v>
      </c>
      <c r="R401" s="297" t="s">
        <v>213</v>
      </c>
      <c r="S401" s="297" t="s">
        <v>214</v>
      </c>
    </row>
    <row r="402" spans="1:19" x14ac:dyDescent="0.4">
      <c r="A402" s="291"/>
      <c r="B402" s="292"/>
      <c r="C402" s="312"/>
      <c r="D402" s="292"/>
      <c r="E402" s="489"/>
      <c r="F402" s="489"/>
      <c r="G402" s="490"/>
      <c r="H402" s="520"/>
      <c r="I402" s="523"/>
      <c r="J402" s="521"/>
      <c r="K402" s="522"/>
      <c r="M402" s="301" t="str">
        <f>N402&amp;AS[[#This Row],[Insurer Code]]&amp;"; "&amp;O402&amp;AS[[#This Row],[Reporting Year]]&amp;"; "&amp;P402&amp;AS[[#This Row],[Insurance Category Code]]&amp;"; "&amp;Q402&amp;AS[[#This Row],[Large Provider Entity Code]]&amp;"; "&amp;R402&amp;AS[[#This Row],[Age Band Code]]&amp;"; "&amp;S402&amp;AS[[#This Row],[Sex Code]]</f>
        <v xml:space="preserve">Insurer Code ; Reporting Year ; Insurance Category Code ; Large Provider Entity Code ; Age Band Code ; Sex Code </v>
      </c>
      <c r="N402" s="297" t="s">
        <v>197</v>
      </c>
      <c r="O402" s="297" t="s">
        <v>198</v>
      </c>
      <c r="P402" s="297" t="s">
        <v>199</v>
      </c>
      <c r="Q402" s="297" t="s">
        <v>200</v>
      </c>
      <c r="R402" s="297" t="s">
        <v>213</v>
      </c>
      <c r="S402" s="297" t="s">
        <v>214</v>
      </c>
    </row>
    <row r="403" spans="1:19" x14ac:dyDescent="0.4">
      <c r="A403" s="291"/>
      <c r="B403" s="292"/>
      <c r="C403" s="312"/>
      <c r="D403" s="292"/>
      <c r="E403" s="489"/>
      <c r="F403" s="489"/>
      <c r="G403" s="490"/>
      <c r="H403" s="520"/>
      <c r="I403" s="523"/>
      <c r="J403" s="521"/>
      <c r="K403" s="522"/>
      <c r="M403" s="301" t="str">
        <f>N403&amp;AS[[#This Row],[Insurer Code]]&amp;"; "&amp;O403&amp;AS[[#This Row],[Reporting Year]]&amp;"; "&amp;P403&amp;AS[[#This Row],[Insurance Category Code]]&amp;"; "&amp;Q403&amp;AS[[#This Row],[Large Provider Entity Code]]&amp;"; "&amp;R403&amp;AS[[#This Row],[Age Band Code]]&amp;"; "&amp;S403&amp;AS[[#This Row],[Sex Code]]</f>
        <v xml:space="preserve">Insurer Code ; Reporting Year ; Insurance Category Code ; Large Provider Entity Code ; Age Band Code ; Sex Code </v>
      </c>
      <c r="N403" s="297" t="s">
        <v>197</v>
      </c>
      <c r="O403" s="297" t="s">
        <v>198</v>
      </c>
      <c r="P403" s="297" t="s">
        <v>199</v>
      </c>
      <c r="Q403" s="297" t="s">
        <v>200</v>
      </c>
      <c r="R403" s="297" t="s">
        <v>213</v>
      </c>
      <c r="S403" s="297" t="s">
        <v>214</v>
      </c>
    </row>
    <row r="404" spans="1:19" x14ac:dyDescent="0.4">
      <c r="A404" s="291"/>
      <c r="B404" s="292"/>
      <c r="C404" s="312"/>
      <c r="D404" s="292"/>
      <c r="E404" s="489"/>
      <c r="F404" s="489"/>
      <c r="G404" s="490"/>
      <c r="H404" s="520"/>
      <c r="I404" s="523"/>
      <c r="J404" s="521"/>
      <c r="K404" s="522"/>
      <c r="M404" s="301" t="str">
        <f>N404&amp;AS[[#This Row],[Insurer Code]]&amp;"; "&amp;O404&amp;AS[[#This Row],[Reporting Year]]&amp;"; "&amp;P404&amp;AS[[#This Row],[Insurance Category Code]]&amp;"; "&amp;Q404&amp;AS[[#This Row],[Large Provider Entity Code]]&amp;"; "&amp;R404&amp;AS[[#This Row],[Age Band Code]]&amp;"; "&amp;S404&amp;AS[[#This Row],[Sex Code]]</f>
        <v xml:space="preserve">Insurer Code ; Reporting Year ; Insurance Category Code ; Large Provider Entity Code ; Age Band Code ; Sex Code </v>
      </c>
      <c r="N404" s="297" t="s">
        <v>197</v>
      </c>
      <c r="O404" s="297" t="s">
        <v>198</v>
      </c>
      <c r="P404" s="297" t="s">
        <v>199</v>
      </c>
      <c r="Q404" s="297" t="s">
        <v>200</v>
      </c>
      <c r="R404" s="297" t="s">
        <v>213</v>
      </c>
      <c r="S404" s="297" t="s">
        <v>214</v>
      </c>
    </row>
    <row r="405" spans="1:19" x14ac:dyDescent="0.4">
      <c r="A405" s="291"/>
      <c r="B405" s="292"/>
      <c r="C405" s="312"/>
      <c r="D405" s="292"/>
      <c r="E405" s="489"/>
      <c r="F405" s="489"/>
      <c r="G405" s="490"/>
      <c r="H405" s="520"/>
      <c r="I405" s="523"/>
      <c r="J405" s="521"/>
      <c r="K405" s="522"/>
      <c r="M405" s="301" t="str">
        <f>N405&amp;AS[[#This Row],[Insurer Code]]&amp;"; "&amp;O405&amp;AS[[#This Row],[Reporting Year]]&amp;"; "&amp;P405&amp;AS[[#This Row],[Insurance Category Code]]&amp;"; "&amp;Q405&amp;AS[[#This Row],[Large Provider Entity Code]]&amp;"; "&amp;R405&amp;AS[[#This Row],[Age Band Code]]&amp;"; "&amp;S405&amp;AS[[#This Row],[Sex Code]]</f>
        <v xml:space="preserve">Insurer Code ; Reporting Year ; Insurance Category Code ; Large Provider Entity Code ; Age Band Code ; Sex Code </v>
      </c>
      <c r="N405" s="297" t="s">
        <v>197</v>
      </c>
      <c r="O405" s="297" t="s">
        <v>198</v>
      </c>
      <c r="P405" s="297" t="s">
        <v>199</v>
      </c>
      <c r="Q405" s="297" t="s">
        <v>200</v>
      </c>
      <c r="R405" s="297" t="s">
        <v>213</v>
      </c>
      <c r="S405" s="297" t="s">
        <v>214</v>
      </c>
    </row>
    <row r="406" spans="1:19" x14ac:dyDescent="0.4">
      <c r="A406" s="291"/>
      <c r="B406" s="292"/>
      <c r="C406" s="312"/>
      <c r="D406" s="292"/>
      <c r="E406" s="489"/>
      <c r="F406" s="489"/>
      <c r="G406" s="490"/>
      <c r="H406" s="520"/>
      <c r="I406" s="523"/>
      <c r="J406" s="521"/>
      <c r="K406" s="522"/>
      <c r="M406" s="301" t="str">
        <f>N406&amp;AS[[#This Row],[Insurer Code]]&amp;"; "&amp;O406&amp;AS[[#This Row],[Reporting Year]]&amp;"; "&amp;P406&amp;AS[[#This Row],[Insurance Category Code]]&amp;"; "&amp;Q406&amp;AS[[#This Row],[Large Provider Entity Code]]&amp;"; "&amp;R406&amp;AS[[#This Row],[Age Band Code]]&amp;"; "&amp;S406&amp;AS[[#This Row],[Sex Code]]</f>
        <v xml:space="preserve">Insurer Code ; Reporting Year ; Insurance Category Code ; Large Provider Entity Code ; Age Band Code ; Sex Code </v>
      </c>
      <c r="N406" s="297" t="s">
        <v>197</v>
      </c>
      <c r="O406" s="297" t="s">
        <v>198</v>
      </c>
      <c r="P406" s="297" t="s">
        <v>199</v>
      </c>
      <c r="Q406" s="297" t="s">
        <v>200</v>
      </c>
      <c r="R406" s="297" t="s">
        <v>213</v>
      </c>
      <c r="S406" s="297" t="s">
        <v>214</v>
      </c>
    </row>
    <row r="407" spans="1:19" x14ac:dyDescent="0.4">
      <c r="A407" s="291"/>
      <c r="B407" s="292"/>
      <c r="C407" s="312"/>
      <c r="D407" s="292"/>
      <c r="E407" s="489"/>
      <c r="F407" s="489"/>
      <c r="G407" s="490"/>
      <c r="H407" s="520"/>
      <c r="I407" s="523"/>
      <c r="J407" s="521"/>
      <c r="K407" s="522"/>
      <c r="M407" s="301" t="str">
        <f>N407&amp;AS[[#This Row],[Insurer Code]]&amp;"; "&amp;O407&amp;AS[[#This Row],[Reporting Year]]&amp;"; "&amp;P407&amp;AS[[#This Row],[Insurance Category Code]]&amp;"; "&amp;Q407&amp;AS[[#This Row],[Large Provider Entity Code]]&amp;"; "&amp;R407&amp;AS[[#This Row],[Age Band Code]]&amp;"; "&amp;S407&amp;AS[[#This Row],[Sex Code]]</f>
        <v xml:space="preserve">Insurer Code ; Reporting Year ; Insurance Category Code ; Large Provider Entity Code ; Age Band Code ; Sex Code </v>
      </c>
      <c r="N407" s="297" t="s">
        <v>197</v>
      </c>
      <c r="O407" s="297" t="s">
        <v>198</v>
      </c>
      <c r="P407" s="297" t="s">
        <v>199</v>
      </c>
      <c r="Q407" s="297" t="s">
        <v>200</v>
      </c>
      <c r="R407" s="297" t="s">
        <v>213</v>
      </c>
      <c r="S407" s="297" t="s">
        <v>214</v>
      </c>
    </row>
    <row r="408" spans="1:19" x14ac:dyDescent="0.4">
      <c r="A408" s="291"/>
      <c r="B408" s="292"/>
      <c r="C408" s="312"/>
      <c r="D408" s="292"/>
      <c r="E408" s="489"/>
      <c r="F408" s="489"/>
      <c r="G408" s="490"/>
      <c r="H408" s="520"/>
      <c r="I408" s="523"/>
      <c r="J408" s="521"/>
      <c r="K408" s="522"/>
      <c r="M408" s="301" t="str">
        <f>N408&amp;AS[[#This Row],[Insurer Code]]&amp;"; "&amp;O408&amp;AS[[#This Row],[Reporting Year]]&amp;"; "&amp;P408&amp;AS[[#This Row],[Insurance Category Code]]&amp;"; "&amp;Q408&amp;AS[[#This Row],[Large Provider Entity Code]]&amp;"; "&amp;R408&amp;AS[[#This Row],[Age Band Code]]&amp;"; "&amp;S408&amp;AS[[#This Row],[Sex Code]]</f>
        <v xml:space="preserve">Insurer Code ; Reporting Year ; Insurance Category Code ; Large Provider Entity Code ; Age Band Code ; Sex Code </v>
      </c>
      <c r="N408" s="297" t="s">
        <v>197</v>
      </c>
      <c r="O408" s="297" t="s">
        <v>198</v>
      </c>
      <c r="P408" s="297" t="s">
        <v>199</v>
      </c>
      <c r="Q408" s="297" t="s">
        <v>200</v>
      </c>
      <c r="R408" s="297" t="s">
        <v>213</v>
      </c>
      <c r="S408" s="297" t="s">
        <v>214</v>
      </c>
    </row>
    <row r="409" spans="1:19" x14ac:dyDescent="0.4">
      <c r="A409" s="291"/>
      <c r="B409" s="292"/>
      <c r="C409" s="312"/>
      <c r="D409" s="292"/>
      <c r="E409" s="489"/>
      <c r="F409" s="489"/>
      <c r="G409" s="490"/>
      <c r="H409" s="520"/>
      <c r="I409" s="523"/>
      <c r="J409" s="521"/>
      <c r="K409" s="522"/>
      <c r="M409" s="301" t="str">
        <f>N409&amp;AS[[#This Row],[Insurer Code]]&amp;"; "&amp;O409&amp;AS[[#This Row],[Reporting Year]]&amp;"; "&amp;P409&amp;AS[[#This Row],[Insurance Category Code]]&amp;"; "&amp;Q409&amp;AS[[#This Row],[Large Provider Entity Code]]&amp;"; "&amp;R409&amp;AS[[#This Row],[Age Band Code]]&amp;"; "&amp;S409&amp;AS[[#This Row],[Sex Code]]</f>
        <v xml:space="preserve">Insurer Code ; Reporting Year ; Insurance Category Code ; Large Provider Entity Code ; Age Band Code ; Sex Code </v>
      </c>
      <c r="N409" s="297" t="s">
        <v>197</v>
      </c>
      <c r="O409" s="297" t="s">
        <v>198</v>
      </c>
      <c r="P409" s="297" t="s">
        <v>199</v>
      </c>
      <c r="Q409" s="297" t="s">
        <v>200</v>
      </c>
      <c r="R409" s="297" t="s">
        <v>213</v>
      </c>
      <c r="S409" s="297" t="s">
        <v>214</v>
      </c>
    </row>
    <row r="410" spans="1:19" x14ac:dyDescent="0.4">
      <c r="A410" s="291"/>
      <c r="B410" s="292"/>
      <c r="C410" s="312"/>
      <c r="D410" s="292"/>
      <c r="E410" s="489"/>
      <c r="F410" s="489"/>
      <c r="G410" s="490"/>
      <c r="H410" s="520"/>
      <c r="I410" s="523"/>
      <c r="J410" s="521"/>
      <c r="K410" s="522"/>
      <c r="M410" s="301" t="str">
        <f>N410&amp;AS[[#This Row],[Insurer Code]]&amp;"; "&amp;O410&amp;AS[[#This Row],[Reporting Year]]&amp;"; "&amp;P410&amp;AS[[#This Row],[Insurance Category Code]]&amp;"; "&amp;Q410&amp;AS[[#This Row],[Large Provider Entity Code]]&amp;"; "&amp;R410&amp;AS[[#This Row],[Age Band Code]]&amp;"; "&amp;S410&amp;AS[[#This Row],[Sex Code]]</f>
        <v xml:space="preserve">Insurer Code ; Reporting Year ; Insurance Category Code ; Large Provider Entity Code ; Age Band Code ; Sex Code </v>
      </c>
      <c r="N410" s="297" t="s">
        <v>197</v>
      </c>
      <c r="O410" s="297" t="s">
        <v>198</v>
      </c>
      <c r="P410" s="297" t="s">
        <v>199</v>
      </c>
      <c r="Q410" s="297" t="s">
        <v>200</v>
      </c>
      <c r="R410" s="297" t="s">
        <v>213</v>
      </c>
      <c r="S410" s="297" t="s">
        <v>214</v>
      </c>
    </row>
    <row r="411" spans="1:19" x14ac:dyDescent="0.4">
      <c r="A411" s="291"/>
      <c r="B411" s="292"/>
      <c r="C411" s="312"/>
      <c r="D411" s="292"/>
      <c r="E411" s="489"/>
      <c r="F411" s="489"/>
      <c r="G411" s="490"/>
      <c r="H411" s="520"/>
      <c r="I411" s="523"/>
      <c r="J411" s="521"/>
      <c r="K411" s="522"/>
      <c r="M411" s="301" t="str">
        <f>N411&amp;AS[[#This Row],[Insurer Code]]&amp;"; "&amp;O411&amp;AS[[#This Row],[Reporting Year]]&amp;"; "&amp;P411&amp;AS[[#This Row],[Insurance Category Code]]&amp;"; "&amp;Q411&amp;AS[[#This Row],[Large Provider Entity Code]]&amp;"; "&amp;R411&amp;AS[[#This Row],[Age Band Code]]&amp;"; "&amp;S411&amp;AS[[#This Row],[Sex Code]]</f>
        <v xml:space="preserve">Insurer Code ; Reporting Year ; Insurance Category Code ; Large Provider Entity Code ; Age Band Code ; Sex Code </v>
      </c>
      <c r="N411" s="297" t="s">
        <v>197</v>
      </c>
      <c r="O411" s="297" t="s">
        <v>198</v>
      </c>
      <c r="P411" s="297" t="s">
        <v>199</v>
      </c>
      <c r="Q411" s="297" t="s">
        <v>200</v>
      </c>
      <c r="R411" s="297" t="s">
        <v>213</v>
      </c>
      <c r="S411" s="297" t="s">
        <v>214</v>
      </c>
    </row>
    <row r="412" spans="1:19" x14ac:dyDescent="0.4">
      <c r="A412" s="291"/>
      <c r="B412" s="292"/>
      <c r="C412" s="312"/>
      <c r="D412" s="292"/>
      <c r="E412" s="489"/>
      <c r="F412" s="489"/>
      <c r="G412" s="490"/>
      <c r="H412" s="520"/>
      <c r="I412" s="523"/>
      <c r="J412" s="521"/>
      <c r="K412" s="522"/>
      <c r="M412" s="301" t="str">
        <f>N412&amp;AS[[#This Row],[Insurer Code]]&amp;"; "&amp;O412&amp;AS[[#This Row],[Reporting Year]]&amp;"; "&amp;P412&amp;AS[[#This Row],[Insurance Category Code]]&amp;"; "&amp;Q412&amp;AS[[#This Row],[Large Provider Entity Code]]&amp;"; "&amp;R412&amp;AS[[#This Row],[Age Band Code]]&amp;"; "&amp;S412&amp;AS[[#This Row],[Sex Code]]</f>
        <v xml:space="preserve">Insurer Code ; Reporting Year ; Insurance Category Code ; Large Provider Entity Code ; Age Band Code ; Sex Code </v>
      </c>
      <c r="N412" s="297" t="s">
        <v>197</v>
      </c>
      <c r="O412" s="297" t="s">
        <v>198</v>
      </c>
      <c r="P412" s="297" t="s">
        <v>199</v>
      </c>
      <c r="Q412" s="297" t="s">
        <v>200</v>
      </c>
      <c r="R412" s="297" t="s">
        <v>213</v>
      </c>
      <c r="S412" s="297" t="s">
        <v>214</v>
      </c>
    </row>
    <row r="413" spans="1:19" x14ac:dyDescent="0.4">
      <c r="A413" s="291"/>
      <c r="B413" s="292"/>
      <c r="C413" s="312"/>
      <c r="D413" s="292"/>
      <c r="E413" s="489"/>
      <c r="F413" s="489"/>
      <c r="G413" s="490"/>
      <c r="H413" s="520"/>
      <c r="I413" s="523"/>
      <c r="J413" s="521"/>
      <c r="K413" s="522"/>
      <c r="M413" s="301" t="str">
        <f>N413&amp;AS[[#This Row],[Insurer Code]]&amp;"; "&amp;O413&amp;AS[[#This Row],[Reporting Year]]&amp;"; "&amp;P413&amp;AS[[#This Row],[Insurance Category Code]]&amp;"; "&amp;Q413&amp;AS[[#This Row],[Large Provider Entity Code]]&amp;"; "&amp;R413&amp;AS[[#This Row],[Age Band Code]]&amp;"; "&amp;S413&amp;AS[[#This Row],[Sex Code]]</f>
        <v xml:space="preserve">Insurer Code ; Reporting Year ; Insurance Category Code ; Large Provider Entity Code ; Age Band Code ; Sex Code </v>
      </c>
      <c r="N413" s="297" t="s">
        <v>197</v>
      </c>
      <c r="O413" s="297" t="s">
        <v>198</v>
      </c>
      <c r="P413" s="297" t="s">
        <v>199</v>
      </c>
      <c r="Q413" s="297" t="s">
        <v>200</v>
      </c>
      <c r="R413" s="297" t="s">
        <v>213</v>
      </c>
      <c r="S413" s="297" t="s">
        <v>214</v>
      </c>
    </row>
    <row r="414" spans="1:19" x14ac:dyDescent="0.4">
      <c r="A414" s="291"/>
      <c r="B414" s="292"/>
      <c r="C414" s="312"/>
      <c r="D414" s="292"/>
      <c r="E414" s="489"/>
      <c r="F414" s="489"/>
      <c r="G414" s="490"/>
      <c r="H414" s="520"/>
      <c r="I414" s="523"/>
      <c r="J414" s="521"/>
      <c r="K414" s="522"/>
      <c r="M414" s="301" t="str">
        <f>N414&amp;AS[[#This Row],[Insurer Code]]&amp;"; "&amp;O414&amp;AS[[#This Row],[Reporting Year]]&amp;"; "&amp;P414&amp;AS[[#This Row],[Insurance Category Code]]&amp;"; "&amp;Q414&amp;AS[[#This Row],[Large Provider Entity Code]]&amp;"; "&amp;R414&amp;AS[[#This Row],[Age Band Code]]&amp;"; "&amp;S414&amp;AS[[#This Row],[Sex Code]]</f>
        <v xml:space="preserve">Insurer Code ; Reporting Year ; Insurance Category Code ; Large Provider Entity Code ; Age Band Code ; Sex Code </v>
      </c>
      <c r="N414" s="297" t="s">
        <v>197</v>
      </c>
      <c r="O414" s="297" t="s">
        <v>198</v>
      </c>
      <c r="P414" s="297" t="s">
        <v>199</v>
      </c>
      <c r="Q414" s="297" t="s">
        <v>200</v>
      </c>
      <c r="R414" s="297" t="s">
        <v>213</v>
      </c>
      <c r="S414" s="297" t="s">
        <v>214</v>
      </c>
    </row>
    <row r="415" spans="1:19" x14ac:dyDescent="0.4">
      <c r="A415" s="291"/>
      <c r="B415" s="292"/>
      <c r="C415" s="312"/>
      <c r="D415" s="292"/>
      <c r="E415" s="489"/>
      <c r="F415" s="489"/>
      <c r="G415" s="490"/>
      <c r="H415" s="520"/>
      <c r="I415" s="523"/>
      <c r="J415" s="521"/>
      <c r="K415" s="522"/>
      <c r="M415" s="301" t="str">
        <f>N415&amp;AS[[#This Row],[Insurer Code]]&amp;"; "&amp;O415&amp;AS[[#This Row],[Reporting Year]]&amp;"; "&amp;P415&amp;AS[[#This Row],[Insurance Category Code]]&amp;"; "&amp;Q415&amp;AS[[#This Row],[Large Provider Entity Code]]&amp;"; "&amp;R415&amp;AS[[#This Row],[Age Band Code]]&amp;"; "&amp;S415&amp;AS[[#This Row],[Sex Code]]</f>
        <v xml:space="preserve">Insurer Code ; Reporting Year ; Insurance Category Code ; Large Provider Entity Code ; Age Band Code ; Sex Code </v>
      </c>
      <c r="N415" s="297" t="s">
        <v>197</v>
      </c>
      <c r="O415" s="297" t="s">
        <v>198</v>
      </c>
      <c r="P415" s="297" t="s">
        <v>199</v>
      </c>
      <c r="Q415" s="297" t="s">
        <v>200</v>
      </c>
      <c r="R415" s="297" t="s">
        <v>213</v>
      </c>
      <c r="S415" s="297" t="s">
        <v>214</v>
      </c>
    </row>
    <row r="416" spans="1:19" x14ac:dyDescent="0.4">
      <c r="A416" s="291"/>
      <c r="B416" s="292"/>
      <c r="C416" s="312"/>
      <c r="D416" s="292"/>
      <c r="E416" s="489"/>
      <c r="F416" s="489"/>
      <c r="G416" s="490"/>
      <c r="H416" s="520"/>
      <c r="I416" s="523"/>
      <c r="J416" s="521"/>
      <c r="K416" s="522"/>
      <c r="M416" s="301" t="str">
        <f>N416&amp;AS[[#This Row],[Insurer Code]]&amp;"; "&amp;O416&amp;AS[[#This Row],[Reporting Year]]&amp;"; "&amp;P416&amp;AS[[#This Row],[Insurance Category Code]]&amp;"; "&amp;Q416&amp;AS[[#This Row],[Large Provider Entity Code]]&amp;"; "&amp;R416&amp;AS[[#This Row],[Age Band Code]]&amp;"; "&amp;S416&amp;AS[[#This Row],[Sex Code]]</f>
        <v xml:space="preserve">Insurer Code ; Reporting Year ; Insurance Category Code ; Large Provider Entity Code ; Age Band Code ; Sex Code </v>
      </c>
      <c r="N416" s="297" t="s">
        <v>197</v>
      </c>
      <c r="O416" s="297" t="s">
        <v>198</v>
      </c>
      <c r="P416" s="297" t="s">
        <v>199</v>
      </c>
      <c r="Q416" s="297" t="s">
        <v>200</v>
      </c>
      <c r="R416" s="297" t="s">
        <v>213</v>
      </c>
      <c r="S416" s="297" t="s">
        <v>214</v>
      </c>
    </row>
    <row r="417" spans="1:19" x14ac:dyDescent="0.4">
      <c r="A417" s="291"/>
      <c r="B417" s="292"/>
      <c r="C417" s="312"/>
      <c r="D417" s="292"/>
      <c r="E417" s="489"/>
      <c r="F417" s="489"/>
      <c r="G417" s="490"/>
      <c r="H417" s="520"/>
      <c r="I417" s="523"/>
      <c r="J417" s="521"/>
      <c r="K417" s="522"/>
      <c r="M417" s="301" t="str">
        <f>N417&amp;AS[[#This Row],[Insurer Code]]&amp;"; "&amp;O417&amp;AS[[#This Row],[Reporting Year]]&amp;"; "&amp;P417&amp;AS[[#This Row],[Insurance Category Code]]&amp;"; "&amp;Q417&amp;AS[[#This Row],[Large Provider Entity Code]]&amp;"; "&amp;R417&amp;AS[[#This Row],[Age Band Code]]&amp;"; "&amp;S417&amp;AS[[#This Row],[Sex Code]]</f>
        <v xml:space="preserve">Insurer Code ; Reporting Year ; Insurance Category Code ; Large Provider Entity Code ; Age Band Code ; Sex Code </v>
      </c>
      <c r="N417" s="297" t="s">
        <v>197</v>
      </c>
      <c r="O417" s="297" t="s">
        <v>198</v>
      </c>
      <c r="P417" s="297" t="s">
        <v>199</v>
      </c>
      <c r="Q417" s="297" t="s">
        <v>200</v>
      </c>
      <c r="R417" s="297" t="s">
        <v>213</v>
      </c>
      <c r="S417" s="297" t="s">
        <v>214</v>
      </c>
    </row>
    <row r="418" spans="1:19" x14ac:dyDescent="0.4">
      <c r="A418" s="291"/>
      <c r="B418" s="292"/>
      <c r="C418" s="312"/>
      <c r="D418" s="292"/>
      <c r="E418" s="489"/>
      <c r="F418" s="489"/>
      <c r="G418" s="490"/>
      <c r="H418" s="520"/>
      <c r="I418" s="523"/>
      <c r="J418" s="521"/>
      <c r="K418" s="522"/>
      <c r="M418" s="301" t="str">
        <f>N418&amp;AS[[#This Row],[Insurer Code]]&amp;"; "&amp;O418&amp;AS[[#This Row],[Reporting Year]]&amp;"; "&amp;P418&amp;AS[[#This Row],[Insurance Category Code]]&amp;"; "&amp;Q418&amp;AS[[#This Row],[Large Provider Entity Code]]&amp;"; "&amp;R418&amp;AS[[#This Row],[Age Band Code]]&amp;"; "&amp;S418&amp;AS[[#This Row],[Sex Code]]</f>
        <v xml:space="preserve">Insurer Code ; Reporting Year ; Insurance Category Code ; Large Provider Entity Code ; Age Band Code ; Sex Code </v>
      </c>
      <c r="N418" s="297" t="s">
        <v>197</v>
      </c>
      <c r="O418" s="297" t="s">
        <v>198</v>
      </c>
      <c r="P418" s="297" t="s">
        <v>199</v>
      </c>
      <c r="Q418" s="297" t="s">
        <v>200</v>
      </c>
      <c r="R418" s="297" t="s">
        <v>213</v>
      </c>
      <c r="S418" s="297" t="s">
        <v>214</v>
      </c>
    </row>
    <row r="419" spans="1:19" x14ac:dyDescent="0.4">
      <c r="A419" s="291"/>
      <c r="B419" s="292"/>
      <c r="C419" s="312"/>
      <c r="D419" s="292"/>
      <c r="E419" s="489"/>
      <c r="F419" s="489"/>
      <c r="G419" s="490"/>
      <c r="H419" s="520"/>
      <c r="I419" s="523"/>
      <c r="J419" s="521"/>
      <c r="K419" s="522"/>
      <c r="M419" s="301" t="str">
        <f>N419&amp;AS[[#This Row],[Insurer Code]]&amp;"; "&amp;O419&amp;AS[[#This Row],[Reporting Year]]&amp;"; "&amp;P419&amp;AS[[#This Row],[Insurance Category Code]]&amp;"; "&amp;Q419&amp;AS[[#This Row],[Large Provider Entity Code]]&amp;"; "&amp;R419&amp;AS[[#This Row],[Age Band Code]]&amp;"; "&amp;S419&amp;AS[[#This Row],[Sex Code]]</f>
        <v xml:space="preserve">Insurer Code ; Reporting Year ; Insurance Category Code ; Large Provider Entity Code ; Age Band Code ; Sex Code </v>
      </c>
      <c r="N419" s="297" t="s">
        <v>197</v>
      </c>
      <c r="O419" s="297" t="s">
        <v>198</v>
      </c>
      <c r="P419" s="297" t="s">
        <v>199</v>
      </c>
      <c r="Q419" s="297" t="s">
        <v>200</v>
      </c>
      <c r="R419" s="297" t="s">
        <v>213</v>
      </c>
      <c r="S419" s="297" t="s">
        <v>214</v>
      </c>
    </row>
    <row r="420" spans="1:19" x14ac:dyDescent="0.4">
      <c r="A420" s="291"/>
      <c r="B420" s="292"/>
      <c r="C420" s="312"/>
      <c r="D420" s="292"/>
      <c r="E420" s="489"/>
      <c r="F420" s="489"/>
      <c r="G420" s="490"/>
      <c r="H420" s="520"/>
      <c r="I420" s="523"/>
      <c r="J420" s="521"/>
      <c r="K420" s="522"/>
      <c r="M420" s="301" t="str">
        <f>N420&amp;AS[[#This Row],[Insurer Code]]&amp;"; "&amp;O420&amp;AS[[#This Row],[Reporting Year]]&amp;"; "&amp;P420&amp;AS[[#This Row],[Insurance Category Code]]&amp;"; "&amp;Q420&amp;AS[[#This Row],[Large Provider Entity Code]]&amp;"; "&amp;R420&amp;AS[[#This Row],[Age Band Code]]&amp;"; "&amp;S420&amp;AS[[#This Row],[Sex Code]]</f>
        <v xml:space="preserve">Insurer Code ; Reporting Year ; Insurance Category Code ; Large Provider Entity Code ; Age Band Code ; Sex Code </v>
      </c>
      <c r="N420" s="297" t="s">
        <v>197</v>
      </c>
      <c r="O420" s="297" t="s">
        <v>198</v>
      </c>
      <c r="P420" s="297" t="s">
        <v>199</v>
      </c>
      <c r="Q420" s="297" t="s">
        <v>200</v>
      </c>
      <c r="R420" s="297" t="s">
        <v>213</v>
      </c>
      <c r="S420" s="297" t="s">
        <v>214</v>
      </c>
    </row>
    <row r="421" spans="1:19" x14ac:dyDescent="0.4">
      <c r="A421" s="291"/>
      <c r="B421" s="292"/>
      <c r="C421" s="312"/>
      <c r="D421" s="292"/>
      <c r="E421" s="489"/>
      <c r="F421" s="489"/>
      <c r="G421" s="490"/>
      <c r="H421" s="520"/>
      <c r="I421" s="523"/>
      <c r="J421" s="521"/>
      <c r="K421" s="522"/>
      <c r="M421" s="301" t="str">
        <f>N421&amp;AS[[#This Row],[Insurer Code]]&amp;"; "&amp;O421&amp;AS[[#This Row],[Reporting Year]]&amp;"; "&amp;P421&amp;AS[[#This Row],[Insurance Category Code]]&amp;"; "&amp;Q421&amp;AS[[#This Row],[Large Provider Entity Code]]&amp;"; "&amp;R421&amp;AS[[#This Row],[Age Band Code]]&amp;"; "&amp;S421&amp;AS[[#This Row],[Sex Code]]</f>
        <v xml:space="preserve">Insurer Code ; Reporting Year ; Insurance Category Code ; Large Provider Entity Code ; Age Band Code ; Sex Code </v>
      </c>
      <c r="N421" s="297" t="s">
        <v>197</v>
      </c>
      <c r="O421" s="297" t="s">
        <v>198</v>
      </c>
      <c r="P421" s="297" t="s">
        <v>199</v>
      </c>
      <c r="Q421" s="297" t="s">
        <v>200</v>
      </c>
      <c r="R421" s="297" t="s">
        <v>213</v>
      </c>
      <c r="S421" s="297" t="s">
        <v>214</v>
      </c>
    </row>
    <row r="422" spans="1:19" x14ac:dyDescent="0.4">
      <c r="A422" s="291"/>
      <c r="B422" s="292"/>
      <c r="C422" s="312"/>
      <c r="D422" s="292"/>
      <c r="E422" s="489"/>
      <c r="F422" s="489"/>
      <c r="G422" s="490"/>
      <c r="H422" s="520"/>
      <c r="I422" s="523"/>
      <c r="J422" s="521"/>
      <c r="K422" s="522"/>
      <c r="M422" s="301" t="str">
        <f>N422&amp;AS[[#This Row],[Insurer Code]]&amp;"; "&amp;O422&amp;AS[[#This Row],[Reporting Year]]&amp;"; "&amp;P422&amp;AS[[#This Row],[Insurance Category Code]]&amp;"; "&amp;Q422&amp;AS[[#This Row],[Large Provider Entity Code]]&amp;"; "&amp;R422&amp;AS[[#This Row],[Age Band Code]]&amp;"; "&amp;S422&amp;AS[[#This Row],[Sex Code]]</f>
        <v xml:space="preserve">Insurer Code ; Reporting Year ; Insurance Category Code ; Large Provider Entity Code ; Age Band Code ; Sex Code </v>
      </c>
      <c r="N422" s="297" t="s">
        <v>197</v>
      </c>
      <c r="O422" s="297" t="s">
        <v>198</v>
      </c>
      <c r="P422" s="297" t="s">
        <v>199</v>
      </c>
      <c r="Q422" s="297" t="s">
        <v>200</v>
      </c>
      <c r="R422" s="297" t="s">
        <v>213</v>
      </c>
      <c r="S422" s="297" t="s">
        <v>214</v>
      </c>
    </row>
    <row r="423" spans="1:19" x14ac:dyDescent="0.4">
      <c r="A423" s="291"/>
      <c r="B423" s="292"/>
      <c r="C423" s="312"/>
      <c r="D423" s="292"/>
      <c r="E423" s="489"/>
      <c r="F423" s="489"/>
      <c r="G423" s="490"/>
      <c r="H423" s="520"/>
      <c r="I423" s="523"/>
      <c r="J423" s="521"/>
      <c r="K423" s="522"/>
      <c r="M423" s="301" t="str">
        <f>N423&amp;AS[[#This Row],[Insurer Code]]&amp;"; "&amp;O423&amp;AS[[#This Row],[Reporting Year]]&amp;"; "&amp;P423&amp;AS[[#This Row],[Insurance Category Code]]&amp;"; "&amp;Q423&amp;AS[[#This Row],[Large Provider Entity Code]]&amp;"; "&amp;R423&amp;AS[[#This Row],[Age Band Code]]&amp;"; "&amp;S423&amp;AS[[#This Row],[Sex Code]]</f>
        <v xml:space="preserve">Insurer Code ; Reporting Year ; Insurance Category Code ; Large Provider Entity Code ; Age Band Code ; Sex Code </v>
      </c>
      <c r="N423" s="297" t="s">
        <v>197</v>
      </c>
      <c r="O423" s="297" t="s">
        <v>198</v>
      </c>
      <c r="P423" s="297" t="s">
        <v>199</v>
      </c>
      <c r="Q423" s="297" t="s">
        <v>200</v>
      </c>
      <c r="R423" s="297" t="s">
        <v>213</v>
      </c>
      <c r="S423" s="297" t="s">
        <v>214</v>
      </c>
    </row>
    <row r="424" spans="1:19" x14ac:dyDescent="0.4">
      <c r="A424" s="291"/>
      <c r="B424" s="292"/>
      <c r="C424" s="312"/>
      <c r="D424" s="292"/>
      <c r="E424" s="489"/>
      <c r="F424" s="489"/>
      <c r="G424" s="490"/>
      <c r="H424" s="520"/>
      <c r="I424" s="523"/>
      <c r="J424" s="521"/>
      <c r="K424" s="522"/>
      <c r="M424" s="301" t="str">
        <f>N424&amp;AS[[#This Row],[Insurer Code]]&amp;"; "&amp;O424&amp;AS[[#This Row],[Reporting Year]]&amp;"; "&amp;P424&amp;AS[[#This Row],[Insurance Category Code]]&amp;"; "&amp;Q424&amp;AS[[#This Row],[Large Provider Entity Code]]&amp;"; "&amp;R424&amp;AS[[#This Row],[Age Band Code]]&amp;"; "&amp;S424&amp;AS[[#This Row],[Sex Code]]</f>
        <v xml:space="preserve">Insurer Code ; Reporting Year ; Insurance Category Code ; Large Provider Entity Code ; Age Band Code ; Sex Code </v>
      </c>
      <c r="N424" s="297" t="s">
        <v>197</v>
      </c>
      <c r="O424" s="297" t="s">
        <v>198</v>
      </c>
      <c r="P424" s="297" t="s">
        <v>199</v>
      </c>
      <c r="Q424" s="297" t="s">
        <v>200</v>
      </c>
      <c r="R424" s="297" t="s">
        <v>213</v>
      </c>
      <c r="S424" s="297" t="s">
        <v>214</v>
      </c>
    </row>
    <row r="425" spans="1:19" x14ac:dyDescent="0.4">
      <c r="A425" s="291"/>
      <c r="B425" s="292"/>
      <c r="C425" s="312"/>
      <c r="D425" s="292"/>
      <c r="E425" s="489"/>
      <c r="F425" s="489"/>
      <c r="G425" s="490"/>
      <c r="H425" s="520"/>
      <c r="I425" s="523"/>
      <c r="J425" s="521"/>
      <c r="K425" s="522"/>
      <c r="M425" s="301" t="str">
        <f>N425&amp;AS[[#This Row],[Insurer Code]]&amp;"; "&amp;O425&amp;AS[[#This Row],[Reporting Year]]&amp;"; "&amp;P425&amp;AS[[#This Row],[Insurance Category Code]]&amp;"; "&amp;Q425&amp;AS[[#This Row],[Large Provider Entity Code]]&amp;"; "&amp;R425&amp;AS[[#This Row],[Age Band Code]]&amp;"; "&amp;S425&amp;AS[[#This Row],[Sex Code]]</f>
        <v xml:space="preserve">Insurer Code ; Reporting Year ; Insurance Category Code ; Large Provider Entity Code ; Age Band Code ; Sex Code </v>
      </c>
      <c r="N425" s="297" t="s">
        <v>197</v>
      </c>
      <c r="O425" s="297" t="s">
        <v>198</v>
      </c>
      <c r="P425" s="297" t="s">
        <v>199</v>
      </c>
      <c r="Q425" s="297" t="s">
        <v>200</v>
      </c>
      <c r="R425" s="297" t="s">
        <v>213</v>
      </c>
      <c r="S425" s="297" t="s">
        <v>214</v>
      </c>
    </row>
    <row r="426" spans="1:19" x14ac:dyDescent="0.4">
      <c r="A426" s="291"/>
      <c r="B426" s="292"/>
      <c r="C426" s="312"/>
      <c r="D426" s="292"/>
      <c r="E426" s="489"/>
      <c r="F426" s="489"/>
      <c r="G426" s="490"/>
      <c r="H426" s="520"/>
      <c r="I426" s="523"/>
      <c r="J426" s="521"/>
      <c r="K426" s="522"/>
      <c r="M426" s="301" t="str">
        <f>N426&amp;AS[[#This Row],[Insurer Code]]&amp;"; "&amp;O426&amp;AS[[#This Row],[Reporting Year]]&amp;"; "&amp;P426&amp;AS[[#This Row],[Insurance Category Code]]&amp;"; "&amp;Q426&amp;AS[[#This Row],[Large Provider Entity Code]]&amp;"; "&amp;R426&amp;AS[[#This Row],[Age Band Code]]&amp;"; "&amp;S426&amp;AS[[#This Row],[Sex Code]]</f>
        <v xml:space="preserve">Insurer Code ; Reporting Year ; Insurance Category Code ; Large Provider Entity Code ; Age Band Code ; Sex Code </v>
      </c>
      <c r="N426" s="297" t="s">
        <v>197</v>
      </c>
      <c r="O426" s="297" t="s">
        <v>198</v>
      </c>
      <c r="P426" s="297" t="s">
        <v>199</v>
      </c>
      <c r="Q426" s="297" t="s">
        <v>200</v>
      </c>
      <c r="R426" s="297" t="s">
        <v>213</v>
      </c>
      <c r="S426" s="297" t="s">
        <v>214</v>
      </c>
    </row>
    <row r="427" spans="1:19" x14ac:dyDescent="0.4">
      <c r="A427" s="291"/>
      <c r="B427" s="292"/>
      <c r="C427" s="312"/>
      <c r="D427" s="292"/>
      <c r="E427" s="489"/>
      <c r="F427" s="489"/>
      <c r="G427" s="490"/>
      <c r="H427" s="520"/>
      <c r="I427" s="523"/>
      <c r="J427" s="521"/>
      <c r="K427" s="522"/>
      <c r="M427" s="301" t="str">
        <f>N427&amp;AS[[#This Row],[Insurer Code]]&amp;"; "&amp;O427&amp;AS[[#This Row],[Reporting Year]]&amp;"; "&amp;P427&amp;AS[[#This Row],[Insurance Category Code]]&amp;"; "&amp;Q427&amp;AS[[#This Row],[Large Provider Entity Code]]&amp;"; "&amp;R427&amp;AS[[#This Row],[Age Band Code]]&amp;"; "&amp;S427&amp;AS[[#This Row],[Sex Code]]</f>
        <v xml:space="preserve">Insurer Code ; Reporting Year ; Insurance Category Code ; Large Provider Entity Code ; Age Band Code ; Sex Code </v>
      </c>
      <c r="N427" s="297" t="s">
        <v>197</v>
      </c>
      <c r="O427" s="297" t="s">
        <v>198</v>
      </c>
      <c r="P427" s="297" t="s">
        <v>199</v>
      </c>
      <c r="Q427" s="297" t="s">
        <v>200</v>
      </c>
      <c r="R427" s="297" t="s">
        <v>213</v>
      </c>
      <c r="S427" s="297" t="s">
        <v>214</v>
      </c>
    </row>
    <row r="428" spans="1:19" x14ac:dyDescent="0.4">
      <c r="A428" s="291"/>
      <c r="B428" s="292"/>
      <c r="C428" s="312"/>
      <c r="D428" s="292"/>
      <c r="E428" s="489"/>
      <c r="F428" s="489"/>
      <c r="G428" s="490"/>
      <c r="H428" s="520"/>
      <c r="I428" s="523"/>
      <c r="J428" s="521"/>
      <c r="K428" s="522"/>
      <c r="M428" s="301" t="str">
        <f>N428&amp;AS[[#This Row],[Insurer Code]]&amp;"; "&amp;O428&amp;AS[[#This Row],[Reporting Year]]&amp;"; "&amp;P428&amp;AS[[#This Row],[Insurance Category Code]]&amp;"; "&amp;Q428&amp;AS[[#This Row],[Large Provider Entity Code]]&amp;"; "&amp;R428&amp;AS[[#This Row],[Age Band Code]]&amp;"; "&amp;S428&amp;AS[[#This Row],[Sex Code]]</f>
        <v xml:space="preserve">Insurer Code ; Reporting Year ; Insurance Category Code ; Large Provider Entity Code ; Age Band Code ; Sex Code </v>
      </c>
      <c r="N428" s="297" t="s">
        <v>197</v>
      </c>
      <c r="O428" s="297" t="s">
        <v>198</v>
      </c>
      <c r="P428" s="297" t="s">
        <v>199</v>
      </c>
      <c r="Q428" s="297" t="s">
        <v>200</v>
      </c>
      <c r="R428" s="297" t="s">
        <v>213</v>
      </c>
      <c r="S428" s="297" t="s">
        <v>214</v>
      </c>
    </row>
    <row r="429" spans="1:19" x14ac:dyDescent="0.4">
      <c r="A429" s="291"/>
      <c r="B429" s="292"/>
      <c r="C429" s="312"/>
      <c r="D429" s="292"/>
      <c r="E429" s="489"/>
      <c r="F429" s="489"/>
      <c r="G429" s="490"/>
      <c r="H429" s="520"/>
      <c r="I429" s="523"/>
      <c r="J429" s="521"/>
      <c r="K429" s="522"/>
      <c r="M429" s="301" t="str">
        <f>N429&amp;AS[[#This Row],[Insurer Code]]&amp;"; "&amp;O429&amp;AS[[#This Row],[Reporting Year]]&amp;"; "&amp;P429&amp;AS[[#This Row],[Insurance Category Code]]&amp;"; "&amp;Q429&amp;AS[[#This Row],[Large Provider Entity Code]]&amp;"; "&amp;R429&amp;AS[[#This Row],[Age Band Code]]&amp;"; "&amp;S429&amp;AS[[#This Row],[Sex Code]]</f>
        <v xml:space="preserve">Insurer Code ; Reporting Year ; Insurance Category Code ; Large Provider Entity Code ; Age Band Code ; Sex Code </v>
      </c>
      <c r="N429" s="297" t="s">
        <v>197</v>
      </c>
      <c r="O429" s="297" t="s">
        <v>198</v>
      </c>
      <c r="P429" s="297" t="s">
        <v>199</v>
      </c>
      <c r="Q429" s="297" t="s">
        <v>200</v>
      </c>
      <c r="R429" s="297" t="s">
        <v>213</v>
      </c>
      <c r="S429" s="297" t="s">
        <v>214</v>
      </c>
    </row>
    <row r="430" spans="1:19" x14ac:dyDescent="0.4">
      <c r="A430" s="291"/>
      <c r="B430" s="292"/>
      <c r="C430" s="312"/>
      <c r="D430" s="292"/>
      <c r="E430" s="489"/>
      <c r="F430" s="489"/>
      <c r="G430" s="490"/>
      <c r="H430" s="520"/>
      <c r="I430" s="523"/>
      <c r="J430" s="521"/>
      <c r="K430" s="522"/>
      <c r="M430" s="301" t="str">
        <f>N430&amp;AS[[#This Row],[Insurer Code]]&amp;"; "&amp;O430&amp;AS[[#This Row],[Reporting Year]]&amp;"; "&amp;P430&amp;AS[[#This Row],[Insurance Category Code]]&amp;"; "&amp;Q430&amp;AS[[#This Row],[Large Provider Entity Code]]&amp;"; "&amp;R430&amp;AS[[#This Row],[Age Band Code]]&amp;"; "&amp;S430&amp;AS[[#This Row],[Sex Code]]</f>
        <v xml:space="preserve">Insurer Code ; Reporting Year ; Insurance Category Code ; Large Provider Entity Code ; Age Band Code ; Sex Code </v>
      </c>
      <c r="N430" s="297" t="s">
        <v>197</v>
      </c>
      <c r="O430" s="297" t="s">
        <v>198</v>
      </c>
      <c r="P430" s="297" t="s">
        <v>199</v>
      </c>
      <c r="Q430" s="297" t="s">
        <v>200</v>
      </c>
      <c r="R430" s="297" t="s">
        <v>213</v>
      </c>
      <c r="S430" s="297" t="s">
        <v>214</v>
      </c>
    </row>
    <row r="431" spans="1:19" x14ac:dyDescent="0.4">
      <c r="A431" s="291"/>
      <c r="B431" s="292"/>
      <c r="C431" s="312"/>
      <c r="D431" s="292"/>
      <c r="E431" s="489"/>
      <c r="F431" s="489"/>
      <c r="G431" s="490"/>
      <c r="H431" s="520"/>
      <c r="I431" s="523"/>
      <c r="J431" s="521"/>
      <c r="K431" s="522"/>
      <c r="M431" s="301" t="str">
        <f>N431&amp;AS[[#This Row],[Insurer Code]]&amp;"; "&amp;O431&amp;AS[[#This Row],[Reporting Year]]&amp;"; "&amp;P431&amp;AS[[#This Row],[Insurance Category Code]]&amp;"; "&amp;Q431&amp;AS[[#This Row],[Large Provider Entity Code]]&amp;"; "&amp;R431&amp;AS[[#This Row],[Age Band Code]]&amp;"; "&amp;S431&amp;AS[[#This Row],[Sex Code]]</f>
        <v xml:space="preserve">Insurer Code ; Reporting Year ; Insurance Category Code ; Large Provider Entity Code ; Age Band Code ; Sex Code </v>
      </c>
      <c r="N431" s="297" t="s">
        <v>197</v>
      </c>
      <c r="O431" s="297" t="s">
        <v>198</v>
      </c>
      <c r="P431" s="297" t="s">
        <v>199</v>
      </c>
      <c r="Q431" s="297" t="s">
        <v>200</v>
      </c>
      <c r="R431" s="297" t="s">
        <v>213</v>
      </c>
      <c r="S431" s="297" t="s">
        <v>214</v>
      </c>
    </row>
    <row r="432" spans="1:19" x14ac:dyDescent="0.4">
      <c r="A432" s="291"/>
      <c r="B432" s="292"/>
      <c r="C432" s="312"/>
      <c r="D432" s="292"/>
      <c r="E432" s="489"/>
      <c r="F432" s="489"/>
      <c r="G432" s="490"/>
      <c r="H432" s="520"/>
      <c r="I432" s="523"/>
      <c r="J432" s="521"/>
      <c r="K432" s="522"/>
      <c r="M432" s="301" t="str">
        <f>N432&amp;AS[[#This Row],[Insurer Code]]&amp;"; "&amp;O432&amp;AS[[#This Row],[Reporting Year]]&amp;"; "&amp;P432&amp;AS[[#This Row],[Insurance Category Code]]&amp;"; "&amp;Q432&amp;AS[[#This Row],[Large Provider Entity Code]]&amp;"; "&amp;R432&amp;AS[[#This Row],[Age Band Code]]&amp;"; "&amp;S432&amp;AS[[#This Row],[Sex Code]]</f>
        <v xml:space="preserve">Insurer Code ; Reporting Year ; Insurance Category Code ; Large Provider Entity Code ; Age Band Code ; Sex Code </v>
      </c>
      <c r="N432" s="297" t="s">
        <v>197</v>
      </c>
      <c r="O432" s="297" t="s">
        <v>198</v>
      </c>
      <c r="P432" s="297" t="s">
        <v>199</v>
      </c>
      <c r="Q432" s="297" t="s">
        <v>200</v>
      </c>
      <c r="R432" s="297" t="s">
        <v>213</v>
      </c>
      <c r="S432" s="297" t="s">
        <v>214</v>
      </c>
    </row>
    <row r="433" spans="1:19" x14ac:dyDescent="0.4">
      <c r="A433" s="291"/>
      <c r="B433" s="292"/>
      <c r="C433" s="312"/>
      <c r="D433" s="292"/>
      <c r="E433" s="489"/>
      <c r="F433" s="489"/>
      <c r="G433" s="490"/>
      <c r="H433" s="520"/>
      <c r="I433" s="523"/>
      <c r="J433" s="521"/>
      <c r="K433" s="522"/>
      <c r="M433" s="301" t="str">
        <f>N433&amp;AS[[#This Row],[Insurer Code]]&amp;"; "&amp;O433&amp;AS[[#This Row],[Reporting Year]]&amp;"; "&amp;P433&amp;AS[[#This Row],[Insurance Category Code]]&amp;"; "&amp;Q433&amp;AS[[#This Row],[Large Provider Entity Code]]&amp;"; "&amp;R433&amp;AS[[#This Row],[Age Band Code]]&amp;"; "&amp;S433&amp;AS[[#This Row],[Sex Code]]</f>
        <v xml:space="preserve">Insurer Code ; Reporting Year ; Insurance Category Code ; Large Provider Entity Code ; Age Band Code ; Sex Code </v>
      </c>
      <c r="N433" s="297" t="s">
        <v>197</v>
      </c>
      <c r="O433" s="297" t="s">
        <v>198</v>
      </c>
      <c r="P433" s="297" t="s">
        <v>199</v>
      </c>
      <c r="Q433" s="297" t="s">
        <v>200</v>
      </c>
      <c r="R433" s="297" t="s">
        <v>213</v>
      </c>
      <c r="S433" s="297" t="s">
        <v>214</v>
      </c>
    </row>
    <row r="434" spans="1:19" x14ac:dyDescent="0.4">
      <c r="A434" s="291"/>
      <c r="B434" s="292"/>
      <c r="C434" s="312"/>
      <c r="D434" s="292"/>
      <c r="E434" s="489"/>
      <c r="F434" s="489"/>
      <c r="G434" s="490"/>
      <c r="H434" s="520"/>
      <c r="I434" s="523"/>
      <c r="J434" s="521"/>
      <c r="K434" s="522"/>
      <c r="M434" s="301" t="str">
        <f>N434&amp;AS[[#This Row],[Insurer Code]]&amp;"; "&amp;O434&amp;AS[[#This Row],[Reporting Year]]&amp;"; "&amp;P434&amp;AS[[#This Row],[Insurance Category Code]]&amp;"; "&amp;Q434&amp;AS[[#This Row],[Large Provider Entity Code]]&amp;"; "&amp;R434&amp;AS[[#This Row],[Age Band Code]]&amp;"; "&amp;S434&amp;AS[[#This Row],[Sex Code]]</f>
        <v xml:space="preserve">Insurer Code ; Reporting Year ; Insurance Category Code ; Large Provider Entity Code ; Age Band Code ; Sex Code </v>
      </c>
      <c r="N434" s="297" t="s">
        <v>197</v>
      </c>
      <c r="O434" s="297" t="s">
        <v>198</v>
      </c>
      <c r="P434" s="297" t="s">
        <v>199</v>
      </c>
      <c r="Q434" s="297" t="s">
        <v>200</v>
      </c>
      <c r="R434" s="297" t="s">
        <v>213</v>
      </c>
      <c r="S434" s="297" t="s">
        <v>214</v>
      </c>
    </row>
    <row r="435" spans="1:19" x14ac:dyDescent="0.4">
      <c r="A435" s="291"/>
      <c r="B435" s="292"/>
      <c r="C435" s="312"/>
      <c r="D435" s="292"/>
      <c r="E435" s="489"/>
      <c r="F435" s="489"/>
      <c r="G435" s="490"/>
      <c r="H435" s="520"/>
      <c r="I435" s="523"/>
      <c r="J435" s="521"/>
      <c r="K435" s="522"/>
      <c r="M435" s="301" t="str">
        <f>N435&amp;AS[[#This Row],[Insurer Code]]&amp;"; "&amp;O435&amp;AS[[#This Row],[Reporting Year]]&amp;"; "&amp;P435&amp;AS[[#This Row],[Insurance Category Code]]&amp;"; "&amp;Q435&amp;AS[[#This Row],[Large Provider Entity Code]]&amp;"; "&amp;R435&amp;AS[[#This Row],[Age Band Code]]&amp;"; "&amp;S435&amp;AS[[#This Row],[Sex Code]]</f>
        <v xml:space="preserve">Insurer Code ; Reporting Year ; Insurance Category Code ; Large Provider Entity Code ; Age Band Code ; Sex Code </v>
      </c>
      <c r="N435" s="297" t="s">
        <v>197</v>
      </c>
      <c r="O435" s="297" t="s">
        <v>198</v>
      </c>
      <c r="P435" s="297" t="s">
        <v>199</v>
      </c>
      <c r="Q435" s="297" t="s">
        <v>200</v>
      </c>
      <c r="R435" s="297" t="s">
        <v>213</v>
      </c>
      <c r="S435" s="297" t="s">
        <v>214</v>
      </c>
    </row>
    <row r="436" spans="1:19" x14ac:dyDescent="0.4">
      <c r="A436" s="291"/>
      <c r="B436" s="292"/>
      <c r="C436" s="312"/>
      <c r="D436" s="292"/>
      <c r="E436" s="489"/>
      <c r="F436" s="489"/>
      <c r="G436" s="490"/>
      <c r="H436" s="520"/>
      <c r="I436" s="523"/>
      <c r="J436" s="521"/>
      <c r="K436" s="522"/>
      <c r="M436" s="301" t="str">
        <f>N436&amp;AS[[#This Row],[Insurer Code]]&amp;"; "&amp;O436&amp;AS[[#This Row],[Reporting Year]]&amp;"; "&amp;P436&amp;AS[[#This Row],[Insurance Category Code]]&amp;"; "&amp;Q436&amp;AS[[#This Row],[Large Provider Entity Code]]&amp;"; "&amp;R436&amp;AS[[#This Row],[Age Band Code]]&amp;"; "&amp;S436&amp;AS[[#This Row],[Sex Code]]</f>
        <v xml:space="preserve">Insurer Code ; Reporting Year ; Insurance Category Code ; Large Provider Entity Code ; Age Band Code ; Sex Code </v>
      </c>
      <c r="N436" s="297" t="s">
        <v>197</v>
      </c>
      <c r="O436" s="297" t="s">
        <v>198</v>
      </c>
      <c r="P436" s="297" t="s">
        <v>199</v>
      </c>
      <c r="Q436" s="297" t="s">
        <v>200</v>
      </c>
      <c r="R436" s="297" t="s">
        <v>213</v>
      </c>
      <c r="S436" s="297" t="s">
        <v>214</v>
      </c>
    </row>
    <row r="437" spans="1:19" x14ac:dyDescent="0.4">
      <c r="A437" s="291"/>
      <c r="B437" s="292"/>
      <c r="C437" s="312"/>
      <c r="D437" s="292"/>
      <c r="E437" s="489"/>
      <c r="F437" s="489"/>
      <c r="G437" s="490"/>
      <c r="H437" s="520"/>
      <c r="I437" s="523"/>
      <c r="J437" s="521"/>
      <c r="K437" s="522"/>
      <c r="M437" s="301" t="str">
        <f>N437&amp;AS[[#This Row],[Insurer Code]]&amp;"; "&amp;O437&amp;AS[[#This Row],[Reporting Year]]&amp;"; "&amp;P437&amp;AS[[#This Row],[Insurance Category Code]]&amp;"; "&amp;Q437&amp;AS[[#This Row],[Large Provider Entity Code]]&amp;"; "&amp;R437&amp;AS[[#This Row],[Age Band Code]]&amp;"; "&amp;S437&amp;AS[[#This Row],[Sex Code]]</f>
        <v xml:space="preserve">Insurer Code ; Reporting Year ; Insurance Category Code ; Large Provider Entity Code ; Age Band Code ; Sex Code </v>
      </c>
      <c r="N437" s="297" t="s">
        <v>197</v>
      </c>
      <c r="O437" s="297" t="s">
        <v>198</v>
      </c>
      <c r="P437" s="297" t="s">
        <v>199</v>
      </c>
      <c r="Q437" s="297" t="s">
        <v>200</v>
      </c>
      <c r="R437" s="297" t="s">
        <v>213</v>
      </c>
      <c r="S437" s="297" t="s">
        <v>214</v>
      </c>
    </row>
    <row r="438" spans="1:19" x14ac:dyDescent="0.4">
      <c r="A438" s="291"/>
      <c r="B438" s="292"/>
      <c r="C438" s="312"/>
      <c r="D438" s="292"/>
      <c r="E438" s="489"/>
      <c r="F438" s="489"/>
      <c r="G438" s="490"/>
      <c r="H438" s="520"/>
      <c r="I438" s="523"/>
      <c r="J438" s="521"/>
      <c r="K438" s="522"/>
      <c r="M438" s="301" t="str">
        <f>N438&amp;AS[[#This Row],[Insurer Code]]&amp;"; "&amp;O438&amp;AS[[#This Row],[Reporting Year]]&amp;"; "&amp;P438&amp;AS[[#This Row],[Insurance Category Code]]&amp;"; "&amp;Q438&amp;AS[[#This Row],[Large Provider Entity Code]]&amp;"; "&amp;R438&amp;AS[[#This Row],[Age Band Code]]&amp;"; "&amp;S438&amp;AS[[#This Row],[Sex Code]]</f>
        <v xml:space="preserve">Insurer Code ; Reporting Year ; Insurance Category Code ; Large Provider Entity Code ; Age Band Code ; Sex Code </v>
      </c>
      <c r="N438" s="297" t="s">
        <v>197</v>
      </c>
      <c r="O438" s="297" t="s">
        <v>198</v>
      </c>
      <c r="P438" s="297" t="s">
        <v>199</v>
      </c>
      <c r="Q438" s="297" t="s">
        <v>200</v>
      </c>
      <c r="R438" s="297" t="s">
        <v>213</v>
      </c>
      <c r="S438" s="297" t="s">
        <v>214</v>
      </c>
    </row>
    <row r="439" spans="1:19" x14ac:dyDescent="0.4">
      <c r="A439" s="291"/>
      <c r="B439" s="292"/>
      <c r="C439" s="312"/>
      <c r="D439" s="292"/>
      <c r="E439" s="489"/>
      <c r="F439" s="489"/>
      <c r="G439" s="490"/>
      <c r="H439" s="520"/>
      <c r="I439" s="523"/>
      <c r="J439" s="521"/>
      <c r="K439" s="522"/>
      <c r="M439" s="301" t="str">
        <f>N439&amp;AS[[#This Row],[Insurer Code]]&amp;"; "&amp;O439&amp;AS[[#This Row],[Reporting Year]]&amp;"; "&amp;P439&amp;AS[[#This Row],[Insurance Category Code]]&amp;"; "&amp;Q439&amp;AS[[#This Row],[Large Provider Entity Code]]&amp;"; "&amp;R439&amp;AS[[#This Row],[Age Band Code]]&amp;"; "&amp;S439&amp;AS[[#This Row],[Sex Code]]</f>
        <v xml:space="preserve">Insurer Code ; Reporting Year ; Insurance Category Code ; Large Provider Entity Code ; Age Band Code ; Sex Code </v>
      </c>
      <c r="N439" s="297" t="s">
        <v>197</v>
      </c>
      <c r="O439" s="297" t="s">
        <v>198</v>
      </c>
      <c r="P439" s="297" t="s">
        <v>199</v>
      </c>
      <c r="Q439" s="297" t="s">
        <v>200</v>
      </c>
      <c r="R439" s="297" t="s">
        <v>213</v>
      </c>
      <c r="S439" s="297" t="s">
        <v>214</v>
      </c>
    </row>
    <row r="440" spans="1:19" x14ac:dyDescent="0.4">
      <c r="A440" s="291"/>
      <c r="B440" s="292"/>
      <c r="C440" s="312"/>
      <c r="D440" s="292"/>
      <c r="E440" s="489"/>
      <c r="F440" s="489"/>
      <c r="G440" s="490"/>
      <c r="H440" s="520"/>
      <c r="I440" s="523"/>
      <c r="J440" s="521"/>
      <c r="K440" s="522"/>
      <c r="M440" s="301" t="str">
        <f>N440&amp;AS[[#This Row],[Insurer Code]]&amp;"; "&amp;O440&amp;AS[[#This Row],[Reporting Year]]&amp;"; "&amp;P440&amp;AS[[#This Row],[Insurance Category Code]]&amp;"; "&amp;Q440&amp;AS[[#This Row],[Large Provider Entity Code]]&amp;"; "&amp;R440&amp;AS[[#This Row],[Age Band Code]]&amp;"; "&amp;S440&amp;AS[[#This Row],[Sex Code]]</f>
        <v xml:space="preserve">Insurer Code ; Reporting Year ; Insurance Category Code ; Large Provider Entity Code ; Age Band Code ; Sex Code </v>
      </c>
      <c r="N440" s="297" t="s">
        <v>197</v>
      </c>
      <c r="O440" s="297" t="s">
        <v>198</v>
      </c>
      <c r="P440" s="297" t="s">
        <v>199</v>
      </c>
      <c r="Q440" s="297" t="s">
        <v>200</v>
      </c>
      <c r="R440" s="297" t="s">
        <v>213</v>
      </c>
      <c r="S440" s="297" t="s">
        <v>214</v>
      </c>
    </row>
    <row r="441" spans="1:19" x14ac:dyDescent="0.4">
      <c r="A441" s="291"/>
      <c r="B441" s="292"/>
      <c r="C441" s="312"/>
      <c r="D441" s="292"/>
      <c r="E441" s="489"/>
      <c r="F441" s="489"/>
      <c r="G441" s="490"/>
      <c r="H441" s="520"/>
      <c r="I441" s="523"/>
      <c r="J441" s="521"/>
      <c r="K441" s="522"/>
      <c r="M441" s="301" t="str">
        <f>N441&amp;AS[[#This Row],[Insurer Code]]&amp;"; "&amp;O441&amp;AS[[#This Row],[Reporting Year]]&amp;"; "&amp;P441&amp;AS[[#This Row],[Insurance Category Code]]&amp;"; "&amp;Q441&amp;AS[[#This Row],[Large Provider Entity Code]]&amp;"; "&amp;R441&amp;AS[[#This Row],[Age Band Code]]&amp;"; "&amp;S441&amp;AS[[#This Row],[Sex Code]]</f>
        <v xml:space="preserve">Insurer Code ; Reporting Year ; Insurance Category Code ; Large Provider Entity Code ; Age Band Code ; Sex Code </v>
      </c>
      <c r="N441" s="297" t="s">
        <v>197</v>
      </c>
      <c r="O441" s="297" t="s">
        <v>198</v>
      </c>
      <c r="P441" s="297" t="s">
        <v>199</v>
      </c>
      <c r="Q441" s="297" t="s">
        <v>200</v>
      </c>
      <c r="R441" s="297" t="s">
        <v>213</v>
      </c>
      <c r="S441" s="297" t="s">
        <v>214</v>
      </c>
    </row>
    <row r="442" spans="1:19" x14ac:dyDescent="0.4">
      <c r="A442" s="291"/>
      <c r="B442" s="292"/>
      <c r="C442" s="312"/>
      <c r="D442" s="292"/>
      <c r="E442" s="489"/>
      <c r="F442" s="489"/>
      <c r="G442" s="490"/>
      <c r="H442" s="520"/>
      <c r="I442" s="523"/>
      <c r="J442" s="521"/>
      <c r="K442" s="522"/>
      <c r="M442" s="301" t="str">
        <f>N442&amp;AS[[#This Row],[Insurer Code]]&amp;"; "&amp;O442&amp;AS[[#This Row],[Reporting Year]]&amp;"; "&amp;P442&amp;AS[[#This Row],[Insurance Category Code]]&amp;"; "&amp;Q442&amp;AS[[#This Row],[Large Provider Entity Code]]&amp;"; "&amp;R442&amp;AS[[#This Row],[Age Band Code]]&amp;"; "&amp;S442&amp;AS[[#This Row],[Sex Code]]</f>
        <v xml:space="preserve">Insurer Code ; Reporting Year ; Insurance Category Code ; Large Provider Entity Code ; Age Band Code ; Sex Code </v>
      </c>
      <c r="N442" s="297" t="s">
        <v>197</v>
      </c>
      <c r="O442" s="297" t="s">
        <v>198</v>
      </c>
      <c r="P442" s="297" t="s">
        <v>199</v>
      </c>
      <c r="Q442" s="297" t="s">
        <v>200</v>
      </c>
      <c r="R442" s="297" t="s">
        <v>213</v>
      </c>
      <c r="S442" s="297" t="s">
        <v>214</v>
      </c>
    </row>
    <row r="443" spans="1:19" x14ac:dyDescent="0.4">
      <c r="A443" s="291"/>
      <c r="B443" s="292"/>
      <c r="C443" s="312"/>
      <c r="D443" s="292"/>
      <c r="E443" s="489"/>
      <c r="F443" s="489"/>
      <c r="G443" s="490"/>
      <c r="H443" s="520"/>
      <c r="I443" s="523"/>
      <c r="J443" s="521"/>
      <c r="K443" s="522"/>
      <c r="M443" s="301" t="str">
        <f>N443&amp;AS[[#This Row],[Insurer Code]]&amp;"; "&amp;O443&amp;AS[[#This Row],[Reporting Year]]&amp;"; "&amp;P443&amp;AS[[#This Row],[Insurance Category Code]]&amp;"; "&amp;Q443&amp;AS[[#This Row],[Large Provider Entity Code]]&amp;"; "&amp;R443&amp;AS[[#This Row],[Age Band Code]]&amp;"; "&amp;S443&amp;AS[[#This Row],[Sex Code]]</f>
        <v xml:space="preserve">Insurer Code ; Reporting Year ; Insurance Category Code ; Large Provider Entity Code ; Age Band Code ; Sex Code </v>
      </c>
      <c r="N443" s="297" t="s">
        <v>197</v>
      </c>
      <c r="O443" s="297" t="s">
        <v>198</v>
      </c>
      <c r="P443" s="297" t="s">
        <v>199</v>
      </c>
      <c r="Q443" s="297" t="s">
        <v>200</v>
      </c>
      <c r="R443" s="297" t="s">
        <v>213</v>
      </c>
      <c r="S443" s="297" t="s">
        <v>214</v>
      </c>
    </row>
    <row r="444" spans="1:19" x14ac:dyDescent="0.4">
      <c r="A444" s="291"/>
      <c r="B444" s="292"/>
      <c r="C444" s="312"/>
      <c r="D444" s="292"/>
      <c r="E444" s="489"/>
      <c r="F444" s="489"/>
      <c r="G444" s="490"/>
      <c r="H444" s="520"/>
      <c r="I444" s="523"/>
      <c r="J444" s="521"/>
      <c r="K444" s="522"/>
      <c r="M444" s="301" t="str">
        <f>N444&amp;AS[[#This Row],[Insurer Code]]&amp;"; "&amp;O444&amp;AS[[#This Row],[Reporting Year]]&amp;"; "&amp;P444&amp;AS[[#This Row],[Insurance Category Code]]&amp;"; "&amp;Q444&amp;AS[[#This Row],[Large Provider Entity Code]]&amp;"; "&amp;R444&amp;AS[[#This Row],[Age Band Code]]&amp;"; "&amp;S444&amp;AS[[#This Row],[Sex Code]]</f>
        <v xml:space="preserve">Insurer Code ; Reporting Year ; Insurance Category Code ; Large Provider Entity Code ; Age Band Code ; Sex Code </v>
      </c>
      <c r="N444" s="297" t="s">
        <v>197</v>
      </c>
      <c r="O444" s="297" t="s">
        <v>198</v>
      </c>
      <c r="P444" s="297" t="s">
        <v>199</v>
      </c>
      <c r="Q444" s="297" t="s">
        <v>200</v>
      </c>
      <c r="R444" s="297" t="s">
        <v>213</v>
      </c>
      <c r="S444" s="297" t="s">
        <v>214</v>
      </c>
    </row>
    <row r="445" spans="1:19" x14ac:dyDescent="0.4">
      <c r="A445" s="291"/>
      <c r="B445" s="292"/>
      <c r="C445" s="312"/>
      <c r="D445" s="292"/>
      <c r="E445" s="489"/>
      <c r="F445" s="489"/>
      <c r="G445" s="490"/>
      <c r="H445" s="520"/>
      <c r="I445" s="523"/>
      <c r="J445" s="521"/>
      <c r="K445" s="522"/>
      <c r="M445" s="301" t="str">
        <f>N445&amp;AS[[#This Row],[Insurer Code]]&amp;"; "&amp;O445&amp;AS[[#This Row],[Reporting Year]]&amp;"; "&amp;P445&amp;AS[[#This Row],[Insurance Category Code]]&amp;"; "&amp;Q445&amp;AS[[#This Row],[Large Provider Entity Code]]&amp;"; "&amp;R445&amp;AS[[#This Row],[Age Band Code]]&amp;"; "&amp;S445&amp;AS[[#This Row],[Sex Code]]</f>
        <v xml:space="preserve">Insurer Code ; Reporting Year ; Insurance Category Code ; Large Provider Entity Code ; Age Band Code ; Sex Code </v>
      </c>
      <c r="N445" s="297" t="s">
        <v>197</v>
      </c>
      <c r="O445" s="297" t="s">
        <v>198</v>
      </c>
      <c r="P445" s="297" t="s">
        <v>199</v>
      </c>
      <c r="Q445" s="297" t="s">
        <v>200</v>
      </c>
      <c r="R445" s="297" t="s">
        <v>213</v>
      </c>
      <c r="S445" s="297" t="s">
        <v>214</v>
      </c>
    </row>
    <row r="446" spans="1:19" x14ac:dyDescent="0.4">
      <c r="A446" s="291"/>
      <c r="B446" s="292"/>
      <c r="C446" s="312"/>
      <c r="D446" s="292"/>
      <c r="E446" s="489"/>
      <c r="F446" s="489"/>
      <c r="G446" s="490"/>
      <c r="H446" s="520"/>
      <c r="I446" s="523"/>
      <c r="J446" s="521"/>
      <c r="K446" s="522"/>
      <c r="M446" s="301" t="str">
        <f>N446&amp;AS[[#This Row],[Insurer Code]]&amp;"; "&amp;O446&amp;AS[[#This Row],[Reporting Year]]&amp;"; "&amp;P446&amp;AS[[#This Row],[Insurance Category Code]]&amp;"; "&amp;Q446&amp;AS[[#This Row],[Large Provider Entity Code]]&amp;"; "&amp;R446&amp;AS[[#This Row],[Age Band Code]]&amp;"; "&amp;S446&amp;AS[[#This Row],[Sex Code]]</f>
        <v xml:space="preserve">Insurer Code ; Reporting Year ; Insurance Category Code ; Large Provider Entity Code ; Age Band Code ; Sex Code </v>
      </c>
      <c r="N446" s="297" t="s">
        <v>197</v>
      </c>
      <c r="O446" s="297" t="s">
        <v>198</v>
      </c>
      <c r="P446" s="297" t="s">
        <v>199</v>
      </c>
      <c r="Q446" s="297" t="s">
        <v>200</v>
      </c>
      <c r="R446" s="297" t="s">
        <v>213</v>
      </c>
      <c r="S446" s="297" t="s">
        <v>214</v>
      </c>
    </row>
    <row r="447" spans="1:19" x14ac:dyDescent="0.4">
      <c r="A447" s="291"/>
      <c r="B447" s="292"/>
      <c r="C447" s="312"/>
      <c r="D447" s="292"/>
      <c r="E447" s="489"/>
      <c r="F447" s="489"/>
      <c r="G447" s="490"/>
      <c r="H447" s="520"/>
      <c r="I447" s="523"/>
      <c r="J447" s="521"/>
      <c r="K447" s="522"/>
      <c r="M447" s="301" t="str">
        <f>N447&amp;AS[[#This Row],[Insurer Code]]&amp;"; "&amp;O447&amp;AS[[#This Row],[Reporting Year]]&amp;"; "&amp;P447&amp;AS[[#This Row],[Insurance Category Code]]&amp;"; "&amp;Q447&amp;AS[[#This Row],[Large Provider Entity Code]]&amp;"; "&amp;R447&amp;AS[[#This Row],[Age Band Code]]&amp;"; "&amp;S447&amp;AS[[#This Row],[Sex Code]]</f>
        <v xml:space="preserve">Insurer Code ; Reporting Year ; Insurance Category Code ; Large Provider Entity Code ; Age Band Code ; Sex Code </v>
      </c>
      <c r="N447" s="297" t="s">
        <v>197</v>
      </c>
      <c r="O447" s="297" t="s">
        <v>198</v>
      </c>
      <c r="P447" s="297" t="s">
        <v>199</v>
      </c>
      <c r="Q447" s="297" t="s">
        <v>200</v>
      </c>
      <c r="R447" s="297" t="s">
        <v>213</v>
      </c>
      <c r="S447" s="297" t="s">
        <v>214</v>
      </c>
    </row>
    <row r="448" spans="1:19" x14ac:dyDescent="0.4">
      <c r="A448" s="291"/>
      <c r="B448" s="292"/>
      <c r="C448" s="312"/>
      <c r="D448" s="292"/>
      <c r="E448" s="489"/>
      <c r="F448" s="489"/>
      <c r="G448" s="490"/>
      <c r="H448" s="520"/>
      <c r="I448" s="523"/>
      <c r="J448" s="521"/>
      <c r="K448" s="522"/>
      <c r="M448" s="301" t="str">
        <f>N448&amp;AS[[#This Row],[Insurer Code]]&amp;"; "&amp;O448&amp;AS[[#This Row],[Reporting Year]]&amp;"; "&amp;P448&amp;AS[[#This Row],[Insurance Category Code]]&amp;"; "&amp;Q448&amp;AS[[#This Row],[Large Provider Entity Code]]&amp;"; "&amp;R448&amp;AS[[#This Row],[Age Band Code]]&amp;"; "&amp;S448&amp;AS[[#This Row],[Sex Code]]</f>
        <v xml:space="preserve">Insurer Code ; Reporting Year ; Insurance Category Code ; Large Provider Entity Code ; Age Band Code ; Sex Code </v>
      </c>
      <c r="N448" s="297" t="s">
        <v>197</v>
      </c>
      <c r="O448" s="297" t="s">
        <v>198</v>
      </c>
      <c r="P448" s="297" t="s">
        <v>199</v>
      </c>
      <c r="Q448" s="297" t="s">
        <v>200</v>
      </c>
      <c r="R448" s="297" t="s">
        <v>213</v>
      </c>
      <c r="S448" s="297" t="s">
        <v>214</v>
      </c>
    </row>
    <row r="449" spans="1:19" x14ac:dyDescent="0.4">
      <c r="A449" s="291"/>
      <c r="B449" s="292"/>
      <c r="C449" s="312"/>
      <c r="D449" s="292"/>
      <c r="E449" s="489"/>
      <c r="F449" s="489"/>
      <c r="G449" s="490"/>
      <c r="H449" s="520"/>
      <c r="I449" s="523"/>
      <c r="J449" s="521"/>
      <c r="K449" s="522"/>
      <c r="M449" s="301" t="str">
        <f>N449&amp;AS[[#This Row],[Insurer Code]]&amp;"; "&amp;O449&amp;AS[[#This Row],[Reporting Year]]&amp;"; "&amp;P449&amp;AS[[#This Row],[Insurance Category Code]]&amp;"; "&amp;Q449&amp;AS[[#This Row],[Large Provider Entity Code]]&amp;"; "&amp;R449&amp;AS[[#This Row],[Age Band Code]]&amp;"; "&amp;S449&amp;AS[[#This Row],[Sex Code]]</f>
        <v xml:space="preserve">Insurer Code ; Reporting Year ; Insurance Category Code ; Large Provider Entity Code ; Age Band Code ; Sex Code </v>
      </c>
      <c r="N449" s="297" t="s">
        <v>197</v>
      </c>
      <c r="O449" s="297" t="s">
        <v>198</v>
      </c>
      <c r="P449" s="297" t="s">
        <v>199</v>
      </c>
      <c r="Q449" s="297" t="s">
        <v>200</v>
      </c>
      <c r="R449" s="297" t="s">
        <v>213</v>
      </c>
      <c r="S449" s="297" t="s">
        <v>214</v>
      </c>
    </row>
    <row r="450" spans="1:19" x14ac:dyDescent="0.4">
      <c r="A450" s="291"/>
      <c r="B450" s="292"/>
      <c r="C450" s="312"/>
      <c r="D450" s="292"/>
      <c r="E450" s="489"/>
      <c r="F450" s="489"/>
      <c r="G450" s="490"/>
      <c r="H450" s="520"/>
      <c r="I450" s="523"/>
      <c r="J450" s="521"/>
      <c r="K450" s="522"/>
      <c r="M450" s="301" t="str">
        <f>N450&amp;AS[[#This Row],[Insurer Code]]&amp;"; "&amp;O450&amp;AS[[#This Row],[Reporting Year]]&amp;"; "&amp;P450&amp;AS[[#This Row],[Insurance Category Code]]&amp;"; "&amp;Q450&amp;AS[[#This Row],[Large Provider Entity Code]]&amp;"; "&amp;R450&amp;AS[[#This Row],[Age Band Code]]&amp;"; "&amp;S450&amp;AS[[#This Row],[Sex Code]]</f>
        <v xml:space="preserve">Insurer Code ; Reporting Year ; Insurance Category Code ; Large Provider Entity Code ; Age Band Code ; Sex Code </v>
      </c>
      <c r="N450" s="297" t="s">
        <v>197</v>
      </c>
      <c r="O450" s="297" t="s">
        <v>198</v>
      </c>
      <c r="P450" s="297" t="s">
        <v>199</v>
      </c>
      <c r="Q450" s="297" t="s">
        <v>200</v>
      </c>
      <c r="R450" s="297" t="s">
        <v>213</v>
      </c>
      <c r="S450" s="297" t="s">
        <v>214</v>
      </c>
    </row>
    <row r="451" spans="1:19" x14ac:dyDescent="0.4">
      <c r="A451" s="291"/>
      <c r="B451" s="292"/>
      <c r="C451" s="312"/>
      <c r="D451" s="292"/>
      <c r="E451" s="489"/>
      <c r="F451" s="489"/>
      <c r="G451" s="490"/>
      <c r="H451" s="520"/>
      <c r="I451" s="523"/>
      <c r="J451" s="521"/>
      <c r="K451" s="522"/>
      <c r="M451" s="301" t="str">
        <f>N451&amp;AS[[#This Row],[Insurer Code]]&amp;"; "&amp;O451&amp;AS[[#This Row],[Reporting Year]]&amp;"; "&amp;P451&amp;AS[[#This Row],[Insurance Category Code]]&amp;"; "&amp;Q451&amp;AS[[#This Row],[Large Provider Entity Code]]&amp;"; "&amp;R451&amp;AS[[#This Row],[Age Band Code]]&amp;"; "&amp;S451&amp;AS[[#This Row],[Sex Code]]</f>
        <v xml:space="preserve">Insurer Code ; Reporting Year ; Insurance Category Code ; Large Provider Entity Code ; Age Band Code ; Sex Code </v>
      </c>
      <c r="N451" s="297" t="s">
        <v>197</v>
      </c>
      <c r="O451" s="297" t="s">
        <v>198</v>
      </c>
      <c r="P451" s="297" t="s">
        <v>199</v>
      </c>
      <c r="Q451" s="297" t="s">
        <v>200</v>
      </c>
      <c r="R451" s="297" t="s">
        <v>213</v>
      </c>
      <c r="S451" s="297" t="s">
        <v>214</v>
      </c>
    </row>
    <row r="452" spans="1:19" x14ac:dyDescent="0.4">
      <c r="A452" s="291"/>
      <c r="B452" s="292"/>
      <c r="C452" s="312"/>
      <c r="D452" s="292"/>
      <c r="E452" s="489"/>
      <c r="F452" s="489"/>
      <c r="G452" s="490"/>
      <c r="H452" s="520"/>
      <c r="I452" s="523"/>
      <c r="J452" s="521"/>
      <c r="K452" s="522"/>
      <c r="M452" s="301" t="str">
        <f>N452&amp;AS[[#This Row],[Insurer Code]]&amp;"; "&amp;O452&amp;AS[[#This Row],[Reporting Year]]&amp;"; "&amp;P452&amp;AS[[#This Row],[Insurance Category Code]]&amp;"; "&amp;Q452&amp;AS[[#This Row],[Large Provider Entity Code]]&amp;"; "&amp;R452&amp;AS[[#This Row],[Age Band Code]]&amp;"; "&amp;S452&amp;AS[[#This Row],[Sex Code]]</f>
        <v xml:space="preserve">Insurer Code ; Reporting Year ; Insurance Category Code ; Large Provider Entity Code ; Age Band Code ; Sex Code </v>
      </c>
      <c r="N452" s="297" t="s">
        <v>197</v>
      </c>
      <c r="O452" s="297" t="s">
        <v>198</v>
      </c>
      <c r="P452" s="297" t="s">
        <v>199</v>
      </c>
      <c r="Q452" s="297" t="s">
        <v>200</v>
      </c>
      <c r="R452" s="297" t="s">
        <v>213</v>
      </c>
      <c r="S452" s="297" t="s">
        <v>214</v>
      </c>
    </row>
    <row r="453" spans="1:19" x14ac:dyDescent="0.4">
      <c r="A453" s="291"/>
      <c r="B453" s="292"/>
      <c r="C453" s="312"/>
      <c r="D453" s="292"/>
      <c r="E453" s="489"/>
      <c r="F453" s="489"/>
      <c r="G453" s="490"/>
      <c r="H453" s="520"/>
      <c r="I453" s="523"/>
      <c r="J453" s="521"/>
      <c r="K453" s="522"/>
      <c r="M453" s="301" t="str">
        <f>N453&amp;AS[[#This Row],[Insurer Code]]&amp;"; "&amp;O453&amp;AS[[#This Row],[Reporting Year]]&amp;"; "&amp;P453&amp;AS[[#This Row],[Insurance Category Code]]&amp;"; "&amp;Q453&amp;AS[[#This Row],[Large Provider Entity Code]]&amp;"; "&amp;R453&amp;AS[[#This Row],[Age Band Code]]&amp;"; "&amp;S453&amp;AS[[#This Row],[Sex Code]]</f>
        <v xml:space="preserve">Insurer Code ; Reporting Year ; Insurance Category Code ; Large Provider Entity Code ; Age Band Code ; Sex Code </v>
      </c>
      <c r="N453" s="297" t="s">
        <v>197</v>
      </c>
      <c r="O453" s="297" t="s">
        <v>198</v>
      </c>
      <c r="P453" s="297" t="s">
        <v>199</v>
      </c>
      <c r="Q453" s="297" t="s">
        <v>200</v>
      </c>
      <c r="R453" s="297" t="s">
        <v>213</v>
      </c>
      <c r="S453" s="297" t="s">
        <v>214</v>
      </c>
    </row>
    <row r="454" spans="1:19" x14ac:dyDescent="0.4">
      <c r="A454" s="291"/>
      <c r="B454" s="292"/>
      <c r="C454" s="312"/>
      <c r="D454" s="292"/>
      <c r="E454" s="489"/>
      <c r="F454" s="489"/>
      <c r="G454" s="490"/>
      <c r="H454" s="520"/>
      <c r="I454" s="523"/>
      <c r="J454" s="521"/>
      <c r="K454" s="522"/>
      <c r="M454" s="301" t="str">
        <f>N454&amp;AS[[#This Row],[Insurer Code]]&amp;"; "&amp;O454&amp;AS[[#This Row],[Reporting Year]]&amp;"; "&amp;P454&amp;AS[[#This Row],[Insurance Category Code]]&amp;"; "&amp;Q454&amp;AS[[#This Row],[Large Provider Entity Code]]&amp;"; "&amp;R454&amp;AS[[#This Row],[Age Band Code]]&amp;"; "&amp;S454&amp;AS[[#This Row],[Sex Code]]</f>
        <v xml:space="preserve">Insurer Code ; Reporting Year ; Insurance Category Code ; Large Provider Entity Code ; Age Band Code ; Sex Code </v>
      </c>
      <c r="N454" s="297" t="s">
        <v>197</v>
      </c>
      <c r="O454" s="297" t="s">
        <v>198</v>
      </c>
      <c r="P454" s="297" t="s">
        <v>199</v>
      </c>
      <c r="Q454" s="297" t="s">
        <v>200</v>
      </c>
      <c r="R454" s="297" t="s">
        <v>213</v>
      </c>
      <c r="S454" s="297" t="s">
        <v>214</v>
      </c>
    </row>
    <row r="455" spans="1:19" x14ac:dyDescent="0.4">
      <c r="A455" s="291"/>
      <c r="B455" s="292"/>
      <c r="C455" s="312"/>
      <c r="D455" s="292"/>
      <c r="E455" s="489"/>
      <c r="F455" s="489"/>
      <c r="G455" s="490"/>
      <c r="H455" s="520"/>
      <c r="I455" s="523"/>
      <c r="J455" s="521"/>
      <c r="K455" s="522"/>
      <c r="M455" s="301" t="str">
        <f>N455&amp;AS[[#This Row],[Insurer Code]]&amp;"; "&amp;O455&amp;AS[[#This Row],[Reporting Year]]&amp;"; "&amp;P455&amp;AS[[#This Row],[Insurance Category Code]]&amp;"; "&amp;Q455&amp;AS[[#This Row],[Large Provider Entity Code]]&amp;"; "&amp;R455&amp;AS[[#This Row],[Age Band Code]]&amp;"; "&amp;S455&amp;AS[[#This Row],[Sex Code]]</f>
        <v xml:space="preserve">Insurer Code ; Reporting Year ; Insurance Category Code ; Large Provider Entity Code ; Age Band Code ; Sex Code </v>
      </c>
      <c r="N455" s="297" t="s">
        <v>197</v>
      </c>
      <c r="O455" s="297" t="s">
        <v>198</v>
      </c>
      <c r="P455" s="297" t="s">
        <v>199</v>
      </c>
      <c r="Q455" s="297" t="s">
        <v>200</v>
      </c>
      <c r="R455" s="297" t="s">
        <v>213</v>
      </c>
      <c r="S455" s="297" t="s">
        <v>214</v>
      </c>
    </row>
    <row r="456" spans="1:19" x14ac:dyDescent="0.4">
      <c r="A456" s="291"/>
      <c r="B456" s="292"/>
      <c r="C456" s="312"/>
      <c r="D456" s="292"/>
      <c r="E456" s="489"/>
      <c r="F456" s="489"/>
      <c r="G456" s="490"/>
      <c r="H456" s="520"/>
      <c r="I456" s="523"/>
      <c r="J456" s="521"/>
      <c r="K456" s="522"/>
      <c r="M456" s="301" t="str">
        <f>N456&amp;AS[[#This Row],[Insurer Code]]&amp;"; "&amp;O456&amp;AS[[#This Row],[Reporting Year]]&amp;"; "&amp;P456&amp;AS[[#This Row],[Insurance Category Code]]&amp;"; "&amp;Q456&amp;AS[[#This Row],[Large Provider Entity Code]]&amp;"; "&amp;R456&amp;AS[[#This Row],[Age Band Code]]&amp;"; "&amp;S456&amp;AS[[#This Row],[Sex Code]]</f>
        <v xml:space="preserve">Insurer Code ; Reporting Year ; Insurance Category Code ; Large Provider Entity Code ; Age Band Code ; Sex Code </v>
      </c>
      <c r="N456" s="297" t="s">
        <v>197</v>
      </c>
      <c r="O456" s="297" t="s">
        <v>198</v>
      </c>
      <c r="P456" s="297" t="s">
        <v>199</v>
      </c>
      <c r="Q456" s="297" t="s">
        <v>200</v>
      </c>
      <c r="R456" s="297" t="s">
        <v>213</v>
      </c>
      <c r="S456" s="297" t="s">
        <v>214</v>
      </c>
    </row>
    <row r="457" spans="1:19" x14ac:dyDescent="0.4">
      <c r="A457" s="291"/>
      <c r="B457" s="292"/>
      <c r="C457" s="312"/>
      <c r="D457" s="292"/>
      <c r="E457" s="489"/>
      <c r="F457" s="489"/>
      <c r="G457" s="490"/>
      <c r="H457" s="520"/>
      <c r="I457" s="523"/>
      <c r="J457" s="521"/>
      <c r="K457" s="522"/>
      <c r="M457" s="301" t="str">
        <f>N457&amp;AS[[#This Row],[Insurer Code]]&amp;"; "&amp;O457&amp;AS[[#This Row],[Reporting Year]]&amp;"; "&amp;P457&amp;AS[[#This Row],[Insurance Category Code]]&amp;"; "&amp;Q457&amp;AS[[#This Row],[Large Provider Entity Code]]&amp;"; "&amp;R457&amp;AS[[#This Row],[Age Band Code]]&amp;"; "&amp;S457&amp;AS[[#This Row],[Sex Code]]</f>
        <v xml:space="preserve">Insurer Code ; Reporting Year ; Insurance Category Code ; Large Provider Entity Code ; Age Band Code ; Sex Code </v>
      </c>
      <c r="N457" s="297" t="s">
        <v>197</v>
      </c>
      <c r="O457" s="297" t="s">
        <v>198</v>
      </c>
      <c r="P457" s="297" t="s">
        <v>199</v>
      </c>
      <c r="Q457" s="297" t="s">
        <v>200</v>
      </c>
      <c r="R457" s="297" t="s">
        <v>213</v>
      </c>
      <c r="S457" s="297" t="s">
        <v>214</v>
      </c>
    </row>
    <row r="458" spans="1:19" x14ac:dyDescent="0.4">
      <c r="A458" s="291"/>
      <c r="B458" s="292"/>
      <c r="C458" s="312"/>
      <c r="D458" s="292"/>
      <c r="E458" s="489"/>
      <c r="F458" s="489"/>
      <c r="G458" s="490"/>
      <c r="H458" s="520"/>
      <c r="I458" s="523"/>
      <c r="J458" s="521"/>
      <c r="K458" s="522"/>
      <c r="M458" s="301" t="str">
        <f>N458&amp;AS[[#This Row],[Insurer Code]]&amp;"; "&amp;O458&amp;AS[[#This Row],[Reporting Year]]&amp;"; "&amp;P458&amp;AS[[#This Row],[Insurance Category Code]]&amp;"; "&amp;Q458&amp;AS[[#This Row],[Large Provider Entity Code]]&amp;"; "&amp;R458&amp;AS[[#This Row],[Age Band Code]]&amp;"; "&amp;S458&amp;AS[[#This Row],[Sex Code]]</f>
        <v xml:space="preserve">Insurer Code ; Reporting Year ; Insurance Category Code ; Large Provider Entity Code ; Age Band Code ; Sex Code </v>
      </c>
      <c r="N458" s="297" t="s">
        <v>197</v>
      </c>
      <c r="O458" s="297" t="s">
        <v>198</v>
      </c>
      <c r="P458" s="297" t="s">
        <v>199</v>
      </c>
      <c r="Q458" s="297" t="s">
        <v>200</v>
      </c>
      <c r="R458" s="297" t="s">
        <v>213</v>
      </c>
      <c r="S458" s="297" t="s">
        <v>214</v>
      </c>
    </row>
    <row r="459" spans="1:19" x14ac:dyDescent="0.4">
      <c r="A459" s="291"/>
      <c r="B459" s="292"/>
      <c r="C459" s="312"/>
      <c r="D459" s="292"/>
      <c r="E459" s="489"/>
      <c r="F459" s="489"/>
      <c r="G459" s="490"/>
      <c r="H459" s="520"/>
      <c r="I459" s="523"/>
      <c r="J459" s="521"/>
      <c r="K459" s="522"/>
      <c r="M459" s="301" t="str">
        <f>N459&amp;AS[[#This Row],[Insurer Code]]&amp;"; "&amp;O459&amp;AS[[#This Row],[Reporting Year]]&amp;"; "&amp;P459&amp;AS[[#This Row],[Insurance Category Code]]&amp;"; "&amp;Q459&amp;AS[[#This Row],[Large Provider Entity Code]]&amp;"; "&amp;R459&amp;AS[[#This Row],[Age Band Code]]&amp;"; "&amp;S459&amp;AS[[#This Row],[Sex Code]]</f>
        <v xml:space="preserve">Insurer Code ; Reporting Year ; Insurance Category Code ; Large Provider Entity Code ; Age Band Code ; Sex Code </v>
      </c>
      <c r="N459" s="297" t="s">
        <v>197</v>
      </c>
      <c r="O459" s="297" t="s">
        <v>198</v>
      </c>
      <c r="P459" s="297" t="s">
        <v>199</v>
      </c>
      <c r="Q459" s="297" t="s">
        <v>200</v>
      </c>
      <c r="R459" s="297" t="s">
        <v>213</v>
      </c>
      <c r="S459" s="297" t="s">
        <v>214</v>
      </c>
    </row>
    <row r="460" spans="1:19" x14ac:dyDescent="0.4">
      <c r="A460" s="291"/>
      <c r="B460" s="292"/>
      <c r="C460" s="312"/>
      <c r="D460" s="292"/>
      <c r="E460" s="489"/>
      <c r="F460" s="489"/>
      <c r="G460" s="490"/>
      <c r="H460" s="520"/>
      <c r="I460" s="523"/>
      <c r="J460" s="521"/>
      <c r="K460" s="522"/>
      <c r="M460" s="301" t="str">
        <f>N460&amp;AS[[#This Row],[Insurer Code]]&amp;"; "&amp;O460&amp;AS[[#This Row],[Reporting Year]]&amp;"; "&amp;P460&amp;AS[[#This Row],[Insurance Category Code]]&amp;"; "&amp;Q460&amp;AS[[#This Row],[Large Provider Entity Code]]&amp;"; "&amp;R460&amp;AS[[#This Row],[Age Band Code]]&amp;"; "&amp;S460&amp;AS[[#This Row],[Sex Code]]</f>
        <v xml:space="preserve">Insurer Code ; Reporting Year ; Insurance Category Code ; Large Provider Entity Code ; Age Band Code ; Sex Code </v>
      </c>
      <c r="N460" s="297" t="s">
        <v>197</v>
      </c>
      <c r="O460" s="297" t="s">
        <v>198</v>
      </c>
      <c r="P460" s="297" t="s">
        <v>199</v>
      </c>
      <c r="Q460" s="297" t="s">
        <v>200</v>
      </c>
      <c r="R460" s="297" t="s">
        <v>213</v>
      </c>
      <c r="S460" s="297" t="s">
        <v>214</v>
      </c>
    </row>
    <row r="461" spans="1:19" x14ac:dyDescent="0.4">
      <c r="A461" s="291"/>
      <c r="B461" s="292"/>
      <c r="C461" s="312"/>
      <c r="D461" s="292"/>
      <c r="E461" s="489"/>
      <c r="F461" s="489"/>
      <c r="G461" s="490"/>
      <c r="H461" s="520"/>
      <c r="I461" s="523"/>
      <c r="J461" s="521"/>
      <c r="K461" s="522"/>
      <c r="M461" s="301" t="str">
        <f>N461&amp;AS[[#This Row],[Insurer Code]]&amp;"; "&amp;O461&amp;AS[[#This Row],[Reporting Year]]&amp;"; "&amp;P461&amp;AS[[#This Row],[Insurance Category Code]]&amp;"; "&amp;Q461&amp;AS[[#This Row],[Large Provider Entity Code]]&amp;"; "&amp;R461&amp;AS[[#This Row],[Age Band Code]]&amp;"; "&amp;S461&amp;AS[[#This Row],[Sex Code]]</f>
        <v xml:space="preserve">Insurer Code ; Reporting Year ; Insurance Category Code ; Large Provider Entity Code ; Age Band Code ; Sex Code </v>
      </c>
      <c r="N461" s="297" t="s">
        <v>197</v>
      </c>
      <c r="O461" s="297" t="s">
        <v>198</v>
      </c>
      <c r="P461" s="297" t="s">
        <v>199</v>
      </c>
      <c r="Q461" s="297" t="s">
        <v>200</v>
      </c>
      <c r="R461" s="297" t="s">
        <v>213</v>
      </c>
      <c r="S461" s="297" t="s">
        <v>214</v>
      </c>
    </row>
    <row r="462" spans="1:19" x14ac:dyDescent="0.4">
      <c r="A462" s="291"/>
      <c r="B462" s="292"/>
      <c r="C462" s="312"/>
      <c r="D462" s="292"/>
      <c r="E462" s="489"/>
      <c r="F462" s="489"/>
      <c r="G462" s="490"/>
      <c r="H462" s="520"/>
      <c r="I462" s="523"/>
      <c r="J462" s="521"/>
      <c r="K462" s="522"/>
      <c r="M462" s="301" t="str">
        <f>N462&amp;AS[[#This Row],[Insurer Code]]&amp;"; "&amp;O462&amp;AS[[#This Row],[Reporting Year]]&amp;"; "&amp;P462&amp;AS[[#This Row],[Insurance Category Code]]&amp;"; "&amp;Q462&amp;AS[[#This Row],[Large Provider Entity Code]]&amp;"; "&amp;R462&amp;AS[[#This Row],[Age Band Code]]&amp;"; "&amp;S462&amp;AS[[#This Row],[Sex Code]]</f>
        <v xml:space="preserve">Insurer Code ; Reporting Year ; Insurance Category Code ; Large Provider Entity Code ; Age Band Code ; Sex Code </v>
      </c>
      <c r="N462" s="297" t="s">
        <v>197</v>
      </c>
      <c r="O462" s="297" t="s">
        <v>198</v>
      </c>
      <c r="P462" s="297" t="s">
        <v>199</v>
      </c>
      <c r="Q462" s="297" t="s">
        <v>200</v>
      </c>
      <c r="R462" s="297" t="s">
        <v>213</v>
      </c>
      <c r="S462" s="297" t="s">
        <v>214</v>
      </c>
    </row>
    <row r="463" spans="1:19" x14ac:dyDescent="0.4">
      <c r="A463" s="291"/>
      <c r="B463" s="292"/>
      <c r="C463" s="312"/>
      <c r="D463" s="292"/>
      <c r="E463" s="489"/>
      <c r="F463" s="489"/>
      <c r="G463" s="490"/>
      <c r="H463" s="520"/>
      <c r="I463" s="523"/>
      <c r="J463" s="521"/>
      <c r="K463" s="522"/>
      <c r="M463" s="301" t="str">
        <f>N463&amp;AS[[#This Row],[Insurer Code]]&amp;"; "&amp;O463&amp;AS[[#This Row],[Reporting Year]]&amp;"; "&amp;P463&amp;AS[[#This Row],[Insurance Category Code]]&amp;"; "&amp;Q463&amp;AS[[#This Row],[Large Provider Entity Code]]&amp;"; "&amp;R463&amp;AS[[#This Row],[Age Band Code]]&amp;"; "&amp;S463&amp;AS[[#This Row],[Sex Code]]</f>
        <v xml:space="preserve">Insurer Code ; Reporting Year ; Insurance Category Code ; Large Provider Entity Code ; Age Band Code ; Sex Code </v>
      </c>
      <c r="N463" s="297" t="s">
        <v>197</v>
      </c>
      <c r="O463" s="297" t="s">
        <v>198</v>
      </c>
      <c r="P463" s="297" t="s">
        <v>199</v>
      </c>
      <c r="Q463" s="297" t="s">
        <v>200</v>
      </c>
      <c r="R463" s="297" t="s">
        <v>213</v>
      </c>
      <c r="S463" s="297" t="s">
        <v>214</v>
      </c>
    </row>
    <row r="464" spans="1:19" x14ac:dyDescent="0.4">
      <c r="A464" s="291"/>
      <c r="B464" s="292"/>
      <c r="C464" s="312"/>
      <c r="D464" s="292"/>
      <c r="E464" s="489"/>
      <c r="F464" s="489"/>
      <c r="G464" s="490"/>
      <c r="H464" s="520"/>
      <c r="I464" s="523"/>
      <c r="J464" s="521"/>
      <c r="K464" s="522"/>
      <c r="M464" s="301" t="str">
        <f>N464&amp;AS[[#This Row],[Insurer Code]]&amp;"; "&amp;O464&amp;AS[[#This Row],[Reporting Year]]&amp;"; "&amp;P464&amp;AS[[#This Row],[Insurance Category Code]]&amp;"; "&amp;Q464&amp;AS[[#This Row],[Large Provider Entity Code]]&amp;"; "&amp;R464&amp;AS[[#This Row],[Age Band Code]]&amp;"; "&amp;S464&amp;AS[[#This Row],[Sex Code]]</f>
        <v xml:space="preserve">Insurer Code ; Reporting Year ; Insurance Category Code ; Large Provider Entity Code ; Age Band Code ; Sex Code </v>
      </c>
      <c r="N464" s="297" t="s">
        <v>197</v>
      </c>
      <c r="O464" s="297" t="s">
        <v>198</v>
      </c>
      <c r="P464" s="297" t="s">
        <v>199</v>
      </c>
      <c r="Q464" s="297" t="s">
        <v>200</v>
      </c>
      <c r="R464" s="297" t="s">
        <v>213</v>
      </c>
      <c r="S464" s="297" t="s">
        <v>214</v>
      </c>
    </row>
    <row r="465" spans="1:19" x14ac:dyDescent="0.4">
      <c r="A465" s="291"/>
      <c r="B465" s="292"/>
      <c r="C465" s="312"/>
      <c r="D465" s="292"/>
      <c r="E465" s="489"/>
      <c r="F465" s="489"/>
      <c r="G465" s="490"/>
      <c r="H465" s="520"/>
      <c r="I465" s="523"/>
      <c r="J465" s="521"/>
      <c r="K465" s="522"/>
      <c r="M465" s="301" t="str">
        <f>N465&amp;AS[[#This Row],[Insurer Code]]&amp;"; "&amp;O465&amp;AS[[#This Row],[Reporting Year]]&amp;"; "&amp;P465&amp;AS[[#This Row],[Insurance Category Code]]&amp;"; "&amp;Q465&amp;AS[[#This Row],[Large Provider Entity Code]]&amp;"; "&amp;R465&amp;AS[[#This Row],[Age Band Code]]&amp;"; "&amp;S465&amp;AS[[#This Row],[Sex Code]]</f>
        <v xml:space="preserve">Insurer Code ; Reporting Year ; Insurance Category Code ; Large Provider Entity Code ; Age Band Code ; Sex Code </v>
      </c>
      <c r="N465" s="297" t="s">
        <v>197</v>
      </c>
      <c r="O465" s="297" t="s">
        <v>198</v>
      </c>
      <c r="P465" s="297" t="s">
        <v>199</v>
      </c>
      <c r="Q465" s="297" t="s">
        <v>200</v>
      </c>
      <c r="R465" s="297" t="s">
        <v>213</v>
      </c>
      <c r="S465" s="297" t="s">
        <v>214</v>
      </c>
    </row>
    <row r="466" spans="1:19" x14ac:dyDescent="0.4">
      <c r="A466" s="291"/>
      <c r="B466" s="292"/>
      <c r="C466" s="312"/>
      <c r="D466" s="292"/>
      <c r="E466" s="489"/>
      <c r="F466" s="489"/>
      <c r="G466" s="490"/>
      <c r="H466" s="520"/>
      <c r="I466" s="523"/>
      <c r="J466" s="521"/>
      <c r="K466" s="522"/>
      <c r="M466" s="301" t="str">
        <f>N466&amp;AS[[#This Row],[Insurer Code]]&amp;"; "&amp;O466&amp;AS[[#This Row],[Reporting Year]]&amp;"; "&amp;P466&amp;AS[[#This Row],[Insurance Category Code]]&amp;"; "&amp;Q466&amp;AS[[#This Row],[Large Provider Entity Code]]&amp;"; "&amp;R466&amp;AS[[#This Row],[Age Band Code]]&amp;"; "&amp;S466&amp;AS[[#This Row],[Sex Code]]</f>
        <v xml:space="preserve">Insurer Code ; Reporting Year ; Insurance Category Code ; Large Provider Entity Code ; Age Band Code ; Sex Code </v>
      </c>
      <c r="N466" s="297" t="s">
        <v>197</v>
      </c>
      <c r="O466" s="297" t="s">
        <v>198</v>
      </c>
      <c r="P466" s="297" t="s">
        <v>199</v>
      </c>
      <c r="Q466" s="297" t="s">
        <v>200</v>
      </c>
      <c r="R466" s="297" t="s">
        <v>213</v>
      </c>
      <c r="S466" s="297" t="s">
        <v>214</v>
      </c>
    </row>
    <row r="467" spans="1:19" x14ac:dyDescent="0.4">
      <c r="A467" s="291"/>
      <c r="B467" s="292"/>
      <c r="C467" s="312"/>
      <c r="D467" s="292"/>
      <c r="E467" s="489"/>
      <c r="F467" s="489"/>
      <c r="G467" s="490"/>
      <c r="H467" s="520"/>
      <c r="I467" s="523"/>
      <c r="J467" s="521"/>
      <c r="K467" s="522"/>
      <c r="M467" s="301" t="str">
        <f>N467&amp;AS[[#This Row],[Insurer Code]]&amp;"; "&amp;O467&amp;AS[[#This Row],[Reporting Year]]&amp;"; "&amp;P467&amp;AS[[#This Row],[Insurance Category Code]]&amp;"; "&amp;Q467&amp;AS[[#This Row],[Large Provider Entity Code]]&amp;"; "&amp;R467&amp;AS[[#This Row],[Age Band Code]]&amp;"; "&amp;S467&amp;AS[[#This Row],[Sex Code]]</f>
        <v xml:space="preserve">Insurer Code ; Reporting Year ; Insurance Category Code ; Large Provider Entity Code ; Age Band Code ; Sex Code </v>
      </c>
      <c r="N467" s="297" t="s">
        <v>197</v>
      </c>
      <c r="O467" s="297" t="s">
        <v>198</v>
      </c>
      <c r="P467" s="297" t="s">
        <v>199</v>
      </c>
      <c r="Q467" s="297" t="s">
        <v>200</v>
      </c>
      <c r="R467" s="297" t="s">
        <v>213</v>
      </c>
      <c r="S467" s="297" t="s">
        <v>214</v>
      </c>
    </row>
    <row r="468" spans="1:19" x14ac:dyDescent="0.4">
      <c r="A468" s="291"/>
      <c r="B468" s="292"/>
      <c r="C468" s="312"/>
      <c r="D468" s="292"/>
      <c r="E468" s="489"/>
      <c r="F468" s="489"/>
      <c r="G468" s="490"/>
      <c r="H468" s="520"/>
      <c r="I468" s="523"/>
      <c r="J468" s="521"/>
      <c r="K468" s="522"/>
      <c r="M468" s="301" t="str">
        <f>N468&amp;AS[[#This Row],[Insurer Code]]&amp;"; "&amp;O468&amp;AS[[#This Row],[Reporting Year]]&amp;"; "&amp;P468&amp;AS[[#This Row],[Insurance Category Code]]&amp;"; "&amp;Q468&amp;AS[[#This Row],[Large Provider Entity Code]]&amp;"; "&amp;R468&amp;AS[[#This Row],[Age Band Code]]&amp;"; "&amp;S468&amp;AS[[#This Row],[Sex Code]]</f>
        <v xml:space="preserve">Insurer Code ; Reporting Year ; Insurance Category Code ; Large Provider Entity Code ; Age Band Code ; Sex Code </v>
      </c>
      <c r="N468" s="297" t="s">
        <v>197</v>
      </c>
      <c r="O468" s="297" t="s">
        <v>198</v>
      </c>
      <c r="P468" s="297" t="s">
        <v>199</v>
      </c>
      <c r="Q468" s="297" t="s">
        <v>200</v>
      </c>
      <c r="R468" s="297" t="s">
        <v>213</v>
      </c>
      <c r="S468" s="297" t="s">
        <v>214</v>
      </c>
    </row>
    <row r="469" spans="1:19" x14ac:dyDescent="0.4">
      <c r="A469" s="291"/>
      <c r="B469" s="292"/>
      <c r="C469" s="312"/>
      <c r="D469" s="292"/>
      <c r="E469" s="489"/>
      <c r="F469" s="489"/>
      <c r="G469" s="490"/>
      <c r="H469" s="520"/>
      <c r="I469" s="523"/>
      <c r="J469" s="521"/>
      <c r="K469" s="522"/>
      <c r="M469" s="301" t="str">
        <f>N469&amp;AS[[#This Row],[Insurer Code]]&amp;"; "&amp;O469&amp;AS[[#This Row],[Reporting Year]]&amp;"; "&amp;P469&amp;AS[[#This Row],[Insurance Category Code]]&amp;"; "&amp;Q469&amp;AS[[#This Row],[Large Provider Entity Code]]&amp;"; "&amp;R469&amp;AS[[#This Row],[Age Band Code]]&amp;"; "&amp;S469&amp;AS[[#This Row],[Sex Code]]</f>
        <v xml:space="preserve">Insurer Code ; Reporting Year ; Insurance Category Code ; Large Provider Entity Code ; Age Band Code ; Sex Code </v>
      </c>
      <c r="N469" s="297" t="s">
        <v>197</v>
      </c>
      <c r="O469" s="297" t="s">
        <v>198</v>
      </c>
      <c r="P469" s="297" t="s">
        <v>199</v>
      </c>
      <c r="Q469" s="297" t="s">
        <v>200</v>
      </c>
      <c r="R469" s="297" t="s">
        <v>213</v>
      </c>
      <c r="S469" s="297" t="s">
        <v>214</v>
      </c>
    </row>
    <row r="470" spans="1:19" x14ac:dyDescent="0.4">
      <c r="A470" s="291"/>
      <c r="B470" s="292"/>
      <c r="C470" s="312"/>
      <c r="D470" s="292"/>
      <c r="E470" s="489"/>
      <c r="F470" s="489"/>
      <c r="G470" s="490"/>
      <c r="H470" s="520"/>
      <c r="I470" s="523"/>
      <c r="J470" s="521"/>
      <c r="K470" s="522"/>
      <c r="M470" s="301" t="str">
        <f>N470&amp;AS[[#This Row],[Insurer Code]]&amp;"; "&amp;O470&amp;AS[[#This Row],[Reporting Year]]&amp;"; "&amp;P470&amp;AS[[#This Row],[Insurance Category Code]]&amp;"; "&amp;Q470&amp;AS[[#This Row],[Large Provider Entity Code]]&amp;"; "&amp;R470&amp;AS[[#This Row],[Age Band Code]]&amp;"; "&amp;S470&amp;AS[[#This Row],[Sex Code]]</f>
        <v xml:space="preserve">Insurer Code ; Reporting Year ; Insurance Category Code ; Large Provider Entity Code ; Age Band Code ; Sex Code </v>
      </c>
      <c r="N470" s="297" t="s">
        <v>197</v>
      </c>
      <c r="O470" s="297" t="s">
        <v>198</v>
      </c>
      <c r="P470" s="297" t="s">
        <v>199</v>
      </c>
      <c r="Q470" s="297" t="s">
        <v>200</v>
      </c>
      <c r="R470" s="297" t="s">
        <v>213</v>
      </c>
      <c r="S470" s="297" t="s">
        <v>214</v>
      </c>
    </row>
    <row r="471" spans="1:19" x14ac:dyDescent="0.4">
      <c r="A471" s="291"/>
      <c r="B471" s="292"/>
      <c r="C471" s="312"/>
      <c r="D471" s="292"/>
      <c r="E471" s="489"/>
      <c r="F471" s="489"/>
      <c r="G471" s="490"/>
      <c r="H471" s="520"/>
      <c r="I471" s="523"/>
      <c r="J471" s="521"/>
      <c r="K471" s="522"/>
      <c r="M471" s="301" t="str">
        <f>N471&amp;AS[[#This Row],[Insurer Code]]&amp;"; "&amp;O471&amp;AS[[#This Row],[Reporting Year]]&amp;"; "&amp;P471&amp;AS[[#This Row],[Insurance Category Code]]&amp;"; "&amp;Q471&amp;AS[[#This Row],[Large Provider Entity Code]]&amp;"; "&amp;R471&amp;AS[[#This Row],[Age Band Code]]&amp;"; "&amp;S471&amp;AS[[#This Row],[Sex Code]]</f>
        <v xml:space="preserve">Insurer Code ; Reporting Year ; Insurance Category Code ; Large Provider Entity Code ; Age Band Code ; Sex Code </v>
      </c>
      <c r="N471" s="297" t="s">
        <v>197</v>
      </c>
      <c r="O471" s="297" t="s">
        <v>198</v>
      </c>
      <c r="P471" s="297" t="s">
        <v>199</v>
      </c>
      <c r="Q471" s="297" t="s">
        <v>200</v>
      </c>
      <c r="R471" s="297" t="s">
        <v>213</v>
      </c>
      <c r="S471" s="297" t="s">
        <v>214</v>
      </c>
    </row>
    <row r="472" spans="1:19" x14ac:dyDescent="0.4">
      <c r="A472" s="291"/>
      <c r="B472" s="292"/>
      <c r="C472" s="312"/>
      <c r="D472" s="292"/>
      <c r="E472" s="489"/>
      <c r="F472" s="489"/>
      <c r="G472" s="490"/>
      <c r="H472" s="520"/>
      <c r="I472" s="523"/>
      <c r="J472" s="521"/>
      <c r="K472" s="522"/>
      <c r="M472" s="301" t="str">
        <f>N472&amp;AS[[#This Row],[Insurer Code]]&amp;"; "&amp;O472&amp;AS[[#This Row],[Reporting Year]]&amp;"; "&amp;P472&amp;AS[[#This Row],[Insurance Category Code]]&amp;"; "&amp;Q472&amp;AS[[#This Row],[Large Provider Entity Code]]&amp;"; "&amp;R472&amp;AS[[#This Row],[Age Band Code]]&amp;"; "&amp;S472&amp;AS[[#This Row],[Sex Code]]</f>
        <v xml:space="preserve">Insurer Code ; Reporting Year ; Insurance Category Code ; Large Provider Entity Code ; Age Band Code ; Sex Code </v>
      </c>
      <c r="N472" s="297" t="s">
        <v>197</v>
      </c>
      <c r="O472" s="297" t="s">
        <v>198</v>
      </c>
      <c r="P472" s="297" t="s">
        <v>199</v>
      </c>
      <c r="Q472" s="297" t="s">
        <v>200</v>
      </c>
      <c r="R472" s="297" t="s">
        <v>213</v>
      </c>
      <c r="S472" s="297" t="s">
        <v>214</v>
      </c>
    </row>
    <row r="473" spans="1:19" x14ac:dyDescent="0.4">
      <c r="A473" s="291"/>
      <c r="B473" s="292"/>
      <c r="C473" s="312"/>
      <c r="D473" s="292"/>
      <c r="E473" s="489"/>
      <c r="F473" s="489"/>
      <c r="G473" s="490"/>
      <c r="H473" s="520"/>
      <c r="I473" s="523"/>
      <c r="J473" s="521"/>
      <c r="K473" s="522"/>
      <c r="M473" s="301" t="str">
        <f>N473&amp;AS[[#This Row],[Insurer Code]]&amp;"; "&amp;O473&amp;AS[[#This Row],[Reporting Year]]&amp;"; "&amp;P473&amp;AS[[#This Row],[Insurance Category Code]]&amp;"; "&amp;Q473&amp;AS[[#This Row],[Large Provider Entity Code]]&amp;"; "&amp;R473&amp;AS[[#This Row],[Age Band Code]]&amp;"; "&amp;S473&amp;AS[[#This Row],[Sex Code]]</f>
        <v xml:space="preserve">Insurer Code ; Reporting Year ; Insurance Category Code ; Large Provider Entity Code ; Age Band Code ; Sex Code </v>
      </c>
      <c r="N473" s="297" t="s">
        <v>197</v>
      </c>
      <c r="O473" s="297" t="s">
        <v>198</v>
      </c>
      <c r="P473" s="297" t="s">
        <v>199</v>
      </c>
      <c r="Q473" s="297" t="s">
        <v>200</v>
      </c>
      <c r="R473" s="297" t="s">
        <v>213</v>
      </c>
      <c r="S473" s="297" t="s">
        <v>214</v>
      </c>
    </row>
    <row r="474" spans="1:19" x14ac:dyDescent="0.4">
      <c r="A474" s="291"/>
      <c r="B474" s="292"/>
      <c r="C474" s="312"/>
      <c r="D474" s="292"/>
      <c r="E474" s="489"/>
      <c r="F474" s="489"/>
      <c r="G474" s="490"/>
      <c r="H474" s="520"/>
      <c r="I474" s="523"/>
      <c r="J474" s="521"/>
      <c r="K474" s="522"/>
      <c r="M474" s="301" t="str">
        <f>N474&amp;AS[[#This Row],[Insurer Code]]&amp;"; "&amp;O474&amp;AS[[#This Row],[Reporting Year]]&amp;"; "&amp;P474&amp;AS[[#This Row],[Insurance Category Code]]&amp;"; "&amp;Q474&amp;AS[[#This Row],[Large Provider Entity Code]]&amp;"; "&amp;R474&amp;AS[[#This Row],[Age Band Code]]&amp;"; "&amp;S474&amp;AS[[#This Row],[Sex Code]]</f>
        <v xml:space="preserve">Insurer Code ; Reporting Year ; Insurance Category Code ; Large Provider Entity Code ; Age Band Code ; Sex Code </v>
      </c>
      <c r="N474" s="297" t="s">
        <v>197</v>
      </c>
      <c r="O474" s="297" t="s">
        <v>198</v>
      </c>
      <c r="P474" s="297" t="s">
        <v>199</v>
      </c>
      <c r="Q474" s="297" t="s">
        <v>200</v>
      </c>
      <c r="R474" s="297" t="s">
        <v>213</v>
      </c>
      <c r="S474" s="297" t="s">
        <v>214</v>
      </c>
    </row>
    <row r="475" spans="1:19" x14ac:dyDescent="0.4">
      <c r="A475" s="291"/>
      <c r="B475" s="292"/>
      <c r="C475" s="312"/>
      <c r="D475" s="292"/>
      <c r="E475" s="489"/>
      <c r="F475" s="489"/>
      <c r="G475" s="490"/>
      <c r="H475" s="520"/>
      <c r="I475" s="523"/>
      <c r="J475" s="521"/>
      <c r="K475" s="522"/>
      <c r="M475" s="301" t="str">
        <f>N475&amp;AS[[#This Row],[Insurer Code]]&amp;"; "&amp;O475&amp;AS[[#This Row],[Reporting Year]]&amp;"; "&amp;P475&amp;AS[[#This Row],[Insurance Category Code]]&amp;"; "&amp;Q475&amp;AS[[#This Row],[Large Provider Entity Code]]&amp;"; "&amp;R475&amp;AS[[#This Row],[Age Band Code]]&amp;"; "&amp;S475&amp;AS[[#This Row],[Sex Code]]</f>
        <v xml:space="preserve">Insurer Code ; Reporting Year ; Insurance Category Code ; Large Provider Entity Code ; Age Band Code ; Sex Code </v>
      </c>
      <c r="N475" s="297" t="s">
        <v>197</v>
      </c>
      <c r="O475" s="297" t="s">
        <v>198</v>
      </c>
      <c r="P475" s="297" t="s">
        <v>199</v>
      </c>
      <c r="Q475" s="297" t="s">
        <v>200</v>
      </c>
      <c r="R475" s="297" t="s">
        <v>213</v>
      </c>
      <c r="S475" s="297" t="s">
        <v>214</v>
      </c>
    </row>
    <row r="476" spans="1:19" x14ac:dyDescent="0.4">
      <c r="A476" s="291"/>
      <c r="B476" s="292"/>
      <c r="C476" s="312"/>
      <c r="D476" s="292"/>
      <c r="E476" s="489"/>
      <c r="F476" s="489"/>
      <c r="G476" s="490"/>
      <c r="H476" s="520"/>
      <c r="I476" s="523"/>
      <c r="J476" s="521"/>
      <c r="K476" s="522"/>
      <c r="M476" s="301" t="str">
        <f>N476&amp;AS[[#This Row],[Insurer Code]]&amp;"; "&amp;O476&amp;AS[[#This Row],[Reporting Year]]&amp;"; "&amp;P476&amp;AS[[#This Row],[Insurance Category Code]]&amp;"; "&amp;Q476&amp;AS[[#This Row],[Large Provider Entity Code]]&amp;"; "&amp;R476&amp;AS[[#This Row],[Age Band Code]]&amp;"; "&amp;S476&amp;AS[[#This Row],[Sex Code]]</f>
        <v xml:space="preserve">Insurer Code ; Reporting Year ; Insurance Category Code ; Large Provider Entity Code ; Age Band Code ; Sex Code </v>
      </c>
      <c r="N476" s="297" t="s">
        <v>197</v>
      </c>
      <c r="O476" s="297" t="s">
        <v>198</v>
      </c>
      <c r="P476" s="297" t="s">
        <v>199</v>
      </c>
      <c r="Q476" s="297" t="s">
        <v>200</v>
      </c>
      <c r="R476" s="297" t="s">
        <v>213</v>
      </c>
      <c r="S476" s="297" t="s">
        <v>214</v>
      </c>
    </row>
    <row r="477" spans="1:19" x14ac:dyDescent="0.4">
      <c r="A477" s="291"/>
      <c r="B477" s="292"/>
      <c r="C477" s="312"/>
      <c r="D477" s="292"/>
      <c r="E477" s="489"/>
      <c r="F477" s="489"/>
      <c r="G477" s="490"/>
      <c r="H477" s="520"/>
      <c r="I477" s="523"/>
      <c r="J477" s="521"/>
      <c r="K477" s="522"/>
      <c r="M477" s="301" t="str">
        <f>N477&amp;AS[[#This Row],[Insurer Code]]&amp;"; "&amp;O477&amp;AS[[#This Row],[Reporting Year]]&amp;"; "&amp;P477&amp;AS[[#This Row],[Insurance Category Code]]&amp;"; "&amp;Q477&amp;AS[[#This Row],[Large Provider Entity Code]]&amp;"; "&amp;R477&amp;AS[[#This Row],[Age Band Code]]&amp;"; "&amp;S477&amp;AS[[#This Row],[Sex Code]]</f>
        <v xml:space="preserve">Insurer Code ; Reporting Year ; Insurance Category Code ; Large Provider Entity Code ; Age Band Code ; Sex Code </v>
      </c>
      <c r="N477" s="297" t="s">
        <v>197</v>
      </c>
      <c r="O477" s="297" t="s">
        <v>198</v>
      </c>
      <c r="P477" s="297" t="s">
        <v>199</v>
      </c>
      <c r="Q477" s="297" t="s">
        <v>200</v>
      </c>
      <c r="R477" s="297" t="s">
        <v>213</v>
      </c>
      <c r="S477" s="297" t="s">
        <v>214</v>
      </c>
    </row>
    <row r="478" spans="1:19" x14ac:dyDescent="0.4">
      <c r="A478" s="291"/>
      <c r="B478" s="292"/>
      <c r="C478" s="312"/>
      <c r="D478" s="292"/>
      <c r="E478" s="489"/>
      <c r="F478" s="489"/>
      <c r="G478" s="490"/>
      <c r="H478" s="520"/>
      <c r="I478" s="523"/>
      <c r="J478" s="521"/>
      <c r="K478" s="522"/>
      <c r="M478" s="301" t="str">
        <f>N478&amp;AS[[#This Row],[Insurer Code]]&amp;"; "&amp;O478&amp;AS[[#This Row],[Reporting Year]]&amp;"; "&amp;P478&amp;AS[[#This Row],[Insurance Category Code]]&amp;"; "&amp;Q478&amp;AS[[#This Row],[Large Provider Entity Code]]&amp;"; "&amp;R478&amp;AS[[#This Row],[Age Band Code]]&amp;"; "&amp;S478&amp;AS[[#This Row],[Sex Code]]</f>
        <v xml:space="preserve">Insurer Code ; Reporting Year ; Insurance Category Code ; Large Provider Entity Code ; Age Band Code ; Sex Code </v>
      </c>
      <c r="N478" s="297" t="s">
        <v>197</v>
      </c>
      <c r="O478" s="297" t="s">
        <v>198</v>
      </c>
      <c r="P478" s="297" t="s">
        <v>199</v>
      </c>
      <c r="Q478" s="297" t="s">
        <v>200</v>
      </c>
      <c r="R478" s="297" t="s">
        <v>213</v>
      </c>
      <c r="S478" s="297" t="s">
        <v>214</v>
      </c>
    </row>
    <row r="479" spans="1:19" x14ac:dyDescent="0.4">
      <c r="A479" s="291"/>
      <c r="B479" s="292"/>
      <c r="C479" s="312"/>
      <c r="D479" s="292"/>
      <c r="E479" s="489"/>
      <c r="F479" s="489"/>
      <c r="G479" s="490"/>
      <c r="H479" s="520"/>
      <c r="I479" s="523"/>
      <c r="J479" s="521"/>
      <c r="K479" s="522"/>
      <c r="M479" s="301" t="str">
        <f>N479&amp;AS[[#This Row],[Insurer Code]]&amp;"; "&amp;O479&amp;AS[[#This Row],[Reporting Year]]&amp;"; "&amp;P479&amp;AS[[#This Row],[Insurance Category Code]]&amp;"; "&amp;Q479&amp;AS[[#This Row],[Large Provider Entity Code]]&amp;"; "&amp;R479&amp;AS[[#This Row],[Age Band Code]]&amp;"; "&amp;S479&amp;AS[[#This Row],[Sex Code]]</f>
        <v xml:space="preserve">Insurer Code ; Reporting Year ; Insurance Category Code ; Large Provider Entity Code ; Age Band Code ; Sex Code </v>
      </c>
      <c r="N479" s="297" t="s">
        <v>197</v>
      </c>
      <c r="O479" s="297" t="s">
        <v>198</v>
      </c>
      <c r="P479" s="297" t="s">
        <v>199</v>
      </c>
      <c r="Q479" s="297" t="s">
        <v>200</v>
      </c>
      <c r="R479" s="297" t="s">
        <v>213</v>
      </c>
      <c r="S479" s="297" t="s">
        <v>214</v>
      </c>
    </row>
    <row r="480" spans="1:19" x14ac:dyDescent="0.4">
      <c r="A480" s="291"/>
      <c r="B480" s="292"/>
      <c r="C480" s="312"/>
      <c r="D480" s="292"/>
      <c r="E480" s="489"/>
      <c r="F480" s="489"/>
      <c r="G480" s="490"/>
      <c r="H480" s="520"/>
      <c r="I480" s="523"/>
      <c r="J480" s="521"/>
      <c r="K480" s="522"/>
      <c r="M480" s="301" t="str">
        <f>N480&amp;AS[[#This Row],[Insurer Code]]&amp;"; "&amp;O480&amp;AS[[#This Row],[Reporting Year]]&amp;"; "&amp;P480&amp;AS[[#This Row],[Insurance Category Code]]&amp;"; "&amp;Q480&amp;AS[[#This Row],[Large Provider Entity Code]]&amp;"; "&amp;R480&amp;AS[[#This Row],[Age Band Code]]&amp;"; "&amp;S480&amp;AS[[#This Row],[Sex Code]]</f>
        <v xml:space="preserve">Insurer Code ; Reporting Year ; Insurance Category Code ; Large Provider Entity Code ; Age Band Code ; Sex Code </v>
      </c>
      <c r="N480" s="297" t="s">
        <v>197</v>
      </c>
      <c r="O480" s="297" t="s">
        <v>198</v>
      </c>
      <c r="P480" s="297" t="s">
        <v>199</v>
      </c>
      <c r="Q480" s="297" t="s">
        <v>200</v>
      </c>
      <c r="R480" s="297" t="s">
        <v>213</v>
      </c>
      <c r="S480" s="297" t="s">
        <v>214</v>
      </c>
    </row>
    <row r="481" spans="1:19" x14ac:dyDescent="0.4">
      <c r="A481" s="291"/>
      <c r="B481" s="292"/>
      <c r="C481" s="312"/>
      <c r="D481" s="292"/>
      <c r="E481" s="489"/>
      <c r="F481" s="489"/>
      <c r="G481" s="490"/>
      <c r="H481" s="520"/>
      <c r="I481" s="523"/>
      <c r="J481" s="521"/>
      <c r="K481" s="522"/>
      <c r="M481" s="301" t="str">
        <f>N481&amp;AS[[#This Row],[Insurer Code]]&amp;"; "&amp;O481&amp;AS[[#This Row],[Reporting Year]]&amp;"; "&amp;P481&amp;AS[[#This Row],[Insurance Category Code]]&amp;"; "&amp;Q481&amp;AS[[#This Row],[Large Provider Entity Code]]&amp;"; "&amp;R481&amp;AS[[#This Row],[Age Band Code]]&amp;"; "&amp;S481&amp;AS[[#This Row],[Sex Code]]</f>
        <v xml:space="preserve">Insurer Code ; Reporting Year ; Insurance Category Code ; Large Provider Entity Code ; Age Band Code ; Sex Code </v>
      </c>
      <c r="N481" s="297" t="s">
        <v>197</v>
      </c>
      <c r="O481" s="297" t="s">
        <v>198</v>
      </c>
      <c r="P481" s="297" t="s">
        <v>199</v>
      </c>
      <c r="Q481" s="297" t="s">
        <v>200</v>
      </c>
      <c r="R481" s="297" t="s">
        <v>213</v>
      </c>
      <c r="S481" s="297" t="s">
        <v>214</v>
      </c>
    </row>
    <row r="482" spans="1:19" x14ac:dyDescent="0.4">
      <c r="A482" s="291"/>
      <c r="B482" s="292"/>
      <c r="C482" s="312"/>
      <c r="D482" s="292"/>
      <c r="E482" s="489"/>
      <c r="F482" s="489"/>
      <c r="G482" s="490"/>
      <c r="H482" s="520"/>
      <c r="I482" s="523"/>
      <c r="J482" s="521"/>
      <c r="K482" s="522"/>
      <c r="M482" s="301" t="str">
        <f>N482&amp;AS[[#This Row],[Insurer Code]]&amp;"; "&amp;O482&amp;AS[[#This Row],[Reporting Year]]&amp;"; "&amp;P482&amp;AS[[#This Row],[Insurance Category Code]]&amp;"; "&amp;Q482&amp;AS[[#This Row],[Large Provider Entity Code]]&amp;"; "&amp;R482&amp;AS[[#This Row],[Age Band Code]]&amp;"; "&amp;S482&amp;AS[[#This Row],[Sex Code]]</f>
        <v xml:space="preserve">Insurer Code ; Reporting Year ; Insurance Category Code ; Large Provider Entity Code ; Age Band Code ; Sex Code </v>
      </c>
      <c r="N482" s="297" t="s">
        <v>197</v>
      </c>
      <c r="O482" s="297" t="s">
        <v>198</v>
      </c>
      <c r="P482" s="297" t="s">
        <v>199</v>
      </c>
      <c r="Q482" s="297" t="s">
        <v>200</v>
      </c>
      <c r="R482" s="297" t="s">
        <v>213</v>
      </c>
      <c r="S482" s="297" t="s">
        <v>214</v>
      </c>
    </row>
    <row r="483" spans="1:19" x14ac:dyDescent="0.4">
      <c r="A483" s="291"/>
      <c r="B483" s="292"/>
      <c r="C483" s="312"/>
      <c r="D483" s="292"/>
      <c r="E483" s="489"/>
      <c r="F483" s="489"/>
      <c r="G483" s="490"/>
      <c r="H483" s="520"/>
      <c r="I483" s="523"/>
      <c r="J483" s="521"/>
      <c r="K483" s="522"/>
      <c r="M483" s="301" t="str">
        <f>N483&amp;AS[[#This Row],[Insurer Code]]&amp;"; "&amp;O483&amp;AS[[#This Row],[Reporting Year]]&amp;"; "&amp;P483&amp;AS[[#This Row],[Insurance Category Code]]&amp;"; "&amp;Q483&amp;AS[[#This Row],[Large Provider Entity Code]]&amp;"; "&amp;R483&amp;AS[[#This Row],[Age Band Code]]&amp;"; "&amp;S483&amp;AS[[#This Row],[Sex Code]]</f>
        <v xml:space="preserve">Insurer Code ; Reporting Year ; Insurance Category Code ; Large Provider Entity Code ; Age Band Code ; Sex Code </v>
      </c>
      <c r="N483" s="297" t="s">
        <v>197</v>
      </c>
      <c r="O483" s="297" t="s">
        <v>198</v>
      </c>
      <c r="P483" s="297" t="s">
        <v>199</v>
      </c>
      <c r="Q483" s="297" t="s">
        <v>200</v>
      </c>
      <c r="R483" s="297" t="s">
        <v>213</v>
      </c>
      <c r="S483" s="297" t="s">
        <v>214</v>
      </c>
    </row>
    <row r="484" spans="1:19" x14ac:dyDescent="0.4">
      <c r="A484" s="291"/>
      <c r="B484" s="292"/>
      <c r="C484" s="312"/>
      <c r="D484" s="292"/>
      <c r="E484" s="489"/>
      <c r="F484" s="489"/>
      <c r="G484" s="490"/>
      <c r="H484" s="520"/>
      <c r="I484" s="523"/>
      <c r="J484" s="521"/>
      <c r="K484" s="522"/>
      <c r="M484" s="301" t="str">
        <f>N484&amp;AS[[#This Row],[Insurer Code]]&amp;"; "&amp;O484&amp;AS[[#This Row],[Reporting Year]]&amp;"; "&amp;P484&amp;AS[[#This Row],[Insurance Category Code]]&amp;"; "&amp;Q484&amp;AS[[#This Row],[Large Provider Entity Code]]&amp;"; "&amp;R484&amp;AS[[#This Row],[Age Band Code]]&amp;"; "&amp;S484&amp;AS[[#This Row],[Sex Code]]</f>
        <v xml:space="preserve">Insurer Code ; Reporting Year ; Insurance Category Code ; Large Provider Entity Code ; Age Band Code ; Sex Code </v>
      </c>
      <c r="N484" s="297" t="s">
        <v>197</v>
      </c>
      <c r="O484" s="297" t="s">
        <v>198</v>
      </c>
      <c r="P484" s="297" t="s">
        <v>199</v>
      </c>
      <c r="Q484" s="297" t="s">
        <v>200</v>
      </c>
      <c r="R484" s="297" t="s">
        <v>213</v>
      </c>
      <c r="S484" s="297" t="s">
        <v>214</v>
      </c>
    </row>
    <row r="485" spans="1:19" x14ac:dyDescent="0.4">
      <c r="A485" s="291"/>
      <c r="B485" s="292"/>
      <c r="C485" s="312"/>
      <c r="D485" s="292"/>
      <c r="E485" s="489"/>
      <c r="F485" s="489"/>
      <c r="G485" s="490"/>
      <c r="H485" s="520"/>
      <c r="I485" s="523"/>
      <c r="J485" s="521"/>
      <c r="K485" s="522"/>
      <c r="M485" s="301" t="str">
        <f>N485&amp;AS[[#This Row],[Insurer Code]]&amp;"; "&amp;O485&amp;AS[[#This Row],[Reporting Year]]&amp;"; "&amp;P485&amp;AS[[#This Row],[Insurance Category Code]]&amp;"; "&amp;Q485&amp;AS[[#This Row],[Large Provider Entity Code]]&amp;"; "&amp;R485&amp;AS[[#This Row],[Age Band Code]]&amp;"; "&amp;S485&amp;AS[[#This Row],[Sex Code]]</f>
        <v xml:space="preserve">Insurer Code ; Reporting Year ; Insurance Category Code ; Large Provider Entity Code ; Age Band Code ; Sex Code </v>
      </c>
      <c r="N485" s="297" t="s">
        <v>197</v>
      </c>
      <c r="O485" s="297" t="s">
        <v>198</v>
      </c>
      <c r="P485" s="297" t="s">
        <v>199</v>
      </c>
      <c r="Q485" s="297" t="s">
        <v>200</v>
      </c>
      <c r="R485" s="297" t="s">
        <v>213</v>
      </c>
      <c r="S485" s="297" t="s">
        <v>214</v>
      </c>
    </row>
    <row r="486" spans="1:19" x14ac:dyDescent="0.4">
      <c r="A486" s="291"/>
      <c r="B486" s="292"/>
      <c r="C486" s="312"/>
      <c r="D486" s="292"/>
      <c r="E486" s="489"/>
      <c r="F486" s="489"/>
      <c r="G486" s="490"/>
      <c r="H486" s="520"/>
      <c r="I486" s="523"/>
      <c r="J486" s="521"/>
      <c r="K486" s="522"/>
      <c r="M486" s="301" t="str">
        <f>N486&amp;AS[[#This Row],[Insurer Code]]&amp;"; "&amp;O486&amp;AS[[#This Row],[Reporting Year]]&amp;"; "&amp;P486&amp;AS[[#This Row],[Insurance Category Code]]&amp;"; "&amp;Q486&amp;AS[[#This Row],[Large Provider Entity Code]]&amp;"; "&amp;R486&amp;AS[[#This Row],[Age Band Code]]&amp;"; "&amp;S486&amp;AS[[#This Row],[Sex Code]]</f>
        <v xml:space="preserve">Insurer Code ; Reporting Year ; Insurance Category Code ; Large Provider Entity Code ; Age Band Code ; Sex Code </v>
      </c>
      <c r="N486" s="297" t="s">
        <v>197</v>
      </c>
      <c r="O486" s="297" t="s">
        <v>198</v>
      </c>
      <c r="P486" s="297" t="s">
        <v>199</v>
      </c>
      <c r="Q486" s="297" t="s">
        <v>200</v>
      </c>
      <c r="R486" s="297" t="s">
        <v>213</v>
      </c>
      <c r="S486" s="297" t="s">
        <v>214</v>
      </c>
    </row>
    <row r="487" spans="1:19" x14ac:dyDescent="0.4">
      <c r="A487" s="291"/>
      <c r="B487" s="292"/>
      <c r="C487" s="312"/>
      <c r="D487" s="292"/>
      <c r="E487" s="489"/>
      <c r="F487" s="489"/>
      <c r="G487" s="490"/>
      <c r="H487" s="520"/>
      <c r="I487" s="523"/>
      <c r="J487" s="521"/>
      <c r="K487" s="522"/>
      <c r="M487" s="301" t="str">
        <f>N487&amp;AS[[#This Row],[Insurer Code]]&amp;"; "&amp;O487&amp;AS[[#This Row],[Reporting Year]]&amp;"; "&amp;P487&amp;AS[[#This Row],[Insurance Category Code]]&amp;"; "&amp;Q487&amp;AS[[#This Row],[Large Provider Entity Code]]&amp;"; "&amp;R487&amp;AS[[#This Row],[Age Band Code]]&amp;"; "&amp;S487&amp;AS[[#This Row],[Sex Code]]</f>
        <v xml:space="preserve">Insurer Code ; Reporting Year ; Insurance Category Code ; Large Provider Entity Code ; Age Band Code ; Sex Code </v>
      </c>
      <c r="N487" s="297" t="s">
        <v>197</v>
      </c>
      <c r="O487" s="297" t="s">
        <v>198</v>
      </c>
      <c r="P487" s="297" t="s">
        <v>199</v>
      </c>
      <c r="Q487" s="297" t="s">
        <v>200</v>
      </c>
      <c r="R487" s="297" t="s">
        <v>213</v>
      </c>
      <c r="S487" s="297" t="s">
        <v>214</v>
      </c>
    </row>
    <row r="488" spans="1:19" x14ac:dyDescent="0.4">
      <c r="A488" s="291"/>
      <c r="B488" s="292"/>
      <c r="C488" s="312"/>
      <c r="D488" s="292"/>
      <c r="E488" s="489"/>
      <c r="F488" s="489"/>
      <c r="G488" s="490"/>
      <c r="H488" s="520"/>
      <c r="I488" s="523"/>
      <c r="J488" s="521"/>
      <c r="K488" s="522"/>
      <c r="M488" s="301" t="str">
        <f>N488&amp;AS[[#This Row],[Insurer Code]]&amp;"; "&amp;O488&amp;AS[[#This Row],[Reporting Year]]&amp;"; "&amp;P488&amp;AS[[#This Row],[Insurance Category Code]]&amp;"; "&amp;Q488&amp;AS[[#This Row],[Large Provider Entity Code]]&amp;"; "&amp;R488&amp;AS[[#This Row],[Age Band Code]]&amp;"; "&amp;S488&amp;AS[[#This Row],[Sex Code]]</f>
        <v xml:space="preserve">Insurer Code ; Reporting Year ; Insurance Category Code ; Large Provider Entity Code ; Age Band Code ; Sex Code </v>
      </c>
      <c r="N488" s="297" t="s">
        <v>197</v>
      </c>
      <c r="O488" s="297" t="s">
        <v>198</v>
      </c>
      <c r="P488" s="297" t="s">
        <v>199</v>
      </c>
      <c r="Q488" s="297" t="s">
        <v>200</v>
      </c>
      <c r="R488" s="297" t="s">
        <v>213</v>
      </c>
      <c r="S488" s="297" t="s">
        <v>214</v>
      </c>
    </row>
    <row r="489" spans="1:19" x14ac:dyDescent="0.4">
      <c r="A489" s="291"/>
      <c r="B489" s="292"/>
      <c r="C489" s="312"/>
      <c r="D489" s="292"/>
      <c r="E489" s="489"/>
      <c r="F489" s="489"/>
      <c r="G489" s="490"/>
      <c r="H489" s="520"/>
      <c r="I489" s="523"/>
      <c r="J489" s="521"/>
      <c r="K489" s="522"/>
      <c r="M489" s="301" t="str">
        <f>N489&amp;AS[[#This Row],[Insurer Code]]&amp;"; "&amp;O489&amp;AS[[#This Row],[Reporting Year]]&amp;"; "&amp;P489&amp;AS[[#This Row],[Insurance Category Code]]&amp;"; "&amp;Q489&amp;AS[[#This Row],[Large Provider Entity Code]]&amp;"; "&amp;R489&amp;AS[[#This Row],[Age Band Code]]&amp;"; "&amp;S489&amp;AS[[#This Row],[Sex Code]]</f>
        <v xml:space="preserve">Insurer Code ; Reporting Year ; Insurance Category Code ; Large Provider Entity Code ; Age Band Code ; Sex Code </v>
      </c>
      <c r="N489" s="297" t="s">
        <v>197</v>
      </c>
      <c r="O489" s="297" t="s">
        <v>198</v>
      </c>
      <c r="P489" s="297" t="s">
        <v>199</v>
      </c>
      <c r="Q489" s="297" t="s">
        <v>200</v>
      </c>
      <c r="R489" s="297" t="s">
        <v>213</v>
      </c>
      <c r="S489" s="297" t="s">
        <v>214</v>
      </c>
    </row>
    <row r="490" spans="1:19" x14ac:dyDescent="0.4">
      <c r="A490" s="291"/>
      <c r="B490" s="292"/>
      <c r="C490" s="312"/>
      <c r="D490" s="292"/>
      <c r="E490" s="489"/>
      <c r="F490" s="489"/>
      <c r="G490" s="490"/>
      <c r="H490" s="520"/>
      <c r="I490" s="523"/>
      <c r="J490" s="521"/>
      <c r="K490" s="522"/>
      <c r="M490" s="301" t="str">
        <f>N490&amp;AS[[#This Row],[Insurer Code]]&amp;"; "&amp;O490&amp;AS[[#This Row],[Reporting Year]]&amp;"; "&amp;P490&amp;AS[[#This Row],[Insurance Category Code]]&amp;"; "&amp;Q490&amp;AS[[#This Row],[Large Provider Entity Code]]&amp;"; "&amp;R490&amp;AS[[#This Row],[Age Band Code]]&amp;"; "&amp;S490&amp;AS[[#This Row],[Sex Code]]</f>
        <v xml:space="preserve">Insurer Code ; Reporting Year ; Insurance Category Code ; Large Provider Entity Code ; Age Band Code ; Sex Code </v>
      </c>
      <c r="N490" s="297" t="s">
        <v>197</v>
      </c>
      <c r="O490" s="297" t="s">
        <v>198</v>
      </c>
      <c r="P490" s="297" t="s">
        <v>199</v>
      </c>
      <c r="Q490" s="297" t="s">
        <v>200</v>
      </c>
      <c r="R490" s="297" t="s">
        <v>213</v>
      </c>
      <c r="S490" s="297" t="s">
        <v>214</v>
      </c>
    </row>
    <row r="491" spans="1:19" x14ac:dyDescent="0.4">
      <c r="A491" s="291"/>
      <c r="B491" s="292"/>
      <c r="C491" s="312"/>
      <c r="D491" s="292"/>
      <c r="E491" s="489"/>
      <c r="F491" s="489"/>
      <c r="G491" s="490"/>
      <c r="H491" s="520"/>
      <c r="I491" s="523"/>
      <c r="J491" s="521"/>
      <c r="K491" s="522"/>
      <c r="M491" s="301" t="str">
        <f>N491&amp;AS[[#This Row],[Insurer Code]]&amp;"; "&amp;O491&amp;AS[[#This Row],[Reporting Year]]&amp;"; "&amp;P491&amp;AS[[#This Row],[Insurance Category Code]]&amp;"; "&amp;Q491&amp;AS[[#This Row],[Large Provider Entity Code]]&amp;"; "&amp;R491&amp;AS[[#This Row],[Age Band Code]]&amp;"; "&amp;S491&amp;AS[[#This Row],[Sex Code]]</f>
        <v xml:space="preserve">Insurer Code ; Reporting Year ; Insurance Category Code ; Large Provider Entity Code ; Age Band Code ; Sex Code </v>
      </c>
      <c r="N491" s="297" t="s">
        <v>197</v>
      </c>
      <c r="O491" s="297" t="s">
        <v>198</v>
      </c>
      <c r="P491" s="297" t="s">
        <v>199</v>
      </c>
      <c r="Q491" s="297" t="s">
        <v>200</v>
      </c>
      <c r="R491" s="297" t="s">
        <v>213</v>
      </c>
      <c r="S491" s="297" t="s">
        <v>214</v>
      </c>
    </row>
    <row r="492" spans="1:19" x14ac:dyDescent="0.4">
      <c r="A492" s="291"/>
      <c r="B492" s="292"/>
      <c r="C492" s="312"/>
      <c r="D492" s="292"/>
      <c r="E492" s="489"/>
      <c r="F492" s="489"/>
      <c r="G492" s="490"/>
      <c r="H492" s="520"/>
      <c r="I492" s="523"/>
      <c r="J492" s="521"/>
      <c r="K492" s="522"/>
      <c r="M492" s="301" t="str">
        <f>N492&amp;AS[[#This Row],[Insurer Code]]&amp;"; "&amp;O492&amp;AS[[#This Row],[Reporting Year]]&amp;"; "&amp;P492&amp;AS[[#This Row],[Insurance Category Code]]&amp;"; "&amp;Q492&amp;AS[[#This Row],[Large Provider Entity Code]]&amp;"; "&amp;R492&amp;AS[[#This Row],[Age Band Code]]&amp;"; "&amp;S492&amp;AS[[#This Row],[Sex Code]]</f>
        <v xml:space="preserve">Insurer Code ; Reporting Year ; Insurance Category Code ; Large Provider Entity Code ; Age Band Code ; Sex Code </v>
      </c>
      <c r="N492" s="297" t="s">
        <v>197</v>
      </c>
      <c r="O492" s="297" t="s">
        <v>198</v>
      </c>
      <c r="P492" s="297" t="s">
        <v>199</v>
      </c>
      <c r="Q492" s="297" t="s">
        <v>200</v>
      </c>
      <c r="R492" s="297" t="s">
        <v>213</v>
      </c>
      <c r="S492" s="297" t="s">
        <v>214</v>
      </c>
    </row>
    <row r="493" spans="1:19" x14ac:dyDescent="0.4">
      <c r="A493" s="291"/>
      <c r="B493" s="292"/>
      <c r="C493" s="312"/>
      <c r="D493" s="292"/>
      <c r="E493" s="489"/>
      <c r="F493" s="489"/>
      <c r="G493" s="490"/>
      <c r="H493" s="520"/>
      <c r="I493" s="523"/>
      <c r="J493" s="521"/>
      <c r="K493" s="522"/>
      <c r="M493" s="301" t="str">
        <f>N493&amp;AS[[#This Row],[Insurer Code]]&amp;"; "&amp;O493&amp;AS[[#This Row],[Reporting Year]]&amp;"; "&amp;P493&amp;AS[[#This Row],[Insurance Category Code]]&amp;"; "&amp;Q493&amp;AS[[#This Row],[Large Provider Entity Code]]&amp;"; "&amp;R493&amp;AS[[#This Row],[Age Band Code]]&amp;"; "&amp;S493&amp;AS[[#This Row],[Sex Code]]</f>
        <v xml:space="preserve">Insurer Code ; Reporting Year ; Insurance Category Code ; Large Provider Entity Code ; Age Band Code ; Sex Code </v>
      </c>
      <c r="N493" s="297" t="s">
        <v>197</v>
      </c>
      <c r="O493" s="297" t="s">
        <v>198</v>
      </c>
      <c r="P493" s="297" t="s">
        <v>199</v>
      </c>
      <c r="Q493" s="297" t="s">
        <v>200</v>
      </c>
      <c r="R493" s="297" t="s">
        <v>213</v>
      </c>
      <c r="S493" s="297" t="s">
        <v>214</v>
      </c>
    </row>
    <row r="494" spans="1:19" x14ac:dyDescent="0.4">
      <c r="A494" s="291"/>
      <c r="B494" s="292"/>
      <c r="C494" s="312"/>
      <c r="D494" s="292"/>
      <c r="E494" s="489"/>
      <c r="F494" s="489"/>
      <c r="G494" s="490"/>
      <c r="H494" s="520"/>
      <c r="I494" s="523"/>
      <c r="J494" s="521"/>
      <c r="K494" s="522"/>
      <c r="M494" s="301" t="str">
        <f>N494&amp;AS[[#This Row],[Insurer Code]]&amp;"; "&amp;O494&amp;AS[[#This Row],[Reporting Year]]&amp;"; "&amp;P494&amp;AS[[#This Row],[Insurance Category Code]]&amp;"; "&amp;Q494&amp;AS[[#This Row],[Large Provider Entity Code]]&amp;"; "&amp;R494&amp;AS[[#This Row],[Age Band Code]]&amp;"; "&amp;S494&amp;AS[[#This Row],[Sex Code]]</f>
        <v xml:space="preserve">Insurer Code ; Reporting Year ; Insurance Category Code ; Large Provider Entity Code ; Age Band Code ; Sex Code </v>
      </c>
      <c r="N494" s="297" t="s">
        <v>197</v>
      </c>
      <c r="O494" s="297" t="s">
        <v>198</v>
      </c>
      <c r="P494" s="297" t="s">
        <v>199</v>
      </c>
      <c r="Q494" s="297" t="s">
        <v>200</v>
      </c>
      <c r="R494" s="297" t="s">
        <v>213</v>
      </c>
      <c r="S494" s="297" t="s">
        <v>214</v>
      </c>
    </row>
    <row r="495" spans="1:19" x14ac:dyDescent="0.4">
      <c r="A495" s="291"/>
      <c r="B495" s="292"/>
      <c r="C495" s="312"/>
      <c r="D495" s="292"/>
      <c r="E495" s="489"/>
      <c r="F495" s="489"/>
      <c r="G495" s="490"/>
      <c r="H495" s="520"/>
      <c r="I495" s="523"/>
      <c r="J495" s="521"/>
      <c r="K495" s="522"/>
      <c r="M495" s="301" t="str">
        <f>N495&amp;AS[[#This Row],[Insurer Code]]&amp;"; "&amp;O495&amp;AS[[#This Row],[Reporting Year]]&amp;"; "&amp;P495&amp;AS[[#This Row],[Insurance Category Code]]&amp;"; "&amp;Q495&amp;AS[[#This Row],[Large Provider Entity Code]]&amp;"; "&amp;R495&amp;AS[[#This Row],[Age Band Code]]&amp;"; "&amp;S495&amp;AS[[#This Row],[Sex Code]]</f>
        <v xml:space="preserve">Insurer Code ; Reporting Year ; Insurance Category Code ; Large Provider Entity Code ; Age Band Code ; Sex Code </v>
      </c>
      <c r="N495" s="297" t="s">
        <v>197</v>
      </c>
      <c r="O495" s="297" t="s">
        <v>198</v>
      </c>
      <c r="P495" s="297" t="s">
        <v>199</v>
      </c>
      <c r="Q495" s="297" t="s">
        <v>200</v>
      </c>
      <c r="R495" s="297" t="s">
        <v>213</v>
      </c>
      <c r="S495" s="297" t="s">
        <v>214</v>
      </c>
    </row>
    <row r="496" spans="1:19" x14ac:dyDescent="0.4">
      <c r="A496" s="291"/>
      <c r="B496" s="292"/>
      <c r="C496" s="312"/>
      <c r="D496" s="292"/>
      <c r="E496" s="489"/>
      <c r="F496" s="489"/>
      <c r="G496" s="490"/>
      <c r="H496" s="520"/>
      <c r="I496" s="523"/>
      <c r="J496" s="521"/>
      <c r="K496" s="522"/>
      <c r="M496" s="301" t="str">
        <f>N496&amp;AS[[#This Row],[Insurer Code]]&amp;"; "&amp;O496&amp;AS[[#This Row],[Reporting Year]]&amp;"; "&amp;P496&amp;AS[[#This Row],[Insurance Category Code]]&amp;"; "&amp;Q496&amp;AS[[#This Row],[Large Provider Entity Code]]&amp;"; "&amp;R496&amp;AS[[#This Row],[Age Band Code]]&amp;"; "&amp;S496&amp;AS[[#This Row],[Sex Code]]</f>
        <v xml:space="preserve">Insurer Code ; Reporting Year ; Insurance Category Code ; Large Provider Entity Code ; Age Band Code ; Sex Code </v>
      </c>
      <c r="N496" s="297" t="s">
        <v>197</v>
      </c>
      <c r="O496" s="297" t="s">
        <v>198</v>
      </c>
      <c r="P496" s="297" t="s">
        <v>199</v>
      </c>
      <c r="Q496" s="297" t="s">
        <v>200</v>
      </c>
      <c r="R496" s="297" t="s">
        <v>213</v>
      </c>
      <c r="S496" s="297" t="s">
        <v>214</v>
      </c>
    </row>
    <row r="497" spans="1:19" x14ac:dyDescent="0.4">
      <c r="A497" s="291"/>
      <c r="B497" s="292"/>
      <c r="C497" s="312"/>
      <c r="D497" s="292"/>
      <c r="E497" s="489"/>
      <c r="F497" s="489"/>
      <c r="G497" s="490"/>
      <c r="H497" s="520"/>
      <c r="I497" s="523"/>
      <c r="J497" s="521"/>
      <c r="K497" s="522"/>
      <c r="M497" s="301" t="str">
        <f>N497&amp;AS[[#This Row],[Insurer Code]]&amp;"; "&amp;O497&amp;AS[[#This Row],[Reporting Year]]&amp;"; "&amp;P497&amp;AS[[#This Row],[Insurance Category Code]]&amp;"; "&amp;Q497&amp;AS[[#This Row],[Large Provider Entity Code]]&amp;"; "&amp;R497&amp;AS[[#This Row],[Age Band Code]]&amp;"; "&amp;S497&amp;AS[[#This Row],[Sex Code]]</f>
        <v xml:space="preserve">Insurer Code ; Reporting Year ; Insurance Category Code ; Large Provider Entity Code ; Age Band Code ; Sex Code </v>
      </c>
      <c r="N497" s="297" t="s">
        <v>197</v>
      </c>
      <c r="O497" s="297" t="s">
        <v>198</v>
      </c>
      <c r="P497" s="297" t="s">
        <v>199</v>
      </c>
      <c r="Q497" s="297" t="s">
        <v>200</v>
      </c>
      <c r="R497" s="297" t="s">
        <v>213</v>
      </c>
      <c r="S497" s="297" t="s">
        <v>214</v>
      </c>
    </row>
    <row r="498" spans="1:19" x14ac:dyDescent="0.4">
      <c r="A498" s="291"/>
      <c r="B498" s="292"/>
      <c r="C498" s="312"/>
      <c r="D498" s="292"/>
      <c r="E498" s="489"/>
      <c r="F498" s="489"/>
      <c r="G498" s="490"/>
      <c r="H498" s="520"/>
      <c r="I498" s="523"/>
      <c r="J498" s="521"/>
      <c r="K498" s="522"/>
      <c r="M498" s="301" t="str">
        <f>N498&amp;AS[[#This Row],[Insurer Code]]&amp;"; "&amp;O498&amp;AS[[#This Row],[Reporting Year]]&amp;"; "&amp;P498&amp;AS[[#This Row],[Insurance Category Code]]&amp;"; "&amp;Q498&amp;AS[[#This Row],[Large Provider Entity Code]]&amp;"; "&amp;R498&amp;AS[[#This Row],[Age Band Code]]&amp;"; "&amp;S498&amp;AS[[#This Row],[Sex Code]]</f>
        <v xml:space="preserve">Insurer Code ; Reporting Year ; Insurance Category Code ; Large Provider Entity Code ; Age Band Code ; Sex Code </v>
      </c>
      <c r="N498" s="297" t="s">
        <v>197</v>
      </c>
      <c r="O498" s="297" t="s">
        <v>198</v>
      </c>
      <c r="P498" s="297" t="s">
        <v>199</v>
      </c>
      <c r="Q498" s="297" t="s">
        <v>200</v>
      </c>
      <c r="R498" s="297" t="s">
        <v>213</v>
      </c>
      <c r="S498" s="297" t="s">
        <v>214</v>
      </c>
    </row>
    <row r="499" spans="1:19" x14ac:dyDescent="0.4">
      <c r="A499" s="291"/>
      <c r="B499" s="292"/>
      <c r="C499" s="312"/>
      <c r="D499" s="292"/>
      <c r="E499" s="489"/>
      <c r="F499" s="489"/>
      <c r="G499" s="490"/>
      <c r="H499" s="520"/>
      <c r="I499" s="523"/>
      <c r="J499" s="521"/>
      <c r="K499" s="522"/>
      <c r="M499" s="301" t="str">
        <f>N499&amp;AS[[#This Row],[Insurer Code]]&amp;"; "&amp;O499&amp;AS[[#This Row],[Reporting Year]]&amp;"; "&amp;P499&amp;AS[[#This Row],[Insurance Category Code]]&amp;"; "&amp;Q499&amp;AS[[#This Row],[Large Provider Entity Code]]&amp;"; "&amp;R499&amp;AS[[#This Row],[Age Band Code]]&amp;"; "&amp;S499&amp;AS[[#This Row],[Sex Code]]</f>
        <v xml:space="preserve">Insurer Code ; Reporting Year ; Insurance Category Code ; Large Provider Entity Code ; Age Band Code ; Sex Code </v>
      </c>
      <c r="N499" s="297" t="s">
        <v>197</v>
      </c>
      <c r="O499" s="297" t="s">
        <v>198</v>
      </c>
      <c r="P499" s="297" t="s">
        <v>199</v>
      </c>
      <c r="Q499" s="297" t="s">
        <v>200</v>
      </c>
      <c r="R499" s="297" t="s">
        <v>213</v>
      </c>
      <c r="S499" s="297" t="s">
        <v>214</v>
      </c>
    </row>
    <row r="500" spans="1:19" x14ac:dyDescent="0.4">
      <c r="A500" s="291"/>
      <c r="B500" s="292"/>
      <c r="C500" s="312"/>
      <c r="D500" s="292"/>
      <c r="E500" s="489"/>
      <c r="F500" s="489"/>
      <c r="G500" s="490"/>
      <c r="H500" s="520"/>
      <c r="I500" s="523"/>
      <c r="J500" s="521"/>
      <c r="K500" s="522"/>
      <c r="M500" s="301" t="str">
        <f>N500&amp;AS[[#This Row],[Insurer Code]]&amp;"; "&amp;O500&amp;AS[[#This Row],[Reporting Year]]&amp;"; "&amp;P500&amp;AS[[#This Row],[Insurance Category Code]]&amp;"; "&amp;Q500&amp;AS[[#This Row],[Large Provider Entity Code]]&amp;"; "&amp;R500&amp;AS[[#This Row],[Age Band Code]]&amp;"; "&amp;S500&amp;AS[[#This Row],[Sex Code]]</f>
        <v xml:space="preserve">Insurer Code ; Reporting Year ; Insurance Category Code ; Large Provider Entity Code ; Age Band Code ; Sex Code </v>
      </c>
      <c r="N500" s="297" t="s">
        <v>197</v>
      </c>
      <c r="O500" s="297" t="s">
        <v>198</v>
      </c>
      <c r="P500" s="297" t="s">
        <v>199</v>
      </c>
      <c r="Q500" s="297" t="s">
        <v>200</v>
      </c>
      <c r="R500" s="297" t="s">
        <v>213</v>
      </c>
      <c r="S500" s="297" t="s">
        <v>214</v>
      </c>
    </row>
    <row r="501" spans="1:19" x14ac:dyDescent="0.4">
      <c r="A501" s="291"/>
      <c r="B501" s="292"/>
      <c r="C501" s="312"/>
      <c r="D501" s="292"/>
      <c r="E501" s="489"/>
      <c r="F501" s="489"/>
      <c r="G501" s="490"/>
      <c r="H501" s="520"/>
      <c r="I501" s="523"/>
      <c r="J501" s="521"/>
      <c r="K501" s="522"/>
      <c r="M501" s="301" t="str">
        <f>N501&amp;AS[[#This Row],[Insurer Code]]&amp;"; "&amp;O501&amp;AS[[#This Row],[Reporting Year]]&amp;"; "&amp;P501&amp;AS[[#This Row],[Insurance Category Code]]&amp;"; "&amp;Q501&amp;AS[[#This Row],[Large Provider Entity Code]]&amp;"; "&amp;R501&amp;AS[[#This Row],[Age Band Code]]&amp;"; "&amp;S501&amp;AS[[#This Row],[Sex Code]]</f>
        <v xml:space="preserve">Insurer Code ; Reporting Year ; Insurance Category Code ; Large Provider Entity Code ; Age Band Code ; Sex Code </v>
      </c>
      <c r="N501" s="297" t="s">
        <v>197</v>
      </c>
      <c r="O501" s="297" t="s">
        <v>198</v>
      </c>
      <c r="P501" s="297" t="s">
        <v>199</v>
      </c>
      <c r="Q501" s="297" t="s">
        <v>200</v>
      </c>
      <c r="R501" s="297" t="s">
        <v>213</v>
      </c>
      <c r="S501" s="297" t="s">
        <v>214</v>
      </c>
    </row>
    <row r="502" spans="1:19" x14ac:dyDescent="0.4">
      <c r="A502" s="291"/>
      <c r="B502" s="292"/>
      <c r="C502" s="312"/>
      <c r="D502" s="292"/>
      <c r="E502" s="489"/>
      <c r="F502" s="489"/>
      <c r="G502" s="490"/>
      <c r="H502" s="520"/>
      <c r="I502" s="523"/>
      <c r="J502" s="521"/>
      <c r="K502" s="522"/>
      <c r="M502" s="301" t="str">
        <f>N502&amp;AS[[#This Row],[Insurer Code]]&amp;"; "&amp;O502&amp;AS[[#This Row],[Reporting Year]]&amp;"; "&amp;P502&amp;AS[[#This Row],[Insurance Category Code]]&amp;"; "&amp;Q502&amp;AS[[#This Row],[Large Provider Entity Code]]&amp;"; "&amp;R502&amp;AS[[#This Row],[Age Band Code]]&amp;"; "&amp;S502&amp;AS[[#This Row],[Sex Code]]</f>
        <v xml:space="preserve">Insurer Code ; Reporting Year ; Insurance Category Code ; Large Provider Entity Code ; Age Band Code ; Sex Code </v>
      </c>
      <c r="N502" s="297" t="s">
        <v>197</v>
      </c>
      <c r="O502" s="297" t="s">
        <v>198</v>
      </c>
      <c r="P502" s="297" t="s">
        <v>199</v>
      </c>
      <c r="Q502" s="297" t="s">
        <v>200</v>
      </c>
      <c r="R502" s="297" t="s">
        <v>213</v>
      </c>
      <c r="S502" s="297" t="s">
        <v>214</v>
      </c>
    </row>
    <row r="503" spans="1:19" x14ac:dyDescent="0.4">
      <c r="A503" s="291"/>
      <c r="B503" s="292"/>
      <c r="C503" s="312"/>
      <c r="D503" s="292"/>
      <c r="E503" s="489"/>
      <c r="F503" s="489"/>
      <c r="G503" s="490"/>
      <c r="H503" s="520"/>
      <c r="I503" s="523"/>
      <c r="J503" s="521"/>
      <c r="K503" s="522"/>
      <c r="M503" s="301" t="str">
        <f>N503&amp;AS[[#This Row],[Insurer Code]]&amp;"; "&amp;O503&amp;AS[[#This Row],[Reporting Year]]&amp;"; "&amp;P503&amp;AS[[#This Row],[Insurance Category Code]]&amp;"; "&amp;Q503&amp;AS[[#This Row],[Large Provider Entity Code]]&amp;"; "&amp;R503&amp;AS[[#This Row],[Age Band Code]]&amp;"; "&amp;S503&amp;AS[[#This Row],[Sex Code]]</f>
        <v xml:space="preserve">Insurer Code ; Reporting Year ; Insurance Category Code ; Large Provider Entity Code ; Age Band Code ; Sex Code </v>
      </c>
      <c r="N503" s="297" t="s">
        <v>197</v>
      </c>
      <c r="O503" s="297" t="s">
        <v>198</v>
      </c>
      <c r="P503" s="297" t="s">
        <v>199</v>
      </c>
      <c r="Q503" s="297" t="s">
        <v>200</v>
      </c>
      <c r="R503" s="297" t="s">
        <v>213</v>
      </c>
      <c r="S503" s="297" t="s">
        <v>214</v>
      </c>
    </row>
    <row r="504" spans="1:19" x14ac:dyDescent="0.4">
      <c r="A504" s="291"/>
      <c r="B504" s="292"/>
      <c r="C504" s="312"/>
      <c r="D504" s="292"/>
      <c r="E504" s="489"/>
      <c r="F504" s="489"/>
      <c r="G504" s="490"/>
      <c r="H504" s="520"/>
      <c r="I504" s="523"/>
      <c r="J504" s="521"/>
      <c r="K504" s="522"/>
      <c r="M504" s="301" t="str">
        <f>N504&amp;AS[[#This Row],[Insurer Code]]&amp;"; "&amp;O504&amp;AS[[#This Row],[Reporting Year]]&amp;"; "&amp;P504&amp;AS[[#This Row],[Insurance Category Code]]&amp;"; "&amp;Q504&amp;AS[[#This Row],[Large Provider Entity Code]]&amp;"; "&amp;R504&amp;AS[[#This Row],[Age Band Code]]&amp;"; "&amp;S504&amp;AS[[#This Row],[Sex Code]]</f>
        <v xml:space="preserve">Insurer Code ; Reporting Year ; Insurance Category Code ; Large Provider Entity Code ; Age Band Code ; Sex Code </v>
      </c>
      <c r="N504" s="297" t="s">
        <v>197</v>
      </c>
      <c r="O504" s="297" t="s">
        <v>198</v>
      </c>
      <c r="P504" s="297" t="s">
        <v>199</v>
      </c>
      <c r="Q504" s="297" t="s">
        <v>200</v>
      </c>
      <c r="R504" s="297" t="s">
        <v>213</v>
      </c>
      <c r="S504" s="297" t="s">
        <v>214</v>
      </c>
    </row>
    <row r="505" spans="1:19" x14ac:dyDescent="0.4">
      <c r="A505" s="291"/>
      <c r="B505" s="292"/>
      <c r="C505" s="312"/>
      <c r="D505" s="292"/>
      <c r="E505" s="489"/>
      <c r="F505" s="489"/>
      <c r="G505" s="490"/>
      <c r="H505" s="520"/>
      <c r="I505" s="523"/>
      <c r="J505" s="521"/>
      <c r="K505" s="522"/>
      <c r="M505" s="301" t="str">
        <f>N505&amp;AS[[#This Row],[Insurer Code]]&amp;"; "&amp;O505&amp;AS[[#This Row],[Reporting Year]]&amp;"; "&amp;P505&amp;AS[[#This Row],[Insurance Category Code]]&amp;"; "&amp;Q505&amp;AS[[#This Row],[Large Provider Entity Code]]&amp;"; "&amp;R505&amp;AS[[#This Row],[Age Band Code]]&amp;"; "&amp;S505&amp;AS[[#This Row],[Sex Code]]</f>
        <v xml:space="preserve">Insurer Code ; Reporting Year ; Insurance Category Code ; Large Provider Entity Code ; Age Band Code ; Sex Code </v>
      </c>
      <c r="N505" s="297" t="s">
        <v>197</v>
      </c>
      <c r="O505" s="297" t="s">
        <v>198</v>
      </c>
      <c r="P505" s="297" t="s">
        <v>199</v>
      </c>
      <c r="Q505" s="297" t="s">
        <v>200</v>
      </c>
      <c r="R505" s="297" t="s">
        <v>213</v>
      </c>
      <c r="S505" s="297" t="s">
        <v>214</v>
      </c>
    </row>
    <row r="506" spans="1:19" x14ac:dyDescent="0.4">
      <c r="A506" s="291"/>
      <c r="B506" s="292"/>
      <c r="C506" s="312"/>
      <c r="D506" s="292"/>
      <c r="E506" s="489"/>
      <c r="F506" s="489"/>
      <c r="G506" s="490"/>
      <c r="H506" s="520"/>
      <c r="I506" s="523"/>
      <c r="J506" s="521"/>
      <c r="K506" s="522"/>
      <c r="M506" s="301" t="str">
        <f>N506&amp;AS[[#This Row],[Insurer Code]]&amp;"; "&amp;O506&amp;AS[[#This Row],[Reporting Year]]&amp;"; "&amp;P506&amp;AS[[#This Row],[Insurance Category Code]]&amp;"; "&amp;Q506&amp;AS[[#This Row],[Large Provider Entity Code]]&amp;"; "&amp;R506&amp;AS[[#This Row],[Age Band Code]]&amp;"; "&amp;S506&amp;AS[[#This Row],[Sex Code]]</f>
        <v xml:space="preserve">Insurer Code ; Reporting Year ; Insurance Category Code ; Large Provider Entity Code ; Age Band Code ; Sex Code </v>
      </c>
      <c r="N506" s="297" t="s">
        <v>197</v>
      </c>
      <c r="O506" s="297" t="s">
        <v>198</v>
      </c>
      <c r="P506" s="297" t="s">
        <v>199</v>
      </c>
      <c r="Q506" s="297" t="s">
        <v>200</v>
      </c>
      <c r="R506" s="297" t="s">
        <v>213</v>
      </c>
      <c r="S506" s="297" t="s">
        <v>214</v>
      </c>
    </row>
    <row r="507" spans="1:19" x14ac:dyDescent="0.4">
      <c r="A507" s="291"/>
      <c r="B507" s="292"/>
      <c r="C507" s="312"/>
      <c r="D507" s="292"/>
      <c r="E507" s="489"/>
      <c r="F507" s="489"/>
      <c r="G507" s="490"/>
      <c r="H507" s="520"/>
      <c r="I507" s="523"/>
      <c r="J507" s="521"/>
      <c r="K507" s="522"/>
      <c r="M507" s="301" t="str">
        <f>N507&amp;AS[[#This Row],[Insurer Code]]&amp;"; "&amp;O507&amp;AS[[#This Row],[Reporting Year]]&amp;"; "&amp;P507&amp;AS[[#This Row],[Insurance Category Code]]&amp;"; "&amp;Q507&amp;AS[[#This Row],[Large Provider Entity Code]]&amp;"; "&amp;R507&amp;AS[[#This Row],[Age Band Code]]&amp;"; "&amp;S507&amp;AS[[#This Row],[Sex Code]]</f>
        <v xml:space="preserve">Insurer Code ; Reporting Year ; Insurance Category Code ; Large Provider Entity Code ; Age Band Code ; Sex Code </v>
      </c>
      <c r="N507" s="297" t="s">
        <v>197</v>
      </c>
      <c r="O507" s="297" t="s">
        <v>198</v>
      </c>
      <c r="P507" s="297" t="s">
        <v>199</v>
      </c>
      <c r="Q507" s="297" t="s">
        <v>200</v>
      </c>
      <c r="R507" s="297" t="s">
        <v>213</v>
      </c>
      <c r="S507" s="297" t="s">
        <v>214</v>
      </c>
    </row>
    <row r="508" spans="1:19" x14ac:dyDescent="0.4">
      <c r="A508" s="291"/>
      <c r="B508" s="292"/>
      <c r="C508" s="312"/>
      <c r="D508" s="292"/>
      <c r="E508" s="489"/>
      <c r="F508" s="489"/>
      <c r="G508" s="490"/>
      <c r="H508" s="520"/>
      <c r="I508" s="523"/>
      <c r="J508" s="521"/>
      <c r="K508" s="522"/>
      <c r="M508" s="301" t="str">
        <f>N508&amp;AS[[#This Row],[Insurer Code]]&amp;"; "&amp;O508&amp;AS[[#This Row],[Reporting Year]]&amp;"; "&amp;P508&amp;AS[[#This Row],[Insurance Category Code]]&amp;"; "&amp;Q508&amp;AS[[#This Row],[Large Provider Entity Code]]&amp;"; "&amp;R508&amp;AS[[#This Row],[Age Band Code]]&amp;"; "&amp;S508&amp;AS[[#This Row],[Sex Code]]</f>
        <v xml:space="preserve">Insurer Code ; Reporting Year ; Insurance Category Code ; Large Provider Entity Code ; Age Band Code ; Sex Code </v>
      </c>
      <c r="N508" s="297" t="s">
        <v>197</v>
      </c>
      <c r="O508" s="297" t="s">
        <v>198</v>
      </c>
      <c r="P508" s="297" t="s">
        <v>199</v>
      </c>
      <c r="Q508" s="297" t="s">
        <v>200</v>
      </c>
      <c r="R508" s="297" t="s">
        <v>213</v>
      </c>
      <c r="S508" s="297" t="s">
        <v>214</v>
      </c>
    </row>
    <row r="509" spans="1:19" x14ac:dyDescent="0.4">
      <c r="A509" s="291"/>
      <c r="B509" s="292"/>
      <c r="C509" s="312"/>
      <c r="D509" s="292"/>
      <c r="E509" s="489"/>
      <c r="F509" s="489"/>
      <c r="G509" s="490"/>
      <c r="H509" s="520"/>
      <c r="I509" s="523"/>
      <c r="J509" s="521"/>
      <c r="K509" s="522"/>
      <c r="M509" s="301" t="str">
        <f>N509&amp;AS[[#This Row],[Insurer Code]]&amp;"; "&amp;O509&amp;AS[[#This Row],[Reporting Year]]&amp;"; "&amp;P509&amp;AS[[#This Row],[Insurance Category Code]]&amp;"; "&amp;Q509&amp;AS[[#This Row],[Large Provider Entity Code]]&amp;"; "&amp;R509&amp;AS[[#This Row],[Age Band Code]]&amp;"; "&amp;S509&amp;AS[[#This Row],[Sex Code]]</f>
        <v xml:space="preserve">Insurer Code ; Reporting Year ; Insurance Category Code ; Large Provider Entity Code ; Age Band Code ; Sex Code </v>
      </c>
      <c r="N509" s="297" t="s">
        <v>197</v>
      </c>
      <c r="O509" s="297" t="s">
        <v>198</v>
      </c>
      <c r="P509" s="297" t="s">
        <v>199</v>
      </c>
      <c r="Q509" s="297" t="s">
        <v>200</v>
      </c>
      <c r="R509" s="297" t="s">
        <v>213</v>
      </c>
      <c r="S509" s="297" t="s">
        <v>214</v>
      </c>
    </row>
    <row r="510" spans="1:19" x14ac:dyDescent="0.4">
      <c r="A510" s="291"/>
      <c r="B510" s="292"/>
      <c r="C510" s="312"/>
      <c r="D510" s="292"/>
      <c r="E510" s="489"/>
      <c r="F510" s="489"/>
      <c r="G510" s="490"/>
      <c r="H510" s="520"/>
      <c r="I510" s="523"/>
      <c r="J510" s="521"/>
      <c r="K510" s="522"/>
      <c r="M510" s="301" t="str">
        <f>N510&amp;AS[[#This Row],[Insurer Code]]&amp;"; "&amp;O510&amp;AS[[#This Row],[Reporting Year]]&amp;"; "&amp;P510&amp;AS[[#This Row],[Insurance Category Code]]&amp;"; "&amp;Q510&amp;AS[[#This Row],[Large Provider Entity Code]]&amp;"; "&amp;R510&amp;AS[[#This Row],[Age Band Code]]&amp;"; "&amp;S510&amp;AS[[#This Row],[Sex Code]]</f>
        <v xml:space="preserve">Insurer Code ; Reporting Year ; Insurance Category Code ; Large Provider Entity Code ; Age Band Code ; Sex Code </v>
      </c>
      <c r="N510" s="297" t="s">
        <v>197</v>
      </c>
      <c r="O510" s="297" t="s">
        <v>198</v>
      </c>
      <c r="P510" s="297" t="s">
        <v>199</v>
      </c>
      <c r="Q510" s="297" t="s">
        <v>200</v>
      </c>
      <c r="R510" s="297" t="s">
        <v>213</v>
      </c>
      <c r="S510" s="297" t="s">
        <v>214</v>
      </c>
    </row>
    <row r="511" spans="1:19" x14ac:dyDescent="0.4">
      <c r="A511" s="291"/>
      <c r="B511" s="292"/>
      <c r="C511" s="312"/>
      <c r="D511" s="292"/>
      <c r="E511" s="489"/>
      <c r="F511" s="489"/>
      <c r="G511" s="490"/>
      <c r="H511" s="520"/>
      <c r="I511" s="523"/>
      <c r="J511" s="521"/>
      <c r="K511" s="522"/>
      <c r="M511" s="301" t="str">
        <f>N511&amp;AS[[#This Row],[Insurer Code]]&amp;"; "&amp;O511&amp;AS[[#This Row],[Reporting Year]]&amp;"; "&amp;P511&amp;AS[[#This Row],[Insurance Category Code]]&amp;"; "&amp;Q511&amp;AS[[#This Row],[Large Provider Entity Code]]&amp;"; "&amp;R511&amp;AS[[#This Row],[Age Band Code]]&amp;"; "&amp;S511&amp;AS[[#This Row],[Sex Code]]</f>
        <v xml:space="preserve">Insurer Code ; Reporting Year ; Insurance Category Code ; Large Provider Entity Code ; Age Band Code ; Sex Code </v>
      </c>
      <c r="N511" s="297" t="s">
        <v>197</v>
      </c>
      <c r="O511" s="297" t="s">
        <v>198</v>
      </c>
      <c r="P511" s="297" t="s">
        <v>199</v>
      </c>
      <c r="Q511" s="297" t="s">
        <v>200</v>
      </c>
      <c r="R511" s="297" t="s">
        <v>213</v>
      </c>
      <c r="S511" s="297" t="s">
        <v>214</v>
      </c>
    </row>
    <row r="512" spans="1:19" x14ac:dyDescent="0.4">
      <c r="A512" s="291"/>
      <c r="B512" s="292"/>
      <c r="C512" s="312"/>
      <c r="D512" s="292"/>
      <c r="E512" s="489"/>
      <c r="F512" s="489"/>
      <c r="G512" s="490"/>
      <c r="H512" s="520"/>
      <c r="I512" s="523"/>
      <c r="J512" s="521"/>
      <c r="K512" s="522"/>
      <c r="M512" s="301" t="str">
        <f>N512&amp;AS[[#This Row],[Insurer Code]]&amp;"; "&amp;O512&amp;AS[[#This Row],[Reporting Year]]&amp;"; "&amp;P512&amp;AS[[#This Row],[Insurance Category Code]]&amp;"; "&amp;Q512&amp;AS[[#This Row],[Large Provider Entity Code]]&amp;"; "&amp;R512&amp;AS[[#This Row],[Age Band Code]]&amp;"; "&amp;S512&amp;AS[[#This Row],[Sex Code]]</f>
        <v xml:space="preserve">Insurer Code ; Reporting Year ; Insurance Category Code ; Large Provider Entity Code ; Age Band Code ; Sex Code </v>
      </c>
      <c r="N512" s="297" t="s">
        <v>197</v>
      </c>
      <c r="O512" s="297" t="s">
        <v>198</v>
      </c>
      <c r="P512" s="297" t="s">
        <v>199</v>
      </c>
      <c r="Q512" s="297" t="s">
        <v>200</v>
      </c>
      <c r="R512" s="297" t="s">
        <v>213</v>
      </c>
      <c r="S512" s="297" t="s">
        <v>214</v>
      </c>
    </row>
    <row r="513" spans="1:19" x14ac:dyDescent="0.4">
      <c r="A513" s="291"/>
      <c r="B513" s="292"/>
      <c r="C513" s="312"/>
      <c r="D513" s="292"/>
      <c r="E513" s="489"/>
      <c r="F513" s="489"/>
      <c r="G513" s="490"/>
      <c r="H513" s="520"/>
      <c r="I513" s="523"/>
      <c r="J513" s="521"/>
      <c r="K513" s="522"/>
      <c r="M513" s="301" t="str">
        <f>N513&amp;AS[[#This Row],[Insurer Code]]&amp;"; "&amp;O513&amp;AS[[#This Row],[Reporting Year]]&amp;"; "&amp;P513&amp;AS[[#This Row],[Insurance Category Code]]&amp;"; "&amp;Q513&amp;AS[[#This Row],[Large Provider Entity Code]]&amp;"; "&amp;R513&amp;AS[[#This Row],[Age Band Code]]&amp;"; "&amp;S513&amp;AS[[#This Row],[Sex Code]]</f>
        <v xml:space="preserve">Insurer Code ; Reporting Year ; Insurance Category Code ; Large Provider Entity Code ; Age Band Code ; Sex Code </v>
      </c>
      <c r="N513" s="297" t="s">
        <v>197</v>
      </c>
      <c r="O513" s="297" t="s">
        <v>198</v>
      </c>
      <c r="P513" s="297" t="s">
        <v>199</v>
      </c>
      <c r="Q513" s="297" t="s">
        <v>200</v>
      </c>
      <c r="R513" s="297" t="s">
        <v>213</v>
      </c>
      <c r="S513" s="297" t="s">
        <v>214</v>
      </c>
    </row>
    <row r="514" spans="1:19" x14ac:dyDescent="0.4">
      <c r="A514" s="291"/>
      <c r="B514" s="292"/>
      <c r="C514" s="312"/>
      <c r="D514" s="292"/>
      <c r="E514" s="489"/>
      <c r="F514" s="489"/>
      <c r="G514" s="490"/>
      <c r="H514" s="520"/>
      <c r="I514" s="523"/>
      <c r="J514" s="521"/>
      <c r="K514" s="522"/>
      <c r="M514" s="301" t="str">
        <f>N514&amp;AS[[#This Row],[Insurer Code]]&amp;"; "&amp;O514&amp;AS[[#This Row],[Reporting Year]]&amp;"; "&amp;P514&amp;AS[[#This Row],[Insurance Category Code]]&amp;"; "&amp;Q514&amp;AS[[#This Row],[Large Provider Entity Code]]&amp;"; "&amp;R514&amp;AS[[#This Row],[Age Band Code]]&amp;"; "&amp;S514&amp;AS[[#This Row],[Sex Code]]</f>
        <v xml:space="preserve">Insurer Code ; Reporting Year ; Insurance Category Code ; Large Provider Entity Code ; Age Band Code ; Sex Code </v>
      </c>
      <c r="N514" s="297" t="s">
        <v>197</v>
      </c>
      <c r="O514" s="297" t="s">
        <v>198</v>
      </c>
      <c r="P514" s="297" t="s">
        <v>199</v>
      </c>
      <c r="Q514" s="297" t="s">
        <v>200</v>
      </c>
      <c r="R514" s="297" t="s">
        <v>213</v>
      </c>
      <c r="S514" s="297" t="s">
        <v>214</v>
      </c>
    </row>
    <row r="515" spans="1:19" x14ac:dyDescent="0.4">
      <c r="A515" s="291"/>
      <c r="B515" s="292"/>
      <c r="C515" s="312"/>
      <c r="D515" s="292"/>
      <c r="E515" s="489"/>
      <c r="F515" s="489"/>
      <c r="G515" s="490"/>
      <c r="H515" s="520"/>
      <c r="I515" s="523"/>
      <c r="J515" s="521"/>
      <c r="K515" s="522"/>
      <c r="M515" s="301" t="str">
        <f>N515&amp;AS[[#This Row],[Insurer Code]]&amp;"; "&amp;O515&amp;AS[[#This Row],[Reporting Year]]&amp;"; "&amp;P515&amp;AS[[#This Row],[Insurance Category Code]]&amp;"; "&amp;Q515&amp;AS[[#This Row],[Large Provider Entity Code]]&amp;"; "&amp;R515&amp;AS[[#This Row],[Age Band Code]]&amp;"; "&amp;S515&amp;AS[[#This Row],[Sex Code]]</f>
        <v xml:space="preserve">Insurer Code ; Reporting Year ; Insurance Category Code ; Large Provider Entity Code ; Age Band Code ; Sex Code </v>
      </c>
      <c r="N515" s="297" t="s">
        <v>197</v>
      </c>
      <c r="O515" s="297" t="s">
        <v>198</v>
      </c>
      <c r="P515" s="297" t="s">
        <v>199</v>
      </c>
      <c r="Q515" s="297" t="s">
        <v>200</v>
      </c>
      <c r="R515" s="297" t="s">
        <v>213</v>
      </c>
      <c r="S515" s="297" t="s">
        <v>214</v>
      </c>
    </row>
    <row r="516" spans="1:19" x14ac:dyDescent="0.4">
      <c r="A516" s="291"/>
      <c r="B516" s="292"/>
      <c r="C516" s="312"/>
      <c r="D516" s="292"/>
      <c r="E516" s="489"/>
      <c r="F516" s="489"/>
      <c r="G516" s="490"/>
      <c r="H516" s="520"/>
      <c r="I516" s="523"/>
      <c r="J516" s="521"/>
      <c r="K516" s="522"/>
      <c r="M516" s="301" t="str">
        <f>N516&amp;AS[[#This Row],[Insurer Code]]&amp;"; "&amp;O516&amp;AS[[#This Row],[Reporting Year]]&amp;"; "&amp;P516&amp;AS[[#This Row],[Insurance Category Code]]&amp;"; "&amp;Q516&amp;AS[[#This Row],[Large Provider Entity Code]]&amp;"; "&amp;R516&amp;AS[[#This Row],[Age Band Code]]&amp;"; "&amp;S516&amp;AS[[#This Row],[Sex Code]]</f>
        <v xml:space="preserve">Insurer Code ; Reporting Year ; Insurance Category Code ; Large Provider Entity Code ; Age Band Code ; Sex Code </v>
      </c>
      <c r="N516" s="297" t="s">
        <v>197</v>
      </c>
      <c r="O516" s="297" t="s">
        <v>198</v>
      </c>
      <c r="P516" s="297" t="s">
        <v>199</v>
      </c>
      <c r="Q516" s="297" t="s">
        <v>200</v>
      </c>
      <c r="R516" s="297" t="s">
        <v>213</v>
      </c>
      <c r="S516" s="297" t="s">
        <v>214</v>
      </c>
    </row>
    <row r="517" spans="1:19" x14ac:dyDescent="0.4">
      <c r="A517" s="291"/>
      <c r="B517" s="292"/>
      <c r="C517" s="312"/>
      <c r="D517" s="292"/>
      <c r="E517" s="489"/>
      <c r="F517" s="489"/>
      <c r="G517" s="490"/>
      <c r="H517" s="520"/>
      <c r="I517" s="523"/>
      <c r="J517" s="521"/>
      <c r="K517" s="522"/>
      <c r="M517" s="301" t="str">
        <f>N517&amp;AS[[#This Row],[Insurer Code]]&amp;"; "&amp;O517&amp;AS[[#This Row],[Reporting Year]]&amp;"; "&amp;P517&amp;AS[[#This Row],[Insurance Category Code]]&amp;"; "&amp;Q517&amp;AS[[#This Row],[Large Provider Entity Code]]&amp;"; "&amp;R517&amp;AS[[#This Row],[Age Band Code]]&amp;"; "&amp;S517&amp;AS[[#This Row],[Sex Code]]</f>
        <v xml:space="preserve">Insurer Code ; Reporting Year ; Insurance Category Code ; Large Provider Entity Code ; Age Band Code ; Sex Code </v>
      </c>
      <c r="N517" s="297" t="s">
        <v>197</v>
      </c>
      <c r="O517" s="297" t="s">
        <v>198</v>
      </c>
      <c r="P517" s="297" t="s">
        <v>199</v>
      </c>
      <c r="Q517" s="297" t="s">
        <v>200</v>
      </c>
      <c r="R517" s="297" t="s">
        <v>213</v>
      </c>
      <c r="S517" s="297" t="s">
        <v>214</v>
      </c>
    </row>
    <row r="518" spans="1:19" x14ac:dyDescent="0.4">
      <c r="A518" s="291"/>
      <c r="B518" s="292"/>
      <c r="C518" s="312"/>
      <c r="D518" s="292"/>
      <c r="E518" s="489"/>
      <c r="F518" s="489"/>
      <c r="G518" s="490"/>
      <c r="H518" s="520"/>
      <c r="I518" s="523"/>
      <c r="J518" s="521"/>
      <c r="K518" s="522"/>
      <c r="M518" s="301" t="str">
        <f>N518&amp;AS[[#This Row],[Insurer Code]]&amp;"; "&amp;O518&amp;AS[[#This Row],[Reporting Year]]&amp;"; "&amp;P518&amp;AS[[#This Row],[Insurance Category Code]]&amp;"; "&amp;Q518&amp;AS[[#This Row],[Large Provider Entity Code]]&amp;"; "&amp;R518&amp;AS[[#This Row],[Age Band Code]]&amp;"; "&amp;S518&amp;AS[[#This Row],[Sex Code]]</f>
        <v xml:space="preserve">Insurer Code ; Reporting Year ; Insurance Category Code ; Large Provider Entity Code ; Age Band Code ; Sex Code </v>
      </c>
      <c r="N518" s="297" t="s">
        <v>197</v>
      </c>
      <c r="O518" s="297" t="s">
        <v>198</v>
      </c>
      <c r="P518" s="297" t="s">
        <v>199</v>
      </c>
      <c r="Q518" s="297" t="s">
        <v>200</v>
      </c>
      <c r="R518" s="297" t="s">
        <v>213</v>
      </c>
      <c r="S518" s="297" t="s">
        <v>214</v>
      </c>
    </row>
    <row r="519" spans="1:19" x14ac:dyDescent="0.4">
      <c r="A519" s="291"/>
      <c r="B519" s="292"/>
      <c r="C519" s="312"/>
      <c r="D519" s="292"/>
      <c r="E519" s="489"/>
      <c r="F519" s="489"/>
      <c r="G519" s="490"/>
      <c r="H519" s="520"/>
      <c r="I519" s="523"/>
      <c r="J519" s="521"/>
      <c r="K519" s="522"/>
      <c r="M519" s="301" t="str">
        <f>N519&amp;AS[[#This Row],[Insurer Code]]&amp;"; "&amp;O519&amp;AS[[#This Row],[Reporting Year]]&amp;"; "&amp;P519&amp;AS[[#This Row],[Insurance Category Code]]&amp;"; "&amp;Q519&amp;AS[[#This Row],[Large Provider Entity Code]]&amp;"; "&amp;R519&amp;AS[[#This Row],[Age Band Code]]&amp;"; "&amp;S519&amp;AS[[#This Row],[Sex Code]]</f>
        <v xml:space="preserve">Insurer Code ; Reporting Year ; Insurance Category Code ; Large Provider Entity Code ; Age Band Code ; Sex Code </v>
      </c>
      <c r="N519" s="297" t="s">
        <v>197</v>
      </c>
      <c r="O519" s="297" t="s">
        <v>198</v>
      </c>
      <c r="P519" s="297" t="s">
        <v>199</v>
      </c>
      <c r="Q519" s="297" t="s">
        <v>200</v>
      </c>
      <c r="R519" s="297" t="s">
        <v>213</v>
      </c>
      <c r="S519" s="297" t="s">
        <v>214</v>
      </c>
    </row>
    <row r="520" spans="1:19" x14ac:dyDescent="0.4">
      <c r="A520" s="291"/>
      <c r="B520" s="292"/>
      <c r="C520" s="312"/>
      <c r="D520" s="292"/>
      <c r="E520" s="489"/>
      <c r="F520" s="489"/>
      <c r="G520" s="490"/>
      <c r="H520" s="520"/>
      <c r="I520" s="523"/>
      <c r="J520" s="521"/>
      <c r="K520" s="522"/>
      <c r="M520" s="301" t="str">
        <f>N520&amp;AS[[#This Row],[Insurer Code]]&amp;"; "&amp;O520&amp;AS[[#This Row],[Reporting Year]]&amp;"; "&amp;P520&amp;AS[[#This Row],[Insurance Category Code]]&amp;"; "&amp;Q520&amp;AS[[#This Row],[Large Provider Entity Code]]&amp;"; "&amp;R520&amp;AS[[#This Row],[Age Band Code]]&amp;"; "&amp;S520&amp;AS[[#This Row],[Sex Code]]</f>
        <v xml:space="preserve">Insurer Code ; Reporting Year ; Insurance Category Code ; Large Provider Entity Code ; Age Band Code ; Sex Code </v>
      </c>
      <c r="N520" s="297" t="s">
        <v>197</v>
      </c>
      <c r="O520" s="297" t="s">
        <v>198</v>
      </c>
      <c r="P520" s="297" t="s">
        <v>199</v>
      </c>
      <c r="Q520" s="297" t="s">
        <v>200</v>
      </c>
      <c r="R520" s="297" t="s">
        <v>213</v>
      </c>
      <c r="S520" s="297" t="s">
        <v>214</v>
      </c>
    </row>
    <row r="521" spans="1:19" x14ac:dyDescent="0.4">
      <c r="A521" s="291"/>
      <c r="B521" s="292"/>
      <c r="C521" s="312"/>
      <c r="D521" s="292"/>
      <c r="E521" s="489"/>
      <c r="F521" s="489"/>
      <c r="G521" s="490"/>
      <c r="H521" s="520"/>
      <c r="I521" s="523"/>
      <c r="J521" s="521"/>
      <c r="K521" s="522"/>
      <c r="M521" s="301" t="str">
        <f>N521&amp;AS[[#This Row],[Insurer Code]]&amp;"; "&amp;O521&amp;AS[[#This Row],[Reporting Year]]&amp;"; "&amp;P521&amp;AS[[#This Row],[Insurance Category Code]]&amp;"; "&amp;Q521&amp;AS[[#This Row],[Large Provider Entity Code]]&amp;"; "&amp;R521&amp;AS[[#This Row],[Age Band Code]]&amp;"; "&amp;S521&amp;AS[[#This Row],[Sex Code]]</f>
        <v xml:space="preserve">Insurer Code ; Reporting Year ; Insurance Category Code ; Large Provider Entity Code ; Age Band Code ; Sex Code </v>
      </c>
      <c r="N521" s="297" t="s">
        <v>197</v>
      </c>
      <c r="O521" s="297" t="s">
        <v>198</v>
      </c>
      <c r="P521" s="297" t="s">
        <v>199</v>
      </c>
      <c r="Q521" s="297" t="s">
        <v>200</v>
      </c>
      <c r="R521" s="297" t="s">
        <v>213</v>
      </c>
      <c r="S521" s="297" t="s">
        <v>214</v>
      </c>
    </row>
    <row r="522" spans="1:19" x14ac:dyDescent="0.4">
      <c r="A522" s="291"/>
      <c r="B522" s="292"/>
      <c r="C522" s="312"/>
      <c r="D522" s="292"/>
      <c r="E522" s="489"/>
      <c r="F522" s="489"/>
      <c r="G522" s="490"/>
      <c r="H522" s="520"/>
      <c r="I522" s="523"/>
      <c r="J522" s="521"/>
      <c r="K522" s="522"/>
      <c r="M522" s="301" t="str">
        <f>N522&amp;AS[[#This Row],[Insurer Code]]&amp;"; "&amp;O522&amp;AS[[#This Row],[Reporting Year]]&amp;"; "&amp;P522&amp;AS[[#This Row],[Insurance Category Code]]&amp;"; "&amp;Q522&amp;AS[[#This Row],[Large Provider Entity Code]]&amp;"; "&amp;R522&amp;AS[[#This Row],[Age Band Code]]&amp;"; "&amp;S522&amp;AS[[#This Row],[Sex Code]]</f>
        <v xml:space="preserve">Insurer Code ; Reporting Year ; Insurance Category Code ; Large Provider Entity Code ; Age Band Code ; Sex Code </v>
      </c>
      <c r="N522" s="297" t="s">
        <v>197</v>
      </c>
      <c r="O522" s="297" t="s">
        <v>198</v>
      </c>
      <c r="P522" s="297" t="s">
        <v>199</v>
      </c>
      <c r="Q522" s="297" t="s">
        <v>200</v>
      </c>
      <c r="R522" s="297" t="s">
        <v>213</v>
      </c>
      <c r="S522" s="297" t="s">
        <v>214</v>
      </c>
    </row>
    <row r="523" spans="1:19" x14ac:dyDescent="0.4">
      <c r="A523" s="291"/>
      <c r="B523" s="292"/>
      <c r="C523" s="312"/>
      <c r="D523" s="292"/>
      <c r="E523" s="489"/>
      <c r="F523" s="489"/>
      <c r="G523" s="490"/>
      <c r="H523" s="520"/>
      <c r="I523" s="523"/>
      <c r="J523" s="521"/>
      <c r="K523" s="522"/>
      <c r="M523" s="301" t="str">
        <f>N523&amp;AS[[#This Row],[Insurer Code]]&amp;"; "&amp;O523&amp;AS[[#This Row],[Reporting Year]]&amp;"; "&amp;P523&amp;AS[[#This Row],[Insurance Category Code]]&amp;"; "&amp;Q523&amp;AS[[#This Row],[Large Provider Entity Code]]&amp;"; "&amp;R523&amp;AS[[#This Row],[Age Band Code]]&amp;"; "&amp;S523&amp;AS[[#This Row],[Sex Code]]</f>
        <v xml:space="preserve">Insurer Code ; Reporting Year ; Insurance Category Code ; Large Provider Entity Code ; Age Band Code ; Sex Code </v>
      </c>
      <c r="N523" s="297" t="s">
        <v>197</v>
      </c>
      <c r="O523" s="297" t="s">
        <v>198</v>
      </c>
      <c r="P523" s="297" t="s">
        <v>199</v>
      </c>
      <c r="Q523" s="297" t="s">
        <v>200</v>
      </c>
      <c r="R523" s="297" t="s">
        <v>213</v>
      </c>
      <c r="S523" s="297" t="s">
        <v>214</v>
      </c>
    </row>
    <row r="524" spans="1:19" x14ac:dyDescent="0.4">
      <c r="A524" s="291"/>
      <c r="B524" s="292"/>
      <c r="C524" s="312"/>
      <c r="D524" s="292"/>
      <c r="E524" s="489"/>
      <c r="F524" s="489"/>
      <c r="G524" s="490"/>
      <c r="H524" s="520"/>
      <c r="I524" s="523"/>
      <c r="J524" s="521"/>
      <c r="K524" s="522"/>
      <c r="M524" s="301" t="str">
        <f>N524&amp;AS[[#This Row],[Insurer Code]]&amp;"; "&amp;O524&amp;AS[[#This Row],[Reporting Year]]&amp;"; "&amp;P524&amp;AS[[#This Row],[Insurance Category Code]]&amp;"; "&amp;Q524&amp;AS[[#This Row],[Large Provider Entity Code]]&amp;"; "&amp;R524&amp;AS[[#This Row],[Age Band Code]]&amp;"; "&amp;S524&amp;AS[[#This Row],[Sex Code]]</f>
        <v xml:space="preserve">Insurer Code ; Reporting Year ; Insurance Category Code ; Large Provider Entity Code ; Age Band Code ; Sex Code </v>
      </c>
      <c r="N524" s="297" t="s">
        <v>197</v>
      </c>
      <c r="O524" s="297" t="s">
        <v>198</v>
      </c>
      <c r="P524" s="297" t="s">
        <v>199</v>
      </c>
      <c r="Q524" s="297" t="s">
        <v>200</v>
      </c>
      <c r="R524" s="297" t="s">
        <v>213</v>
      </c>
      <c r="S524" s="297" t="s">
        <v>214</v>
      </c>
    </row>
    <row r="525" spans="1:19" x14ac:dyDescent="0.4">
      <c r="A525" s="291"/>
      <c r="B525" s="292"/>
      <c r="C525" s="312"/>
      <c r="D525" s="292"/>
      <c r="E525" s="489"/>
      <c r="F525" s="489"/>
      <c r="G525" s="490"/>
      <c r="H525" s="520"/>
      <c r="I525" s="523"/>
      <c r="J525" s="521"/>
      <c r="K525" s="522"/>
      <c r="M525" s="301" t="str">
        <f>N525&amp;AS[[#This Row],[Insurer Code]]&amp;"; "&amp;O525&amp;AS[[#This Row],[Reporting Year]]&amp;"; "&amp;P525&amp;AS[[#This Row],[Insurance Category Code]]&amp;"; "&amp;Q525&amp;AS[[#This Row],[Large Provider Entity Code]]&amp;"; "&amp;R525&amp;AS[[#This Row],[Age Band Code]]&amp;"; "&amp;S525&amp;AS[[#This Row],[Sex Code]]</f>
        <v xml:space="preserve">Insurer Code ; Reporting Year ; Insurance Category Code ; Large Provider Entity Code ; Age Band Code ; Sex Code </v>
      </c>
      <c r="N525" s="297" t="s">
        <v>197</v>
      </c>
      <c r="O525" s="297" t="s">
        <v>198</v>
      </c>
      <c r="P525" s="297" t="s">
        <v>199</v>
      </c>
      <c r="Q525" s="297" t="s">
        <v>200</v>
      </c>
      <c r="R525" s="297" t="s">
        <v>213</v>
      </c>
      <c r="S525" s="297" t="s">
        <v>214</v>
      </c>
    </row>
    <row r="526" spans="1:19" x14ac:dyDescent="0.4">
      <c r="A526" s="291"/>
      <c r="B526" s="292"/>
      <c r="C526" s="312"/>
      <c r="D526" s="292"/>
      <c r="E526" s="489"/>
      <c r="F526" s="489"/>
      <c r="G526" s="490"/>
      <c r="H526" s="520"/>
      <c r="I526" s="523"/>
      <c r="J526" s="521"/>
      <c r="K526" s="522"/>
      <c r="M526" s="301" t="str">
        <f>N526&amp;AS[[#This Row],[Insurer Code]]&amp;"; "&amp;O526&amp;AS[[#This Row],[Reporting Year]]&amp;"; "&amp;P526&amp;AS[[#This Row],[Insurance Category Code]]&amp;"; "&amp;Q526&amp;AS[[#This Row],[Large Provider Entity Code]]&amp;"; "&amp;R526&amp;AS[[#This Row],[Age Band Code]]&amp;"; "&amp;S526&amp;AS[[#This Row],[Sex Code]]</f>
        <v xml:space="preserve">Insurer Code ; Reporting Year ; Insurance Category Code ; Large Provider Entity Code ; Age Band Code ; Sex Code </v>
      </c>
      <c r="N526" s="297" t="s">
        <v>197</v>
      </c>
      <c r="O526" s="297" t="s">
        <v>198</v>
      </c>
      <c r="P526" s="297" t="s">
        <v>199</v>
      </c>
      <c r="Q526" s="297" t="s">
        <v>200</v>
      </c>
      <c r="R526" s="297" t="s">
        <v>213</v>
      </c>
      <c r="S526" s="297" t="s">
        <v>214</v>
      </c>
    </row>
    <row r="527" spans="1:19" x14ac:dyDescent="0.4">
      <c r="A527" s="291"/>
      <c r="B527" s="292"/>
      <c r="C527" s="312"/>
      <c r="D527" s="292"/>
      <c r="E527" s="489"/>
      <c r="F527" s="489"/>
      <c r="G527" s="490"/>
      <c r="H527" s="520"/>
      <c r="I527" s="523"/>
      <c r="J527" s="521"/>
      <c r="K527" s="522"/>
      <c r="M527" s="301" t="str">
        <f>N527&amp;AS[[#This Row],[Insurer Code]]&amp;"; "&amp;O527&amp;AS[[#This Row],[Reporting Year]]&amp;"; "&amp;P527&amp;AS[[#This Row],[Insurance Category Code]]&amp;"; "&amp;Q527&amp;AS[[#This Row],[Large Provider Entity Code]]&amp;"; "&amp;R527&amp;AS[[#This Row],[Age Band Code]]&amp;"; "&amp;S527&amp;AS[[#This Row],[Sex Code]]</f>
        <v xml:space="preserve">Insurer Code ; Reporting Year ; Insurance Category Code ; Large Provider Entity Code ; Age Band Code ; Sex Code </v>
      </c>
      <c r="N527" s="297" t="s">
        <v>197</v>
      </c>
      <c r="O527" s="297" t="s">
        <v>198</v>
      </c>
      <c r="P527" s="297" t="s">
        <v>199</v>
      </c>
      <c r="Q527" s="297" t="s">
        <v>200</v>
      </c>
      <c r="R527" s="297" t="s">
        <v>213</v>
      </c>
      <c r="S527" s="297" t="s">
        <v>214</v>
      </c>
    </row>
    <row r="528" spans="1:19" x14ac:dyDescent="0.4">
      <c r="A528" s="291"/>
      <c r="B528" s="292"/>
      <c r="C528" s="312"/>
      <c r="D528" s="292"/>
      <c r="E528" s="489"/>
      <c r="F528" s="489"/>
      <c r="G528" s="490"/>
      <c r="H528" s="520"/>
      <c r="I528" s="523"/>
      <c r="J528" s="521"/>
      <c r="K528" s="522"/>
      <c r="M528" s="301" t="str">
        <f>N528&amp;AS[[#This Row],[Insurer Code]]&amp;"; "&amp;O528&amp;AS[[#This Row],[Reporting Year]]&amp;"; "&amp;P528&amp;AS[[#This Row],[Insurance Category Code]]&amp;"; "&amp;Q528&amp;AS[[#This Row],[Large Provider Entity Code]]&amp;"; "&amp;R528&amp;AS[[#This Row],[Age Band Code]]&amp;"; "&amp;S528&amp;AS[[#This Row],[Sex Code]]</f>
        <v xml:space="preserve">Insurer Code ; Reporting Year ; Insurance Category Code ; Large Provider Entity Code ; Age Band Code ; Sex Code </v>
      </c>
      <c r="N528" s="297" t="s">
        <v>197</v>
      </c>
      <c r="O528" s="297" t="s">
        <v>198</v>
      </c>
      <c r="P528" s="297" t="s">
        <v>199</v>
      </c>
      <c r="Q528" s="297" t="s">
        <v>200</v>
      </c>
      <c r="R528" s="297" t="s">
        <v>213</v>
      </c>
      <c r="S528" s="297" t="s">
        <v>214</v>
      </c>
    </row>
    <row r="529" spans="1:19" x14ac:dyDescent="0.4">
      <c r="A529" s="291"/>
      <c r="B529" s="292"/>
      <c r="C529" s="312"/>
      <c r="D529" s="292"/>
      <c r="E529" s="489"/>
      <c r="F529" s="489"/>
      <c r="G529" s="490"/>
      <c r="H529" s="520"/>
      <c r="I529" s="523"/>
      <c r="J529" s="521"/>
      <c r="K529" s="522"/>
      <c r="M529" s="301" t="str">
        <f>N529&amp;AS[[#This Row],[Insurer Code]]&amp;"; "&amp;O529&amp;AS[[#This Row],[Reporting Year]]&amp;"; "&amp;P529&amp;AS[[#This Row],[Insurance Category Code]]&amp;"; "&amp;Q529&amp;AS[[#This Row],[Large Provider Entity Code]]&amp;"; "&amp;R529&amp;AS[[#This Row],[Age Band Code]]&amp;"; "&amp;S529&amp;AS[[#This Row],[Sex Code]]</f>
        <v xml:space="preserve">Insurer Code ; Reporting Year ; Insurance Category Code ; Large Provider Entity Code ; Age Band Code ; Sex Code </v>
      </c>
      <c r="N529" s="297" t="s">
        <v>197</v>
      </c>
      <c r="O529" s="297" t="s">
        <v>198</v>
      </c>
      <c r="P529" s="297" t="s">
        <v>199</v>
      </c>
      <c r="Q529" s="297" t="s">
        <v>200</v>
      </c>
      <c r="R529" s="297" t="s">
        <v>213</v>
      </c>
      <c r="S529" s="297" t="s">
        <v>214</v>
      </c>
    </row>
    <row r="530" spans="1:19" x14ac:dyDescent="0.4">
      <c r="A530" s="291"/>
      <c r="B530" s="292"/>
      <c r="C530" s="312"/>
      <c r="D530" s="292"/>
      <c r="E530" s="489"/>
      <c r="F530" s="489"/>
      <c r="G530" s="490"/>
      <c r="H530" s="520"/>
      <c r="I530" s="523"/>
      <c r="J530" s="521"/>
      <c r="K530" s="522"/>
      <c r="M530" s="301" t="str">
        <f>N530&amp;AS[[#This Row],[Insurer Code]]&amp;"; "&amp;O530&amp;AS[[#This Row],[Reporting Year]]&amp;"; "&amp;P530&amp;AS[[#This Row],[Insurance Category Code]]&amp;"; "&amp;Q530&amp;AS[[#This Row],[Large Provider Entity Code]]&amp;"; "&amp;R530&amp;AS[[#This Row],[Age Band Code]]&amp;"; "&amp;S530&amp;AS[[#This Row],[Sex Code]]</f>
        <v xml:space="preserve">Insurer Code ; Reporting Year ; Insurance Category Code ; Large Provider Entity Code ; Age Band Code ; Sex Code </v>
      </c>
      <c r="N530" s="297" t="s">
        <v>197</v>
      </c>
      <c r="O530" s="297" t="s">
        <v>198</v>
      </c>
      <c r="P530" s="297" t="s">
        <v>199</v>
      </c>
      <c r="Q530" s="297" t="s">
        <v>200</v>
      </c>
      <c r="R530" s="297" t="s">
        <v>213</v>
      </c>
      <c r="S530" s="297" t="s">
        <v>214</v>
      </c>
    </row>
    <row r="531" spans="1:19" x14ac:dyDescent="0.4">
      <c r="A531" s="291"/>
      <c r="B531" s="292"/>
      <c r="C531" s="312"/>
      <c r="D531" s="292"/>
      <c r="E531" s="489"/>
      <c r="F531" s="489"/>
      <c r="G531" s="490"/>
      <c r="H531" s="520"/>
      <c r="I531" s="523"/>
      <c r="J531" s="521"/>
      <c r="K531" s="522"/>
      <c r="M531" s="301" t="str">
        <f>N531&amp;AS[[#This Row],[Insurer Code]]&amp;"; "&amp;O531&amp;AS[[#This Row],[Reporting Year]]&amp;"; "&amp;P531&amp;AS[[#This Row],[Insurance Category Code]]&amp;"; "&amp;Q531&amp;AS[[#This Row],[Large Provider Entity Code]]&amp;"; "&amp;R531&amp;AS[[#This Row],[Age Band Code]]&amp;"; "&amp;S531&amp;AS[[#This Row],[Sex Code]]</f>
        <v xml:space="preserve">Insurer Code ; Reporting Year ; Insurance Category Code ; Large Provider Entity Code ; Age Band Code ; Sex Code </v>
      </c>
      <c r="N531" s="297" t="s">
        <v>197</v>
      </c>
      <c r="O531" s="297" t="s">
        <v>198</v>
      </c>
      <c r="P531" s="297" t="s">
        <v>199</v>
      </c>
      <c r="Q531" s="297" t="s">
        <v>200</v>
      </c>
      <c r="R531" s="297" t="s">
        <v>213</v>
      </c>
      <c r="S531" s="297" t="s">
        <v>214</v>
      </c>
    </row>
    <row r="532" spans="1:19" x14ac:dyDescent="0.4">
      <c r="A532" s="291"/>
      <c r="B532" s="292"/>
      <c r="C532" s="312"/>
      <c r="D532" s="292"/>
      <c r="E532" s="489"/>
      <c r="F532" s="489"/>
      <c r="G532" s="490"/>
      <c r="H532" s="520"/>
      <c r="I532" s="523"/>
      <c r="J532" s="521"/>
      <c r="K532" s="522"/>
      <c r="M532" s="301" t="str">
        <f>N532&amp;AS[[#This Row],[Insurer Code]]&amp;"; "&amp;O532&amp;AS[[#This Row],[Reporting Year]]&amp;"; "&amp;P532&amp;AS[[#This Row],[Insurance Category Code]]&amp;"; "&amp;Q532&amp;AS[[#This Row],[Large Provider Entity Code]]&amp;"; "&amp;R532&amp;AS[[#This Row],[Age Band Code]]&amp;"; "&amp;S532&amp;AS[[#This Row],[Sex Code]]</f>
        <v xml:space="preserve">Insurer Code ; Reporting Year ; Insurance Category Code ; Large Provider Entity Code ; Age Band Code ; Sex Code </v>
      </c>
      <c r="N532" s="297" t="s">
        <v>197</v>
      </c>
      <c r="O532" s="297" t="s">
        <v>198</v>
      </c>
      <c r="P532" s="297" t="s">
        <v>199</v>
      </c>
      <c r="Q532" s="297" t="s">
        <v>200</v>
      </c>
      <c r="R532" s="297" t="s">
        <v>213</v>
      </c>
      <c r="S532" s="297" t="s">
        <v>214</v>
      </c>
    </row>
    <row r="533" spans="1:19" x14ac:dyDescent="0.4">
      <c r="A533" s="291"/>
      <c r="B533" s="292"/>
      <c r="C533" s="312"/>
      <c r="D533" s="292"/>
      <c r="E533" s="489"/>
      <c r="F533" s="489"/>
      <c r="G533" s="490"/>
      <c r="H533" s="520"/>
      <c r="I533" s="523"/>
      <c r="J533" s="521"/>
      <c r="K533" s="522"/>
      <c r="M533" s="301" t="str">
        <f>N533&amp;AS[[#This Row],[Insurer Code]]&amp;"; "&amp;O533&amp;AS[[#This Row],[Reporting Year]]&amp;"; "&amp;P533&amp;AS[[#This Row],[Insurance Category Code]]&amp;"; "&amp;Q533&amp;AS[[#This Row],[Large Provider Entity Code]]&amp;"; "&amp;R533&amp;AS[[#This Row],[Age Band Code]]&amp;"; "&amp;S533&amp;AS[[#This Row],[Sex Code]]</f>
        <v xml:space="preserve">Insurer Code ; Reporting Year ; Insurance Category Code ; Large Provider Entity Code ; Age Band Code ; Sex Code </v>
      </c>
      <c r="N533" s="297" t="s">
        <v>197</v>
      </c>
      <c r="O533" s="297" t="s">
        <v>198</v>
      </c>
      <c r="P533" s="297" t="s">
        <v>199</v>
      </c>
      <c r="Q533" s="297" t="s">
        <v>200</v>
      </c>
      <c r="R533" s="297" t="s">
        <v>213</v>
      </c>
      <c r="S533" s="297" t="s">
        <v>214</v>
      </c>
    </row>
    <row r="534" spans="1:19" x14ac:dyDescent="0.4">
      <c r="A534" s="291"/>
      <c r="B534" s="292"/>
      <c r="C534" s="312"/>
      <c r="D534" s="292"/>
      <c r="E534" s="489"/>
      <c r="F534" s="489"/>
      <c r="G534" s="490"/>
      <c r="H534" s="520"/>
      <c r="I534" s="523"/>
      <c r="J534" s="521"/>
      <c r="K534" s="522"/>
      <c r="M534" s="301" t="str">
        <f>N534&amp;AS[[#This Row],[Insurer Code]]&amp;"; "&amp;O534&amp;AS[[#This Row],[Reporting Year]]&amp;"; "&amp;P534&amp;AS[[#This Row],[Insurance Category Code]]&amp;"; "&amp;Q534&amp;AS[[#This Row],[Large Provider Entity Code]]&amp;"; "&amp;R534&amp;AS[[#This Row],[Age Band Code]]&amp;"; "&amp;S534&amp;AS[[#This Row],[Sex Code]]</f>
        <v xml:space="preserve">Insurer Code ; Reporting Year ; Insurance Category Code ; Large Provider Entity Code ; Age Band Code ; Sex Code </v>
      </c>
      <c r="N534" s="297" t="s">
        <v>197</v>
      </c>
      <c r="O534" s="297" t="s">
        <v>198</v>
      </c>
      <c r="P534" s="297" t="s">
        <v>199</v>
      </c>
      <c r="Q534" s="297" t="s">
        <v>200</v>
      </c>
      <c r="R534" s="297" t="s">
        <v>213</v>
      </c>
      <c r="S534" s="297" t="s">
        <v>214</v>
      </c>
    </row>
    <row r="535" spans="1:19" x14ac:dyDescent="0.4">
      <c r="A535" s="291"/>
      <c r="B535" s="292"/>
      <c r="C535" s="312"/>
      <c r="D535" s="292"/>
      <c r="E535" s="489"/>
      <c r="F535" s="489"/>
      <c r="G535" s="490"/>
      <c r="H535" s="520"/>
      <c r="I535" s="523"/>
      <c r="J535" s="521"/>
      <c r="K535" s="522"/>
      <c r="M535" s="301" t="str">
        <f>N535&amp;AS[[#This Row],[Insurer Code]]&amp;"; "&amp;O535&amp;AS[[#This Row],[Reporting Year]]&amp;"; "&amp;P535&amp;AS[[#This Row],[Insurance Category Code]]&amp;"; "&amp;Q535&amp;AS[[#This Row],[Large Provider Entity Code]]&amp;"; "&amp;R535&amp;AS[[#This Row],[Age Band Code]]&amp;"; "&amp;S535&amp;AS[[#This Row],[Sex Code]]</f>
        <v xml:space="preserve">Insurer Code ; Reporting Year ; Insurance Category Code ; Large Provider Entity Code ; Age Band Code ; Sex Code </v>
      </c>
      <c r="N535" s="297" t="s">
        <v>197</v>
      </c>
      <c r="O535" s="297" t="s">
        <v>198</v>
      </c>
      <c r="P535" s="297" t="s">
        <v>199</v>
      </c>
      <c r="Q535" s="297" t="s">
        <v>200</v>
      </c>
      <c r="R535" s="297" t="s">
        <v>213</v>
      </c>
      <c r="S535" s="297" t="s">
        <v>214</v>
      </c>
    </row>
    <row r="536" spans="1:19" x14ac:dyDescent="0.4">
      <c r="A536" s="291"/>
      <c r="B536" s="292"/>
      <c r="C536" s="312"/>
      <c r="D536" s="292"/>
      <c r="E536" s="489"/>
      <c r="F536" s="489"/>
      <c r="G536" s="490"/>
      <c r="H536" s="520"/>
      <c r="I536" s="523"/>
      <c r="J536" s="521"/>
      <c r="K536" s="522"/>
      <c r="M536" s="301" t="str">
        <f>N536&amp;AS[[#This Row],[Insurer Code]]&amp;"; "&amp;O536&amp;AS[[#This Row],[Reporting Year]]&amp;"; "&amp;P536&amp;AS[[#This Row],[Insurance Category Code]]&amp;"; "&amp;Q536&amp;AS[[#This Row],[Large Provider Entity Code]]&amp;"; "&amp;R536&amp;AS[[#This Row],[Age Band Code]]&amp;"; "&amp;S536&amp;AS[[#This Row],[Sex Code]]</f>
        <v xml:space="preserve">Insurer Code ; Reporting Year ; Insurance Category Code ; Large Provider Entity Code ; Age Band Code ; Sex Code </v>
      </c>
      <c r="N536" s="297" t="s">
        <v>197</v>
      </c>
      <c r="O536" s="297" t="s">
        <v>198</v>
      </c>
      <c r="P536" s="297" t="s">
        <v>199</v>
      </c>
      <c r="Q536" s="297" t="s">
        <v>200</v>
      </c>
      <c r="R536" s="297" t="s">
        <v>213</v>
      </c>
      <c r="S536" s="297" t="s">
        <v>214</v>
      </c>
    </row>
    <row r="537" spans="1:19" x14ac:dyDescent="0.4">
      <c r="A537" s="291"/>
      <c r="B537" s="292"/>
      <c r="C537" s="312"/>
      <c r="D537" s="292"/>
      <c r="E537" s="489"/>
      <c r="F537" s="489"/>
      <c r="G537" s="490"/>
      <c r="H537" s="520"/>
      <c r="I537" s="523"/>
      <c r="J537" s="521"/>
      <c r="K537" s="522"/>
      <c r="M537" s="301" t="str">
        <f>N537&amp;AS[[#This Row],[Insurer Code]]&amp;"; "&amp;O537&amp;AS[[#This Row],[Reporting Year]]&amp;"; "&amp;P537&amp;AS[[#This Row],[Insurance Category Code]]&amp;"; "&amp;Q537&amp;AS[[#This Row],[Large Provider Entity Code]]&amp;"; "&amp;R537&amp;AS[[#This Row],[Age Band Code]]&amp;"; "&amp;S537&amp;AS[[#This Row],[Sex Code]]</f>
        <v xml:space="preserve">Insurer Code ; Reporting Year ; Insurance Category Code ; Large Provider Entity Code ; Age Band Code ; Sex Code </v>
      </c>
      <c r="N537" s="297" t="s">
        <v>197</v>
      </c>
      <c r="O537" s="297" t="s">
        <v>198</v>
      </c>
      <c r="P537" s="297" t="s">
        <v>199</v>
      </c>
      <c r="Q537" s="297" t="s">
        <v>200</v>
      </c>
      <c r="R537" s="297" t="s">
        <v>213</v>
      </c>
      <c r="S537" s="297" t="s">
        <v>214</v>
      </c>
    </row>
    <row r="538" spans="1:19" x14ac:dyDescent="0.4">
      <c r="A538" s="291"/>
      <c r="B538" s="292"/>
      <c r="C538" s="312"/>
      <c r="D538" s="292"/>
      <c r="E538" s="489"/>
      <c r="F538" s="489"/>
      <c r="G538" s="490"/>
      <c r="H538" s="520"/>
      <c r="I538" s="523"/>
      <c r="J538" s="521"/>
      <c r="K538" s="522"/>
      <c r="M538" s="301" t="str">
        <f>N538&amp;AS[[#This Row],[Insurer Code]]&amp;"; "&amp;O538&amp;AS[[#This Row],[Reporting Year]]&amp;"; "&amp;P538&amp;AS[[#This Row],[Insurance Category Code]]&amp;"; "&amp;Q538&amp;AS[[#This Row],[Large Provider Entity Code]]&amp;"; "&amp;R538&amp;AS[[#This Row],[Age Band Code]]&amp;"; "&amp;S538&amp;AS[[#This Row],[Sex Code]]</f>
        <v xml:space="preserve">Insurer Code ; Reporting Year ; Insurance Category Code ; Large Provider Entity Code ; Age Band Code ; Sex Code </v>
      </c>
      <c r="N538" s="297" t="s">
        <v>197</v>
      </c>
      <c r="O538" s="297" t="s">
        <v>198</v>
      </c>
      <c r="P538" s="297" t="s">
        <v>199</v>
      </c>
      <c r="Q538" s="297" t="s">
        <v>200</v>
      </c>
      <c r="R538" s="297" t="s">
        <v>213</v>
      </c>
      <c r="S538" s="297" t="s">
        <v>214</v>
      </c>
    </row>
    <row r="539" spans="1:19" x14ac:dyDescent="0.4">
      <c r="A539" s="291"/>
      <c r="B539" s="292"/>
      <c r="C539" s="312"/>
      <c r="D539" s="292"/>
      <c r="E539" s="489"/>
      <c r="F539" s="489"/>
      <c r="G539" s="490"/>
      <c r="H539" s="520"/>
      <c r="I539" s="523"/>
      <c r="J539" s="521"/>
      <c r="K539" s="522"/>
      <c r="M539" s="301" t="str">
        <f>N539&amp;AS[[#This Row],[Insurer Code]]&amp;"; "&amp;O539&amp;AS[[#This Row],[Reporting Year]]&amp;"; "&amp;P539&amp;AS[[#This Row],[Insurance Category Code]]&amp;"; "&amp;Q539&amp;AS[[#This Row],[Large Provider Entity Code]]&amp;"; "&amp;R539&amp;AS[[#This Row],[Age Band Code]]&amp;"; "&amp;S539&amp;AS[[#This Row],[Sex Code]]</f>
        <v xml:space="preserve">Insurer Code ; Reporting Year ; Insurance Category Code ; Large Provider Entity Code ; Age Band Code ; Sex Code </v>
      </c>
      <c r="N539" s="297" t="s">
        <v>197</v>
      </c>
      <c r="O539" s="297" t="s">
        <v>198</v>
      </c>
      <c r="P539" s="297" t="s">
        <v>199</v>
      </c>
      <c r="Q539" s="297" t="s">
        <v>200</v>
      </c>
      <c r="R539" s="297" t="s">
        <v>213</v>
      </c>
      <c r="S539" s="297" t="s">
        <v>214</v>
      </c>
    </row>
    <row r="540" spans="1:19" x14ac:dyDescent="0.4">
      <c r="A540" s="291"/>
      <c r="B540" s="292"/>
      <c r="C540" s="312"/>
      <c r="D540" s="292"/>
      <c r="E540" s="489"/>
      <c r="F540" s="489"/>
      <c r="G540" s="490"/>
      <c r="H540" s="520"/>
      <c r="I540" s="523"/>
      <c r="J540" s="521"/>
      <c r="K540" s="522"/>
      <c r="M540" s="301" t="str">
        <f>N540&amp;AS[[#This Row],[Insurer Code]]&amp;"; "&amp;O540&amp;AS[[#This Row],[Reporting Year]]&amp;"; "&amp;P540&amp;AS[[#This Row],[Insurance Category Code]]&amp;"; "&amp;Q540&amp;AS[[#This Row],[Large Provider Entity Code]]&amp;"; "&amp;R540&amp;AS[[#This Row],[Age Band Code]]&amp;"; "&amp;S540&amp;AS[[#This Row],[Sex Code]]</f>
        <v xml:space="preserve">Insurer Code ; Reporting Year ; Insurance Category Code ; Large Provider Entity Code ; Age Band Code ; Sex Code </v>
      </c>
      <c r="N540" s="297" t="s">
        <v>197</v>
      </c>
      <c r="O540" s="297" t="s">
        <v>198</v>
      </c>
      <c r="P540" s="297" t="s">
        <v>199</v>
      </c>
      <c r="Q540" s="297" t="s">
        <v>200</v>
      </c>
      <c r="R540" s="297" t="s">
        <v>213</v>
      </c>
      <c r="S540" s="297" t="s">
        <v>214</v>
      </c>
    </row>
    <row r="541" spans="1:19" x14ac:dyDescent="0.4">
      <c r="A541" s="291"/>
      <c r="B541" s="292"/>
      <c r="C541" s="312"/>
      <c r="D541" s="292"/>
      <c r="E541" s="489"/>
      <c r="F541" s="489"/>
      <c r="G541" s="490"/>
      <c r="H541" s="520"/>
      <c r="I541" s="523"/>
      <c r="J541" s="521"/>
      <c r="K541" s="522"/>
      <c r="M541" s="301" t="str">
        <f>N541&amp;AS[[#This Row],[Insurer Code]]&amp;"; "&amp;O541&amp;AS[[#This Row],[Reporting Year]]&amp;"; "&amp;P541&amp;AS[[#This Row],[Insurance Category Code]]&amp;"; "&amp;Q541&amp;AS[[#This Row],[Large Provider Entity Code]]&amp;"; "&amp;R541&amp;AS[[#This Row],[Age Band Code]]&amp;"; "&amp;S541&amp;AS[[#This Row],[Sex Code]]</f>
        <v xml:space="preserve">Insurer Code ; Reporting Year ; Insurance Category Code ; Large Provider Entity Code ; Age Band Code ; Sex Code </v>
      </c>
      <c r="N541" s="297" t="s">
        <v>197</v>
      </c>
      <c r="O541" s="297" t="s">
        <v>198</v>
      </c>
      <c r="P541" s="297" t="s">
        <v>199</v>
      </c>
      <c r="Q541" s="297" t="s">
        <v>200</v>
      </c>
      <c r="R541" s="297" t="s">
        <v>213</v>
      </c>
      <c r="S541" s="297" t="s">
        <v>214</v>
      </c>
    </row>
    <row r="542" spans="1:19" x14ac:dyDescent="0.4">
      <c r="A542" s="291"/>
      <c r="B542" s="292"/>
      <c r="C542" s="312"/>
      <c r="D542" s="292"/>
      <c r="E542" s="489"/>
      <c r="F542" s="489"/>
      <c r="G542" s="490"/>
      <c r="H542" s="520"/>
      <c r="I542" s="523"/>
      <c r="J542" s="521"/>
      <c r="K542" s="522"/>
      <c r="M542" s="301" t="str">
        <f>N542&amp;AS[[#This Row],[Insurer Code]]&amp;"; "&amp;O542&amp;AS[[#This Row],[Reporting Year]]&amp;"; "&amp;P542&amp;AS[[#This Row],[Insurance Category Code]]&amp;"; "&amp;Q542&amp;AS[[#This Row],[Large Provider Entity Code]]&amp;"; "&amp;R542&amp;AS[[#This Row],[Age Band Code]]&amp;"; "&amp;S542&amp;AS[[#This Row],[Sex Code]]</f>
        <v xml:space="preserve">Insurer Code ; Reporting Year ; Insurance Category Code ; Large Provider Entity Code ; Age Band Code ; Sex Code </v>
      </c>
      <c r="N542" s="297" t="s">
        <v>197</v>
      </c>
      <c r="O542" s="297" t="s">
        <v>198</v>
      </c>
      <c r="P542" s="297" t="s">
        <v>199</v>
      </c>
      <c r="Q542" s="297" t="s">
        <v>200</v>
      </c>
      <c r="R542" s="297" t="s">
        <v>213</v>
      </c>
      <c r="S542" s="297" t="s">
        <v>214</v>
      </c>
    </row>
    <row r="543" spans="1:19" x14ac:dyDescent="0.4">
      <c r="A543" s="291"/>
      <c r="B543" s="292"/>
      <c r="C543" s="312"/>
      <c r="D543" s="292"/>
      <c r="E543" s="489"/>
      <c r="F543" s="489"/>
      <c r="G543" s="490"/>
      <c r="H543" s="520"/>
      <c r="I543" s="523"/>
      <c r="J543" s="521"/>
      <c r="K543" s="522"/>
      <c r="M543" s="301" t="str">
        <f>N543&amp;AS[[#This Row],[Insurer Code]]&amp;"; "&amp;O543&amp;AS[[#This Row],[Reporting Year]]&amp;"; "&amp;P543&amp;AS[[#This Row],[Insurance Category Code]]&amp;"; "&amp;Q543&amp;AS[[#This Row],[Large Provider Entity Code]]&amp;"; "&amp;R543&amp;AS[[#This Row],[Age Band Code]]&amp;"; "&amp;S543&amp;AS[[#This Row],[Sex Code]]</f>
        <v xml:space="preserve">Insurer Code ; Reporting Year ; Insurance Category Code ; Large Provider Entity Code ; Age Band Code ; Sex Code </v>
      </c>
      <c r="N543" s="297" t="s">
        <v>197</v>
      </c>
      <c r="O543" s="297" t="s">
        <v>198</v>
      </c>
      <c r="P543" s="297" t="s">
        <v>199</v>
      </c>
      <c r="Q543" s="297" t="s">
        <v>200</v>
      </c>
      <c r="R543" s="297" t="s">
        <v>213</v>
      </c>
      <c r="S543" s="297" t="s">
        <v>214</v>
      </c>
    </row>
    <row r="544" spans="1:19" x14ac:dyDescent="0.4">
      <c r="A544" s="291"/>
      <c r="B544" s="292"/>
      <c r="C544" s="312"/>
      <c r="D544" s="292"/>
      <c r="E544" s="489"/>
      <c r="F544" s="489"/>
      <c r="G544" s="490"/>
      <c r="H544" s="520"/>
      <c r="I544" s="523"/>
      <c r="J544" s="521"/>
      <c r="K544" s="522"/>
      <c r="M544" s="301" t="str">
        <f>N544&amp;AS[[#This Row],[Insurer Code]]&amp;"; "&amp;O544&amp;AS[[#This Row],[Reporting Year]]&amp;"; "&amp;P544&amp;AS[[#This Row],[Insurance Category Code]]&amp;"; "&amp;Q544&amp;AS[[#This Row],[Large Provider Entity Code]]&amp;"; "&amp;R544&amp;AS[[#This Row],[Age Band Code]]&amp;"; "&amp;S544&amp;AS[[#This Row],[Sex Code]]</f>
        <v xml:space="preserve">Insurer Code ; Reporting Year ; Insurance Category Code ; Large Provider Entity Code ; Age Band Code ; Sex Code </v>
      </c>
      <c r="N544" s="297" t="s">
        <v>197</v>
      </c>
      <c r="O544" s="297" t="s">
        <v>198</v>
      </c>
      <c r="P544" s="297" t="s">
        <v>199</v>
      </c>
      <c r="Q544" s="297" t="s">
        <v>200</v>
      </c>
      <c r="R544" s="297" t="s">
        <v>213</v>
      </c>
      <c r="S544" s="297" t="s">
        <v>214</v>
      </c>
    </row>
    <row r="545" spans="1:19" x14ac:dyDescent="0.4">
      <c r="A545" s="291"/>
      <c r="B545" s="292"/>
      <c r="C545" s="312"/>
      <c r="D545" s="292"/>
      <c r="E545" s="489"/>
      <c r="F545" s="489"/>
      <c r="G545" s="490"/>
      <c r="H545" s="520"/>
      <c r="I545" s="523"/>
      <c r="J545" s="521"/>
      <c r="K545" s="522"/>
      <c r="M545" s="301" t="str">
        <f>N545&amp;AS[[#This Row],[Insurer Code]]&amp;"; "&amp;O545&amp;AS[[#This Row],[Reporting Year]]&amp;"; "&amp;P545&amp;AS[[#This Row],[Insurance Category Code]]&amp;"; "&amp;Q545&amp;AS[[#This Row],[Large Provider Entity Code]]&amp;"; "&amp;R545&amp;AS[[#This Row],[Age Band Code]]&amp;"; "&amp;S545&amp;AS[[#This Row],[Sex Code]]</f>
        <v xml:space="preserve">Insurer Code ; Reporting Year ; Insurance Category Code ; Large Provider Entity Code ; Age Band Code ; Sex Code </v>
      </c>
      <c r="N545" s="297" t="s">
        <v>197</v>
      </c>
      <c r="O545" s="297" t="s">
        <v>198</v>
      </c>
      <c r="P545" s="297" t="s">
        <v>199</v>
      </c>
      <c r="Q545" s="297" t="s">
        <v>200</v>
      </c>
      <c r="R545" s="297" t="s">
        <v>213</v>
      </c>
      <c r="S545" s="297" t="s">
        <v>214</v>
      </c>
    </row>
    <row r="546" spans="1:19" x14ac:dyDescent="0.4">
      <c r="A546" s="291"/>
      <c r="B546" s="292"/>
      <c r="C546" s="312"/>
      <c r="D546" s="292"/>
      <c r="E546" s="489"/>
      <c r="F546" s="489"/>
      <c r="G546" s="490"/>
      <c r="H546" s="520"/>
      <c r="I546" s="523"/>
      <c r="J546" s="521"/>
      <c r="K546" s="522"/>
      <c r="M546" s="301" t="str">
        <f>N546&amp;AS[[#This Row],[Insurer Code]]&amp;"; "&amp;O546&amp;AS[[#This Row],[Reporting Year]]&amp;"; "&amp;P546&amp;AS[[#This Row],[Insurance Category Code]]&amp;"; "&amp;Q546&amp;AS[[#This Row],[Large Provider Entity Code]]&amp;"; "&amp;R546&amp;AS[[#This Row],[Age Band Code]]&amp;"; "&amp;S546&amp;AS[[#This Row],[Sex Code]]</f>
        <v xml:space="preserve">Insurer Code ; Reporting Year ; Insurance Category Code ; Large Provider Entity Code ; Age Band Code ; Sex Code </v>
      </c>
      <c r="N546" s="297" t="s">
        <v>197</v>
      </c>
      <c r="O546" s="297" t="s">
        <v>198</v>
      </c>
      <c r="P546" s="297" t="s">
        <v>199</v>
      </c>
      <c r="Q546" s="297" t="s">
        <v>200</v>
      </c>
      <c r="R546" s="297" t="s">
        <v>213</v>
      </c>
      <c r="S546" s="297" t="s">
        <v>214</v>
      </c>
    </row>
    <row r="547" spans="1:19" x14ac:dyDescent="0.4">
      <c r="A547" s="291"/>
      <c r="B547" s="292"/>
      <c r="C547" s="312"/>
      <c r="D547" s="292"/>
      <c r="E547" s="489"/>
      <c r="F547" s="489"/>
      <c r="G547" s="490"/>
      <c r="H547" s="520"/>
      <c r="I547" s="523"/>
      <c r="J547" s="521"/>
      <c r="K547" s="522"/>
      <c r="M547" s="301" t="str">
        <f>N547&amp;AS[[#This Row],[Insurer Code]]&amp;"; "&amp;O547&amp;AS[[#This Row],[Reporting Year]]&amp;"; "&amp;P547&amp;AS[[#This Row],[Insurance Category Code]]&amp;"; "&amp;Q547&amp;AS[[#This Row],[Large Provider Entity Code]]&amp;"; "&amp;R547&amp;AS[[#This Row],[Age Band Code]]&amp;"; "&amp;S547&amp;AS[[#This Row],[Sex Code]]</f>
        <v xml:space="preserve">Insurer Code ; Reporting Year ; Insurance Category Code ; Large Provider Entity Code ; Age Band Code ; Sex Code </v>
      </c>
      <c r="N547" s="297" t="s">
        <v>197</v>
      </c>
      <c r="O547" s="297" t="s">
        <v>198</v>
      </c>
      <c r="P547" s="297" t="s">
        <v>199</v>
      </c>
      <c r="Q547" s="297" t="s">
        <v>200</v>
      </c>
      <c r="R547" s="297" t="s">
        <v>213</v>
      </c>
      <c r="S547" s="297" t="s">
        <v>214</v>
      </c>
    </row>
    <row r="548" spans="1:19" x14ac:dyDescent="0.4">
      <c r="A548" s="291"/>
      <c r="B548" s="292"/>
      <c r="C548" s="312"/>
      <c r="D548" s="292"/>
      <c r="E548" s="489"/>
      <c r="F548" s="489"/>
      <c r="G548" s="490"/>
      <c r="H548" s="520"/>
      <c r="I548" s="523"/>
      <c r="J548" s="521"/>
      <c r="K548" s="522"/>
      <c r="M548" s="301" t="str">
        <f>N548&amp;AS[[#This Row],[Insurer Code]]&amp;"; "&amp;O548&amp;AS[[#This Row],[Reporting Year]]&amp;"; "&amp;P548&amp;AS[[#This Row],[Insurance Category Code]]&amp;"; "&amp;Q548&amp;AS[[#This Row],[Large Provider Entity Code]]&amp;"; "&amp;R548&amp;AS[[#This Row],[Age Band Code]]&amp;"; "&amp;S548&amp;AS[[#This Row],[Sex Code]]</f>
        <v xml:space="preserve">Insurer Code ; Reporting Year ; Insurance Category Code ; Large Provider Entity Code ; Age Band Code ; Sex Code </v>
      </c>
      <c r="N548" s="297" t="s">
        <v>197</v>
      </c>
      <c r="O548" s="297" t="s">
        <v>198</v>
      </c>
      <c r="P548" s="297" t="s">
        <v>199</v>
      </c>
      <c r="Q548" s="297" t="s">
        <v>200</v>
      </c>
      <c r="R548" s="297" t="s">
        <v>213</v>
      </c>
      <c r="S548" s="297" t="s">
        <v>214</v>
      </c>
    </row>
    <row r="549" spans="1:19" x14ac:dyDescent="0.4">
      <c r="A549" s="291"/>
      <c r="B549" s="292"/>
      <c r="C549" s="312"/>
      <c r="D549" s="292"/>
      <c r="E549" s="489"/>
      <c r="F549" s="489"/>
      <c r="G549" s="490"/>
      <c r="H549" s="520"/>
      <c r="I549" s="523"/>
      <c r="J549" s="521"/>
      <c r="K549" s="522"/>
      <c r="M549" s="301" t="str">
        <f>N549&amp;AS[[#This Row],[Insurer Code]]&amp;"; "&amp;O549&amp;AS[[#This Row],[Reporting Year]]&amp;"; "&amp;P549&amp;AS[[#This Row],[Insurance Category Code]]&amp;"; "&amp;Q549&amp;AS[[#This Row],[Large Provider Entity Code]]&amp;"; "&amp;R549&amp;AS[[#This Row],[Age Band Code]]&amp;"; "&amp;S549&amp;AS[[#This Row],[Sex Code]]</f>
        <v xml:space="preserve">Insurer Code ; Reporting Year ; Insurance Category Code ; Large Provider Entity Code ; Age Band Code ; Sex Code </v>
      </c>
      <c r="N549" s="297" t="s">
        <v>197</v>
      </c>
      <c r="O549" s="297" t="s">
        <v>198</v>
      </c>
      <c r="P549" s="297" t="s">
        <v>199</v>
      </c>
      <c r="Q549" s="297" t="s">
        <v>200</v>
      </c>
      <c r="R549" s="297" t="s">
        <v>213</v>
      </c>
      <c r="S549" s="297" t="s">
        <v>214</v>
      </c>
    </row>
    <row r="550" spans="1:19" x14ac:dyDescent="0.4">
      <c r="A550" s="291"/>
      <c r="B550" s="292"/>
      <c r="C550" s="312"/>
      <c r="D550" s="292"/>
      <c r="E550" s="489"/>
      <c r="F550" s="489"/>
      <c r="G550" s="490"/>
      <c r="H550" s="520"/>
      <c r="I550" s="523"/>
      <c r="J550" s="521"/>
      <c r="K550" s="522"/>
      <c r="M550" s="301" t="str">
        <f>N550&amp;AS[[#This Row],[Insurer Code]]&amp;"; "&amp;O550&amp;AS[[#This Row],[Reporting Year]]&amp;"; "&amp;P550&amp;AS[[#This Row],[Insurance Category Code]]&amp;"; "&amp;Q550&amp;AS[[#This Row],[Large Provider Entity Code]]&amp;"; "&amp;R550&amp;AS[[#This Row],[Age Band Code]]&amp;"; "&amp;S550&amp;AS[[#This Row],[Sex Code]]</f>
        <v xml:space="preserve">Insurer Code ; Reporting Year ; Insurance Category Code ; Large Provider Entity Code ; Age Band Code ; Sex Code </v>
      </c>
      <c r="N550" s="297" t="s">
        <v>197</v>
      </c>
      <c r="O550" s="297" t="s">
        <v>198</v>
      </c>
      <c r="P550" s="297" t="s">
        <v>199</v>
      </c>
      <c r="Q550" s="297" t="s">
        <v>200</v>
      </c>
      <c r="R550" s="297" t="s">
        <v>213</v>
      </c>
      <c r="S550" s="297" t="s">
        <v>214</v>
      </c>
    </row>
    <row r="551" spans="1:19" x14ac:dyDescent="0.4">
      <c r="A551" s="291"/>
      <c r="B551" s="292"/>
      <c r="C551" s="312"/>
      <c r="D551" s="292"/>
      <c r="E551" s="489"/>
      <c r="F551" s="489"/>
      <c r="G551" s="490"/>
      <c r="H551" s="520"/>
      <c r="I551" s="523"/>
      <c r="J551" s="521"/>
      <c r="K551" s="522"/>
      <c r="M551" s="301" t="str">
        <f>N551&amp;AS[[#This Row],[Insurer Code]]&amp;"; "&amp;O551&amp;AS[[#This Row],[Reporting Year]]&amp;"; "&amp;P551&amp;AS[[#This Row],[Insurance Category Code]]&amp;"; "&amp;Q551&amp;AS[[#This Row],[Large Provider Entity Code]]&amp;"; "&amp;R551&amp;AS[[#This Row],[Age Band Code]]&amp;"; "&amp;S551&amp;AS[[#This Row],[Sex Code]]</f>
        <v xml:space="preserve">Insurer Code ; Reporting Year ; Insurance Category Code ; Large Provider Entity Code ; Age Band Code ; Sex Code </v>
      </c>
      <c r="N551" s="297" t="s">
        <v>197</v>
      </c>
      <c r="O551" s="297" t="s">
        <v>198</v>
      </c>
      <c r="P551" s="297" t="s">
        <v>199</v>
      </c>
      <c r="Q551" s="297" t="s">
        <v>200</v>
      </c>
      <c r="R551" s="297" t="s">
        <v>213</v>
      </c>
      <c r="S551" s="297" t="s">
        <v>214</v>
      </c>
    </row>
    <row r="552" spans="1:19" x14ac:dyDescent="0.4">
      <c r="A552" s="291"/>
      <c r="B552" s="292"/>
      <c r="C552" s="312"/>
      <c r="D552" s="292"/>
      <c r="E552" s="489"/>
      <c r="F552" s="489"/>
      <c r="G552" s="490"/>
      <c r="H552" s="520"/>
      <c r="I552" s="523"/>
      <c r="J552" s="521"/>
      <c r="K552" s="522"/>
      <c r="M552" s="301" t="str">
        <f>N552&amp;AS[[#This Row],[Insurer Code]]&amp;"; "&amp;O552&amp;AS[[#This Row],[Reporting Year]]&amp;"; "&amp;P552&amp;AS[[#This Row],[Insurance Category Code]]&amp;"; "&amp;Q552&amp;AS[[#This Row],[Large Provider Entity Code]]&amp;"; "&amp;R552&amp;AS[[#This Row],[Age Band Code]]&amp;"; "&amp;S552&amp;AS[[#This Row],[Sex Code]]</f>
        <v xml:space="preserve">Insurer Code ; Reporting Year ; Insurance Category Code ; Large Provider Entity Code ; Age Band Code ; Sex Code </v>
      </c>
      <c r="N552" s="297" t="s">
        <v>197</v>
      </c>
      <c r="O552" s="297" t="s">
        <v>198</v>
      </c>
      <c r="P552" s="297" t="s">
        <v>199</v>
      </c>
      <c r="Q552" s="297" t="s">
        <v>200</v>
      </c>
      <c r="R552" s="297" t="s">
        <v>213</v>
      </c>
      <c r="S552" s="297" t="s">
        <v>214</v>
      </c>
    </row>
    <row r="553" spans="1:19" x14ac:dyDescent="0.4">
      <c r="A553" s="291"/>
      <c r="B553" s="292"/>
      <c r="C553" s="312"/>
      <c r="D553" s="292"/>
      <c r="E553" s="489"/>
      <c r="F553" s="489"/>
      <c r="G553" s="490"/>
      <c r="H553" s="520"/>
      <c r="I553" s="523"/>
      <c r="J553" s="521"/>
      <c r="K553" s="522"/>
      <c r="M553" s="301" t="str">
        <f>N553&amp;AS[[#This Row],[Insurer Code]]&amp;"; "&amp;O553&amp;AS[[#This Row],[Reporting Year]]&amp;"; "&amp;P553&amp;AS[[#This Row],[Insurance Category Code]]&amp;"; "&amp;Q553&amp;AS[[#This Row],[Large Provider Entity Code]]&amp;"; "&amp;R553&amp;AS[[#This Row],[Age Band Code]]&amp;"; "&amp;S553&amp;AS[[#This Row],[Sex Code]]</f>
        <v xml:space="preserve">Insurer Code ; Reporting Year ; Insurance Category Code ; Large Provider Entity Code ; Age Band Code ; Sex Code </v>
      </c>
      <c r="N553" s="297" t="s">
        <v>197</v>
      </c>
      <c r="O553" s="297" t="s">
        <v>198</v>
      </c>
      <c r="P553" s="297" t="s">
        <v>199</v>
      </c>
      <c r="Q553" s="297" t="s">
        <v>200</v>
      </c>
      <c r="R553" s="297" t="s">
        <v>213</v>
      </c>
      <c r="S553" s="297" t="s">
        <v>214</v>
      </c>
    </row>
    <row r="554" spans="1:19" x14ac:dyDescent="0.4">
      <c r="A554" s="291"/>
      <c r="B554" s="292"/>
      <c r="C554" s="312"/>
      <c r="D554" s="292"/>
      <c r="E554" s="489"/>
      <c r="F554" s="489"/>
      <c r="G554" s="490"/>
      <c r="H554" s="520"/>
      <c r="I554" s="523"/>
      <c r="J554" s="521"/>
      <c r="K554" s="522"/>
      <c r="M554" s="301" t="str">
        <f>N554&amp;AS[[#This Row],[Insurer Code]]&amp;"; "&amp;O554&amp;AS[[#This Row],[Reporting Year]]&amp;"; "&amp;P554&amp;AS[[#This Row],[Insurance Category Code]]&amp;"; "&amp;Q554&amp;AS[[#This Row],[Large Provider Entity Code]]&amp;"; "&amp;R554&amp;AS[[#This Row],[Age Band Code]]&amp;"; "&amp;S554&amp;AS[[#This Row],[Sex Code]]</f>
        <v xml:space="preserve">Insurer Code ; Reporting Year ; Insurance Category Code ; Large Provider Entity Code ; Age Band Code ; Sex Code </v>
      </c>
      <c r="N554" s="297" t="s">
        <v>197</v>
      </c>
      <c r="O554" s="297" t="s">
        <v>198</v>
      </c>
      <c r="P554" s="297" t="s">
        <v>199</v>
      </c>
      <c r="Q554" s="297" t="s">
        <v>200</v>
      </c>
      <c r="R554" s="297" t="s">
        <v>213</v>
      </c>
      <c r="S554" s="297" t="s">
        <v>214</v>
      </c>
    </row>
    <row r="555" spans="1:19" x14ac:dyDescent="0.4">
      <c r="A555" s="291"/>
      <c r="B555" s="292"/>
      <c r="C555" s="312"/>
      <c r="D555" s="292"/>
      <c r="E555" s="489"/>
      <c r="F555" s="489"/>
      <c r="G555" s="490"/>
      <c r="H555" s="520"/>
      <c r="I555" s="523"/>
      <c r="J555" s="521"/>
      <c r="K555" s="522"/>
      <c r="M555" s="301" t="str">
        <f>N555&amp;AS[[#This Row],[Insurer Code]]&amp;"; "&amp;O555&amp;AS[[#This Row],[Reporting Year]]&amp;"; "&amp;P555&amp;AS[[#This Row],[Insurance Category Code]]&amp;"; "&amp;Q555&amp;AS[[#This Row],[Large Provider Entity Code]]&amp;"; "&amp;R555&amp;AS[[#This Row],[Age Band Code]]&amp;"; "&amp;S555&amp;AS[[#This Row],[Sex Code]]</f>
        <v xml:space="preserve">Insurer Code ; Reporting Year ; Insurance Category Code ; Large Provider Entity Code ; Age Band Code ; Sex Code </v>
      </c>
      <c r="N555" s="297" t="s">
        <v>197</v>
      </c>
      <c r="O555" s="297" t="s">
        <v>198</v>
      </c>
      <c r="P555" s="297" t="s">
        <v>199</v>
      </c>
      <c r="Q555" s="297" t="s">
        <v>200</v>
      </c>
      <c r="R555" s="297" t="s">
        <v>213</v>
      </c>
      <c r="S555" s="297" t="s">
        <v>214</v>
      </c>
    </row>
    <row r="556" spans="1:19" x14ac:dyDescent="0.4">
      <c r="A556" s="291"/>
      <c r="B556" s="292"/>
      <c r="C556" s="312"/>
      <c r="D556" s="292"/>
      <c r="E556" s="489"/>
      <c r="F556" s="489"/>
      <c r="G556" s="490"/>
      <c r="H556" s="520"/>
      <c r="I556" s="523"/>
      <c r="J556" s="521"/>
      <c r="K556" s="522"/>
      <c r="M556" s="301" t="str">
        <f>N556&amp;AS[[#This Row],[Insurer Code]]&amp;"; "&amp;O556&amp;AS[[#This Row],[Reporting Year]]&amp;"; "&amp;P556&amp;AS[[#This Row],[Insurance Category Code]]&amp;"; "&amp;Q556&amp;AS[[#This Row],[Large Provider Entity Code]]&amp;"; "&amp;R556&amp;AS[[#This Row],[Age Band Code]]&amp;"; "&amp;S556&amp;AS[[#This Row],[Sex Code]]</f>
        <v xml:space="preserve">Insurer Code ; Reporting Year ; Insurance Category Code ; Large Provider Entity Code ; Age Band Code ; Sex Code </v>
      </c>
      <c r="N556" s="297" t="s">
        <v>197</v>
      </c>
      <c r="O556" s="297" t="s">
        <v>198</v>
      </c>
      <c r="P556" s="297" t="s">
        <v>199</v>
      </c>
      <c r="Q556" s="297" t="s">
        <v>200</v>
      </c>
      <c r="R556" s="297" t="s">
        <v>213</v>
      </c>
      <c r="S556" s="297" t="s">
        <v>214</v>
      </c>
    </row>
    <row r="557" spans="1:19" x14ac:dyDescent="0.4">
      <c r="A557" s="291"/>
      <c r="B557" s="292"/>
      <c r="C557" s="312"/>
      <c r="D557" s="292"/>
      <c r="E557" s="489"/>
      <c r="F557" s="489"/>
      <c r="G557" s="490"/>
      <c r="H557" s="520"/>
      <c r="I557" s="523"/>
      <c r="J557" s="521"/>
      <c r="K557" s="522"/>
      <c r="M557" s="301" t="str">
        <f>N557&amp;AS[[#This Row],[Insurer Code]]&amp;"; "&amp;O557&amp;AS[[#This Row],[Reporting Year]]&amp;"; "&amp;P557&amp;AS[[#This Row],[Insurance Category Code]]&amp;"; "&amp;Q557&amp;AS[[#This Row],[Large Provider Entity Code]]&amp;"; "&amp;R557&amp;AS[[#This Row],[Age Band Code]]&amp;"; "&amp;S557&amp;AS[[#This Row],[Sex Code]]</f>
        <v xml:space="preserve">Insurer Code ; Reporting Year ; Insurance Category Code ; Large Provider Entity Code ; Age Band Code ; Sex Code </v>
      </c>
      <c r="N557" s="297" t="s">
        <v>197</v>
      </c>
      <c r="O557" s="297" t="s">
        <v>198</v>
      </c>
      <c r="P557" s="297" t="s">
        <v>199</v>
      </c>
      <c r="Q557" s="297" t="s">
        <v>200</v>
      </c>
      <c r="R557" s="297" t="s">
        <v>213</v>
      </c>
      <c r="S557" s="297" t="s">
        <v>214</v>
      </c>
    </row>
    <row r="558" spans="1:19" x14ac:dyDescent="0.4">
      <c r="A558" s="291"/>
      <c r="B558" s="292"/>
      <c r="C558" s="312"/>
      <c r="D558" s="292"/>
      <c r="E558" s="489"/>
      <c r="F558" s="489"/>
      <c r="G558" s="490"/>
      <c r="H558" s="520"/>
      <c r="I558" s="523"/>
      <c r="J558" s="521"/>
      <c r="K558" s="522"/>
      <c r="M558" s="301" t="str">
        <f>N558&amp;AS[[#This Row],[Insurer Code]]&amp;"; "&amp;O558&amp;AS[[#This Row],[Reporting Year]]&amp;"; "&amp;P558&amp;AS[[#This Row],[Insurance Category Code]]&amp;"; "&amp;Q558&amp;AS[[#This Row],[Large Provider Entity Code]]&amp;"; "&amp;R558&amp;AS[[#This Row],[Age Band Code]]&amp;"; "&amp;S558&amp;AS[[#This Row],[Sex Code]]</f>
        <v xml:space="preserve">Insurer Code ; Reporting Year ; Insurance Category Code ; Large Provider Entity Code ; Age Band Code ; Sex Code </v>
      </c>
      <c r="N558" s="297" t="s">
        <v>197</v>
      </c>
      <c r="O558" s="297" t="s">
        <v>198</v>
      </c>
      <c r="P558" s="297" t="s">
        <v>199</v>
      </c>
      <c r="Q558" s="297" t="s">
        <v>200</v>
      </c>
      <c r="R558" s="297" t="s">
        <v>213</v>
      </c>
      <c r="S558" s="297" t="s">
        <v>214</v>
      </c>
    </row>
    <row r="559" spans="1:19" x14ac:dyDescent="0.4">
      <c r="A559" s="291"/>
      <c r="B559" s="292"/>
      <c r="C559" s="312"/>
      <c r="D559" s="292"/>
      <c r="E559" s="489"/>
      <c r="F559" s="489"/>
      <c r="G559" s="490"/>
      <c r="H559" s="520"/>
      <c r="I559" s="523"/>
      <c r="J559" s="521"/>
      <c r="K559" s="522"/>
      <c r="M559" s="301" t="str">
        <f>N559&amp;AS[[#This Row],[Insurer Code]]&amp;"; "&amp;O559&amp;AS[[#This Row],[Reporting Year]]&amp;"; "&amp;P559&amp;AS[[#This Row],[Insurance Category Code]]&amp;"; "&amp;Q559&amp;AS[[#This Row],[Large Provider Entity Code]]&amp;"; "&amp;R559&amp;AS[[#This Row],[Age Band Code]]&amp;"; "&amp;S559&amp;AS[[#This Row],[Sex Code]]</f>
        <v xml:space="preserve">Insurer Code ; Reporting Year ; Insurance Category Code ; Large Provider Entity Code ; Age Band Code ; Sex Code </v>
      </c>
      <c r="N559" s="297" t="s">
        <v>197</v>
      </c>
      <c r="O559" s="297" t="s">
        <v>198</v>
      </c>
      <c r="P559" s="297" t="s">
        <v>199</v>
      </c>
      <c r="Q559" s="297" t="s">
        <v>200</v>
      </c>
      <c r="R559" s="297" t="s">
        <v>213</v>
      </c>
      <c r="S559" s="297" t="s">
        <v>214</v>
      </c>
    </row>
    <row r="560" spans="1:19" x14ac:dyDescent="0.4">
      <c r="A560" s="291"/>
      <c r="B560" s="292"/>
      <c r="C560" s="312"/>
      <c r="D560" s="292"/>
      <c r="E560" s="489"/>
      <c r="F560" s="489"/>
      <c r="G560" s="490"/>
      <c r="H560" s="520"/>
      <c r="I560" s="523"/>
      <c r="J560" s="521"/>
      <c r="K560" s="522"/>
      <c r="M560" s="301" t="str">
        <f>N560&amp;AS[[#This Row],[Insurer Code]]&amp;"; "&amp;O560&amp;AS[[#This Row],[Reporting Year]]&amp;"; "&amp;P560&amp;AS[[#This Row],[Insurance Category Code]]&amp;"; "&amp;Q560&amp;AS[[#This Row],[Large Provider Entity Code]]&amp;"; "&amp;R560&amp;AS[[#This Row],[Age Band Code]]&amp;"; "&amp;S560&amp;AS[[#This Row],[Sex Code]]</f>
        <v xml:space="preserve">Insurer Code ; Reporting Year ; Insurance Category Code ; Large Provider Entity Code ; Age Band Code ; Sex Code </v>
      </c>
      <c r="N560" s="297" t="s">
        <v>197</v>
      </c>
      <c r="O560" s="297" t="s">
        <v>198</v>
      </c>
      <c r="P560" s="297" t="s">
        <v>199</v>
      </c>
      <c r="Q560" s="297" t="s">
        <v>200</v>
      </c>
      <c r="R560" s="297" t="s">
        <v>213</v>
      </c>
      <c r="S560" s="297" t="s">
        <v>214</v>
      </c>
    </row>
    <row r="561" spans="1:19" x14ac:dyDescent="0.4">
      <c r="A561" s="291"/>
      <c r="B561" s="292"/>
      <c r="C561" s="312"/>
      <c r="D561" s="292"/>
      <c r="E561" s="489"/>
      <c r="F561" s="489"/>
      <c r="G561" s="490"/>
      <c r="H561" s="520"/>
      <c r="I561" s="523"/>
      <c r="J561" s="521"/>
      <c r="K561" s="522"/>
      <c r="M561" s="301" t="str">
        <f>N561&amp;AS[[#This Row],[Insurer Code]]&amp;"; "&amp;O561&amp;AS[[#This Row],[Reporting Year]]&amp;"; "&amp;P561&amp;AS[[#This Row],[Insurance Category Code]]&amp;"; "&amp;Q561&amp;AS[[#This Row],[Large Provider Entity Code]]&amp;"; "&amp;R561&amp;AS[[#This Row],[Age Band Code]]&amp;"; "&amp;S561&amp;AS[[#This Row],[Sex Code]]</f>
        <v xml:space="preserve">Insurer Code ; Reporting Year ; Insurance Category Code ; Large Provider Entity Code ; Age Band Code ; Sex Code </v>
      </c>
      <c r="N561" s="297" t="s">
        <v>197</v>
      </c>
      <c r="O561" s="297" t="s">
        <v>198</v>
      </c>
      <c r="P561" s="297" t="s">
        <v>199</v>
      </c>
      <c r="Q561" s="297" t="s">
        <v>200</v>
      </c>
      <c r="R561" s="297" t="s">
        <v>213</v>
      </c>
      <c r="S561" s="297" t="s">
        <v>214</v>
      </c>
    </row>
    <row r="562" spans="1:19" x14ac:dyDescent="0.4">
      <c r="A562" s="291"/>
      <c r="B562" s="292"/>
      <c r="C562" s="312"/>
      <c r="D562" s="292"/>
      <c r="E562" s="489"/>
      <c r="F562" s="489"/>
      <c r="G562" s="490"/>
      <c r="H562" s="520"/>
      <c r="I562" s="523"/>
      <c r="J562" s="521"/>
      <c r="K562" s="522"/>
      <c r="M562" s="301" t="str">
        <f>N562&amp;AS[[#This Row],[Insurer Code]]&amp;"; "&amp;O562&amp;AS[[#This Row],[Reporting Year]]&amp;"; "&amp;P562&amp;AS[[#This Row],[Insurance Category Code]]&amp;"; "&amp;Q562&amp;AS[[#This Row],[Large Provider Entity Code]]&amp;"; "&amp;R562&amp;AS[[#This Row],[Age Band Code]]&amp;"; "&amp;S562&amp;AS[[#This Row],[Sex Code]]</f>
        <v xml:space="preserve">Insurer Code ; Reporting Year ; Insurance Category Code ; Large Provider Entity Code ; Age Band Code ; Sex Code </v>
      </c>
      <c r="N562" s="297" t="s">
        <v>197</v>
      </c>
      <c r="O562" s="297" t="s">
        <v>198</v>
      </c>
      <c r="P562" s="297" t="s">
        <v>199</v>
      </c>
      <c r="Q562" s="297" t="s">
        <v>200</v>
      </c>
      <c r="R562" s="297" t="s">
        <v>213</v>
      </c>
      <c r="S562" s="297" t="s">
        <v>214</v>
      </c>
    </row>
    <row r="563" spans="1:19" x14ac:dyDescent="0.4">
      <c r="A563" s="291"/>
      <c r="B563" s="292"/>
      <c r="C563" s="312"/>
      <c r="D563" s="292"/>
      <c r="E563" s="489"/>
      <c r="F563" s="489"/>
      <c r="G563" s="490"/>
      <c r="H563" s="520"/>
      <c r="I563" s="523"/>
      <c r="J563" s="521"/>
      <c r="K563" s="522"/>
      <c r="M563" s="301" t="str">
        <f>N563&amp;AS[[#This Row],[Insurer Code]]&amp;"; "&amp;O563&amp;AS[[#This Row],[Reporting Year]]&amp;"; "&amp;P563&amp;AS[[#This Row],[Insurance Category Code]]&amp;"; "&amp;Q563&amp;AS[[#This Row],[Large Provider Entity Code]]&amp;"; "&amp;R563&amp;AS[[#This Row],[Age Band Code]]&amp;"; "&amp;S563&amp;AS[[#This Row],[Sex Code]]</f>
        <v xml:space="preserve">Insurer Code ; Reporting Year ; Insurance Category Code ; Large Provider Entity Code ; Age Band Code ; Sex Code </v>
      </c>
      <c r="N563" s="297" t="s">
        <v>197</v>
      </c>
      <c r="O563" s="297" t="s">
        <v>198</v>
      </c>
      <c r="P563" s="297" t="s">
        <v>199</v>
      </c>
      <c r="Q563" s="297" t="s">
        <v>200</v>
      </c>
      <c r="R563" s="297" t="s">
        <v>213</v>
      </c>
      <c r="S563" s="297" t="s">
        <v>214</v>
      </c>
    </row>
    <row r="564" spans="1:19" x14ac:dyDescent="0.4">
      <c r="A564" s="291"/>
      <c r="B564" s="292"/>
      <c r="C564" s="312"/>
      <c r="D564" s="292"/>
      <c r="E564" s="489"/>
      <c r="F564" s="489"/>
      <c r="G564" s="490"/>
      <c r="H564" s="520"/>
      <c r="I564" s="523"/>
      <c r="J564" s="521"/>
      <c r="K564" s="522"/>
      <c r="M564" s="301" t="str">
        <f>N564&amp;AS[[#This Row],[Insurer Code]]&amp;"; "&amp;O564&amp;AS[[#This Row],[Reporting Year]]&amp;"; "&amp;P564&amp;AS[[#This Row],[Insurance Category Code]]&amp;"; "&amp;Q564&amp;AS[[#This Row],[Large Provider Entity Code]]&amp;"; "&amp;R564&amp;AS[[#This Row],[Age Band Code]]&amp;"; "&amp;S564&amp;AS[[#This Row],[Sex Code]]</f>
        <v xml:space="preserve">Insurer Code ; Reporting Year ; Insurance Category Code ; Large Provider Entity Code ; Age Band Code ; Sex Code </v>
      </c>
      <c r="N564" s="297" t="s">
        <v>197</v>
      </c>
      <c r="O564" s="297" t="s">
        <v>198</v>
      </c>
      <c r="P564" s="297" t="s">
        <v>199</v>
      </c>
      <c r="Q564" s="297" t="s">
        <v>200</v>
      </c>
      <c r="R564" s="297" t="s">
        <v>213</v>
      </c>
      <c r="S564" s="297" t="s">
        <v>214</v>
      </c>
    </row>
    <row r="565" spans="1:19" x14ac:dyDescent="0.4">
      <c r="A565" s="291"/>
      <c r="B565" s="292"/>
      <c r="C565" s="312"/>
      <c r="D565" s="292"/>
      <c r="E565" s="489"/>
      <c r="F565" s="489"/>
      <c r="G565" s="490"/>
      <c r="H565" s="520"/>
      <c r="I565" s="523"/>
      <c r="J565" s="521"/>
      <c r="K565" s="522"/>
      <c r="M565" s="301" t="str">
        <f>N565&amp;AS[[#This Row],[Insurer Code]]&amp;"; "&amp;O565&amp;AS[[#This Row],[Reporting Year]]&amp;"; "&amp;P565&amp;AS[[#This Row],[Insurance Category Code]]&amp;"; "&amp;Q565&amp;AS[[#This Row],[Large Provider Entity Code]]&amp;"; "&amp;R565&amp;AS[[#This Row],[Age Band Code]]&amp;"; "&amp;S565&amp;AS[[#This Row],[Sex Code]]</f>
        <v xml:space="preserve">Insurer Code ; Reporting Year ; Insurance Category Code ; Large Provider Entity Code ; Age Band Code ; Sex Code </v>
      </c>
      <c r="N565" s="297" t="s">
        <v>197</v>
      </c>
      <c r="O565" s="297" t="s">
        <v>198</v>
      </c>
      <c r="P565" s="297" t="s">
        <v>199</v>
      </c>
      <c r="Q565" s="297" t="s">
        <v>200</v>
      </c>
      <c r="R565" s="297" t="s">
        <v>213</v>
      </c>
      <c r="S565" s="297" t="s">
        <v>214</v>
      </c>
    </row>
    <row r="566" spans="1:19" x14ac:dyDescent="0.4">
      <c r="A566" s="291"/>
      <c r="B566" s="292"/>
      <c r="C566" s="312"/>
      <c r="D566" s="292"/>
      <c r="E566" s="489"/>
      <c r="F566" s="489"/>
      <c r="G566" s="490"/>
      <c r="H566" s="520"/>
      <c r="I566" s="523"/>
      <c r="J566" s="521"/>
      <c r="K566" s="522"/>
      <c r="M566" s="301" t="str">
        <f>N566&amp;AS[[#This Row],[Insurer Code]]&amp;"; "&amp;O566&amp;AS[[#This Row],[Reporting Year]]&amp;"; "&amp;P566&amp;AS[[#This Row],[Insurance Category Code]]&amp;"; "&amp;Q566&amp;AS[[#This Row],[Large Provider Entity Code]]&amp;"; "&amp;R566&amp;AS[[#This Row],[Age Band Code]]&amp;"; "&amp;S566&amp;AS[[#This Row],[Sex Code]]</f>
        <v xml:space="preserve">Insurer Code ; Reporting Year ; Insurance Category Code ; Large Provider Entity Code ; Age Band Code ; Sex Code </v>
      </c>
      <c r="N566" s="297" t="s">
        <v>197</v>
      </c>
      <c r="O566" s="297" t="s">
        <v>198</v>
      </c>
      <c r="P566" s="297" t="s">
        <v>199</v>
      </c>
      <c r="Q566" s="297" t="s">
        <v>200</v>
      </c>
      <c r="R566" s="297" t="s">
        <v>213</v>
      </c>
      <c r="S566" s="297" t="s">
        <v>214</v>
      </c>
    </row>
    <row r="567" spans="1:19" x14ac:dyDescent="0.4">
      <c r="A567" s="291"/>
      <c r="B567" s="292"/>
      <c r="C567" s="312"/>
      <c r="D567" s="292"/>
      <c r="E567" s="489"/>
      <c r="F567" s="489"/>
      <c r="G567" s="490"/>
      <c r="H567" s="520"/>
      <c r="I567" s="523"/>
      <c r="J567" s="521"/>
      <c r="K567" s="522"/>
      <c r="M567" s="301" t="str">
        <f>N567&amp;AS[[#This Row],[Insurer Code]]&amp;"; "&amp;O567&amp;AS[[#This Row],[Reporting Year]]&amp;"; "&amp;P567&amp;AS[[#This Row],[Insurance Category Code]]&amp;"; "&amp;Q567&amp;AS[[#This Row],[Large Provider Entity Code]]&amp;"; "&amp;R567&amp;AS[[#This Row],[Age Band Code]]&amp;"; "&amp;S567&amp;AS[[#This Row],[Sex Code]]</f>
        <v xml:space="preserve">Insurer Code ; Reporting Year ; Insurance Category Code ; Large Provider Entity Code ; Age Band Code ; Sex Code </v>
      </c>
      <c r="N567" s="297" t="s">
        <v>197</v>
      </c>
      <c r="O567" s="297" t="s">
        <v>198</v>
      </c>
      <c r="P567" s="297" t="s">
        <v>199</v>
      </c>
      <c r="Q567" s="297" t="s">
        <v>200</v>
      </c>
      <c r="R567" s="297" t="s">
        <v>213</v>
      </c>
      <c r="S567" s="297" t="s">
        <v>214</v>
      </c>
    </row>
    <row r="568" spans="1:19" x14ac:dyDescent="0.4">
      <c r="A568" s="291"/>
      <c r="B568" s="292"/>
      <c r="C568" s="312"/>
      <c r="D568" s="292"/>
      <c r="E568" s="489"/>
      <c r="F568" s="489"/>
      <c r="G568" s="490"/>
      <c r="H568" s="520"/>
      <c r="I568" s="523"/>
      <c r="J568" s="521"/>
      <c r="K568" s="522"/>
      <c r="M568" s="301" t="str">
        <f>N568&amp;AS[[#This Row],[Insurer Code]]&amp;"; "&amp;O568&amp;AS[[#This Row],[Reporting Year]]&amp;"; "&amp;P568&amp;AS[[#This Row],[Insurance Category Code]]&amp;"; "&amp;Q568&amp;AS[[#This Row],[Large Provider Entity Code]]&amp;"; "&amp;R568&amp;AS[[#This Row],[Age Band Code]]&amp;"; "&amp;S568&amp;AS[[#This Row],[Sex Code]]</f>
        <v xml:space="preserve">Insurer Code ; Reporting Year ; Insurance Category Code ; Large Provider Entity Code ; Age Band Code ; Sex Code </v>
      </c>
      <c r="N568" s="297" t="s">
        <v>197</v>
      </c>
      <c r="O568" s="297" t="s">
        <v>198</v>
      </c>
      <c r="P568" s="297" t="s">
        <v>199</v>
      </c>
      <c r="Q568" s="297" t="s">
        <v>200</v>
      </c>
      <c r="R568" s="297" t="s">
        <v>213</v>
      </c>
      <c r="S568" s="297" t="s">
        <v>214</v>
      </c>
    </row>
    <row r="569" spans="1:19" x14ac:dyDescent="0.4">
      <c r="A569" s="291"/>
      <c r="B569" s="292"/>
      <c r="C569" s="312"/>
      <c r="D569" s="292"/>
      <c r="E569" s="489"/>
      <c r="F569" s="489"/>
      <c r="G569" s="490"/>
      <c r="H569" s="520"/>
      <c r="I569" s="523"/>
      <c r="J569" s="521"/>
      <c r="K569" s="522"/>
      <c r="M569" s="301" t="str">
        <f>N569&amp;AS[[#This Row],[Insurer Code]]&amp;"; "&amp;O569&amp;AS[[#This Row],[Reporting Year]]&amp;"; "&amp;P569&amp;AS[[#This Row],[Insurance Category Code]]&amp;"; "&amp;Q569&amp;AS[[#This Row],[Large Provider Entity Code]]&amp;"; "&amp;R569&amp;AS[[#This Row],[Age Band Code]]&amp;"; "&amp;S569&amp;AS[[#This Row],[Sex Code]]</f>
        <v xml:space="preserve">Insurer Code ; Reporting Year ; Insurance Category Code ; Large Provider Entity Code ; Age Band Code ; Sex Code </v>
      </c>
      <c r="N569" s="297" t="s">
        <v>197</v>
      </c>
      <c r="O569" s="297" t="s">
        <v>198</v>
      </c>
      <c r="P569" s="297" t="s">
        <v>199</v>
      </c>
      <c r="Q569" s="297" t="s">
        <v>200</v>
      </c>
      <c r="R569" s="297" t="s">
        <v>213</v>
      </c>
      <c r="S569" s="297" t="s">
        <v>214</v>
      </c>
    </row>
    <row r="570" spans="1:19" x14ac:dyDescent="0.4">
      <c r="A570" s="291"/>
      <c r="B570" s="292"/>
      <c r="C570" s="312"/>
      <c r="D570" s="292"/>
      <c r="E570" s="489"/>
      <c r="F570" s="489"/>
      <c r="G570" s="490"/>
      <c r="H570" s="520"/>
      <c r="I570" s="523"/>
      <c r="J570" s="521"/>
      <c r="K570" s="522"/>
      <c r="M570" s="301" t="str">
        <f>N570&amp;AS[[#This Row],[Insurer Code]]&amp;"; "&amp;O570&amp;AS[[#This Row],[Reporting Year]]&amp;"; "&amp;P570&amp;AS[[#This Row],[Insurance Category Code]]&amp;"; "&amp;Q570&amp;AS[[#This Row],[Large Provider Entity Code]]&amp;"; "&amp;R570&amp;AS[[#This Row],[Age Band Code]]&amp;"; "&amp;S570&amp;AS[[#This Row],[Sex Code]]</f>
        <v xml:space="preserve">Insurer Code ; Reporting Year ; Insurance Category Code ; Large Provider Entity Code ; Age Band Code ; Sex Code </v>
      </c>
      <c r="N570" s="297" t="s">
        <v>197</v>
      </c>
      <c r="O570" s="297" t="s">
        <v>198</v>
      </c>
      <c r="P570" s="297" t="s">
        <v>199</v>
      </c>
      <c r="Q570" s="297" t="s">
        <v>200</v>
      </c>
      <c r="R570" s="297" t="s">
        <v>213</v>
      </c>
      <c r="S570" s="297" t="s">
        <v>214</v>
      </c>
    </row>
    <row r="571" spans="1:19" x14ac:dyDescent="0.4">
      <c r="A571" s="291"/>
      <c r="B571" s="292"/>
      <c r="C571" s="312"/>
      <c r="D571" s="292"/>
      <c r="E571" s="489"/>
      <c r="F571" s="489"/>
      <c r="G571" s="490"/>
      <c r="H571" s="520"/>
      <c r="I571" s="523"/>
      <c r="J571" s="521"/>
      <c r="K571" s="522"/>
      <c r="M571" s="301" t="str">
        <f>N571&amp;AS[[#This Row],[Insurer Code]]&amp;"; "&amp;O571&amp;AS[[#This Row],[Reporting Year]]&amp;"; "&amp;P571&amp;AS[[#This Row],[Insurance Category Code]]&amp;"; "&amp;Q571&amp;AS[[#This Row],[Large Provider Entity Code]]&amp;"; "&amp;R571&amp;AS[[#This Row],[Age Band Code]]&amp;"; "&amp;S571&amp;AS[[#This Row],[Sex Code]]</f>
        <v xml:space="preserve">Insurer Code ; Reporting Year ; Insurance Category Code ; Large Provider Entity Code ; Age Band Code ; Sex Code </v>
      </c>
      <c r="N571" s="297" t="s">
        <v>197</v>
      </c>
      <c r="O571" s="297" t="s">
        <v>198</v>
      </c>
      <c r="P571" s="297" t="s">
        <v>199</v>
      </c>
      <c r="Q571" s="297" t="s">
        <v>200</v>
      </c>
      <c r="R571" s="297" t="s">
        <v>213</v>
      </c>
      <c r="S571" s="297" t="s">
        <v>214</v>
      </c>
    </row>
    <row r="572" spans="1:19" x14ac:dyDescent="0.4">
      <c r="A572" s="291"/>
      <c r="B572" s="292"/>
      <c r="C572" s="312"/>
      <c r="D572" s="292"/>
      <c r="E572" s="489"/>
      <c r="F572" s="489"/>
      <c r="G572" s="490"/>
      <c r="H572" s="520"/>
      <c r="I572" s="523"/>
      <c r="J572" s="521"/>
      <c r="K572" s="522"/>
      <c r="M572" s="301" t="str">
        <f>N572&amp;AS[[#This Row],[Insurer Code]]&amp;"; "&amp;O572&amp;AS[[#This Row],[Reporting Year]]&amp;"; "&amp;P572&amp;AS[[#This Row],[Insurance Category Code]]&amp;"; "&amp;Q572&amp;AS[[#This Row],[Large Provider Entity Code]]&amp;"; "&amp;R572&amp;AS[[#This Row],[Age Band Code]]&amp;"; "&amp;S572&amp;AS[[#This Row],[Sex Code]]</f>
        <v xml:space="preserve">Insurer Code ; Reporting Year ; Insurance Category Code ; Large Provider Entity Code ; Age Band Code ; Sex Code </v>
      </c>
      <c r="N572" s="297" t="s">
        <v>197</v>
      </c>
      <c r="O572" s="297" t="s">
        <v>198</v>
      </c>
      <c r="P572" s="297" t="s">
        <v>199</v>
      </c>
      <c r="Q572" s="297" t="s">
        <v>200</v>
      </c>
      <c r="R572" s="297" t="s">
        <v>213</v>
      </c>
      <c r="S572" s="297" t="s">
        <v>214</v>
      </c>
    </row>
    <row r="573" spans="1:19" x14ac:dyDescent="0.4">
      <c r="A573" s="291"/>
      <c r="B573" s="292"/>
      <c r="C573" s="312"/>
      <c r="D573" s="292"/>
      <c r="E573" s="489"/>
      <c r="F573" s="489"/>
      <c r="G573" s="490"/>
      <c r="H573" s="520"/>
      <c r="I573" s="523"/>
      <c r="J573" s="521"/>
      <c r="K573" s="522"/>
      <c r="M573" s="301" t="str">
        <f>N573&amp;AS[[#This Row],[Insurer Code]]&amp;"; "&amp;O573&amp;AS[[#This Row],[Reporting Year]]&amp;"; "&amp;P573&amp;AS[[#This Row],[Insurance Category Code]]&amp;"; "&amp;Q573&amp;AS[[#This Row],[Large Provider Entity Code]]&amp;"; "&amp;R573&amp;AS[[#This Row],[Age Band Code]]&amp;"; "&amp;S573&amp;AS[[#This Row],[Sex Code]]</f>
        <v xml:space="preserve">Insurer Code ; Reporting Year ; Insurance Category Code ; Large Provider Entity Code ; Age Band Code ; Sex Code </v>
      </c>
      <c r="N573" s="297" t="s">
        <v>197</v>
      </c>
      <c r="O573" s="297" t="s">
        <v>198</v>
      </c>
      <c r="P573" s="297" t="s">
        <v>199</v>
      </c>
      <c r="Q573" s="297" t="s">
        <v>200</v>
      </c>
      <c r="R573" s="297" t="s">
        <v>213</v>
      </c>
      <c r="S573" s="297" t="s">
        <v>214</v>
      </c>
    </row>
    <row r="574" spans="1:19" x14ac:dyDescent="0.4">
      <c r="A574" s="291"/>
      <c r="B574" s="292"/>
      <c r="C574" s="312"/>
      <c r="D574" s="292"/>
      <c r="E574" s="489"/>
      <c r="F574" s="489"/>
      <c r="G574" s="490"/>
      <c r="H574" s="520"/>
      <c r="I574" s="523"/>
      <c r="J574" s="521"/>
      <c r="K574" s="522"/>
      <c r="M574" s="301" t="str">
        <f>N574&amp;AS[[#This Row],[Insurer Code]]&amp;"; "&amp;O574&amp;AS[[#This Row],[Reporting Year]]&amp;"; "&amp;P574&amp;AS[[#This Row],[Insurance Category Code]]&amp;"; "&amp;Q574&amp;AS[[#This Row],[Large Provider Entity Code]]&amp;"; "&amp;R574&amp;AS[[#This Row],[Age Band Code]]&amp;"; "&amp;S574&amp;AS[[#This Row],[Sex Code]]</f>
        <v xml:space="preserve">Insurer Code ; Reporting Year ; Insurance Category Code ; Large Provider Entity Code ; Age Band Code ; Sex Code </v>
      </c>
      <c r="N574" s="297" t="s">
        <v>197</v>
      </c>
      <c r="O574" s="297" t="s">
        <v>198</v>
      </c>
      <c r="P574" s="297" t="s">
        <v>199</v>
      </c>
      <c r="Q574" s="297" t="s">
        <v>200</v>
      </c>
      <c r="R574" s="297" t="s">
        <v>213</v>
      </c>
      <c r="S574" s="297" t="s">
        <v>214</v>
      </c>
    </row>
    <row r="575" spans="1:19" x14ac:dyDescent="0.4">
      <c r="A575" s="291"/>
      <c r="B575" s="292"/>
      <c r="C575" s="312"/>
      <c r="D575" s="292"/>
      <c r="E575" s="489"/>
      <c r="F575" s="489"/>
      <c r="G575" s="490"/>
      <c r="H575" s="520"/>
      <c r="I575" s="523"/>
      <c r="J575" s="521"/>
      <c r="K575" s="522"/>
      <c r="M575" s="301" t="str">
        <f>N575&amp;AS[[#This Row],[Insurer Code]]&amp;"; "&amp;O575&amp;AS[[#This Row],[Reporting Year]]&amp;"; "&amp;P575&amp;AS[[#This Row],[Insurance Category Code]]&amp;"; "&amp;Q575&amp;AS[[#This Row],[Large Provider Entity Code]]&amp;"; "&amp;R575&amp;AS[[#This Row],[Age Band Code]]&amp;"; "&amp;S575&amp;AS[[#This Row],[Sex Code]]</f>
        <v xml:space="preserve">Insurer Code ; Reporting Year ; Insurance Category Code ; Large Provider Entity Code ; Age Band Code ; Sex Code </v>
      </c>
      <c r="N575" s="297" t="s">
        <v>197</v>
      </c>
      <c r="O575" s="297" t="s">
        <v>198</v>
      </c>
      <c r="P575" s="297" t="s">
        <v>199</v>
      </c>
      <c r="Q575" s="297" t="s">
        <v>200</v>
      </c>
      <c r="R575" s="297" t="s">
        <v>213</v>
      </c>
      <c r="S575" s="297" t="s">
        <v>214</v>
      </c>
    </row>
    <row r="576" spans="1:19" x14ac:dyDescent="0.4">
      <c r="A576" s="291"/>
      <c r="B576" s="292"/>
      <c r="C576" s="312"/>
      <c r="D576" s="292"/>
      <c r="E576" s="489"/>
      <c r="F576" s="489"/>
      <c r="G576" s="490"/>
      <c r="H576" s="520"/>
      <c r="I576" s="523"/>
      <c r="J576" s="521"/>
      <c r="K576" s="522"/>
      <c r="M576" s="301" t="str">
        <f>N576&amp;AS[[#This Row],[Insurer Code]]&amp;"; "&amp;O576&amp;AS[[#This Row],[Reporting Year]]&amp;"; "&amp;P576&amp;AS[[#This Row],[Insurance Category Code]]&amp;"; "&amp;Q576&amp;AS[[#This Row],[Large Provider Entity Code]]&amp;"; "&amp;R576&amp;AS[[#This Row],[Age Band Code]]&amp;"; "&amp;S576&amp;AS[[#This Row],[Sex Code]]</f>
        <v xml:space="preserve">Insurer Code ; Reporting Year ; Insurance Category Code ; Large Provider Entity Code ; Age Band Code ; Sex Code </v>
      </c>
      <c r="N576" s="297" t="s">
        <v>197</v>
      </c>
      <c r="O576" s="297" t="s">
        <v>198</v>
      </c>
      <c r="P576" s="297" t="s">
        <v>199</v>
      </c>
      <c r="Q576" s="297" t="s">
        <v>200</v>
      </c>
      <c r="R576" s="297" t="s">
        <v>213</v>
      </c>
      <c r="S576" s="297" t="s">
        <v>214</v>
      </c>
    </row>
    <row r="577" spans="1:19" x14ac:dyDescent="0.4">
      <c r="A577" s="291"/>
      <c r="B577" s="292"/>
      <c r="C577" s="312"/>
      <c r="D577" s="292"/>
      <c r="E577" s="489"/>
      <c r="F577" s="489"/>
      <c r="G577" s="490"/>
      <c r="H577" s="520"/>
      <c r="I577" s="523"/>
      <c r="J577" s="521"/>
      <c r="K577" s="522"/>
      <c r="M577" s="301" t="str">
        <f>N577&amp;AS[[#This Row],[Insurer Code]]&amp;"; "&amp;O577&amp;AS[[#This Row],[Reporting Year]]&amp;"; "&amp;P577&amp;AS[[#This Row],[Insurance Category Code]]&amp;"; "&amp;Q577&amp;AS[[#This Row],[Large Provider Entity Code]]&amp;"; "&amp;R577&amp;AS[[#This Row],[Age Band Code]]&amp;"; "&amp;S577&amp;AS[[#This Row],[Sex Code]]</f>
        <v xml:space="preserve">Insurer Code ; Reporting Year ; Insurance Category Code ; Large Provider Entity Code ; Age Band Code ; Sex Code </v>
      </c>
      <c r="N577" s="297" t="s">
        <v>197</v>
      </c>
      <c r="O577" s="297" t="s">
        <v>198</v>
      </c>
      <c r="P577" s="297" t="s">
        <v>199</v>
      </c>
      <c r="Q577" s="297" t="s">
        <v>200</v>
      </c>
      <c r="R577" s="297" t="s">
        <v>213</v>
      </c>
      <c r="S577" s="297" t="s">
        <v>214</v>
      </c>
    </row>
    <row r="578" spans="1:19" x14ac:dyDescent="0.4">
      <c r="A578" s="291"/>
      <c r="B578" s="292"/>
      <c r="C578" s="312"/>
      <c r="D578" s="292"/>
      <c r="E578" s="489"/>
      <c r="F578" s="489"/>
      <c r="G578" s="490"/>
      <c r="H578" s="520"/>
      <c r="I578" s="523"/>
      <c r="J578" s="521"/>
      <c r="K578" s="522"/>
      <c r="M578" s="301" t="str">
        <f>N578&amp;AS[[#This Row],[Insurer Code]]&amp;"; "&amp;O578&amp;AS[[#This Row],[Reporting Year]]&amp;"; "&amp;P578&amp;AS[[#This Row],[Insurance Category Code]]&amp;"; "&amp;Q578&amp;AS[[#This Row],[Large Provider Entity Code]]&amp;"; "&amp;R578&amp;AS[[#This Row],[Age Band Code]]&amp;"; "&amp;S578&amp;AS[[#This Row],[Sex Code]]</f>
        <v xml:space="preserve">Insurer Code ; Reporting Year ; Insurance Category Code ; Large Provider Entity Code ; Age Band Code ; Sex Code </v>
      </c>
      <c r="N578" s="297" t="s">
        <v>197</v>
      </c>
      <c r="O578" s="297" t="s">
        <v>198</v>
      </c>
      <c r="P578" s="297" t="s">
        <v>199</v>
      </c>
      <c r="Q578" s="297" t="s">
        <v>200</v>
      </c>
      <c r="R578" s="297" t="s">
        <v>213</v>
      </c>
      <c r="S578" s="297" t="s">
        <v>214</v>
      </c>
    </row>
    <row r="579" spans="1:19" x14ac:dyDescent="0.4">
      <c r="A579" s="291"/>
      <c r="B579" s="292"/>
      <c r="C579" s="312"/>
      <c r="D579" s="292"/>
      <c r="E579" s="489"/>
      <c r="F579" s="489"/>
      <c r="G579" s="490"/>
      <c r="H579" s="520"/>
      <c r="I579" s="523"/>
      <c r="J579" s="521"/>
      <c r="K579" s="522"/>
      <c r="M579" s="301" t="str">
        <f>N579&amp;AS[[#This Row],[Insurer Code]]&amp;"; "&amp;O579&amp;AS[[#This Row],[Reporting Year]]&amp;"; "&amp;P579&amp;AS[[#This Row],[Insurance Category Code]]&amp;"; "&amp;Q579&amp;AS[[#This Row],[Large Provider Entity Code]]&amp;"; "&amp;R579&amp;AS[[#This Row],[Age Band Code]]&amp;"; "&amp;S579&amp;AS[[#This Row],[Sex Code]]</f>
        <v xml:space="preserve">Insurer Code ; Reporting Year ; Insurance Category Code ; Large Provider Entity Code ; Age Band Code ; Sex Code </v>
      </c>
      <c r="N579" s="297" t="s">
        <v>197</v>
      </c>
      <c r="O579" s="297" t="s">
        <v>198</v>
      </c>
      <c r="P579" s="297" t="s">
        <v>199</v>
      </c>
      <c r="Q579" s="297" t="s">
        <v>200</v>
      </c>
      <c r="R579" s="297" t="s">
        <v>213</v>
      </c>
      <c r="S579" s="297" t="s">
        <v>214</v>
      </c>
    </row>
    <row r="580" spans="1:19" x14ac:dyDescent="0.4">
      <c r="A580" s="291"/>
      <c r="B580" s="292"/>
      <c r="C580" s="312"/>
      <c r="D580" s="292"/>
      <c r="E580" s="489"/>
      <c r="F580" s="489"/>
      <c r="G580" s="490"/>
      <c r="H580" s="520"/>
      <c r="I580" s="523"/>
      <c r="J580" s="521"/>
      <c r="K580" s="522"/>
      <c r="M580" s="301" t="str">
        <f>N580&amp;AS[[#This Row],[Insurer Code]]&amp;"; "&amp;O580&amp;AS[[#This Row],[Reporting Year]]&amp;"; "&amp;P580&amp;AS[[#This Row],[Insurance Category Code]]&amp;"; "&amp;Q580&amp;AS[[#This Row],[Large Provider Entity Code]]&amp;"; "&amp;R580&amp;AS[[#This Row],[Age Band Code]]&amp;"; "&amp;S580&amp;AS[[#This Row],[Sex Code]]</f>
        <v xml:space="preserve">Insurer Code ; Reporting Year ; Insurance Category Code ; Large Provider Entity Code ; Age Band Code ; Sex Code </v>
      </c>
      <c r="N580" s="297" t="s">
        <v>197</v>
      </c>
      <c r="O580" s="297" t="s">
        <v>198</v>
      </c>
      <c r="P580" s="297" t="s">
        <v>199</v>
      </c>
      <c r="Q580" s="297" t="s">
        <v>200</v>
      </c>
      <c r="R580" s="297" t="s">
        <v>213</v>
      </c>
      <c r="S580" s="297" t="s">
        <v>214</v>
      </c>
    </row>
    <row r="581" spans="1:19" x14ac:dyDescent="0.4">
      <c r="A581" s="291"/>
      <c r="B581" s="292"/>
      <c r="C581" s="312"/>
      <c r="D581" s="292"/>
      <c r="E581" s="489"/>
      <c r="F581" s="489"/>
      <c r="G581" s="490"/>
      <c r="H581" s="520"/>
      <c r="I581" s="523"/>
      <c r="J581" s="521"/>
      <c r="K581" s="522"/>
      <c r="M581" s="301" t="str">
        <f>N581&amp;AS[[#This Row],[Insurer Code]]&amp;"; "&amp;O581&amp;AS[[#This Row],[Reporting Year]]&amp;"; "&amp;P581&amp;AS[[#This Row],[Insurance Category Code]]&amp;"; "&amp;Q581&amp;AS[[#This Row],[Large Provider Entity Code]]&amp;"; "&amp;R581&amp;AS[[#This Row],[Age Band Code]]&amp;"; "&amp;S581&amp;AS[[#This Row],[Sex Code]]</f>
        <v xml:space="preserve">Insurer Code ; Reporting Year ; Insurance Category Code ; Large Provider Entity Code ; Age Band Code ; Sex Code </v>
      </c>
      <c r="N581" s="297" t="s">
        <v>197</v>
      </c>
      <c r="O581" s="297" t="s">
        <v>198</v>
      </c>
      <c r="P581" s="297" t="s">
        <v>199</v>
      </c>
      <c r="Q581" s="297" t="s">
        <v>200</v>
      </c>
      <c r="R581" s="297" t="s">
        <v>213</v>
      </c>
      <c r="S581" s="297" t="s">
        <v>214</v>
      </c>
    </row>
    <row r="582" spans="1:19" x14ac:dyDescent="0.4">
      <c r="A582" s="291"/>
      <c r="B582" s="292"/>
      <c r="C582" s="312"/>
      <c r="D582" s="292"/>
      <c r="E582" s="489"/>
      <c r="F582" s="489"/>
      <c r="G582" s="490"/>
      <c r="H582" s="520"/>
      <c r="I582" s="523"/>
      <c r="J582" s="521"/>
      <c r="K582" s="522"/>
      <c r="M582" s="301" t="str">
        <f>N582&amp;AS[[#This Row],[Insurer Code]]&amp;"; "&amp;O582&amp;AS[[#This Row],[Reporting Year]]&amp;"; "&amp;P582&amp;AS[[#This Row],[Insurance Category Code]]&amp;"; "&amp;Q582&amp;AS[[#This Row],[Large Provider Entity Code]]&amp;"; "&amp;R582&amp;AS[[#This Row],[Age Band Code]]&amp;"; "&amp;S582&amp;AS[[#This Row],[Sex Code]]</f>
        <v xml:space="preserve">Insurer Code ; Reporting Year ; Insurance Category Code ; Large Provider Entity Code ; Age Band Code ; Sex Code </v>
      </c>
      <c r="N582" s="297" t="s">
        <v>197</v>
      </c>
      <c r="O582" s="297" t="s">
        <v>198</v>
      </c>
      <c r="P582" s="297" t="s">
        <v>199</v>
      </c>
      <c r="Q582" s="297" t="s">
        <v>200</v>
      </c>
      <c r="R582" s="297" t="s">
        <v>213</v>
      </c>
      <c r="S582" s="297" t="s">
        <v>214</v>
      </c>
    </row>
    <row r="583" spans="1:19" x14ac:dyDescent="0.4">
      <c r="A583" s="291"/>
      <c r="B583" s="292"/>
      <c r="C583" s="312"/>
      <c r="D583" s="292"/>
      <c r="E583" s="489"/>
      <c r="F583" s="489"/>
      <c r="G583" s="490"/>
      <c r="H583" s="520"/>
      <c r="I583" s="523"/>
      <c r="J583" s="521"/>
      <c r="K583" s="522"/>
      <c r="M583" s="301" t="str">
        <f>N583&amp;AS[[#This Row],[Insurer Code]]&amp;"; "&amp;O583&amp;AS[[#This Row],[Reporting Year]]&amp;"; "&amp;P583&amp;AS[[#This Row],[Insurance Category Code]]&amp;"; "&amp;Q583&amp;AS[[#This Row],[Large Provider Entity Code]]&amp;"; "&amp;R583&amp;AS[[#This Row],[Age Band Code]]&amp;"; "&amp;S583&amp;AS[[#This Row],[Sex Code]]</f>
        <v xml:space="preserve">Insurer Code ; Reporting Year ; Insurance Category Code ; Large Provider Entity Code ; Age Band Code ; Sex Code </v>
      </c>
      <c r="N583" s="297" t="s">
        <v>197</v>
      </c>
      <c r="O583" s="297" t="s">
        <v>198</v>
      </c>
      <c r="P583" s="297" t="s">
        <v>199</v>
      </c>
      <c r="Q583" s="297" t="s">
        <v>200</v>
      </c>
      <c r="R583" s="297" t="s">
        <v>213</v>
      </c>
      <c r="S583" s="297" t="s">
        <v>214</v>
      </c>
    </row>
    <row r="584" spans="1:19" x14ac:dyDescent="0.4">
      <c r="A584" s="291"/>
      <c r="B584" s="292"/>
      <c r="C584" s="312"/>
      <c r="D584" s="292"/>
      <c r="E584" s="489"/>
      <c r="F584" s="489"/>
      <c r="G584" s="490"/>
      <c r="H584" s="520"/>
      <c r="I584" s="523"/>
      <c r="J584" s="521"/>
      <c r="K584" s="522"/>
      <c r="M584" s="301" t="str">
        <f>N584&amp;AS[[#This Row],[Insurer Code]]&amp;"; "&amp;O584&amp;AS[[#This Row],[Reporting Year]]&amp;"; "&amp;P584&amp;AS[[#This Row],[Insurance Category Code]]&amp;"; "&amp;Q584&amp;AS[[#This Row],[Large Provider Entity Code]]&amp;"; "&amp;R584&amp;AS[[#This Row],[Age Band Code]]&amp;"; "&amp;S584&amp;AS[[#This Row],[Sex Code]]</f>
        <v xml:space="preserve">Insurer Code ; Reporting Year ; Insurance Category Code ; Large Provider Entity Code ; Age Band Code ; Sex Code </v>
      </c>
      <c r="N584" s="297" t="s">
        <v>197</v>
      </c>
      <c r="O584" s="297" t="s">
        <v>198</v>
      </c>
      <c r="P584" s="297" t="s">
        <v>199</v>
      </c>
      <c r="Q584" s="297" t="s">
        <v>200</v>
      </c>
      <c r="R584" s="297" t="s">
        <v>213</v>
      </c>
      <c r="S584" s="297" t="s">
        <v>214</v>
      </c>
    </row>
    <row r="585" spans="1:19" x14ac:dyDescent="0.4">
      <c r="A585" s="291"/>
      <c r="B585" s="292"/>
      <c r="C585" s="312"/>
      <c r="D585" s="292"/>
      <c r="E585" s="489"/>
      <c r="F585" s="489"/>
      <c r="G585" s="490"/>
      <c r="H585" s="520"/>
      <c r="I585" s="523"/>
      <c r="J585" s="521"/>
      <c r="K585" s="522"/>
      <c r="M585" s="301" t="str">
        <f>N585&amp;AS[[#This Row],[Insurer Code]]&amp;"; "&amp;O585&amp;AS[[#This Row],[Reporting Year]]&amp;"; "&amp;P585&amp;AS[[#This Row],[Insurance Category Code]]&amp;"; "&amp;Q585&amp;AS[[#This Row],[Large Provider Entity Code]]&amp;"; "&amp;R585&amp;AS[[#This Row],[Age Band Code]]&amp;"; "&amp;S585&amp;AS[[#This Row],[Sex Code]]</f>
        <v xml:space="preserve">Insurer Code ; Reporting Year ; Insurance Category Code ; Large Provider Entity Code ; Age Band Code ; Sex Code </v>
      </c>
      <c r="N585" s="297" t="s">
        <v>197</v>
      </c>
      <c r="O585" s="297" t="s">
        <v>198</v>
      </c>
      <c r="P585" s="297" t="s">
        <v>199</v>
      </c>
      <c r="Q585" s="297" t="s">
        <v>200</v>
      </c>
      <c r="R585" s="297" t="s">
        <v>213</v>
      </c>
      <c r="S585" s="297" t="s">
        <v>214</v>
      </c>
    </row>
    <row r="586" spans="1:19" x14ac:dyDescent="0.4">
      <c r="A586" s="291"/>
      <c r="B586" s="292"/>
      <c r="C586" s="312"/>
      <c r="D586" s="292"/>
      <c r="E586" s="489"/>
      <c r="F586" s="489"/>
      <c r="G586" s="490"/>
      <c r="H586" s="520"/>
      <c r="I586" s="523"/>
      <c r="J586" s="521"/>
      <c r="K586" s="522"/>
      <c r="M586" s="301" t="str">
        <f>N586&amp;AS[[#This Row],[Insurer Code]]&amp;"; "&amp;O586&amp;AS[[#This Row],[Reporting Year]]&amp;"; "&amp;P586&amp;AS[[#This Row],[Insurance Category Code]]&amp;"; "&amp;Q586&amp;AS[[#This Row],[Large Provider Entity Code]]&amp;"; "&amp;R586&amp;AS[[#This Row],[Age Band Code]]&amp;"; "&amp;S586&amp;AS[[#This Row],[Sex Code]]</f>
        <v xml:space="preserve">Insurer Code ; Reporting Year ; Insurance Category Code ; Large Provider Entity Code ; Age Band Code ; Sex Code </v>
      </c>
      <c r="N586" s="297" t="s">
        <v>197</v>
      </c>
      <c r="O586" s="297" t="s">
        <v>198</v>
      </c>
      <c r="P586" s="297" t="s">
        <v>199</v>
      </c>
      <c r="Q586" s="297" t="s">
        <v>200</v>
      </c>
      <c r="R586" s="297" t="s">
        <v>213</v>
      </c>
      <c r="S586" s="297" t="s">
        <v>214</v>
      </c>
    </row>
    <row r="587" spans="1:19" x14ac:dyDescent="0.4">
      <c r="A587" s="291"/>
      <c r="B587" s="292"/>
      <c r="C587" s="312"/>
      <c r="D587" s="292"/>
      <c r="E587" s="489"/>
      <c r="F587" s="489"/>
      <c r="G587" s="490"/>
      <c r="H587" s="520"/>
      <c r="I587" s="523"/>
      <c r="J587" s="521"/>
      <c r="K587" s="522"/>
      <c r="M587" s="301" t="str">
        <f>N587&amp;AS[[#This Row],[Insurer Code]]&amp;"; "&amp;O587&amp;AS[[#This Row],[Reporting Year]]&amp;"; "&amp;P587&amp;AS[[#This Row],[Insurance Category Code]]&amp;"; "&amp;Q587&amp;AS[[#This Row],[Large Provider Entity Code]]&amp;"; "&amp;R587&amp;AS[[#This Row],[Age Band Code]]&amp;"; "&amp;S587&amp;AS[[#This Row],[Sex Code]]</f>
        <v xml:space="preserve">Insurer Code ; Reporting Year ; Insurance Category Code ; Large Provider Entity Code ; Age Band Code ; Sex Code </v>
      </c>
      <c r="N587" s="297" t="s">
        <v>197</v>
      </c>
      <c r="O587" s="297" t="s">
        <v>198</v>
      </c>
      <c r="P587" s="297" t="s">
        <v>199</v>
      </c>
      <c r="Q587" s="297" t="s">
        <v>200</v>
      </c>
      <c r="R587" s="297" t="s">
        <v>213</v>
      </c>
      <c r="S587" s="297" t="s">
        <v>214</v>
      </c>
    </row>
    <row r="588" spans="1:19" x14ac:dyDescent="0.4">
      <c r="A588" s="291"/>
      <c r="B588" s="292"/>
      <c r="C588" s="312"/>
      <c r="D588" s="292"/>
      <c r="E588" s="489"/>
      <c r="F588" s="489"/>
      <c r="G588" s="490"/>
      <c r="H588" s="520"/>
      <c r="I588" s="523"/>
      <c r="J588" s="521"/>
      <c r="K588" s="522"/>
      <c r="M588" s="301" t="str">
        <f>N588&amp;AS[[#This Row],[Insurer Code]]&amp;"; "&amp;O588&amp;AS[[#This Row],[Reporting Year]]&amp;"; "&amp;P588&amp;AS[[#This Row],[Insurance Category Code]]&amp;"; "&amp;Q588&amp;AS[[#This Row],[Large Provider Entity Code]]&amp;"; "&amp;R588&amp;AS[[#This Row],[Age Band Code]]&amp;"; "&amp;S588&amp;AS[[#This Row],[Sex Code]]</f>
        <v xml:space="preserve">Insurer Code ; Reporting Year ; Insurance Category Code ; Large Provider Entity Code ; Age Band Code ; Sex Code </v>
      </c>
      <c r="N588" s="297" t="s">
        <v>197</v>
      </c>
      <c r="O588" s="297" t="s">
        <v>198</v>
      </c>
      <c r="P588" s="297" t="s">
        <v>199</v>
      </c>
      <c r="Q588" s="297" t="s">
        <v>200</v>
      </c>
      <c r="R588" s="297" t="s">
        <v>213</v>
      </c>
      <c r="S588" s="297" t="s">
        <v>214</v>
      </c>
    </row>
    <row r="589" spans="1:19" x14ac:dyDescent="0.4">
      <c r="A589" s="291"/>
      <c r="B589" s="292"/>
      <c r="C589" s="312"/>
      <c r="D589" s="292"/>
      <c r="E589" s="489"/>
      <c r="F589" s="489"/>
      <c r="G589" s="490"/>
      <c r="H589" s="520"/>
      <c r="I589" s="523"/>
      <c r="J589" s="521"/>
      <c r="K589" s="522"/>
      <c r="M589" s="301" t="str">
        <f>N589&amp;AS[[#This Row],[Insurer Code]]&amp;"; "&amp;O589&amp;AS[[#This Row],[Reporting Year]]&amp;"; "&amp;P589&amp;AS[[#This Row],[Insurance Category Code]]&amp;"; "&amp;Q589&amp;AS[[#This Row],[Large Provider Entity Code]]&amp;"; "&amp;R589&amp;AS[[#This Row],[Age Band Code]]&amp;"; "&amp;S589&amp;AS[[#This Row],[Sex Code]]</f>
        <v xml:space="preserve">Insurer Code ; Reporting Year ; Insurance Category Code ; Large Provider Entity Code ; Age Band Code ; Sex Code </v>
      </c>
      <c r="N589" s="297" t="s">
        <v>197</v>
      </c>
      <c r="O589" s="297" t="s">
        <v>198</v>
      </c>
      <c r="P589" s="297" t="s">
        <v>199</v>
      </c>
      <c r="Q589" s="297" t="s">
        <v>200</v>
      </c>
      <c r="R589" s="297" t="s">
        <v>213</v>
      </c>
      <c r="S589" s="297" t="s">
        <v>214</v>
      </c>
    </row>
    <row r="590" spans="1:19" x14ac:dyDescent="0.4">
      <c r="A590" s="291"/>
      <c r="B590" s="292"/>
      <c r="C590" s="312"/>
      <c r="D590" s="292"/>
      <c r="E590" s="489"/>
      <c r="F590" s="489"/>
      <c r="G590" s="490"/>
      <c r="H590" s="520"/>
      <c r="I590" s="523"/>
      <c r="J590" s="521"/>
      <c r="K590" s="522"/>
      <c r="M590" s="301" t="str">
        <f>N590&amp;AS[[#This Row],[Insurer Code]]&amp;"; "&amp;O590&amp;AS[[#This Row],[Reporting Year]]&amp;"; "&amp;P590&amp;AS[[#This Row],[Insurance Category Code]]&amp;"; "&amp;Q590&amp;AS[[#This Row],[Large Provider Entity Code]]&amp;"; "&amp;R590&amp;AS[[#This Row],[Age Band Code]]&amp;"; "&amp;S590&amp;AS[[#This Row],[Sex Code]]</f>
        <v xml:space="preserve">Insurer Code ; Reporting Year ; Insurance Category Code ; Large Provider Entity Code ; Age Band Code ; Sex Code </v>
      </c>
      <c r="N590" s="297" t="s">
        <v>197</v>
      </c>
      <c r="O590" s="297" t="s">
        <v>198</v>
      </c>
      <c r="P590" s="297" t="s">
        <v>199</v>
      </c>
      <c r="Q590" s="297" t="s">
        <v>200</v>
      </c>
      <c r="R590" s="297" t="s">
        <v>213</v>
      </c>
      <c r="S590" s="297" t="s">
        <v>214</v>
      </c>
    </row>
    <row r="591" spans="1:19" x14ac:dyDescent="0.4">
      <c r="A591" s="291"/>
      <c r="B591" s="292"/>
      <c r="C591" s="312"/>
      <c r="D591" s="292"/>
      <c r="E591" s="489"/>
      <c r="F591" s="489"/>
      <c r="G591" s="490"/>
      <c r="H591" s="520"/>
      <c r="I591" s="523"/>
      <c r="J591" s="521"/>
      <c r="K591" s="522"/>
      <c r="M591" s="301" t="str">
        <f>N591&amp;AS[[#This Row],[Insurer Code]]&amp;"; "&amp;O591&amp;AS[[#This Row],[Reporting Year]]&amp;"; "&amp;P591&amp;AS[[#This Row],[Insurance Category Code]]&amp;"; "&amp;Q591&amp;AS[[#This Row],[Large Provider Entity Code]]&amp;"; "&amp;R591&amp;AS[[#This Row],[Age Band Code]]&amp;"; "&amp;S591&amp;AS[[#This Row],[Sex Code]]</f>
        <v xml:space="preserve">Insurer Code ; Reporting Year ; Insurance Category Code ; Large Provider Entity Code ; Age Band Code ; Sex Code </v>
      </c>
      <c r="N591" s="297" t="s">
        <v>197</v>
      </c>
      <c r="O591" s="297" t="s">
        <v>198</v>
      </c>
      <c r="P591" s="297" t="s">
        <v>199</v>
      </c>
      <c r="Q591" s="297" t="s">
        <v>200</v>
      </c>
      <c r="R591" s="297" t="s">
        <v>213</v>
      </c>
      <c r="S591" s="297" t="s">
        <v>214</v>
      </c>
    </row>
    <row r="592" spans="1:19" x14ac:dyDescent="0.4">
      <c r="A592" s="291"/>
      <c r="B592" s="292"/>
      <c r="C592" s="312"/>
      <c r="D592" s="292"/>
      <c r="E592" s="489"/>
      <c r="F592" s="489"/>
      <c r="G592" s="490"/>
      <c r="H592" s="520"/>
      <c r="I592" s="523"/>
      <c r="J592" s="521"/>
      <c r="K592" s="522"/>
      <c r="M592" s="301" t="str">
        <f>N592&amp;AS[[#This Row],[Insurer Code]]&amp;"; "&amp;O592&amp;AS[[#This Row],[Reporting Year]]&amp;"; "&amp;P592&amp;AS[[#This Row],[Insurance Category Code]]&amp;"; "&amp;Q592&amp;AS[[#This Row],[Large Provider Entity Code]]&amp;"; "&amp;R592&amp;AS[[#This Row],[Age Band Code]]&amp;"; "&amp;S592&amp;AS[[#This Row],[Sex Code]]</f>
        <v xml:space="preserve">Insurer Code ; Reporting Year ; Insurance Category Code ; Large Provider Entity Code ; Age Band Code ; Sex Code </v>
      </c>
      <c r="N592" s="297" t="s">
        <v>197</v>
      </c>
      <c r="O592" s="297" t="s">
        <v>198</v>
      </c>
      <c r="P592" s="297" t="s">
        <v>199</v>
      </c>
      <c r="Q592" s="297" t="s">
        <v>200</v>
      </c>
      <c r="R592" s="297" t="s">
        <v>213</v>
      </c>
      <c r="S592" s="297" t="s">
        <v>214</v>
      </c>
    </row>
    <row r="593" spans="1:19" x14ac:dyDescent="0.4">
      <c r="A593" s="291"/>
      <c r="B593" s="292"/>
      <c r="C593" s="312"/>
      <c r="D593" s="292"/>
      <c r="E593" s="489"/>
      <c r="F593" s="489"/>
      <c r="G593" s="490"/>
      <c r="H593" s="520"/>
      <c r="I593" s="523"/>
      <c r="J593" s="521"/>
      <c r="K593" s="522"/>
      <c r="M593" s="301" t="str">
        <f>N593&amp;AS[[#This Row],[Insurer Code]]&amp;"; "&amp;O593&amp;AS[[#This Row],[Reporting Year]]&amp;"; "&amp;P593&amp;AS[[#This Row],[Insurance Category Code]]&amp;"; "&amp;Q593&amp;AS[[#This Row],[Large Provider Entity Code]]&amp;"; "&amp;R593&amp;AS[[#This Row],[Age Band Code]]&amp;"; "&amp;S593&amp;AS[[#This Row],[Sex Code]]</f>
        <v xml:space="preserve">Insurer Code ; Reporting Year ; Insurance Category Code ; Large Provider Entity Code ; Age Band Code ; Sex Code </v>
      </c>
      <c r="N593" s="297" t="s">
        <v>197</v>
      </c>
      <c r="O593" s="297" t="s">
        <v>198</v>
      </c>
      <c r="P593" s="297" t="s">
        <v>199</v>
      </c>
      <c r="Q593" s="297" t="s">
        <v>200</v>
      </c>
      <c r="R593" s="297" t="s">
        <v>213</v>
      </c>
      <c r="S593" s="297" t="s">
        <v>214</v>
      </c>
    </row>
    <row r="594" spans="1:19" x14ac:dyDescent="0.4">
      <c r="A594" s="291"/>
      <c r="B594" s="292"/>
      <c r="C594" s="312"/>
      <c r="D594" s="292"/>
      <c r="E594" s="489"/>
      <c r="F594" s="489"/>
      <c r="G594" s="490"/>
      <c r="H594" s="520"/>
      <c r="I594" s="523"/>
      <c r="J594" s="521"/>
      <c r="K594" s="522"/>
      <c r="M594" s="301" t="str">
        <f>N594&amp;AS[[#This Row],[Insurer Code]]&amp;"; "&amp;O594&amp;AS[[#This Row],[Reporting Year]]&amp;"; "&amp;P594&amp;AS[[#This Row],[Insurance Category Code]]&amp;"; "&amp;Q594&amp;AS[[#This Row],[Large Provider Entity Code]]&amp;"; "&amp;R594&amp;AS[[#This Row],[Age Band Code]]&amp;"; "&amp;S594&amp;AS[[#This Row],[Sex Code]]</f>
        <v xml:space="preserve">Insurer Code ; Reporting Year ; Insurance Category Code ; Large Provider Entity Code ; Age Band Code ; Sex Code </v>
      </c>
      <c r="N594" s="297" t="s">
        <v>197</v>
      </c>
      <c r="O594" s="297" t="s">
        <v>198</v>
      </c>
      <c r="P594" s="297" t="s">
        <v>199</v>
      </c>
      <c r="Q594" s="297" t="s">
        <v>200</v>
      </c>
      <c r="R594" s="297" t="s">
        <v>213</v>
      </c>
      <c r="S594" s="297" t="s">
        <v>214</v>
      </c>
    </row>
    <row r="595" spans="1:19" x14ac:dyDescent="0.4">
      <c r="A595" s="291"/>
      <c r="B595" s="292"/>
      <c r="C595" s="312"/>
      <c r="D595" s="292"/>
      <c r="E595" s="489"/>
      <c r="F595" s="489"/>
      <c r="G595" s="490"/>
      <c r="H595" s="520"/>
      <c r="I595" s="523"/>
      <c r="J595" s="521"/>
      <c r="K595" s="522"/>
      <c r="M595" s="301" t="str">
        <f>N595&amp;AS[[#This Row],[Insurer Code]]&amp;"; "&amp;O595&amp;AS[[#This Row],[Reporting Year]]&amp;"; "&amp;P595&amp;AS[[#This Row],[Insurance Category Code]]&amp;"; "&amp;Q595&amp;AS[[#This Row],[Large Provider Entity Code]]&amp;"; "&amp;R595&amp;AS[[#This Row],[Age Band Code]]&amp;"; "&amp;S595&amp;AS[[#This Row],[Sex Code]]</f>
        <v xml:space="preserve">Insurer Code ; Reporting Year ; Insurance Category Code ; Large Provider Entity Code ; Age Band Code ; Sex Code </v>
      </c>
      <c r="N595" s="297" t="s">
        <v>197</v>
      </c>
      <c r="O595" s="297" t="s">
        <v>198</v>
      </c>
      <c r="P595" s="297" t="s">
        <v>199</v>
      </c>
      <c r="Q595" s="297" t="s">
        <v>200</v>
      </c>
      <c r="R595" s="297" t="s">
        <v>213</v>
      </c>
      <c r="S595" s="297" t="s">
        <v>214</v>
      </c>
    </row>
    <row r="596" spans="1:19" x14ac:dyDescent="0.4">
      <c r="A596" s="291"/>
      <c r="B596" s="292"/>
      <c r="C596" s="312"/>
      <c r="D596" s="292"/>
      <c r="E596" s="489"/>
      <c r="F596" s="489"/>
      <c r="G596" s="490"/>
      <c r="H596" s="520"/>
      <c r="I596" s="523"/>
      <c r="J596" s="521"/>
      <c r="K596" s="522"/>
      <c r="M596" s="301" t="str">
        <f>N596&amp;AS[[#This Row],[Insurer Code]]&amp;"; "&amp;O596&amp;AS[[#This Row],[Reporting Year]]&amp;"; "&amp;P596&amp;AS[[#This Row],[Insurance Category Code]]&amp;"; "&amp;Q596&amp;AS[[#This Row],[Large Provider Entity Code]]&amp;"; "&amp;R596&amp;AS[[#This Row],[Age Band Code]]&amp;"; "&amp;S596&amp;AS[[#This Row],[Sex Code]]</f>
        <v xml:space="preserve">Insurer Code ; Reporting Year ; Insurance Category Code ; Large Provider Entity Code ; Age Band Code ; Sex Code </v>
      </c>
      <c r="N596" s="297" t="s">
        <v>197</v>
      </c>
      <c r="O596" s="297" t="s">
        <v>198</v>
      </c>
      <c r="P596" s="297" t="s">
        <v>199</v>
      </c>
      <c r="Q596" s="297" t="s">
        <v>200</v>
      </c>
      <c r="R596" s="297" t="s">
        <v>213</v>
      </c>
      <c r="S596" s="297" t="s">
        <v>214</v>
      </c>
    </row>
    <row r="597" spans="1:19" x14ac:dyDescent="0.4">
      <c r="A597" s="291"/>
      <c r="B597" s="292"/>
      <c r="C597" s="312"/>
      <c r="D597" s="292"/>
      <c r="E597" s="489"/>
      <c r="F597" s="489"/>
      <c r="G597" s="490"/>
      <c r="H597" s="520"/>
      <c r="I597" s="523"/>
      <c r="J597" s="521"/>
      <c r="K597" s="522"/>
      <c r="M597" s="301" t="str">
        <f>N597&amp;AS[[#This Row],[Insurer Code]]&amp;"; "&amp;O597&amp;AS[[#This Row],[Reporting Year]]&amp;"; "&amp;P597&amp;AS[[#This Row],[Insurance Category Code]]&amp;"; "&amp;Q597&amp;AS[[#This Row],[Large Provider Entity Code]]&amp;"; "&amp;R597&amp;AS[[#This Row],[Age Band Code]]&amp;"; "&amp;S597&amp;AS[[#This Row],[Sex Code]]</f>
        <v xml:space="preserve">Insurer Code ; Reporting Year ; Insurance Category Code ; Large Provider Entity Code ; Age Band Code ; Sex Code </v>
      </c>
      <c r="N597" s="297" t="s">
        <v>197</v>
      </c>
      <c r="O597" s="297" t="s">
        <v>198</v>
      </c>
      <c r="P597" s="297" t="s">
        <v>199</v>
      </c>
      <c r="Q597" s="297" t="s">
        <v>200</v>
      </c>
      <c r="R597" s="297" t="s">
        <v>213</v>
      </c>
      <c r="S597" s="297" t="s">
        <v>214</v>
      </c>
    </row>
    <row r="598" spans="1:19" x14ac:dyDescent="0.4">
      <c r="A598" s="291"/>
      <c r="B598" s="292"/>
      <c r="C598" s="312"/>
      <c r="D598" s="292"/>
      <c r="E598" s="489"/>
      <c r="F598" s="489"/>
      <c r="G598" s="490"/>
      <c r="H598" s="520"/>
      <c r="I598" s="523"/>
      <c r="J598" s="521"/>
      <c r="K598" s="522"/>
      <c r="M598" s="301" t="str">
        <f>N598&amp;AS[[#This Row],[Insurer Code]]&amp;"; "&amp;O598&amp;AS[[#This Row],[Reporting Year]]&amp;"; "&amp;P598&amp;AS[[#This Row],[Insurance Category Code]]&amp;"; "&amp;Q598&amp;AS[[#This Row],[Large Provider Entity Code]]&amp;"; "&amp;R598&amp;AS[[#This Row],[Age Band Code]]&amp;"; "&amp;S598&amp;AS[[#This Row],[Sex Code]]</f>
        <v xml:space="preserve">Insurer Code ; Reporting Year ; Insurance Category Code ; Large Provider Entity Code ; Age Band Code ; Sex Code </v>
      </c>
      <c r="N598" s="297" t="s">
        <v>197</v>
      </c>
      <c r="O598" s="297" t="s">
        <v>198</v>
      </c>
      <c r="P598" s="297" t="s">
        <v>199</v>
      </c>
      <c r="Q598" s="297" t="s">
        <v>200</v>
      </c>
      <c r="R598" s="297" t="s">
        <v>213</v>
      </c>
      <c r="S598" s="297" t="s">
        <v>214</v>
      </c>
    </row>
    <row r="599" spans="1:19" x14ac:dyDescent="0.4">
      <c r="A599" s="291"/>
      <c r="B599" s="292"/>
      <c r="C599" s="312"/>
      <c r="D599" s="292"/>
      <c r="E599" s="489"/>
      <c r="F599" s="489"/>
      <c r="G599" s="490"/>
      <c r="H599" s="520"/>
      <c r="I599" s="523"/>
      <c r="J599" s="521"/>
      <c r="K599" s="522"/>
      <c r="M599" s="301" t="str">
        <f>N599&amp;AS[[#This Row],[Insurer Code]]&amp;"; "&amp;O599&amp;AS[[#This Row],[Reporting Year]]&amp;"; "&amp;P599&amp;AS[[#This Row],[Insurance Category Code]]&amp;"; "&amp;Q599&amp;AS[[#This Row],[Large Provider Entity Code]]&amp;"; "&amp;R599&amp;AS[[#This Row],[Age Band Code]]&amp;"; "&amp;S599&amp;AS[[#This Row],[Sex Code]]</f>
        <v xml:space="preserve">Insurer Code ; Reporting Year ; Insurance Category Code ; Large Provider Entity Code ; Age Band Code ; Sex Code </v>
      </c>
      <c r="N599" s="297" t="s">
        <v>197</v>
      </c>
      <c r="O599" s="297" t="s">
        <v>198</v>
      </c>
      <c r="P599" s="297" t="s">
        <v>199</v>
      </c>
      <c r="Q599" s="297" t="s">
        <v>200</v>
      </c>
      <c r="R599" s="297" t="s">
        <v>213</v>
      </c>
      <c r="S599" s="297" t="s">
        <v>214</v>
      </c>
    </row>
    <row r="600" spans="1:19" x14ac:dyDescent="0.4">
      <c r="A600" s="291"/>
      <c r="B600" s="292"/>
      <c r="C600" s="312"/>
      <c r="D600" s="292"/>
      <c r="E600" s="489"/>
      <c r="F600" s="489"/>
      <c r="G600" s="490"/>
      <c r="H600" s="520"/>
      <c r="I600" s="523"/>
      <c r="J600" s="521"/>
      <c r="K600" s="522"/>
      <c r="M600" s="301" t="str">
        <f>N600&amp;AS[[#This Row],[Insurer Code]]&amp;"; "&amp;O600&amp;AS[[#This Row],[Reporting Year]]&amp;"; "&amp;P600&amp;AS[[#This Row],[Insurance Category Code]]&amp;"; "&amp;Q600&amp;AS[[#This Row],[Large Provider Entity Code]]&amp;"; "&amp;R600&amp;AS[[#This Row],[Age Band Code]]&amp;"; "&amp;S600&amp;AS[[#This Row],[Sex Code]]</f>
        <v xml:space="preserve">Insurer Code ; Reporting Year ; Insurance Category Code ; Large Provider Entity Code ; Age Band Code ; Sex Code </v>
      </c>
      <c r="N600" s="297" t="s">
        <v>197</v>
      </c>
      <c r="O600" s="297" t="s">
        <v>198</v>
      </c>
      <c r="P600" s="297" t="s">
        <v>199</v>
      </c>
      <c r="Q600" s="297" t="s">
        <v>200</v>
      </c>
      <c r="R600" s="297" t="s">
        <v>213</v>
      </c>
      <c r="S600" s="297" t="s">
        <v>214</v>
      </c>
    </row>
    <row r="601" spans="1:19" x14ac:dyDescent="0.4">
      <c r="A601" s="291"/>
      <c r="B601" s="292"/>
      <c r="C601" s="312"/>
      <c r="D601" s="292"/>
      <c r="E601" s="489"/>
      <c r="F601" s="489"/>
      <c r="G601" s="490"/>
      <c r="H601" s="520"/>
      <c r="I601" s="523"/>
      <c r="J601" s="521"/>
      <c r="K601" s="522"/>
      <c r="M601" s="301" t="str">
        <f>N601&amp;AS[[#This Row],[Insurer Code]]&amp;"; "&amp;O601&amp;AS[[#This Row],[Reporting Year]]&amp;"; "&amp;P601&amp;AS[[#This Row],[Insurance Category Code]]&amp;"; "&amp;Q601&amp;AS[[#This Row],[Large Provider Entity Code]]&amp;"; "&amp;R601&amp;AS[[#This Row],[Age Band Code]]&amp;"; "&amp;S601&amp;AS[[#This Row],[Sex Code]]</f>
        <v xml:space="preserve">Insurer Code ; Reporting Year ; Insurance Category Code ; Large Provider Entity Code ; Age Band Code ; Sex Code </v>
      </c>
      <c r="N601" s="297" t="s">
        <v>197</v>
      </c>
      <c r="O601" s="297" t="s">
        <v>198</v>
      </c>
      <c r="P601" s="297" t="s">
        <v>199</v>
      </c>
      <c r="Q601" s="297" t="s">
        <v>200</v>
      </c>
      <c r="R601" s="297" t="s">
        <v>213</v>
      </c>
      <c r="S601" s="297" t="s">
        <v>214</v>
      </c>
    </row>
    <row r="602" spans="1:19" x14ac:dyDescent="0.4">
      <c r="A602" s="291"/>
      <c r="B602" s="292"/>
      <c r="C602" s="312"/>
      <c r="D602" s="292"/>
      <c r="E602" s="489"/>
      <c r="F602" s="489"/>
      <c r="G602" s="490"/>
      <c r="H602" s="520"/>
      <c r="I602" s="523"/>
      <c r="J602" s="521"/>
      <c r="K602" s="522"/>
      <c r="M602" s="301" t="str">
        <f>N602&amp;AS[[#This Row],[Insurer Code]]&amp;"; "&amp;O602&amp;AS[[#This Row],[Reporting Year]]&amp;"; "&amp;P602&amp;AS[[#This Row],[Insurance Category Code]]&amp;"; "&amp;Q602&amp;AS[[#This Row],[Large Provider Entity Code]]&amp;"; "&amp;R602&amp;AS[[#This Row],[Age Band Code]]&amp;"; "&amp;S602&amp;AS[[#This Row],[Sex Code]]</f>
        <v xml:space="preserve">Insurer Code ; Reporting Year ; Insurance Category Code ; Large Provider Entity Code ; Age Band Code ; Sex Code </v>
      </c>
      <c r="N602" s="297" t="s">
        <v>197</v>
      </c>
      <c r="O602" s="297" t="s">
        <v>198</v>
      </c>
      <c r="P602" s="297" t="s">
        <v>199</v>
      </c>
      <c r="Q602" s="297" t="s">
        <v>200</v>
      </c>
      <c r="R602" s="297" t="s">
        <v>213</v>
      </c>
      <c r="S602" s="297" t="s">
        <v>214</v>
      </c>
    </row>
    <row r="603" spans="1:19" x14ac:dyDescent="0.4">
      <c r="A603" s="291"/>
      <c r="B603" s="292"/>
      <c r="C603" s="312"/>
      <c r="D603" s="292"/>
      <c r="E603" s="489"/>
      <c r="F603" s="489"/>
      <c r="G603" s="490"/>
      <c r="H603" s="520"/>
      <c r="I603" s="523"/>
      <c r="J603" s="521"/>
      <c r="K603" s="522"/>
      <c r="M603" s="301" t="str">
        <f>N603&amp;AS[[#This Row],[Insurer Code]]&amp;"; "&amp;O603&amp;AS[[#This Row],[Reporting Year]]&amp;"; "&amp;P603&amp;AS[[#This Row],[Insurance Category Code]]&amp;"; "&amp;Q603&amp;AS[[#This Row],[Large Provider Entity Code]]&amp;"; "&amp;R603&amp;AS[[#This Row],[Age Band Code]]&amp;"; "&amp;S603&amp;AS[[#This Row],[Sex Code]]</f>
        <v xml:space="preserve">Insurer Code ; Reporting Year ; Insurance Category Code ; Large Provider Entity Code ; Age Band Code ; Sex Code </v>
      </c>
      <c r="N603" s="297" t="s">
        <v>197</v>
      </c>
      <c r="O603" s="297" t="s">
        <v>198</v>
      </c>
      <c r="P603" s="297" t="s">
        <v>199</v>
      </c>
      <c r="Q603" s="297" t="s">
        <v>200</v>
      </c>
      <c r="R603" s="297" t="s">
        <v>213</v>
      </c>
      <c r="S603" s="297" t="s">
        <v>214</v>
      </c>
    </row>
    <row r="604" spans="1:19" x14ac:dyDescent="0.4">
      <c r="A604" s="291"/>
      <c r="B604" s="292"/>
      <c r="C604" s="312"/>
      <c r="D604" s="292"/>
      <c r="E604" s="489"/>
      <c r="F604" s="489"/>
      <c r="G604" s="490"/>
      <c r="H604" s="520"/>
      <c r="I604" s="523"/>
      <c r="J604" s="521"/>
      <c r="K604" s="522"/>
      <c r="M604" s="301" t="str">
        <f>N604&amp;AS[[#This Row],[Insurer Code]]&amp;"; "&amp;O604&amp;AS[[#This Row],[Reporting Year]]&amp;"; "&amp;P604&amp;AS[[#This Row],[Insurance Category Code]]&amp;"; "&amp;Q604&amp;AS[[#This Row],[Large Provider Entity Code]]&amp;"; "&amp;R604&amp;AS[[#This Row],[Age Band Code]]&amp;"; "&amp;S604&amp;AS[[#This Row],[Sex Code]]</f>
        <v xml:space="preserve">Insurer Code ; Reporting Year ; Insurance Category Code ; Large Provider Entity Code ; Age Band Code ; Sex Code </v>
      </c>
      <c r="N604" s="297" t="s">
        <v>197</v>
      </c>
      <c r="O604" s="297" t="s">
        <v>198</v>
      </c>
      <c r="P604" s="297" t="s">
        <v>199</v>
      </c>
      <c r="Q604" s="297" t="s">
        <v>200</v>
      </c>
      <c r="R604" s="297" t="s">
        <v>213</v>
      </c>
      <c r="S604" s="297" t="s">
        <v>214</v>
      </c>
    </row>
    <row r="605" spans="1:19" x14ac:dyDescent="0.4">
      <c r="A605" s="291"/>
      <c r="B605" s="292"/>
      <c r="C605" s="312"/>
      <c r="D605" s="292"/>
      <c r="E605" s="489"/>
      <c r="F605" s="489"/>
      <c r="G605" s="490"/>
      <c r="H605" s="520"/>
      <c r="I605" s="523"/>
      <c r="J605" s="521"/>
      <c r="K605" s="522"/>
      <c r="M605" s="301" t="str">
        <f>N605&amp;AS[[#This Row],[Insurer Code]]&amp;"; "&amp;O605&amp;AS[[#This Row],[Reporting Year]]&amp;"; "&amp;P605&amp;AS[[#This Row],[Insurance Category Code]]&amp;"; "&amp;Q605&amp;AS[[#This Row],[Large Provider Entity Code]]&amp;"; "&amp;R605&amp;AS[[#This Row],[Age Band Code]]&amp;"; "&amp;S605&amp;AS[[#This Row],[Sex Code]]</f>
        <v xml:space="preserve">Insurer Code ; Reporting Year ; Insurance Category Code ; Large Provider Entity Code ; Age Band Code ; Sex Code </v>
      </c>
      <c r="N605" s="297" t="s">
        <v>197</v>
      </c>
      <c r="O605" s="297" t="s">
        <v>198</v>
      </c>
      <c r="P605" s="297" t="s">
        <v>199</v>
      </c>
      <c r="Q605" s="297" t="s">
        <v>200</v>
      </c>
      <c r="R605" s="297" t="s">
        <v>213</v>
      </c>
      <c r="S605" s="297" t="s">
        <v>214</v>
      </c>
    </row>
    <row r="606" spans="1:19" x14ac:dyDescent="0.4">
      <c r="A606" s="291"/>
      <c r="B606" s="292"/>
      <c r="C606" s="312"/>
      <c r="D606" s="292"/>
      <c r="E606" s="489"/>
      <c r="F606" s="489"/>
      <c r="G606" s="490"/>
      <c r="H606" s="520"/>
      <c r="I606" s="523"/>
      <c r="J606" s="521"/>
      <c r="K606" s="522"/>
      <c r="M606" s="301" t="str">
        <f>N606&amp;AS[[#This Row],[Insurer Code]]&amp;"; "&amp;O606&amp;AS[[#This Row],[Reporting Year]]&amp;"; "&amp;P606&amp;AS[[#This Row],[Insurance Category Code]]&amp;"; "&amp;Q606&amp;AS[[#This Row],[Large Provider Entity Code]]&amp;"; "&amp;R606&amp;AS[[#This Row],[Age Band Code]]&amp;"; "&amp;S606&amp;AS[[#This Row],[Sex Code]]</f>
        <v xml:space="preserve">Insurer Code ; Reporting Year ; Insurance Category Code ; Large Provider Entity Code ; Age Band Code ; Sex Code </v>
      </c>
      <c r="N606" s="297" t="s">
        <v>197</v>
      </c>
      <c r="O606" s="297" t="s">
        <v>198</v>
      </c>
      <c r="P606" s="297" t="s">
        <v>199</v>
      </c>
      <c r="Q606" s="297" t="s">
        <v>200</v>
      </c>
      <c r="R606" s="297" t="s">
        <v>213</v>
      </c>
      <c r="S606" s="297" t="s">
        <v>214</v>
      </c>
    </row>
    <row r="607" spans="1:19" x14ac:dyDescent="0.4">
      <c r="A607" s="291"/>
      <c r="B607" s="292"/>
      <c r="C607" s="312"/>
      <c r="D607" s="292"/>
      <c r="E607" s="489"/>
      <c r="F607" s="489"/>
      <c r="G607" s="490"/>
      <c r="H607" s="520"/>
      <c r="I607" s="523"/>
      <c r="J607" s="521"/>
      <c r="K607" s="522"/>
      <c r="M607" s="301" t="str">
        <f>N607&amp;AS[[#This Row],[Insurer Code]]&amp;"; "&amp;O607&amp;AS[[#This Row],[Reporting Year]]&amp;"; "&amp;P607&amp;AS[[#This Row],[Insurance Category Code]]&amp;"; "&amp;Q607&amp;AS[[#This Row],[Large Provider Entity Code]]&amp;"; "&amp;R607&amp;AS[[#This Row],[Age Band Code]]&amp;"; "&amp;S607&amp;AS[[#This Row],[Sex Code]]</f>
        <v xml:space="preserve">Insurer Code ; Reporting Year ; Insurance Category Code ; Large Provider Entity Code ; Age Band Code ; Sex Code </v>
      </c>
      <c r="N607" s="297" t="s">
        <v>197</v>
      </c>
      <c r="O607" s="297" t="s">
        <v>198</v>
      </c>
      <c r="P607" s="297" t="s">
        <v>199</v>
      </c>
      <c r="Q607" s="297" t="s">
        <v>200</v>
      </c>
      <c r="R607" s="297" t="s">
        <v>213</v>
      </c>
      <c r="S607" s="297" t="s">
        <v>214</v>
      </c>
    </row>
    <row r="608" spans="1:19" x14ac:dyDescent="0.4">
      <c r="A608" s="291"/>
      <c r="B608" s="292"/>
      <c r="C608" s="312"/>
      <c r="D608" s="292"/>
      <c r="E608" s="489"/>
      <c r="F608" s="489"/>
      <c r="G608" s="490"/>
      <c r="H608" s="520"/>
      <c r="I608" s="523"/>
      <c r="J608" s="521"/>
      <c r="K608" s="522"/>
      <c r="M608" s="301" t="str">
        <f>N608&amp;AS[[#This Row],[Insurer Code]]&amp;"; "&amp;O608&amp;AS[[#This Row],[Reporting Year]]&amp;"; "&amp;P608&amp;AS[[#This Row],[Insurance Category Code]]&amp;"; "&amp;Q608&amp;AS[[#This Row],[Large Provider Entity Code]]&amp;"; "&amp;R608&amp;AS[[#This Row],[Age Band Code]]&amp;"; "&amp;S608&amp;AS[[#This Row],[Sex Code]]</f>
        <v xml:space="preserve">Insurer Code ; Reporting Year ; Insurance Category Code ; Large Provider Entity Code ; Age Band Code ; Sex Code </v>
      </c>
      <c r="N608" s="297" t="s">
        <v>197</v>
      </c>
      <c r="O608" s="297" t="s">
        <v>198</v>
      </c>
      <c r="P608" s="297" t="s">
        <v>199</v>
      </c>
      <c r="Q608" s="297" t="s">
        <v>200</v>
      </c>
      <c r="R608" s="297" t="s">
        <v>213</v>
      </c>
      <c r="S608" s="297" t="s">
        <v>214</v>
      </c>
    </row>
    <row r="609" spans="1:19" x14ac:dyDescent="0.4">
      <c r="A609" s="291"/>
      <c r="B609" s="292"/>
      <c r="C609" s="312"/>
      <c r="D609" s="292"/>
      <c r="E609" s="489"/>
      <c r="F609" s="489"/>
      <c r="G609" s="490"/>
      <c r="H609" s="520"/>
      <c r="I609" s="523"/>
      <c r="J609" s="521"/>
      <c r="K609" s="522"/>
      <c r="M609" s="301" t="str">
        <f>N609&amp;AS[[#This Row],[Insurer Code]]&amp;"; "&amp;O609&amp;AS[[#This Row],[Reporting Year]]&amp;"; "&amp;P609&amp;AS[[#This Row],[Insurance Category Code]]&amp;"; "&amp;Q609&amp;AS[[#This Row],[Large Provider Entity Code]]&amp;"; "&amp;R609&amp;AS[[#This Row],[Age Band Code]]&amp;"; "&amp;S609&amp;AS[[#This Row],[Sex Code]]</f>
        <v xml:space="preserve">Insurer Code ; Reporting Year ; Insurance Category Code ; Large Provider Entity Code ; Age Band Code ; Sex Code </v>
      </c>
      <c r="N609" s="297" t="s">
        <v>197</v>
      </c>
      <c r="O609" s="297" t="s">
        <v>198</v>
      </c>
      <c r="P609" s="297" t="s">
        <v>199</v>
      </c>
      <c r="Q609" s="297" t="s">
        <v>200</v>
      </c>
      <c r="R609" s="297" t="s">
        <v>213</v>
      </c>
      <c r="S609" s="297" t="s">
        <v>214</v>
      </c>
    </row>
    <row r="610" spans="1:19" x14ac:dyDescent="0.4">
      <c r="A610" s="291"/>
      <c r="B610" s="292"/>
      <c r="C610" s="312"/>
      <c r="D610" s="292"/>
      <c r="E610" s="489"/>
      <c r="F610" s="489"/>
      <c r="G610" s="490"/>
      <c r="H610" s="520"/>
      <c r="I610" s="523"/>
      <c r="J610" s="521"/>
      <c r="K610" s="522"/>
      <c r="M610" s="301" t="str">
        <f>N610&amp;AS[[#This Row],[Insurer Code]]&amp;"; "&amp;O610&amp;AS[[#This Row],[Reporting Year]]&amp;"; "&amp;P610&amp;AS[[#This Row],[Insurance Category Code]]&amp;"; "&amp;Q610&amp;AS[[#This Row],[Large Provider Entity Code]]&amp;"; "&amp;R610&amp;AS[[#This Row],[Age Band Code]]&amp;"; "&amp;S610&amp;AS[[#This Row],[Sex Code]]</f>
        <v xml:space="preserve">Insurer Code ; Reporting Year ; Insurance Category Code ; Large Provider Entity Code ; Age Band Code ; Sex Code </v>
      </c>
      <c r="N610" s="297" t="s">
        <v>197</v>
      </c>
      <c r="O610" s="297" t="s">
        <v>198</v>
      </c>
      <c r="P610" s="297" t="s">
        <v>199</v>
      </c>
      <c r="Q610" s="297" t="s">
        <v>200</v>
      </c>
      <c r="R610" s="297" t="s">
        <v>213</v>
      </c>
      <c r="S610" s="297" t="s">
        <v>214</v>
      </c>
    </row>
    <row r="611" spans="1:19" x14ac:dyDescent="0.4">
      <c r="A611" s="291"/>
      <c r="B611" s="292"/>
      <c r="C611" s="312"/>
      <c r="D611" s="292"/>
      <c r="E611" s="489"/>
      <c r="F611" s="489"/>
      <c r="G611" s="490"/>
      <c r="H611" s="520"/>
      <c r="I611" s="523"/>
      <c r="J611" s="521"/>
      <c r="K611" s="522"/>
      <c r="M611" s="301" t="str">
        <f>N611&amp;AS[[#This Row],[Insurer Code]]&amp;"; "&amp;O611&amp;AS[[#This Row],[Reporting Year]]&amp;"; "&amp;P611&amp;AS[[#This Row],[Insurance Category Code]]&amp;"; "&amp;Q611&amp;AS[[#This Row],[Large Provider Entity Code]]&amp;"; "&amp;R611&amp;AS[[#This Row],[Age Band Code]]&amp;"; "&amp;S611&amp;AS[[#This Row],[Sex Code]]</f>
        <v xml:space="preserve">Insurer Code ; Reporting Year ; Insurance Category Code ; Large Provider Entity Code ; Age Band Code ; Sex Code </v>
      </c>
      <c r="N611" s="297" t="s">
        <v>197</v>
      </c>
      <c r="O611" s="297" t="s">
        <v>198</v>
      </c>
      <c r="P611" s="297" t="s">
        <v>199</v>
      </c>
      <c r="Q611" s="297" t="s">
        <v>200</v>
      </c>
      <c r="R611" s="297" t="s">
        <v>213</v>
      </c>
      <c r="S611" s="297" t="s">
        <v>214</v>
      </c>
    </row>
    <row r="612" spans="1:19" x14ac:dyDescent="0.4">
      <c r="A612" s="291"/>
      <c r="B612" s="292"/>
      <c r="C612" s="312"/>
      <c r="D612" s="292"/>
      <c r="E612" s="489"/>
      <c r="F612" s="489"/>
      <c r="G612" s="490"/>
      <c r="H612" s="520"/>
      <c r="I612" s="523"/>
      <c r="J612" s="521"/>
      <c r="K612" s="522"/>
      <c r="M612" s="301" t="str">
        <f>N612&amp;AS[[#This Row],[Insurer Code]]&amp;"; "&amp;O612&amp;AS[[#This Row],[Reporting Year]]&amp;"; "&amp;P612&amp;AS[[#This Row],[Insurance Category Code]]&amp;"; "&amp;Q612&amp;AS[[#This Row],[Large Provider Entity Code]]&amp;"; "&amp;R612&amp;AS[[#This Row],[Age Band Code]]&amp;"; "&amp;S612&amp;AS[[#This Row],[Sex Code]]</f>
        <v xml:space="preserve">Insurer Code ; Reporting Year ; Insurance Category Code ; Large Provider Entity Code ; Age Band Code ; Sex Code </v>
      </c>
      <c r="N612" s="297" t="s">
        <v>197</v>
      </c>
      <c r="O612" s="297" t="s">
        <v>198</v>
      </c>
      <c r="P612" s="297" t="s">
        <v>199</v>
      </c>
      <c r="Q612" s="297" t="s">
        <v>200</v>
      </c>
      <c r="R612" s="297" t="s">
        <v>213</v>
      </c>
      <c r="S612" s="297" t="s">
        <v>214</v>
      </c>
    </row>
    <row r="613" spans="1:19" x14ac:dyDescent="0.4">
      <c r="A613" s="291"/>
      <c r="B613" s="292"/>
      <c r="C613" s="312"/>
      <c r="D613" s="292"/>
      <c r="E613" s="489"/>
      <c r="F613" s="489"/>
      <c r="G613" s="490"/>
      <c r="H613" s="520"/>
      <c r="I613" s="523"/>
      <c r="J613" s="521"/>
      <c r="K613" s="522"/>
      <c r="M613" s="301" t="str">
        <f>N613&amp;AS[[#This Row],[Insurer Code]]&amp;"; "&amp;O613&amp;AS[[#This Row],[Reporting Year]]&amp;"; "&amp;P613&amp;AS[[#This Row],[Insurance Category Code]]&amp;"; "&amp;Q613&amp;AS[[#This Row],[Large Provider Entity Code]]&amp;"; "&amp;R613&amp;AS[[#This Row],[Age Band Code]]&amp;"; "&amp;S613&amp;AS[[#This Row],[Sex Code]]</f>
        <v xml:space="preserve">Insurer Code ; Reporting Year ; Insurance Category Code ; Large Provider Entity Code ; Age Band Code ; Sex Code </v>
      </c>
      <c r="N613" s="297" t="s">
        <v>197</v>
      </c>
      <c r="O613" s="297" t="s">
        <v>198</v>
      </c>
      <c r="P613" s="297" t="s">
        <v>199</v>
      </c>
      <c r="Q613" s="297" t="s">
        <v>200</v>
      </c>
      <c r="R613" s="297" t="s">
        <v>213</v>
      </c>
      <c r="S613" s="297" t="s">
        <v>214</v>
      </c>
    </row>
    <row r="614" spans="1:19" x14ac:dyDescent="0.4">
      <c r="A614" s="291"/>
      <c r="B614" s="292"/>
      <c r="C614" s="312"/>
      <c r="D614" s="292"/>
      <c r="E614" s="489"/>
      <c r="F614" s="489"/>
      <c r="G614" s="490"/>
      <c r="H614" s="520"/>
      <c r="I614" s="523"/>
      <c r="J614" s="521"/>
      <c r="K614" s="522"/>
      <c r="M614" s="301" t="str">
        <f>N614&amp;AS[[#This Row],[Insurer Code]]&amp;"; "&amp;O614&amp;AS[[#This Row],[Reporting Year]]&amp;"; "&amp;P614&amp;AS[[#This Row],[Insurance Category Code]]&amp;"; "&amp;Q614&amp;AS[[#This Row],[Large Provider Entity Code]]&amp;"; "&amp;R614&amp;AS[[#This Row],[Age Band Code]]&amp;"; "&amp;S614&amp;AS[[#This Row],[Sex Code]]</f>
        <v xml:space="preserve">Insurer Code ; Reporting Year ; Insurance Category Code ; Large Provider Entity Code ; Age Band Code ; Sex Code </v>
      </c>
      <c r="N614" s="297" t="s">
        <v>197</v>
      </c>
      <c r="O614" s="297" t="s">
        <v>198</v>
      </c>
      <c r="P614" s="297" t="s">
        <v>199</v>
      </c>
      <c r="Q614" s="297" t="s">
        <v>200</v>
      </c>
      <c r="R614" s="297" t="s">
        <v>213</v>
      </c>
      <c r="S614" s="297" t="s">
        <v>214</v>
      </c>
    </row>
    <row r="615" spans="1:19" x14ac:dyDescent="0.4">
      <c r="A615" s="291"/>
      <c r="B615" s="292"/>
      <c r="C615" s="312"/>
      <c r="D615" s="292"/>
      <c r="E615" s="489"/>
      <c r="F615" s="489"/>
      <c r="G615" s="490"/>
      <c r="H615" s="520"/>
      <c r="I615" s="523"/>
      <c r="J615" s="521"/>
      <c r="K615" s="522"/>
      <c r="M615" s="301" t="str">
        <f>N615&amp;AS[[#This Row],[Insurer Code]]&amp;"; "&amp;O615&amp;AS[[#This Row],[Reporting Year]]&amp;"; "&amp;P615&amp;AS[[#This Row],[Insurance Category Code]]&amp;"; "&amp;Q615&amp;AS[[#This Row],[Large Provider Entity Code]]&amp;"; "&amp;R615&amp;AS[[#This Row],[Age Band Code]]&amp;"; "&amp;S615&amp;AS[[#This Row],[Sex Code]]</f>
        <v xml:space="preserve">Insurer Code ; Reporting Year ; Insurance Category Code ; Large Provider Entity Code ; Age Band Code ; Sex Code </v>
      </c>
      <c r="N615" s="297" t="s">
        <v>197</v>
      </c>
      <c r="O615" s="297" t="s">
        <v>198</v>
      </c>
      <c r="P615" s="297" t="s">
        <v>199</v>
      </c>
      <c r="Q615" s="297" t="s">
        <v>200</v>
      </c>
      <c r="R615" s="297" t="s">
        <v>213</v>
      </c>
      <c r="S615" s="297" t="s">
        <v>214</v>
      </c>
    </row>
    <row r="616" spans="1:19" x14ac:dyDescent="0.4">
      <c r="A616" s="291"/>
      <c r="B616" s="292"/>
      <c r="C616" s="312"/>
      <c r="D616" s="292"/>
      <c r="E616" s="489"/>
      <c r="F616" s="489"/>
      <c r="G616" s="490"/>
      <c r="H616" s="520"/>
      <c r="I616" s="523"/>
      <c r="J616" s="521"/>
      <c r="K616" s="522"/>
      <c r="M616" s="301" t="str">
        <f>N616&amp;AS[[#This Row],[Insurer Code]]&amp;"; "&amp;O616&amp;AS[[#This Row],[Reporting Year]]&amp;"; "&amp;P616&amp;AS[[#This Row],[Insurance Category Code]]&amp;"; "&amp;Q616&amp;AS[[#This Row],[Large Provider Entity Code]]&amp;"; "&amp;R616&amp;AS[[#This Row],[Age Band Code]]&amp;"; "&amp;S616&amp;AS[[#This Row],[Sex Code]]</f>
        <v xml:space="preserve">Insurer Code ; Reporting Year ; Insurance Category Code ; Large Provider Entity Code ; Age Band Code ; Sex Code </v>
      </c>
      <c r="N616" s="297" t="s">
        <v>197</v>
      </c>
      <c r="O616" s="297" t="s">
        <v>198</v>
      </c>
      <c r="P616" s="297" t="s">
        <v>199</v>
      </c>
      <c r="Q616" s="297" t="s">
        <v>200</v>
      </c>
      <c r="R616" s="297" t="s">
        <v>213</v>
      </c>
      <c r="S616" s="297" t="s">
        <v>214</v>
      </c>
    </row>
    <row r="617" spans="1:19" x14ac:dyDescent="0.4">
      <c r="A617" s="291"/>
      <c r="B617" s="292"/>
      <c r="C617" s="312"/>
      <c r="D617" s="292"/>
      <c r="E617" s="489"/>
      <c r="F617" s="489"/>
      <c r="G617" s="490"/>
      <c r="H617" s="520"/>
      <c r="I617" s="523"/>
      <c r="J617" s="521"/>
      <c r="K617" s="522"/>
      <c r="M617" s="301" t="str">
        <f>N617&amp;AS[[#This Row],[Insurer Code]]&amp;"; "&amp;O617&amp;AS[[#This Row],[Reporting Year]]&amp;"; "&amp;P617&amp;AS[[#This Row],[Insurance Category Code]]&amp;"; "&amp;Q617&amp;AS[[#This Row],[Large Provider Entity Code]]&amp;"; "&amp;R617&amp;AS[[#This Row],[Age Band Code]]&amp;"; "&amp;S617&amp;AS[[#This Row],[Sex Code]]</f>
        <v xml:space="preserve">Insurer Code ; Reporting Year ; Insurance Category Code ; Large Provider Entity Code ; Age Band Code ; Sex Code </v>
      </c>
      <c r="N617" s="297" t="s">
        <v>197</v>
      </c>
      <c r="O617" s="297" t="s">
        <v>198</v>
      </c>
      <c r="P617" s="297" t="s">
        <v>199</v>
      </c>
      <c r="Q617" s="297" t="s">
        <v>200</v>
      </c>
      <c r="R617" s="297" t="s">
        <v>213</v>
      </c>
      <c r="S617" s="297" t="s">
        <v>214</v>
      </c>
    </row>
    <row r="618" spans="1:19" x14ac:dyDescent="0.4">
      <c r="A618" s="291"/>
      <c r="B618" s="292"/>
      <c r="C618" s="312"/>
      <c r="D618" s="292"/>
      <c r="E618" s="489"/>
      <c r="F618" s="489"/>
      <c r="G618" s="490"/>
      <c r="H618" s="520"/>
      <c r="I618" s="523"/>
      <c r="J618" s="521"/>
      <c r="K618" s="522"/>
      <c r="M618" s="301" t="str">
        <f>N618&amp;AS[[#This Row],[Insurer Code]]&amp;"; "&amp;O618&amp;AS[[#This Row],[Reporting Year]]&amp;"; "&amp;P618&amp;AS[[#This Row],[Insurance Category Code]]&amp;"; "&amp;Q618&amp;AS[[#This Row],[Large Provider Entity Code]]&amp;"; "&amp;R618&amp;AS[[#This Row],[Age Band Code]]&amp;"; "&amp;S618&amp;AS[[#This Row],[Sex Code]]</f>
        <v xml:space="preserve">Insurer Code ; Reporting Year ; Insurance Category Code ; Large Provider Entity Code ; Age Band Code ; Sex Code </v>
      </c>
      <c r="N618" s="297" t="s">
        <v>197</v>
      </c>
      <c r="O618" s="297" t="s">
        <v>198</v>
      </c>
      <c r="P618" s="297" t="s">
        <v>199</v>
      </c>
      <c r="Q618" s="297" t="s">
        <v>200</v>
      </c>
      <c r="R618" s="297" t="s">
        <v>213</v>
      </c>
      <c r="S618" s="297" t="s">
        <v>214</v>
      </c>
    </row>
    <row r="619" spans="1:19" x14ac:dyDescent="0.4">
      <c r="A619" s="291"/>
      <c r="B619" s="292"/>
      <c r="C619" s="312"/>
      <c r="D619" s="292"/>
      <c r="E619" s="489"/>
      <c r="F619" s="489"/>
      <c r="G619" s="490"/>
      <c r="H619" s="520"/>
      <c r="I619" s="523"/>
      <c r="J619" s="521"/>
      <c r="K619" s="522"/>
      <c r="M619" s="301" t="str">
        <f>N619&amp;AS[[#This Row],[Insurer Code]]&amp;"; "&amp;O619&amp;AS[[#This Row],[Reporting Year]]&amp;"; "&amp;P619&amp;AS[[#This Row],[Insurance Category Code]]&amp;"; "&amp;Q619&amp;AS[[#This Row],[Large Provider Entity Code]]&amp;"; "&amp;R619&amp;AS[[#This Row],[Age Band Code]]&amp;"; "&amp;S619&amp;AS[[#This Row],[Sex Code]]</f>
        <v xml:space="preserve">Insurer Code ; Reporting Year ; Insurance Category Code ; Large Provider Entity Code ; Age Band Code ; Sex Code </v>
      </c>
      <c r="N619" s="297" t="s">
        <v>197</v>
      </c>
      <c r="O619" s="297" t="s">
        <v>198</v>
      </c>
      <c r="P619" s="297" t="s">
        <v>199</v>
      </c>
      <c r="Q619" s="297" t="s">
        <v>200</v>
      </c>
      <c r="R619" s="297" t="s">
        <v>213</v>
      </c>
      <c r="S619" s="297" t="s">
        <v>214</v>
      </c>
    </row>
    <row r="620" spans="1:19" x14ac:dyDescent="0.4">
      <c r="A620" s="291"/>
      <c r="B620" s="292"/>
      <c r="C620" s="312"/>
      <c r="D620" s="292"/>
      <c r="E620" s="489"/>
      <c r="F620" s="489"/>
      <c r="G620" s="490"/>
      <c r="H620" s="520"/>
      <c r="I620" s="523"/>
      <c r="J620" s="521"/>
      <c r="K620" s="522"/>
      <c r="M620" s="301" t="str">
        <f>N620&amp;AS[[#This Row],[Insurer Code]]&amp;"; "&amp;O620&amp;AS[[#This Row],[Reporting Year]]&amp;"; "&amp;P620&amp;AS[[#This Row],[Insurance Category Code]]&amp;"; "&amp;Q620&amp;AS[[#This Row],[Large Provider Entity Code]]&amp;"; "&amp;R620&amp;AS[[#This Row],[Age Band Code]]&amp;"; "&amp;S620&amp;AS[[#This Row],[Sex Code]]</f>
        <v xml:space="preserve">Insurer Code ; Reporting Year ; Insurance Category Code ; Large Provider Entity Code ; Age Band Code ; Sex Code </v>
      </c>
      <c r="N620" s="297" t="s">
        <v>197</v>
      </c>
      <c r="O620" s="297" t="s">
        <v>198</v>
      </c>
      <c r="P620" s="297" t="s">
        <v>199</v>
      </c>
      <c r="Q620" s="297" t="s">
        <v>200</v>
      </c>
      <c r="R620" s="297" t="s">
        <v>213</v>
      </c>
      <c r="S620" s="297" t="s">
        <v>214</v>
      </c>
    </row>
    <row r="621" spans="1:19" x14ac:dyDescent="0.4">
      <c r="A621" s="291"/>
      <c r="B621" s="292"/>
      <c r="C621" s="312"/>
      <c r="D621" s="292"/>
      <c r="E621" s="489"/>
      <c r="F621" s="489"/>
      <c r="G621" s="490"/>
      <c r="H621" s="520"/>
      <c r="I621" s="523"/>
      <c r="J621" s="521"/>
      <c r="K621" s="522"/>
      <c r="M621" s="301" t="str">
        <f>N621&amp;AS[[#This Row],[Insurer Code]]&amp;"; "&amp;O621&amp;AS[[#This Row],[Reporting Year]]&amp;"; "&amp;P621&amp;AS[[#This Row],[Insurance Category Code]]&amp;"; "&amp;Q621&amp;AS[[#This Row],[Large Provider Entity Code]]&amp;"; "&amp;R621&amp;AS[[#This Row],[Age Band Code]]&amp;"; "&amp;S621&amp;AS[[#This Row],[Sex Code]]</f>
        <v xml:space="preserve">Insurer Code ; Reporting Year ; Insurance Category Code ; Large Provider Entity Code ; Age Band Code ; Sex Code </v>
      </c>
      <c r="N621" s="297" t="s">
        <v>197</v>
      </c>
      <c r="O621" s="297" t="s">
        <v>198</v>
      </c>
      <c r="P621" s="297" t="s">
        <v>199</v>
      </c>
      <c r="Q621" s="297" t="s">
        <v>200</v>
      </c>
      <c r="R621" s="297" t="s">
        <v>213</v>
      </c>
      <c r="S621" s="297" t="s">
        <v>214</v>
      </c>
    </row>
    <row r="622" spans="1:19" x14ac:dyDescent="0.4">
      <c r="A622" s="291"/>
      <c r="B622" s="292"/>
      <c r="C622" s="312"/>
      <c r="D622" s="292"/>
      <c r="E622" s="489"/>
      <c r="F622" s="489"/>
      <c r="G622" s="490"/>
      <c r="H622" s="520"/>
      <c r="I622" s="523"/>
      <c r="J622" s="521"/>
      <c r="K622" s="522"/>
      <c r="M622" s="301" t="str">
        <f>N622&amp;AS[[#This Row],[Insurer Code]]&amp;"; "&amp;O622&amp;AS[[#This Row],[Reporting Year]]&amp;"; "&amp;P622&amp;AS[[#This Row],[Insurance Category Code]]&amp;"; "&amp;Q622&amp;AS[[#This Row],[Large Provider Entity Code]]&amp;"; "&amp;R622&amp;AS[[#This Row],[Age Band Code]]&amp;"; "&amp;S622&amp;AS[[#This Row],[Sex Code]]</f>
        <v xml:space="preserve">Insurer Code ; Reporting Year ; Insurance Category Code ; Large Provider Entity Code ; Age Band Code ; Sex Code </v>
      </c>
      <c r="N622" s="297" t="s">
        <v>197</v>
      </c>
      <c r="O622" s="297" t="s">
        <v>198</v>
      </c>
      <c r="P622" s="297" t="s">
        <v>199</v>
      </c>
      <c r="Q622" s="297" t="s">
        <v>200</v>
      </c>
      <c r="R622" s="297" t="s">
        <v>213</v>
      </c>
      <c r="S622" s="297" t="s">
        <v>214</v>
      </c>
    </row>
    <row r="623" spans="1:19" x14ac:dyDescent="0.4">
      <c r="A623" s="291"/>
      <c r="B623" s="292"/>
      <c r="C623" s="312"/>
      <c r="D623" s="292"/>
      <c r="E623" s="489"/>
      <c r="F623" s="489"/>
      <c r="G623" s="490"/>
      <c r="H623" s="520"/>
      <c r="I623" s="523"/>
      <c r="J623" s="521"/>
      <c r="K623" s="522"/>
      <c r="M623" s="301" t="str">
        <f>N623&amp;AS[[#This Row],[Insurer Code]]&amp;"; "&amp;O623&amp;AS[[#This Row],[Reporting Year]]&amp;"; "&amp;P623&amp;AS[[#This Row],[Insurance Category Code]]&amp;"; "&amp;Q623&amp;AS[[#This Row],[Large Provider Entity Code]]&amp;"; "&amp;R623&amp;AS[[#This Row],[Age Band Code]]&amp;"; "&amp;S623&amp;AS[[#This Row],[Sex Code]]</f>
        <v xml:space="preserve">Insurer Code ; Reporting Year ; Insurance Category Code ; Large Provider Entity Code ; Age Band Code ; Sex Code </v>
      </c>
      <c r="N623" s="297" t="s">
        <v>197</v>
      </c>
      <c r="O623" s="297" t="s">
        <v>198</v>
      </c>
      <c r="P623" s="297" t="s">
        <v>199</v>
      </c>
      <c r="Q623" s="297" t="s">
        <v>200</v>
      </c>
      <c r="R623" s="297" t="s">
        <v>213</v>
      </c>
      <c r="S623" s="297" t="s">
        <v>214</v>
      </c>
    </row>
    <row r="624" spans="1:19" x14ac:dyDescent="0.4">
      <c r="A624" s="291"/>
      <c r="B624" s="292"/>
      <c r="C624" s="312"/>
      <c r="D624" s="292"/>
      <c r="E624" s="489"/>
      <c r="F624" s="489"/>
      <c r="G624" s="490"/>
      <c r="H624" s="520"/>
      <c r="I624" s="523"/>
      <c r="J624" s="521"/>
      <c r="K624" s="522"/>
      <c r="M624" s="301" t="str">
        <f>N624&amp;AS[[#This Row],[Insurer Code]]&amp;"; "&amp;O624&amp;AS[[#This Row],[Reporting Year]]&amp;"; "&amp;P624&amp;AS[[#This Row],[Insurance Category Code]]&amp;"; "&amp;Q624&amp;AS[[#This Row],[Large Provider Entity Code]]&amp;"; "&amp;R624&amp;AS[[#This Row],[Age Band Code]]&amp;"; "&amp;S624&amp;AS[[#This Row],[Sex Code]]</f>
        <v xml:space="preserve">Insurer Code ; Reporting Year ; Insurance Category Code ; Large Provider Entity Code ; Age Band Code ; Sex Code </v>
      </c>
      <c r="N624" s="297" t="s">
        <v>197</v>
      </c>
      <c r="O624" s="297" t="s">
        <v>198</v>
      </c>
      <c r="P624" s="297" t="s">
        <v>199</v>
      </c>
      <c r="Q624" s="297" t="s">
        <v>200</v>
      </c>
      <c r="R624" s="297" t="s">
        <v>213</v>
      </c>
      <c r="S624" s="297" t="s">
        <v>214</v>
      </c>
    </row>
    <row r="625" spans="1:19" x14ac:dyDescent="0.4">
      <c r="A625" s="291"/>
      <c r="B625" s="292"/>
      <c r="C625" s="312"/>
      <c r="D625" s="292"/>
      <c r="E625" s="489"/>
      <c r="F625" s="489"/>
      <c r="G625" s="490"/>
      <c r="H625" s="520"/>
      <c r="I625" s="523"/>
      <c r="J625" s="521"/>
      <c r="K625" s="522"/>
      <c r="M625" s="301" t="str">
        <f>N625&amp;AS[[#This Row],[Insurer Code]]&amp;"; "&amp;O625&amp;AS[[#This Row],[Reporting Year]]&amp;"; "&amp;P625&amp;AS[[#This Row],[Insurance Category Code]]&amp;"; "&amp;Q625&amp;AS[[#This Row],[Large Provider Entity Code]]&amp;"; "&amp;R625&amp;AS[[#This Row],[Age Band Code]]&amp;"; "&amp;S625&amp;AS[[#This Row],[Sex Code]]</f>
        <v xml:space="preserve">Insurer Code ; Reporting Year ; Insurance Category Code ; Large Provider Entity Code ; Age Band Code ; Sex Code </v>
      </c>
      <c r="N625" s="297" t="s">
        <v>197</v>
      </c>
      <c r="O625" s="297" t="s">
        <v>198</v>
      </c>
      <c r="P625" s="297" t="s">
        <v>199</v>
      </c>
      <c r="Q625" s="297" t="s">
        <v>200</v>
      </c>
      <c r="R625" s="297" t="s">
        <v>213</v>
      </c>
      <c r="S625" s="297" t="s">
        <v>214</v>
      </c>
    </row>
    <row r="626" spans="1:19" x14ac:dyDescent="0.4">
      <c r="A626" s="291"/>
      <c r="B626" s="292"/>
      <c r="C626" s="312"/>
      <c r="D626" s="292"/>
      <c r="E626" s="489"/>
      <c r="F626" s="489"/>
      <c r="G626" s="490"/>
      <c r="H626" s="520"/>
      <c r="I626" s="523"/>
      <c r="J626" s="521"/>
      <c r="K626" s="522"/>
      <c r="M626" s="301" t="str">
        <f>N626&amp;AS[[#This Row],[Insurer Code]]&amp;"; "&amp;O626&amp;AS[[#This Row],[Reporting Year]]&amp;"; "&amp;P626&amp;AS[[#This Row],[Insurance Category Code]]&amp;"; "&amp;Q626&amp;AS[[#This Row],[Large Provider Entity Code]]&amp;"; "&amp;R626&amp;AS[[#This Row],[Age Band Code]]&amp;"; "&amp;S626&amp;AS[[#This Row],[Sex Code]]</f>
        <v xml:space="preserve">Insurer Code ; Reporting Year ; Insurance Category Code ; Large Provider Entity Code ; Age Band Code ; Sex Code </v>
      </c>
      <c r="N626" s="297" t="s">
        <v>197</v>
      </c>
      <c r="O626" s="297" t="s">
        <v>198</v>
      </c>
      <c r="P626" s="297" t="s">
        <v>199</v>
      </c>
      <c r="Q626" s="297" t="s">
        <v>200</v>
      </c>
      <c r="R626" s="297" t="s">
        <v>213</v>
      </c>
      <c r="S626" s="297" t="s">
        <v>214</v>
      </c>
    </row>
    <row r="627" spans="1:19" x14ac:dyDescent="0.4">
      <c r="A627" s="291"/>
      <c r="B627" s="292"/>
      <c r="C627" s="312"/>
      <c r="D627" s="292"/>
      <c r="E627" s="489"/>
      <c r="F627" s="489"/>
      <c r="G627" s="490"/>
      <c r="H627" s="520"/>
      <c r="I627" s="523"/>
      <c r="J627" s="521"/>
      <c r="K627" s="522"/>
      <c r="M627" s="301" t="str">
        <f>N627&amp;AS[[#This Row],[Insurer Code]]&amp;"; "&amp;O627&amp;AS[[#This Row],[Reporting Year]]&amp;"; "&amp;P627&amp;AS[[#This Row],[Insurance Category Code]]&amp;"; "&amp;Q627&amp;AS[[#This Row],[Large Provider Entity Code]]&amp;"; "&amp;R627&amp;AS[[#This Row],[Age Band Code]]&amp;"; "&amp;S627&amp;AS[[#This Row],[Sex Code]]</f>
        <v xml:space="preserve">Insurer Code ; Reporting Year ; Insurance Category Code ; Large Provider Entity Code ; Age Band Code ; Sex Code </v>
      </c>
      <c r="N627" s="297" t="s">
        <v>197</v>
      </c>
      <c r="O627" s="297" t="s">
        <v>198</v>
      </c>
      <c r="P627" s="297" t="s">
        <v>199</v>
      </c>
      <c r="Q627" s="297" t="s">
        <v>200</v>
      </c>
      <c r="R627" s="297" t="s">
        <v>213</v>
      </c>
      <c r="S627" s="297" t="s">
        <v>214</v>
      </c>
    </row>
    <row r="628" spans="1:19" x14ac:dyDescent="0.4">
      <c r="A628" s="291"/>
      <c r="B628" s="292"/>
      <c r="C628" s="312"/>
      <c r="D628" s="292"/>
      <c r="E628" s="489"/>
      <c r="F628" s="489"/>
      <c r="G628" s="490"/>
      <c r="H628" s="520"/>
      <c r="I628" s="523"/>
      <c r="J628" s="521"/>
      <c r="K628" s="522"/>
      <c r="M628" s="301" t="str">
        <f>N628&amp;AS[[#This Row],[Insurer Code]]&amp;"; "&amp;O628&amp;AS[[#This Row],[Reporting Year]]&amp;"; "&amp;P628&amp;AS[[#This Row],[Insurance Category Code]]&amp;"; "&amp;Q628&amp;AS[[#This Row],[Large Provider Entity Code]]&amp;"; "&amp;R628&amp;AS[[#This Row],[Age Band Code]]&amp;"; "&amp;S628&amp;AS[[#This Row],[Sex Code]]</f>
        <v xml:space="preserve">Insurer Code ; Reporting Year ; Insurance Category Code ; Large Provider Entity Code ; Age Band Code ; Sex Code </v>
      </c>
      <c r="N628" s="297" t="s">
        <v>197</v>
      </c>
      <c r="O628" s="297" t="s">
        <v>198</v>
      </c>
      <c r="P628" s="297" t="s">
        <v>199</v>
      </c>
      <c r="Q628" s="297" t="s">
        <v>200</v>
      </c>
      <c r="R628" s="297" t="s">
        <v>213</v>
      </c>
      <c r="S628" s="297" t="s">
        <v>214</v>
      </c>
    </row>
    <row r="629" spans="1:19" x14ac:dyDescent="0.4">
      <c r="A629" s="291"/>
      <c r="B629" s="292"/>
      <c r="C629" s="312"/>
      <c r="D629" s="292"/>
      <c r="E629" s="489"/>
      <c r="F629" s="489"/>
      <c r="G629" s="490"/>
      <c r="H629" s="520"/>
      <c r="I629" s="523"/>
      <c r="J629" s="521"/>
      <c r="K629" s="522"/>
      <c r="M629" s="301" t="str">
        <f>N629&amp;AS[[#This Row],[Insurer Code]]&amp;"; "&amp;O629&amp;AS[[#This Row],[Reporting Year]]&amp;"; "&amp;P629&amp;AS[[#This Row],[Insurance Category Code]]&amp;"; "&amp;Q629&amp;AS[[#This Row],[Large Provider Entity Code]]&amp;"; "&amp;R629&amp;AS[[#This Row],[Age Band Code]]&amp;"; "&amp;S629&amp;AS[[#This Row],[Sex Code]]</f>
        <v xml:space="preserve">Insurer Code ; Reporting Year ; Insurance Category Code ; Large Provider Entity Code ; Age Band Code ; Sex Code </v>
      </c>
      <c r="N629" s="297" t="s">
        <v>197</v>
      </c>
      <c r="O629" s="297" t="s">
        <v>198</v>
      </c>
      <c r="P629" s="297" t="s">
        <v>199</v>
      </c>
      <c r="Q629" s="297" t="s">
        <v>200</v>
      </c>
      <c r="R629" s="297" t="s">
        <v>213</v>
      </c>
      <c r="S629" s="297" t="s">
        <v>214</v>
      </c>
    </row>
    <row r="630" spans="1:19" x14ac:dyDescent="0.4">
      <c r="A630" s="291"/>
      <c r="B630" s="292"/>
      <c r="C630" s="312"/>
      <c r="D630" s="292"/>
      <c r="E630" s="489"/>
      <c r="F630" s="489"/>
      <c r="G630" s="490"/>
      <c r="H630" s="520"/>
      <c r="I630" s="523"/>
      <c r="J630" s="521"/>
      <c r="K630" s="522"/>
      <c r="M630" s="301" t="str">
        <f>N630&amp;AS[[#This Row],[Insurer Code]]&amp;"; "&amp;O630&amp;AS[[#This Row],[Reporting Year]]&amp;"; "&amp;P630&amp;AS[[#This Row],[Insurance Category Code]]&amp;"; "&amp;Q630&amp;AS[[#This Row],[Large Provider Entity Code]]&amp;"; "&amp;R630&amp;AS[[#This Row],[Age Band Code]]&amp;"; "&amp;S630&amp;AS[[#This Row],[Sex Code]]</f>
        <v xml:space="preserve">Insurer Code ; Reporting Year ; Insurance Category Code ; Large Provider Entity Code ; Age Band Code ; Sex Code </v>
      </c>
      <c r="N630" s="297" t="s">
        <v>197</v>
      </c>
      <c r="O630" s="297" t="s">
        <v>198</v>
      </c>
      <c r="P630" s="297" t="s">
        <v>199</v>
      </c>
      <c r="Q630" s="297" t="s">
        <v>200</v>
      </c>
      <c r="R630" s="297" t="s">
        <v>213</v>
      </c>
      <c r="S630" s="297" t="s">
        <v>214</v>
      </c>
    </row>
    <row r="631" spans="1:19" x14ac:dyDescent="0.4">
      <c r="A631" s="291"/>
      <c r="B631" s="292"/>
      <c r="C631" s="312"/>
      <c r="D631" s="292"/>
      <c r="E631" s="489"/>
      <c r="F631" s="489"/>
      <c r="G631" s="490"/>
      <c r="H631" s="520"/>
      <c r="I631" s="523"/>
      <c r="J631" s="521"/>
      <c r="K631" s="522"/>
      <c r="M631" s="301" t="str">
        <f>N631&amp;AS[[#This Row],[Insurer Code]]&amp;"; "&amp;O631&amp;AS[[#This Row],[Reporting Year]]&amp;"; "&amp;P631&amp;AS[[#This Row],[Insurance Category Code]]&amp;"; "&amp;Q631&amp;AS[[#This Row],[Large Provider Entity Code]]&amp;"; "&amp;R631&amp;AS[[#This Row],[Age Band Code]]&amp;"; "&amp;S631&amp;AS[[#This Row],[Sex Code]]</f>
        <v xml:space="preserve">Insurer Code ; Reporting Year ; Insurance Category Code ; Large Provider Entity Code ; Age Band Code ; Sex Code </v>
      </c>
      <c r="N631" s="297" t="s">
        <v>197</v>
      </c>
      <c r="O631" s="297" t="s">
        <v>198</v>
      </c>
      <c r="P631" s="297" t="s">
        <v>199</v>
      </c>
      <c r="Q631" s="297" t="s">
        <v>200</v>
      </c>
      <c r="R631" s="297" t="s">
        <v>213</v>
      </c>
      <c r="S631" s="297" t="s">
        <v>214</v>
      </c>
    </row>
    <row r="632" spans="1:19" x14ac:dyDescent="0.4">
      <c r="A632" s="291"/>
      <c r="B632" s="292"/>
      <c r="C632" s="312"/>
      <c r="D632" s="292"/>
      <c r="E632" s="489"/>
      <c r="F632" s="489"/>
      <c r="G632" s="490"/>
      <c r="H632" s="520"/>
      <c r="I632" s="523"/>
      <c r="J632" s="521"/>
      <c r="K632" s="522"/>
      <c r="M632" s="301" t="str">
        <f>N632&amp;AS[[#This Row],[Insurer Code]]&amp;"; "&amp;O632&amp;AS[[#This Row],[Reporting Year]]&amp;"; "&amp;P632&amp;AS[[#This Row],[Insurance Category Code]]&amp;"; "&amp;Q632&amp;AS[[#This Row],[Large Provider Entity Code]]&amp;"; "&amp;R632&amp;AS[[#This Row],[Age Band Code]]&amp;"; "&amp;S632&amp;AS[[#This Row],[Sex Code]]</f>
        <v xml:space="preserve">Insurer Code ; Reporting Year ; Insurance Category Code ; Large Provider Entity Code ; Age Band Code ; Sex Code </v>
      </c>
      <c r="N632" s="297" t="s">
        <v>197</v>
      </c>
      <c r="O632" s="297" t="s">
        <v>198</v>
      </c>
      <c r="P632" s="297" t="s">
        <v>199</v>
      </c>
      <c r="Q632" s="297" t="s">
        <v>200</v>
      </c>
      <c r="R632" s="297" t="s">
        <v>213</v>
      </c>
      <c r="S632" s="297" t="s">
        <v>214</v>
      </c>
    </row>
    <row r="633" spans="1:19" x14ac:dyDescent="0.4">
      <c r="A633" s="291"/>
      <c r="B633" s="292"/>
      <c r="C633" s="312"/>
      <c r="D633" s="292"/>
      <c r="E633" s="489"/>
      <c r="F633" s="489"/>
      <c r="G633" s="490"/>
      <c r="H633" s="520"/>
      <c r="I633" s="523"/>
      <c r="J633" s="521"/>
      <c r="K633" s="522"/>
      <c r="M633" s="301" t="str">
        <f>N633&amp;AS[[#This Row],[Insurer Code]]&amp;"; "&amp;O633&amp;AS[[#This Row],[Reporting Year]]&amp;"; "&amp;P633&amp;AS[[#This Row],[Insurance Category Code]]&amp;"; "&amp;Q633&amp;AS[[#This Row],[Large Provider Entity Code]]&amp;"; "&amp;R633&amp;AS[[#This Row],[Age Band Code]]&amp;"; "&amp;S633&amp;AS[[#This Row],[Sex Code]]</f>
        <v xml:space="preserve">Insurer Code ; Reporting Year ; Insurance Category Code ; Large Provider Entity Code ; Age Band Code ; Sex Code </v>
      </c>
      <c r="N633" s="297" t="s">
        <v>197</v>
      </c>
      <c r="O633" s="297" t="s">
        <v>198</v>
      </c>
      <c r="P633" s="297" t="s">
        <v>199</v>
      </c>
      <c r="Q633" s="297" t="s">
        <v>200</v>
      </c>
      <c r="R633" s="297" t="s">
        <v>213</v>
      </c>
      <c r="S633" s="297" t="s">
        <v>214</v>
      </c>
    </row>
    <row r="634" spans="1:19" x14ac:dyDescent="0.4">
      <c r="A634" s="291"/>
      <c r="B634" s="292"/>
      <c r="C634" s="312"/>
      <c r="D634" s="292"/>
      <c r="E634" s="489"/>
      <c r="F634" s="489"/>
      <c r="G634" s="490"/>
      <c r="H634" s="520"/>
      <c r="I634" s="523"/>
      <c r="J634" s="521"/>
      <c r="K634" s="522"/>
      <c r="M634" s="301" t="str">
        <f>N634&amp;AS[[#This Row],[Insurer Code]]&amp;"; "&amp;O634&amp;AS[[#This Row],[Reporting Year]]&amp;"; "&amp;P634&amp;AS[[#This Row],[Insurance Category Code]]&amp;"; "&amp;Q634&amp;AS[[#This Row],[Large Provider Entity Code]]&amp;"; "&amp;R634&amp;AS[[#This Row],[Age Band Code]]&amp;"; "&amp;S634&amp;AS[[#This Row],[Sex Code]]</f>
        <v xml:space="preserve">Insurer Code ; Reporting Year ; Insurance Category Code ; Large Provider Entity Code ; Age Band Code ; Sex Code </v>
      </c>
      <c r="N634" s="297" t="s">
        <v>197</v>
      </c>
      <c r="O634" s="297" t="s">
        <v>198</v>
      </c>
      <c r="P634" s="297" t="s">
        <v>199</v>
      </c>
      <c r="Q634" s="297" t="s">
        <v>200</v>
      </c>
      <c r="R634" s="297" t="s">
        <v>213</v>
      </c>
      <c r="S634" s="297" t="s">
        <v>214</v>
      </c>
    </row>
    <row r="635" spans="1:19" x14ac:dyDescent="0.4">
      <c r="A635" s="291"/>
      <c r="B635" s="292"/>
      <c r="C635" s="312"/>
      <c r="D635" s="292"/>
      <c r="E635" s="489"/>
      <c r="F635" s="489"/>
      <c r="G635" s="490"/>
      <c r="H635" s="520"/>
      <c r="I635" s="523"/>
      <c r="J635" s="521"/>
      <c r="K635" s="522"/>
      <c r="M635" s="301" t="str">
        <f>N635&amp;AS[[#This Row],[Insurer Code]]&amp;"; "&amp;O635&amp;AS[[#This Row],[Reporting Year]]&amp;"; "&amp;P635&amp;AS[[#This Row],[Insurance Category Code]]&amp;"; "&amp;Q635&amp;AS[[#This Row],[Large Provider Entity Code]]&amp;"; "&amp;R635&amp;AS[[#This Row],[Age Band Code]]&amp;"; "&amp;S635&amp;AS[[#This Row],[Sex Code]]</f>
        <v xml:space="preserve">Insurer Code ; Reporting Year ; Insurance Category Code ; Large Provider Entity Code ; Age Band Code ; Sex Code </v>
      </c>
      <c r="N635" s="297" t="s">
        <v>197</v>
      </c>
      <c r="O635" s="297" t="s">
        <v>198</v>
      </c>
      <c r="P635" s="297" t="s">
        <v>199</v>
      </c>
      <c r="Q635" s="297" t="s">
        <v>200</v>
      </c>
      <c r="R635" s="297" t="s">
        <v>213</v>
      </c>
      <c r="S635" s="297" t="s">
        <v>214</v>
      </c>
    </row>
    <row r="636" spans="1:19" x14ac:dyDescent="0.4">
      <c r="A636" s="291"/>
      <c r="B636" s="292"/>
      <c r="C636" s="312"/>
      <c r="D636" s="292"/>
      <c r="E636" s="489"/>
      <c r="F636" s="489"/>
      <c r="G636" s="490"/>
      <c r="H636" s="520"/>
      <c r="I636" s="523"/>
      <c r="J636" s="521"/>
      <c r="K636" s="522"/>
      <c r="M636" s="301" t="str">
        <f>N636&amp;AS[[#This Row],[Insurer Code]]&amp;"; "&amp;O636&amp;AS[[#This Row],[Reporting Year]]&amp;"; "&amp;P636&amp;AS[[#This Row],[Insurance Category Code]]&amp;"; "&amp;Q636&amp;AS[[#This Row],[Large Provider Entity Code]]&amp;"; "&amp;R636&amp;AS[[#This Row],[Age Band Code]]&amp;"; "&amp;S636&amp;AS[[#This Row],[Sex Code]]</f>
        <v xml:space="preserve">Insurer Code ; Reporting Year ; Insurance Category Code ; Large Provider Entity Code ; Age Band Code ; Sex Code </v>
      </c>
      <c r="N636" s="297" t="s">
        <v>197</v>
      </c>
      <c r="O636" s="297" t="s">
        <v>198</v>
      </c>
      <c r="P636" s="297" t="s">
        <v>199</v>
      </c>
      <c r="Q636" s="297" t="s">
        <v>200</v>
      </c>
      <c r="R636" s="297" t="s">
        <v>213</v>
      </c>
      <c r="S636" s="297" t="s">
        <v>214</v>
      </c>
    </row>
    <row r="637" spans="1:19" x14ac:dyDescent="0.4">
      <c r="A637" s="291"/>
      <c r="B637" s="292"/>
      <c r="C637" s="312"/>
      <c r="D637" s="292"/>
      <c r="E637" s="489"/>
      <c r="F637" s="489"/>
      <c r="G637" s="490"/>
      <c r="H637" s="520"/>
      <c r="I637" s="523"/>
      <c r="J637" s="521"/>
      <c r="K637" s="522"/>
      <c r="M637" s="301" t="str">
        <f>N637&amp;AS[[#This Row],[Insurer Code]]&amp;"; "&amp;O637&amp;AS[[#This Row],[Reporting Year]]&amp;"; "&amp;P637&amp;AS[[#This Row],[Insurance Category Code]]&amp;"; "&amp;Q637&amp;AS[[#This Row],[Large Provider Entity Code]]&amp;"; "&amp;R637&amp;AS[[#This Row],[Age Band Code]]&amp;"; "&amp;S637&amp;AS[[#This Row],[Sex Code]]</f>
        <v xml:space="preserve">Insurer Code ; Reporting Year ; Insurance Category Code ; Large Provider Entity Code ; Age Band Code ; Sex Code </v>
      </c>
      <c r="N637" s="297" t="s">
        <v>197</v>
      </c>
      <c r="O637" s="297" t="s">
        <v>198</v>
      </c>
      <c r="P637" s="297" t="s">
        <v>199</v>
      </c>
      <c r="Q637" s="297" t="s">
        <v>200</v>
      </c>
      <c r="R637" s="297" t="s">
        <v>213</v>
      </c>
      <c r="S637" s="297" t="s">
        <v>214</v>
      </c>
    </row>
    <row r="638" spans="1:19" x14ac:dyDescent="0.4">
      <c r="A638" s="291"/>
      <c r="B638" s="292"/>
      <c r="C638" s="312"/>
      <c r="D638" s="292"/>
      <c r="E638" s="489"/>
      <c r="F638" s="489"/>
      <c r="G638" s="490"/>
      <c r="H638" s="520"/>
      <c r="I638" s="523"/>
      <c r="J638" s="521"/>
      <c r="K638" s="522"/>
      <c r="M638" s="301" t="str">
        <f>N638&amp;AS[[#This Row],[Insurer Code]]&amp;"; "&amp;O638&amp;AS[[#This Row],[Reporting Year]]&amp;"; "&amp;P638&amp;AS[[#This Row],[Insurance Category Code]]&amp;"; "&amp;Q638&amp;AS[[#This Row],[Large Provider Entity Code]]&amp;"; "&amp;R638&amp;AS[[#This Row],[Age Band Code]]&amp;"; "&amp;S638&amp;AS[[#This Row],[Sex Code]]</f>
        <v xml:space="preserve">Insurer Code ; Reporting Year ; Insurance Category Code ; Large Provider Entity Code ; Age Band Code ; Sex Code </v>
      </c>
      <c r="N638" s="297" t="s">
        <v>197</v>
      </c>
      <c r="O638" s="297" t="s">
        <v>198</v>
      </c>
      <c r="P638" s="297" t="s">
        <v>199</v>
      </c>
      <c r="Q638" s="297" t="s">
        <v>200</v>
      </c>
      <c r="R638" s="297" t="s">
        <v>213</v>
      </c>
      <c r="S638" s="297" t="s">
        <v>214</v>
      </c>
    </row>
    <row r="639" spans="1:19" x14ac:dyDescent="0.4">
      <c r="A639" s="291"/>
      <c r="B639" s="292"/>
      <c r="C639" s="312"/>
      <c r="D639" s="292"/>
      <c r="E639" s="489"/>
      <c r="F639" s="489"/>
      <c r="G639" s="490"/>
      <c r="H639" s="520"/>
      <c r="I639" s="523"/>
      <c r="J639" s="521"/>
      <c r="K639" s="522"/>
      <c r="M639" s="301" t="str">
        <f>N639&amp;AS[[#This Row],[Insurer Code]]&amp;"; "&amp;O639&amp;AS[[#This Row],[Reporting Year]]&amp;"; "&amp;P639&amp;AS[[#This Row],[Insurance Category Code]]&amp;"; "&amp;Q639&amp;AS[[#This Row],[Large Provider Entity Code]]&amp;"; "&amp;R639&amp;AS[[#This Row],[Age Band Code]]&amp;"; "&amp;S639&amp;AS[[#This Row],[Sex Code]]</f>
        <v xml:space="preserve">Insurer Code ; Reporting Year ; Insurance Category Code ; Large Provider Entity Code ; Age Band Code ; Sex Code </v>
      </c>
      <c r="N639" s="297" t="s">
        <v>197</v>
      </c>
      <c r="O639" s="297" t="s">
        <v>198</v>
      </c>
      <c r="P639" s="297" t="s">
        <v>199</v>
      </c>
      <c r="Q639" s="297" t="s">
        <v>200</v>
      </c>
      <c r="R639" s="297" t="s">
        <v>213</v>
      </c>
      <c r="S639" s="297" t="s">
        <v>214</v>
      </c>
    </row>
    <row r="640" spans="1:19" x14ac:dyDescent="0.4">
      <c r="A640" s="291"/>
      <c r="B640" s="292"/>
      <c r="C640" s="312"/>
      <c r="D640" s="292"/>
      <c r="E640" s="489"/>
      <c r="F640" s="489"/>
      <c r="G640" s="490"/>
      <c r="H640" s="520"/>
      <c r="I640" s="523"/>
      <c r="J640" s="521"/>
      <c r="K640" s="522"/>
      <c r="M640" s="301" t="str">
        <f>N640&amp;AS[[#This Row],[Insurer Code]]&amp;"; "&amp;O640&amp;AS[[#This Row],[Reporting Year]]&amp;"; "&amp;P640&amp;AS[[#This Row],[Insurance Category Code]]&amp;"; "&amp;Q640&amp;AS[[#This Row],[Large Provider Entity Code]]&amp;"; "&amp;R640&amp;AS[[#This Row],[Age Band Code]]&amp;"; "&amp;S640&amp;AS[[#This Row],[Sex Code]]</f>
        <v xml:space="preserve">Insurer Code ; Reporting Year ; Insurance Category Code ; Large Provider Entity Code ; Age Band Code ; Sex Code </v>
      </c>
      <c r="N640" s="297" t="s">
        <v>197</v>
      </c>
      <c r="O640" s="297" t="s">
        <v>198</v>
      </c>
      <c r="P640" s="297" t="s">
        <v>199</v>
      </c>
      <c r="Q640" s="297" t="s">
        <v>200</v>
      </c>
      <c r="R640" s="297" t="s">
        <v>213</v>
      </c>
      <c r="S640" s="297" t="s">
        <v>214</v>
      </c>
    </row>
    <row r="641" spans="1:19" x14ac:dyDescent="0.4">
      <c r="A641" s="291"/>
      <c r="B641" s="292"/>
      <c r="C641" s="312"/>
      <c r="D641" s="292"/>
      <c r="E641" s="489"/>
      <c r="F641" s="489"/>
      <c r="G641" s="490"/>
      <c r="H641" s="520"/>
      <c r="I641" s="523"/>
      <c r="J641" s="521"/>
      <c r="K641" s="522"/>
      <c r="M641" s="301" t="str">
        <f>N641&amp;AS[[#This Row],[Insurer Code]]&amp;"; "&amp;O641&amp;AS[[#This Row],[Reporting Year]]&amp;"; "&amp;P641&amp;AS[[#This Row],[Insurance Category Code]]&amp;"; "&amp;Q641&amp;AS[[#This Row],[Large Provider Entity Code]]&amp;"; "&amp;R641&amp;AS[[#This Row],[Age Band Code]]&amp;"; "&amp;S641&amp;AS[[#This Row],[Sex Code]]</f>
        <v xml:space="preserve">Insurer Code ; Reporting Year ; Insurance Category Code ; Large Provider Entity Code ; Age Band Code ; Sex Code </v>
      </c>
      <c r="N641" s="297" t="s">
        <v>197</v>
      </c>
      <c r="O641" s="297" t="s">
        <v>198</v>
      </c>
      <c r="P641" s="297" t="s">
        <v>199</v>
      </c>
      <c r="Q641" s="297" t="s">
        <v>200</v>
      </c>
      <c r="R641" s="297" t="s">
        <v>213</v>
      </c>
      <c r="S641" s="297" t="s">
        <v>214</v>
      </c>
    </row>
    <row r="642" spans="1:19" x14ac:dyDescent="0.4">
      <c r="A642" s="291"/>
      <c r="B642" s="292"/>
      <c r="C642" s="312"/>
      <c r="D642" s="292"/>
      <c r="E642" s="489"/>
      <c r="F642" s="489"/>
      <c r="G642" s="490"/>
      <c r="H642" s="520"/>
      <c r="I642" s="523"/>
      <c r="J642" s="521"/>
      <c r="K642" s="522"/>
      <c r="M642" s="301" t="str">
        <f>N642&amp;AS[[#This Row],[Insurer Code]]&amp;"; "&amp;O642&amp;AS[[#This Row],[Reporting Year]]&amp;"; "&amp;P642&amp;AS[[#This Row],[Insurance Category Code]]&amp;"; "&amp;Q642&amp;AS[[#This Row],[Large Provider Entity Code]]&amp;"; "&amp;R642&amp;AS[[#This Row],[Age Band Code]]&amp;"; "&amp;S642&amp;AS[[#This Row],[Sex Code]]</f>
        <v xml:space="preserve">Insurer Code ; Reporting Year ; Insurance Category Code ; Large Provider Entity Code ; Age Band Code ; Sex Code </v>
      </c>
      <c r="N642" s="297" t="s">
        <v>197</v>
      </c>
      <c r="O642" s="297" t="s">
        <v>198</v>
      </c>
      <c r="P642" s="297" t="s">
        <v>199</v>
      </c>
      <c r="Q642" s="297" t="s">
        <v>200</v>
      </c>
      <c r="R642" s="297" t="s">
        <v>213</v>
      </c>
      <c r="S642" s="297" t="s">
        <v>214</v>
      </c>
    </row>
    <row r="643" spans="1:19" x14ac:dyDescent="0.4">
      <c r="A643" s="291"/>
      <c r="B643" s="292"/>
      <c r="C643" s="312"/>
      <c r="D643" s="292"/>
      <c r="E643" s="489"/>
      <c r="F643" s="489"/>
      <c r="G643" s="490"/>
      <c r="H643" s="520"/>
      <c r="I643" s="523"/>
      <c r="J643" s="521"/>
      <c r="K643" s="522"/>
      <c r="M643" s="301" t="str">
        <f>N643&amp;AS[[#This Row],[Insurer Code]]&amp;"; "&amp;O643&amp;AS[[#This Row],[Reporting Year]]&amp;"; "&amp;P643&amp;AS[[#This Row],[Insurance Category Code]]&amp;"; "&amp;Q643&amp;AS[[#This Row],[Large Provider Entity Code]]&amp;"; "&amp;R643&amp;AS[[#This Row],[Age Band Code]]&amp;"; "&amp;S643&amp;AS[[#This Row],[Sex Code]]</f>
        <v xml:space="preserve">Insurer Code ; Reporting Year ; Insurance Category Code ; Large Provider Entity Code ; Age Band Code ; Sex Code </v>
      </c>
      <c r="N643" s="297" t="s">
        <v>197</v>
      </c>
      <c r="O643" s="297" t="s">
        <v>198</v>
      </c>
      <c r="P643" s="297" t="s">
        <v>199</v>
      </c>
      <c r="Q643" s="297" t="s">
        <v>200</v>
      </c>
      <c r="R643" s="297" t="s">
        <v>213</v>
      </c>
      <c r="S643" s="297" t="s">
        <v>214</v>
      </c>
    </row>
    <row r="644" spans="1:19" x14ac:dyDescent="0.4">
      <c r="A644" s="291"/>
      <c r="B644" s="292"/>
      <c r="C644" s="312"/>
      <c r="D644" s="292"/>
      <c r="E644" s="489"/>
      <c r="F644" s="489"/>
      <c r="G644" s="490"/>
      <c r="H644" s="520"/>
      <c r="I644" s="523"/>
      <c r="J644" s="521"/>
      <c r="K644" s="522"/>
      <c r="M644" s="301" t="str">
        <f>N644&amp;AS[[#This Row],[Insurer Code]]&amp;"; "&amp;O644&amp;AS[[#This Row],[Reporting Year]]&amp;"; "&amp;P644&amp;AS[[#This Row],[Insurance Category Code]]&amp;"; "&amp;Q644&amp;AS[[#This Row],[Large Provider Entity Code]]&amp;"; "&amp;R644&amp;AS[[#This Row],[Age Band Code]]&amp;"; "&amp;S644&amp;AS[[#This Row],[Sex Code]]</f>
        <v xml:space="preserve">Insurer Code ; Reporting Year ; Insurance Category Code ; Large Provider Entity Code ; Age Band Code ; Sex Code </v>
      </c>
      <c r="N644" s="297" t="s">
        <v>197</v>
      </c>
      <c r="O644" s="297" t="s">
        <v>198</v>
      </c>
      <c r="P644" s="297" t="s">
        <v>199</v>
      </c>
      <c r="Q644" s="297" t="s">
        <v>200</v>
      </c>
      <c r="R644" s="297" t="s">
        <v>213</v>
      </c>
      <c r="S644" s="297" t="s">
        <v>214</v>
      </c>
    </row>
    <row r="645" spans="1:19" x14ac:dyDescent="0.4">
      <c r="A645" s="291"/>
      <c r="B645" s="292"/>
      <c r="C645" s="312"/>
      <c r="D645" s="292"/>
      <c r="E645" s="489"/>
      <c r="F645" s="489"/>
      <c r="G645" s="490"/>
      <c r="H645" s="520"/>
      <c r="I645" s="523"/>
      <c r="J645" s="521"/>
      <c r="K645" s="522"/>
      <c r="M645" s="301" t="str">
        <f>N645&amp;AS[[#This Row],[Insurer Code]]&amp;"; "&amp;O645&amp;AS[[#This Row],[Reporting Year]]&amp;"; "&amp;P645&amp;AS[[#This Row],[Insurance Category Code]]&amp;"; "&amp;Q645&amp;AS[[#This Row],[Large Provider Entity Code]]&amp;"; "&amp;R645&amp;AS[[#This Row],[Age Band Code]]&amp;"; "&amp;S645&amp;AS[[#This Row],[Sex Code]]</f>
        <v xml:space="preserve">Insurer Code ; Reporting Year ; Insurance Category Code ; Large Provider Entity Code ; Age Band Code ; Sex Code </v>
      </c>
      <c r="N645" s="297" t="s">
        <v>197</v>
      </c>
      <c r="O645" s="297" t="s">
        <v>198</v>
      </c>
      <c r="P645" s="297" t="s">
        <v>199</v>
      </c>
      <c r="Q645" s="297" t="s">
        <v>200</v>
      </c>
      <c r="R645" s="297" t="s">
        <v>213</v>
      </c>
      <c r="S645" s="297" t="s">
        <v>214</v>
      </c>
    </row>
    <row r="646" spans="1:19" x14ac:dyDescent="0.4">
      <c r="A646" s="291"/>
      <c r="B646" s="292"/>
      <c r="C646" s="312"/>
      <c r="D646" s="292"/>
      <c r="E646" s="489"/>
      <c r="F646" s="489"/>
      <c r="G646" s="490"/>
      <c r="H646" s="520"/>
      <c r="I646" s="523"/>
      <c r="J646" s="521"/>
      <c r="K646" s="522"/>
      <c r="M646" s="301" t="str">
        <f>N646&amp;AS[[#This Row],[Insurer Code]]&amp;"; "&amp;O646&amp;AS[[#This Row],[Reporting Year]]&amp;"; "&amp;P646&amp;AS[[#This Row],[Insurance Category Code]]&amp;"; "&amp;Q646&amp;AS[[#This Row],[Large Provider Entity Code]]&amp;"; "&amp;R646&amp;AS[[#This Row],[Age Band Code]]&amp;"; "&amp;S646&amp;AS[[#This Row],[Sex Code]]</f>
        <v xml:space="preserve">Insurer Code ; Reporting Year ; Insurance Category Code ; Large Provider Entity Code ; Age Band Code ; Sex Code </v>
      </c>
      <c r="N646" s="297" t="s">
        <v>197</v>
      </c>
      <c r="O646" s="297" t="s">
        <v>198</v>
      </c>
      <c r="P646" s="297" t="s">
        <v>199</v>
      </c>
      <c r="Q646" s="297" t="s">
        <v>200</v>
      </c>
      <c r="R646" s="297" t="s">
        <v>213</v>
      </c>
      <c r="S646" s="297" t="s">
        <v>214</v>
      </c>
    </row>
    <row r="647" spans="1:19" x14ac:dyDescent="0.4">
      <c r="A647" s="291"/>
      <c r="B647" s="292"/>
      <c r="C647" s="312"/>
      <c r="D647" s="292"/>
      <c r="E647" s="489"/>
      <c r="F647" s="489"/>
      <c r="G647" s="490"/>
      <c r="H647" s="520"/>
      <c r="I647" s="523"/>
      <c r="J647" s="521"/>
      <c r="K647" s="522"/>
      <c r="M647" s="301" t="str">
        <f>N647&amp;AS[[#This Row],[Insurer Code]]&amp;"; "&amp;O647&amp;AS[[#This Row],[Reporting Year]]&amp;"; "&amp;P647&amp;AS[[#This Row],[Insurance Category Code]]&amp;"; "&amp;Q647&amp;AS[[#This Row],[Large Provider Entity Code]]&amp;"; "&amp;R647&amp;AS[[#This Row],[Age Band Code]]&amp;"; "&amp;S647&amp;AS[[#This Row],[Sex Code]]</f>
        <v xml:space="preserve">Insurer Code ; Reporting Year ; Insurance Category Code ; Large Provider Entity Code ; Age Band Code ; Sex Code </v>
      </c>
      <c r="N647" s="297" t="s">
        <v>197</v>
      </c>
      <c r="O647" s="297" t="s">
        <v>198</v>
      </c>
      <c r="P647" s="297" t="s">
        <v>199</v>
      </c>
      <c r="Q647" s="297" t="s">
        <v>200</v>
      </c>
      <c r="R647" s="297" t="s">
        <v>213</v>
      </c>
      <c r="S647" s="297" t="s">
        <v>214</v>
      </c>
    </row>
    <row r="648" spans="1:19" x14ac:dyDescent="0.4">
      <c r="A648" s="291"/>
      <c r="B648" s="292"/>
      <c r="C648" s="312"/>
      <c r="D648" s="292"/>
      <c r="E648" s="489"/>
      <c r="F648" s="489"/>
      <c r="G648" s="490"/>
      <c r="H648" s="520"/>
      <c r="I648" s="523"/>
      <c r="J648" s="521"/>
      <c r="K648" s="522"/>
      <c r="M648" s="301" t="str">
        <f>N648&amp;AS[[#This Row],[Insurer Code]]&amp;"; "&amp;O648&amp;AS[[#This Row],[Reporting Year]]&amp;"; "&amp;P648&amp;AS[[#This Row],[Insurance Category Code]]&amp;"; "&amp;Q648&amp;AS[[#This Row],[Large Provider Entity Code]]&amp;"; "&amp;R648&amp;AS[[#This Row],[Age Band Code]]&amp;"; "&amp;S648&amp;AS[[#This Row],[Sex Code]]</f>
        <v xml:space="preserve">Insurer Code ; Reporting Year ; Insurance Category Code ; Large Provider Entity Code ; Age Band Code ; Sex Code </v>
      </c>
      <c r="N648" s="297" t="s">
        <v>197</v>
      </c>
      <c r="O648" s="297" t="s">
        <v>198</v>
      </c>
      <c r="P648" s="297" t="s">
        <v>199</v>
      </c>
      <c r="Q648" s="297" t="s">
        <v>200</v>
      </c>
      <c r="R648" s="297" t="s">
        <v>213</v>
      </c>
      <c r="S648" s="297" t="s">
        <v>214</v>
      </c>
    </row>
    <row r="649" spans="1:19" x14ac:dyDescent="0.4">
      <c r="A649" s="291"/>
      <c r="B649" s="292"/>
      <c r="C649" s="312"/>
      <c r="D649" s="292"/>
      <c r="E649" s="489"/>
      <c r="F649" s="489"/>
      <c r="G649" s="490"/>
      <c r="H649" s="520"/>
      <c r="I649" s="523"/>
      <c r="J649" s="521"/>
      <c r="K649" s="522"/>
      <c r="M649" s="301" t="str">
        <f>N649&amp;AS[[#This Row],[Insurer Code]]&amp;"; "&amp;O649&amp;AS[[#This Row],[Reporting Year]]&amp;"; "&amp;P649&amp;AS[[#This Row],[Insurance Category Code]]&amp;"; "&amp;Q649&amp;AS[[#This Row],[Large Provider Entity Code]]&amp;"; "&amp;R649&amp;AS[[#This Row],[Age Band Code]]&amp;"; "&amp;S649&amp;AS[[#This Row],[Sex Code]]</f>
        <v xml:space="preserve">Insurer Code ; Reporting Year ; Insurance Category Code ; Large Provider Entity Code ; Age Band Code ; Sex Code </v>
      </c>
      <c r="N649" s="297" t="s">
        <v>197</v>
      </c>
      <c r="O649" s="297" t="s">
        <v>198</v>
      </c>
      <c r="P649" s="297" t="s">
        <v>199</v>
      </c>
      <c r="Q649" s="297" t="s">
        <v>200</v>
      </c>
      <c r="R649" s="297" t="s">
        <v>213</v>
      </c>
      <c r="S649" s="297" t="s">
        <v>214</v>
      </c>
    </row>
    <row r="650" spans="1:19" x14ac:dyDescent="0.4">
      <c r="A650" s="291"/>
      <c r="B650" s="292"/>
      <c r="C650" s="312"/>
      <c r="D650" s="292"/>
      <c r="E650" s="489"/>
      <c r="F650" s="489"/>
      <c r="G650" s="490"/>
      <c r="H650" s="520"/>
      <c r="I650" s="523"/>
      <c r="J650" s="521"/>
      <c r="K650" s="522"/>
      <c r="M650" s="301" t="str">
        <f>N650&amp;AS[[#This Row],[Insurer Code]]&amp;"; "&amp;O650&amp;AS[[#This Row],[Reporting Year]]&amp;"; "&amp;P650&amp;AS[[#This Row],[Insurance Category Code]]&amp;"; "&amp;Q650&amp;AS[[#This Row],[Large Provider Entity Code]]&amp;"; "&amp;R650&amp;AS[[#This Row],[Age Band Code]]&amp;"; "&amp;S650&amp;AS[[#This Row],[Sex Code]]</f>
        <v xml:space="preserve">Insurer Code ; Reporting Year ; Insurance Category Code ; Large Provider Entity Code ; Age Band Code ; Sex Code </v>
      </c>
      <c r="N650" s="297" t="s">
        <v>197</v>
      </c>
      <c r="O650" s="297" t="s">
        <v>198</v>
      </c>
      <c r="P650" s="297" t="s">
        <v>199</v>
      </c>
      <c r="Q650" s="297" t="s">
        <v>200</v>
      </c>
      <c r="R650" s="297" t="s">
        <v>213</v>
      </c>
      <c r="S650" s="297" t="s">
        <v>214</v>
      </c>
    </row>
    <row r="651" spans="1:19" x14ac:dyDescent="0.4">
      <c r="A651" s="291"/>
      <c r="B651" s="292"/>
      <c r="C651" s="312"/>
      <c r="D651" s="292"/>
      <c r="E651" s="489"/>
      <c r="F651" s="489"/>
      <c r="G651" s="490"/>
      <c r="H651" s="520"/>
      <c r="I651" s="523"/>
      <c r="J651" s="521"/>
      <c r="K651" s="522"/>
      <c r="M651" s="301" t="str">
        <f>N651&amp;AS[[#This Row],[Insurer Code]]&amp;"; "&amp;O651&amp;AS[[#This Row],[Reporting Year]]&amp;"; "&amp;P651&amp;AS[[#This Row],[Insurance Category Code]]&amp;"; "&amp;Q651&amp;AS[[#This Row],[Large Provider Entity Code]]&amp;"; "&amp;R651&amp;AS[[#This Row],[Age Band Code]]&amp;"; "&amp;S651&amp;AS[[#This Row],[Sex Code]]</f>
        <v xml:space="preserve">Insurer Code ; Reporting Year ; Insurance Category Code ; Large Provider Entity Code ; Age Band Code ; Sex Code </v>
      </c>
      <c r="N651" s="297" t="s">
        <v>197</v>
      </c>
      <c r="O651" s="297" t="s">
        <v>198</v>
      </c>
      <c r="P651" s="297" t="s">
        <v>199</v>
      </c>
      <c r="Q651" s="297" t="s">
        <v>200</v>
      </c>
      <c r="R651" s="297" t="s">
        <v>213</v>
      </c>
      <c r="S651" s="297" t="s">
        <v>214</v>
      </c>
    </row>
    <row r="652" spans="1:19" x14ac:dyDescent="0.4">
      <c r="A652" s="291"/>
      <c r="B652" s="292"/>
      <c r="C652" s="312"/>
      <c r="D652" s="292"/>
      <c r="E652" s="489"/>
      <c r="F652" s="489"/>
      <c r="G652" s="490"/>
      <c r="H652" s="520"/>
      <c r="I652" s="523"/>
      <c r="J652" s="521"/>
      <c r="K652" s="522"/>
      <c r="M652" s="301" t="str">
        <f>N652&amp;AS[[#This Row],[Insurer Code]]&amp;"; "&amp;O652&amp;AS[[#This Row],[Reporting Year]]&amp;"; "&amp;P652&amp;AS[[#This Row],[Insurance Category Code]]&amp;"; "&amp;Q652&amp;AS[[#This Row],[Large Provider Entity Code]]&amp;"; "&amp;R652&amp;AS[[#This Row],[Age Band Code]]&amp;"; "&amp;S652&amp;AS[[#This Row],[Sex Code]]</f>
        <v xml:space="preserve">Insurer Code ; Reporting Year ; Insurance Category Code ; Large Provider Entity Code ; Age Band Code ; Sex Code </v>
      </c>
      <c r="N652" s="297" t="s">
        <v>197</v>
      </c>
      <c r="O652" s="297" t="s">
        <v>198</v>
      </c>
      <c r="P652" s="297" t="s">
        <v>199</v>
      </c>
      <c r="Q652" s="297" t="s">
        <v>200</v>
      </c>
      <c r="R652" s="297" t="s">
        <v>213</v>
      </c>
      <c r="S652" s="297" t="s">
        <v>214</v>
      </c>
    </row>
    <row r="653" spans="1:19" x14ac:dyDescent="0.4">
      <c r="A653" s="291"/>
      <c r="B653" s="292"/>
      <c r="C653" s="312"/>
      <c r="D653" s="292"/>
      <c r="E653" s="489"/>
      <c r="F653" s="489"/>
      <c r="G653" s="490"/>
      <c r="H653" s="520"/>
      <c r="I653" s="523"/>
      <c r="J653" s="521"/>
      <c r="K653" s="522"/>
      <c r="M653" s="301" t="str">
        <f>N653&amp;AS[[#This Row],[Insurer Code]]&amp;"; "&amp;O653&amp;AS[[#This Row],[Reporting Year]]&amp;"; "&amp;P653&amp;AS[[#This Row],[Insurance Category Code]]&amp;"; "&amp;Q653&amp;AS[[#This Row],[Large Provider Entity Code]]&amp;"; "&amp;R653&amp;AS[[#This Row],[Age Band Code]]&amp;"; "&amp;S653&amp;AS[[#This Row],[Sex Code]]</f>
        <v xml:space="preserve">Insurer Code ; Reporting Year ; Insurance Category Code ; Large Provider Entity Code ; Age Band Code ; Sex Code </v>
      </c>
      <c r="N653" s="297" t="s">
        <v>197</v>
      </c>
      <c r="O653" s="297" t="s">
        <v>198</v>
      </c>
      <c r="P653" s="297" t="s">
        <v>199</v>
      </c>
      <c r="Q653" s="297" t="s">
        <v>200</v>
      </c>
      <c r="R653" s="297" t="s">
        <v>213</v>
      </c>
      <c r="S653" s="297" t="s">
        <v>214</v>
      </c>
    </row>
    <row r="654" spans="1:19" x14ac:dyDescent="0.4">
      <c r="A654" s="291"/>
      <c r="B654" s="292"/>
      <c r="C654" s="312"/>
      <c r="D654" s="292"/>
      <c r="E654" s="489"/>
      <c r="F654" s="489"/>
      <c r="G654" s="490"/>
      <c r="H654" s="520"/>
      <c r="I654" s="523"/>
      <c r="J654" s="521"/>
      <c r="K654" s="522"/>
      <c r="M654" s="301" t="str">
        <f>N654&amp;AS[[#This Row],[Insurer Code]]&amp;"; "&amp;O654&amp;AS[[#This Row],[Reporting Year]]&amp;"; "&amp;P654&amp;AS[[#This Row],[Insurance Category Code]]&amp;"; "&amp;Q654&amp;AS[[#This Row],[Large Provider Entity Code]]&amp;"; "&amp;R654&amp;AS[[#This Row],[Age Band Code]]&amp;"; "&amp;S654&amp;AS[[#This Row],[Sex Code]]</f>
        <v xml:space="preserve">Insurer Code ; Reporting Year ; Insurance Category Code ; Large Provider Entity Code ; Age Band Code ; Sex Code </v>
      </c>
      <c r="N654" s="297" t="s">
        <v>197</v>
      </c>
      <c r="O654" s="297" t="s">
        <v>198</v>
      </c>
      <c r="P654" s="297" t="s">
        <v>199</v>
      </c>
      <c r="Q654" s="297" t="s">
        <v>200</v>
      </c>
      <c r="R654" s="297" t="s">
        <v>213</v>
      </c>
      <c r="S654" s="297" t="s">
        <v>214</v>
      </c>
    </row>
    <row r="655" spans="1:19" x14ac:dyDescent="0.4">
      <c r="A655" s="291"/>
      <c r="B655" s="292"/>
      <c r="C655" s="312"/>
      <c r="D655" s="292"/>
      <c r="E655" s="489"/>
      <c r="F655" s="489"/>
      <c r="G655" s="490"/>
      <c r="H655" s="520"/>
      <c r="I655" s="523"/>
      <c r="J655" s="521"/>
      <c r="K655" s="522"/>
      <c r="M655" s="301" t="str">
        <f>N655&amp;AS[[#This Row],[Insurer Code]]&amp;"; "&amp;O655&amp;AS[[#This Row],[Reporting Year]]&amp;"; "&amp;P655&amp;AS[[#This Row],[Insurance Category Code]]&amp;"; "&amp;Q655&amp;AS[[#This Row],[Large Provider Entity Code]]&amp;"; "&amp;R655&amp;AS[[#This Row],[Age Band Code]]&amp;"; "&amp;S655&amp;AS[[#This Row],[Sex Code]]</f>
        <v xml:space="preserve">Insurer Code ; Reporting Year ; Insurance Category Code ; Large Provider Entity Code ; Age Band Code ; Sex Code </v>
      </c>
      <c r="N655" s="297" t="s">
        <v>197</v>
      </c>
      <c r="O655" s="297" t="s">
        <v>198</v>
      </c>
      <c r="P655" s="297" t="s">
        <v>199</v>
      </c>
      <c r="Q655" s="297" t="s">
        <v>200</v>
      </c>
      <c r="R655" s="297" t="s">
        <v>213</v>
      </c>
      <c r="S655" s="297" t="s">
        <v>214</v>
      </c>
    </row>
    <row r="656" spans="1:19" x14ac:dyDescent="0.4">
      <c r="A656" s="291"/>
      <c r="B656" s="292"/>
      <c r="C656" s="312"/>
      <c r="D656" s="292"/>
      <c r="E656" s="489"/>
      <c r="F656" s="489"/>
      <c r="G656" s="490"/>
      <c r="H656" s="520"/>
      <c r="I656" s="523"/>
      <c r="J656" s="521"/>
      <c r="K656" s="522"/>
      <c r="M656" s="301" t="str">
        <f>N656&amp;AS[[#This Row],[Insurer Code]]&amp;"; "&amp;O656&amp;AS[[#This Row],[Reporting Year]]&amp;"; "&amp;P656&amp;AS[[#This Row],[Insurance Category Code]]&amp;"; "&amp;Q656&amp;AS[[#This Row],[Large Provider Entity Code]]&amp;"; "&amp;R656&amp;AS[[#This Row],[Age Band Code]]&amp;"; "&amp;S656&amp;AS[[#This Row],[Sex Code]]</f>
        <v xml:space="preserve">Insurer Code ; Reporting Year ; Insurance Category Code ; Large Provider Entity Code ; Age Band Code ; Sex Code </v>
      </c>
      <c r="N656" s="297" t="s">
        <v>197</v>
      </c>
      <c r="O656" s="297" t="s">
        <v>198</v>
      </c>
      <c r="P656" s="297" t="s">
        <v>199</v>
      </c>
      <c r="Q656" s="297" t="s">
        <v>200</v>
      </c>
      <c r="R656" s="297" t="s">
        <v>213</v>
      </c>
      <c r="S656" s="297" t="s">
        <v>214</v>
      </c>
    </row>
    <row r="657" spans="1:19" x14ac:dyDescent="0.4">
      <c r="A657" s="291"/>
      <c r="B657" s="292"/>
      <c r="C657" s="312"/>
      <c r="D657" s="292"/>
      <c r="E657" s="489"/>
      <c r="F657" s="489"/>
      <c r="G657" s="490"/>
      <c r="H657" s="520"/>
      <c r="I657" s="523"/>
      <c r="J657" s="521"/>
      <c r="K657" s="522"/>
      <c r="M657" s="301" t="str">
        <f>N657&amp;AS[[#This Row],[Insurer Code]]&amp;"; "&amp;O657&amp;AS[[#This Row],[Reporting Year]]&amp;"; "&amp;P657&amp;AS[[#This Row],[Insurance Category Code]]&amp;"; "&amp;Q657&amp;AS[[#This Row],[Large Provider Entity Code]]&amp;"; "&amp;R657&amp;AS[[#This Row],[Age Band Code]]&amp;"; "&amp;S657&amp;AS[[#This Row],[Sex Code]]</f>
        <v xml:space="preserve">Insurer Code ; Reporting Year ; Insurance Category Code ; Large Provider Entity Code ; Age Band Code ; Sex Code </v>
      </c>
      <c r="N657" s="297" t="s">
        <v>197</v>
      </c>
      <c r="O657" s="297" t="s">
        <v>198</v>
      </c>
      <c r="P657" s="297" t="s">
        <v>199</v>
      </c>
      <c r="Q657" s="297" t="s">
        <v>200</v>
      </c>
      <c r="R657" s="297" t="s">
        <v>213</v>
      </c>
      <c r="S657" s="297" t="s">
        <v>214</v>
      </c>
    </row>
    <row r="658" spans="1:19" x14ac:dyDescent="0.4">
      <c r="A658" s="291"/>
      <c r="B658" s="292"/>
      <c r="C658" s="312"/>
      <c r="D658" s="292"/>
      <c r="E658" s="489"/>
      <c r="F658" s="489"/>
      <c r="G658" s="490"/>
      <c r="H658" s="520"/>
      <c r="I658" s="523"/>
      <c r="J658" s="521"/>
      <c r="K658" s="522"/>
      <c r="M658" s="301" t="str">
        <f>N658&amp;AS[[#This Row],[Insurer Code]]&amp;"; "&amp;O658&amp;AS[[#This Row],[Reporting Year]]&amp;"; "&amp;P658&amp;AS[[#This Row],[Insurance Category Code]]&amp;"; "&amp;Q658&amp;AS[[#This Row],[Large Provider Entity Code]]&amp;"; "&amp;R658&amp;AS[[#This Row],[Age Band Code]]&amp;"; "&amp;S658&amp;AS[[#This Row],[Sex Code]]</f>
        <v xml:space="preserve">Insurer Code ; Reporting Year ; Insurance Category Code ; Large Provider Entity Code ; Age Band Code ; Sex Code </v>
      </c>
      <c r="N658" s="297" t="s">
        <v>197</v>
      </c>
      <c r="O658" s="297" t="s">
        <v>198</v>
      </c>
      <c r="P658" s="297" t="s">
        <v>199</v>
      </c>
      <c r="Q658" s="297" t="s">
        <v>200</v>
      </c>
      <c r="R658" s="297" t="s">
        <v>213</v>
      </c>
      <c r="S658" s="297" t="s">
        <v>214</v>
      </c>
    </row>
    <row r="659" spans="1:19" x14ac:dyDescent="0.4">
      <c r="A659" s="291"/>
      <c r="B659" s="292"/>
      <c r="C659" s="312"/>
      <c r="D659" s="292"/>
      <c r="E659" s="489"/>
      <c r="F659" s="489"/>
      <c r="G659" s="490"/>
      <c r="H659" s="520"/>
      <c r="I659" s="523"/>
      <c r="J659" s="521"/>
      <c r="K659" s="522"/>
      <c r="M659" s="301" t="str">
        <f>N659&amp;AS[[#This Row],[Insurer Code]]&amp;"; "&amp;O659&amp;AS[[#This Row],[Reporting Year]]&amp;"; "&amp;P659&amp;AS[[#This Row],[Insurance Category Code]]&amp;"; "&amp;Q659&amp;AS[[#This Row],[Large Provider Entity Code]]&amp;"; "&amp;R659&amp;AS[[#This Row],[Age Band Code]]&amp;"; "&amp;S659&amp;AS[[#This Row],[Sex Code]]</f>
        <v xml:space="preserve">Insurer Code ; Reporting Year ; Insurance Category Code ; Large Provider Entity Code ; Age Band Code ; Sex Code </v>
      </c>
      <c r="N659" s="297" t="s">
        <v>197</v>
      </c>
      <c r="O659" s="297" t="s">
        <v>198</v>
      </c>
      <c r="P659" s="297" t="s">
        <v>199</v>
      </c>
      <c r="Q659" s="297" t="s">
        <v>200</v>
      </c>
      <c r="R659" s="297" t="s">
        <v>213</v>
      </c>
      <c r="S659" s="297" t="s">
        <v>214</v>
      </c>
    </row>
    <row r="660" spans="1:19" x14ac:dyDescent="0.4">
      <c r="A660" s="291"/>
      <c r="B660" s="292"/>
      <c r="C660" s="312"/>
      <c r="D660" s="292"/>
      <c r="E660" s="489"/>
      <c r="F660" s="489"/>
      <c r="G660" s="490"/>
      <c r="H660" s="520"/>
      <c r="I660" s="523"/>
      <c r="J660" s="521"/>
      <c r="K660" s="522"/>
      <c r="M660" s="301" t="str">
        <f>N660&amp;AS[[#This Row],[Insurer Code]]&amp;"; "&amp;O660&amp;AS[[#This Row],[Reporting Year]]&amp;"; "&amp;P660&amp;AS[[#This Row],[Insurance Category Code]]&amp;"; "&amp;Q660&amp;AS[[#This Row],[Large Provider Entity Code]]&amp;"; "&amp;R660&amp;AS[[#This Row],[Age Band Code]]&amp;"; "&amp;S660&amp;AS[[#This Row],[Sex Code]]</f>
        <v xml:space="preserve">Insurer Code ; Reporting Year ; Insurance Category Code ; Large Provider Entity Code ; Age Band Code ; Sex Code </v>
      </c>
      <c r="N660" s="297" t="s">
        <v>197</v>
      </c>
      <c r="O660" s="297" t="s">
        <v>198</v>
      </c>
      <c r="P660" s="297" t="s">
        <v>199</v>
      </c>
      <c r="Q660" s="297" t="s">
        <v>200</v>
      </c>
      <c r="R660" s="297" t="s">
        <v>213</v>
      </c>
      <c r="S660" s="297" t="s">
        <v>214</v>
      </c>
    </row>
    <row r="661" spans="1:19" x14ac:dyDescent="0.4">
      <c r="A661" s="291"/>
      <c r="B661" s="292"/>
      <c r="C661" s="312"/>
      <c r="D661" s="292"/>
      <c r="E661" s="489"/>
      <c r="F661" s="489"/>
      <c r="G661" s="490"/>
      <c r="H661" s="520"/>
      <c r="I661" s="523"/>
      <c r="J661" s="521"/>
      <c r="K661" s="522"/>
      <c r="M661" s="301" t="str">
        <f>N661&amp;AS[[#This Row],[Insurer Code]]&amp;"; "&amp;O661&amp;AS[[#This Row],[Reporting Year]]&amp;"; "&amp;P661&amp;AS[[#This Row],[Insurance Category Code]]&amp;"; "&amp;Q661&amp;AS[[#This Row],[Large Provider Entity Code]]&amp;"; "&amp;R661&amp;AS[[#This Row],[Age Band Code]]&amp;"; "&amp;S661&amp;AS[[#This Row],[Sex Code]]</f>
        <v xml:space="preserve">Insurer Code ; Reporting Year ; Insurance Category Code ; Large Provider Entity Code ; Age Band Code ; Sex Code </v>
      </c>
      <c r="N661" s="297" t="s">
        <v>197</v>
      </c>
      <c r="O661" s="297" t="s">
        <v>198</v>
      </c>
      <c r="P661" s="297" t="s">
        <v>199</v>
      </c>
      <c r="Q661" s="297" t="s">
        <v>200</v>
      </c>
      <c r="R661" s="297" t="s">
        <v>213</v>
      </c>
      <c r="S661" s="297" t="s">
        <v>214</v>
      </c>
    </row>
    <row r="662" spans="1:19" x14ac:dyDescent="0.4">
      <c r="A662" s="291"/>
      <c r="B662" s="292"/>
      <c r="C662" s="312"/>
      <c r="D662" s="292"/>
      <c r="E662" s="489"/>
      <c r="F662" s="489"/>
      <c r="G662" s="490"/>
      <c r="H662" s="520"/>
      <c r="I662" s="523"/>
      <c r="J662" s="521"/>
      <c r="K662" s="522"/>
      <c r="M662" s="301" t="str">
        <f>N662&amp;AS[[#This Row],[Insurer Code]]&amp;"; "&amp;O662&amp;AS[[#This Row],[Reporting Year]]&amp;"; "&amp;P662&amp;AS[[#This Row],[Insurance Category Code]]&amp;"; "&amp;Q662&amp;AS[[#This Row],[Large Provider Entity Code]]&amp;"; "&amp;R662&amp;AS[[#This Row],[Age Band Code]]&amp;"; "&amp;S662&amp;AS[[#This Row],[Sex Code]]</f>
        <v xml:space="preserve">Insurer Code ; Reporting Year ; Insurance Category Code ; Large Provider Entity Code ; Age Band Code ; Sex Code </v>
      </c>
      <c r="N662" s="297" t="s">
        <v>197</v>
      </c>
      <c r="O662" s="297" t="s">
        <v>198</v>
      </c>
      <c r="P662" s="297" t="s">
        <v>199</v>
      </c>
      <c r="Q662" s="297" t="s">
        <v>200</v>
      </c>
      <c r="R662" s="297" t="s">
        <v>213</v>
      </c>
      <c r="S662" s="297" t="s">
        <v>214</v>
      </c>
    </row>
    <row r="663" spans="1:19" x14ac:dyDescent="0.4">
      <c r="A663" s="291"/>
      <c r="B663" s="292"/>
      <c r="C663" s="312"/>
      <c r="D663" s="292"/>
      <c r="E663" s="489"/>
      <c r="F663" s="489"/>
      <c r="G663" s="490"/>
      <c r="H663" s="520"/>
      <c r="I663" s="523"/>
      <c r="J663" s="521"/>
      <c r="K663" s="522"/>
      <c r="M663" s="301" t="str">
        <f>N663&amp;AS[[#This Row],[Insurer Code]]&amp;"; "&amp;O663&amp;AS[[#This Row],[Reporting Year]]&amp;"; "&amp;P663&amp;AS[[#This Row],[Insurance Category Code]]&amp;"; "&amp;Q663&amp;AS[[#This Row],[Large Provider Entity Code]]&amp;"; "&amp;R663&amp;AS[[#This Row],[Age Band Code]]&amp;"; "&amp;S663&amp;AS[[#This Row],[Sex Code]]</f>
        <v xml:space="preserve">Insurer Code ; Reporting Year ; Insurance Category Code ; Large Provider Entity Code ; Age Band Code ; Sex Code </v>
      </c>
      <c r="N663" s="297" t="s">
        <v>197</v>
      </c>
      <c r="O663" s="297" t="s">
        <v>198</v>
      </c>
      <c r="P663" s="297" t="s">
        <v>199</v>
      </c>
      <c r="Q663" s="297" t="s">
        <v>200</v>
      </c>
      <c r="R663" s="297" t="s">
        <v>213</v>
      </c>
      <c r="S663" s="297" t="s">
        <v>214</v>
      </c>
    </row>
    <row r="664" spans="1:19" x14ac:dyDescent="0.4">
      <c r="A664" s="291"/>
      <c r="B664" s="292"/>
      <c r="C664" s="312"/>
      <c r="D664" s="292"/>
      <c r="E664" s="489"/>
      <c r="F664" s="489"/>
      <c r="G664" s="490"/>
      <c r="H664" s="520"/>
      <c r="I664" s="523"/>
      <c r="J664" s="521"/>
      <c r="K664" s="522"/>
      <c r="M664" s="301" t="str">
        <f>N664&amp;AS[[#This Row],[Insurer Code]]&amp;"; "&amp;O664&amp;AS[[#This Row],[Reporting Year]]&amp;"; "&amp;P664&amp;AS[[#This Row],[Insurance Category Code]]&amp;"; "&amp;Q664&amp;AS[[#This Row],[Large Provider Entity Code]]&amp;"; "&amp;R664&amp;AS[[#This Row],[Age Band Code]]&amp;"; "&amp;S664&amp;AS[[#This Row],[Sex Code]]</f>
        <v xml:space="preserve">Insurer Code ; Reporting Year ; Insurance Category Code ; Large Provider Entity Code ; Age Band Code ; Sex Code </v>
      </c>
      <c r="N664" s="297" t="s">
        <v>197</v>
      </c>
      <c r="O664" s="297" t="s">
        <v>198</v>
      </c>
      <c r="P664" s="297" t="s">
        <v>199</v>
      </c>
      <c r="Q664" s="297" t="s">
        <v>200</v>
      </c>
      <c r="R664" s="297" t="s">
        <v>213</v>
      </c>
      <c r="S664" s="297" t="s">
        <v>214</v>
      </c>
    </row>
    <row r="665" spans="1:19" x14ac:dyDescent="0.4">
      <c r="A665" s="291"/>
      <c r="B665" s="292"/>
      <c r="C665" s="312"/>
      <c r="D665" s="292"/>
      <c r="E665" s="489"/>
      <c r="F665" s="489"/>
      <c r="G665" s="490"/>
      <c r="H665" s="520"/>
      <c r="I665" s="523"/>
      <c r="J665" s="521"/>
      <c r="K665" s="522"/>
      <c r="M665" s="301" t="str">
        <f>N665&amp;AS[[#This Row],[Insurer Code]]&amp;"; "&amp;O665&amp;AS[[#This Row],[Reporting Year]]&amp;"; "&amp;P665&amp;AS[[#This Row],[Insurance Category Code]]&amp;"; "&amp;Q665&amp;AS[[#This Row],[Large Provider Entity Code]]&amp;"; "&amp;R665&amp;AS[[#This Row],[Age Band Code]]&amp;"; "&amp;S665&amp;AS[[#This Row],[Sex Code]]</f>
        <v xml:space="preserve">Insurer Code ; Reporting Year ; Insurance Category Code ; Large Provider Entity Code ; Age Band Code ; Sex Code </v>
      </c>
      <c r="N665" s="297" t="s">
        <v>197</v>
      </c>
      <c r="O665" s="297" t="s">
        <v>198</v>
      </c>
      <c r="P665" s="297" t="s">
        <v>199</v>
      </c>
      <c r="Q665" s="297" t="s">
        <v>200</v>
      </c>
      <c r="R665" s="297" t="s">
        <v>213</v>
      </c>
      <c r="S665" s="297" t="s">
        <v>214</v>
      </c>
    </row>
    <row r="666" spans="1:19" x14ac:dyDescent="0.4">
      <c r="A666" s="291"/>
      <c r="B666" s="292"/>
      <c r="C666" s="312"/>
      <c r="D666" s="292"/>
      <c r="E666" s="489"/>
      <c r="F666" s="489"/>
      <c r="G666" s="490"/>
      <c r="H666" s="520"/>
      <c r="I666" s="523"/>
      <c r="J666" s="521"/>
      <c r="K666" s="522"/>
      <c r="M666" s="301" t="str">
        <f>N666&amp;AS[[#This Row],[Insurer Code]]&amp;"; "&amp;O666&amp;AS[[#This Row],[Reporting Year]]&amp;"; "&amp;P666&amp;AS[[#This Row],[Insurance Category Code]]&amp;"; "&amp;Q666&amp;AS[[#This Row],[Large Provider Entity Code]]&amp;"; "&amp;R666&amp;AS[[#This Row],[Age Band Code]]&amp;"; "&amp;S666&amp;AS[[#This Row],[Sex Code]]</f>
        <v xml:space="preserve">Insurer Code ; Reporting Year ; Insurance Category Code ; Large Provider Entity Code ; Age Band Code ; Sex Code </v>
      </c>
      <c r="N666" s="297" t="s">
        <v>197</v>
      </c>
      <c r="O666" s="297" t="s">
        <v>198</v>
      </c>
      <c r="P666" s="297" t="s">
        <v>199</v>
      </c>
      <c r="Q666" s="297" t="s">
        <v>200</v>
      </c>
      <c r="R666" s="297" t="s">
        <v>213</v>
      </c>
      <c r="S666" s="297" t="s">
        <v>214</v>
      </c>
    </row>
    <row r="667" spans="1:19" x14ac:dyDescent="0.4">
      <c r="A667" s="291"/>
      <c r="B667" s="292"/>
      <c r="C667" s="312"/>
      <c r="D667" s="292"/>
      <c r="E667" s="489"/>
      <c r="F667" s="489"/>
      <c r="G667" s="490"/>
      <c r="H667" s="520"/>
      <c r="I667" s="523"/>
      <c r="J667" s="521"/>
      <c r="K667" s="522"/>
      <c r="M667" s="301" t="str">
        <f>N667&amp;AS[[#This Row],[Insurer Code]]&amp;"; "&amp;O667&amp;AS[[#This Row],[Reporting Year]]&amp;"; "&amp;P667&amp;AS[[#This Row],[Insurance Category Code]]&amp;"; "&amp;Q667&amp;AS[[#This Row],[Large Provider Entity Code]]&amp;"; "&amp;R667&amp;AS[[#This Row],[Age Band Code]]&amp;"; "&amp;S667&amp;AS[[#This Row],[Sex Code]]</f>
        <v xml:space="preserve">Insurer Code ; Reporting Year ; Insurance Category Code ; Large Provider Entity Code ; Age Band Code ; Sex Code </v>
      </c>
      <c r="N667" s="297" t="s">
        <v>197</v>
      </c>
      <c r="O667" s="297" t="s">
        <v>198</v>
      </c>
      <c r="P667" s="297" t="s">
        <v>199</v>
      </c>
      <c r="Q667" s="297" t="s">
        <v>200</v>
      </c>
      <c r="R667" s="297" t="s">
        <v>213</v>
      </c>
      <c r="S667" s="297" t="s">
        <v>214</v>
      </c>
    </row>
    <row r="668" spans="1:19" x14ac:dyDescent="0.4">
      <c r="A668" s="291"/>
      <c r="B668" s="292"/>
      <c r="C668" s="312"/>
      <c r="D668" s="292"/>
      <c r="E668" s="489"/>
      <c r="F668" s="489"/>
      <c r="G668" s="490"/>
      <c r="H668" s="520"/>
      <c r="I668" s="523"/>
      <c r="J668" s="521"/>
      <c r="K668" s="522"/>
      <c r="M668" s="301" t="str">
        <f>N668&amp;AS[[#This Row],[Insurer Code]]&amp;"; "&amp;O668&amp;AS[[#This Row],[Reporting Year]]&amp;"; "&amp;P668&amp;AS[[#This Row],[Insurance Category Code]]&amp;"; "&amp;Q668&amp;AS[[#This Row],[Large Provider Entity Code]]&amp;"; "&amp;R668&amp;AS[[#This Row],[Age Band Code]]&amp;"; "&amp;S668&amp;AS[[#This Row],[Sex Code]]</f>
        <v xml:space="preserve">Insurer Code ; Reporting Year ; Insurance Category Code ; Large Provider Entity Code ; Age Band Code ; Sex Code </v>
      </c>
      <c r="N668" s="297" t="s">
        <v>197</v>
      </c>
      <c r="O668" s="297" t="s">
        <v>198</v>
      </c>
      <c r="P668" s="297" t="s">
        <v>199</v>
      </c>
      <c r="Q668" s="297" t="s">
        <v>200</v>
      </c>
      <c r="R668" s="297" t="s">
        <v>213</v>
      </c>
      <c r="S668" s="297" t="s">
        <v>214</v>
      </c>
    </row>
    <row r="669" spans="1:19" x14ac:dyDescent="0.4">
      <c r="A669" s="291"/>
      <c r="B669" s="292"/>
      <c r="C669" s="312"/>
      <c r="D669" s="292"/>
      <c r="E669" s="489"/>
      <c r="F669" s="489"/>
      <c r="G669" s="490"/>
      <c r="H669" s="520"/>
      <c r="I669" s="523"/>
      <c r="J669" s="521"/>
      <c r="K669" s="522"/>
      <c r="M669" s="301" t="str">
        <f>N669&amp;AS[[#This Row],[Insurer Code]]&amp;"; "&amp;O669&amp;AS[[#This Row],[Reporting Year]]&amp;"; "&amp;P669&amp;AS[[#This Row],[Insurance Category Code]]&amp;"; "&amp;Q669&amp;AS[[#This Row],[Large Provider Entity Code]]&amp;"; "&amp;R669&amp;AS[[#This Row],[Age Band Code]]&amp;"; "&amp;S669&amp;AS[[#This Row],[Sex Code]]</f>
        <v xml:space="preserve">Insurer Code ; Reporting Year ; Insurance Category Code ; Large Provider Entity Code ; Age Band Code ; Sex Code </v>
      </c>
      <c r="N669" s="297" t="s">
        <v>197</v>
      </c>
      <c r="O669" s="297" t="s">
        <v>198</v>
      </c>
      <c r="P669" s="297" t="s">
        <v>199</v>
      </c>
      <c r="Q669" s="297" t="s">
        <v>200</v>
      </c>
      <c r="R669" s="297" t="s">
        <v>213</v>
      </c>
      <c r="S669" s="297" t="s">
        <v>214</v>
      </c>
    </row>
    <row r="670" spans="1:19" x14ac:dyDescent="0.4">
      <c r="A670" s="291"/>
      <c r="B670" s="292"/>
      <c r="C670" s="312"/>
      <c r="D670" s="292"/>
      <c r="E670" s="489"/>
      <c r="F670" s="489"/>
      <c r="G670" s="490"/>
      <c r="H670" s="520"/>
      <c r="I670" s="523"/>
      <c r="J670" s="521"/>
      <c r="K670" s="522"/>
      <c r="M670" s="301" t="str">
        <f>N670&amp;AS[[#This Row],[Insurer Code]]&amp;"; "&amp;O670&amp;AS[[#This Row],[Reporting Year]]&amp;"; "&amp;P670&amp;AS[[#This Row],[Insurance Category Code]]&amp;"; "&amp;Q670&amp;AS[[#This Row],[Large Provider Entity Code]]&amp;"; "&amp;R670&amp;AS[[#This Row],[Age Band Code]]&amp;"; "&amp;S670&amp;AS[[#This Row],[Sex Code]]</f>
        <v xml:space="preserve">Insurer Code ; Reporting Year ; Insurance Category Code ; Large Provider Entity Code ; Age Band Code ; Sex Code </v>
      </c>
      <c r="N670" s="297" t="s">
        <v>197</v>
      </c>
      <c r="O670" s="297" t="s">
        <v>198</v>
      </c>
      <c r="P670" s="297" t="s">
        <v>199</v>
      </c>
      <c r="Q670" s="297" t="s">
        <v>200</v>
      </c>
      <c r="R670" s="297" t="s">
        <v>213</v>
      </c>
      <c r="S670" s="297" t="s">
        <v>214</v>
      </c>
    </row>
    <row r="671" spans="1:19" x14ac:dyDescent="0.4">
      <c r="A671" s="291"/>
      <c r="B671" s="292"/>
      <c r="C671" s="312"/>
      <c r="D671" s="292"/>
      <c r="E671" s="489"/>
      <c r="F671" s="489"/>
      <c r="G671" s="490"/>
      <c r="H671" s="520"/>
      <c r="I671" s="523"/>
      <c r="J671" s="521"/>
      <c r="K671" s="522"/>
      <c r="M671" s="301" t="str">
        <f>N671&amp;AS[[#This Row],[Insurer Code]]&amp;"; "&amp;O671&amp;AS[[#This Row],[Reporting Year]]&amp;"; "&amp;P671&amp;AS[[#This Row],[Insurance Category Code]]&amp;"; "&amp;Q671&amp;AS[[#This Row],[Large Provider Entity Code]]&amp;"; "&amp;R671&amp;AS[[#This Row],[Age Band Code]]&amp;"; "&amp;S671&amp;AS[[#This Row],[Sex Code]]</f>
        <v xml:space="preserve">Insurer Code ; Reporting Year ; Insurance Category Code ; Large Provider Entity Code ; Age Band Code ; Sex Code </v>
      </c>
      <c r="N671" s="297" t="s">
        <v>197</v>
      </c>
      <c r="O671" s="297" t="s">
        <v>198</v>
      </c>
      <c r="P671" s="297" t="s">
        <v>199</v>
      </c>
      <c r="Q671" s="297" t="s">
        <v>200</v>
      </c>
      <c r="R671" s="297" t="s">
        <v>213</v>
      </c>
      <c r="S671" s="297" t="s">
        <v>214</v>
      </c>
    </row>
    <row r="672" spans="1:19" x14ac:dyDescent="0.4">
      <c r="A672" s="291"/>
      <c r="B672" s="292"/>
      <c r="C672" s="312"/>
      <c r="D672" s="292"/>
      <c r="E672" s="489"/>
      <c r="F672" s="489"/>
      <c r="G672" s="490"/>
      <c r="H672" s="520"/>
      <c r="I672" s="523"/>
      <c r="J672" s="521"/>
      <c r="K672" s="522"/>
      <c r="M672" s="301" t="str">
        <f>N672&amp;AS[[#This Row],[Insurer Code]]&amp;"; "&amp;O672&amp;AS[[#This Row],[Reporting Year]]&amp;"; "&amp;P672&amp;AS[[#This Row],[Insurance Category Code]]&amp;"; "&amp;Q672&amp;AS[[#This Row],[Large Provider Entity Code]]&amp;"; "&amp;R672&amp;AS[[#This Row],[Age Band Code]]&amp;"; "&amp;S672&amp;AS[[#This Row],[Sex Code]]</f>
        <v xml:space="preserve">Insurer Code ; Reporting Year ; Insurance Category Code ; Large Provider Entity Code ; Age Band Code ; Sex Code </v>
      </c>
      <c r="N672" s="297" t="s">
        <v>197</v>
      </c>
      <c r="O672" s="297" t="s">
        <v>198</v>
      </c>
      <c r="P672" s="297" t="s">
        <v>199</v>
      </c>
      <c r="Q672" s="297" t="s">
        <v>200</v>
      </c>
      <c r="R672" s="297" t="s">
        <v>213</v>
      </c>
      <c r="S672" s="297" t="s">
        <v>214</v>
      </c>
    </row>
    <row r="673" spans="1:19" x14ac:dyDescent="0.4">
      <c r="A673" s="291"/>
      <c r="B673" s="292"/>
      <c r="C673" s="312"/>
      <c r="D673" s="292"/>
      <c r="E673" s="489"/>
      <c r="F673" s="489"/>
      <c r="G673" s="490"/>
      <c r="H673" s="520"/>
      <c r="I673" s="523"/>
      <c r="J673" s="521"/>
      <c r="K673" s="522"/>
      <c r="M673" s="301" t="str">
        <f>N673&amp;AS[[#This Row],[Insurer Code]]&amp;"; "&amp;O673&amp;AS[[#This Row],[Reporting Year]]&amp;"; "&amp;P673&amp;AS[[#This Row],[Insurance Category Code]]&amp;"; "&amp;Q673&amp;AS[[#This Row],[Large Provider Entity Code]]&amp;"; "&amp;R673&amp;AS[[#This Row],[Age Band Code]]&amp;"; "&amp;S673&amp;AS[[#This Row],[Sex Code]]</f>
        <v xml:space="preserve">Insurer Code ; Reporting Year ; Insurance Category Code ; Large Provider Entity Code ; Age Band Code ; Sex Code </v>
      </c>
      <c r="N673" s="297" t="s">
        <v>197</v>
      </c>
      <c r="O673" s="297" t="s">
        <v>198</v>
      </c>
      <c r="P673" s="297" t="s">
        <v>199</v>
      </c>
      <c r="Q673" s="297" t="s">
        <v>200</v>
      </c>
      <c r="R673" s="297" t="s">
        <v>213</v>
      </c>
      <c r="S673" s="297" t="s">
        <v>214</v>
      </c>
    </row>
    <row r="674" spans="1:19" x14ac:dyDescent="0.4">
      <c r="A674" s="291"/>
      <c r="B674" s="292"/>
      <c r="C674" s="312"/>
      <c r="D674" s="292"/>
      <c r="E674" s="489"/>
      <c r="F674" s="489"/>
      <c r="G674" s="490"/>
      <c r="H674" s="520"/>
      <c r="I674" s="523"/>
      <c r="J674" s="521"/>
      <c r="K674" s="522"/>
      <c r="M674" s="301" t="str">
        <f>N674&amp;AS[[#This Row],[Insurer Code]]&amp;"; "&amp;O674&amp;AS[[#This Row],[Reporting Year]]&amp;"; "&amp;P674&amp;AS[[#This Row],[Insurance Category Code]]&amp;"; "&amp;Q674&amp;AS[[#This Row],[Large Provider Entity Code]]&amp;"; "&amp;R674&amp;AS[[#This Row],[Age Band Code]]&amp;"; "&amp;S674&amp;AS[[#This Row],[Sex Code]]</f>
        <v xml:space="preserve">Insurer Code ; Reporting Year ; Insurance Category Code ; Large Provider Entity Code ; Age Band Code ; Sex Code </v>
      </c>
      <c r="N674" s="297" t="s">
        <v>197</v>
      </c>
      <c r="O674" s="297" t="s">
        <v>198</v>
      </c>
      <c r="P674" s="297" t="s">
        <v>199</v>
      </c>
      <c r="Q674" s="297" t="s">
        <v>200</v>
      </c>
      <c r="R674" s="297" t="s">
        <v>213</v>
      </c>
      <c r="S674" s="297" t="s">
        <v>214</v>
      </c>
    </row>
    <row r="675" spans="1:19" x14ac:dyDescent="0.4">
      <c r="A675" s="291"/>
      <c r="B675" s="292"/>
      <c r="C675" s="312"/>
      <c r="D675" s="292"/>
      <c r="E675" s="489"/>
      <c r="F675" s="489"/>
      <c r="G675" s="490"/>
      <c r="H675" s="520"/>
      <c r="I675" s="523"/>
      <c r="J675" s="521"/>
      <c r="K675" s="522"/>
      <c r="M675" s="301" t="str">
        <f>N675&amp;AS[[#This Row],[Insurer Code]]&amp;"; "&amp;O675&amp;AS[[#This Row],[Reporting Year]]&amp;"; "&amp;P675&amp;AS[[#This Row],[Insurance Category Code]]&amp;"; "&amp;Q675&amp;AS[[#This Row],[Large Provider Entity Code]]&amp;"; "&amp;R675&amp;AS[[#This Row],[Age Band Code]]&amp;"; "&amp;S675&amp;AS[[#This Row],[Sex Code]]</f>
        <v xml:space="preserve">Insurer Code ; Reporting Year ; Insurance Category Code ; Large Provider Entity Code ; Age Band Code ; Sex Code </v>
      </c>
      <c r="N675" s="297" t="s">
        <v>197</v>
      </c>
      <c r="O675" s="297" t="s">
        <v>198</v>
      </c>
      <c r="P675" s="297" t="s">
        <v>199</v>
      </c>
      <c r="Q675" s="297" t="s">
        <v>200</v>
      </c>
      <c r="R675" s="297" t="s">
        <v>213</v>
      </c>
      <c r="S675" s="297" t="s">
        <v>214</v>
      </c>
    </row>
    <row r="676" spans="1:19" x14ac:dyDescent="0.4">
      <c r="A676" s="291"/>
      <c r="B676" s="292"/>
      <c r="C676" s="312"/>
      <c r="D676" s="292"/>
      <c r="E676" s="489"/>
      <c r="F676" s="489"/>
      <c r="G676" s="490"/>
      <c r="H676" s="520"/>
      <c r="I676" s="523"/>
      <c r="J676" s="521"/>
      <c r="K676" s="522"/>
      <c r="M676" s="301" t="str">
        <f>N676&amp;AS[[#This Row],[Insurer Code]]&amp;"; "&amp;O676&amp;AS[[#This Row],[Reporting Year]]&amp;"; "&amp;P676&amp;AS[[#This Row],[Insurance Category Code]]&amp;"; "&amp;Q676&amp;AS[[#This Row],[Large Provider Entity Code]]&amp;"; "&amp;R676&amp;AS[[#This Row],[Age Band Code]]&amp;"; "&amp;S676&amp;AS[[#This Row],[Sex Code]]</f>
        <v xml:space="preserve">Insurer Code ; Reporting Year ; Insurance Category Code ; Large Provider Entity Code ; Age Band Code ; Sex Code </v>
      </c>
      <c r="N676" s="297" t="s">
        <v>197</v>
      </c>
      <c r="O676" s="297" t="s">
        <v>198</v>
      </c>
      <c r="P676" s="297" t="s">
        <v>199</v>
      </c>
      <c r="Q676" s="297" t="s">
        <v>200</v>
      </c>
      <c r="R676" s="297" t="s">
        <v>213</v>
      </c>
      <c r="S676" s="297" t="s">
        <v>214</v>
      </c>
    </row>
    <row r="677" spans="1:19" x14ac:dyDescent="0.4">
      <c r="A677" s="291"/>
      <c r="B677" s="292"/>
      <c r="C677" s="312"/>
      <c r="D677" s="292"/>
      <c r="E677" s="489"/>
      <c r="F677" s="489"/>
      <c r="G677" s="490"/>
      <c r="H677" s="520"/>
      <c r="I677" s="523"/>
      <c r="J677" s="521"/>
      <c r="K677" s="522"/>
      <c r="M677" s="301" t="str">
        <f>N677&amp;AS[[#This Row],[Insurer Code]]&amp;"; "&amp;O677&amp;AS[[#This Row],[Reporting Year]]&amp;"; "&amp;P677&amp;AS[[#This Row],[Insurance Category Code]]&amp;"; "&amp;Q677&amp;AS[[#This Row],[Large Provider Entity Code]]&amp;"; "&amp;R677&amp;AS[[#This Row],[Age Band Code]]&amp;"; "&amp;S677&amp;AS[[#This Row],[Sex Code]]</f>
        <v xml:space="preserve">Insurer Code ; Reporting Year ; Insurance Category Code ; Large Provider Entity Code ; Age Band Code ; Sex Code </v>
      </c>
      <c r="N677" s="297" t="s">
        <v>197</v>
      </c>
      <c r="O677" s="297" t="s">
        <v>198</v>
      </c>
      <c r="P677" s="297" t="s">
        <v>199</v>
      </c>
      <c r="Q677" s="297" t="s">
        <v>200</v>
      </c>
      <c r="R677" s="297" t="s">
        <v>213</v>
      </c>
      <c r="S677" s="297" t="s">
        <v>214</v>
      </c>
    </row>
    <row r="678" spans="1:19" x14ac:dyDescent="0.4">
      <c r="A678" s="291"/>
      <c r="B678" s="292"/>
      <c r="C678" s="312"/>
      <c r="D678" s="292"/>
      <c r="E678" s="489"/>
      <c r="F678" s="489"/>
      <c r="G678" s="490"/>
      <c r="H678" s="520"/>
      <c r="I678" s="523"/>
      <c r="J678" s="521"/>
      <c r="K678" s="522"/>
      <c r="M678" s="301" t="str">
        <f>N678&amp;AS[[#This Row],[Insurer Code]]&amp;"; "&amp;O678&amp;AS[[#This Row],[Reporting Year]]&amp;"; "&amp;P678&amp;AS[[#This Row],[Insurance Category Code]]&amp;"; "&amp;Q678&amp;AS[[#This Row],[Large Provider Entity Code]]&amp;"; "&amp;R678&amp;AS[[#This Row],[Age Band Code]]&amp;"; "&amp;S678&amp;AS[[#This Row],[Sex Code]]</f>
        <v xml:space="preserve">Insurer Code ; Reporting Year ; Insurance Category Code ; Large Provider Entity Code ; Age Band Code ; Sex Code </v>
      </c>
      <c r="N678" s="297" t="s">
        <v>197</v>
      </c>
      <c r="O678" s="297" t="s">
        <v>198</v>
      </c>
      <c r="P678" s="297" t="s">
        <v>199</v>
      </c>
      <c r="Q678" s="297" t="s">
        <v>200</v>
      </c>
      <c r="R678" s="297" t="s">
        <v>213</v>
      </c>
      <c r="S678" s="297" t="s">
        <v>214</v>
      </c>
    </row>
    <row r="679" spans="1:19" x14ac:dyDescent="0.4">
      <c r="A679" s="291"/>
      <c r="B679" s="292"/>
      <c r="C679" s="312"/>
      <c r="D679" s="292"/>
      <c r="E679" s="489"/>
      <c r="F679" s="489"/>
      <c r="G679" s="490"/>
      <c r="H679" s="520"/>
      <c r="I679" s="523"/>
      <c r="J679" s="521"/>
      <c r="K679" s="522"/>
      <c r="M679" s="301" t="str">
        <f>N679&amp;AS[[#This Row],[Insurer Code]]&amp;"; "&amp;O679&amp;AS[[#This Row],[Reporting Year]]&amp;"; "&amp;P679&amp;AS[[#This Row],[Insurance Category Code]]&amp;"; "&amp;Q679&amp;AS[[#This Row],[Large Provider Entity Code]]&amp;"; "&amp;R679&amp;AS[[#This Row],[Age Band Code]]&amp;"; "&amp;S679&amp;AS[[#This Row],[Sex Code]]</f>
        <v xml:space="preserve">Insurer Code ; Reporting Year ; Insurance Category Code ; Large Provider Entity Code ; Age Band Code ; Sex Code </v>
      </c>
      <c r="N679" s="297" t="s">
        <v>197</v>
      </c>
      <c r="O679" s="297" t="s">
        <v>198</v>
      </c>
      <c r="P679" s="297" t="s">
        <v>199</v>
      </c>
      <c r="Q679" s="297" t="s">
        <v>200</v>
      </c>
      <c r="R679" s="297" t="s">
        <v>213</v>
      </c>
      <c r="S679" s="297" t="s">
        <v>214</v>
      </c>
    </row>
    <row r="680" spans="1:19" x14ac:dyDescent="0.4">
      <c r="A680" s="291"/>
      <c r="B680" s="292"/>
      <c r="C680" s="312"/>
      <c r="D680" s="292"/>
      <c r="E680" s="489"/>
      <c r="F680" s="489"/>
      <c r="G680" s="490"/>
      <c r="H680" s="520"/>
      <c r="I680" s="523"/>
      <c r="J680" s="521"/>
      <c r="K680" s="522"/>
      <c r="M680" s="301" t="str">
        <f>N680&amp;AS[[#This Row],[Insurer Code]]&amp;"; "&amp;O680&amp;AS[[#This Row],[Reporting Year]]&amp;"; "&amp;P680&amp;AS[[#This Row],[Insurance Category Code]]&amp;"; "&amp;Q680&amp;AS[[#This Row],[Large Provider Entity Code]]&amp;"; "&amp;R680&amp;AS[[#This Row],[Age Band Code]]&amp;"; "&amp;S680&amp;AS[[#This Row],[Sex Code]]</f>
        <v xml:space="preserve">Insurer Code ; Reporting Year ; Insurance Category Code ; Large Provider Entity Code ; Age Band Code ; Sex Code </v>
      </c>
      <c r="N680" s="297" t="s">
        <v>197</v>
      </c>
      <c r="O680" s="297" t="s">
        <v>198</v>
      </c>
      <c r="P680" s="297" t="s">
        <v>199</v>
      </c>
      <c r="Q680" s="297" t="s">
        <v>200</v>
      </c>
      <c r="R680" s="297" t="s">
        <v>213</v>
      </c>
      <c r="S680" s="297" t="s">
        <v>214</v>
      </c>
    </row>
    <row r="681" spans="1:19" x14ac:dyDescent="0.4">
      <c r="A681" s="291"/>
      <c r="B681" s="292"/>
      <c r="C681" s="312"/>
      <c r="D681" s="292"/>
      <c r="E681" s="489"/>
      <c r="F681" s="489"/>
      <c r="G681" s="490"/>
      <c r="H681" s="520"/>
      <c r="I681" s="523"/>
      <c r="J681" s="521"/>
      <c r="K681" s="522"/>
      <c r="M681" s="301" t="str">
        <f>N681&amp;AS[[#This Row],[Insurer Code]]&amp;"; "&amp;O681&amp;AS[[#This Row],[Reporting Year]]&amp;"; "&amp;P681&amp;AS[[#This Row],[Insurance Category Code]]&amp;"; "&amp;Q681&amp;AS[[#This Row],[Large Provider Entity Code]]&amp;"; "&amp;R681&amp;AS[[#This Row],[Age Band Code]]&amp;"; "&amp;S681&amp;AS[[#This Row],[Sex Code]]</f>
        <v xml:space="preserve">Insurer Code ; Reporting Year ; Insurance Category Code ; Large Provider Entity Code ; Age Band Code ; Sex Code </v>
      </c>
      <c r="N681" s="297" t="s">
        <v>197</v>
      </c>
      <c r="O681" s="297" t="s">
        <v>198</v>
      </c>
      <c r="P681" s="297" t="s">
        <v>199</v>
      </c>
      <c r="Q681" s="297" t="s">
        <v>200</v>
      </c>
      <c r="R681" s="297" t="s">
        <v>213</v>
      </c>
      <c r="S681" s="297" t="s">
        <v>214</v>
      </c>
    </row>
    <row r="682" spans="1:19" x14ac:dyDescent="0.4">
      <c r="A682" s="291"/>
      <c r="B682" s="292"/>
      <c r="C682" s="312"/>
      <c r="D682" s="292"/>
      <c r="E682" s="489"/>
      <c r="F682" s="489"/>
      <c r="G682" s="490"/>
      <c r="H682" s="520"/>
      <c r="I682" s="523"/>
      <c r="J682" s="521"/>
      <c r="K682" s="522"/>
      <c r="M682" s="301" t="str">
        <f>N682&amp;AS[[#This Row],[Insurer Code]]&amp;"; "&amp;O682&amp;AS[[#This Row],[Reporting Year]]&amp;"; "&amp;P682&amp;AS[[#This Row],[Insurance Category Code]]&amp;"; "&amp;Q682&amp;AS[[#This Row],[Large Provider Entity Code]]&amp;"; "&amp;R682&amp;AS[[#This Row],[Age Band Code]]&amp;"; "&amp;S682&amp;AS[[#This Row],[Sex Code]]</f>
        <v xml:space="preserve">Insurer Code ; Reporting Year ; Insurance Category Code ; Large Provider Entity Code ; Age Band Code ; Sex Code </v>
      </c>
      <c r="N682" s="297" t="s">
        <v>197</v>
      </c>
      <c r="O682" s="297" t="s">
        <v>198</v>
      </c>
      <c r="P682" s="297" t="s">
        <v>199</v>
      </c>
      <c r="Q682" s="297" t="s">
        <v>200</v>
      </c>
      <c r="R682" s="297" t="s">
        <v>213</v>
      </c>
      <c r="S682" s="297" t="s">
        <v>214</v>
      </c>
    </row>
    <row r="683" spans="1:19" x14ac:dyDescent="0.4">
      <c r="A683" s="291"/>
      <c r="B683" s="292"/>
      <c r="C683" s="312"/>
      <c r="D683" s="292"/>
      <c r="E683" s="489"/>
      <c r="F683" s="489"/>
      <c r="G683" s="490"/>
      <c r="H683" s="520"/>
      <c r="I683" s="523"/>
      <c r="J683" s="521"/>
      <c r="K683" s="522"/>
      <c r="M683" s="301" t="str">
        <f>N683&amp;AS[[#This Row],[Insurer Code]]&amp;"; "&amp;O683&amp;AS[[#This Row],[Reporting Year]]&amp;"; "&amp;P683&amp;AS[[#This Row],[Insurance Category Code]]&amp;"; "&amp;Q683&amp;AS[[#This Row],[Large Provider Entity Code]]&amp;"; "&amp;R683&amp;AS[[#This Row],[Age Band Code]]&amp;"; "&amp;S683&amp;AS[[#This Row],[Sex Code]]</f>
        <v xml:space="preserve">Insurer Code ; Reporting Year ; Insurance Category Code ; Large Provider Entity Code ; Age Band Code ; Sex Code </v>
      </c>
      <c r="N683" s="297" t="s">
        <v>197</v>
      </c>
      <c r="O683" s="297" t="s">
        <v>198</v>
      </c>
      <c r="P683" s="297" t="s">
        <v>199</v>
      </c>
      <c r="Q683" s="297" t="s">
        <v>200</v>
      </c>
      <c r="R683" s="297" t="s">
        <v>213</v>
      </c>
      <c r="S683" s="297" t="s">
        <v>214</v>
      </c>
    </row>
    <row r="684" spans="1:19" x14ac:dyDescent="0.4">
      <c r="A684" s="291"/>
      <c r="B684" s="292"/>
      <c r="C684" s="312"/>
      <c r="D684" s="292"/>
      <c r="E684" s="489"/>
      <c r="F684" s="489"/>
      <c r="G684" s="490"/>
      <c r="H684" s="520"/>
      <c r="I684" s="523"/>
      <c r="J684" s="521"/>
      <c r="K684" s="522"/>
      <c r="M684" s="301" t="str">
        <f>N684&amp;AS[[#This Row],[Insurer Code]]&amp;"; "&amp;O684&amp;AS[[#This Row],[Reporting Year]]&amp;"; "&amp;P684&amp;AS[[#This Row],[Insurance Category Code]]&amp;"; "&amp;Q684&amp;AS[[#This Row],[Large Provider Entity Code]]&amp;"; "&amp;R684&amp;AS[[#This Row],[Age Band Code]]&amp;"; "&amp;S684&amp;AS[[#This Row],[Sex Code]]</f>
        <v xml:space="preserve">Insurer Code ; Reporting Year ; Insurance Category Code ; Large Provider Entity Code ; Age Band Code ; Sex Code </v>
      </c>
      <c r="N684" s="297" t="s">
        <v>197</v>
      </c>
      <c r="O684" s="297" t="s">
        <v>198</v>
      </c>
      <c r="P684" s="297" t="s">
        <v>199</v>
      </c>
      <c r="Q684" s="297" t="s">
        <v>200</v>
      </c>
      <c r="R684" s="297" t="s">
        <v>213</v>
      </c>
      <c r="S684" s="297" t="s">
        <v>214</v>
      </c>
    </row>
    <row r="685" spans="1:19" x14ac:dyDescent="0.4">
      <c r="A685" s="291"/>
      <c r="B685" s="292"/>
      <c r="C685" s="312"/>
      <c r="D685" s="292"/>
      <c r="E685" s="489"/>
      <c r="F685" s="489"/>
      <c r="G685" s="490"/>
      <c r="H685" s="520"/>
      <c r="I685" s="523"/>
      <c r="J685" s="521"/>
      <c r="K685" s="522"/>
      <c r="M685" s="301" t="str">
        <f>N685&amp;AS[[#This Row],[Insurer Code]]&amp;"; "&amp;O685&amp;AS[[#This Row],[Reporting Year]]&amp;"; "&amp;P685&amp;AS[[#This Row],[Insurance Category Code]]&amp;"; "&amp;Q685&amp;AS[[#This Row],[Large Provider Entity Code]]&amp;"; "&amp;R685&amp;AS[[#This Row],[Age Band Code]]&amp;"; "&amp;S685&amp;AS[[#This Row],[Sex Code]]</f>
        <v xml:space="preserve">Insurer Code ; Reporting Year ; Insurance Category Code ; Large Provider Entity Code ; Age Band Code ; Sex Code </v>
      </c>
      <c r="N685" s="297" t="s">
        <v>197</v>
      </c>
      <c r="O685" s="297" t="s">
        <v>198</v>
      </c>
      <c r="P685" s="297" t="s">
        <v>199</v>
      </c>
      <c r="Q685" s="297" t="s">
        <v>200</v>
      </c>
      <c r="R685" s="297" t="s">
        <v>213</v>
      </c>
      <c r="S685" s="297" t="s">
        <v>214</v>
      </c>
    </row>
    <row r="686" spans="1:19" x14ac:dyDescent="0.4">
      <c r="A686" s="291"/>
      <c r="B686" s="292"/>
      <c r="C686" s="312"/>
      <c r="D686" s="292"/>
      <c r="E686" s="489"/>
      <c r="F686" s="489"/>
      <c r="G686" s="490"/>
      <c r="H686" s="520"/>
      <c r="I686" s="523"/>
      <c r="J686" s="521"/>
      <c r="K686" s="522"/>
      <c r="M686" s="301" t="str">
        <f>N686&amp;AS[[#This Row],[Insurer Code]]&amp;"; "&amp;O686&amp;AS[[#This Row],[Reporting Year]]&amp;"; "&amp;P686&amp;AS[[#This Row],[Insurance Category Code]]&amp;"; "&amp;Q686&amp;AS[[#This Row],[Large Provider Entity Code]]&amp;"; "&amp;R686&amp;AS[[#This Row],[Age Band Code]]&amp;"; "&amp;S686&amp;AS[[#This Row],[Sex Code]]</f>
        <v xml:space="preserve">Insurer Code ; Reporting Year ; Insurance Category Code ; Large Provider Entity Code ; Age Band Code ; Sex Code </v>
      </c>
      <c r="N686" s="297" t="s">
        <v>197</v>
      </c>
      <c r="O686" s="297" t="s">
        <v>198</v>
      </c>
      <c r="P686" s="297" t="s">
        <v>199</v>
      </c>
      <c r="Q686" s="297" t="s">
        <v>200</v>
      </c>
      <c r="R686" s="297" t="s">
        <v>213</v>
      </c>
      <c r="S686" s="297" t="s">
        <v>214</v>
      </c>
    </row>
    <row r="687" spans="1:19" x14ac:dyDescent="0.4">
      <c r="A687" s="291"/>
      <c r="B687" s="292"/>
      <c r="C687" s="312"/>
      <c r="D687" s="292"/>
      <c r="E687" s="489"/>
      <c r="F687" s="489"/>
      <c r="G687" s="490"/>
      <c r="H687" s="520"/>
      <c r="I687" s="523"/>
      <c r="J687" s="521"/>
      <c r="K687" s="522"/>
      <c r="M687" s="301" t="str">
        <f>N687&amp;AS[[#This Row],[Insurer Code]]&amp;"; "&amp;O687&amp;AS[[#This Row],[Reporting Year]]&amp;"; "&amp;P687&amp;AS[[#This Row],[Insurance Category Code]]&amp;"; "&amp;Q687&amp;AS[[#This Row],[Large Provider Entity Code]]&amp;"; "&amp;R687&amp;AS[[#This Row],[Age Band Code]]&amp;"; "&amp;S687&amp;AS[[#This Row],[Sex Code]]</f>
        <v xml:space="preserve">Insurer Code ; Reporting Year ; Insurance Category Code ; Large Provider Entity Code ; Age Band Code ; Sex Code </v>
      </c>
      <c r="N687" s="297" t="s">
        <v>197</v>
      </c>
      <c r="O687" s="297" t="s">
        <v>198</v>
      </c>
      <c r="P687" s="297" t="s">
        <v>199</v>
      </c>
      <c r="Q687" s="297" t="s">
        <v>200</v>
      </c>
      <c r="R687" s="297" t="s">
        <v>213</v>
      </c>
      <c r="S687" s="297" t="s">
        <v>214</v>
      </c>
    </row>
    <row r="688" spans="1:19" x14ac:dyDescent="0.4">
      <c r="A688" s="291"/>
      <c r="B688" s="292"/>
      <c r="C688" s="312"/>
      <c r="D688" s="292"/>
      <c r="E688" s="489"/>
      <c r="F688" s="489"/>
      <c r="G688" s="490"/>
      <c r="H688" s="520"/>
      <c r="I688" s="523"/>
      <c r="J688" s="521"/>
      <c r="K688" s="522"/>
      <c r="M688" s="301" t="str">
        <f>N688&amp;AS[[#This Row],[Insurer Code]]&amp;"; "&amp;O688&amp;AS[[#This Row],[Reporting Year]]&amp;"; "&amp;P688&amp;AS[[#This Row],[Insurance Category Code]]&amp;"; "&amp;Q688&amp;AS[[#This Row],[Large Provider Entity Code]]&amp;"; "&amp;R688&amp;AS[[#This Row],[Age Band Code]]&amp;"; "&amp;S688&amp;AS[[#This Row],[Sex Code]]</f>
        <v xml:space="preserve">Insurer Code ; Reporting Year ; Insurance Category Code ; Large Provider Entity Code ; Age Band Code ; Sex Code </v>
      </c>
      <c r="N688" s="297" t="s">
        <v>197</v>
      </c>
      <c r="O688" s="297" t="s">
        <v>198</v>
      </c>
      <c r="P688" s="297" t="s">
        <v>199</v>
      </c>
      <c r="Q688" s="297" t="s">
        <v>200</v>
      </c>
      <c r="R688" s="297" t="s">
        <v>213</v>
      </c>
      <c r="S688" s="297" t="s">
        <v>214</v>
      </c>
    </row>
    <row r="689" spans="1:19" x14ac:dyDescent="0.4">
      <c r="A689" s="291"/>
      <c r="B689" s="292"/>
      <c r="C689" s="312"/>
      <c r="D689" s="292"/>
      <c r="E689" s="489"/>
      <c r="F689" s="489"/>
      <c r="G689" s="490"/>
      <c r="H689" s="520"/>
      <c r="I689" s="523"/>
      <c r="J689" s="521"/>
      <c r="K689" s="522"/>
      <c r="M689" s="301" t="str">
        <f>N689&amp;AS[[#This Row],[Insurer Code]]&amp;"; "&amp;O689&amp;AS[[#This Row],[Reporting Year]]&amp;"; "&amp;P689&amp;AS[[#This Row],[Insurance Category Code]]&amp;"; "&amp;Q689&amp;AS[[#This Row],[Large Provider Entity Code]]&amp;"; "&amp;R689&amp;AS[[#This Row],[Age Band Code]]&amp;"; "&amp;S689&amp;AS[[#This Row],[Sex Code]]</f>
        <v xml:space="preserve">Insurer Code ; Reporting Year ; Insurance Category Code ; Large Provider Entity Code ; Age Band Code ; Sex Code </v>
      </c>
      <c r="N689" s="297" t="s">
        <v>197</v>
      </c>
      <c r="O689" s="297" t="s">
        <v>198</v>
      </c>
      <c r="P689" s="297" t="s">
        <v>199</v>
      </c>
      <c r="Q689" s="297" t="s">
        <v>200</v>
      </c>
      <c r="R689" s="297" t="s">
        <v>213</v>
      </c>
      <c r="S689" s="297" t="s">
        <v>214</v>
      </c>
    </row>
    <row r="690" spans="1:19" x14ac:dyDescent="0.4">
      <c r="A690" s="291"/>
      <c r="B690" s="292"/>
      <c r="C690" s="312"/>
      <c r="D690" s="292"/>
      <c r="E690" s="489"/>
      <c r="F690" s="489"/>
      <c r="G690" s="490"/>
      <c r="H690" s="520"/>
      <c r="I690" s="523"/>
      <c r="J690" s="521"/>
      <c r="K690" s="522"/>
      <c r="M690" s="301" t="str">
        <f>N690&amp;AS[[#This Row],[Insurer Code]]&amp;"; "&amp;O690&amp;AS[[#This Row],[Reporting Year]]&amp;"; "&amp;P690&amp;AS[[#This Row],[Insurance Category Code]]&amp;"; "&amp;Q690&amp;AS[[#This Row],[Large Provider Entity Code]]&amp;"; "&amp;R690&amp;AS[[#This Row],[Age Band Code]]&amp;"; "&amp;S690&amp;AS[[#This Row],[Sex Code]]</f>
        <v xml:space="preserve">Insurer Code ; Reporting Year ; Insurance Category Code ; Large Provider Entity Code ; Age Band Code ; Sex Code </v>
      </c>
      <c r="N690" s="297" t="s">
        <v>197</v>
      </c>
      <c r="O690" s="297" t="s">
        <v>198</v>
      </c>
      <c r="P690" s="297" t="s">
        <v>199</v>
      </c>
      <c r="Q690" s="297" t="s">
        <v>200</v>
      </c>
      <c r="R690" s="297" t="s">
        <v>213</v>
      </c>
      <c r="S690" s="297" t="s">
        <v>214</v>
      </c>
    </row>
    <row r="691" spans="1:19" x14ac:dyDescent="0.4">
      <c r="A691" s="291"/>
      <c r="B691" s="292"/>
      <c r="C691" s="312"/>
      <c r="D691" s="292"/>
      <c r="E691" s="489"/>
      <c r="F691" s="489"/>
      <c r="G691" s="490"/>
      <c r="H691" s="520"/>
      <c r="I691" s="523"/>
      <c r="J691" s="521"/>
      <c r="K691" s="522"/>
      <c r="M691" s="301" t="str">
        <f>N691&amp;AS[[#This Row],[Insurer Code]]&amp;"; "&amp;O691&amp;AS[[#This Row],[Reporting Year]]&amp;"; "&amp;P691&amp;AS[[#This Row],[Insurance Category Code]]&amp;"; "&amp;Q691&amp;AS[[#This Row],[Large Provider Entity Code]]&amp;"; "&amp;R691&amp;AS[[#This Row],[Age Band Code]]&amp;"; "&amp;S691&amp;AS[[#This Row],[Sex Code]]</f>
        <v xml:space="preserve">Insurer Code ; Reporting Year ; Insurance Category Code ; Large Provider Entity Code ; Age Band Code ; Sex Code </v>
      </c>
      <c r="N691" s="297" t="s">
        <v>197</v>
      </c>
      <c r="O691" s="297" t="s">
        <v>198</v>
      </c>
      <c r="P691" s="297" t="s">
        <v>199</v>
      </c>
      <c r="Q691" s="297" t="s">
        <v>200</v>
      </c>
      <c r="R691" s="297" t="s">
        <v>213</v>
      </c>
      <c r="S691" s="297" t="s">
        <v>214</v>
      </c>
    </row>
    <row r="692" spans="1:19" x14ac:dyDescent="0.4">
      <c r="A692" s="291"/>
      <c r="B692" s="292"/>
      <c r="C692" s="312"/>
      <c r="D692" s="292"/>
      <c r="E692" s="489"/>
      <c r="F692" s="489"/>
      <c r="G692" s="490"/>
      <c r="H692" s="520"/>
      <c r="I692" s="523"/>
      <c r="J692" s="521"/>
      <c r="K692" s="522"/>
      <c r="M692" s="301" t="str">
        <f>N692&amp;AS[[#This Row],[Insurer Code]]&amp;"; "&amp;O692&amp;AS[[#This Row],[Reporting Year]]&amp;"; "&amp;P692&amp;AS[[#This Row],[Insurance Category Code]]&amp;"; "&amp;Q692&amp;AS[[#This Row],[Large Provider Entity Code]]&amp;"; "&amp;R692&amp;AS[[#This Row],[Age Band Code]]&amp;"; "&amp;S692&amp;AS[[#This Row],[Sex Code]]</f>
        <v xml:space="preserve">Insurer Code ; Reporting Year ; Insurance Category Code ; Large Provider Entity Code ; Age Band Code ; Sex Code </v>
      </c>
      <c r="N692" s="297" t="s">
        <v>197</v>
      </c>
      <c r="O692" s="297" t="s">
        <v>198</v>
      </c>
      <c r="P692" s="297" t="s">
        <v>199</v>
      </c>
      <c r="Q692" s="297" t="s">
        <v>200</v>
      </c>
      <c r="R692" s="297" t="s">
        <v>213</v>
      </c>
      <c r="S692" s="297" t="s">
        <v>214</v>
      </c>
    </row>
    <row r="693" spans="1:19" x14ac:dyDescent="0.4">
      <c r="A693" s="291"/>
      <c r="B693" s="292"/>
      <c r="C693" s="312"/>
      <c r="D693" s="292"/>
      <c r="E693" s="489"/>
      <c r="F693" s="489"/>
      <c r="G693" s="490"/>
      <c r="H693" s="520"/>
      <c r="I693" s="523"/>
      <c r="J693" s="521"/>
      <c r="K693" s="522"/>
      <c r="M693" s="301" t="str">
        <f>N693&amp;AS[[#This Row],[Insurer Code]]&amp;"; "&amp;O693&amp;AS[[#This Row],[Reporting Year]]&amp;"; "&amp;P693&amp;AS[[#This Row],[Insurance Category Code]]&amp;"; "&amp;Q693&amp;AS[[#This Row],[Large Provider Entity Code]]&amp;"; "&amp;R693&amp;AS[[#This Row],[Age Band Code]]&amp;"; "&amp;S693&amp;AS[[#This Row],[Sex Code]]</f>
        <v xml:space="preserve">Insurer Code ; Reporting Year ; Insurance Category Code ; Large Provider Entity Code ; Age Band Code ; Sex Code </v>
      </c>
      <c r="N693" s="297" t="s">
        <v>197</v>
      </c>
      <c r="O693" s="297" t="s">
        <v>198</v>
      </c>
      <c r="P693" s="297" t="s">
        <v>199</v>
      </c>
      <c r="Q693" s="297" t="s">
        <v>200</v>
      </c>
      <c r="R693" s="297" t="s">
        <v>213</v>
      </c>
      <c r="S693" s="297" t="s">
        <v>214</v>
      </c>
    </row>
    <row r="694" spans="1:19" x14ac:dyDescent="0.4">
      <c r="A694" s="291"/>
      <c r="B694" s="292"/>
      <c r="C694" s="312"/>
      <c r="D694" s="292"/>
      <c r="E694" s="489"/>
      <c r="F694" s="489"/>
      <c r="G694" s="490"/>
      <c r="H694" s="520"/>
      <c r="I694" s="523"/>
      <c r="J694" s="521"/>
      <c r="K694" s="522"/>
      <c r="M694" s="301" t="str">
        <f>N694&amp;AS[[#This Row],[Insurer Code]]&amp;"; "&amp;O694&amp;AS[[#This Row],[Reporting Year]]&amp;"; "&amp;P694&amp;AS[[#This Row],[Insurance Category Code]]&amp;"; "&amp;Q694&amp;AS[[#This Row],[Large Provider Entity Code]]&amp;"; "&amp;R694&amp;AS[[#This Row],[Age Band Code]]&amp;"; "&amp;S694&amp;AS[[#This Row],[Sex Code]]</f>
        <v xml:space="preserve">Insurer Code ; Reporting Year ; Insurance Category Code ; Large Provider Entity Code ; Age Band Code ; Sex Code </v>
      </c>
      <c r="N694" s="297" t="s">
        <v>197</v>
      </c>
      <c r="O694" s="297" t="s">
        <v>198</v>
      </c>
      <c r="P694" s="297" t="s">
        <v>199</v>
      </c>
      <c r="Q694" s="297" t="s">
        <v>200</v>
      </c>
      <c r="R694" s="297" t="s">
        <v>213</v>
      </c>
      <c r="S694" s="297" t="s">
        <v>214</v>
      </c>
    </row>
    <row r="695" spans="1:19" x14ac:dyDescent="0.4">
      <c r="A695" s="291"/>
      <c r="B695" s="292"/>
      <c r="C695" s="312"/>
      <c r="D695" s="292"/>
      <c r="E695" s="489"/>
      <c r="F695" s="489"/>
      <c r="G695" s="490"/>
      <c r="H695" s="520"/>
      <c r="I695" s="523"/>
      <c r="J695" s="521"/>
      <c r="K695" s="522"/>
      <c r="M695" s="301" t="str">
        <f>N695&amp;AS[[#This Row],[Insurer Code]]&amp;"; "&amp;O695&amp;AS[[#This Row],[Reporting Year]]&amp;"; "&amp;P695&amp;AS[[#This Row],[Insurance Category Code]]&amp;"; "&amp;Q695&amp;AS[[#This Row],[Large Provider Entity Code]]&amp;"; "&amp;R695&amp;AS[[#This Row],[Age Band Code]]&amp;"; "&amp;S695&amp;AS[[#This Row],[Sex Code]]</f>
        <v xml:space="preserve">Insurer Code ; Reporting Year ; Insurance Category Code ; Large Provider Entity Code ; Age Band Code ; Sex Code </v>
      </c>
      <c r="N695" s="297" t="s">
        <v>197</v>
      </c>
      <c r="O695" s="297" t="s">
        <v>198</v>
      </c>
      <c r="P695" s="297" t="s">
        <v>199</v>
      </c>
      <c r="Q695" s="297" t="s">
        <v>200</v>
      </c>
      <c r="R695" s="297" t="s">
        <v>213</v>
      </c>
      <c r="S695" s="297" t="s">
        <v>214</v>
      </c>
    </row>
    <row r="696" spans="1:19" x14ac:dyDescent="0.4">
      <c r="A696" s="291"/>
      <c r="B696" s="292"/>
      <c r="C696" s="312"/>
      <c r="D696" s="292"/>
      <c r="E696" s="489"/>
      <c r="F696" s="489"/>
      <c r="G696" s="490"/>
      <c r="H696" s="520"/>
      <c r="I696" s="523"/>
      <c r="J696" s="521"/>
      <c r="K696" s="522"/>
      <c r="M696" s="301" t="str">
        <f>N696&amp;AS[[#This Row],[Insurer Code]]&amp;"; "&amp;O696&amp;AS[[#This Row],[Reporting Year]]&amp;"; "&amp;P696&amp;AS[[#This Row],[Insurance Category Code]]&amp;"; "&amp;Q696&amp;AS[[#This Row],[Large Provider Entity Code]]&amp;"; "&amp;R696&amp;AS[[#This Row],[Age Band Code]]&amp;"; "&amp;S696&amp;AS[[#This Row],[Sex Code]]</f>
        <v xml:space="preserve">Insurer Code ; Reporting Year ; Insurance Category Code ; Large Provider Entity Code ; Age Band Code ; Sex Code </v>
      </c>
      <c r="N696" s="297" t="s">
        <v>197</v>
      </c>
      <c r="O696" s="297" t="s">
        <v>198</v>
      </c>
      <c r="P696" s="297" t="s">
        <v>199</v>
      </c>
      <c r="Q696" s="297" t="s">
        <v>200</v>
      </c>
      <c r="R696" s="297" t="s">
        <v>213</v>
      </c>
      <c r="S696" s="297" t="s">
        <v>214</v>
      </c>
    </row>
    <row r="697" spans="1:19" x14ac:dyDescent="0.4">
      <c r="A697" s="291"/>
      <c r="B697" s="292"/>
      <c r="C697" s="312"/>
      <c r="D697" s="292"/>
      <c r="E697" s="489"/>
      <c r="F697" s="489"/>
      <c r="G697" s="490"/>
      <c r="H697" s="520"/>
      <c r="I697" s="523"/>
      <c r="J697" s="521"/>
      <c r="K697" s="522"/>
      <c r="M697" s="301" t="str">
        <f>N697&amp;AS[[#This Row],[Insurer Code]]&amp;"; "&amp;O697&amp;AS[[#This Row],[Reporting Year]]&amp;"; "&amp;P697&amp;AS[[#This Row],[Insurance Category Code]]&amp;"; "&amp;Q697&amp;AS[[#This Row],[Large Provider Entity Code]]&amp;"; "&amp;R697&amp;AS[[#This Row],[Age Band Code]]&amp;"; "&amp;S697&amp;AS[[#This Row],[Sex Code]]</f>
        <v xml:space="preserve">Insurer Code ; Reporting Year ; Insurance Category Code ; Large Provider Entity Code ; Age Band Code ; Sex Code </v>
      </c>
      <c r="N697" s="297" t="s">
        <v>197</v>
      </c>
      <c r="O697" s="297" t="s">
        <v>198</v>
      </c>
      <c r="P697" s="297" t="s">
        <v>199</v>
      </c>
      <c r="Q697" s="297" t="s">
        <v>200</v>
      </c>
      <c r="R697" s="297" t="s">
        <v>213</v>
      </c>
      <c r="S697" s="297" t="s">
        <v>214</v>
      </c>
    </row>
    <row r="698" spans="1:19" x14ac:dyDescent="0.4">
      <c r="A698" s="291"/>
      <c r="B698" s="292"/>
      <c r="C698" s="312"/>
      <c r="D698" s="292"/>
      <c r="E698" s="489"/>
      <c r="F698" s="489"/>
      <c r="G698" s="490"/>
      <c r="H698" s="520"/>
      <c r="I698" s="523"/>
      <c r="J698" s="521"/>
      <c r="K698" s="522"/>
      <c r="M698" s="301" t="str">
        <f>N698&amp;AS[[#This Row],[Insurer Code]]&amp;"; "&amp;O698&amp;AS[[#This Row],[Reporting Year]]&amp;"; "&amp;P698&amp;AS[[#This Row],[Insurance Category Code]]&amp;"; "&amp;Q698&amp;AS[[#This Row],[Large Provider Entity Code]]&amp;"; "&amp;R698&amp;AS[[#This Row],[Age Band Code]]&amp;"; "&amp;S698&amp;AS[[#This Row],[Sex Code]]</f>
        <v xml:space="preserve">Insurer Code ; Reporting Year ; Insurance Category Code ; Large Provider Entity Code ; Age Band Code ; Sex Code </v>
      </c>
      <c r="N698" s="297" t="s">
        <v>197</v>
      </c>
      <c r="O698" s="297" t="s">
        <v>198</v>
      </c>
      <c r="P698" s="297" t="s">
        <v>199</v>
      </c>
      <c r="Q698" s="297" t="s">
        <v>200</v>
      </c>
      <c r="R698" s="297" t="s">
        <v>213</v>
      </c>
      <c r="S698" s="297" t="s">
        <v>214</v>
      </c>
    </row>
    <row r="699" spans="1:19" x14ac:dyDescent="0.4">
      <c r="A699" s="291"/>
      <c r="B699" s="292"/>
      <c r="C699" s="312"/>
      <c r="D699" s="292"/>
      <c r="E699" s="489"/>
      <c r="F699" s="489"/>
      <c r="G699" s="490"/>
      <c r="H699" s="520"/>
      <c r="I699" s="523"/>
      <c r="J699" s="521"/>
      <c r="K699" s="522"/>
      <c r="M699" s="301" t="str">
        <f>N699&amp;AS[[#This Row],[Insurer Code]]&amp;"; "&amp;O699&amp;AS[[#This Row],[Reporting Year]]&amp;"; "&amp;P699&amp;AS[[#This Row],[Insurance Category Code]]&amp;"; "&amp;Q699&amp;AS[[#This Row],[Large Provider Entity Code]]&amp;"; "&amp;R699&amp;AS[[#This Row],[Age Band Code]]&amp;"; "&amp;S699&amp;AS[[#This Row],[Sex Code]]</f>
        <v xml:space="preserve">Insurer Code ; Reporting Year ; Insurance Category Code ; Large Provider Entity Code ; Age Band Code ; Sex Code </v>
      </c>
      <c r="N699" s="297" t="s">
        <v>197</v>
      </c>
      <c r="O699" s="297" t="s">
        <v>198</v>
      </c>
      <c r="P699" s="297" t="s">
        <v>199</v>
      </c>
      <c r="Q699" s="297" t="s">
        <v>200</v>
      </c>
      <c r="R699" s="297" t="s">
        <v>213</v>
      </c>
      <c r="S699" s="297" t="s">
        <v>214</v>
      </c>
    </row>
    <row r="700" spans="1:19" x14ac:dyDescent="0.4">
      <c r="A700" s="291"/>
      <c r="B700" s="292"/>
      <c r="C700" s="312"/>
      <c r="D700" s="292"/>
      <c r="E700" s="489"/>
      <c r="F700" s="489"/>
      <c r="G700" s="490"/>
      <c r="H700" s="520"/>
      <c r="I700" s="523"/>
      <c r="J700" s="521"/>
      <c r="K700" s="522"/>
      <c r="M700" s="301" t="str">
        <f>N700&amp;AS[[#This Row],[Insurer Code]]&amp;"; "&amp;O700&amp;AS[[#This Row],[Reporting Year]]&amp;"; "&amp;P700&amp;AS[[#This Row],[Insurance Category Code]]&amp;"; "&amp;Q700&amp;AS[[#This Row],[Large Provider Entity Code]]&amp;"; "&amp;R700&amp;AS[[#This Row],[Age Band Code]]&amp;"; "&amp;S700&amp;AS[[#This Row],[Sex Code]]</f>
        <v xml:space="preserve">Insurer Code ; Reporting Year ; Insurance Category Code ; Large Provider Entity Code ; Age Band Code ; Sex Code </v>
      </c>
      <c r="N700" s="297" t="s">
        <v>197</v>
      </c>
      <c r="O700" s="297" t="s">
        <v>198</v>
      </c>
      <c r="P700" s="297" t="s">
        <v>199</v>
      </c>
      <c r="Q700" s="297" t="s">
        <v>200</v>
      </c>
      <c r="R700" s="297" t="s">
        <v>213</v>
      </c>
      <c r="S700" s="297" t="s">
        <v>214</v>
      </c>
    </row>
    <row r="701" spans="1:19" x14ac:dyDescent="0.4">
      <c r="A701" s="291"/>
      <c r="B701" s="292"/>
      <c r="C701" s="312"/>
      <c r="D701" s="292"/>
      <c r="E701" s="489"/>
      <c r="F701" s="489"/>
      <c r="G701" s="490"/>
      <c r="H701" s="520"/>
      <c r="I701" s="523"/>
      <c r="J701" s="521"/>
      <c r="K701" s="522"/>
      <c r="M701" s="301" t="str">
        <f>N701&amp;AS[[#This Row],[Insurer Code]]&amp;"; "&amp;O701&amp;AS[[#This Row],[Reporting Year]]&amp;"; "&amp;P701&amp;AS[[#This Row],[Insurance Category Code]]&amp;"; "&amp;Q701&amp;AS[[#This Row],[Large Provider Entity Code]]&amp;"; "&amp;R701&amp;AS[[#This Row],[Age Band Code]]&amp;"; "&amp;S701&amp;AS[[#This Row],[Sex Code]]</f>
        <v xml:space="preserve">Insurer Code ; Reporting Year ; Insurance Category Code ; Large Provider Entity Code ; Age Band Code ; Sex Code </v>
      </c>
      <c r="N701" s="297" t="s">
        <v>197</v>
      </c>
      <c r="O701" s="297" t="s">
        <v>198</v>
      </c>
      <c r="P701" s="297" t="s">
        <v>199</v>
      </c>
      <c r="Q701" s="297" t="s">
        <v>200</v>
      </c>
      <c r="R701" s="297" t="s">
        <v>213</v>
      </c>
      <c r="S701" s="297" t="s">
        <v>214</v>
      </c>
    </row>
    <row r="702" spans="1:19" x14ac:dyDescent="0.4">
      <c r="A702" s="291"/>
      <c r="B702" s="292"/>
      <c r="C702" s="312"/>
      <c r="D702" s="292"/>
      <c r="E702" s="489"/>
      <c r="F702" s="489"/>
      <c r="G702" s="490"/>
      <c r="H702" s="520"/>
      <c r="I702" s="523"/>
      <c r="J702" s="521"/>
      <c r="K702" s="522"/>
      <c r="M702" s="301" t="str">
        <f>N702&amp;AS[[#This Row],[Insurer Code]]&amp;"; "&amp;O702&amp;AS[[#This Row],[Reporting Year]]&amp;"; "&amp;P702&amp;AS[[#This Row],[Insurance Category Code]]&amp;"; "&amp;Q702&amp;AS[[#This Row],[Large Provider Entity Code]]&amp;"; "&amp;R702&amp;AS[[#This Row],[Age Band Code]]&amp;"; "&amp;S702&amp;AS[[#This Row],[Sex Code]]</f>
        <v xml:space="preserve">Insurer Code ; Reporting Year ; Insurance Category Code ; Large Provider Entity Code ; Age Band Code ; Sex Code </v>
      </c>
      <c r="N702" s="297" t="s">
        <v>197</v>
      </c>
      <c r="O702" s="297" t="s">
        <v>198</v>
      </c>
      <c r="P702" s="297" t="s">
        <v>199</v>
      </c>
      <c r="Q702" s="297" t="s">
        <v>200</v>
      </c>
      <c r="R702" s="297" t="s">
        <v>213</v>
      </c>
      <c r="S702" s="297" t="s">
        <v>214</v>
      </c>
    </row>
    <row r="703" spans="1:19" x14ac:dyDescent="0.4">
      <c r="A703" s="291"/>
      <c r="B703" s="292"/>
      <c r="C703" s="312"/>
      <c r="D703" s="292"/>
      <c r="E703" s="489"/>
      <c r="F703" s="489"/>
      <c r="G703" s="490"/>
      <c r="H703" s="520"/>
      <c r="I703" s="523"/>
      <c r="J703" s="521"/>
      <c r="K703" s="522"/>
      <c r="M703" s="301" t="str">
        <f>N703&amp;AS[[#This Row],[Insurer Code]]&amp;"; "&amp;O703&amp;AS[[#This Row],[Reporting Year]]&amp;"; "&amp;P703&amp;AS[[#This Row],[Insurance Category Code]]&amp;"; "&amp;Q703&amp;AS[[#This Row],[Large Provider Entity Code]]&amp;"; "&amp;R703&amp;AS[[#This Row],[Age Band Code]]&amp;"; "&amp;S703&amp;AS[[#This Row],[Sex Code]]</f>
        <v xml:space="preserve">Insurer Code ; Reporting Year ; Insurance Category Code ; Large Provider Entity Code ; Age Band Code ; Sex Code </v>
      </c>
      <c r="N703" s="297" t="s">
        <v>197</v>
      </c>
      <c r="O703" s="297" t="s">
        <v>198</v>
      </c>
      <c r="P703" s="297" t="s">
        <v>199</v>
      </c>
      <c r="Q703" s="297" t="s">
        <v>200</v>
      </c>
      <c r="R703" s="297" t="s">
        <v>213</v>
      </c>
      <c r="S703" s="297" t="s">
        <v>214</v>
      </c>
    </row>
    <row r="704" spans="1:19" x14ac:dyDescent="0.4">
      <c r="A704" s="291"/>
      <c r="B704" s="292"/>
      <c r="C704" s="312"/>
      <c r="D704" s="292"/>
      <c r="E704" s="489"/>
      <c r="F704" s="489"/>
      <c r="G704" s="490"/>
      <c r="H704" s="520"/>
      <c r="I704" s="523"/>
      <c r="J704" s="521"/>
      <c r="K704" s="522"/>
      <c r="M704" s="301" t="str">
        <f>N704&amp;AS[[#This Row],[Insurer Code]]&amp;"; "&amp;O704&amp;AS[[#This Row],[Reporting Year]]&amp;"; "&amp;P704&amp;AS[[#This Row],[Insurance Category Code]]&amp;"; "&amp;Q704&amp;AS[[#This Row],[Large Provider Entity Code]]&amp;"; "&amp;R704&amp;AS[[#This Row],[Age Band Code]]&amp;"; "&amp;S704&amp;AS[[#This Row],[Sex Code]]</f>
        <v xml:space="preserve">Insurer Code ; Reporting Year ; Insurance Category Code ; Large Provider Entity Code ; Age Band Code ; Sex Code </v>
      </c>
      <c r="N704" s="297" t="s">
        <v>197</v>
      </c>
      <c r="O704" s="297" t="s">
        <v>198</v>
      </c>
      <c r="P704" s="297" t="s">
        <v>199</v>
      </c>
      <c r="Q704" s="297" t="s">
        <v>200</v>
      </c>
      <c r="R704" s="297" t="s">
        <v>213</v>
      </c>
      <c r="S704" s="297" t="s">
        <v>214</v>
      </c>
    </row>
    <row r="705" spans="1:19" x14ac:dyDescent="0.4">
      <c r="A705" s="291"/>
      <c r="B705" s="292"/>
      <c r="C705" s="312"/>
      <c r="D705" s="292"/>
      <c r="E705" s="489"/>
      <c r="F705" s="489"/>
      <c r="G705" s="490"/>
      <c r="H705" s="520"/>
      <c r="I705" s="523"/>
      <c r="J705" s="521"/>
      <c r="K705" s="522"/>
      <c r="M705" s="301" t="str">
        <f>N705&amp;AS[[#This Row],[Insurer Code]]&amp;"; "&amp;O705&amp;AS[[#This Row],[Reporting Year]]&amp;"; "&amp;P705&amp;AS[[#This Row],[Insurance Category Code]]&amp;"; "&amp;Q705&amp;AS[[#This Row],[Large Provider Entity Code]]&amp;"; "&amp;R705&amp;AS[[#This Row],[Age Band Code]]&amp;"; "&amp;S705&amp;AS[[#This Row],[Sex Code]]</f>
        <v xml:space="preserve">Insurer Code ; Reporting Year ; Insurance Category Code ; Large Provider Entity Code ; Age Band Code ; Sex Code </v>
      </c>
      <c r="N705" s="297" t="s">
        <v>197</v>
      </c>
      <c r="O705" s="297" t="s">
        <v>198</v>
      </c>
      <c r="P705" s="297" t="s">
        <v>199</v>
      </c>
      <c r="Q705" s="297" t="s">
        <v>200</v>
      </c>
      <c r="R705" s="297" t="s">
        <v>213</v>
      </c>
      <c r="S705" s="297" t="s">
        <v>214</v>
      </c>
    </row>
    <row r="706" spans="1:19" x14ac:dyDescent="0.4">
      <c r="A706" s="291"/>
      <c r="B706" s="292"/>
      <c r="C706" s="312"/>
      <c r="D706" s="292"/>
      <c r="E706" s="489"/>
      <c r="F706" s="489"/>
      <c r="G706" s="490"/>
      <c r="H706" s="520"/>
      <c r="I706" s="523"/>
      <c r="J706" s="521"/>
      <c r="K706" s="522"/>
      <c r="M706" s="301" t="str">
        <f>N706&amp;AS[[#This Row],[Insurer Code]]&amp;"; "&amp;O706&amp;AS[[#This Row],[Reporting Year]]&amp;"; "&amp;P706&amp;AS[[#This Row],[Insurance Category Code]]&amp;"; "&amp;Q706&amp;AS[[#This Row],[Large Provider Entity Code]]&amp;"; "&amp;R706&amp;AS[[#This Row],[Age Band Code]]&amp;"; "&amp;S706&amp;AS[[#This Row],[Sex Code]]</f>
        <v xml:space="preserve">Insurer Code ; Reporting Year ; Insurance Category Code ; Large Provider Entity Code ; Age Band Code ; Sex Code </v>
      </c>
      <c r="N706" s="297" t="s">
        <v>197</v>
      </c>
      <c r="O706" s="297" t="s">
        <v>198</v>
      </c>
      <c r="P706" s="297" t="s">
        <v>199</v>
      </c>
      <c r="Q706" s="297" t="s">
        <v>200</v>
      </c>
      <c r="R706" s="297" t="s">
        <v>213</v>
      </c>
      <c r="S706" s="297" t="s">
        <v>214</v>
      </c>
    </row>
    <row r="707" spans="1:19" x14ac:dyDescent="0.4">
      <c r="A707" s="291"/>
      <c r="B707" s="292"/>
      <c r="C707" s="312"/>
      <c r="D707" s="292"/>
      <c r="E707" s="489"/>
      <c r="F707" s="489"/>
      <c r="G707" s="490"/>
      <c r="H707" s="520"/>
      <c r="I707" s="523"/>
      <c r="J707" s="521"/>
      <c r="K707" s="522"/>
      <c r="M707" s="301" t="str">
        <f>N707&amp;AS[[#This Row],[Insurer Code]]&amp;"; "&amp;O707&amp;AS[[#This Row],[Reporting Year]]&amp;"; "&amp;P707&amp;AS[[#This Row],[Insurance Category Code]]&amp;"; "&amp;Q707&amp;AS[[#This Row],[Large Provider Entity Code]]&amp;"; "&amp;R707&amp;AS[[#This Row],[Age Band Code]]&amp;"; "&amp;S707&amp;AS[[#This Row],[Sex Code]]</f>
        <v xml:space="preserve">Insurer Code ; Reporting Year ; Insurance Category Code ; Large Provider Entity Code ; Age Band Code ; Sex Code </v>
      </c>
      <c r="N707" s="297" t="s">
        <v>197</v>
      </c>
      <c r="O707" s="297" t="s">
        <v>198</v>
      </c>
      <c r="P707" s="297" t="s">
        <v>199</v>
      </c>
      <c r="Q707" s="297" t="s">
        <v>200</v>
      </c>
      <c r="R707" s="297" t="s">
        <v>213</v>
      </c>
      <c r="S707" s="297" t="s">
        <v>214</v>
      </c>
    </row>
    <row r="708" spans="1:19" x14ac:dyDescent="0.4">
      <c r="A708" s="291"/>
      <c r="B708" s="292"/>
      <c r="C708" s="312"/>
      <c r="D708" s="292"/>
      <c r="E708" s="489"/>
      <c r="F708" s="489"/>
      <c r="G708" s="490"/>
      <c r="H708" s="520"/>
      <c r="I708" s="523"/>
      <c r="J708" s="521"/>
      <c r="K708" s="522"/>
      <c r="M708" s="301" t="str">
        <f>N708&amp;AS[[#This Row],[Insurer Code]]&amp;"; "&amp;O708&amp;AS[[#This Row],[Reporting Year]]&amp;"; "&amp;P708&amp;AS[[#This Row],[Insurance Category Code]]&amp;"; "&amp;Q708&amp;AS[[#This Row],[Large Provider Entity Code]]&amp;"; "&amp;R708&amp;AS[[#This Row],[Age Band Code]]&amp;"; "&amp;S708&amp;AS[[#This Row],[Sex Code]]</f>
        <v xml:space="preserve">Insurer Code ; Reporting Year ; Insurance Category Code ; Large Provider Entity Code ; Age Band Code ; Sex Code </v>
      </c>
      <c r="N708" s="297" t="s">
        <v>197</v>
      </c>
      <c r="O708" s="297" t="s">
        <v>198</v>
      </c>
      <c r="P708" s="297" t="s">
        <v>199</v>
      </c>
      <c r="Q708" s="297" t="s">
        <v>200</v>
      </c>
      <c r="R708" s="297" t="s">
        <v>213</v>
      </c>
      <c r="S708" s="297" t="s">
        <v>214</v>
      </c>
    </row>
    <row r="709" spans="1:19" x14ac:dyDescent="0.4">
      <c r="A709" s="291"/>
      <c r="B709" s="292"/>
      <c r="C709" s="312"/>
      <c r="D709" s="292"/>
      <c r="E709" s="489"/>
      <c r="F709" s="489"/>
      <c r="G709" s="490"/>
      <c r="H709" s="520"/>
      <c r="I709" s="523"/>
      <c r="J709" s="521"/>
      <c r="K709" s="522"/>
      <c r="M709" s="301" t="str">
        <f>N709&amp;AS[[#This Row],[Insurer Code]]&amp;"; "&amp;O709&amp;AS[[#This Row],[Reporting Year]]&amp;"; "&amp;P709&amp;AS[[#This Row],[Insurance Category Code]]&amp;"; "&amp;Q709&amp;AS[[#This Row],[Large Provider Entity Code]]&amp;"; "&amp;R709&amp;AS[[#This Row],[Age Band Code]]&amp;"; "&amp;S709&amp;AS[[#This Row],[Sex Code]]</f>
        <v xml:space="preserve">Insurer Code ; Reporting Year ; Insurance Category Code ; Large Provider Entity Code ; Age Band Code ; Sex Code </v>
      </c>
      <c r="N709" s="297" t="s">
        <v>197</v>
      </c>
      <c r="O709" s="297" t="s">
        <v>198</v>
      </c>
      <c r="P709" s="297" t="s">
        <v>199</v>
      </c>
      <c r="Q709" s="297" t="s">
        <v>200</v>
      </c>
      <c r="R709" s="297" t="s">
        <v>213</v>
      </c>
      <c r="S709" s="297" t="s">
        <v>214</v>
      </c>
    </row>
    <row r="710" spans="1:19" x14ac:dyDescent="0.4">
      <c r="A710" s="291"/>
      <c r="B710" s="292"/>
      <c r="C710" s="312"/>
      <c r="D710" s="292"/>
      <c r="E710" s="489"/>
      <c r="F710" s="489"/>
      <c r="G710" s="490"/>
      <c r="H710" s="520"/>
      <c r="I710" s="523"/>
      <c r="J710" s="521"/>
      <c r="K710" s="522"/>
      <c r="M710" s="301" t="str">
        <f>N710&amp;AS[[#This Row],[Insurer Code]]&amp;"; "&amp;O710&amp;AS[[#This Row],[Reporting Year]]&amp;"; "&amp;P710&amp;AS[[#This Row],[Insurance Category Code]]&amp;"; "&amp;Q710&amp;AS[[#This Row],[Large Provider Entity Code]]&amp;"; "&amp;R710&amp;AS[[#This Row],[Age Band Code]]&amp;"; "&amp;S710&amp;AS[[#This Row],[Sex Code]]</f>
        <v xml:space="preserve">Insurer Code ; Reporting Year ; Insurance Category Code ; Large Provider Entity Code ; Age Band Code ; Sex Code </v>
      </c>
      <c r="N710" s="297" t="s">
        <v>197</v>
      </c>
      <c r="O710" s="297" t="s">
        <v>198</v>
      </c>
      <c r="P710" s="297" t="s">
        <v>199</v>
      </c>
      <c r="Q710" s="297" t="s">
        <v>200</v>
      </c>
      <c r="R710" s="297" t="s">
        <v>213</v>
      </c>
      <c r="S710" s="297" t="s">
        <v>214</v>
      </c>
    </row>
    <row r="711" spans="1:19" x14ac:dyDescent="0.4">
      <c r="A711" s="291"/>
      <c r="B711" s="292"/>
      <c r="C711" s="312"/>
      <c r="D711" s="292"/>
      <c r="E711" s="489"/>
      <c r="F711" s="489"/>
      <c r="G711" s="490"/>
      <c r="H711" s="520"/>
      <c r="I711" s="523"/>
      <c r="J711" s="521"/>
      <c r="K711" s="522"/>
      <c r="M711" s="301" t="str">
        <f>N711&amp;AS[[#This Row],[Insurer Code]]&amp;"; "&amp;O711&amp;AS[[#This Row],[Reporting Year]]&amp;"; "&amp;P711&amp;AS[[#This Row],[Insurance Category Code]]&amp;"; "&amp;Q711&amp;AS[[#This Row],[Large Provider Entity Code]]&amp;"; "&amp;R711&amp;AS[[#This Row],[Age Band Code]]&amp;"; "&amp;S711&amp;AS[[#This Row],[Sex Code]]</f>
        <v xml:space="preserve">Insurer Code ; Reporting Year ; Insurance Category Code ; Large Provider Entity Code ; Age Band Code ; Sex Code </v>
      </c>
      <c r="N711" s="297" t="s">
        <v>197</v>
      </c>
      <c r="O711" s="297" t="s">
        <v>198</v>
      </c>
      <c r="P711" s="297" t="s">
        <v>199</v>
      </c>
      <c r="Q711" s="297" t="s">
        <v>200</v>
      </c>
      <c r="R711" s="297" t="s">
        <v>213</v>
      </c>
      <c r="S711" s="297" t="s">
        <v>214</v>
      </c>
    </row>
    <row r="712" spans="1:19" x14ac:dyDescent="0.4">
      <c r="A712" s="291"/>
      <c r="B712" s="292"/>
      <c r="C712" s="312"/>
      <c r="D712" s="292"/>
      <c r="E712" s="489"/>
      <c r="F712" s="489"/>
      <c r="G712" s="490"/>
      <c r="H712" s="520"/>
      <c r="I712" s="523"/>
      <c r="J712" s="521"/>
      <c r="K712" s="522"/>
      <c r="M712" s="301" t="str">
        <f>N712&amp;AS[[#This Row],[Insurer Code]]&amp;"; "&amp;O712&amp;AS[[#This Row],[Reporting Year]]&amp;"; "&amp;P712&amp;AS[[#This Row],[Insurance Category Code]]&amp;"; "&amp;Q712&amp;AS[[#This Row],[Large Provider Entity Code]]&amp;"; "&amp;R712&amp;AS[[#This Row],[Age Band Code]]&amp;"; "&amp;S712&amp;AS[[#This Row],[Sex Code]]</f>
        <v xml:space="preserve">Insurer Code ; Reporting Year ; Insurance Category Code ; Large Provider Entity Code ; Age Band Code ; Sex Code </v>
      </c>
      <c r="N712" s="297" t="s">
        <v>197</v>
      </c>
      <c r="O712" s="297" t="s">
        <v>198</v>
      </c>
      <c r="P712" s="297" t="s">
        <v>199</v>
      </c>
      <c r="Q712" s="297" t="s">
        <v>200</v>
      </c>
      <c r="R712" s="297" t="s">
        <v>213</v>
      </c>
      <c r="S712" s="297" t="s">
        <v>214</v>
      </c>
    </row>
    <row r="713" spans="1:19" x14ac:dyDescent="0.4">
      <c r="A713" s="291"/>
      <c r="B713" s="292"/>
      <c r="C713" s="312"/>
      <c r="D713" s="292"/>
      <c r="E713" s="489"/>
      <c r="F713" s="489"/>
      <c r="G713" s="490"/>
      <c r="H713" s="520"/>
      <c r="I713" s="523"/>
      <c r="J713" s="521"/>
      <c r="K713" s="522"/>
      <c r="M713" s="301" t="str">
        <f>N713&amp;AS[[#This Row],[Insurer Code]]&amp;"; "&amp;O713&amp;AS[[#This Row],[Reporting Year]]&amp;"; "&amp;P713&amp;AS[[#This Row],[Insurance Category Code]]&amp;"; "&amp;Q713&amp;AS[[#This Row],[Large Provider Entity Code]]&amp;"; "&amp;R713&amp;AS[[#This Row],[Age Band Code]]&amp;"; "&amp;S713&amp;AS[[#This Row],[Sex Code]]</f>
        <v xml:space="preserve">Insurer Code ; Reporting Year ; Insurance Category Code ; Large Provider Entity Code ; Age Band Code ; Sex Code </v>
      </c>
      <c r="N713" s="297" t="s">
        <v>197</v>
      </c>
      <c r="O713" s="297" t="s">
        <v>198</v>
      </c>
      <c r="P713" s="297" t="s">
        <v>199</v>
      </c>
      <c r="Q713" s="297" t="s">
        <v>200</v>
      </c>
      <c r="R713" s="297" t="s">
        <v>213</v>
      </c>
      <c r="S713" s="297" t="s">
        <v>214</v>
      </c>
    </row>
    <row r="714" spans="1:19" x14ac:dyDescent="0.4">
      <c r="A714" s="291"/>
      <c r="B714" s="292"/>
      <c r="C714" s="312"/>
      <c r="D714" s="292"/>
      <c r="E714" s="489"/>
      <c r="F714" s="489"/>
      <c r="G714" s="490"/>
      <c r="H714" s="520"/>
      <c r="I714" s="523"/>
      <c r="J714" s="521"/>
      <c r="K714" s="522"/>
      <c r="M714" s="301" t="str">
        <f>N714&amp;AS[[#This Row],[Insurer Code]]&amp;"; "&amp;O714&amp;AS[[#This Row],[Reporting Year]]&amp;"; "&amp;P714&amp;AS[[#This Row],[Insurance Category Code]]&amp;"; "&amp;Q714&amp;AS[[#This Row],[Large Provider Entity Code]]&amp;"; "&amp;R714&amp;AS[[#This Row],[Age Band Code]]&amp;"; "&amp;S714&amp;AS[[#This Row],[Sex Code]]</f>
        <v xml:space="preserve">Insurer Code ; Reporting Year ; Insurance Category Code ; Large Provider Entity Code ; Age Band Code ; Sex Code </v>
      </c>
      <c r="N714" s="297" t="s">
        <v>197</v>
      </c>
      <c r="O714" s="297" t="s">
        <v>198</v>
      </c>
      <c r="P714" s="297" t="s">
        <v>199</v>
      </c>
      <c r="Q714" s="297" t="s">
        <v>200</v>
      </c>
      <c r="R714" s="297" t="s">
        <v>213</v>
      </c>
      <c r="S714" s="297" t="s">
        <v>214</v>
      </c>
    </row>
    <row r="715" spans="1:19" x14ac:dyDescent="0.4">
      <c r="A715" s="291"/>
      <c r="B715" s="292"/>
      <c r="C715" s="312"/>
      <c r="D715" s="292"/>
      <c r="E715" s="489"/>
      <c r="F715" s="489"/>
      <c r="G715" s="490"/>
      <c r="H715" s="520"/>
      <c r="I715" s="523"/>
      <c r="J715" s="521"/>
      <c r="K715" s="522"/>
      <c r="M715" s="301" t="str">
        <f>N715&amp;AS[[#This Row],[Insurer Code]]&amp;"; "&amp;O715&amp;AS[[#This Row],[Reporting Year]]&amp;"; "&amp;P715&amp;AS[[#This Row],[Insurance Category Code]]&amp;"; "&amp;Q715&amp;AS[[#This Row],[Large Provider Entity Code]]&amp;"; "&amp;R715&amp;AS[[#This Row],[Age Band Code]]&amp;"; "&amp;S715&amp;AS[[#This Row],[Sex Code]]</f>
        <v xml:space="preserve">Insurer Code ; Reporting Year ; Insurance Category Code ; Large Provider Entity Code ; Age Band Code ; Sex Code </v>
      </c>
      <c r="N715" s="297" t="s">
        <v>197</v>
      </c>
      <c r="O715" s="297" t="s">
        <v>198</v>
      </c>
      <c r="P715" s="297" t="s">
        <v>199</v>
      </c>
      <c r="Q715" s="297" t="s">
        <v>200</v>
      </c>
      <c r="R715" s="297" t="s">
        <v>213</v>
      </c>
      <c r="S715" s="297" t="s">
        <v>214</v>
      </c>
    </row>
    <row r="716" spans="1:19" x14ac:dyDescent="0.4">
      <c r="A716" s="291"/>
      <c r="B716" s="292"/>
      <c r="C716" s="312"/>
      <c r="D716" s="292"/>
      <c r="E716" s="489"/>
      <c r="F716" s="489"/>
      <c r="G716" s="490"/>
      <c r="H716" s="520"/>
      <c r="I716" s="523"/>
      <c r="J716" s="521"/>
      <c r="K716" s="522"/>
      <c r="M716" s="301" t="str">
        <f>N716&amp;AS[[#This Row],[Insurer Code]]&amp;"; "&amp;O716&amp;AS[[#This Row],[Reporting Year]]&amp;"; "&amp;P716&amp;AS[[#This Row],[Insurance Category Code]]&amp;"; "&amp;Q716&amp;AS[[#This Row],[Large Provider Entity Code]]&amp;"; "&amp;R716&amp;AS[[#This Row],[Age Band Code]]&amp;"; "&amp;S716&amp;AS[[#This Row],[Sex Code]]</f>
        <v xml:space="preserve">Insurer Code ; Reporting Year ; Insurance Category Code ; Large Provider Entity Code ; Age Band Code ; Sex Code </v>
      </c>
      <c r="N716" s="297" t="s">
        <v>197</v>
      </c>
      <c r="O716" s="297" t="s">
        <v>198</v>
      </c>
      <c r="P716" s="297" t="s">
        <v>199</v>
      </c>
      <c r="Q716" s="297" t="s">
        <v>200</v>
      </c>
      <c r="R716" s="297" t="s">
        <v>213</v>
      </c>
      <c r="S716" s="297" t="s">
        <v>214</v>
      </c>
    </row>
    <row r="717" spans="1:19" x14ac:dyDescent="0.4">
      <c r="A717" s="291"/>
      <c r="B717" s="292"/>
      <c r="C717" s="312"/>
      <c r="D717" s="292"/>
      <c r="E717" s="489"/>
      <c r="F717" s="489"/>
      <c r="G717" s="490"/>
      <c r="H717" s="520"/>
      <c r="I717" s="523"/>
      <c r="J717" s="521"/>
      <c r="K717" s="522"/>
      <c r="M717" s="301" t="str">
        <f>N717&amp;AS[[#This Row],[Insurer Code]]&amp;"; "&amp;O717&amp;AS[[#This Row],[Reporting Year]]&amp;"; "&amp;P717&amp;AS[[#This Row],[Insurance Category Code]]&amp;"; "&amp;Q717&amp;AS[[#This Row],[Large Provider Entity Code]]&amp;"; "&amp;R717&amp;AS[[#This Row],[Age Band Code]]&amp;"; "&amp;S717&amp;AS[[#This Row],[Sex Code]]</f>
        <v xml:space="preserve">Insurer Code ; Reporting Year ; Insurance Category Code ; Large Provider Entity Code ; Age Band Code ; Sex Code </v>
      </c>
      <c r="N717" s="297" t="s">
        <v>197</v>
      </c>
      <c r="O717" s="297" t="s">
        <v>198</v>
      </c>
      <c r="P717" s="297" t="s">
        <v>199</v>
      </c>
      <c r="Q717" s="297" t="s">
        <v>200</v>
      </c>
      <c r="R717" s="297" t="s">
        <v>213</v>
      </c>
      <c r="S717" s="297" t="s">
        <v>214</v>
      </c>
    </row>
    <row r="718" spans="1:19" x14ac:dyDescent="0.4">
      <c r="A718" s="291"/>
      <c r="B718" s="292"/>
      <c r="C718" s="312"/>
      <c r="D718" s="292"/>
      <c r="E718" s="489"/>
      <c r="F718" s="489"/>
      <c r="G718" s="490"/>
      <c r="H718" s="520"/>
      <c r="I718" s="523"/>
      <c r="J718" s="521"/>
      <c r="K718" s="522"/>
      <c r="M718" s="301" t="str">
        <f>N718&amp;AS[[#This Row],[Insurer Code]]&amp;"; "&amp;O718&amp;AS[[#This Row],[Reporting Year]]&amp;"; "&amp;P718&amp;AS[[#This Row],[Insurance Category Code]]&amp;"; "&amp;Q718&amp;AS[[#This Row],[Large Provider Entity Code]]&amp;"; "&amp;R718&amp;AS[[#This Row],[Age Band Code]]&amp;"; "&amp;S718&amp;AS[[#This Row],[Sex Code]]</f>
        <v xml:space="preserve">Insurer Code ; Reporting Year ; Insurance Category Code ; Large Provider Entity Code ; Age Band Code ; Sex Code </v>
      </c>
      <c r="N718" s="297" t="s">
        <v>197</v>
      </c>
      <c r="O718" s="297" t="s">
        <v>198</v>
      </c>
      <c r="P718" s="297" t="s">
        <v>199</v>
      </c>
      <c r="Q718" s="297" t="s">
        <v>200</v>
      </c>
      <c r="R718" s="297" t="s">
        <v>213</v>
      </c>
      <c r="S718" s="297" t="s">
        <v>214</v>
      </c>
    </row>
    <row r="719" spans="1:19" x14ac:dyDescent="0.4">
      <c r="A719" s="291"/>
      <c r="B719" s="292"/>
      <c r="C719" s="312"/>
      <c r="D719" s="292"/>
      <c r="E719" s="489"/>
      <c r="F719" s="489"/>
      <c r="G719" s="490"/>
      <c r="H719" s="520"/>
      <c r="I719" s="523"/>
      <c r="J719" s="521"/>
      <c r="K719" s="522"/>
      <c r="M719" s="301" t="str">
        <f>N719&amp;AS[[#This Row],[Insurer Code]]&amp;"; "&amp;O719&amp;AS[[#This Row],[Reporting Year]]&amp;"; "&amp;P719&amp;AS[[#This Row],[Insurance Category Code]]&amp;"; "&amp;Q719&amp;AS[[#This Row],[Large Provider Entity Code]]&amp;"; "&amp;R719&amp;AS[[#This Row],[Age Band Code]]&amp;"; "&amp;S719&amp;AS[[#This Row],[Sex Code]]</f>
        <v xml:space="preserve">Insurer Code ; Reporting Year ; Insurance Category Code ; Large Provider Entity Code ; Age Band Code ; Sex Code </v>
      </c>
      <c r="N719" s="297" t="s">
        <v>197</v>
      </c>
      <c r="O719" s="297" t="s">
        <v>198</v>
      </c>
      <c r="P719" s="297" t="s">
        <v>199</v>
      </c>
      <c r="Q719" s="297" t="s">
        <v>200</v>
      </c>
      <c r="R719" s="297" t="s">
        <v>213</v>
      </c>
      <c r="S719" s="297" t="s">
        <v>214</v>
      </c>
    </row>
    <row r="720" spans="1:19" x14ac:dyDescent="0.4">
      <c r="A720" s="291"/>
      <c r="B720" s="292"/>
      <c r="C720" s="312"/>
      <c r="D720" s="292"/>
      <c r="E720" s="489"/>
      <c r="F720" s="489"/>
      <c r="G720" s="490"/>
      <c r="H720" s="520"/>
      <c r="I720" s="523"/>
      <c r="J720" s="521"/>
      <c r="K720" s="522"/>
      <c r="M720" s="301" t="str">
        <f>N720&amp;AS[[#This Row],[Insurer Code]]&amp;"; "&amp;O720&amp;AS[[#This Row],[Reporting Year]]&amp;"; "&amp;P720&amp;AS[[#This Row],[Insurance Category Code]]&amp;"; "&amp;Q720&amp;AS[[#This Row],[Large Provider Entity Code]]&amp;"; "&amp;R720&amp;AS[[#This Row],[Age Band Code]]&amp;"; "&amp;S720&amp;AS[[#This Row],[Sex Code]]</f>
        <v xml:space="preserve">Insurer Code ; Reporting Year ; Insurance Category Code ; Large Provider Entity Code ; Age Band Code ; Sex Code </v>
      </c>
      <c r="N720" s="297" t="s">
        <v>197</v>
      </c>
      <c r="O720" s="297" t="s">
        <v>198</v>
      </c>
      <c r="P720" s="297" t="s">
        <v>199</v>
      </c>
      <c r="Q720" s="297" t="s">
        <v>200</v>
      </c>
      <c r="R720" s="297" t="s">
        <v>213</v>
      </c>
      <c r="S720" s="297" t="s">
        <v>214</v>
      </c>
    </row>
    <row r="721" spans="1:19" x14ac:dyDescent="0.4">
      <c r="A721" s="291"/>
      <c r="B721" s="292"/>
      <c r="C721" s="312"/>
      <c r="D721" s="292"/>
      <c r="E721" s="489"/>
      <c r="F721" s="489"/>
      <c r="G721" s="490"/>
      <c r="H721" s="520"/>
      <c r="I721" s="523"/>
      <c r="J721" s="521"/>
      <c r="K721" s="522"/>
      <c r="M721" s="301" t="str">
        <f>N721&amp;AS[[#This Row],[Insurer Code]]&amp;"; "&amp;O721&amp;AS[[#This Row],[Reporting Year]]&amp;"; "&amp;P721&amp;AS[[#This Row],[Insurance Category Code]]&amp;"; "&amp;Q721&amp;AS[[#This Row],[Large Provider Entity Code]]&amp;"; "&amp;R721&amp;AS[[#This Row],[Age Band Code]]&amp;"; "&amp;S721&amp;AS[[#This Row],[Sex Code]]</f>
        <v xml:space="preserve">Insurer Code ; Reporting Year ; Insurance Category Code ; Large Provider Entity Code ; Age Band Code ; Sex Code </v>
      </c>
      <c r="N721" s="297" t="s">
        <v>197</v>
      </c>
      <c r="O721" s="297" t="s">
        <v>198</v>
      </c>
      <c r="P721" s="297" t="s">
        <v>199</v>
      </c>
      <c r="Q721" s="297" t="s">
        <v>200</v>
      </c>
      <c r="R721" s="297" t="s">
        <v>213</v>
      </c>
      <c r="S721" s="297" t="s">
        <v>214</v>
      </c>
    </row>
    <row r="722" spans="1:19" x14ac:dyDescent="0.4">
      <c r="A722" s="291"/>
      <c r="B722" s="292"/>
      <c r="C722" s="312"/>
      <c r="D722" s="292"/>
      <c r="E722" s="489"/>
      <c r="F722" s="489"/>
      <c r="G722" s="490"/>
      <c r="H722" s="520"/>
      <c r="I722" s="523"/>
      <c r="J722" s="521"/>
      <c r="K722" s="522"/>
      <c r="M722" s="301" t="str">
        <f>N722&amp;AS[[#This Row],[Insurer Code]]&amp;"; "&amp;O722&amp;AS[[#This Row],[Reporting Year]]&amp;"; "&amp;P722&amp;AS[[#This Row],[Insurance Category Code]]&amp;"; "&amp;Q722&amp;AS[[#This Row],[Large Provider Entity Code]]&amp;"; "&amp;R722&amp;AS[[#This Row],[Age Band Code]]&amp;"; "&amp;S722&amp;AS[[#This Row],[Sex Code]]</f>
        <v xml:space="preserve">Insurer Code ; Reporting Year ; Insurance Category Code ; Large Provider Entity Code ; Age Band Code ; Sex Code </v>
      </c>
      <c r="N722" s="297" t="s">
        <v>197</v>
      </c>
      <c r="O722" s="297" t="s">
        <v>198</v>
      </c>
      <c r="P722" s="297" t="s">
        <v>199</v>
      </c>
      <c r="Q722" s="297" t="s">
        <v>200</v>
      </c>
      <c r="R722" s="297" t="s">
        <v>213</v>
      </c>
      <c r="S722" s="297" t="s">
        <v>214</v>
      </c>
    </row>
    <row r="723" spans="1:19" x14ac:dyDescent="0.4">
      <c r="A723" s="291"/>
      <c r="B723" s="292"/>
      <c r="C723" s="312"/>
      <c r="D723" s="292"/>
      <c r="E723" s="489"/>
      <c r="F723" s="489"/>
      <c r="G723" s="490"/>
      <c r="H723" s="520"/>
      <c r="I723" s="523"/>
      <c r="J723" s="521"/>
      <c r="K723" s="522"/>
      <c r="M723" s="301" t="str">
        <f>N723&amp;AS[[#This Row],[Insurer Code]]&amp;"; "&amp;O723&amp;AS[[#This Row],[Reporting Year]]&amp;"; "&amp;P723&amp;AS[[#This Row],[Insurance Category Code]]&amp;"; "&amp;Q723&amp;AS[[#This Row],[Large Provider Entity Code]]&amp;"; "&amp;R723&amp;AS[[#This Row],[Age Band Code]]&amp;"; "&amp;S723&amp;AS[[#This Row],[Sex Code]]</f>
        <v xml:space="preserve">Insurer Code ; Reporting Year ; Insurance Category Code ; Large Provider Entity Code ; Age Band Code ; Sex Code </v>
      </c>
      <c r="N723" s="297" t="s">
        <v>197</v>
      </c>
      <c r="O723" s="297" t="s">
        <v>198</v>
      </c>
      <c r="P723" s="297" t="s">
        <v>199</v>
      </c>
      <c r="Q723" s="297" t="s">
        <v>200</v>
      </c>
      <c r="R723" s="297" t="s">
        <v>213</v>
      </c>
      <c r="S723" s="297" t="s">
        <v>214</v>
      </c>
    </row>
    <row r="724" spans="1:19" x14ac:dyDescent="0.4">
      <c r="A724" s="291"/>
      <c r="B724" s="292"/>
      <c r="C724" s="312"/>
      <c r="D724" s="292"/>
      <c r="E724" s="489"/>
      <c r="F724" s="489"/>
      <c r="G724" s="490"/>
      <c r="H724" s="520"/>
      <c r="I724" s="523"/>
      <c r="J724" s="521"/>
      <c r="K724" s="522"/>
      <c r="M724" s="301" t="str">
        <f>N724&amp;AS[[#This Row],[Insurer Code]]&amp;"; "&amp;O724&amp;AS[[#This Row],[Reporting Year]]&amp;"; "&amp;P724&amp;AS[[#This Row],[Insurance Category Code]]&amp;"; "&amp;Q724&amp;AS[[#This Row],[Large Provider Entity Code]]&amp;"; "&amp;R724&amp;AS[[#This Row],[Age Band Code]]&amp;"; "&amp;S724&amp;AS[[#This Row],[Sex Code]]</f>
        <v xml:space="preserve">Insurer Code ; Reporting Year ; Insurance Category Code ; Large Provider Entity Code ; Age Band Code ; Sex Code </v>
      </c>
      <c r="N724" s="297" t="s">
        <v>197</v>
      </c>
      <c r="O724" s="297" t="s">
        <v>198</v>
      </c>
      <c r="P724" s="297" t="s">
        <v>199</v>
      </c>
      <c r="Q724" s="297" t="s">
        <v>200</v>
      </c>
      <c r="R724" s="297" t="s">
        <v>213</v>
      </c>
      <c r="S724" s="297" t="s">
        <v>214</v>
      </c>
    </row>
    <row r="725" spans="1:19" x14ac:dyDescent="0.4">
      <c r="A725" s="291"/>
      <c r="B725" s="292"/>
      <c r="C725" s="312"/>
      <c r="D725" s="292"/>
      <c r="E725" s="489"/>
      <c r="F725" s="489"/>
      <c r="G725" s="490"/>
      <c r="H725" s="520"/>
      <c r="I725" s="523"/>
      <c r="J725" s="521"/>
      <c r="K725" s="522"/>
      <c r="M725" s="301" t="str">
        <f>N725&amp;AS[[#This Row],[Insurer Code]]&amp;"; "&amp;O725&amp;AS[[#This Row],[Reporting Year]]&amp;"; "&amp;P725&amp;AS[[#This Row],[Insurance Category Code]]&amp;"; "&amp;Q725&amp;AS[[#This Row],[Large Provider Entity Code]]&amp;"; "&amp;R725&amp;AS[[#This Row],[Age Band Code]]&amp;"; "&amp;S725&amp;AS[[#This Row],[Sex Code]]</f>
        <v xml:space="preserve">Insurer Code ; Reporting Year ; Insurance Category Code ; Large Provider Entity Code ; Age Band Code ; Sex Code </v>
      </c>
      <c r="N725" s="297" t="s">
        <v>197</v>
      </c>
      <c r="O725" s="297" t="s">
        <v>198</v>
      </c>
      <c r="P725" s="297" t="s">
        <v>199</v>
      </c>
      <c r="Q725" s="297" t="s">
        <v>200</v>
      </c>
      <c r="R725" s="297" t="s">
        <v>213</v>
      </c>
      <c r="S725" s="297" t="s">
        <v>214</v>
      </c>
    </row>
    <row r="726" spans="1:19" x14ac:dyDescent="0.4">
      <c r="A726" s="291"/>
      <c r="B726" s="292"/>
      <c r="C726" s="312"/>
      <c r="D726" s="292"/>
      <c r="E726" s="489"/>
      <c r="F726" s="489"/>
      <c r="G726" s="490"/>
      <c r="H726" s="520"/>
      <c r="I726" s="523"/>
      <c r="J726" s="521"/>
      <c r="K726" s="522"/>
      <c r="M726" s="301" t="str">
        <f>N726&amp;AS[[#This Row],[Insurer Code]]&amp;"; "&amp;O726&amp;AS[[#This Row],[Reporting Year]]&amp;"; "&amp;P726&amp;AS[[#This Row],[Insurance Category Code]]&amp;"; "&amp;Q726&amp;AS[[#This Row],[Large Provider Entity Code]]&amp;"; "&amp;R726&amp;AS[[#This Row],[Age Band Code]]&amp;"; "&amp;S726&amp;AS[[#This Row],[Sex Code]]</f>
        <v xml:space="preserve">Insurer Code ; Reporting Year ; Insurance Category Code ; Large Provider Entity Code ; Age Band Code ; Sex Code </v>
      </c>
      <c r="N726" s="297" t="s">
        <v>197</v>
      </c>
      <c r="O726" s="297" t="s">
        <v>198</v>
      </c>
      <c r="P726" s="297" t="s">
        <v>199</v>
      </c>
      <c r="Q726" s="297" t="s">
        <v>200</v>
      </c>
      <c r="R726" s="297" t="s">
        <v>213</v>
      </c>
      <c r="S726" s="297" t="s">
        <v>214</v>
      </c>
    </row>
    <row r="727" spans="1:19" x14ac:dyDescent="0.4">
      <c r="A727" s="291"/>
      <c r="B727" s="292"/>
      <c r="C727" s="312"/>
      <c r="D727" s="292"/>
      <c r="E727" s="489"/>
      <c r="F727" s="489"/>
      <c r="G727" s="490"/>
      <c r="H727" s="520"/>
      <c r="I727" s="523"/>
      <c r="J727" s="521"/>
      <c r="K727" s="522"/>
      <c r="M727" s="301" t="str">
        <f>N727&amp;AS[[#This Row],[Insurer Code]]&amp;"; "&amp;O727&amp;AS[[#This Row],[Reporting Year]]&amp;"; "&amp;P727&amp;AS[[#This Row],[Insurance Category Code]]&amp;"; "&amp;Q727&amp;AS[[#This Row],[Large Provider Entity Code]]&amp;"; "&amp;R727&amp;AS[[#This Row],[Age Band Code]]&amp;"; "&amp;S727&amp;AS[[#This Row],[Sex Code]]</f>
        <v xml:space="preserve">Insurer Code ; Reporting Year ; Insurance Category Code ; Large Provider Entity Code ; Age Band Code ; Sex Code </v>
      </c>
      <c r="N727" s="297" t="s">
        <v>197</v>
      </c>
      <c r="O727" s="297" t="s">
        <v>198</v>
      </c>
      <c r="P727" s="297" t="s">
        <v>199</v>
      </c>
      <c r="Q727" s="297" t="s">
        <v>200</v>
      </c>
      <c r="R727" s="297" t="s">
        <v>213</v>
      </c>
      <c r="S727" s="297" t="s">
        <v>214</v>
      </c>
    </row>
    <row r="728" spans="1:19" x14ac:dyDescent="0.4">
      <c r="A728" s="291"/>
      <c r="B728" s="292"/>
      <c r="C728" s="312"/>
      <c r="D728" s="292"/>
      <c r="E728" s="489"/>
      <c r="F728" s="489"/>
      <c r="G728" s="490"/>
      <c r="H728" s="520"/>
      <c r="I728" s="523"/>
      <c r="J728" s="521"/>
      <c r="K728" s="522"/>
      <c r="M728" s="301" t="str">
        <f>N728&amp;AS[[#This Row],[Insurer Code]]&amp;"; "&amp;O728&amp;AS[[#This Row],[Reporting Year]]&amp;"; "&amp;P728&amp;AS[[#This Row],[Insurance Category Code]]&amp;"; "&amp;Q728&amp;AS[[#This Row],[Large Provider Entity Code]]&amp;"; "&amp;R728&amp;AS[[#This Row],[Age Band Code]]&amp;"; "&amp;S728&amp;AS[[#This Row],[Sex Code]]</f>
        <v xml:space="preserve">Insurer Code ; Reporting Year ; Insurance Category Code ; Large Provider Entity Code ; Age Band Code ; Sex Code </v>
      </c>
      <c r="N728" s="297" t="s">
        <v>197</v>
      </c>
      <c r="O728" s="297" t="s">
        <v>198</v>
      </c>
      <c r="P728" s="297" t="s">
        <v>199</v>
      </c>
      <c r="Q728" s="297" t="s">
        <v>200</v>
      </c>
      <c r="R728" s="297" t="s">
        <v>213</v>
      </c>
      <c r="S728" s="297" t="s">
        <v>214</v>
      </c>
    </row>
    <row r="729" spans="1:19" x14ac:dyDescent="0.4">
      <c r="A729" s="291"/>
      <c r="B729" s="292"/>
      <c r="C729" s="312"/>
      <c r="D729" s="292"/>
      <c r="E729" s="489"/>
      <c r="F729" s="489"/>
      <c r="G729" s="490"/>
      <c r="H729" s="520"/>
      <c r="I729" s="523"/>
      <c r="J729" s="521"/>
      <c r="K729" s="522"/>
      <c r="M729" s="301" t="str">
        <f>N729&amp;AS[[#This Row],[Insurer Code]]&amp;"; "&amp;O729&amp;AS[[#This Row],[Reporting Year]]&amp;"; "&amp;P729&amp;AS[[#This Row],[Insurance Category Code]]&amp;"; "&amp;Q729&amp;AS[[#This Row],[Large Provider Entity Code]]&amp;"; "&amp;R729&amp;AS[[#This Row],[Age Band Code]]&amp;"; "&amp;S729&amp;AS[[#This Row],[Sex Code]]</f>
        <v xml:space="preserve">Insurer Code ; Reporting Year ; Insurance Category Code ; Large Provider Entity Code ; Age Band Code ; Sex Code </v>
      </c>
      <c r="N729" s="297" t="s">
        <v>197</v>
      </c>
      <c r="O729" s="297" t="s">
        <v>198</v>
      </c>
      <c r="P729" s="297" t="s">
        <v>199</v>
      </c>
      <c r="Q729" s="297" t="s">
        <v>200</v>
      </c>
      <c r="R729" s="297" t="s">
        <v>213</v>
      </c>
      <c r="S729" s="297" t="s">
        <v>214</v>
      </c>
    </row>
    <row r="730" spans="1:19" x14ac:dyDescent="0.4">
      <c r="A730" s="291"/>
      <c r="B730" s="292"/>
      <c r="C730" s="312"/>
      <c r="D730" s="292"/>
      <c r="E730" s="489"/>
      <c r="F730" s="489"/>
      <c r="G730" s="490"/>
      <c r="H730" s="520"/>
      <c r="I730" s="523"/>
      <c r="J730" s="521"/>
      <c r="K730" s="522"/>
      <c r="M730" s="301" t="str">
        <f>N730&amp;AS[[#This Row],[Insurer Code]]&amp;"; "&amp;O730&amp;AS[[#This Row],[Reporting Year]]&amp;"; "&amp;P730&amp;AS[[#This Row],[Insurance Category Code]]&amp;"; "&amp;Q730&amp;AS[[#This Row],[Large Provider Entity Code]]&amp;"; "&amp;R730&amp;AS[[#This Row],[Age Band Code]]&amp;"; "&amp;S730&amp;AS[[#This Row],[Sex Code]]</f>
        <v xml:space="preserve">Insurer Code ; Reporting Year ; Insurance Category Code ; Large Provider Entity Code ; Age Band Code ; Sex Code </v>
      </c>
      <c r="N730" s="297" t="s">
        <v>197</v>
      </c>
      <c r="O730" s="297" t="s">
        <v>198</v>
      </c>
      <c r="P730" s="297" t="s">
        <v>199</v>
      </c>
      <c r="Q730" s="297" t="s">
        <v>200</v>
      </c>
      <c r="R730" s="297" t="s">
        <v>213</v>
      </c>
      <c r="S730" s="297" t="s">
        <v>214</v>
      </c>
    </row>
    <row r="731" spans="1:19" x14ac:dyDescent="0.4">
      <c r="A731" s="291"/>
      <c r="B731" s="292"/>
      <c r="C731" s="312"/>
      <c r="D731" s="292"/>
      <c r="E731" s="489"/>
      <c r="F731" s="489"/>
      <c r="G731" s="490"/>
      <c r="H731" s="520"/>
      <c r="I731" s="523"/>
      <c r="J731" s="521"/>
      <c r="K731" s="522"/>
      <c r="M731" s="301" t="str">
        <f>N731&amp;AS[[#This Row],[Insurer Code]]&amp;"; "&amp;O731&amp;AS[[#This Row],[Reporting Year]]&amp;"; "&amp;P731&amp;AS[[#This Row],[Insurance Category Code]]&amp;"; "&amp;Q731&amp;AS[[#This Row],[Large Provider Entity Code]]&amp;"; "&amp;R731&amp;AS[[#This Row],[Age Band Code]]&amp;"; "&amp;S731&amp;AS[[#This Row],[Sex Code]]</f>
        <v xml:space="preserve">Insurer Code ; Reporting Year ; Insurance Category Code ; Large Provider Entity Code ; Age Band Code ; Sex Code </v>
      </c>
      <c r="N731" s="297" t="s">
        <v>197</v>
      </c>
      <c r="O731" s="297" t="s">
        <v>198</v>
      </c>
      <c r="P731" s="297" t="s">
        <v>199</v>
      </c>
      <c r="Q731" s="297" t="s">
        <v>200</v>
      </c>
      <c r="R731" s="297" t="s">
        <v>213</v>
      </c>
      <c r="S731" s="297" t="s">
        <v>214</v>
      </c>
    </row>
    <row r="732" spans="1:19" x14ac:dyDescent="0.4">
      <c r="A732" s="291"/>
      <c r="B732" s="292"/>
      <c r="C732" s="312"/>
      <c r="D732" s="292"/>
      <c r="E732" s="489"/>
      <c r="F732" s="489"/>
      <c r="G732" s="490"/>
      <c r="H732" s="520"/>
      <c r="I732" s="523"/>
      <c r="J732" s="521"/>
      <c r="K732" s="522"/>
      <c r="M732" s="301" t="str">
        <f>N732&amp;AS[[#This Row],[Insurer Code]]&amp;"; "&amp;O732&amp;AS[[#This Row],[Reporting Year]]&amp;"; "&amp;P732&amp;AS[[#This Row],[Insurance Category Code]]&amp;"; "&amp;Q732&amp;AS[[#This Row],[Large Provider Entity Code]]&amp;"; "&amp;R732&amp;AS[[#This Row],[Age Band Code]]&amp;"; "&amp;S732&amp;AS[[#This Row],[Sex Code]]</f>
        <v xml:space="preserve">Insurer Code ; Reporting Year ; Insurance Category Code ; Large Provider Entity Code ; Age Band Code ; Sex Code </v>
      </c>
      <c r="N732" s="297" t="s">
        <v>197</v>
      </c>
      <c r="O732" s="297" t="s">
        <v>198</v>
      </c>
      <c r="P732" s="297" t="s">
        <v>199</v>
      </c>
      <c r="Q732" s="297" t="s">
        <v>200</v>
      </c>
      <c r="R732" s="297" t="s">
        <v>213</v>
      </c>
      <c r="S732" s="297" t="s">
        <v>214</v>
      </c>
    </row>
    <row r="733" spans="1:19" x14ac:dyDescent="0.4">
      <c r="A733" s="291"/>
      <c r="B733" s="292"/>
      <c r="C733" s="312"/>
      <c r="D733" s="292"/>
      <c r="E733" s="489"/>
      <c r="F733" s="489"/>
      <c r="G733" s="490"/>
      <c r="H733" s="520"/>
      <c r="I733" s="523"/>
      <c r="J733" s="521"/>
      <c r="K733" s="522"/>
      <c r="M733" s="301" t="str">
        <f>N733&amp;AS[[#This Row],[Insurer Code]]&amp;"; "&amp;O733&amp;AS[[#This Row],[Reporting Year]]&amp;"; "&amp;P733&amp;AS[[#This Row],[Insurance Category Code]]&amp;"; "&amp;Q733&amp;AS[[#This Row],[Large Provider Entity Code]]&amp;"; "&amp;R733&amp;AS[[#This Row],[Age Band Code]]&amp;"; "&amp;S733&amp;AS[[#This Row],[Sex Code]]</f>
        <v xml:space="preserve">Insurer Code ; Reporting Year ; Insurance Category Code ; Large Provider Entity Code ; Age Band Code ; Sex Code </v>
      </c>
      <c r="N733" s="297" t="s">
        <v>197</v>
      </c>
      <c r="O733" s="297" t="s">
        <v>198</v>
      </c>
      <c r="P733" s="297" t="s">
        <v>199</v>
      </c>
      <c r="Q733" s="297" t="s">
        <v>200</v>
      </c>
      <c r="R733" s="297" t="s">
        <v>213</v>
      </c>
      <c r="S733" s="297" t="s">
        <v>214</v>
      </c>
    </row>
    <row r="734" spans="1:19" x14ac:dyDescent="0.4">
      <c r="A734" s="291"/>
      <c r="B734" s="292"/>
      <c r="C734" s="312"/>
      <c r="D734" s="292"/>
      <c r="E734" s="489"/>
      <c r="F734" s="489"/>
      <c r="G734" s="490"/>
      <c r="H734" s="520"/>
      <c r="I734" s="523"/>
      <c r="J734" s="521"/>
      <c r="K734" s="522"/>
      <c r="M734" s="301" t="str">
        <f>N734&amp;AS[[#This Row],[Insurer Code]]&amp;"; "&amp;O734&amp;AS[[#This Row],[Reporting Year]]&amp;"; "&amp;P734&amp;AS[[#This Row],[Insurance Category Code]]&amp;"; "&amp;Q734&amp;AS[[#This Row],[Large Provider Entity Code]]&amp;"; "&amp;R734&amp;AS[[#This Row],[Age Band Code]]&amp;"; "&amp;S734&amp;AS[[#This Row],[Sex Code]]</f>
        <v xml:space="preserve">Insurer Code ; Reporting Year ; Insurance Category Code ; Large Provider Entity Code ; Age Band Code ; Sex Code </v>
      </c>
      <c r="N734" s="297" t="s">
        <v>197</v>
      </c>
      <c r="O734" s="297" t="s">
        <v>198</v>
      </c>
      <c r="P734" s="297" t="s">
        <v>199</v>
      </c>
      <c r="Q734" s="297" t="s">
        <v>200</v>
      </c>
      <c r="R734" s="297" t="s">
        <v>213</v>
      </c>
      <c r="S734" s="297" t="s">
        <v>214</v>
      </c>
    </row>
    <row r="735" spans="1:19" x14ac:dyDescent="0.4">
      <c r="A735" s="291"/>
      <c r="B735" s="292"/>
      <c r="C735" s="312"/>
      <c r="D735" s="292"/>
      <c r="E735" s="489"/>
      <c r="F735" s="489"/>
      <c r="G735" s="490"/>
      <c r="H735" s="520"/>
      <c r="I735" s="523"/>
      <c r="J735" s="521"/>
      <c r="K735" s="522"/>
      <c r="M735" s="301" t="str">
        <f>N735&amp;AS[[#This Row],[Insurer Code]]&amp;"; "&amp;O735&amp;AS[[#This Row],[Reporting Year]]&amp;"; "&amp;P735&amp;AS[[#This Row],[Insurance Category Code]]&amp;"; "&amp;Q735&amp;AS[[#This Row],[Large Provider Entity Code]]&amp;"; "&amp;R735&amp;AS[[#This Row],[Age Band Code]]&amp;"; "&amp;S735&amp;AS[[#This Row],[Sex Code]]</f>
        <v xml:space="preserve">Insurer Code ; Reporting Year ; Insurance Category Code ; Large Provider Entity Code ; Age Band Code ; Sex Code </v>
      </c>
      <c r="N735" s="297" t="s">
        <v>197</v>
      </c>
      <c r="O735" s="297" t="s">
        <v>198</v>
      </c>
      <c r="P735" s="297" t="s">
        <v>199</v>
      </c>
      <c r="Q735" s="297" t="s">
        <v>200</v>
      </c>
      <c r="R735" s="297" t="s">
        <v>213</v>
      </c>
      <c r="S735" s="297" t="s">
        <v>214</v>
      </c>
    </row>
    <row r="736" spans="1:19" x14ac:dyDescent="0.4">
      <c r="A736" s="291"/>
      <c r="B736" s="292"/>
      <c r="C736" s="312"/>
      <c r="D736" s="292"/>
      <c r="E736" s="489"/>
      <c r="F736" s="489"/>
      <c r="G736" s="490"/>
      <c r="H736" s="520"/>
      <c r="I736" s="523"/>
      <c r="J736" s="521"/>
      <c r="K736" s="522"/>
      <c r="M736" s="301" t="str">
        <f>N736&amp;AS[[#This Row],[Insurer Code]]&amp;"; "&amp;O736&amp;AS[[#This Row],[Reporting Year]]&amp;"; "&amp;P736&amp;AS[[#This Row],[Insurance Category Code]]&amp;"; "&amp;Q736&amp;AS[[#This Row],[Large Provider Entity Code]]&amp;"; "&amp;R736&amp;AS[[#This Row],[Age Band Code]]&amp;"; "&amp;S736&amp;AS[[#This Row],[Sex Code]]</f>
        <v xml:space="preserve">Insurer Code ; Reporting Year ; Insurance Category Code ; Large Provider Entity Code ; Age Band Code ; Sex Code </v>
      </c>
      <c r="N736" s="297" t="s">
        <v>197</v>
      </c>
      <c r="O736" s="297" t="s">
        <v>198</v>
      </c>
      <c r="P736" s="297" t="s">
        <v>199</v>
      </c>
      <c r="Q736" s="297" t="s">
        <v>200</v>
      </c>
      <c r="R736" s="297" t="s">
        <v>213</v>
      </c>
      <c r="S736" s="297" t="s">
        <v>214</v>
      </c>
    </row>
    <row r="737" spans="1:19" x14ac:dyDescent="0.4">
      <c r="A737" s="291"/>
      <c r="B737" s="292"/>
      <c r="C737" s="312"/>
      <c r="D737" s="292"/>
      <c r="E737" s="489"/>
      <c r="F737" s="489"/>
      <c r="G737" s="490"/>
      <c r="H737" s="520"/>
      <c r="I737" s="523"/>
      <c r="J737" s="521"/>
      <c r="K737" s="522"/>
      <c r="M737" s="301" t="str">
        <f>N737&amp;AS[[#This Row],[Insurer Code]]&amp;"; "&amp;O737&amp;AS[[#This Row],[Reporting Year]]&amp;"; "&amp;P737&amp;AS[[#This Row],[Insurance Category Code]]&amp;"; "&amp;Q737&amp;AS[[#This Row],[Large Provider Entity Code]]&amp;"; "&amp;R737&amp;AS[[#This Row],[Age Band Code]]&amp;"; "&amp;S737&amp;AS[[#This Row],[Sex Code]]</f>
        <v xml:space="preserve">Insurer Code ; Reporting Year ; Insurance Category Code ; Large Provider Entity Code ; Age Band Code ; Sex Code </v>
      </c>
      <c r="N737" s="297" t="s">
        <v>197</v>
      </c>
      <c r="O737" s="297" t="s">
        <v>198</v>
      </c>
      <c r="P737" s="297" t="s">
        <v>199</v>
      </c>
      <c r="Q737" s="297" t="s">
        <v>200</v>
      </c>
      <c r="R737" s="297" t="s">
        <v>213</v>
      </c>
      <c r="S737" s="297" t="s">
        <v>214</v>
      </c>
    </row>
    <row r="738" spans="1:19" x14ac:dyDescent="0.4">
      <c r="A738" s="291"/>
      <c r="B738" s="292"/>
      <c r="C738" s="312"/>
      <c r="D738" s="292"/>
      <c r="E738" s="489"/>
      <c r="F738" s="489"/>
      <c r="G738" s="490"/>
      <c r="H738" s="520"/>
      <c r="I738" s="523"/>
      <c r="J738" s="521"/>
      <c r="K738" s="522"/>
      <c r="M738" s="301" t="str">
        <f>N738&amp;AS[[#This Row],[Insurer Code]]&amp;"; "&amp;O738&amp;AS[[#This Row],[Reporting Year]]&amp;"; "&amp;P738&amp;AS[[#This Row],[Insurance Category Code]]&amp;"; "&amp;Q738&amp;AS[[#This Row],[Large Provider Entity Code]]&amp;"; "&amp;R738&amp;AS[[#This Row],[Age Band Code]]&amp;"; "&amp;S738&amp;AS[[#This Row],[Sex Code]]</f>
        <v xml:space="preserve">Insurer Code ; Reporting Year ; Insurance Category Code ; Large Provider Entity Code ; Age Band Code ; Sex Code </v>
      </c>
      <c r="N738" s="297" t="s">
        <v>197</v>
      </c>
      <c r="O738" s="297" t="s">
        <v>198</v>
      </c>
      <c r="P738" s="297" t="s">
        <v>199</v>
      </c>
      <c r="Q738" s="297" t="s">
        <v>200</v>
      </c>
      <c r="R738" s="297" t="s">
        <v>213</v>
      </c>
      <c r="S738" s="297" t="s">
        <v>214</v>
      </c>
    </row>
    <row r="739" spans="1:19" x14ac:dyDescent="0.4">
      <c r="A739" s="291"/>
      <c r="B739" s="292"/>
      <c r="C739" s="312"/>
      <c r="D739" s="292"/>
      <c r="E739" s="489"/>
      <c r="F739" s="489"/>
      <c r="G739" s="490"/>
      <c r="H739" s="520"/>
      <c r="I739" s="523"/>
      <c r="J739" s="521"/>
      <c r="K739" s="522"/>
      <c r="M739" s="301" t="str">
        <f>N739&amp;AS[[#This Row],[Insurer Code]]&amp;"; "&amp;O739&amp;AS[[#This Row],[Reporting Year]]&amp;"; "&amp;P739&amp;AS[[#This Row],[Insurance Category Code]]&amp;"; "&amp;Q739&amp;AS[[#This Row],[Large Provider Entity Code]]&amp;"; "&amp;R739&amp;AS[[#This Row],[Age Band Code]]&amp;"; "&amp;S739&amp;AS[[#This Row],[Sex Code]]</f>
        <v xml:space="preserve">Insurer Code ; Reporting Year ; Insurance Category Code ; Large Provider Entity Code ; Age Band Code ; Sex Code </v>
      </c>
      <c r="N739" s="297" t="s">
        <v>197</v>
      </c>
      <c r="O739" s="297" t="s">
        <v>198</v>
      </c>
      <c r="P739" s="297" t="s">
        <v>199</v>
      </c>
      <c r="Q739" s="297" t="s">
        <v>200</v>
      </c>
      <c r="R739" s="297" t="s">
        <v>213</v>
      </c>
      <c r="S739" s="297" t="s">
        <v>214</v>
      </c>
    </row>
    <row r="740" spans="1:19" x14ac:dyDescent="0.4">
      <c r="A740" s="291"/>
      <c r="B740" s="292"/>
      <c r="C740" s="312"/>
      <c r="D740" s="292"/>
      <c r="E740" s="489"/>
      <c r="F740" s="489"/>
      <c r="G740" s="490"/>
      <c r="H740" s="520"/>
      <c r="I740" s="523"/>
      <c r="J740" s="521"/>
      <c r="K740" s="522"/>
      <c r="M740" s="301" t="str">
        <f>N740&amp;AS[[#This Row],[Insurer Code]]&amp;"; "&amp;O740&amp;AS[[#This Row],[Reporting Year]]&amp;"; "&amp;P740&amp;AS[[#This Row],[Insurance Category Code]]&amp;"; "&amp;Q740&amp;AS[[#This Row],[Large Provider Entity Code]]&amp;"; "&amp;R740&amp;AS[[#This Row],[Age Band Code]]&amp;"; "&amp;S740&amp;AS[[#This Row],[Sex Code]]</f>
        <v xml:space="preserve">Insurer Code ; Reporting Year ; Insurance Category Code ; Large Provider Entity Code ; Age Band Code ; Sex Code </v>
      </c>
      <c r="N740" s="297" t="s">
        <v>197</v>
      </c>
      <c r="O740" s="297" t="s">
        <v>198</v>
      </c>
      <c r="P740" s="297" t="s">
        <v>199</v>
      </c>
      <c r="Q740" s="297" t="s">
        <v>200</v>
      </c>
      <c r="R740" s="297" t="s">
        <v>213</v>
      </c>
      <c r="S740" s="297" t="s">
        <v>214</v>
      </c>
    </row>
    <row r="741" spans="1:19" x14ac:dyDescent="0.4">
      <c r="A741" s="291"/>
      <c r="B741" s="292"/>
      <c r="C741" s="312"/>
      <c r="D741" s="292"/>
      <c r="E741" s="489"/>
      <c r="F741" s="489"/>
      <c r="G741" s="490"/>
      <c r="H741" s="520"/>
      <c r="I741" s="523"/>
      <c r="J741" s="521"/>
      <c r="K741" s="522"/>
      <c r="M741" s="301" t="str">
        <f>N741&amp;AS[[#This Row],[Insurer Code]]&amp;"; "&amp;O741&amp;AS[[#This Row],[Reporting Year]]&amp;"; "&amp;P741&amp;AS[[#This Row],[Insurance Category Code]]&amp;"; "&amp;Q741&amp;AS[[#This Row],[Large Provider Entity Code]]&amp;"; "&amp;R741&amp;AS[[#This Row],[Age Band Code]]&amp;"; "&amp;S741&amp;AS[[#This Row],[Sex Code]]</f>
        <v xml:space="preserve">Insurer Code ; Reporting Year ; Insurance Category Code ; Large Provider Entity Code ; Age Band Code ; Sex Code </v>
      </c>
      <c r="N741" s="297" t="s">
        <v>197</v>
      </c>
      <c r="O741" s="297" t="s">
        <v>198</v>
      </c>
      <c r="P741" s="297" t="s">
        <v>199</v>
      </c>
      <c r="Q741" s="297" t="s">
        <v>200</v>
      </c>
      <c r="R741" s="297" t="s">
        <v>213</v>
      </c>
      <c r="S741" s="297" t="s">
        <v>214</v>
      </c>
    </row>
    <row r="742" spans="1:19" x14ac:dyDescent="0.4">
      <c r="A742" s="291"/>
      <c r="B742" s="292"/>
      <c r="C742" s="312"/>
      <c r="D742" s="292"/>
      <c r="E742" s="489"/>
      <c r="F742" s="489"/>
      <c r="G742" s="490"/>
      <c r="H742" s="520"/>
      <c r="I742" s="523"/>
      <c r="J742" s="521"/>
      <c r="K742" s="522"/>
      <c r="M742" s="301" t="str">
        <f>N742&amp;AS[[#This Row],[Insurer Code]]&amp;"; "&amp;O742&amp;AS[[#This Row],[Reporting Year]]&amp;"; "&amp;P742&amp;AS[[#This Row],[Insurance Category Code]]&amp;"; "&amp;Q742&amp;AS[[#This Row],[Large Provider Entity Code]]&amp;"; "&amp;R742&amp;AS[[#This Row],[Age Band Code]]&amp;"; "&amp;S742&amp;AS[[#This Row],[Sex Code]]</f>
        <v xml:space="preserve">Insurer Code ; Reporting Year ; Insurance Category Code ; Large Provider Entity Code ; Age Band Code ; Sex Code </v>
      </c>
      <c r="N742" s="297" t="s">
        <v>197</v>
      </c>
      <c r="O742" s="297" t="s">
        <v>198</v>
      </c>
      <c r="P742" s="297" t="s">
        <v>199</v>
      </c>
      <c r="Q742" s="297" t="s">
        <v>200</v>
      </c>
      <c r="R742" s="297" t="s">
        <v>213</v>
      </c>
      <c r="S742" s="297" t="s">
        <v>214</v>
      </c>
    </row>
    <row r="743" spans="1:19" x14ac:dyDescent="0.4">
      <c r="A743" s="291"/>
      <c r="B743" s="292"/>
      <c r="C743" s="312"/>
      <c r="D743" s="292"/>
      <c r="E743" s="489"/>
      <c r="F743" s="489"/>
      <c r="G743" s="490"/>
      <c r="H743" s="520"/>
      <c r="I743" s="523"/>
      <c r="J743" s="521"/>
      <c r="K743" s="522"/>
      <c r="M743" s="301" t="str">
        <f>N743&amp;AS[[#This Row],[Insurer Code]]&amp;"; "&amp;O743&amp;AS[[#This Row],[Reporting Year]]&amp;"; "&amp;P743&amp;AS[[#This Row],[Insurance Category Code]]&amp;"; "&amp;Q743&amp;AS[[#This Row],[Large Provider Entity Code]]&amp;"; "&amp;R743&amp;AS[[#This Row],[Age Band Code]]&amp;"; "&amp;S743&amp;AS[[#This Row],[Sex Code]]</f>
        <v xml:space="preserve">Insurer Code ; Reporting Year ; Insurance Category Code ; Large Provider Entity Code ; Age Band Code ; Sex Code </v>
      </c>
      <c r="N743" s="297" t="s">
        <v>197</v>
      </c>
      <c r="O743" s="297" t="s">
        <v>198</v>
      </c>
      <c r="P743" s="297" t="s">
        <v>199</v>
      </c>
      <c r="Q743" s="297" t="s">
        <v>200</v>
      </c>
      <c r="R743" s="297" t="s">
        <v>213</v>
      </c>
      <c r="S743" s="297" t="s">
        <v>214</v>
      </c>
    </row>
    <row r="744" spans="1:19" x14ac:dyDescent="0.4">
      <c r="A744" s="291"/>
      <c r="B744" s="292"/>
      <c r="C744" s="312"/>
      <c r="D744" s="292"/>
      <c r="E744" s="489"/>
      <c r="F744" s="489"/>
      <c r="G744" s="490"/>
      <c r="H744" s="520"/>
      <c r="I744" s="523"/>
      <c r="J744" s="521"/>
      <c r="K744" s="522"/>
      <c r="M744" s="301" t="str">
        <f>N744&amp;AS[[#This Row],[Insurer Code]]&amp;"; "&amp;O744&amp;AS[[#This Row],[Reporting Year]]&amp;"; "&amp;P744&amp;AS[[#This Row],[Insurance Category Code]]&amp;"; "&amp;Q744&amp;AS[[#This Row],[Large Provider Entity Code]]&amp;"; "&amp;R744&amp;AS[[#This Row],[Age Band Code]]&amp;"; "&amp;S744&amp;AS[[#This Row],[Sex Code]]</f>
        <v xml:space="preserve">Insurer Code ; Reporting Year ; Insurance Category Code ; Large Provider Entity Code ; Age Band Code ; Sex Code </v>
      </c>
      <c r="N744" s="297" t="s">
        <v>197</v>
      </c>
      <c r="O744" s="297" t="s">
        <v>198</v>
      </c>
      <c r="P744" s="297" t="s">
        <v>199</v>
      </c>
      <c r="Q744" s="297" t="s">
        <v>200</v>
      </c>
      <c r="R744" s="297" t="s">
        <v>213</v>
      </c>
      <c r="S744" s="297" t="s">
        <v>214</v>
      </c>
    </row>
    <row r="745" spans="1:19" x14ac:dyDescent="0.4">
      <c r="A745" s="291"/>
      <c r="B745" s="292"/>
      <c r="C745" s="312"/>
      <c r="D745" s="292"/>
      <c r="E745" s="489"/>
      <c r="F745" s="489"/>
      <c r="G745" s="490"/>
      <c r="H745" s="520"/>
      <c r="I745" s="523"/>
      <c r="J745" s="521"/>
      <c r="K745" s="522"/>
      <c r="M745" s="301" t="str">
        <f>N745&amp;AS[[#This Row],[Insurer Code]]&amp;"; "&amp;O745&amp;AS[[#This Row],[Reporting Year]]&amp;"; "&amp;P745&amp;AS[[#This Row],[Insurance Category Code]]&amp;"; "&amp;Q745&amp;AS[[#This Row],[Large Provider Entity Code]]&amp;"; "&amp;R745&amp;AS[[#This Row],[Age Band Code]]&amp;"; "&amp;S745&amp;AS[[#This Row],[Sex Code]]</f>
        <v xml:space="preserve">Insurer Code ; Reporting Year ; Insurance Category Code ; Large Provider Entity Code ; Age Band Code ; Sex Code </v>
      </c>
      <c r="N745" s="297" t="s">
        <v>197</v>
      </c>
      <c r="O745" s="297" t="s">
        <v>198</v>
      </c>
      <c r="P745" s="297" t="s">
        <v>199</v>
      </c>
      <c r="Q745" s="297" t="s">
        <v>200</v>
      </c>
      <c r="R745" s="297" t="s">
        <v>213</v>
      </c>
      <c r="S745" s="297" t="s">
        <v>214</v>
      </c>
    </row>
    <row r="746" spans="1:19" x14ac:dyDescent="0.4">
      <c r="A746" s="291"/>
      <c r="B746" s="292"/>
      <c r="C746" s="312"/>
      <c r="D746" s="292"/>
      <c r="E746" s="489"/>
      <c r="F746" s="489"/>
      <c r="G746" s="490"/>
      <c r="H746" s="520"/>
      <c r="I746" s="523"/>
      <c r="J746" s="521"/>
      <c r="K746" s="522"/>
      <c r="M746" s="301" t="str">
        <f>N746&amp;AS[[#This Row],[Insurer Code]]&amp;"; "&amp;O746&amp;AS[[#This Row],[Reporting Year]]&amp;"; "&amp;P746&amp;AS[[#This Row],[Insurance Category Code]]&amp;"; "&amp;Q746&amp;AS[[#This Row],[Large Provider Entity Code]]&amp;"; "&amp;R746&amp;AS[[#This Row],[Age Band Code]]&amp;"; "&amp;S746&amp;AS[[#This Row],[Sex Code]]</f>
        <v xml:space="preserve">Insurer Code ; Reporting Year ; Insurance Category Code ; Large Provider Entity Code ; Age Band Code ; Sex Code </v>
      </c>
      <c r="N746" s="297" t="s">
        <v>197</v>
      </c>
      <c r="O746" s="297" t="s">
        <v>198</v>
      </c>
      <c r="P746" s="297" t="s">
        <v>199</v>
      </c>
      <c r="Q746" s="297" t="s">
        <v>200</v>
      </c>
      <c r="R746" s="297" t="s">
        <v>213</v>
      </c>
      <c r="S746" s="297" t="s">
        <v>214</v>
      </c>
    </row>
    <row r="747" spans="1:19" x14ac:dyDescent="0.4">
      <c r="A747" s="291"/>
      <c r="B747" s="292"/>
      <c r="C747" s="312"/>
      <c r="D747" s="292"/>
      <c r="E747" s="489"/>
      <c r="F747" s="489"/>
      <c r="G747" s="490"/>
      <c r="H747" s="520"/>
      <c r="I747" s="523"/>
      <c r="J747" s="521"/>
      <c r="K747" s="522"/>
      <c r="M747" s="301" t="str">
        <f>N747&amp;AS[[#This Row],[Insurer Code]]&amp;"; "&amp;O747&amp;AS[[#This Row],[Reporting Year]]&amp;"; "&amp;P747&amp;AS[[#This Row],[Insurance Category Code]]&amp;"; "&amp;Q747&amp;AS[[#This Row],[Large Provider Entity Code]]&amp;"; "&amp;R747&amp;AS[[#This Row],[Age Band Code]]&amp;"; "&amp;S747&amp;AS[[#This Row],[Sex Code]]</f>
        <v xml:space="preserve">Insurer Code ; Reporting Year ; Insurance Category Code ; Large Provider Entity Code ; Age Band Code ; Sex Code </v>
      </c>
      <c r="N747" s="297" t="s">
        <v>197</v>
      </c>
      <c r="O747" s="297" t="s">
        <v>198</v>
      </c>
      <c r="P747" s="297" t="s">
        <v>199</v>
      </c>
      <c r="Q747" s="297" t="s">
        <v>200</v>
      </c>
      <c r="R747" s="297" t="s">
        <v>213</v>
      </c>
      <c r="S747" s="297" t="s">
        <v>214</v>
      </c>
    </row>
    <row r="748" spans="1:19" x14ac:dyDescent="0.4">
      <c r="A748" s="291"/>
      <c r="B748" s="292"/>
      <c r="C748" s="312"/>
      <c r="D748" s="292"/>
      <c r="E748" s="489"/>
      <c r="F748" s="489"/>
      <c r="G748" s="490"/>
      <c r="H748" s="520"/>
      <c r="I748" s="523"/>
      <c r="J748" s="521"/>
      <c r="K748" s="522"/>
      <c r="M748" s="301" t="str">
        <f>N748&amp;AS[[#This Row],[Insurer Code]]&amp;"; "&amp;O748&amp;AS[[#This Row],[Reporting Year]]&amp;"; "&amp;P748&amp;AS[[#This Row],[Insurance Category Code]]&amp;"; "&amp;Q748&amp;AS[[#This Row],[Large Provider Entity Code]]&amp;"; "&amp;R748&amp;AS[[#This Row],[Age Band Code]]&amp;"; "&amp;S748&amp;AS[[#This Row],[Sex Code]]</f>
        <v xml:space="preserve">Insurer Code ; Reporting Year ; Insurance Category Code ; Large Provider Entity Code ; Age Band Code ; Sex Code </v>
      </c>
      <c r="N748" s="297" t="s">
        <v>197</v>
      </c>
      <c r="O748" s="297" t="s">
        <v>198</v>
      </c>
      <c r="P748" s="297" t="s">
        <v>199</v>
      </c>
      <c r="Q748" s="297" t="s">
        <v>200</v>
      </c>
      <c r="R748" s="297" t="s">
        <v>213</v>
      </c>
      <c r="S748" s="297" t="s">
        <v>214</v>
      </c>
    </row>
    <row r="749" spans="1:19" x14ac:dyDescent="0.4">
      <c r="A749" s="291"/>
      <c r="B749" s="292"/>
      <c r="C749" s="312"/>
      <c r="D749" s="292"/>
      <c r="E749" s="489"/>
      <c r="F749" s="489"/>
      <c r="G749" s="490"/>
      <c r="H749" s="520"/>
      <c r="I749" s="523"/>
      <c r="J749" s="521"/>
      <c r="K749" s="522"/>
      <c r="M749" s="301" t="str">
        <f>N749&amp;AS[[#This Row],[Insurer Code]]&amp;"; "&amp;O749&amp;AS[[#This Row],[Reporting Year]]&amp;"; "&amp;P749&amp;AS[[#This Row],[Insurance Category Code]]&amp;"; "&amp;Q749&amp;AS[[#This Row],[Large Provider Entity Code]]&amp;"; "&amp;R749&amp;AS[[#This Row],[Age Band Code]]&amp;"; "&amp;S749&amp;AS[[#This Row],[Sex Code]]</f>
        <v xml:space="preserve">Insurer Code ; Reporting Year ; Insurance Category Code ; Large Provider Entity Code ; Age Band Code ; Sex Code </v>
      </c>
      <c r="N749" s="297" t="s">
        <v>197</v>
      </c>
      <c r="O749" s="297" t="s">
        <v>198</v>
      </c>
      <c r="P749" s="297" t="s">
        <v>199</v>
      </c>
      <c r="Q749" s="297" t="s">
        <v>200</v>
      </c>
      <c r="R749" s="297" t="s">
        <v>213</v>
      </c>
      <c r="S749" s="297" t="s">
        <v>214</v>
      </c>
    </row>
    <row r="750" spans="1:19" x14ac:dyDescent="0.4">
      <c r="A750" s="291"/>
      <c r="B750" s="292"/>
      <c r="C750" s="312"/>
      <c r="D750" s="292"/>
      <c r="E750" s="489"/>
      <c r="F750" s="489"/>
      <c r="G750" s="490"/>
      <c r="H750" s="520"/>
      <c r="I750" s="523"/>
      <c r="J750" s="521"/>
      <c r="K750" s="522"/>
      <c r="M750" s="301" t="str">
        <f>N750&amp;AS[[#This Row],[Insurer Code]]&amp;"; "&amp;O750&amp;AS[[#This Row],[Reporting Year]]&amp;"; "&amp;P750&amp;AS[[#This Row],[Insurance Category Code]]&amp;"; "&amp;Q750&amp;AS[[#This Row],[Large Provider Entity Code]]&amp;"; "&amp;R750&amp;AS[[#This Row],[Age Band Code]]&amp;"; "&amp;S750&amp;AS[[#This Row],[Sex Code]]</f>
        <v xml:space="preserve">Insurer Code ; Reporting Year ; Insurance Category Code ; Large Provider Entity Code ; Age Band Code ; Sex Code </v>
      </c>
      <c r="N750" s="297" t="s">
        <v>197</v>
      </c>
      <c r="O750" s="297" t="s">
        <v>198</v>
      </c>
      <c r="P750" s="297" t="s">
        <v>199</v>
      </c>
      <c r="Q750" s="297" t="s">
        <v>200</v>
      </c>
      <c r="R750" s="297" t="s">
        <v>213</v>
      </c>
      <c r="S750" s="297" t="s">
        <v>214</v>
      </c>
    </row>
    <row r="751" spans="1:19" x14ac:dyDescent="0.4">
      <c r="A751" s="291"/>
      <c r="B751" s="292"/>
      <c r="C751" s="312"/>
      <c r="D751" s="292"/>
      <c r="E751" s="489"/>
      <c r="F751" s="489"/>
      <c r="G751" s="490"/>
      <c r="H751" s="520"/>
      <c r="I751" s="523"/>
      <c r="J751" s="521"/>
      <c r="K751" s="522"/>
      <c r="M751" s="301" t="str">
        <f>N751&amp;AS[[#This Row],[Insurer Code]]&amp;"; "&amp;O751&amp;AS[[#This Row],[Reporting Year]]&amp;"; "&amp;P751&amp;AS[[#This Row],[Insurance Category Code]]&amp;"; "&amp;Q751&amp;AS[[#This Row],[Large Provider Entity Code]]&amp;"; "&amp;R751&amp;AS[[#This Row],[Age Band Code]]&amp;"; "&amp;S751&amp;AS[[#This Row],[Sex Code]]</f>
        <v xml:space="preserve">Insurer Code ; Reporting Year ; Insurance Category Code ; Large Provider Entity Code ; Age Band Code ; Sex Code </v>
      </c>
      <c r="N751" s="297" t="s">
        <v>197</v>
      </c>
      <c r="O751" s="297" t="s">
        <v>198</v>
      </c>
      <c r="P751" s="297" t="s">
        <v>199</v>
      </c>
      <c r="Q751" s="297" t="s">
        <v>200</v>
      </c>
      <c r="R751" s="297" t="s">
        <v>213</v>
      </c>
      <c r="S751" s="297" t="s">
        <v>214</v>
      </c>
    </row>
    <row r="752" spans="1:19" x14ac:dyDescent="0.4">
      <c r="A752" s="291"/>
      <c r="B752" s="292"/>
      <c r="C752" s="312"/>
      <c r="D752" s="292"/>
      <c r="E752" s="489"/>
      <c r="F752" s="489"/>
      <c r="G752" s="490"/>
      <c r="H752" s="520"/>
      <c r="I752" s="523"/>
      <c r="J752" s="521"/>
      <c r="K752" s="522"/>
      <c r="M752" s="301" t="str">
        <f>N752&amp;AS[[#This Row],[Insurer Code]]&amp;"; "&amp;O752&amp;AS[[#This Row],[Reporting Year]]&amp;"; "&amp;P752&amp;AS[[#This Row],[Insurance Category Code]]&amp;"; "&amp;Q752&amp;AS[[#This Row],[Large Provider Entity Code]]&amp;"; "&amp;R752&amp;AS[[#This Row],[Age Band Code]]&amp;"; "&amp;S752&amp;AS[[#This Row],[Sex Code]]</f>
        <v xml:space="preserve">Insurer Code ; Reporting Year ; Insurance Category Code ; Large Provider Entity Code ; Age Band Code ; Sex Code </v>
      </c>
      <c r="N752" s="297" t="s">
        <v>197</v>
      </c>
      <c r="O752" s="297" t="s">
        <v>198</v>
      </c>
      <c r="P752" s="297" t="s">
        <v>199</v>
      </c>
      <c r="Q752" s="297" t="s">
        <v>200</v>
      </c>
      <c r="R752" s="297" t="s">
        <v>213</v>
      </c>
      <c r="S752" s="297" t="s">
        <v>214</v>
      </c>
    </row>
    <row r="753" spans="1:19" x14ac:dyDescent="0.4">
      <c r="A753" s="291"/>
      <c r="B753" s="292"/>
      <c r="C753" s="312"/>
      <c r="D753" s="292"/>
      <c r="E753" s="489"/>
      <c r="F753" s="489"/>
      <c r="G753" s="490"/>
      <c r="H753" s="520"/>
      <c r="I753" s="523"/>
      <c r="J753" s="521"/>
      <c r="K753" s="522"/>
      <c r="M753" s="301" t="str">
        <f>N753&amp;AS[[#This Row],[Insurer Code]]&amp;"; "&amp;O753&amp;AS[[#This Row],[Reporting Year]]&amp;"; "&amp;P753&amp;AS[[#This Row],[Insurance Category Code]]&amp;"; "&amp;Q753&amp;AS[[#This Row],[Large Provider Entity Code]]&amp;"; "&amp;R753&amp;AS[[#This Row],[Age Band Code]]&amp;"; "&amp;S753&amp;AS[[#This Row],[Sex Code]]</f>
        <v xml:space="preserve">Insurer Code ; Reporting Year ; Insurance Category Code ; Large Provider Entity Code ; Age Band Code ; Sex Code </v>
      </c>
      <c r="N753" s="297" t="s">
        <v>197</v>
      </c>
      <c r="O753" s="297" t="s">
        <v>198</v>
      </c>
      <c r="P753" s="297" t="s">
        <v>199</v>
      </c>
      <c r="Q753" s="297" t="s">
        <v>200</v>
      </c>
      <c r="R753" s="297" t="s">
        <v>213</v>
      </c>
      <c r="S753" s="297" t="s">
        <v>214</v>
      </c>
    </row>
    <row r="754" spans="1:19" x14ac:dyDescent="0.4">
      <c r="A754" s="291"/>
      <c r="B754" s="292"/>
      <c r="C754" s="312"/>
      <c r="D754" s="292"/>
      <c r="E754" s="489"/>
      <c r="F754" s="489"/>
      <c r="G754" s="490"/>
      <c r="H754" s="520"/>
      <c r="I754" s="523"/>
      <c r="J754" s="521"/>
      <c r="K754" s="522"/>
      <c r="M754" s="301" t="str">
        <f>N754&amp;AS[[#This Row],[Insurer Code]]&amp;"; "&amp;O754&amp;AS[[#This Row],[Reporting Year]]&amp;"; "&amp;P754&amp;AS[[#This Row],[Insurance Category Code]]&amp;"; "&amp;Q754&amp;AS[[#This Row],[Large Provider Entity Code]]&amp;"; "&amp;R754&amp;AS[[#This Row],[Age Band Code]]&amp;"; "&amp;S754&amp;AS[[#This Row],[Sex Code]]</f>
        <v xml:space="preserve">Insurer Code ; Reporting Year ; Insurance Category Code ; Large Provider Entity Code ; Age Band Code ; Sex Code </v>
      </c>
      <c r="N754" s="297" t="s">
        <v>197</v>
      </c>
      <c r="O754" s="297" t="s">
        <v>198</v>
      </c>
      <c r="P754" s="297" t="s">
        <v>199</v>
      </c>
      <c r="Q754" s="297" t="s">
        <v>200</v>
      </c>
      <c r="R754" s="297" t="s">
        <v>213</v>
      </c>
      <c r="S754" s="297" t="s">
        <v>214</v>
      </c>
    </row>
    <row r="755" spans="1:19" x14ac:dyDescent="0.4">
      <c r="A755" s="291"/>
      <c r="B755" s="292"/>
      <c r="C755" s="312"/>
      <c r="D755" s="292"/>
      <c r="E755" s="489"/>
      <c r="F755" s="489"/>
      <c r="G755" s="490"/>
      <c r="H755" s="520"/>
      <c r="I755" s="523"/>
      <c r="J755" s="521"/>
      <c r="K755" s="522"/>
      <c r="M755" s="301" t="str">
        <f>N755&amp;AS[[#This Row],[Insurer Code]]&amp;"; "&amp;O755&amp;AS[[#This Row],[Reporting Year]]&amp;"; "&amp;P755&amp;AS[[#This Row],[Insurance Category Code]]&amp;"; "&amp;Q755&amp;AS[[#This Row],[Large Provider Entity Code]]&amp;"; "&amp;R755&amp;AS[[#This Row],[Age Band Code]]&amp;"; "&amp;S755&amp;AS[[#This Row],[Sex Code]]</f>
        <v xml:space="preserve">Insurer Code ; Reporting Year ; Insurance Category Code ; Large Provider Entity Code ; Age Band Code ; Sex Code </v>
      </c>
      <c r="N755" s="297" t="s">
        <v>197</v>
      </c>
      <c r="O755" s="297" t="s">
        <v>198</v>
      </c>
      <c r="P755" s="297" t="s">
        <v>199</v>
      </c>
      <c r="Q755" s="297" t="s">
        <v>200</v>
      </c>
      <c r="R755" s="297" t="s">
        <v>213</v>
      </c>
      <c r="S755" s="297" t="s">
        <v>214</v>
      </c>
    </row>
    <row r="756" spans="1:19" x14ac:dyDescent="0.4">
      <c r="A756" s="291"/>
      <c r="B756" s="292"/>
      <c r="C756" s="312"/>
      <c r="D756" s="292"/>
      <c r="E756" s="489"/>
      <c r="F756" s="489"/>
      <c r="G756" s="490"/>
      <c r="H756" s="520"/>
      <c r="I756" s="523"/>
      <c r="J756" s="521"/>
      <c r="K756" s="522"/>
      <c r="M756" s="301" t="str">
        <f>N756&amp;AS[[#This Row],[Insurer Code]]&amp;"; "&amp;O756&amp;AS[[#This Row],[Reporting Year]]&amp;"; "&amp;P756&amp;AS[[#This Row],[Insurance Category Code]]&amp;"; "&amp;Q756&amp;AS[[#This Row],[Large Provider Entity Code]]&amp;"; "&amp;R756&amp;AS[[#This Row],[Age Band Code]]&amp;"; "&amp;S756&amp;AS[[#This Row],[Sex Code]]</f>
        <v xml:space="preserve">Insurer Code ; Reporting Year ; Insurance Category Code ; Large Provider Entity Code ; Age Band Code ; Sex Code </v>
      </c>
      <c r="N756" s="297" t="s">
        <v>197</v>
      </c>
      <c r="O756" s="297" t="s">
        <v>198</v>
      </c>
      <c r="P756" s="297" t="s">
        <v>199</v>
      </c>
      <c r="Q756" s="297" t="s">
        <v>200</v>
      </c>
      <c r="R756" s="297" t="s">
        <v>213</v>
      </c>
      <c r="S756" s="297" t="s">
        <v>214</v>
      </c>
    </row>
    <row r="757" spans="1:19" x14ac:dyDescent="0.4">
      <c r="A757" s="291"/>
      <c r="B757" s="292"/>
      <c r="C757" s="312"/>
      <c r="D757" s="292"/>
      <c r="E757" s="489"/>
      <c r="F757" s="489"/>
      <c r="G757" s="490"/>
      <c r="H757" s="520"/>
      <c r="I757" s="523"/>
      <c r="J757" s="521"/>
      <c r="K757" s="522"/>
      <c r="M757" s="301" t="str">
        <f>N757&amp;AS[[#This Row],[Insurer Code]]&amp;"; "&amp;O757&amp;AS[[#This Row],[Reporting Year]]&amp;"; "&amp;P757&amp;AS[[#This Row],[Insurance Category Code]]&amp;"; "&amp;Q757&amp;AS[[#This Row],[Large Provider Entity Code]]&amp;"; "&amp;R757&amp;AS[[#This Row],[Age Band Code]]&amp;"; "&amp;S757&amp;AS[[#This Row],[Sex Code]]</f>
        <v xml:space="preserve">Insurer Code ; Reporting Year ; Insurance Category Code ; Large Provider Entity Code ; Age Band Code ; Sex Code </v>
      </c>
      <c r="N757" s="297" t="s">
        <v>197</v>
      </c>
      <c r="O757" s="297" t="s">
        <v>198</v>
      </c>
      <c r="P757" s="297" t="s">
        <v>199</v>
      </c>
      <c r="Q757" s="297" t="s">
        <v>200</v>
      </c>
      <c r="R757" s="297" t="s">
        <v>213</v>
      </c>
      <c r="S757" s="297" t="s">
        <v>214</v>
      </c>
    </row>
    <row r="758" spans="1:19" x14ac:dyDescent="0.4">
      <c r="A758" s="291"/>
      <c r="B758" s="292"/>
      <c r="C758" s="312"/>
      <c r="D758" s="292"/>
      <c r="E758" s="489"/>
      <c r="F758" s="489"/>
      <c r="G758" s="490"/>
      <c r="H758" s="520"/>
      <c r="I758" s="523"/>
      <c r="J758" s="521"/>
      <c r="K758" s="522"/>
      <c r="M758" s="301" t="str">
        <f>N758&amp;AS[[#This Row],[Insurer Code]]&amp;"; "&amp;O758&amp;AS[[#This Row],[Reporting Year]]&amp;"; "&amp;P758&amp;AS[[#This Row],[Insurance Category Code]]&amp;"; "&amp;Q758&amp;AS[[#This Row],[Large Provider Entity Code]]&amp;"; "&amp;R758&amp;AS[[#This Row],[Age Band Code]]&amp;"; "&amp;S758&amp;AS[[#This Row],[Sex Code]]</f>
        <v xml:space="preserve">Insurer Code ; Reporting Year ; Insurance Category Code ; Large Provider Entity Code ; Age Band Code ; Sex Code </v>
      </c>
      <c r="N758" s="297" t="s">
        <v>197</v>
      </c>
      <c r="O758" s="297" t="s">
        <v>198</v>
      </c>
      <c r="P758" s="297" t="s">
        <v>199</v>
      </c>
      <c r="Q758" s="297" t="s">
        <v>200</v>
      </c>
      <c r="R758" s="297" t="s">
        <v>213</v>
      </c>
      <c r="S758" s="297" t="s">
        <v>214</v>
      </c>
    </row>
    <row r="759" spans="1:19" x14ac:dyDescent="0.4">
      <c r="A759" s="291"/>
      <c r="B759" s="292"/>
      <c r="C759" s="312"/>
      <c r="D759" s="292"/>
      <c r="E759" s="489"/>
      <c r="F759" s="489"/>
      <c r="G759" s="490"/>
      <c r="H759" s="520"/>
      <c r="I759" s="523"/>
      <c r="J759" s="521"/>
      <c r="K759" s="522"/>
      <c r="M759" s="301" t="str">
        <f>N759&amp;AS[[#This Row],[Insurer Code]]&amp;"; "&amp;O759&amp;AS[[#This Row],[Reporting Year]]&amp;"; "&amp;P759&amp;AS[[#This Row],[Insurance Category Code]]&amp;"; "&amp;Q759&amp;AS[[#This Row],[Large Provider Entity Code]]&amp;"; "&amp;R759&amp;AS[[#This Row],[Age Band Code]]&amp;"; "&amp;S759&amp;AS[[#This Row],[Sex Code]]</f>
        <v xml:space="preserve">Insurer Code ; Reporting Year ; Insurance Category Code ; Large Provider Entity Code ; Age Band Code ; Sex Code </v>
      </c>
      <c r="N759" s="297" t="s">
        <v>197</v>
      </c>
      <c r="O759" s="297" t="s">
        <v>198</v>
      </c>
      <c r="P759" s="297" t="s">
        <v>199</v>
      </c>
      <c r="Q759" s="297" t="s">
        <v>200</v>
      </c>
      <c r="R759" s="297" t="s">
        <v>213</v>
      </c>
      <c r="S759" s="297" t="s">
        <v>214</v>
      </c>
    </row>
    <row r="760" spans="1:19" x14ac:dyDescent="0.4">
      <c r="A760" s="291"/>
      <c r="B760" s="292"/>
      <c r="C760" s="312"/>
      <c r="D760" s="292"/>
      <c r="E760" s="489"/>
      <c r="F760" s="489"/>
      <c r="G760" s="490"/>
      <c r="H760" s="520"/>
      <c r="I760" s="523"/>
      <c r="J760" s="521"/>
      <c r="K760" s="522"/>
      <c r="M760" s="301" t="str">
        <f>N760&amp;AS[[#This Row],[Insurer Code]]&amp;"; "&amp;O760&amp;AS[[#This Row],[Reporting Year]]&amp;"; "&amp;P760&amp;AS[[#This Row],[Insurance Category Code]]&amp;"; "&amp;Q760&amp;AS[[#This Row],[Large Provider Entity Code]]&amp;"; "&amp;R760&amp;AS[[#This Row],[Age Band Code]]&amp;"; "&amp;S760&amp;AS[[#This Row],[Sex Code]]</f>
        <v xml:space="preserve">Insurer Code ; Reporting Year ; Insurance Category Code ; Large Provider Entity Code ; Age Band Code ; Sex Code </v>
      </c>
      <c r="N760" s="297" t="s">
        <v>197</v>
      </c>
      <c r="O760" s="297" t="s">
        <v>198</v>
      </c>
      <c r="P760" s="297" t="s">
        <v>199</v>
      </c>
      <c r="Q760" s="297" t="s">
        <v>200</v>
      </c>
      <c r="R760" s="297" t="s">
        <v>213</v>
      </c>
      <c r="S760" s="297" t="s">
        <v>214</v>
      </c>
    </row>
    <row r="761" spans="1:19" x14ac:dyDescent="0.4">
      <c r="A761" s="291"/>
      <c r="B761" s="292"/>
      <c r="C761" s="312"/>
      <c r="D761" s="292"/>
      <c r="E761" s="489"/>
      <c r="F761" s="489"/>
      <c r="G761" s="490"/>
      <c r="H761" s="520"/>
      <c r="I761" s="523"/>
      <c r="J761" s="521"/>
      <c r="K761" s="522"/>
      <c r="M761" s="301" t="str">
        <f>N761&amp;AS[[#This Row],[Insurer Code]]&amp;"; "&amp;O761&amp;AS[[#This Row],[Reporting Year]]&amp;"; "&amp;P761&amp;AS[[#This Row],[Insurance Category Code]]&amp;"; "&amp;Q761&amp;AS[[#This Row],[Large Provider Entity Code]]&amp;"; "&amp;R761&amp;AS[[#This Row],[Age Band Code]]&amp;"; "&amp;S761&amp;AS[[#This Row],[Sex Code]]</f>
        <v xml:space="preserve">Insurer Code ; Reporting Year ; Insurance Category Code ; Large Provider Entity Code ; Age Band Code ; Sex Code </v>
      </c>
      <c r="N761" s="297" t="s">
        <v>197</v>
      </c>
      <c r="O761" s="297" t="s">
        <v>198</v>
      </c>
      <c r="P761" s="297" t="s">
        <v>199</v>
      </c>
      <c r="Q761" s="297" t="s">
        <v>200</v>
      </c>
      <c r="R761" s="297" t="s">
        <v>213</v>
      </c>
      <c r="S761" s="297" t="s">
        <v>214</v>
      </c>
    </row>
    <row r="762" spans="1:19" x14ac:dyDescent="0.4">
      <c r="A762" s="291"/>
      <c r="B762" s="292"/>
      <c r="C762" s="312"/>
      <c r="D762" s="292"/>
      <c r="E762" s="489"/>
      <c r="F762" s="489"/>
      <c r="G762" s="490"/>
      <c r="H762" s="520"/>
      <c r="I762" s="523"/>
      <c r="J762" s="521"/>
      <c r="K762" s="522"/>
      <c r="M762" s="301" t="str">
        <f>N762&amp;AS[[#This Row],[Insurer Code]]&amp;"; "&amp;O762&amp;AS[[#This Row],[Reporting Year]]&amp;"; "&amp;P762&amp;AS[[#This Row],[Insurance Category Code]]&amp;"; "&amp;Q762&amp;AS[[#This Row],[Large Provider Entity Code]]&amp;"; "&amp;R762&amp;AS[[#This Row],[Age Band Code]]&amp;"; "&amp;S762&amp;AS[[#This Row],[Sex Code]]</f>
        <v xml:space="preserve">Insurer Code ; Reporting Year ; Insurance Category Code ; Large Provider Entity Code ; Age Band Code ; Sex Code </v>
      </c>
      <c r="N762" s="297" t="s">
        <v>197</v>
      </c>
      <c r="O762" s="297" t="s">
        <v>198</v>
      </c>
      <c r="P762" s="297" t="s">
        <v>199</v>
      </c>
      <c r="Q762" s="297" t="s">
        <v>200</v>
      </c>
      <c r="R762" s="297" t="s">
        <v>213</v>
      </c>
      <c r="S762" s="297" t="s">
        <v>214</v>
      </c>
    </row>
    <row r="763" spans="1:19" x14ac:dyDescent="0.4">
      <c r="A763" s="291"/>
      <c r="B763" s="292"/>
      <c r="C763" s="312"/>
      <c r="D763" s="292"/>
      <c r="E763" s="489"/>
      <c r="F763" s="489"/>
      <c r="G763" s="490"/>
      <c r="H763" s="520"/>
      <c r="I763" s="523"/>
      <c r="J763" s="521"/>
      <c r="K763" s="522"/>
      <c r="M763" s="301" t="str">
        <f>N763&amp;AS[[#This Row],[Insurer Code]]&amp;"; "&amp;O763&amp;AS[[#This Row],[Reporting Year]]&amp;"; "&amp;P763&amp;AS[[#This Row],[Insurance Category Code]]&amp;"; "&amp;Q763&amp;AS[[#This Row],[Large Provider Entity Code]]&amp;"; "&amp;R763&amp;AS[[#This Row],[Age Band Code]]&amp;"; "&amp;S763&amp;AS[[#This Row],[Sex Code]]</f>
        <v xml:space="preserve">Insurer Code ; Reporting Year ; Insurance Category Code ; Large Provider Entity Code ; Age Band Code ; Sex Code </v>
      </c>
      <c r="N763" s="297" t="s">
        <v>197</v>
      </c>
      <c r="O763" s="297" t="s">
        <v>198</v>
      </c>
      <c r="P763" s="297" t="s">
        <v>199</v>
      </c>
      <c r="Q763" s="297" t="s">
        <v>200</v>
      </c>
      <c r="R763" s="297" t="s">
        <v>213</v>
      </c>
      <c r="S763" s="297" t="s">
        <v>214</v>
      </c>
    </row>
    <row r="764" spans="1:19" x14ac:dyDescent="0.4">
      <c r="A764" s="291"/>
      <c r="B764" s="292"/>
      <c r="C764" s="312"/>
      <c r="D764" s="292"/>
      <c r="E764" s="489"/>
      <c r="F764" s="489"/>
      <c r="G764" s="490"/>
      <c r="H764" s="520"/>
      <c r="I764" s="523"/>
      <c r="J764" s="521"/>
      <c r="K764" s="522"/>
      <c r="M764" s="301" t="str">
        <f>N764&amp;AS[[#This Row],[Insurer Code]]&amp;"; "&amp;O764&amp;AS[[#This Row],[Reporting Year]]&amp;"; "&amp;P764&amp;AS[[#This Row],[Insurance Category Code]]&amp;"; "&amp;Q764&amp;AS[[#This Row],[Large Provider Entity Code]]&amp;"; "&amp;R764&amp;AS[[#This Row],[Age Band Code]]&amp;"; "&amp;S764&amp;AS[[#This Row],[Sex Code]]</f>
        <v xml:space="preserve">Insurer Code ; Reporting Year ; Insurance Category Code ; Large Provider Entity Code ; Age Band Code ; Sex Code </v>
      </c>
      <c r="N764" s="297" t="s">
        <v>197</v>
      </c>
      <c r="O764" s="297" t="s">
        <v>198</v>
      </c>
      <c r="P764" s="297" t="s">
        <v>199</v>
      </c>
      <c r="Q764" s="297" t="s">
        <v>200</v>
      </c>
      <c r="R764" s="297" t="s">
        <v>213</v>
      </c>
      <c r="S764" s="297" t="s">
        <v>214</v>
      </c>
    </row>
    <row r="765" spans="1:19" x14ac:dyDescent="0.4">
      <c r="A765" s="291"/>
      <c r="B765" s="292"/>
      <c r="C765" s="312"/>
      <c r="D765" s="292"/>
      <c r="E765" s="489"/>
      <c r="F765" s="489"/>
      <c r="G765" s="490"/>
      <c r="H765" s="520"/>
      <c r="I765" s="523"/>
      <c r="J765" s="521"/>
      <c r="K765" s="522"/>
      <c r="M765" s="301" t="str">
        <f>N765&amp;AS[[#This Row],[Insurer Code]]&amp;"; "&amp;O765&amp;AS[[#This Row],[Reporting Year]]&amp;"; "&amp;P765&amp;AS[[#This Row],[Insurance Category Code]]&amp;"; "&amp;Q765&amp;AS[[#This Row],[Large Provider Entity Code]]&amp;"; "&amp;R765&amp;AS[[#This Row],[Age Band Code]]&amp;"; "&amp;S765&amp;AS[[#This Row],[Sex Code]]</f>
        <v xml:space="preserve">Insurer Code ; Reporting Year ; Insurance Category Code ; Large Provider Entity Code ; Age Band Code ; Sex Code </v>
      </c>
      <c r="N765" s="297" t="s">
        <v>197</v>
      </c>
      <c r="O765" s="297" t="s">
        <v>198</v>
      </c>
      <c r="P765" s="297" t="s">
        <v>199</v>
      </c>
      <c r="Q765" s="297" t="s">
        <v>200</v>
      </c>
      <c r="R765" s="297" t="s">
        <v>213</v>
      </c>
      <c r="S765" s="297" t="s">
        <v>214</v>
      </c>
    </row>
    <row r="766" spans="1:19" x14ac:dyDescent="0.4">
      <c r="A766" s="291"/>
      <c r="B766" s="292"/>
      <c r="C766" s="312"/>
      <c r="D766" s="292"/>
      <c r="E766" s="489"/>
      <c r="F766" s="489"/>
      <c r="G766" s="490"/>
      <c r="H766" s="520"/>
      <c r="I766" s="523"/>
      <c r="J766" s="521"/>
      <c r="K766" s="522"/>
      <c r="M766" s="301" t="str">
        <f>N766&amp;AS[[#This Row],[Insurer Code]]&amp;"; "&amp;O766&amp;AS[[#This Row],[Reporting Year]]&amp;"; "&amp;P766&amp;AS[[#This Row],[Insurance Category Code]]&amp;"; "&amp;Q766&amp;AS[[#This Row],[Large Provider Entity Code]]&amp;"; "&amp;R766&amp;AS[[#This Row],[Age Band Code]]&amp;"; "&amp;S766&amp;AS[[#This Row],[Sex Code]]</f>
        <v xml:space="preserve">Insurer Code ; Reporting Year ; Insurance Category Code ; Large Provider Entity Code ; Age Band Code ; Sex Code </v>
      </c>
      <c r="N766" s="297" t="s">
        <v>197</v>
      </c>
      <c r="O766" s="297" t="s">
        <v>198</v>
      </c>
      <c r="P766" s="297" t="s">
        <v>199</v>
      </c>
      <c r="Q766" s="297" t="s">
        <v>200</v>
      </c>
      <c r="R766" s="297" t="s">
        <v>213</v>
      </c>
      <c r="S766" s="297" t="s">
        <v>214</v>
      </c>
    </row>
    <row r="767" spans="1:19" x14ac:dyDescent="0.4">
      <c r="A767" s="291"/>
      <c r="B767" s="292"/>
      <c r="C767" s="312"/>
      <c r="D767" s="292"/>
      <c r="E767" s="489"/>
      <c r="F767" s="489"/>
      <c r="G767" s="490"/>
      <c r="H767" s="520"/>
      <c r="I767" s="523"/>
      <c r="J767" s="521"/>
      <c r="K767" s="522"/>
      <c r="M767" s="301" t="str">
        <f>N767&amp;AS[[#This Row],[Insurer Code]]&amp;"; "&amp;O767&amp;AS[[#This Row],[Reporting Year]]&amp;"; "&amp;P767&amp;AS[[#This Row],[Insurance Category Code]]&amp;"; "&amp;Q767&amp;AS[[#This Row],[Large Provider Entity Code]]&amp;"; "&amp;R767&amp;AS[[#This Row],[Age Band Code]]&amp;"; "&amp;S767&amp;AS[[#This Row],[Sex Code]]</f>
        <v xml:space="preserve">Insurer Code ; Reporting Year ; Insurance Category Code ; Large Provider Entity Code ; Age Band Code ; Sex Code </v>
      </c>
      <c r="N767" s="297" t="s">
        <v>197</v>
      </c>
      <c r="O767" s="297" t="s">
        <v>198</v>
      </c>
      <c r="P767" s="297" t="s">
        <v>199</v>
      </c>
      <c r="Q767" s="297" t="s">
        <v>200</v>
      </c>
      <c r="R767" s="297" t="s">
        <v>213</v>
      </c>
      <c r="S767" s="297" t="s">
        <v>214</v>
      </c>
    </row>
    <row r="768" spans="1:19" x14ac:dyDescent="0.4">
      <c r="A768" s="291"/>
      <c r="B768" s="292"/>
      <c r="C768" s="312"/>
      <c r="D768" s="292"/>
      <c r="E768" s="489"/>
      <c r="F768" s="489"/>
      <c r="G768" s="490"/>
      <c r="H768" s="520"/>
      <c r="I768" s="523"/>
      <c r="J768" s="521"/>
      <c r="K768" s="522"/>
      <c r="M768" s="301" t="str">
        <f>N768&amp;AS[[#This Row],[Insurer Code]]&amp;"; "&amp;O768&amp;AS[[#This Row],[Reporting Year]]&amp;"; "&amp;P768&amp;AS[[#This Row],[Insurance Category Code]]&amp;"; "&amp;Q768&amp;AS[[#This Row],[Large Provider Entity Code]]&amp;"; "&amp;R768&amp;AS[[#This Row],[Age Band Code]]&amp;"; "&amp;S768&amp;AS[[#This Row],[Sex Code]]</f>
        <v xml:space="preserve">Insurer Code ; Reporting Year ; Insurance Category Code ; Large Provider Entity Code ; Age Band Code ; Sex Code </v>
      </c>
      <c r="N768" s="297" t="s">
        <v>197</v>
      </c>
      <c r="O768" s="297" t="s">
        <v>198</v>
      </c>
      <c r="P768" s="297" t="s">
        <v>199</v>
      </c>
      <c r="Q768" s="297" t="s">
        <v>200</v>
      </c>
      <c r="R768" s="297" t="s">
        <v>213</v>
      </c>
      <c r="S768" s="297" t="s">
        <v>214</v>
      </c>
    </row>
    <row r="769" spans="1:19" x14ac:dyDescent="0.4">
      <c r="A769" s="291"/>
      <c r="B769" s="292"/>
      <c r="C769" s="312"/>
      <c r="D769" s="292"/>
      <c r="E769" s="489"/>
      <c r="F769" s="489"/>
      <c r="G769" s="490"/>
      <c r="H769" s="520"/>
      <c r="I769" s="523"/>
      <c r="J769" s="521"/>
      <c r="K769" s="522"/>
      <c r="M769" s="301" t="str">
        <f>N769&amp;AS[[#This Row],[Insurer Code]]&amp;"; "&amp;O769&amp;AS[[#This Row],[Reporting Year]]&amp;"; "&amp;P769&amp;AS[[#This Row],[Insurance Category Code]]&amp;"; "&amp;Q769&amp;AS[[#This Row],[Large Provider Entity Code]]&amp;"; "&amp;R769&amp;AS[[#This Row],[Age Band Code]]&amp;"; "&amp;S769&amp;AS[[#This Row],[Sex Code]]</f>
        <v xml:space="preserve">Insurer Code ; Reporting Year ; Insurance Category Code ; Large Provider Entity Code ; Age Band Code ; Sex Code </v>
      </c>
      <c r="N769" s="297" t="s">
        <v>197</v>
      </c>
      <c r="O769" s="297" t="s">
        <v>198</v>
      </c>
      <c r="P769" s="297" t="s">
        <v>199</v>
      </c>
      <c r="Q769" s="297" t="s">
        <v>200</v>
      </c>
      <c r="R769" s="297" t="s">
        <v>213</v>
      </c>
      <c r="S769" s="297" t="s">
        <v>214</v>
      </c>
    </row>
    <row r="770" spans="1:19" x14ac:dyDescent="0.4">
      <c r="A770" s="291"/>
      <c r="B770" s="292"/>
      <c r="C770" s="312"/>
      <c r="D770" s="292"/>
      <c r="E770" s="489"/>
      <c r="F770" s="489"/>
      <c r="G770" s="490"/>
      <c r="H770" s="520"/>
      <c r="I770" s="523"/>
      <c r="J770" s="521"/>
      <c r="K770" s="522"/>
      <c r="M770" s="301" t="str">
        <f>N770&amp;AS[[#This Row],[Insurer Code]]&amp;"; "&amp;O770&amp;AS[[#This Row],[Reporting Year]]&amp;"; "&amp;P770&amp;AS[[#This Row],[Insurance Category Code]]&amp;"; "&amp;Q770&amp;AS[[#This Row],[Large Provider Entity Code]]&amp;"; "&amp;R770&amp;AS[[#This Row],[Age Band Code]]&amp;"; "&amp;S770&amp;AS[[#This Row],[Sex Code]]</f>
        <v xml:space="preserve">Insurer Code ; Reporting Year ; Insurance Category Code ; Large Provider Entity Code ; Age Band Code ; Sex Code </v>
      </c>
      <c r="N770" s="297" t="s">
        <v>197</v>
      </c>
      <c r="O770" s="297" t="s">
        <v>198</v>
      </c>
      <c r="P770" s="297" t="s">
        <v>199</v>
      </c>
      <c r="Q770" s="297" t="s">
        <v>200</v>
      </c>
      <c r="R770" s="297" t="s">
        <v>213</v>
      </c>
      <c r="S770" s="297" t="s">
        <v>214</v>
      </c>
    </row>
    <row r="771" spans="1:19" x14ac:dyDescent="0.4">
      <c r="A771" s="291"/>
      <c r="B771" s="292"/>
      <c r="C771" s="312"/>
      <c r="D771" s="292"/>
      <c r="E771" s="489"/>
      <c r="F771" s="489"/>
      <c r="G771" s="490"/>
      <c r="H771" s="520"/>
      <c r="I771" s="523"/>
      <c r="J771" s="521"/>
      <c r="K771" s="522"/>
      <c r="M771" s="301" t="str">
        <f>N771&amp;AS[[#This Row],[Insurer Code]]&amp;"; "&amp;O771&amp;AS[[#This Row],[Reporting Year]]&amp;"; "&amp;P771&amp;AS[[#This Row],[Insurance Category Code]]&amp;"; "&amp;Q771&amp;AS[[#This Row],[Large Provider Entity Code]]&amp;"; "&amp;R771&amp;AS[[#This Row],[Age Band Code]]&amp;"; "&amp;S771&amp;AS[[#This Row],[Sex Code]]</f>
        <v xml:space="preserve">Insurer Code ; Reporting Year ; Insurance Category Code ; Large Provider Entity Code ; Age Band Code ; Sex Code </v>
      </c>
      <c r="N771" s="297" t="s">
        <v>197</v>
      </c>
      <c r="O771" s="297" t="s">
        <v>198</v>
      </c>
      <c r="P771" s="297" t="s">
        <v>199</v>
      </c>
      <c r="Q771" s="297" t="s">
        <v>200</v>
      </c>
      <c r="R771" s="297" t="s">
        <v>213</v>
      </c>
      <c r="S771" s="297" t="s">
        <v>214</v>
      </c>
    </row>
    <row r="772" spans="1:19" x14ac:dyDescent="0.4">
      <c r="A772" s="291"/>
      <c r="B772" s="292"/>
      <c r="C772" s="312"/>
      <c r="D772" s="292"/>
      <c r="E772" s="489"/>
      <c r="F772" s="489"/>
      <c r="G772" s="490"/>
      <c r="H772" s="520"/>
      <c r="I772" s="523"/>
      <c r="J772" s="521"/>
      <c r="K772" s="522"/>
      <c r="M772" s="301" t="str">
        <f>N772&amp;AS[[#This Row],[Insurer Code]]&amp;"; "&amp;O772&amp;AS[[#This Row],[Reporting Year]]&amp;"; "&amp;P772&amp;AS[[#This Row],[Insurance Category Code]]&amp;"; "&amp;Q772&amp;AS[[#This Row],[Large Provider Entity Code]]&amp;"; "&amp;R772&amp;AS[[#This Row],[Age Band Code]]&amp;"; "&amp;S772&amp;AS[[#This Row],[Sex Code]]</f>
        <v xml:space="preserve">Insurer Code ; Reporting Year ; Insurance Category Code ; Large Provider Entity Code ; Age Band Code ; Sex Code </v>
      </c>
      <c r="N772" s="297" t="s">
        <v>197</v>
      </c>
      <c r="O772" s="297" t="s">
        <v>198</v>
      </c>
      <c r="P772" s="297" t="s">
        <v>199</v>
      </c>
      <c r="Q772" s="297" t="s">
        <v>200</v>
      </c>
      <c r="R772" s="297" t="s">
        <v>213</v>
      </c>
      <c r="S772" s="297" t="s">
        <v>214</v>
      </c>
    </row>
    <row r="773" spans="1:19" x14ac:dyDescent="0.4">
      <c r="A773" s="291"/>
      <c r="B773" s="292"/>
      <c r="C773" s="312"/>
      <c r="D773" s="292"/>
      <c r="E773" s="489"/>
      <c r="F773" s="489"/>
      <c r="G773" s="490"/>
      <c r="H773" s="520"/>
      <c r="I773" s="523"/>
      <c r="J773" s="521"/>
      <c r="K773" s="522"/>
      <c r="M773" s="301" t="str">
        <f>N773&amp;AS[[#This Row],[Insurer Code]]&amp;"; "&amp;O773&amp;AS[[#This Row],[Reporting Year]]&amp;"; "&amp;P773&amp;AS[[#This Row],[Insurance Category Code]]&amp;"; "&amp;Q773&amp;AS[[#This Row],[Large Provider Entity Code]]&amp;"; "&amp;R773&amp;AS[[#This Row],[Age Band Code]]&amp;"; "&amp;S773&amp;AS[[#This Row],[Sex Code]]</f>
        <v xml:space="preserve">Insurer Code ; Reporting Year ; Insurance Category Code ; Large Provider Entity Code ; Age Band Code ; Sex Code </v>
      </c>
      <c r="N773" s="297" t="s">
        <v>197</v>
      </c>
      <c r="O773" s="297" t="s">
        <v>198</v>
      </c>
      <c r="P773" s="297" t="s">
        <v>199</v>
      </c>
      <c r="Q773" s="297" t="s">
        <v>200</v>
      </c>
      <c r="R773" s="297" t="s">
        <v>213</v>
      </c>
      <c r="S773" s="297" t="s">
        <v>214</v>
      </c>
    </row>
    <row r="774" spans="1:19" x14ac:dyDescent="0.4">
      <c r="A774" s="291"/>
      <c r="B774" s="292"/>
      <c r="C774" s="312"/>
      <c r="D774" s="292"/>
      <c r="E774" s="489"/>
      <c r="F774" s="489"/>
      <c r="G774" s="490"/>
      <c r="H774" s="520"/>
      <c r="I774" s="523"/>
      <c r="J774" s="521"/>
      <c r="K774" s="522"/>
      <c r="M774" s="301" t="str">
        <f>N774&amp;AS[[#This Row],[Insurer Code]]&amp;"; "&amp;O774&amp;AS[[#This Row],[Reporting Year]]&amp;"; "&amp;P774&amp;AS[[#This Row],[Insurance Category Code]]&amp;"; "&amp;Q774&amp;AS[[#This Row],[Large Provider Entity Code]]&amp;"; "&amp;R774&amp;AS[[#This Row],[Age Band Code]]&amp;"; "&amp;S774&amp;AS[[#This Row],[Sex Code]]</f>
        <v xml:space="preserve">Insurer Code ; Reporting Year ; Insurance Category Code ; Large Provider Entity Code ; Age Band Code ; Sex Code </v>
      </c>
      <c r="N774" s="297" t="s">
        <v>197</v>
      </c>
      <c r="O774" s="297" t="s">
        <v>198</v>
      </c>
      <c r="P774" s="297" t="s">
        <v>199</v>
      </c>
      <c r="Q774" s="297" t="s">
        <v>200</v>
      </c>
      <c r="R774" s="297" t="s">
        <v>213</v>
      </c>
      <c r="S774" s="297" t="s">
        <v>214</v>
      </c>
    </row>
    <row r="775" spans="1:19" x14ac:dyDescent="0.4">
      <c r="A775" s="291"/>
      <c r="B775" s="292"/>
      <c r="C775" s="312"/>
      <c r="D775" s="292"/>
      <c r="E775" s="489"/>
      <c r="F775" s="489"/>
      <c r="G775" s="490"/>
      <c r="H775" s="520"/>
      <c r="I775" s="523"/>
      <c r="J775" s="521"/>
      <c r="K775" s="522"/>
      <c r="M775" s="301" t="str">
        <f>N775&amp;AS[[#This Row],[Insurer Code]]&amp;"; "&amp;O775&amp;AS[[#This Row],[Reporting Year]]&amp;"; "&amp;P775&amp;AS[[#This Row],[Insurance Category Code]]&amp;"; "&amp;Q775&amp;AS[[#This Row],[Large Provider Entity Code]]&amp;"; "&amp;R775&amp;AS[[#This Row],[Age Band Code]]&amp;"; "&amp;S775&amp;AS[[#This Row],[Sex Code]]</f>
        <v xml:space="preserve">Insurer Code ; Reporting Year ; Insurance Category Code ; Large Provider Entity Code ; Age Band Code ; Sex Code </v>
      </c>
      <c r="N775" s="297" t="s">
        <v>197</v>
      </c>
      <c r="O775" s="297" t="s">
        <v>198</v>
      </c>
      <c r="P775" s="297" t="s">
        <v>199</v>
      </c>
      <c r="Q775" s="297" t="s">
        <v>200</v>
      </c>
      <c r="R775" s="297" t="s">
        <v>213</v>
      </c>
      <c r="S775" s="297" t="s">
        <v>214</v>
      </c>
    </row>
    <row r="776" spans="1:19" x14ac:dyDescent="0.4">
      <c r="A776" s="291"/>
      <c r="B776" s="292"/>
      <c r="C776" s="312"/>
      <c r="D776" s="292"/>
      <c r="E776" s="489"/>
      <c r="F776" s="489"/>
      <c r="G776" s="490"/>
      <c r="H776" s="520"/>
      <c r="I776" s="523"/>
      <c r="J776" s="521"/>
      <c r="K776" s="522"/>
      <c r="M776" s="301" t="str">
        <f>N776&amp;AS[[#This Row],[Insurer Code]]&amp;"; "&amp;O776&amp;AS[[#This Row],[Reporting Year]]&amp;"; "&amp;P776&amp;AS[[#This Row],[Insurance Category Code]]&amp;"; "&amp;Q776&amp;AS[[#This Row],[Large Provider Entity Code]]&amp;"; "&amp;R776&amp;AS[[#This Row],[Age Band Code]]&amp;"; "&amp;S776&amp;AS[[#This Row],[Sex Code]]</f>
        <v xml:space="preserve">Insurer Code ; Reporting Year ; Insurance Category Code ; Large Provider Entity Code ; Age Band Code ; Sex Code </v>
      </c>
      <c r="N776" s="297" t="s">
        <v>197</v>
      </c>
      <c r="O776" s="297" t="s">
        <v>198</v>
      </c>
      <c r="P776" s="297" t="s">
        <v>199</v>
      </c>
      <c r="Q776" s="297" t="s">
        <v>200</v>
      </c>
      <c r="R776" s="297" t="s">
        <v>213</v>
      </c>
      <c r="S776" s="297" t="s">
        <v>214</v>
      </c>
    </row>
    <row r="777" spans="1:19" x14ac:dyDescent="0.4">
      <c r="A777" s="291"/>
      <c r="B777" s="292"/>
      <c r="C777" s="312"/>
      <c r="D777" s="292"/>
      <c r="E777" s="489"/>
      <c r="F777" s="489"/>
      <c r="G777" s="490"/>
      <c r="H777" s="520"/>
      <c r="I777" s="523"/>
      <c r="J777" s="521"/>
      <c r="K777" s="522"/>
      <c r="M777" s="301" t="str">
        <f>N777&amp;AS[[#This Row],[Insurer Code]]&amp;"; "&amp;O777&amp;AS[[#This Row],[Reporting Year]]&amp;"; "&amp;P777&amp;AS[[#This Row],[Insurance Category Code]]&amp;"; "&amp;Q777&amp;AS[[#This Row],[Large Provider Entity Code]]&amp;"; "&amp;R777&amp;AS[[#This Row],[Age Band Code]]&amp;"; "&amp;S777&amp;AS[[#This Row],[Sex Code]]</f>
        <v xml:space="preserve">Insurer Code ; Reporting Year ; Insurance Category Code ; Large Provider Entity Code ; Age Band Code ; Sex Code </v>
      </c>
      <c r="N777" s="297" t="s">
        <v>197</v>
      </c>
      <c r="O777" s="297" t="s">
        <v>198</v>
      </c>
      <c r="P777" s="297" t="s">
        <v>199</v>
      </c>
      <c r="Q777" s="297" t="s">
        <v>200</v>
      </c>
      <c r="R777" s="297" t="s">
        <v>213</v>
      </c>
      <c r="S777" s="297" t="s">
        <v>214</v>
      </c>
    </row>
    <row r="778" spans="1:19" x14ac:dyDescent="0.4">
      <c r="A778" s="291"/>
      <c r="B778" s="292"/>
      <c r="C778" s="312"/>
      <c r="D778" s="292"/>
      <c r="E778" s="489"/>
      <c r="F778" s="489"/>
      <c r="G778" s="490"/>
      <c r="H778" s="520"/>
      <c r="I778" s="523"/>
      <c r="J778" s="521"/>
      <c r="K778" s="522"/>
      <c r="M778" s="301" t="str">
        <f>N778&amp;AS[[#This Row],[Insurer Code]]&amp;"; "&amp;O778&amp;AS[[#This Row],[Reporting Year]]&amp;"; "&amp;P778&amp;AS[[#This Row],[Insurance Category Code]]&amp;"; "&amp;Q778&amp;AS[[#This Row],[Large Provider Entity Code]]&amp;"; "&amp;R778&amp;AS[[#This Row],[Age Band Code]]&amp;"; "&amp;S778&amp;AS[[#This Row],[Sex Code]]</f>
        <v xml:space="preserve">Insurer Code ; Reporting Year ; Insurance Category Code ; Large Provider Entity Code ; Age Band Code ; Sex Code </v>
      </c>
      <c r="N778" s="297" t="s">
        <v>197</v>
      </c>
      <c r="O778" s="297" t="s">
        <v>198</v>
      </c>
      <c r="P778" s="297" t="s">
        <v>199</v>
      </c>
      <c r="Q778" s="297" t="s">
        <v>200</v>
      </c>
      <c r="R778" s="297" t="s">
        <v>213</v>
      </c>
      <c r="S778" s="297" t="s">
        <v>214</v>
      </c>
    </row>
    <row r="779" spans="1:19" x14ac:dyDescent="0.4">
      <c r="A779" s="291"/>
      <c r="B779" s="292"/>
      <c r="C779" s="312"/>
      <c r="D779" s="292"/>
      <c r="E779" s="489"/>
      <c r="F779" s="489"/>
      <c r="G779" s="490"/>
      <c r="H779" s="520"/>
      <c r="I779" s="523"/>
      <c r="J779" s="521"/>
      <c r="K779" s="522"/>
      <c r="M779" s="301" t="str">
        <f>N779&amp;AS[[#This Row],[Insurer Code]]&amp;"; "&amp;O779&amp;AS[[#This Row],[Reporting Year]]&amp;"; "&amp;P779&amp;AS[[#This Row],[Insurance Category Code]]&amp;"; "&amp;Q779&amp;AS[[#This Row],[Large Provider Entity Code]]&amp;"; "&amp;R779&amp;AS[[#This Row],[Age Band Code]]&amp;"; "&amp;S779&amp;AS[[#This Row],[Sex Code]]</f>
        <v xml:space="preserve">Insurer Code ; Reporting Year ; Insurance Category Code ; Large Provider Entity Code ; Age Band Code ; Sex Code </v>
      </c>
      <c r="N779" s="297" t="s">
        <v>197</v>
      </c>
      <c r="O779" s="297" t="s">
        <v>198</v>
      </c>
      <c r="P779" s="297" t="s">
        <v>199</v>
      </c>
      <c r="Q779" s="297" t="s">
        <v>200</v>
      </c>
      <c r="R779" s="297" t="s">
        <v>213</v>
      </c>
      <c r="S779" s="297" t="s">
        <v>214</v>
      </c>
    </row>
    <row r="780" spans="1:19" x14ac:dyDescent="0.4">
      <c r="A780" s="291"/>
      <c r="B780" s="292"/>
      <c r="C780" s="312"/>
      <c r="D780" s="292"/>
      <c r="E780" s="489"/>
      <c r="F780" s="489"/>
      <c r="G780" s="490"/>
      <c r="H780" s="520"/>
      <c r="I780" s="523"/>
      <c r="J780" s="521"/>
      <c r="K780" s="522"/>
      <c r="M780" s="301" t="str">
        <f>N780&amp;AS[[#This Row],[Insurer Code]]&amp;"; "&amp;O780&amp;AS[[#This Row],[Reporting Year]]&amp;"; "&amp;P780&amp;AS[[#This Row],[Insurance Category Code]]&amp;"; "&amp;Q780&amp;AS[[#This Row],[Large Provider Entity Code]]&amp;"; "&amp;R780&amp;AS[[#This Row],[Age Band Code]]&amp;"; "&amp;S780&amp;AS[[#This Row],[Sex Code]]</f>
        <v xml:space="preserve">Insurer Code ; Reporting Year ; Insurance Category Code ; Large Provider Entity Code ; Age Band Code ; Sex Code </v>
      </c>
      <c r="N780" s="297" t="s">
        <v>197</v>
      </c>
      <c r="O780" s="297" t="s">
        <v>198</v>
      </c>
      <c r="P780" s="297" t="s">
        <v>199</v>
      </c>
      <c r="Q780" s="297" t="s">
        <v>200</v>
      </c>
      <c r="R780" s="297" t="s">
        <v>213</v>
      </c>
      <c r="S780" s="297" t="s">
        <v>214</v>
      </c>
    </row>
    <row r="781" spans="1:19" x14ac:dyDescent="0.4">
      <c r="A781" s="291"/>
      <c r="B781" s="292"/>
      <c r="C781" s="312"/>
      <c r="D781" s="292"/>
      <c r="E781" s="489"/>
      <c r="F781" s="489"/>
      <c r="G781" s="490"/>
      <c r="H781" s="520"/>
      <c r="I781" s="523"/>
      <c r="J781" s="521"/>
      <c r="K781" s="522"/>
      <c r="M781" s="301" t="str">
        <f>N781&amp;AS[[#This Row],[Insurer Code]]&amp;"; "&amp;O781&amp;AS[[#This Row],[Reporting Year]]&amp;"; "&amp;P781&amp;AS[[#This Row],[Insurance Category Code]]&amp;"; "&amp;Q781&amp;AS[[#This Row],[Large Provider Entity Code]]&amp;"; "&amp;R781&amp;AS[[#This Row],[Age Band Code]]&amp;"; "&amp;S781&amp;AS[[#This Row],[Sex Code]]</f>
        <v xml:space="preserve">Insurer Code ; Reporting Year ; Insurance Category Code ; Large Provider Entity Code ; Age Band Code ; Sex Code </v>
      </c>
      <c r="N781" s="297" t="s">
        <v>197</v>
      </c>
      <c r="O781" s="297" t="s">
        <v>198</v>
      </c>
      <c r="P781" s="297" t="s">
        <v>199</v>
      </c>
      <c r="Q781" s="297" t="s">
        <v>200</v>
      </c>
      <c r="R781" s="297" t="s">
        <v>213</v>
      </c>
      <c r="S781" s="297" t="s">
        <v>214</v>
      </c>
    </row>
    <row r="782" spans="1:19" x14ac:dyDescent="0.4">
      <c r="A782" s="291"/>
      <c r="B782" s="292"/>
      <c r="C782" s="312"/>
      <c r="D782" s="292"/>
      <c r="E782" s="489"/>
      <c r="F782" s="489"/>
      <c r="G782" s="490"/>
      <c r="H782" s="520"/>
      <c r="I782" s="523"/>
      <c r="J782" s="521"/>
      <c r="K782" s="522"/>
      <c r="M782" s="301" t="str">
        <f>N782&amp;AS[[#This Row],[Insurer Code]]&amp;"; "&amp;O782&amp;AS[[#This Row],[Reporting Year]]&amp;"; "&amp;P782&amp;AS[[#This Row],[Insurance Category Code]]&amp;"; "&amp;Q782&amp;AS[[#This Row],[Large Provider Entity Code]]&amp;"; "&amp;R782&amp;AS[[#This Row],[Age Band Code]]&amp;"; "&amp;S782&amp;AS[[#This Row],[Sex Code]]</f>
        <v xml:space="preserve">Insurer Code ; Reporting Year ; Insurance Category Code ; Large Provider Entity Code ; Age Band Code ; Sex Code </v>
      </c>
      <c r="N782" s="297" t="s">
        <v>197</v>
      </c>
      <c r="O782" s="297" t="s">
        <v>198</v>
      </c>
      <c r="P782" s="297" t="s">
        <v>199</v>
      </c>
      <c r="Q782" s="297" t="s">
        <v>200</v>
      </c>
      <c r="R782" s="297" t="s">
        <v>213</v>
      </c>
      <c r="S782" s="297" t="s">
        <v>214</v>
      </c>
    </row>
    <row r="783" spans="1:19" x14ac:dyDescent="0.4">
      <c r="A783" s="291"/>
      <c r="B783" s="292"/>
      <c r="C783" s="312"/>
      <c r="D783" s="292"/>
      <c r="E783" s="489"/>
      <c r="F783" s="489"/>
      <c r="G783" s="490"/>
      <c r="H783" s="520"/>
      <c r="I783" s="523"/>
      <c r="J783" s="521"/>
      <c r="K783" s="522"/>
      <c r="M783" s="301" t="str">
        <f>N783&amp;AS[[#This Row],[Insurer Code]]&amp;"; "&amp;O783&amp;AS[[#This Row],[Reporting Year]]&amp;"; "&amp;P783&amp;AS[[#This Row],[Insurance Category Code]]&amp;"; "&amp;Q783&amp;AS[[#This Row],[Large Provider Entity Code]]&amp;"; "&amp;R783&amp;AS[[#This Row],[Age Band Code]]&amp;"; "&amp;S783&amp;AS[[#This Row],[Sex Code]]</f>
        <v xml:space="preserve">Insurer Code ; Reporting Year ; Insurance Category Code ; Large Provider Entity Code ; Age Band Code ; Sex Code </v>
      </c>
      <c r="N783" s="297" t="s">
        <v>197</v>
      </c>
      <c r="O783" s="297" t="s">
        <v>198</v>
      </c>
      <c r="P783" s="297" t="s">
        <v>199</v>
      </c>
      <c r="Q783" s="297" t="s">
        <v>200</v>
      </c>
      <c r="R783" s="297" t="s">
        <v>213</v>
      </c>
      <c r="S783" s="297" t="s">
        <v>214</v>
      </c>
    </row>
    <row r="784" spans="1:19" x14ac:dyDescent="0.4">
      <c r="A784" s="291"/>
      <c r="B784" s="292"/>
      <c r="C784" s="312"/>
      <c r="D784" s="292"/>
      <c r="E784" s="489"/>
      <c r="F784" s="489"/>
      <c r="G784" s="490"/>
      <c r="H784" s="520"/>
      <c r="I784" s="523"/>
      <c r="J784" s="521"/>
      <c r="K784" s="522"/>
      <c r="M784" s="301" t="str">
        <f>N784&amp;AS[[#This Row],[Insurer Code]]&amp;"; "&amp;O784&amp;AS[[#This Row],[Reporting Year]]&amp;"; "&amp;P784&amp;AS[[#This Row],[Insurance Category Code]]&amp;"; "&amp;Q784&amp;AS[[#This Row],[Large Provider Entity Code]]&amp;"; "&amp;R784&amp;AS[[#This Row],[Age Band Code]]&amp;"; "&amp;S784&amp;AS[[#This Row],[Sex Code]]</f>
        <v xml:space="preserve">Insurer Code ; Reporting Year ; Insurance Category Code ; Large Provider Entity Code ; Age Band Code ; Sex Code </v>
      </c>
      <c r="N784" s="297" t="s">
        <v>197</v>
      </c>
      <c r="O784" s="297" t="s">
        <v>198</v>
      </c>
      <c r="P784" s="297" t="s">
        <v>199</v>
      </c>
      <c r="Q784" s="297" t="s">
        <v>200</v>
      </c>
      <c r="R784" s="297" t="s">
        <v>213</v>
      </c>
      <c r="S784" s="297" t="s">
        <v>214</v>
      </c>
    </row>
    <row r="785" spans="1:19" x14ac:dyDescent="0.4">
      <c r="A785" s="291"/>
      <c r="B785" s="292"/>
      <c r="C785" s="312"/>
      <c r="D785" s="292"/>
      <c r="E785" s="489"/>
      <c r="F785" s="489"/>
      <c r="G785" s="490"/>
      <c r="H785" s="520"/>
      <c r="I785" s="523"/>
      <c r="J785" s="521"/>
      <c r="K785" s="522"/>
      <c r="M785" s="301" t="str">
        <f>N785&amp;AS[[#This Row],[Insurer Code]]&amp;"; "&amp;O785&amp;AS[[#This Row],[Reporting Year]]&amp;"; "&amp;P785&amp;AS[[#This Row],[Insurance Category Code]]&amp;"; "&amp;Q785&amp;AS[[#This Row],[Large Provider Entity Code]]&amp;"; "&amp;R785&amp;AS[[#This Row],[Age Band Code]]&amp;"; "&amp;S785&amp;AS[[#This Row],[Sex Code]]</f>
        <v xml:space="preserve">Insurer Code ; Reporting Year ; Insurance Category Code ; Large Provider Entity Code ; Age Band Code ; Sex Code </v>
      </c>
      <c r="N785" s="297" t="s">
        <v>197</v>
      </c>
      <c r="O785" s="297" t="s">
        <v>198</v>
      </c>
      <c r="P785" s="297" t="s">
        <v>199</v>
      </c>
      <c r="Q785" s="297" t="s">
        <v>200</v>
      </c>
      <c r="R785" s="297" t="s">
        <v>213</v>
      </c>
      <c r="S785" s="297" t="s">
        <v>214</v>
      </c>
    </row>
    <row r="786" spans="1:19" x14ac:dyDescent="0.4">
      <c r="A786" s="291"/>
      <c r="B786" s="292"/>
      <c r="C786" s="312"/>
      <c r="D786" s="292"/>
      <c r="E786" s="489"/>
      <c r="F786" s="489"/>
      <c r="G786" s="490"/>
      <c r="H786" s="520"/>
      <c r="I786" s="523"/>
      <c r="J786" s="521"/>
      <c r="K786" s="522"/>
      <c r="M786" s="301" t="str">
        <f>N786&amp;AS[[#This Row],[Insurer Code]]&amp;"; "&amp;O786&amp;AS[[#This Row],[Reporting Year]]&amp;"; "&amp;P786&amp;AS[[#This Row],[Insurance Category Code]]&amp;"; "&amp;Q786&amp;AS[[#This Row],[Large Provider Entity Code]]&amp;"; "&amp;R786&amp;AS[[#This Row],[Age Band Code]]&amp;"; "&amp;S786&amp;AS[[#This Row],[Sex Code]]</f>
        <v xml:space="preserve">Insurer Code ; Reporting Year ; Insurance Category Code ; Large Provider Entity Code ; Age Band Code ; Sex Code </v>
      </c>
      <c r="N786" s="297" t="s">
        <v>197</v>
      </c>
      <c r="O786" s="297" t="s">
        <v>198</v>
      </c>
      <c r="P786" s="297" t="s">
        <v>199</v>
      </c>
      <c r="Q786" s="297" t="s">
        <v>200</v>
      </c>
      <c r="R786" s="297" t="s">
        <v>213</v>
      </c>
      <c r="S786" s="297" t="s">
        <v>214</v>
      </c>
    </row>
    <row r="787" spans="1:19" x14ac:dyDescent="0.4">
      <c r="A787" s="291"/>
      <c r="B787" s="292"/>
      <c r="C787" s="312"/>
      <c r="D787" s="292"/>
      <c r="E787" s="489"/>
      <c r="F787" s="489"/>
      <c r="G787" s="490"/>
      <c r="H787" s="520"/>
      <c r="I787" s="523"/>
      <c r="J787" s="521"/>
      <c r="K787" s="522"/>
      <c r="M787" s="301" t="str">
        <f>N787&amp;AS[[#This Row],[Insurer Code]]&amp;"; "&amp;O787&amp;AS[[#This Row],[Reporting Year]]&amp;"; "&amp;P787&amp;AS[[#This Row],[Insurance Category Code]]&amp;"; "&amp;Q787&amp;AS[[#This Row],[Large Provider Entity Code]]&amp;"; "&amp;R787&amp;AS[[#This Row],[Age Band Code]]&amp;"; "&amp;S787&amp;AS[[#This Row],[Sex Code]]</f>
        <v xml:space="preserve">Insurer Code ; Reporting Year ; Insurance Category Code ; Large Provider Entity Code ; Age Band Code ; Sex Code </v>
      </c>
      <c r="N787" s="297" t="s">
        <v>197</v>
      </c>
      <c r="O787" s="297" t="s">
        <v>198</v>
      </c>
      <c r="P787" s="297" t="s">
        <v>199</v>
      </c>
      <c r="Q787" s="297" t="s">
        <v>200</v>
      </c>
      <c r="R787" s="297" t="s">
        <v>213</v>
      </c>
      <c r="S787" s="297" t="s">
        <v>214</v>
      </c>
    </row>
    <row r="788" spans="1:19" x14ac:dyDescent="0.4">
      <c r="A788" s="291"/>
      <c r="B788" s="292"/>
      <c r="C788" s="312"/>
      <c r="D788" s="292"/>
      <c r="E788" s="489"/>
      <c r="F788" s="489"/>
      <c r="G788" s="490"/>
      <c r="H788" s="520"/>
      <c r="I788" s="523"/>
      <c r="J788" s="521"/>
      <c r="K788" s="522"/>
      <c r="M788" s="301" t="str">
        <f>N788&amp;AS[[#This Row],[Insurer Code]]&amp;"; "&amp;O788&amp;AS[[#This Row],[Reporting Year]]&amp;"; "&amp;P788&amp;AS[[#This Row],[Insurance Category Code]]&amp;"; "&amp;Q788&amp;AS[[#This Row],[Large Provider Entity Code]]&amp;"; "&amp;R788&amp;AS[[#This Row],[Age Band Code]]&amp;"; "&amp;S788&amp;AS[[#This Row],[Sex Code]]</f>
        <v xml:space="preserve">Insurer Code ; Reporting Year ; Insurance Category Code ; Large Provider Entity Code ; Age Band Code ; Sex Code </v>
      </c>
      <c r="N788" s="297" t="s">
        <v>197</v>
      </c>
      <c r="O788" s="297" t="s">
        <v>198</v>
      </c>
      <c r="P788" s="297" t="s">
        <v>199</v>
      </c>
      <c r="Q788" s="297" t="s">
        <v>200</v>
      </c>
      <c r="R788" s="297" t="s">
        <v>213</v>
      </c>
      <c r="S788" s="297" t="s">
        <v>214</v>
      </c>
    </row>
    <row r="789" spans="1:19" x14ac:dyDescent="0.4">
      <c r="A789" s="291"/>
      <c r="B789" s="292"/>
      <c r="C789" s="312"/>
      <c r="D789" s="292"/>
      <c r="E789" s="489"/>
      <c r="F789" s="489"/>
      <c r="G789" s="490"/>
      <c r="H789" s="520"/>
      <c r="I789" s="523"/>
      <c r="J789" s="521"/>
      <c r="K789" s="522"/>
      <c r="M789" s="301" t="str">
        <f>N789&amp;AS[[#This Row],[Insurer Code]]&amp;"; "&amp;O789&amp;AS[[#This Row],[Reporting Year]]&amp;"; "&amp;P789&amp;AS[[#This Row],[Insurance Category Code]]&amp;"; "&amp;Q789&amp;AS[[#This Row],[Large Provider Entity Code]]&amp;"; "&amp;R789&amp;AS[[#This Row],[Age Band Code]]&amp;"; "&amp;S789&amp;AS[[#This Row],[Sex Code]]</f>
        <v xml:space="preserve">Insurer Code ; Reporting Year ; Insurance Category Code ; Large Provider Entity Code ; Age Band Code ; Sex Code </v>
      </c>
      <c r="N789" s="297" t="s">
        <v>197</v>
      </c>
      <c r="O789" s="297" t="s">
        <v>198</v>
      </c>
      <c r="P789" s="297" t="s">
        <v>199</v>
      </c>
      <c r="Q789" s="297" t="s">
        <v>200</v>
      </c>
      <c r="R789" s="297" t="s">
        <v>213</v>
      </c>
      <c r="S789" s="297" t="s">
        <v>214</v>
      </c>
    </row>
    <row r="790" spans="1:19" x14ac:dyDescent="0.4">
      <c r="A790" s="291"/>
      <c r="B790" s="292"/>
      <c r="C790" s="312"/>
      <c r="D790" s="292"/>
      <c r="E790" s="489"/>
      <c r="F790" s="489"/>
      <c r="G790" s="490"/>
      <c r="H790" s="520"/>
      <c r="I790" s="523"/>
      <c r="J790" s="521"/>
      <c r="K790" s="522"/>
      <c r="M790" s="301" t="str">
        <f>N790&amp;AS[[#This Row],[Insurer Code]]&amp;"; "&amp;O790&amp;AS[[#This Row],[Reporting Year]]&amp;"; "&amp;P790&amp;AS[[#This Row],[Insurance Category Code]]&amp;"; "&amp;Q790&amp;AS[[#This Row],[Large Provider Entity Code]]&amp;"; "&amp;R790&amp;AS[[#This Row],[Age Band Code]]&amp;"; "&amp;S790&amp;AS[[#This Row],[Sex Code]]</f>
        <v xml:space="preserve">Insurer Code ; Reporting Year ; Insurance Category Code ; Large Provider Entity Code ; Age Band Code ; Sex Code </v>
      </c>
      <c r="N790" s="297" t="s">
        <v>197</v>
      </c>
      <c r="O790" s="297" t="s">
        <v>198</v>
      </c>
      <c r="P790" s="297" t="s">
        <v>199</v>
      </c>
      <c r="Q790" s="297" t="s">
        <v>200</v>
      </c>
      <c r="R790" s="297" t="s">
        <v>213</v>
      </c>
      <c r="S790" s="297" t="s">
        <v>214</v>
      </c>
    </row>
    <row r="791" spans="1:19" x14ac:dyDescent="0.4">
      <c r="A791" s="291"/>
      <c r="B791" s="292"/>
      <c r="C791" s="312"/>
      <c r="D791" s="292"/>
      <c r="E791" s="489"/>
      <c r="F791" s="489"/>
      <c r="G791" s="490"/>
      <c r="H791" s="520"/>
      <c r="I791" s="523"/>
      <c r="J791" s="521"/>
      <c r="K791" s="522"/>
      <c r="M791" s="301" t="str">
        <f>N791&amp;AS[[#This Row],[Insurer Code]]&amp;"; "&amp;O791&amp;AS[[#This Row],[Reporting Year]]&amp;"; "&amp;P791&amp;AS[[#This Row],[Insurance Category Code]]&amp;"; "&amp;Q791&amp;AS[[#This Row],[Large Provider Entity Code]]&amp;"; "&amp;R791&amp;AS[[#This Row],[Age Band Code]]&amp;"; "&amp;S791&amp;AS[[#This Row],[Sex Code]]</f>
        <v xml:space="preserve">Insurer Code ; Reporting Year ; Insurance Category Code ; Large Provider Entity Code ; Age Band Code ; Sex Code </v>
      </c>
      <c r="N791" s="297" t="s">
        <v>197</v>
      </c>
      <c r="O791" s="297" t="s">
        <v>198</v>
      </c>
      <c r="P791" s="297" t="s">
        <v>199</v>
      </c>
      <c r="Q791" s="297" t="s">
        <v>200</v>
      </c>
      <c r="R791" s="297" t="s">
        <v>213</v>
      </c>
      <c r="S791" s="297" t="s">
        <v>214</v>
      </c>
    </row>
    <row r="792" spans="1:19" x14ac:dyDescent="0.4">
      <c r="A792" s="291"/>
      <c r="B792" s="292"/>
      <c r="C792" s="312"/>
      <c r="D792" s="292"/>
      <c r="E792" s="489"/>
      <c r="F792" s="489"/>
      <c r="G792" s="490"/>
      <c r="H792" s="520"/>
      <c r="I792" s="523"/>
      <c r="J792" s="521"/>
      <c r="K792" s="522"/>
      <c r="M792" s="301" t="str">
        <f>N792&amp;AS[[#This Row],[Insurer Code]]&amp;"; "&amp;O792&amp;AS[[#This Row],[Reporting Year]]&amp;"; "&amp;P792&amp;AS[[#This Row],[Insurance Category Code]]&amp;"; "&amp;Q792&amp;AS[[#This Row],[Large Provider Entity Code]]&amp;"; "&amp;R792&amp;AS[[#This Row],[Age Band Code]]&amp;"; "&amp;S792&amp;AS[[#This Row],[Sex Code]]</f>
        <v xml:space="preserve">Insurer Code ; Reporting Year ; Insurance Category Code ; Large Provider Entity Code ; Age Band Code ; Sex Code </v>
      </c>
      <c r="N792" s="297" t="s">
        <v>197</v>
      </c>
      <c r="O792" s="297" t="s">
        <v>198</v>
      </c>
      <c r="P792" s="297" t="s">
        <v>199</v>
      </c>
      <c r="Q792" s="297" t="s">
        <v>200</v>
      </c>
      <c r="R792" s="297" t="s">
        <v>213</v>
      </c>
      <c r="S792" s="297" t="s">
        <v>214</v>
      </c>
    </row>
    <row r="793" spans="1:19" x14ac:dyDescent="0.4">
      <c r="A793" s="291"/>
      <c r="B793" s="292"/>
      <c r="C793" s="312"/>
      <c r="D793" s="292"/>
      <c r="E793" s="489"/>
      <c r="F793" s="489"/>
      <c r="G793" s="490"/>
      <c r="H793" s="520"/>
      <c r="I793" s="523"/>
      <c r="J793" s="521"/>
      <c r="K793" s="522"/>
      <c r="M793" s="301" t="str">
        <f>N793&amp;AS[[#This Row],[Insurer Code]]&amp;"; "&amp;O793&amp;AS[[#This Row],[Reporting Year]]&amp;"; "&amp;P793&amp;AS[[#This Row],[Insurance Category Code]]&amp;"; "&amp;Q793&amp;AS[[#This Row],[Large Provider Entity Code]]&amp;"; "&amp;R793&amp;AS[[#This Row],[Age Band Code]]&amp;"; "&amp;S793&amp;AS[[#This Row],[Sex Code]]</f>
        <v xml:space="preserve">Insurer Code ; Reporting Year ; Insurance Category Code ; Large Provider Entity Code ; Age Band Code ; Sex Code </v>
      </c>
      <c r="N793" s="297" t="s">
        <v>197</v>
      </c>
      <c r="O793" s="297" t="s">
        <v>198</v>
      </c>
      <c r="P793" s="297" t="s">
        <v>199</v>
      </c>
      <c r="Q793" s="297" t="s">
        <v>200</v>
      </c>
      <c r="R793" s="297" t="s">
        <v>213</v>
      </c>
      <c r="S793" s="297" t="s">
        <v>214</v>
      </c>
    </row>
    <row r="794" spans="1:19" x14ac:dyDescent="0.4">
      <c r="A794" s="291"/>
      <c r="B794" s="292"/>
      <c r="C794" s="312"/>
      <c r="D794" s="292"/>
      <c r="E794" s="489"/>
      <c r="F794" s="489"/>
      <c r="G794" s="490"/>
      <c r="H794" s="520"/>
      <c r="I794" s="523"/>
      <c r="J794" s="521"/>
      <c r="K794" s="522"/>
      <c r="M794" s="301" t="str">
        <f>N794&amp;AS[[#This Row],[Insurer Code]]&amp;"; "&amp;O794&amp;AS[[#This Row],[Reporting Year]]&amp;"; "&amp;P794&amp;AS[[#This Row],[Insurance Category Code]]&amp;"; "&amp;Q794&amp;AS[[#This Row],[Large Provider Entity Code]]&amp;"; "&amp;R794&amp;AS[[#This Row],[Age Band Code]]&amp;"; "&amp;S794&amp;AS[[#This Row],[Sex Code]]</f>
        <v xml:space="preserve">Insurer Code ; Reporting Year ; Insurance Category Code ; Large Provider Entity Code ; Age Band Code ; Sex Code </v>
      </c>
      <c r="N794" s="297" t="s">
        <v>197</v>
      </c>
      <c r="O794" s="297" t="s">
        <v>198</v>
      </c>
      <c r="P794" s="297" t="s">
        <v>199</v>
      </c>
      <c r="Q794" s="297" t="s">
        <v>200</v>
      </c>
      <c r="R794" s="297" t="s">
        <v>213</v>
      </c>
      <c r="S794" s="297" t="s">
        <v>214</v>
      </c>
    </row>
    <row r="795" spans="1:19" x14ac:dyDescent="0.4">
      <c r="A795" s="291"/>
      <c r="B795" s="292"/>
      <c r="C795" s="312"/>
      <c r="D795" s="292"/>
      <c r="E795" s="489"/>
      <c r="F795" s="489"/>
      <c r="G795" s="490"/>
      <c r="H795" s="520"/>
      <c r="I795" s="523"/>
      <c r="J795" s="521"/>
      <c r="K795" s="522"/>
      <c r="M795" s="301" t="str">
        <f>N795&amp;AS[[#This Row],[Insurer Code]]&amp;"; "&amp;O795&amp;AS[[#This Row],[Reporting Year]]&amp;"; "&amp;P795&amp;AS[[#This Row],[Insurance Category Code]]&amp;"; "&amp;Q795&amp;AS[[#This Row],[Large Provider Entity Code]]&amp;"; "&amp;R795&amp;AS[[#This Row],[Age Band Code]]&amp;"; "&amp;S795&amp;AS[[#This Row],[Sex Code]]</f>
        <v xml:space="preserve">Insurer Code ; Reporting Year ; Insurance Category Code ; Large Provider Entity Code ; Age Band Code ; Sex Code </v>
      </c>
      <c r="N795" s="297" t="s">
        <v>197</v>
      </c>
      <c r="O795" s="297" t="s">
        <v>198</v>
      </c>
      <c r="P795" s="297" t="s">
        <v>199</v>
      </c>
      <c r="Q795" s="297" t="s">
        <v>200</v>
      </c>
      <c r="R795" s="297" t="s">
        <v>213</v>
      </c>
      <c r="S795" s="297" t="s">
        <v>214</v>
      </c>
    </row>
    <row r="796" spans="1:19" x14ac:dyDescent="0.4">
      <c r="A796" s="291"/>
      <c r="B796" s="292"/>
      <c r="C796" s="312"/>
      <c r="D796" s="292"/>
      <c r="E796" s="489"/>
      <c r="F796" s="489"/>
      <c r="G796" s="490"/>
      <c r="H796" s="520"/>
      <c r="I796" s="523"/>
      <c r="J796" s="521"/>
      <c r="K796" s="522"/>
      <c r="M796" s="301" t="str">
        <f>N796&amp;AS[[#This Row],[Insurer Code]]&amp;"; "&amp;O796&amp;AS[[#This Row],[Reporting Year]]&amp;"; "&amp;P796&amp;AS[[#This Row],[Insurance Category Code]]&amp;"; "&amp;Q796&amp;AS[[#This Row],[Large Provider Entity Code]]&amp;"; "&amp;R796&amp;AS[[#This Row],[Age Band Code]]&amp;"; "&amp;S796&amp;AS[[#This Row],[Sex Code]]</f>
        <v xml:space="preserve">Insurer Code ; Reporting Year ; Insurance Category Code ; Large Provider Entity Code ; Age Band Code ; Sex Code </v>
      </c>
      <c r="N796" s="297" t="s">
        <v>197</v>
      </c>
      <c r="O796" s="297" t="s">
        <v>198</v>
      </c>
      <c r="P796" s="297" t="s">
        <v>199</v>
      </c>
      <c r="Q796" s="297" t="s">
        <v>200</v>
      </c>
      <c r="R796" s="297" t="s">
        <v>213</v>
      </c>
      <c r="S796" s="297" t="s">
        <v>214</v>
      </c>
    </row>
    <row r="797" spans="1:19" x14ac:dyDescent="0.4">
      <c r="A797" s="291"/>
      <c r="B797" s="292"/>
      <c r="C797" s="312"/>
      <c r="D797" s="292"/>
      <c r="E797" s="489"/>
      <c r="F797" s="489"/>
      <c r="G797" s="490"/>
      <c r="H797" s="520"/>
      <c r="I797" s="523"/>
      <c r="J797" s="521"/>
      <c r="K797" s="522"/>
      <c r="M797" s="301" t="str">
        <f>N797&amp;AS[[#This Row],[Insurer Code]]&amp;"; "&amp;O797&amp;AS[[#This Row],[Reporting Year]]&amp;"; "&amp;P797&amp;AS[[#This Row],[Insurance Category Code]]&amp;"; "&amp;Q797&amp;AS[[#This Row],[Large Provider Entity Code]]&amp;"; "&amp;R797&amp;AS[[#This Row],[Age Band Code]]&amp;"; "&amp;S797&amp;AS[[#This Row],[Sex Code]]</f>
        <v xml:space="preserve">Insurer Code ; Reporting Year ; Insurance Category Code ; Large Provider Entity Code ; Age Band Code ; Sex Code </v>
      </c>
      <c r="N797" s="297" t="s">
        <v>197</v>
      </c>
      <c r="O797" s="297" t="s">
        <v>198</v>
      </c>
      <c r="P797" s="297" t="s">
        <v>199</v>
      </c>
      <c r="Q797" s="297" t="s">
        <v>200</v>
      </c>
      <c r="R797" s="297" t="s">
        <v>213</v>
      </c>
      <c r="S797" s="297" t="s">
        <v>214</v>
      </c>
    </row>
    <row r="798" spans="1:19" x14ac:dyDescent="0.4">
      <c r="A798" s="291"/>
      <c r="B798" s="292"/>
      <c r="C798" s="312"/>
      <c r="D798" s="292"/>
      <c r="E798" s="489"/>
      <c r="F798" s="489"/>
      <c r="G798" s="490"/>
      <c r="H798" s="520"/>
      <c r="I798" s="523"/>
      <c r="J798" s="521"/>
      <c r="K798" s="522"/>
      <c r="M798" s="301" t="str">
        <f>N798&amp;AS[[#This Row],[Insurer Code]]&amp;"; "&amp;O798&amp;AS[[#This Row],[Reporting Year]]&amp;"; "&amp;P798&amp;AS[[#This Row],[Insurance Category Code]]&amp;"; "&amp;Q798&amp;AS[[#This Row],[Large Provider Entity Code]]&amp;"; "&amp;R798&amp;AS[[#This Row],[Age Band Code]]&amp;"; "&amp;S798&amp;AS[[#This Row],[Sex Code]]</f>
        <v xml:space="preserve">Insurer Code ; Reporting Year ; Insurance Category Code ; Large Provider Entity Code ; Age Band Code ; Sex Code </v>
      </c>
      <c r="N798" s="297" t="s">
        <v>197</v>
      </c>
      <c r="O798" s="297" t="s">
        <v>198</v>
      </c>
      <c r="P798" s="297" t="s">
        <v>199</v>
      </c>
      <c r="Q798" s="297" t="s">
        <v>200</v>
      </c>
      <c r="R798" s="297" t="s">
        <v>213</v>
      </c>
      <c r="S798" s="297" t="s">
        <v>214</v>
      </c>
    </row>
    <row r="799" spans="1:19" x14ac:dyDescent="0.4">
      <c r="A799" s="291"/>
      <c r="B799" s="292"/>
      <c r="C799" s="312"/>
      <c r="D799" s="292"/>
      <c r="E799" s="489"/>
      <c r="F799" s="489"/>
      <c r="G799" s="490"/>
      <c r="H799" s="520"/>
      <c r="I799" s="523"/>
      <c r="J799" s="521"/>
      <c r="K799" s="522"/>
      <c r="M799" s="301" t="str">
        <f>N799&amp;AS[[#This Row],[Insurer Code]]&amp;"; "&amp;O799&amp;AS[[#This Row],[Reporting Year]]&amp;"; "&amp;P799&amp;AS[[#This Row],[Insurance Category Code]]&amp;"; "&amp;Q799&amp;AS[[#This Row],[Large Provider Entity Code]]&amp;"; "&amp;R799&amp;AS[[#This Row],[Age Band Code]]&amp;"; "&amp;S799&amp;AS[[#This Row],[Sex Code]]</f>
        <v xml:space="preserve">Insurer Code ; Reporting Year ; Insurance Category Code ; Large Provider Entity Code ; Age Band Code ; Sex Code </v>
      </c>
      <c r="N799" s="297" t="s">
        <v>197</v>
      </c>
      <c r="O799" s="297" t="s">
        <v>198</v>
      </c>
      <c r="P799" s="297" t="s">
        <v>199</v>
      </c>
      <c r="Q799" s="297" t="s">
        <v>200</v>
      </c>
      <c r="R799" s="297" t="s">
        <v>213</v>
      </c>
      <c r="S799" s="297" t="s">
        <v>214</v>
      </c>
    </row>
    <row r="800" spans="1:19" x14ac:dyDescent="0.4">
      <c r="A800" s="291"/>
      <c r="B800" s="292"/>
      <c r="C800" s="312"/>
      <c r="D800" s="292"/>
      <c r="E800" s="489"/>
      <c r="F800" s="489"/>
      <c r="G800" s="490"/>
      <c r="H800" s="520"/>
      <c r="I800" s="523"/>
      <c r="J800" s="521"/>
      <c r="K800" s="522"/>
      <c r="M800" s="301" t="str">
        <f>N800&amp;AS[[#This Row],[Insurer Code]]&amp;"; "&amp;O800&amp;AS[[#This Row],[Reporting Year]]&amp;"; "&amp;P800&amp;AS[[#This Row],[Insurance Category Code]]&amp;"; "&amp;Q800&amp;AS[[#This Row],[Large Provider Entity Code]]&amp;"; "&amp;R800&amp;AS[[#This Row],[Age Band Code]]&amp;"; "&amp;S800&amp;AS[[#This Row],[Sex Code]]</f>
        <v xml:space="preserve">Insurer Code ; Reporting Year ; Insurance Category Code ; Large Provider Entity Code ; Age Band Code ; Sex Code </v>
      </c>
      <c r="N800" s="297" t="s">
        <v>197</v>
      </c>
      <c r="O800" s="297" t="s">
        <v>198</v>
      </c>
      <c r="P800" s="297" t="s">
        <v>199</v>
      </c>
      <c r="Q800" s="297" t="s">
        <v>200</v>
      </c>
      <c r="R800" s="297" t="s">
        <v>213</v>
      </c>
      <c r="S800" s="297" t="s">
        <v>214</v>
      </c>
    </row>
    <row r="801" spans="1:19" x14ac:dyDescent="0.4">
      <c r="A801" s="291"/>
      <c r="B801" s="292"/>
      <c r="C801" s="312"/>
      <c r="D801" s="292"/>
      <c r="E801" s="489"/>
      <c r="F801" s="489"/>
      <c r="G801" s="490"/>
      <c r="H801" s="520"/>
      <c r="I801" s="523"/>
      <c r="J801" s="521"/>
      <c r="K801" s="522"/>
      <c r="M801" s="301" t="str">
        <f>N801&amp;AS[[#This Row],[Insurer Code]]&amp;"; "&amp;O801&amp;AS[[#This Row],[Reporting Year]]&amp;"; "&amp;P801&amp;AS[[#This Row],[Insurance Category Code]]&amp;"; "&amp;Q801&amp;AS[[#This Row],[Large Provider Entity Code]]&amp;"; "&amp;R801&amp;AS[[#This Row],[Age Band Code]]&amp;"; "&amp;S801&amp;AS[[#This Row],[Sex Code]]</f>
        <v xml:space="preserve">Insurer Code ; Reporting Year ; Insurance Category Code ; Large Provider Entity Code ; Age Band Code ; Sex Code </v>
      </c>
      <c r="N801" s="297" t="s">
        <v>197</v>
      </c>
      <c r="O801" s="297" t="s">
        <v>198</v>
      </c>
      <c r="P801" s="297" t="s">
        <v>199</v>
      </c>
      <c r="Q801" s="297" t="s">
        <v>200</v>
      </c>
      <c r="R801" s="297" t="s">
        <v>213</v>
      </c>
      <c r="S801" s="297" t="s">
        <v>214</v>
      </c>
    </row>
    <row r="802" spans="1:19" x14ac:dyDescent="0.4">
      <c r="A802" s="291"/>
      <c r="B802" s="292"/>
      <c r="C802" s="312"/>
      <c r="D802" s="292"/>
      <c r="E802" s="489"/>
      <c r="F802" s="489"/>
      <c r="G802" s="490"/>
      <c r="H802" s="520"/>
      <c r="I802" s="523"/>
      <c r="J802" s="521"/>
      <c r="K802" s="522"/>
      <c r="M802" s="301" t="str">
        <f>N802&amp;AS[[#This Row],[Insurer Code]]&amp;"; "&amp;O802&amp;AS[[#This Row],[Reporting Year]]&amp;"; "&amp;P802&amp;AS[[#This Row],[Insurance Category Code]]&amp;"; "&amp;Q802&amp;AS[[#This Row],[Large Provider Entity Code]]&amp;"; "&amp;R802&amp;AS[[#This Row],[Age Band Code]]&amp;"; "&amp;S802&amp;AS[[#This Row],[Sex Code]]</f>
        <v xml:space="preserve">Insurer Code ; Reporting Year ; Insurance Category Code ; Large Provider Entity Code ; Age Band Code ; Sex Code </v>
      </c>
      <c r="N802" s="297" t="s">
        <v>197</v>
      </c>
      <c r="O802" s="297" t="s">
        <v>198</v>
      </c>
      <c r="P802" s="297" t="s">
        <v>199</v>
      </c>
      <c r="Q802" s="297" t="s">
        <v>200</v>
      </c>
      <c r="R802" s="297" t="s">
        <v>213</v>
      </c>
      <c r="S802" s="297" t="s">
        <v>214</v>
      </c>
    </row>
    <row r="803" spans="1:19" x14ac:dyDescent="0.4">
      <c r="A803" s="291"/>
      <c r="B803" s="292"/>
      <c r="C803" s="312"/>
      <c r="D803" s="292"/>
      <c r="E803" s="489"/>
      <c r="F803" s="489"/>
      <c r="G803" s="490"/>
      <c r="H803" s="520"/>
      <c r="I803" s="523"/>
      <c r="J803" s="521"/>
      <c r="K803" s="522"/>
      <c r="M803" s="301" t="str">
        <f>N803&amp;AS[[#This Row],[Insurer Code]]&amp;"; "&amp;O803&amp;AS[[#This Row],[Reporting Year]]&amp;"; "&amp;P803&amp;AS[[#This Row],[Insurance Category Code]]&amp;"; "&amp;Q803&amp;AS[[#This Row],[Large Provider Entity Code]]&amp;"; "&amp;R803&amp;AS[[#This Row],[Age Band Code]]&amp;"; "&amp;S803&amp;AS[[#This Row],[Sex Code]]</f>
        <v xml:space="preserve">Insurer Code ; Reporting Year ; Insurance Category Code ; Large Provider Entity Code ; Age Band Code ; Sex Code </v>
      </c>
      <c r="N803" s="297" t="s">
        <v>197</v>
      </c>
      <c r="O803" s="297" t="s">
        <v>198</v>
      </c>
      <c r="P803" s="297" t="s">
        <v>199</v>
      </c>
      <c r="Q803" s="297" t="s">
        <v>200</v>
      </c>
      <c r="R803" s="297" t="s">
        <v>213</v>
      </c>
      <c r="S803" s="297" t="s">
        <v>214</v>
      </c>
    </row>
    <row r="804" spans="1:19" x14ac:dyDescent="0.4">
      <c r="A804" s="291"/>
      <c r="B804" s="292"/>
      <c r="C804" s="312"/>
      <c r="D804" s="292"/>
      <c r="E804" s="489"/>
      <c r="F804" s="489"/>
      <c r="G804" s="490"/>
      <c r="H804" s="520"/>
      <c r="I804" s="523"/>
      <c r="J804" s="521"/>
      <c r="K804" s="522"/>
      <c r="M804" s="301" t="str">
        <f>N804&amp;AS[[#This Row],[Insurer Code]]&amp;"; "&amp;O804&amp;AS[[#This Row],[Reporting Year]]&amp;"; "&amp;P804&amp;AS[[#This Row],[Insurance Category Code]]&amp;"; "&amp;Q804&amp;AS[[#This Row],[Large Provider Entity Code]]&amp;"; "&amp;R804&amp;AS[[#This Row],[Age Band Code]]&amp;"; "&amp;S804&amp;AS[[#This Row],[Sex Code]]</f>
        <v xml:space="preserve">Insurer Code ; Reporting Year ; Insurance Category Code ; Large Provider Entity Code ; Age Band Code ; Sex Code </v>
      </c>
      <c r="N804" s="297" t="s">
        <v>197</v>
      </c>
      <c r="O804" s="297" t="s">
        <v>198</v>
      </c>
      <c r="P804" s="297" t="s">
        <v>199</v>
      </c>
      <c r="Q804" s="297" t="s">
        <v>200</v>
      </c>
      <c r="R804" s="297" t="s">
        <v>213</v>
      </c>
      <c r="S804" s="297" t="s">
        <v>214</v>
      </c>
    </row>
    <row r="805" spans="1:19" x14ac:dyDescent="0.4">
      <c r="A805" s="291"/>
      <c r="B805" s="292"/>
      <c r="C805" s="312"/>
      <c r="D805" s="292"/>
      <c r="E805" s="489"/>
      <c r="F805" s="489"/>
      <c r="G805" s="490"/>
      <c r="H805" s="520"/>
      <c r="I805" s="523"/>
      <c r="J805" s="521"/>
      <c r="K805" s="522"/>
      <c r="M805" s="301" t="str">
        <f>N805&amp;AS[[#This Row],[Insurer Code]]&amp;"; "&amp;O805&amp;AS[[#This Row],[Reporting Year]]&amp;"; "&amp;P805&amp;AS[[#This Row],[Insurance Category Code]]&amp;"; "&amp;Q805&amp;AS[[#This Row],[Large Provider Entity Code]]&amp;"; "&amp;R805&amp;AS[[#This Row],[Age Band Code]]&amp;"; "&amp;S805&amp;AS[[#This Row],[Sex Code]]</f>
        <v xml:space="preserve">Insurer Code ; Reporting Year ; Insurance Category Code ; Large Provider Entity Code ; Age Band Code ; Sex Code </v>
      </c>
      <c r="N805" s="297" t="s">
        <v>197</v>
      </c>
      <c r="O805" s="297" t="s">
        <v>198</v>
      </c>
      <c r="P805" s="297" t="s">
        <v>199</v>
      </c>
      <c r="Q805" s="297" t="s">
        <v>200</v>
      </c>
      <c r="R805" s="297" t="s">
        <v>213</v>
      </c>
      <c r="S805" s="297" t="s">
        <v>214</v>
      </c>
    </row>
    <row r="806" spans="1:19" x14ac:dyDescent="0.4">
      <c r="A806" s="291"/>
      <c r="B806" s="292"/>
      <c r="C806" s="312"/>
      <c r="D806" s="292"/>
      <c r="E806" s="489"/>
      <c r="F806" s="489"/>
      <c r="G806" s="490"/>
      <c r="H806" s="520"/>
      <c r="I806" s="523"/>
      <c r="J806" s="521"/>
      <c r="K806" s="522"/>
      <c r="M806" s="301" t="str">
        <f>N806&amp;AS[[#This Row],[Insurer Code]]&amp;"; "&amp;O806&amp;AS[[#This Row],[Reporting Year]]&amp;"; "&amp;P806&amp;AS[[#This Row],[Insurance Category Code]]&amp;"; "&amp;Q806&amp;AS[[#This Row],[Large Provider Entity Code]]&amp;"; "&amp;R806&amp;AS[[#This Row],[Age Band Code]]&amp;"; "&amp;S806&amp;AS[[#This Row],[Sex Code]]</f>
        <v xml:space="preserve">Insurer Code ; Reporting Year ; Insurance Category Code ; Large Provider Entity Code ; Age Band Code ; Sex Code </v>
      </c>
      <c r="N806" s="297" t="s">
        <v>197</v>
      </c>
      <c r="O806" s="297" t="s">
        <v>198</v>
      </c>
      <c r="P806" s="297" t="s">
        <v>199</v>
      </c>
      <c r="Q806" s="297" t="s">
        <v>200</v>
      </c>
      <c r="R806" s="297" t="s">
        <v>213</v>
      </c>
      <c r="S806" s="297" t="s">
        <v>214</v>
      </c>
    </row>
    <row r="807" spans="1:19" x14ac:dyDescent="0.4">
      <c r="A807" s="291"/>
      <c r="B807" s="292"/>
      <c r="C807" s="312"/>
      <c r="D807" s="292"/>
      <c r="E807" s="489"/>
      <c r="F807" s="489"/>
      <c r="G807" s="490"/>
      <c r="H807" s="520"/>
      <c r="I807" s="523"/>
      <c r="J807" s="521"/>
      <c r="K807" s="522"/>
      <c r="M807" s="301" t="str">
        <f>N807&amp;AS[[#This Row],[Insurer Code]]&amp;"; "&amp;O807&amp;AS[[#This Row],[Reporting Year]]&amp;"; "&amp;P807&amp;AS[[#This Row],[Insurance Category Code]]&amp;"; "&amp;Q807&amp;AS[[#This Row],[Large Provider Entity Code]]&amp;"; "&amp;R807&amp;AS[[#This Row],[Age Band Code]]&amp;"; "&amp;S807&amp;AS[[#This Row],[Sex Code]]</f>
        <v xml:space="preserve">Insurer Code ; Reporting Year ; Insurance Category Code ; Large Provider Entity Code ; Age Band Code ; Sex Code </v>
      </c>
      <c r="N807" s="297" t="s">
        <v>197</v>
      </c>
      <c r="O807" s="297" t="s">
        <v>198</v>
      </c>
      <c r="P807" s="297" t="s">
        <v>199</v>
      </c>
      <c r="Q807" s="297" t="s">
        <v>200</v>
      </c>
      <c r="R807" s="297" t="s">
        <v>213</v>
      </c>
      <c r="S807" s="297" t="s">
        <v>214</v>
      </c>
    </row>
    <row r="808" spans="1:19" x14ac:dyDescent="0.4">
      <c r="A808" s="291"/>
      <c r="B808" s="292"/>
      <c r="C808" s="312"/>
      <c r="D808" s="292"/>
      <c r="E808" s="489"/>
      <c r="F808" s="489"/>
      <c r="G808" s="490"/>
      <c r="H808" s="520"/>
      <c r="I808" s="523"/>
      <c r="J808" s="521"/>
      <c r="K808" s="522"/>
      <c r="M808" s="301" t="str">
        <f>N808&amp;AS[[#This Row],[Insurer Code]]&amp;"; "&amp;O808&amp;AS[[#This Row],[Reporting Year]]&amp;"; "&amp;P808&amp;AS[[#This Row],[Insurance Category Code]]&amp;"; "&amp;Q808&amp;AS[[#This Row],[Large Provider Entity Code]]&amp;"; "&amp;R808&amp;AS[[#This Row],[Age Band Code]]&amp;"; "&amp;S808&amp;AS[[#This Row],[Sex Code]]</f>
        <v xml:space="preserve">Insurer Code ; Reporting Year ; Insurance Category Code ; Large Provider Entity Code ; Age Band Code ; Sex Code </v>
      </c>
      <c r="N808" s="297" t="s">
        <v>197</v>
      </c>
      <c r="O808" s="297" t="s">
        <v>198</v>
      </c>
      <c r="P808" s="297" t="s">
        <v>199</v>
      </c>
      <c r="Q808" s="297" t="s">
        <v>200</v>
      </c>
      <c r="R808" s="297" t="s">
        <v>213</v>
      </c>
      <c r="S808" s="297" t="s">
        <v>214</v>
      </c>
    </row>
    <row r="809" spans="1:19" x14ac:dyDescent="0.4">
      <c r="A809" s="291"/>
      <c r="B809" s="292"/>
      <c r="C809" s="312"/>
      <c r="D809" s="292"/>
      <c r="E809" s="489"/>
      <c r="F809" s="489"/>
      <c r="G809" s="490"/>
      <c r="H809" s="520"/>
      <c r="I809" s="523"/>
      <c r="J809" s="521"/>
      <c r="K809" s="522"/>
      <c r="M809" s="301" t="str">
        <f>N809&amp;AS[[#This Row],[Insurer Code]]&amp;"; "&amp;O809&amp;AS[[#This Row],[Reporting Year]]&amp;"; "&amp;P809&amp;AS[[#This Row],[Insurance Category Code]]&amp;"; "&amp;Q809&amp;AS[[#This Row],[Large Provider Entity Code]]&amp;"; "&amp;R809&amp;AS[[#This Row],[Age Band Code]]&amp;"; "&amp;S809&amp;AS[[#This Row],[Sex Code]]</f>
        <v xml:space="preserve">Insurer Code ; Reporting Year ; Insurance Category Code ; Large Provider Entity Code ; Age Band Code ; Sex Code </v>
      </c>
      <c r="N809" s="297" t="s">
        <v>197</v>
      </c>
      <c r="O809" s="297" t="s">
        <v>198</v>
      </c>
      <c r="P809" s="297" t="s">
        <v>199</v>
      </c>
      <c r="Q809" s="297" t="s">
        <v>200</v>
      </c>
      <c r="R809" s="297" t="s">
        <v>213</v>
      </c>
      <c r="S809" s="297" t="s">
        <v>214</v>
      </c>
    </row>
    <row r="810" spans="1:19" x14ac:dyDescent="0.4">
      <c r="A810" s="291"/>
      <c r="B810" s="292"/>
      <c r="C810" s="312"/>
      <c r="D810" s="292"/>
      <c r="E810" s="489"/>
      <c r="F810" s="489"/>
      <c r="G810" s="490"/>
      <c r="H810" s="520"/>
      <c r="I810" s="523"/>
      <c r="J810" s="521"/>
      <c r="K810" s="522"/>
      <c r="M810" s="301" t="str">
        <f>N810&amp;AS[[#This Row],[Insurer Code]]&amp;"; "&amp;O810&amp;AS[[#This Row],[Reporting Year]]&amp;"; "&amp;P810&amp;AS[[#This Row],[Insurance Category Code]]&amp;"; "&amp;Q810&amp;AS[[#This Row],[Large Provider Entity Code]]&amp;"; "&amp;R810&amp;AS[[#This Row],[Age Band Code]]&amp;"; "&amp;S810&amp;AS[[#This Row],[Sex Code]]</f>
        <v xml:space="preserve">Insurer Code ; Reporting Year ; Insurance Category Code ; Large Provider Entity Code ; Age Band Code ; Sex Code </v>
      </c>
      <c r="N810" s="297" t="s">
        <v>197</v>
      </c>
      <c r="O810" s="297" t="s">
        <v>198</v>
      </c>
      <c r="P810" s="297" t="s">
        <v>199</v>
      </c>
      <c r="Q810" s="297" t="s">
        <v>200</v>
      </c>
      <c r="R810" s="297" t="s">
        <v>213</v>
      </c>
      <c r="S810" s="297" t="s">
        <v>214</v>
      </c>
    </row>
    <row r="811" spans="1:19" x14ac:dyDescent="0.4">
      <c r="A811" s="291"/>
      <c r="B811" s="292"/>
      <c r="C811" s="312"/>
      <c r="D811" s="292"/>
      <c r="E811" s="489"/>
      <c r="F811" s="489"/>
      <c r="G811" s="490"/>
      <c r="H811" s="520"/>
      <c r="I811" s="523"/>
      <c r="J811" s="521"/>
      <c r="K811" s="522"/>
      <c r="M811" s="301" t="str">
        <f>N811&amp;AS[[#This Row],[Insurer Code]]&amp;"; "&amp;O811&amp;AS[[#This Row],[Reporting Year]]&amp;"; "&amp;P811&amp;AS[[#This Row],[Insurance Category Code]]&amp;"; "&amp;Q811&amp;AS[[#This Row],[Large Provider Entity Code]]&amp;"; "&amp;R811&amp;AS[[#This Row],[Age Band Code]]&amp;"; "&amp;S811&amp;AS[[#This Row],[Sex Code]]</f>
        <v xml:space="preserve">Insurer Code ; Reporting Year ; Insurance Category Code ; Large Provider Entity Code ; Age Band Code ; Sex Code </v>
      </c>
      <c r="N811" s="297" t="s">
        <v>197</v>
      </c>
      <c r="O811" s="297" t="s">
        <v>198</v>
      </c>
      <c r="P811" s="297" t="s">
        <v>199</v>
      </c>
      <c r="Q811" s="297" t="s">
        <v>200</v>
      </c>
      <c r="R811" s="297" t="s">
        <v>213</v>
      </c>
      <c r="S811" s="297" t="s">
        <v>214</v>
      </c>
    </row>
    <row r="812" spans="1:19" x14ac:dyDescent="0.4">
      <c r="A812" s="291"/>
      <c r="B812" s="292"/>
      <c r="C812" s="312"/>
      <c r="D812" s="292"/>
      <c r="E812" s="489"/>
      <c r="F812" s="489"/>
      <c r="G812" s="490"/>
      <c r="H812" s="520"/>
      <c r="I812" s="523"/>
      <c r="J812" s="521"/>
      <c r="K812" s="522"/>
      <c r="M812" s="301" t="str">
        <f>N812&amp;AS[[#This Row],[Insurer Code]]&amp;"; "&amp;O812&amp;AS[[#This Row],[Reporting Year]]&amp;"; "&amp;P812&amp;AS[[#This Row],[Insurance Category Code]]&amp;"; "&amp;Q812&amp;AS[[#This Row],[Large Provider Entity Code]]&amp;"; "&amp;R812&amp;AS[[#This Row],[Age Band Code]]&amp;"; "&amp;S812&amp;AS[[#This Row],[Sex Code]]</f>
        <v xml:space="preserve">Insurer Code ; Reporting Year ; Insurance Category Code ; Large Provider Entity Code ; Age Band Code ; Sex Code </v>
      </c>
      <c r="N812" s="297" t="s">
        <v>197</v>
      </c>
      <c r="O812" s="297" t="s">
        <v>198</v>
      </c>
      <c r="P812" s="297" t="s">
        <v>199</v>
      </c>
      <c r="Q812" s="297" t="s">
        <v>200</v>
      </c>
      <c r="R812" s="297" t="s">
        <v>213</v>
      </c>
      <c r="S812" s="297" t="s">
        <v>214</v>
      </c>
    </row>
    <row r="813" spans="1:19" x14ac:dyDescent="0.4">
      <c r="A813" s="291"/>
      <c r="B813" s="292"/>
      <c r="C813" s="312"/>
      <c r="D813" s="292"/>
      <c r="E813" s="489"/>
      <c r="F813" s="489"/>
      <c r="G813" s="490"/>
      <c r="H813" s="520"/>
      <c r="I813" s="523"/>
      <c r="J813" s="521"/>
      <c r="K813" s="522"/>
      <c r="M813" s="301" t="str">
        <f>N813&amp;AS[[#This Row],[Insurer Code]]&amp;"; "&amp;O813&amp;AS[[#This Row],[Reporting Year]]&amp;"; "&amp;P813&amp;AS[[#This Row],[Insurance Category Code]]&amp;"; "&amp;Q813&amp;AS[[#This Row],[Large Provider Entity Code]]&amp;"; "&amp;R813&amp;AS[[#This Row],[Age Band Code]]&amp;"; "&amp;S813&amp;AS[[#This Row],[Sex Code]]</f>
        <v xml:space="preserve">Insurer Code ; Reporting Year ; Insurance Category Code ; Large Provider Entity Code ; Age Band Code ; Sex Code </v>
      </c>
      <c r="N813" s="297" t="s">
        <v>197</v>
      </c>
      <c r="O813" s="297" t="s">
        <v>198</v>
      </c>
      <c r="P813" s="297" t="s">
        <v>199</v>
      </c>
      <c r="Q813" s="297" t="s">
        <v>200</v>
      </c>
      <c r="R813" s="297" t="s">
        <v>213</v>
      </c>
      <c r="S813" s="297" t="s">
        <v>214</v>
      </c>
    </row>
    <row r="814" spans="1:19" x14ac:dyDescent="0.4">
      <c r="A814" s="291"/>
      <c r="B814" s="292"/>
      <c r="C814" s="312"/>
      <c r="D814" s="292"/>
      <c r="E814" s="489"/>
      <c r="F814" s="489"/>
      <c r="G814" s="490"/>
      <c r="H814" s="520"/>
      <c r="I814" s="523"/>
      <c r="J814" s="521"/>
      <c r="K814" s="522"/>
      <c r="M814" s="301" t="str">
        <f>N814&amp;AS[[#This Row],[Insurer Code]]&amp;"; "&amp;O814&amp;AS[[#This Row],[Reporting Year]]&amp;"; "&amp;P814&amp;AS[[#This Row],[Insurance Category Code]]&amp;"; "&amp;Q814&amp;AS[[#This Row],[Large Provider Entity Code]]&amp;"; "&amp;R814&amp;AS[[#This Row],[Age Band Code]]&amp;"; "&amp;S814&amp;AS[[#This Row],[Sex Code]]</f>
        <v xml:space="preserve">Insurer Code ; Reporting Year ; Insurance Category Code ; Large Provider Entity Code ; Age Band Code ; Sex Code </v>
      </c>
      <c r="N814" s="297" t="s">
        <v>197</v>
      </c>
      <c r="O814" s="297" t="s">
        <v>198</v>
      </c>
      <c r="P814" s="297" t="s">
        <v>199</v>
      </c>
      <c r="Q814" s="297" t="s">
        <v>200</v>
      </c>
      <c r="R814" s="297" t="s">
        <v>213</v>
      </c>
      <c r="S814" s="297" t="s">
        <v>214</v>
      </c>
    </row>
    <row r="815" spans="1:19" x14ac:dyDescent="0.4">
      <c r="A815" s="291"/>
      <c r="B815" s="292"/>
      <c r="C815" s="312"/>
      <c r="D815" s="292"/>
      <c r="E815" s="489"/>
      <c r="F815" s="489"/>
      <c r="G815" s="490"/>
      <c r="H815" s="520"/>
      <c r="I815" s="523"/>
      <c r="J815" s="521"/>
      <c r="K815" s="522"/>
      <c r="M815" s="301" t="str">
        <f>N815&amp;AS[[#This Row],[Insurer Code]]&amp;"; "&amp;O815&amp;AS[[#This Row],[Reporting Year]]&amp;"; "&amp;P815&amp;AS[[#This Row],[Insurance Category Code]]&amp;"; "&amp;Q815&amp;AS[[#This Row],[Large Provider Entity Code]]&amp;"; "&amp;R815&amp;AS[[#This Row],[Age Band Code]]&amp;"; "&amp;S815&amp;AS[[#This Row],[Sex Code]]</f>
        <v xml:space="preserve">Insurer Code ; Reporting Year ; Insurance Category Code ; Large Provider Entity Code ; Age Band Code ; Sex Code </v>
      </c>
      <c r="N815" s="297" t="s">
        <v>197</v>
      </c>
      <c r="O815" s="297" t="s">
        <v>198</v>
      </c>
      <c r="P815" s="297" t="s">
        <v>199</v>
      </c>
      <c r="Q815" s="297" t="s">
        <v>200</v>
      </c>
      <c r="R815" s="297" t="s">
        <v>213</v>
      </c>
      <c r="S815" s="297" t="s">
        <v>214</v>
      </c>
    </row>
    <row r="816" spans="1:19" x14ac:dyDescent="0.4">
      <c r="A816" s="291"/>
      <c r="B816" s="292"/>
      <c r="C816" s="312"/>
      <c r="D816" s="292"/>
      <c r="E816" s="489"/>
      <c r="F816" s="489"/>
      <c r="G816" s="490"/>
      <c r="H816" s="520"/>
      <c r="I816" s="523"/>
      <c r="J816" s="521"/>
      <c r="K816" s="522"/>
      <c r="M816" s="301" t="str">
        <f>N816&amp;AS[[#This Row],[Insurer Code]]&amp;"; "&amp;O816&amp;AS[[#This Row],[Reporting Year]]&amp;"; "&amp;P816&amp;AS[[#This Row],[Insurance Category Code]]&amp;"; "&amp;Q816&amp;AS[[#This Row],[Large Provider Entity Code]]&amp;"; "&amp;R816&amp;AS[[#This Row],[Age Band Code]]&amp;"; "&amp;S816&amp;AS[[#This Row],[Sex Code]]</f>
        <v xml:space="preserve">Insurer Code ; Reporting Year ; Insurance Category Code ; Large Provider Entity Code ; Age Band Code ; Sex Code </v>
      </c>
      <c r="N816" s="297" t="s">
        <v>197</v>
      </c>
      <c r="O816" s="297" t="s">
        <v>198</v>
      </c>
      <c r="P816" s="297" t="s">
        <v>199</v>
      </c>
      <c r="Q816" s="297" t="s">
        <v>200</v>
      </c>
      <c r="R816" s="297" t="s">
        <v>213</v>
      </c>
      <c r="S816" s="297" t="s">
        <v>214</v>
      </c>
    </row>
    <row r="817" spans="1:19" x14ac:dyDescent="0.4">
      <c r="A817" s="291"/>
      <c r="B817" s="292"/>
      <c r="C817" s="312"/>
      <c r="D817" s="292"/>
      <c r="E817" s="489"/>
      <c r="F817" s="489"/>
      <c r="G817" s="490"/>
      <c r="H817" s="520"/>
      <c r="I817" s="523"/>
      <c r="J817" s="521"/>
      <c r="K817" s="522"/>
      <c r="M817" s="301" t="str">
        <f>N817&amp;AS[[#This Row],[Insurer Code]]&amp;"; "&amp;O817&amp;AS[[#This Row],[Reporting Year]]&amp;"; "&amp;P817&amp;AS[[#This Row],[Insurance Category Code]]&amp;"; "&amp;Q817&amp;AS[[#This Row],[Large Provider Entity Code]]&amp;"; "&amp;R817&amp;AS[[#This Row],[Age Band Code]]&amp;"; "&amp;S817&amp;AS[[#This Row],[Sex Code]]</f>
        <v xml:space="preserve">Insurer Code ; Reporting Year ; Insurance Category Code ; Large Provider Entity Code ; Age Band Code ; Sex Code </v>
      </c>
      <c r="N817" s="297" t="s">
        <v>197</v>
      </c>
      <c r="O817" s="297" t="s">
        <v>198</v>
      </c>
      <c r="P817" s="297" t="s">
        <v>199</v>
      </c>
      <c r="Q817" s="297" t="s">
        <v>200</v>
      </c>
      <c r="R817" s="297" t="s">
        <v>213</v>
      </c>
      <c r="S817" s="297" t="s">
        <v>214</v>
      </c>
    </row>
    <row r="818" spans="1:19" x14ac:dyDescent="0.4">
      <c r="A818" s="291"/>
      <c r="B818" s="292"/>
      <c r="C818" s="312"/>
      <c r="D818" s="292"/>
      <c r="E818" s="489"/>
      <c r="F818" s="489"/>
      <c r="G818" s="490"/>
      <c r="H818" s="520"/>
      <c r="I818" s="523"/>
      <c r="J818" s="521"/>
      <c r="K818" s="522"/>
      <c r="M818" s="301" t="str">
        <f>N818&amp;AS[[#This Row],[Insurer Code]]&amp;"; "&amp;O818&amp;AS[[#This Row],[Reporting Year]]&amp;"; "&amp;P818&amp;AS[[#This Row],[Insurance Category Code]]&amp;"; "&amp;Q818&amp;AS[[#This Row],[Large Provider Entity Code]]&amp;"; "&amp;R818&amp;AS[[#This Row],[Age Band Code]]&amp;"; "&amp;S818&amp;AS[[#This Row],[Sex Code]]</f>
        <v xml:space="preserve">Insurer Code ; Reporting Year ; Insurance Category Code ; Large Provider Entity Code ; Age Band Code ; Sex Code </v>
      </c>
      <c r="N818" s="297" t="s">
        <v>197</v>
      </c>
      <c r="O818" s="297" t="s">
        <v>198</v>
      </c>
      <c r="P818" s="297" t="s">
        <v>199</v>
      </c>
      <c r="Q818" s="297" t="s">
        <v>200</v>
      </c>
      <c r="R818" s="297" t="s">
        <v>213</v>
      </c>
      <c r="S818" s="297" t="s">
        <v>214</v>
      </c>
    </row>
    <row r="819" spans="1:19" x14ac:dyDescent="0.4">
      <c r="A819" s="291"/>
      <c r="B819" s="292"/>
      <c r="C819" s="312"/>
      <c r="D819" s="292"/>
      <c r="E819" s="489"/>
      <c r="F819" s="489"/>
      <c r="G819" s="490"/>
      <c r="H819" s="520"/>
      <c r="I819" s="523"/>
      <c r="J819" s="521"/>
      <c r="K819" s="522"/>
      <c r="M819" s="301" t="str">
        <f>N819&amp;AS[[#This Row],[Insurer Code]]&amp;"; "&amp;O819&amp;AS[[#This Row],[Reporting Year]]&amp;"; "&amp;P819&amp;AS[[#This Row],[Insurance Category Code]]&amp;"; "&amp;Q819&amp;AS[[#This Row],[Large Provider Entity Code]]&amp;"; "&amp;R819&amp;AS[[#This Row],[Age Band Code]]&amp;"; "&amp;S819&amp;AS[[#This Row],[Sex Code]]</f>
        <v xml:space="preserve">Insurer Code ; Reporting Year ; Insurance Category Code ; Large Provider Entity Code ; Age Band Code ; Sex Code </v>
      </c>
      <c r="N819" s="297" t="s">
        <v>197</v>
      </c>
      <c r="O819" s="297" t="s">
        <v>198</v>
      </c>
      <c r="P819" s="297" t="s">
        <v>199</v>
      </c>
      <c r="Q819" s="297" t="s">
        <v>200</v>
      </c>
      <c r="R819" s="297" t="s">
        <v>213</v>
      </c>
      <c r="S819" s="297" t="s">
        <v>214</v>
      </c>
    </row>
    <row r="820" spans="1:19" x14ac:dyDescent="0.4">
      <c r="A820" s="291"/>
      <c r="B820" s="292"/>
      <c r="C820" s="312"/>
      <c r="D820" s="292"/>
      <c r="E820" s="489"/>
      <c r="F820" s="489"/>
      <c r="G820" s="490"/>
      <c r="H820" s="520"/>
      <c r="I820" s="523"/>
      <c r="J820" s="521"/>
      <c r="K820" s="522"/>
      <c r="M820" s="301" t="str">
        <f>N820&amp;AS[[#This Row],[Insurer Code]]&amp;"; "&amp;O820&amp;AS[[#This Row],[Reporting Year]]&amp;"; "&amp;P820&amp;AS[[#This Row],[Insurance Category Code]]&amp;"; "&amp;Q820&amp;AS[[#This Row],[Large Provider Entity Code]]&amp;"; "&amp;R820&amp;AS[[#This Row],[Age Band Code]]&amp;"; "&amp;S820&amp;AS[[#This Row],[Sex Code]]</f>
        <v xml:space="preserve">Insurer Code ; Reporting Year ; Insurance Category Code ; Large Provider Entity Code ; Age Band Code ; Sex Code </v>
      </c>
      <c r="N820" s="297" t="s">
        <v>197</v>
      </c>
      <c r="O820" s="297" t="s">
        <v>198</v>
      </c>
      <c r="P820" s="297" t="s">
        <v>199</v>
      </c>
      <c r="Q820" s="297" t="s">
        <v>200</v>
      </c>
      <c r="R820" s="297" t="s">
        <v>213</v>
      </c>
      <c r="S820" s="297" t="s">
        <v>214</v>
      </c>
    </row>
    <row r="821" spans="1:19" x14ac:dyDescent="0.4">
      <c r="A821" s="291"/>
      <c r="B821" s="292"/>
      <c r="C821" s="312"/>
      <c r="D821" s="292"/>
      <c r="E821" s="489"/>
      <c r="F821" s="489"/>
      <c r="G821" s="490"/>
      <c r="H821" s="520"/>
      <c r="I821" s="523"/>
      <c r="J821" s="521"/>
      <c r="K821" s="522"/>
      <c r="M821" s="301" t="str">
        <f>N821&amp;AS[[#This Row],[Insurer Code]]&amp;"; "&amp;O821&amp;AS[[#This Row],[Reporting Year]]&amp;"; "&amp;P821&amp;AS[[#This Row],[Insurance Category Code]]&amp;"; "&amp;Q821&amp;AS[[#This Row],[Large Provider Entity Code]]&amp;"; "&amp;R821&amp;AS[[#This Row],[Age Band Code]]&amp;"; "&amp;S821&amp;AS[[#This Row],[Sex Code]]</f>
        <v xml:space="preserve">Insurer Code ; Reporting Year ; Insurance Category Code ; Large Provider Entity Code ; Age Band Code ; Sex Code </v>
      </c>
      <c r="N821" s="297" t="s">
        <v>197</v>
      </c>
      <c r="O821" s="297" t="s">
        <v>198</v>
      </c>
      <c r="P821" s="297" t="s">
        <v>199</v>
      </c>
      <c r="Q821" s="297" t="s">
        <v>200</v>
      </c>
      <c r="R821" s="297" t="s">
        <v>213</v>
      </c>
      <c r="S821" s="297" t="s">
        <v>214</v>
      </c>
    </row>
    <row r="822" spans="1:19" x14ac:dyDescent="0.4">
      <c r="A822" s="291"/>
      <c r="B822" s="292"/>
      <c r="C822" s="312"/>
      <c r="D822" s="292"/>
      <c r="E822" s="489"/>
      <c r="F822" s="489"/>
      <c r="G822" s="490"/>
      <c r="H822" s="520"/>
      <c r="I822" s="523"/>
      <c r="J822" s="521"/>
      <c r="K822" s="522"/>
      <c r="M822" s="301" t="str">
        <f>N822&amp;AS[[#This Row],[Insurer Code]]&amp;"; "&amp;O822&amp;AS[[#This Row],[Reporting Year]]&amp;"; "&amp;P822&amp;AS[[#This Row],[Insurance Category Code]]&amp;"; "&amp;Q822&amp;AS[[#This Row],[Large Provider Entity Code]]&amp;"; "&amp;R822&amp;AS[[#This Row],[Age Band Code]]&amp;"; "&amp;S822&amp;AS[[#This Row],[Sex Code]]</f>
        <v xml:space="preserve">Insurer Code ; Reporting Year ; Insurance Category Code ; Large Provider Entity Code ; Age Band Code ; Sex Code </v>
      </c>
      <c r="N822" s="297" t="s">
        <v>197</v>
      </c>
      <c r="O822" s="297" t="s">
        <v>198</v>
      </c>
      <c r="P822" s="297" t="s">
        <v>199</v>
      </c>
      <c r="Q822" s="297" t="s">
        <v>200</v>
      </c>
      <c r="R822" s="297" t="s">
        <v>213</v>
      </c>
      <c r="S822" s="297" t="s">
        <v>214</v>
      </c>
    </row>
    <row r="823" spans="1:19" x14ac:dyDescent="0.4">
      <c r="A823" s="291"/>
      <c r="B823" s="292"/>
      <c r="C823" s="312"/>
      <c r="D823" s="292"/>
      <c r="E823" s="489"/>
      <c r="F823" s="489"/>
      <c r="G823" s="490"/>
      <c r="H823" s="520"/>
      <c r="I823" s="523"/>
      <c r="J823" s="521"/>
      <c r="K823" s="522"/>
      <c r="M823" s="301" t="str">
        <f>N823&amp;AS[[#This Row],[Insurer Code]]&amp;"; "&amp;O823&amp;AS[[#This Row],[Reporting Year]]&amp;"; "&amp;P823&amp;AS[[#This Row],[Insurance Category Code]]&amp;"; "&amp;Q823&amp;AS[[#This Row],[Large Provider Entity Code]]&amp;"; "&amp;R823&amp;AS[[#This Row],[Age Band Code]]&amp;"; "&amp;S823&amp;AS[[#This Row],[Sex Code]]</f>
        <v xml:space="preserve">Insurer Code ; Reporting Year ; Insurance Category Code ; Large Provider Entity Code ; Age Band Code ; Sex Code </v>
      </c>
      <c r="N823" s="297" t="s">
        <v>197</v>
      </c>
      <c r="O823" s="297" t="s">
        <v>198</v>
      </c>
      <c r="P823" s="297" t="s">
        <v>199</v>
      </c>
      <c r="Q823" s="297" t="s">
        <v>200</v>
      </c>
      <c r="R823" s="297" t="s">
        <v>213</v>
      </c>
      <c r="S823" s="297" t="s">
        <v>214</v>
      </c>
    </row>
    <row r="824" spans="1:19" x14ac:dyDescent="0.4">
      <c r="A824" s="291"/>
      <c r="B824" s="292"/>
      <c r="C824" s="312"/>
      <c r="D824" s="292"/>
      <c r="E824" s="489"/>
      <c r="F824" s="489"/>
      <c r="G824" s="490"/>
      <c r="H824" s="520"/>
      <c r="I824" s="523"/>
      <c r="J824" s="521"/>
      <c r="K824" s="522"/>
      <c r="M824" s="301" t="str">
        <f>N824&amp;AS[[#This Row],[Insurer Code]]&amp;"; "&amp;O824&amp;AS[[#This Row],[Reporting Year]]&amp;"; "&amp;P824&amp;AS[[#This Row],[Insurance Category Code]]&amp;"; "&amp;Q824&amp;AS[[#This Row],[Large Provider Entity Code]]&amp;"; "&amp;R824&amp;AS[[#This Row],[Age Band Code]]&amp;"; "&amp;S824&amp;AS[[#This Row],[Sex Code]]</f>
        <v xml:space="preserve">Insurer Code ; Reporting Year ; Insurance Category Code ; Large Provider Entity Code ; Age Band Code ; Sex Code </v>
      </c>
      <c r="N824" s="297" t="s">
        <v>197</v>
      </c>
      <c r="O824" s="297" t="s">
        <v>198</v>
      </c>
      <c r="P824" s="297" t="s">
        <v>199</v>
      </c>
      <c r="Q824" s="297" t="s">
        <v>200</v>
      </c>
      <c r="R824" s="297" t="s">
        <v>213</v>
      </c>
      <c r="S824" s="297" t="s">
        <v>214</v>
      </c>
    </row>
    <row r="825" spans="1:19" x14ac:dyDescent="0.4">
      <c r="A825" s="291"/>
      <c r="B825" s="292"/>
      <c r="C825" s="312"/>
      <c r="D825" s="292"/>
      <c r="E825" s="489"/>
      <c r="F825" s="489"/>
      <c r="G825" s="490"/>
      <c r="H825" s="520"/>
      <c r="I825" s="523"/>
      <c r="J825" s="521"/>
      <c r="K825" s="522"/>
      <c r="M825" s="301" t="str">
        <f>N825&amp;AS[[#This Row],[Insurer Code]]&amp;"; "&amp;O825&amp;AS[[#This Row],[Reporting Year]]&amp;"; "&amp;P825&amp;AS[[#This Row],[Insurance Category Code]]&amp;"; "&amp;Q825&amp;AS[[#This Row],[Large Provider Entity Code]]&amp;"; "&amp;R825&amp;AS[[#This Row],[Age Band Code]]&amp;"; "&amp;S825&amp;AS[[#This Row],[Sex Code]]</f>
        <v xml:space="preserve">Insurer Code ; Reporting Year ; Insurance Category Code ; Large Provider Entity Code ; Age Band Code ; Sex Code </v>
      </c>
      <c r="N825" s="297" t="s">
        <v>197</v>
      </c>
      <c r="O825" s="297" t="s">
        <v>198</v>
      </c>
      <c r="P825" s="297" t="s">
        <v>199</v>
      </c>
      <c r="Q825" s="297" t="s">
        <v>200</v>
      </c>
      <c r="R825" s="297" t="s">
        <v>213</v>
      </c>
      <c r="S825" s="297" t="s">
        <v>214</v>
      </c>
    </row>
    <row r="826" spans="1:19" x14ac:dyDescent="0.4">
      <c r="A826" s="291"/>
      <c r="B826" s="292"/>
      <c r="C826" s="312"/>
      <c r="D826" s="292"/>
      <c r="E826" s="489"/>
      <c r="F826" s="489"/>
      <c r="G826" s="490"/>
      <c r="H826" s="520"/>
      <c r="I826" s="523"/>
      <c r="J826" s="521"/>
      <c r="K826" s="522"/>
      <c r="M826" s="301" t="str">
        <f>N826&amp;AS[[#This Row],[Insurer Code]]&amp;"; "&amp;O826&amp;AS[[#This Row],[Reporting Year]]&amp;"; "&amp;P826&amp;AS[[#This Row],[Insurance Category Code]]&amp;"; "&amp;Q826&amp;AS[[#This Row],[Large Provider Entity Code]]&amp;"; "&amp;R826&amp;AS[[#This Row],[Age Band Code]]&amp;"; "&amp;S826&amp;AS[[#This Row],[Sex Code]]</f>
        <v xml:space="preserve">Insurer Code ; Reporting Year ; Insurance Category Code ; Large Provider Entity Code ; Age Band Code ; Sex Code </v>
      </c>
      <c r="N826" s="297" t="s">
        <v>197</v>
      </c>
      <c r="O826" s="297" t="s">
        <v>198</v>
      </c>
      <c r="P826" s="297" t="s">
        <v>199</v>
      </c>
      <c r="Q826" s="297" t="s">
        <v>200</v>
      </c>
      <c r="R826" s="297" t="s">
        <v>213</v>
      </c>
      <c r="S826" s="297" t="s">
        <v>214</v>
      </c>
    </row>
    <row r="827" spans="1:19" x14ac:dyDescent="0.4">
      <c r="A827" s="291"/>
      <c r="B827" s="292"/>
      <c r="C827" s="312"/>
      <c r="D827" s="292"/>
      <c r="E827" s="489"/>
      <c r="F827" s="489"/>
      <c r="G827" s="490"/>
      <c r="H827" s="520"/>
      <c r="I827" s="523"/>
      <c r="J827" s="521"/>
      <c r="K827" s="522"/>
      <c r="M827" s="301" t="str">
        <f>N827&amp;AS[[#This Row],[Insurer Code]]&amp;"; "&amp;O827&amp;AS[[#This Row],[Reporting Year]]&amp;"; "&amp;P827&amp;AS[[#This Row],[Insurance Category Code]]&amp;"; "&amp;Q827&amp;AS[[#This Row],[Large Provider Entity Code]]&amp;"; "&amp;R827&amp;AS[[#This Row],[Age Band Code]]&amp;"; "&amp;S827&amp;AS[[#This Row],[Sex Code]]</f>
        <v xml:space="preserve">Insurer Code ; Reporting Year ; Insurance Category Code ; Large Provider Entity Code ; Age Band Code ; Sex Code </v>
      </c>
      <c r="N827" s="297" t="s">
        <v>197</v>
      </c>
      <c r="O827" s="297" t="s">
        <v>198</v>
      </c>
      <c r="P827" s="297" t="s">
        <v>199</v>
      </c>
      <c r="Q827" s="297" t="s">
        <v>200</v>
      </c>
      <c r="R827" s="297" t="s">
        <v>213</v>
      </c>
      <c r="S827" s="297" t="s">
        <v>214</v>
      </c>
    </row>
    <row r="828" spans="1:19" x14ac:dyDescent="0.4">
      <c r="A828" s="291"/>
      <c r="B828" s="292"/>
      <c r="C828" s="312"/>
      <c r="D828" s="292"/>
      <c r="E828" s="489"/>
      <c r="F828" s="489"/>
      <c r="G828" s="490"/>
      <c r="H828" s="520"/>
      <c r="I828" s="523"/>
      <c r="J828" s="521"/>
      <c r="K828" s="522"/>
      <c r="M828" s="301" t="str">
        <f>N828&amp;AS[[#This Row],[Insurer Code]]&amp;"; "&amp;O828&amp;AS[[#This Row],[Reporting Year]]&amp;"; "&amp;P828&amp;AS[[#This Row],[Insurance Category Code]]&amp;"; "&amp;Q828&amp;AS[[#This Row],[Large Provider Entity Code]]&amp;"; "&amp;R828&amp;AS[[#This Row],[Age Band Code]]&amp;"; "&amp;S828&amp;AS[[#This Row],[Sex Code]]</f>
        <v xml:space="preserve">Insurer Code ; Reporting Year ; Insurance Category Code ; Large Provider Entity Code ; Age Band Code ; Sex Code </v>
      </c>
      <c r="N828" s="297" t="s">
        <v>197</v>
      </c>
      <c r="O828" s="297" t="s">
        <v>198</v>
      </c>
      <c r="P828" s="297" t="s">
        <v>199</v>
      </c>
      <c r="Q828" s="297" t="s">
        <v>200</v>
      </c>
      <c r="R828" s="297" t="s">
        <v>213</v>
      </c>
      <c r="S828" s="297" t="s">
        <v>214</v>
      </c>
    </row>
    <row r="829" spans="1:19" x14ac:dyDescent="0.4">
      <c r="A829" s="291"/>
      <c r="B829" s="292"/>
      <c r="C829" s="312"/>
      <c r="D829" s="292"/>
      <c r="E829" s="489"/>
      <c r="F829" s="489"/>
      <c r="G829" s="490"/>
      <c r="H829" s="520"/>
      <c r="I829" s="523"/>
      <c r="J829" s="521"/>
      <c r="K829" s="522"/>
      <c r="M829" s="301" t="str">
        <f>N829&amp;AS[[#This Row],[Insurer Code]]&amp;"; "&amp;O829&amp;AS[[#This Row],[Reporting Year]]&amp;"; "&amp;P829&amp;AS[[#This Row],[Insurance Category Code]]&amp;"; "&amp;Q829&amp;AS[[#This Row],[Large Provider Entity Code]]&amp;"; "&amp;R829&amp;AS[[#This Row],[Age Band Code]]&amp;"; "&amp;S829&amp;AS[[#This Row],[Sex Code]]</f>
        <v xml:space="preserve">Insurer Code ; Reporting Year ; Insurance Category Code ; Large Provider Entity Code ; Age Band Code ; Sex Code </v>
      </c>
      <c r="N829" s="297" t="s">
        <v>197</v>
      </c>
      <c r="O829" s="297" t="s">
        <v>198</v>
      </c>
      <c r="P829" s="297" t="s">
        <v>199</v>
      </c>
      <c r="Q829" s="297" t="s">
        <v>200</v>
      </c>
      <c r="R829" s="297" t="s">
        <v>213</v>
      </c>
      <c r="S829" s="297" t="s">
        <v>214</v>
      </c>
    </row>
    <row r="830" spans="1:19" x14ac:dyDescent="0.4">
      <c r="A830" s="291"/>
      <c r="B830" s="292"/>
      <c r="C830" s="312"/>
      <c r="D830" s="292"/>
      <c r="E830" s="489"/>
      <c r="F830" s="489"/>
      <c r="G830" s="490"/>
      <c r="H830" s="520"/>
      <c r="I830" s="523"/>
      <c r="J830" s="521"/>
      <c r="K830" s="522"/>
      <c r="M830" s="301" t="str">
        <f>N830&amp;AS[[#This Row],[Insurer Code]]&amp;"; "&amp;O830&amp;AS[[#This Row],[Reporting Year]]&amp;"; "&amp;P830&amp;AS[[#This Row],[Insurance Category Code]]&amp;"; "&amp;Q830&amp;AS[[#This Row],[Large Provider Entity Code]]&amp;"; "&amp;R830&amp;AS[[#This Row],[Age Band Code]]&amp;"; "&amp;S830&amp;AS[[#This Row],[Sex Code]]</f>
        <v xml:space="preserve">Insurer Code ; Reporting Year ; Insurance Category Code ; Large Provider Entity Code ; Age Band Code ; Sex Code </v>
      </c>
      <c r="N830" s="297" t="s">
        <v>197</v>
      </c>
      <c r="O830" s="297" t="s">
        <v>198</v>
      </c>
      <c r="P830" s="297" t="s">
        <v>199</v>
      </c>
      <c r="Q830" s="297" t="s">
        <v>200</v>
      </c>
      <c r="R830" s="297" t="s">
        <v>213</v>
      </c>
      <c r="S830" s="297" t="s">
        <v>214</v>
      </c>
    </row>
    <row r="831" spans="1:19" x14ac:dyDescent="0.4">
      <c r="A831" s="291"/>
      <c r="B831" s="292"/>
      <c r="C831" s="312"/>
      <c r="D831" s="292"/>
      <c r="E831" s="489"/>
      <c r="F831" s="489"/>
      <c r="G831" s="490"/>
      <c r="H831" s="520"/>
      <c r="I831" s="523"/>
      <c r="J831" s="521"/>
      <c r="K831" s="522"/>
      <c r="M831" s="301" t="str">
        <f>N831&amp;AS[[#This Row],[Insurer Code]]&amp;"; "&amp;O831&amp;AS[[#This Row],[Reporting Year]]&amp;"; "&amp;P831&amp;AS[[#This Row],[Insurance Category Code]]&amp;"; "&amp;Q831&amp;AS[[#This Row],[Large Provider Entity Code]]&amp;"; "&amp;R831&amp;AS[[#This Row],[Age Band Code]]&amp;"; "&amp;S831&amp;AS[[#This Row],[Sex Code]]</f>
        <v xml:space="preserve">Insurer Code ; Reporting Year ; Insurance Category Code ; Large Provider Entity Code ; Age Band Code ; Sex Code </v>
      </c>
      <c r="N831" s="297" t="s">
        <v>197</v>
      </c>
      <c r="O831" s="297" t="s">
        <v>198</v>
      </c>
      <c r="P831" s="297" t="s">
        <v>199</v>
      </c>
      <c r="Q831" s="297" t="s">
        <v>200</v>
      </c>
      <c r="R831" s="297" t="s">
        <v>213</v>
      </c>
      <c r="S831" s="297" t="s">
        <v>214</v>
      </c>
    </row>
    <row r="832" spans="1:19" x14ac:dyDescent="0.4">
      <c r="A832" s="291"/>
      <c r="B832" s="292"/>
      <c r="C832" s="312"/>
      <c r="D832" s="292"/>
      <c r="E832" s="489"/>
      <c r="F832" s="489"/>
      <c r="G832" s="490"/>
      <c r="H832" s="520"/>
      <c r="I832" s="523"/>
      <c r="J832" s="521"/>
      <c r="K832" s="522"/>
      <c r="M832" s="301" t="str">
        <f>N832&amp;AS[[#This Row],[Insurer Code]]&amp;"; "&amp;O832&amp;AS[[#This Row],[Reporting Year]]&amp;"; "&amp;P832&amp;AS[[#This Row],[Insurance Category Code]]&amp;"; "&amp;Q832&amp;AS[[#This Row],[Large Provider Entity Code]]&amp;"; "&amp;R832&amp;AS[[#This Row],[Age Band Code]]&amp;"; "&amp;S832&amp;AS[[#This Row],[Sex Code]]</f>
        <v xml:space="preserve">Insurer Code ; Reporting Year ; Insurance Category Code ; Large Provider Entity Code ; Age Band Code ; Sex Code </v>
      </c>
      <c r="N832" s="297" t="s">
        <v>197</v>
      </c>
      <c r="O832" s="297" t="s">
        <v>198</v>
      </c>
      <c r="P832" s="297" t="s">
        <v>199</v>
      </c>
      <c r="Q832" s="297" t="s">
        <v>200</v>
      </c>
      <c r="R832" s="297" t="s">
        <v>213</v>
      </c>
      <c r="S832" s="297" t="s">
        <v>214</v>
      </c>
    </row>
    <row r="833" spans="1:19" x14ac:dyDescent="0.4">
      <c r="A833" s="291"/>
      <c r="B833" s="292"/>
      <c r="C833" s="312"/>
      <c r="D833" s="292"/>
      <c r="E833" s="489"/>
      <c r="F833" s="489"/>
      <c r="G833" s="490"/>
      <c r="H833" s="520"/>
      <c r="I833" s="523"/>
      <c r="J833" s="521"/>
      <c r="K833" s="522"/>
      <c r="M833" s="301" t="str">
        <f>N833&amp;AS[[#This Row],[Insurer Code]]&amp;"; "&amp;O833&amp;AS[[#This Row],[Reporting Year]]&amp;"; "&amp;P833&amp;AS[[#This Row],[Insurance Category Code]]&amp;"; "&amp;Q833&amp;AS[[#This Row],[Large Provider Entity Code]]&amp;"; "&amp;R833&amp;AS[[#This Row],[Age Band Code]]&amp;"; "&amp;S833&amp;AS[[#This Row],[Sex Code]]</f>
        <v xml:space="preserve">Insurer Code ; Reporting Year ; Insurance Category Code ; Large Provider Entity Code ; Age Band Code ; Sex Code </v>
      </c>
      <c r="N833" s="297" t="s">
        <v>197</v>
      </c>
      <c r="O833" s="297" t="s">
        <v>198</v>
      </c>
      <c r="P833" s="297" t="s">
        <v>199</v>
      </c>
      <c r="Q833" s="297" t="s">
        <v>200</v>
      </c>
      <c r="R833" s="297" t="s">
        <v>213</v>
      </c>
      <c r="S833" s="297" t="s">
        <v>214</v>
      </c>
    </row>
    <row r="834" spans="1:19" x14ac:dyDescent="0.4">
      <c r="A834" s="291"/>
      <c r="B834" s="292"/>
      <c r="C834" s="312"/>
      <c r="D834" s="292"/>
      <c r="E834" s="489"/>
      <c r="F834" s="489"/>
      <c r="G834" s="490"/>
      <c r="H834" s="520"/>
      <c r="I834" s="523"/>
      <c r="J834" s="521"/>
      <c r="K834" s="522"/>
      <c r="M834" s="301" t="str">
        <f>N834&amp;AS[[#This Row],[Insurer Code]]&amp;"; "&amp;O834&amp;AS[[#This Row],[Reporting Year]]&amp;"; "&amp;P834&amp;AS[[#This Row],[Insurance Category Code]]&amp;"; "&amp;Q834&amp;AS[[#This Row],[Large Provider Entity Code]]&amp;"; "&amp;R834&amp;AS[[#This Row],[Age Band Code]]&amp;"; "&amp;S834&amp;AS[[#This Row],[Sex Code]]</f>
        <v xml:space="preserve">Insurer Code ; Reporting Year ; Insurance Category Code ; Large Provider Entity Code ; Age Band Code ; Sex Code </v>
      </c>
      <c r="N834" s="297" t="s">
        <v>197</v>
      </c>
      <c r="O834" s="297" t="s">
        <v>198</v>
      </c>
      <c r="P834" s="297" t="s">
        <v>199</v>
      </c>
      <c r="Q834" s="297" t="s">
        <v>200</v>
      </c>
      <c r="R834" s="297" t="s">
        <v>213</v>
      </c>
      <c r="S834" s="297" t="s">
        <v>214</v>
      </c>
    </row>
    <row r="835" spans="1:19" x14ac:dyDescent="0.4">
      <c r="A835" s="291"/>
      <c r="B835" s="292"/>
      <c r="C835" s="312"/>
      <c r="D835" s="292"/>
      <c r="E835" s="489"/>
      <c r="F835" s="489"/>
      <c r="G835" s="490"/>
      <c r="H835" s="520"/>
      <c r="I835" s="523"/>
      <c r="J835" s="521"/>
      <c r="K835" s="522"/>
      <c r="M835" s="301" t="str">
        <f>N835&amp;AS[[#This Row],[Insurer Code]]&amp;"; "&amp;O835&amp;AS[[#This Row],[Reporting Year]]&amp;"; "&amp;P835&amp;AS[[#This Row],[Insurance Category Code]]&amp;"; "&amp;Q835&amp;AS[[#This Row],[Large Provider Entity Code]]&amp;"; "&amp;R835&amp;AS[[#This Row],[Age Band Code]]&amp;"; "&amp;S835&amp;AS[[#This Row],[Sex Code]]</f>
        <v xml:space="preserve">Insurer Code ; Reporting Year ; Insurance Category Code ; Large Provider Entity Code ; Age Band Code ; Sex Code </v>
      </c>
      <c r="N835" s="297" t="s">
        <v>197</v>
      </c>
      <c r="O835" s="297" t="s">
        <v>198</v>
      </c>
      <c r="P835" s="297" t="s">
        <v>199</v>
      </c>
      <c r="Q835" s="297" t="s">
        <v>200</v>
      </c>
      <c r="R835" s="297" t="s">
        <v>213</v>
      </c>
      <c r="S835" s="297" t="s">
        <v>214</v>
      </c>
    </row>
    <row r="836" spans="1:19" x14ac:dyDescent="0.4">
      <c r="A836" s="291"/>
      <c r="B836" s="292"/>
      <c r="C836" s="312"/>
      <c r="D836" s="292"/>
      <c r="E836" s="489"/>
      <c r="F836" s="489"/>
      <c r="G836" s="490"/>
      <c r="H836" s="520"/>
      <c r="I836" s="523"/>
      <c r="J836" s="521"/>
      <c r="K836" s="522"/>
      <c r="M836" s="301" t="str">
        <f>N836&amp;AS[[#This Row],[Insurer Code]]&amp;"; "&amp;O836&amp;AS[[#This Row],[Reporting Year]]&amp;"; "&amp;P836&amp;AS[[#This Row],[Insurance Category Code]]&amp;"; "&amp;Q836&amp;AS[[#This Row],[Large Provider Entity Code]]&amp;"; "&amp;R836&amp;AS[[#This Row],[Age Band Code]]&amp;"; "&amp;S836&amp;AS[[#This Row],[Sex Code]]</f>
        <v xml:space="preserve">Insurer Code ; Reporting Year ; Insurance Category Code ; Large Provider Entity Code ; Age Band Code ; Sex Code </v>
      </c>
      <c r="N836" s="297" t="s">
        <v>197</v>
      </c>
      <c r="O836" s="297" t="s">
        <v>198</v>
      </c>
      <c r="P836" s="297" t="s">
        <v>199</v>
      </c>
      <c r="Q836" s="297" t="s">
        <v>200</v>
      </c>
      <c r="R836" s="297" t="s">
        <v>213</v>
      </c>
      <c r="S836" s="297" t="s">
        <v>214</v>
      </c>
    </row>
    <row r="837" spans="1:19" x14ac:dyDescent="0.4">
      <c r="A837" s="291"/>
      <c r="B837" s="292"/>
      <c r="C837" s="312"/>
      <c r="D837" s="292"/>
      <c r="E837" s="489"/>
      <c r="F837" s="489"/>
      <c r="G837" s="490"/>
      <c r="H837" s="520"/>
      <c r="I837" s="523"/>
      <c r="J837" s="521"/>
      <c r="K837" s="522"/>
      <c r="M837" s="301" t="str">
        <f>N837&amp;AS[[#This Row],[Insurer Code]]&amp;"; "&amp;O837&amp;AS[[#This Row],[Reporting Year]]&amp;"; "&amp;P837&amp;AS[[#This Row],[Insurance Category Code]]&amp;"; "&amp;Q837&amp;AS[[#This Row],[Large Provider Entity Code]]&amp;"; "&amp;R837&amp;AS[[#This Row],[Age Band Code]]&amp;"; "&amp;S837&amp;AS[[#This Row],[Sex Code]]</f>
        <v xml:space="preserve">Insurer Code ; Reporting Year ; Insurance Category Code ; Large Provider Entity Code ; Age Band Code ; Sex Code </v>
      </c>
      <c r="N837" s="297" t="s">
        <v>197</v>
      </c>
      <c r="O837" s="297" t="s">
        <v>198</v>
      </c>
      <c r="P837" s="297" t="s">
        <v>199</v>
      </c>
      <c r="Q837" s="297" t="s">
        <v>200</v>
      </c>
      <c r="R837" s="297" t="s">
        <v>213</v>
      </c>
      <c r="S837" s="297" t="s">
        <v>214</v>
      </c>
    </row>
    <row r="838" spans="1:19" x14ac:dyDescent="0.4">
      <c r="A838" s="291"/>
      <c r="B838" s="292"/>
      <c r="C838" s="312"/>
      <c r="D838" s="292"/>
      <c r="E838" s="489"/>
      <c r="F838" s="489"/>
      <c r="G838" s="490"/>
      <c r="H838" s="520"/>
      <c r="I838" s="523"/>
      <c r="J838" s="521"/>
      <c r="K838" s="522"/>
      <c r="M838" s="301" t="str">
        <f>N838&amp;AS[[#This Row],[Insurer Code]]&amp;"; "&amp;O838&amp;AS[[#This Row],[Reporting Year]]&amp;"; "&amp;P838&amp;AS[[#This Row],[Insurance Category Code]]&amp;"; "&amp;Q838&amp;AS[[#This Row],[Large Provider Entity Code]]&amp;"; "&amp;R838&amp;AS[[#This Row],[Age Band Code]]&amp;"; "&amp;S838&amp;AS[[#This Row],[Sex Code]]</f>
        <v xml:space="preserve">Insurer Code ; Reporting Year ; Insurance Category Code ; Large Provider Entity Code ; Age Band Code ; Sex Code </v>
      </c>
      <c r="N838" s="297" t="s">
        <v>197</v>
      </c>
      <c r="O838" s="297" t="s">
        <v>198</v>
      </c>
      <c r="P838" s="297" t="s">
        <v>199</v>
      </c>
      <c r="Q838" s="297" t="s">
        <v>200</v>
      </c>
      <c r="R838" s="297" t="s">
        <v>213</v>
      </c>
      <c r="S838" s="297" t="s">
        <v>214</v>
      </c>
    </row>
    <row r="839" spans="1:19" x14ac:dyDescent="0.4">
      <c r="A839" s="291"/>
      <c r="B839" s="292"/>
      <c r="C839" s="312"/>
      <c r="D839" s="292"/>
      <c r="E839" s="489"/>
      <c r="F839" s="489"/>
      <c r="G839" s="490"/>
      <c r="H839" s="520"/>
      <c r="I839" s="523"/>
      <c r="J839" s="521"/>
      <c r="K839" s="522"/>
      <c r="M839" s="301" t="str">
        <f>N839&amp;AS[[#This Row],[Insurer Code]]&amp;"; "&amp;O839&amp;AS[[#This Row],[Reporting Year]]&amp;"; "&amp;P839&amp;AS[[#This Row],[Insurance Category Code]]&amp;"; "&amp;Q839&amp;AS[[#This Row],[Large Provider Entity Code]]&amp;"; "&amp;R839&amp;AS[[#This Row],[Age Band Code]]&amp;"; "&amp;S839&amp;AS[[#This Row],[Sex Code]]</f>
        <v xml:space="preserve">Insurer Code ; Reporting Year ; Insurance Category Code ; Large Provider Entity Code ; Age Band Code ; Sex Code </v>
      </c>
      <c r="N839" s="297" t="s">
        <v>197</v>
      </c>
      <c r="O839" s="297" t="s">
        <v>198</v>
      </c>
      <c r="P839" s="297" t="s">
        <v>199</v>
      </c>
      <c r="Q839" s="297" t="s">
        <v>200</v>
      </c>
      <c r="R839" s="297" t="s">
        <v>213</v>
      </c>
      <c r="S839" s="297" t="s">
        <v>214</v>
      </c>
    </row>
    <row r="840" spans="1:19" x14ac:dyDescent="0.4">
      <c r="A840" s="291"/>
      <c r="B840" s="292"/>
      <c r="C840" s="312"/>
      <c r="D840" s="292"/>
      <c r="E840" s="489"/>
      <c r="F840" s="489"/>
      <c r="G840" s="490"/>
      <c r="H840" s="520"/>
      <c r="I840" s="523"/>
      <c r="J840" s="521"/>
      <c r="K840" s="522"/>
      <c r="M840" s="301" t="str">
        <f>N840&amp;AS[[#This Row],[Insurer Code]]&amp;"; "&amp;O840&amp;AS[[#This Row],[Reporting Year]]&amp;"; "&amp;P840&amp;AS[[#This Row],[Insurance Category Code]]&amp;"; "&amp;Q840&amp;AS[[#This Row],[Large Provider Entity Code]]&amp;"; "&amp;R840&amp;AS[[#This Row],[Age Band Code]]&amp;"; "&amp;S840&amp;AS[[#This Row],[Sex Code]]</f>
        <v xml:space="preserve">Insurer Code ; Reporting Year ; Insurance Category Code ; Large Provider Entity Code ; Age Band Code ; Sex Code </v>
      </c>
      <c r="N840" s="297" t="s">
        <v>197</v>
      </c>
      <c r="O840" s="297" t="s">
        <v>198</v>
      </c>
      <c r="P840" s="297" t="s">
        <v>199</v>
      </c>
      <c r="Q840" s="297" t="s">
        <v>200</v>
      </c>
      <c r="R840" s="297" t="s">
        <v>213</v>
      </c>
      <c r="S840" s="297" t="s">
        <v>214</v>
      </c>
    </row>
    <row r="841" spans="1:19" x14ac:dyDescent="0.4">
      <c r="A841" s="291"/>
      <c r="B841" s="292"/>
      <c r="C841" s="312"/>
      <c r="D841" s="292"/>
      <c r="E841" s="489"/>
      <c r="F841" s="489"/>
      <c r="G841" s="490"/>
      <c r="H841" s="520"/>
      <c r="I841" s="523"/>
      <c r="J841" s="521"/>
      <c r="K841" s="522"/>
      <c r="M841" s="301" t="str">
        <f>N841&amp;AS[[#This Row],[Insurer Code]]&amp;"; "&amp;O841&amp;AS[[#This Row],[Reporting Year]]&amp;"; "&amp;P841&amp;AS[[#This Row],[Insurance Category Code]]&amp;"; "&amp;Q841&amp;AS[[#This Row],[Large Provider Entity Code]]&amp;"; "&amp;R841&amp;AS[[#This Row],[Age Band Code]]&amp;"; "&amp;S841&amp;AS[[#This Row],[Sex Code]]</f>
        <v xml:space="preserve">Insurer Code ; Reporting Year ; Insurance Category Code ; Large Provider Entity Code ; Age Band Code ; Sex Code </v>
      </c>
      <c r="N841" s="297" t="s">
        <v>197</v>
      </c>
      <c r="O841" s="297" t="s">
        <v>198</v>
      </c>
      <c r="P841" s="297" t="s">
        <v>199</v>
      </c>
      <c r="Q841" s="297" t="s">
        <v>200</v>
      </c>
      <c r="R841" s="297" t="s">
        <v>213</v>
      </c>
      <c r="S841" s="297" t="s">
        <v>214</v>
      </c>
    </row>
    <row r="842" spans="1:19" x14ac:dyDescent="0.4">
      <c r="A842" s="291"/>
      <c r="B842" s="292"/>
      <c r="C842" s="312"/>
      <c r="D842" s="292"/>
      <c r="E842" s="489"/>
      <c r="F842" s="489"/>
      <c r="G842" s="490"/>
      <c r="H842" s="520"/>
      <c r="I842" s="523"/>
      <c r="J842" s="521"/>
      <c r="K842" s="522"/>
      <c r="M842" s="301" t="str">
        <f>N842&amp;AS[[#This Row],[Insurer Code]]&amp;"; "&amp;O842&amp;AS[[#This Row],[Reporting Year]]&amp;"; "&amp;P842&amp;AS[[#This Row],[Insurance Category Code]]&amp;"; "&amp;Q842&amp;AS[[#This Row],[Large Provider Entity Code]]&amp;"; "&amp;R842&amp;AS[[#This Row],[Age Band Code]]&amp;"; "&amp;S842&amp;AS[[#This Row],[Sex Code]]</f>
        <v xml:space="preserve">Insurer Code ; Reporting Year ; Insurance Category Code ; Large Provider Entity Code ; Age Band Code ; Sex Code </v>
      </c>
      <c r="N842" s="297" t="s">
        <v>197</v>
      </c>
      <c r="O842" s="297" t="s">
        <v>198</v>
      </c>
      <c r="P842" s="297" t="s">
        <v>199</v>
      </c>
      <c r="Q842" s="297" t="s">
        <v>200</v>
      </c>
      <c r="R842" s="297" t="s">
        <v>213</v>
      </c>
      <c r="S842" s="297" t="s">
        <v>214</v>
      </c>
    </row>
    <row r="843" spans="1:19" x14ac:dyDescent="0.4">
      <c r="A843" s="291"/>
      <c r="B843" s="292"/>
      <c r="C843" s="312"/>
      <c r="D843" s="292"/>
      <c r="E843" s="489"/>
      <c r="F843" s="489"/>
      <c r="G843" s="490"/>
      <c r="H843" s="520"/>
      <c r="I843" s="523"/>
      <c r="J843" s="521"/>
      <c r="K843" s="522"/>
      <c r="M843" s="301" t="str">
        <f>N843&amp;AS[[#This Row],[Insurer Code]]&amp;"; "&amp;O843&amp;AS[[#This Row],[Reporting Year]]&amp;"; "&amp;P843&amp;AS[[#This Row],[Insurance Category Code]]&amp;"; "&amp;Q843&amp;AS[[#This Row],[Large Provider Entity Code]]&amp;"; "&amp;R843&amp;AS[[#This Row],[Age Band Code]]&amp;"; "&amp;S843&amp;AS[[#This Row],[Sex Code]]</f>
        <v xml:space="preserve">Insurer Code ; Reporting Year ; Insurance Category Code ; Large Provider Entity Code ; Age Band Code ; Sex Code </v>
      </c>
      <c r="N843" s="297" t="s">
        <v>197</v>
      </c>
      <c r="O843" s="297" t="s">
        <v>198</v>
      </c>
      <c r="P843" s="297" t="s">
        <v>199</v>
      </c>
      <c r="Q843" s="297" t="s">
        <v>200</v>
      </c>
      <c r="R843" s="297" t="s">
        <v>213</v>
      </c>
      <c r="S843" s="297" t="s">
        <v>214</v>
      </c>
    </row>
    <row r="844" spans="1:19" x14ac:dyDescent="0.4">
      <c r="A844" s="291"/>
      <c r="B844" s="292"/>
      <c r="C844" s="312"/>
      <c r="D844" s="292"/>
      <c r="E844" s="489"/>
      <c r="F844" s="489"/>
      <c r="G844" s="490"/>
      <c r="H844" s="520"/>
      <c r="I844" s="523"/>
      <c r="J844" s="521"/>
      <c r="K844" s="522"/>
      <c r="M844" s="301" t="str">
        <f>N844&amp;AS[[#This Row],[Insurer Code]]&amp;"; "&amp;O844&amp;AS[[#This Row],[Reporting Year]]&amp;"; "&amp;P844&amp;AS[[#This Row],[Insurance Category Code]]&amp;"; "&amp;Q844&amp;AS[[#This Row],[Large Provider Entity Code]]&amp;"; "&amp;R844&amp;AS[[#This Row],[Age Band Code]]&amp;"; "&amp;S844&amp;AS[[#This Row],[Sex Code]]</f>
        <v xml:space="preserve">Insurer Code ; Reporting Year ; Insurance Category Code ; Large Provider Entity Code ; Age Band Code ; Sex Code </v>
      </c>
      <c r="N844" s="297" t="s">
        <v>197</v>
      </c>
      <c r="O844" s="297" t="s">
        <v>198</v>
      </c>
      <c r="P844" s="297" t="s">
        <v>199</v>
      </c>
      <c r="Q844" s="297" t="s">
        <v>200</v>
      </c>
      <c r="R844" s="297" t="s">
        <v>213</v>
      </c>
      <c r="S844" s="297" t="s">
        <v>214</v>
      </c>
    </row>
    <row r="845" spans="1:19" x14ac:dyDescent="0.4">
      <c r="A845" s="291"/>
      <c r="B845" s="292"/>
      <c r="C845" s="312"/>
      <c r="D845" s="292"/>
      <c r="E845" s="489"/>
      <c r="F845" s="489"/>
      <c r="G845" s="490"/>
      <c r="H845" s="520"/>
      <c r="I845" s="523"/>
      <c r="J845" s="521"/>
      <c r="K845" s="522"/>
      <c r="M845" s="301" t="str">
        <f>N845&amp;AS[[#This Row],[Insurer Code]]&amp;"; "&amp;O845&amp;AS[[#This Row],[Reporting Year]]&amp;"; "&amp;P845&amp;AS[[#This Row],[Insurance Category Code]]&amp;"; "&amp;Q845&amp;AS[[#This Row],[Large Provider Entity Code]]&amp;"; "&amp;R845&amp;AS[[#This Row],[Age Band Code]]&amp;"; "&amp;S845&amp;AS[[#This Row],[Sex Code]]</f>
        <v xml:space="preserve">Insurer Code ; Reporting Year ; Insurance Category Code ; Large Provider Entity Code ; Age Band Code ; Sex Code </v>
      </c>
      <c r="N845" s="297" t="s">
        <v>197</v>
      </c>
      <c r="O845" s="297" t="s">
        <v>198</v>
      </c>
      <c r="P845" s="297" t="s">
        <v>199</v>
      </c>
      <c r="Q845" s="297" t="s">
        <v>200</v>
      </c>
      <c r="R845" s="297" t="s">
        <v>213</v>
      </c>
      <c r="S845" s="297" t="s">
        <v>214</v>
      </c>
    </row>
    <row r="846" spans="1:19" x14ac:dyDescent="0.4">
      <c r="A846" s="291"/>
      <c r="B846" s="292"/>
      <c r="C846" s="312"/>
      <c r="D846" s="292"/>
      <c r="E846" s="489"/>
      <c r="F846" s="489"/>
      <c r="G846" s="490"/>
      <c r="H846" s="520"/>
      <c r="I846" s="523"/>
      <c r="J846" s="521"/>
      <c r="K846" s="522"/>
      <c r="M846" s="301" t="str">
        <f>N846&amp;AS[[#This Row],[Insurer Code]]&amp;"; "&amp;O846&amp;AS[[#This Row],[Reporting Year]]&amp;"; "&amp;P846&amp;AS[[#This Row],[Insurance Category Code]]&amp;"; "&amp;Q846&amp;AS[[#This Row],[Large Provider Entity Code]]&amp;"; "&amp;R846&amp;AS[[#This Row],[Age Band Code]]&amp;"; "&amp;S846&amp;AS[[#This Row],[Sex Code]]</f>
        <v xml:space="preserve">Insurer Code ; Reporting Year ; Insurance Category Code ; Large Provider Entity Code ; Age Band Code ; Sex Code </v>
      </c>
      <c r="N846" s="297" t="s">
        <v>197</v>
      </c>
      <c r="O846" s="297" t="s">
        <v>198</v>
      </c>
      <c r="P846" s="297" t="s">
        <v>199</v>
      </c>
      <c r="Q846" s="297" t="s">
        <v>200</v>
      </c>
      <c r="R846" s="297" t="s">
        <v>213</v>
      </c>
      <c r="S846" s="297" t="s">
        <v>214</v>
      </c>
    </row>
    <row r="847" spans="1:19" x14ac:dyDescent="0.4">
      <c r="A847" s="291"/>
      <c r="B847" s="292"/>
      <c r="C847" s="312"/>
      <c r="D847" s="292"/>
      <c r="E847" s="489"/>
      <c r="F847" s="489"/>
      <c r="G847" s="490"/>
      <c r="H847" s="520"/>
      <c r="I847" s="523"/>
      <c r="J847" s="521"/>
      <c r="K847" s="522"/>
      <c r="M847" s="301" t="str">
        <f>N847&amp;AS[[#This Row],[Insurer Code]]&amp;"; "&amp;O847&amp;AS[[#This Row],[Reporting Year]]&amp;"; "&amp;P847&amp;AS[[#This Row],[Insurance Category Code]]&amp;"; "&amp;Q847&amp;AS[[#This Row],[Large Provider Entity Code]]&amp;"; "&amp;R847&amp;AS[[#This Row],[Age Band Code]]&amp;"; "&amp;S847&amp;AS[[#This Row],[Sex Code]]</f>
        <v xml:space="preserve">Insurer Code ; Reporting Year ; Insurance Category Code ; Large Provider Entity Code ; Age Band Code ; Sex Code </v>
      </c>
      <c r="N847" s="297" t="s">
        <v>197</v>
      </c>
      <c r="O847" s="297" t="s">
        <v>198</v>
      </c>
      <c r="P847" s="297" t="s">
        <v>199</v>
      </c>
      <c r="Q847" s="297" t="s">
        <v>200</v>
      </c>
      <c r="R847" s="297" t="s">
        <v>213</v>
      </c>
      <c r="S847" s="297" t="s">
        <v>214</v>
      </c>
    </row>
    <row r="848" spans="1:19" x14ac:dyDescent="0.4">
      <c r="A848" s="291"/>
      <c r="B848" s="292"/>
      <c r="C848" s="312"/>
      <c r="D848" s="292"/>
      <c r="E848" s="489"/>
      <c r="F848" s="489"/>
      <c r="G848" s="490"/>
      <c r="H848" s="520"/>
      <c r="I848" s="523"/>
      <c r="J848" s="521"/>
      <c r="K848" s="522"/>
      <c r="M848" s="301" t="str">
        <f>N848&amp;AS[[#This Row],[Insurer Code]]&amp;"; "&amp;O848&amp;AS[[#This Row],[Reporting Year]]&amp;"; "&amp;P848&amp;AS[[#This Row],[Insurance Category Code]]&amp;"; "&amp;Q848&amp;AS[[#This Row],[Large Provider Entity Code]]&amp;"; "&amp;R848&amp;AS[[#This Row],[Age Band Code]]&amp;"; "&amp;S848&amp;AS[[#This Row],[Sex Code]]</f>
        <v xml:space="preserve">Insurer Code ; Reporting Year ; Insurance Category Code ; Large Provider Entity Code ; Age Band Code ; Sex Code </v>
      </c>
      <c r="N848" s="297" t="s">
        <v>197</v>
      </c>
      <c r="O848" s="297" t="s">
        <v>198</v>
      </c>
      <c r="P848" s="297" t="s">
        <v>199</v>
      </c>
      <c r="Q848" s="297" t="s">
        <v>200</v>
      </c>
      <c r="R848" s="297" t="s">
        <v>213</v>
      </c>
      <c r="S848" s="297" t="s">
        <v>214</v>
      </c>
    </row>
    <row r="849" spans="1:19" x14ac:dyDescent="0.4">
      <c r="A849" s="291"/>
      <c r="B849" s="292"/>
      <c r="C849" s="312"/>
      <c r="D849" s="292"/>
      <c r="E849" s="489"/>
      <c r="F849" s="489"/>
      <c r="G849" s="490"/>
      <c r="H849" s="520"/>
      <c r="I849" s="523"/>
      <c r="J849" s="521"/>
      <c r="K849" s="522"/>
      <c r="M849" s="301" t="str">
        <f>N849&amp;AS[[#This Row],[Insurer Code]]&amp;"; "&amp;O849&amp;AS[[#This Row],[Reporting Year]]&amp;"; "&amp;P849&amp;AS[[#This Row],[Insurance Category Code]]&amp;"; "&amp;Q849&amp;AS[[#This Row],[Large Provider Entity Code]]&amp;"; "&amp;R849&amp;AS[[#This Row],[Age Band Code]]&amp;"; "&amp;S849&amp;AS[[#This Row],[Sex Code]]</f>
        <v xml:space="preserve">Insurer Code ; Reporting Year ; Insurance Category Code ; Large Provider Entity Code ; Age Band Code ; Sex Code </v>
      </c>
      <c r="N849" s="297" t="s">
        <v>197</v>
      </c>
      <c r="O849" s="297" t="s">
        <v>198</v>
      </c>
      <c r="P849" s="297" t="s">
        <v>199</v>
      </c>
      <c r="Q849" s="297" t="s">
        <v>200</v>
      </c>
      <c r="R849" s="297" t="s">
        <v>213</v>
      </c>
      <c r="S849" s="297" t="s">
        <v>214</v>
      </c>
    </row>
    <row r="850" spans="1:19" x14ac:dyDescent="0.4">
      <c r="A850" s="291"/>
      <c r="B850" s="292"/>
      <c r="C850" s="312"/>
      <c r="D850" s="292"/>
      <c r="E850" s="489"/>
      <c r="F850" s="489"/>
      <c r="G850" s="490"/>
      <c r="H850" s="520"/>
      <c r="I850" s="523"/>
      <c r="J850" s="521"/>
      <c r="K850" s="522"/>
      <c r="M850" s="301" t="str">
        <f>N850&amp;AS[[#This Row],[Insurer Code]]&amp;"; "&amp;O850&amp;AS[[#This Row],[Reporting Year]]&amp;"; "&amp;P850&amp;AS[[#This Row],[Insurance Category Code]]&amp;"; "&amp;Q850&amp;AS[[#This Row],[Large Provider Entity Code]]&amp;"; "&amp;R850&amp;AS[[#This Row],[Age Band Code]]&amp;"; "&amp;S850&amp;AS[[#This Row],[Sex Code]]</f>
        <v xml:space="preserve">Insurer Code ; Reporting Year ; Insurance Category Code ; Large Provider Entity Code ; Age Band Code ; Sex Code </v>
      </c>
      <c r="N850" s="297" t="s">
        <v>197</v>
      </c>
      <c r="O850" s="297" t="s">
        <v>198</v>
      </c>
      <c r="P850" s="297" t="s">
        <v>199</v>
      </c>
      <c r="Q850" s="297" t="s">
        <v>200</v>
      </c>
      <c r="R850" s="297" t="s">
        <v>213</v>
      </c>
      <c r="S850" s="297" t="s">
        <v>214</v>
      </c>
    </row>
    <row r="851" spans="1:19" x14ac:dyDescent="0.4">
      <c r="A851" s="291"/>
      <c r="B851" s="292"/>
      <c r="C851" s="312"/>
      <c r="D851" s="292"/>
      <c r="E851" s="489"/>
      <c r="F851" s="489"/>
      <c r="G851" s="490"/>
      <c r="H851" s="520"/>
      <c r="I851" s="523"/>
      <c r="J851" s="521"/>
      <c r="K851" s="522"/>
      <c r="M851" s="301" t="str">
        <f>N851&amp;AS[[#This Row],[Insurer Code]]&amp;"; "&amp;O851&amp;AS[[#This Row],[Reporting Year]]&amp;"; "&amp;P851&amp;AS[[#This Row],[Insurance Category Code]]&amp;"; "&amp;Q851&amp;AS[[#This Row],[Large Provider Entity Code]]&amp;"; "&amp;R851&amp;AS[[#This Row],[Age Band Code]]&amp;"; "&amp;S851&amp;AS[[#This Row],[Sex Code]]</f>
        <v xml:space="preserve">Insurer Code ; Reporting Year ; Insurance Category Code ; Large Provider Entity Code ; Age Band Code ; Sex Code </v>
      </c>
      <c r="N851" s="297" t="s">
        <v>197</v>
      </c>
      <c r="O851" s="297" t="s">
        <v>198</v>
      </c>
      <c r="P851" s="297" t="s">
        <v>199</v>
      </c>
      <c r="Q851" s="297" t="s">
        <v>200</v>
      </c>
      <c r="R851" s="297" t="s">
        <v>213</v>
      </c>
      <c r="S851" s="297" t="s">
        <v>214</v>
      </c>
    </row>
    <row r="852" spans="1:19" x14ac:dyDescent="0.4">
      <c r="A852" s="291"/>
      <c r="B852" s="292"/>
      <c r="C852" s="312"/>
      <c r="D852" s="292"/>
      <c r="E852" s="489"/>
      <c r="F852" s="489"/>
      <c r="G852" s="490"/>
      <c r="H852" s="520"/>
      <c r="I852" s="523"/>
      <c r="J852" s="521"/>
      <c r="K852" s="522"/>
      <c r="M852" s="301" t="str">
        <f>N852&amp;AS[[#This Row],[Insurer Code]]&amp;"; "&amp;O852&amp;AS[[#This Row],[Reporting Year]]&amp;"; "&amp;P852&amp;AS[[#This Row],[Insurance Category Code]]&amp;"; "&amp;Q852&amp;AS[[#This Row],[Large Provider Entity Code]]&amp;"; "&amp;R852&amp;AS[[#This Row],[Age Band Code]]&amp;"; "&amp;S852&amp;AS[[#This Row],[Sex Code]]</f>
        <v xml:space="preserve">Insurer Code ; Reporting Year ; Insurance Category Code ; Large Provider Entity Code ; Age Band Code ; Sex Code </v>
      </c>
      <c r="N852" s="297" t="s">
        <v>197</v>
      </c>
      <c r="O852" s="297" t="s">
        <v>198</v>
      </c>
      <c r="P852" s="297" t="s">
        <v>199</v>
      </c>
      <c r="Q852" s="297" t="s">
        <v>200</v>
      </c>
      <c r="R852" s="297" t="s">
        <v>213</v>
      </c>
      <c r="S852" s="297" t="s">
        <v>214</v>
      </c>
    </row>
    <row r="853" spans="1:19" x14ac:dyDescent="0.4">
      <c r="A853" s="291"/>
      <c r="B853" s="292"/>
      <c r="C853" s="312"/>
      <c r="D853" s="292"/>
      <c r="E853" s="489"/>
      <c r="F853" s="489"/>
      <c r="G853" s="490"/>
      <c r="H853" s="520"/>
      <c r="I853" s="523"/>
      <c r="J853" s="521"/>
      <c r="K853" s="522"/>
      <c r="M853" s="301" t="str">
        <f>N853&amp;AS[[#This Row],[Insurer Code]]&amp;"; "&amp;O853&amp;AS[[#This Row],[Reporting Year]]&amp;"; "&amp;P853&amp;AS[[#This Row],[Insurance Category Code]]&amp;"; "&amp;Q853&amp;AS[[#This Row],[Large Provider Entity Code]]&amp;"; "&amp;R853&amp;AS[[#This Row],[Age Band Code]]&amp;"; "&amp;S853&amp;AS[[#This Row],[Sex Code]]</f>
        <v xml:space="preserve">Insurer Code ; Reporting Year ; Insurance Category Code ; Large Provider Entity Code ; Age Band Code ; Sex Code </v>
      </c>
      <c r="N853" s="297" t="s">
        <v>197</v>
      </c>
      <c r="O853" s="297" t="s">
        <v>198</v>
      </c>
      <c r="P853" s="297" t="s">
        <v>199</v>
      </c>
      <c r="Q853" s="297" t="s">
        <v>200</v>
      </c>
      <c r="R853" s="297" t="s">
        <v>213</v>
      </c>
      <c r="S853" s="297" t="s">
        <v>214</v>
      </c>
    </row>
    <row r="854" spans="1:19" x14ac:dyDescent="0.4">
      <c r="A854" s="291"/>
      <c r="B854" s="292"/>
      <c r="C854" s="312"/>
      <c r="D854" s="292"/>
      <c r="E854" s="489"/>
      <c r="F854" s="489"/>
      <c r="G854" s="490"/>
      <c r="H854" s="520"/>
      <c r="I854" s="523"/>
      <c r="J854" s="521"/>
      <c r="K854" s="522"/>
      <c r="M854" s="301" t="str">
        <f>N854&amp;AS[[#This Row],[Insurer Code]]&amp;"; "&amp;O854&amp;AS[[#This Row],[Reporting Year]]&amp;"; "&amp;P854&amp;AS[[#This Row],[Insurance Category Code]]&amp;"; "&amp;Q854&amp;AS[[#This Row],[Large Provider Entity Code]]&amp;"; "&amp;R854&amp;AS[[#This Row],[Age Band Code]]&amp;"; "&amp;S854&amp;AS[[#This Row],[Sex Code]]</f>
        <v xml:space="preserve">Insurer Code ; Reporting Year ; Insurance Category Code ; Large Provider Entity Code ; Age Band Code ; Sex Code </v>
      </c>
      <c r="N854" s="297" t="s">
        <v>197</v>
      </c>
      <c r="O854" s="297" t="s">
        <v>198</v>
      </c>
      <c r="P854" s="297" t="s">
        <v>199</v>
      </c>
      <c r="Q854" s="297" t="s">
        <v>200</v>
      </c>
      <c r="R854" s="297" t="s">
        <v>213</v>
      </c>
      <c r="S854" s="297" t="s">
        <v>214</v>
      </c>
    </row>
    <row r="855" spans="1:19" x14ac:dyDescent="0.4">
      <c r="A855" s="291"/>
      <c r="B855" s="292"/>
      <c r="C855" s="312"/>
      <c r="D855" s="292"/>
      <c r="E855" s="489"/>
      <c r="F855" s="489"/>
      <c r="G855" s="490"/>
      <c r="H855" s="520"/>
      <c r="I855" s="523"/>
      <c r="J855" s="521"/>
      <c r="K855" s="522"/>
      <c r="M855" s="301" t="str">
        <f>N855&amp;AS[[#This Row],[Insurer Code]]&amp;"; "&amp;O855&amp;AS[[#This Row],[Reporting Year]]&amp;"; "&amp;P855&amp;AS[[#This Row],[Insurance Category Code]]&amp;"; "&amp;Q855&amp;AS[[#This Row],[Large Provider Entity Code]]&amp;"; "&amp;R855&amp;AS[[#This Row],[Age Band Code]]&amp;"; "&amp;S855&amp;AS[[#This Row],[Sex Code]]</f>
        <v xml:space="preserve">Insurer Code ; Reporting Year ; Insurance Category Code ; Large Provider Entity Code ; Age Band Code ; Sex Code </v>
      </c>
      <c r="N855" s="297" t="s">
        <v>197</v>
      </c>
      <c r="O855" s="297" t="s">
        <v>198</v>
      </c>
      <c r="P855" s="297" t="s">
        <v>199</v>
      </c>
      <c r="Q855" s="297" t="s">
        <v>200</v>
      </c>
      <c r="R855" s="297" t="s">
        <v>213</v>
      </c>
      <c r="S855" s="297" t="s">
        <v>214</v>
      </c>
    </row>
    <row r="856" spans="1:19" x14ac:dyDescent="0.4">
      <c r="A856" s="291"/>
      <c r="B856" s="292"/>
      <c r="C856" s="312"/>
      <c r="D856" s="292"/>
      <c r="E856" s="489"/>
      <c r="F856" s="489"/>
      <c r="G856" s="490"/>
      <c r="H856" s="520"/>
      <c r="I856" s="523"/>
      <c r="J856" s="521"/>
      <c r="K856" s="522"/>
      <c r="M856" s="301" t="str">
        <f>N856&amp;AS[[#This Row],[Insurer Code]]&amp;"; "&amp;O856&amp;AS[[#This Row],[Reporting Year]]&amp;"; "&amp;P856&amp;AS[[#This Row],[Insurance Category Code]]&amp;"; "&amp;Q856&amp;AS[[#This Row],[Large Provider Entity Code]]&amp;"; "&amp;R856&amp;AS[[#This Row],[Age Band Code]]&amp;"; "&amp;S856&amp;AS[[#This Row],[Sex Code]]</f>
        <v xml:space="preserve">Insurer Code ; Reporting Year ; Insurance Category Code ; Large Provider Entity Code ; Age Band Code ; Sex Code </v>
      </c>
      <c r="N856" s="297" t="s">
        <v>197</v>
      </c>
      <c r="O856" s="297" t="s">
        <v>198</v>
      </c>
      <c r="P856" s="297" t="s">
        <v>199</v>
      </c>
      <c r="Q856" s="297" t="s">
        <v>200</v>
      </c>
      <c r="R856" s="297" t="s">
        <v>213</v>
      </c>
      <c r="S856" s="297" t="s">
        <v>214</v>
      </c>
    </row>
    <row r="857" spans="1:19" x14ac:dyDescent="0.4">
      <c r="A857" s="291"/>
      <c r="B857" s="292"/>
      <c r="C857" s="312"/>
      <c r="D857" s="292"/>
      <c r="E857" s="489"/>
      <c r="F857" s="489"/>
      <c r="G857" s="490"/>
      <c r="H857" s="520"/>
      <c r="I857" s="523"/>
      <c r="J857" s="521"/>
      <c r="K857" s="522"/>
      <c r="M857" s="301" t="str">
        <f>N857&amp;AS[[#This Row],[Insurer Code]]&amp;"; "&amp;O857&amp;AS[[#This Row],[Reporting Year]]&amp;"; "&amp;P857&amp;AS[[#This Row],[Insurance Category Code]]&amp;"; "&amp;Q857&amp;AS[[#This Row],[Large Provider Entity Code]]&amp;"; "&amp;R857&amp;AS[[#This Row],[Age Band Code]]&amp;"; "&amp;S857&amp;AS[[#This Row],[Sex Code]]</f>
        <v xml:space="preserve">Insurer Code ; Reporting Year ; Insurance Category Code ; Large Provider Entity Code ; Age Band Code ; Sex Code </v>
      </c>
      <c r="N857" s="297" t="s">
        <v>197</v>
      </c>
      <c r="O857" s="297" t="s">
        <v>198</v>
      </c>
      <c r="P857" s="297" t="s">
        <v>199</v>
      </c>
      <c r="Q857" s="297" t="s">
        <v>200</v>
      </c>
      <c r="R857" s="297" t="s">
        <v>213</v>
      </c>
      <c r="S857" s="297" t="s">
        <v>214</v>
      </c>
    </row>
    <row r="858" spans="1:19" x14ac:dyDescent="0.4">
      <c r="A858" s="291"/>
      <c r="B858" s="292"/>
      <c r="C858" s="312"/>
      <c r="D858" s="292"/>
      <c r="E858" s="489"/>
      <c r="F858" s="489"/>
      <c r="G858" s="490"/>
      <c r="H858" s="520"/>
      <c r="I858" s="523"/>
      <c r="J858" s="521"/>
      <c r="K858" s="522"/>
      <c r="M858" s="301" t="str">
        <f>N858&amp;AS[[#This Row],[Insurer Code]]&amp;"; "&amp;O858&amp;AS[[#This Row],[Reporting Year]]&amp;"; "&amp;P858&amp;AS[[#This Row],[Insurance Category Code]]&amp;"; "&amp;Q858&amp;AS[[#This Row],[Large Provider Entity Code]]&amp;"; "&amp;R858&amp;AS[[#This Row],[Age Band Code]]&amp;"; "&amp;S858&amp;AS[[#This Row],[Sex Code]]</f>
        <v xml:space="preserve">Insurer Code ; Reporting Year ; Insurance Category Code ; Large Provider Entity Code ; Age Band Code ; Sex Code </v>
      </c>
      <c r="N858" s="297" t="s">
        <v>197</v>
      </c>
      <c r="O858" s="297" t="s">
        <v>198</v>
      </c>
      <c r="P858" s="297" t="s">
        <v>199</v>
      </c>
      <c r="Q858" s="297" t="s">
        <v>200</v>
      </c>
      <c r="R858" s="297" t="s">
        <v>213</v>
      </c>
      <c r="S858" s="297" t="s">
        <v>214</v>
      </c>
    </row>
    <row r="859" spans="1:19" x14ac:dyDescent="0.4">
      <c r="A859" s="291"/>
      <c r="B859" s="292"/>
      <c r="C859" s="312"/>
      <c r="D859" s="292"/>
      <c r="E859" s="489"/>
      <c r="F859" s="489"/>
      <c r="G859" s="490"/>
      <c r="H859" s="520"/>
      <c r="I859" s="523"/>
      <c r="J859" s="521"/>
      <c r="K859" s="522"/>
      <c r="M859" s="301" t="str">
        <f>N859&amp;AS[[#This Row],[Insurer Code]]&amp;"; "&amp;O859&amp;AS[[#This Row],[Reporting Year]]&amp;"; "&amp;P859&amp;AS[[#This Row],[Insurance Category Code]]&amp;"; "&amp;Q859&amp;AS[[#This Row],[Large Provider Entity Code]]&amp;"; "&amp;R859&amp;AS[[#This Row],[Age Band Code]]&amp;"; "&amp;S859&amp;AS[[#This Row],[Sex Code]]</f>
        <v xml:space="preserve">Insurer Code ; Reporting Year ; Insurance Category Code ; Large Provider Entity Code ; Age Band Code ; Sex Code </v>
      </c>
      <c r="N859" s="297" t="s">
        <v>197</v>
      </c>
      <c r="O859" s="297" t="s">
        <v>198</v>
      </c>
      <c r="P859" s="297" t="s">
        <v>199</v>
      </c>
      <c r="Q859" s="297" t="s">
        <v>200</v>
      </c>
      <c r="R859" s="297" t="s">
        <v>213</v>
      </c>
      <c r="S859" s="297" t="s">
        <v>214</v>
      </c>
    </row>
    <row r="860" spans="1:19" x14ac:dyDescent="0.4">
      <c r="A860" s="291"/>
      <c r="B860" s="292"/>
      <c r="C860" s="312"/>
      <c r="D860" s="292"/>
      <c r="E860" s="489"/>
      <c r="F860" s="489"/>
      <c r="G860" s="490"/>
      <c r="H860" s="520"/>
      <c r="I860" s="523"/>
      <c r="J860" s="521"/>
      <c r="K860" s="522"/>
      <c r="M860" s="301" t="str">
        <f>N860&amp;AS[[#This Row],[Insurer Code]]&amp;"; "&amp;O860&amp;AS[[#This Row],[Reporting Year]]&amp;"; "&amp;P860&amp;AS[[#This Row],[Insurance Category Code]]&amp;"; "&amp;Q860&amp;AS[[#This Row],[Large Provider Entity Code]]&amp;"; "&amp;R860&amp;AS[[#This Row],[Age Band Code]]&amp;"; "&amp;S860&amp;AS[[#This Row],[Sex Code]]</f>
        <v xml:space="preserve">Insurer Code ; Reporting Year ; Insurance Category Code ; Large Provider Entity Code ; Age Band Code ; Sex Code </v>
      </c>
      <c r="N860" s="297" t="s">
        <v>197</v>
      </c>
      <c r="O860" s="297" t="s">
        <v>198</v>
      </c>
      <c r="P860" s="297" t="s">
        <v>199</v>
      </c>
      <c r="Q860" s="297" t="s">
        <v>200</v>
      </c>
      <c r="R860" s="297" t="s">
        <v>213</v>
      </c>
      <c r="S860" s="297" t="s">
        <v>214</v>
      </c>
    </row>
    <row r="861" spans="1:19" x14ac:dyDescent="0.4">
      <c r="A861" s="291"/>
      <c r="B861" s="292"/>
      <c r="C861" s="312"/>
      <c r="D861" s="292"/>
      <c r="E861" s="489"/>
      <c r="F861" s="489"/>
      <c r="G861" s="490"/>
      <c r="H861" s="520"/>
      <c r="I861" s="523"/>
      <c r="J861" s="521"/>
      <c r="K861" s="522"/>
      <c r="M861" s="301" t="str">
        <f>N861&amp;AS[[#This Row],[Insurer Code]]&amp;"; "&amp;O861&amp;AS[[#This Row],[Reporting Year]]&amp;"; "&amp;P861&amp;AS[[#This Row],[Insurance Category Code]]&amp;"; "&amp;Q861&amp;AS[[#This Row],[Large Provider Entity Code]]&amp;"; "&amp;R861&amp;AS[[#This Row],[Age Band Code]]&amp;"; "&amp;S861&amp;AS[[#This Row],[Sex Code]]</f>
        <v xml:space="preserve">Insurer Code ; Reporting Year ; Insurance Category Code ; Large Provider Entity Code ; Age Band Code ; Sex Code </v>
      </c>
      <c r="N861" s="297" t="s">
        <v>197</v>
      </c>
      <c r="O861" s="297" t="s">
        <v>198</v>
      </c>
      <c r="P861" s="297" t="s">
        <v>199</v>
      </c>
      <c r="Q861" s="297" t="s">
        <v>200</v>
      </c>
      <c r="R861" s="297" t="s">
        <v>213</v>
      </c>
      <c r="S861" s="297" t="s">
        <v>214</v>
      </c>
    </row>
    <row r="862" spans="1:19" x14ac:dyDescent="0.4">
      <c r="A862" s="291"/>
      <c r="B862" s="292"/>
      <c r="C862" s="312"/>
      <c r="D862" s="292"/>
      <c r="E862" s="489"/>
      <c r="F862" s="489"/>
      <c r="G862" s="490"/>
      <c r="H862" s="520"/>
      <c r="I862" s="523"/>
      <c r="J862" s="521"/>
      <c r="K862" s="522"/>
      <c r="M862" s="301" t="str">
        <f>N862&amp;AS[[#This Row],[Insurer Code]]&amp;"; "&amp;O862&amp;AS[[#This Row],[Reporting Year]]&amp;"; "&amp;P862&amp;AS[[#This Row],[Insurance Category Code]]&amp;"; "&amp;Q862&amp;AS[[#This Row],[Large Provider Entity Code]]&amp;"; "&amp;R862&amp;AS[[#This Row],[Age Band Code]]&amp;"; "&amp;S862&amp;AS[[#This Row],[Sex Code]]</f>
        <v xml:space="preserve">Insurer Code ; Reporting Year ; Insurance Category Code ; Large Provider Entity Code ; Age Band Code ; Sex Code </v>
      </c>
      <c r="N862" s="297" t="s">
        <v>197</v>
      </c>
      <c r="O862" s="297" t="s">
        <v>198</v>
      </c>
      <c r="P862" s="297" t="s">
        <v>199</v>
      </c>
      <c r="Q862" s="297" t="s">
        <v>200</v>
      </c>
      <c r="R862" s="297" t="s">
        <v>213</v>
      </c>
      <c r="S862" s="297" t="s">
        <v>214</v>
      </c>
    </row>
    <row r="863" spans="1:19" x14ac:dyDescent="0.4">
      <c r="A863" s="291"/>
      <c r="B863" s="292"/>
      <c r="C863" s="312"/>
      <c r="D863" s="292"/>
      <c r="E863" s="489"/>
      <c r="F863" s="489"/>
      <c r="G863" s="490"/>
      <c r="H863" s="520"/>
      <c r="I863" s="523"/>
      <c r="J863" s="521"/>
      <c r="K863" s="522"/>
      <c r="M863" s="301" t="str">
        <f>N863&amp;AS[[#This Row],[Insurer Code]]&amp;"; "&amp;O863&amp;AS[[#This Row],[Reporting Year]]&amp;"; "&amp;P863&amp;AS[[#This Row],[Insurance Category Code]]&amp;"; "&amp;Q863&amp;AS[[#This Row],[Large Provider Entity Code]]&amp;"; "&amp;R863&amp;AS[[#This Row],[Age Band Code]]&amp;"; "&amp;S863&amp;AS[[#This Row],[Sex Code]]</f>
        <v xml:space="preserve">Insurer Code ; Reporting Year ; Insurance Category Code ; Large Provider Entity Code ; Age Band Code ; Sex Code </v>
      </c>
      <c r="N863" s="297" t="s">
        <v>197</v>
      </c>
      <c r="O863" s="297" t="s">
        <v>198</v>
      </c>
      <c r="P863" s="297" t="s">
        <v>199</v>
      </c>
      <c r="Q863" s="297" t="s">
        <v>200</v>
      </c>
      <c r="R863" s="297" t="s">
        <v>213</v>
      </c>
      <c r="S863" s="297" t="s">
        <v>214</v>
      </c>
    </row>
    <row r="864" spans="1:19" x14ac:dyDescent="0.4">
      <c r="A864" s="291"/>
      <c r="B864" s="292"/>
      <c r="C864" s="312"/>
      <c r="D864" s="292"/>
      <c r="E864" s="489"/>
      <c r="F864" s="489"/>
      <c r="G864" s="490"/>
      <c r="H864" s="520"/>
      <c r="I864" s="523"/>
      <c r="J864" s="521"/>
      <c r="K864" s="522"/>
      <c r="M864" s="301" t="str">
        <f>N864&amp;AS[[#This Row],[Insurer Code]]&amp;"; "&amp;O864&amp;AS[[#This Row],[Reporting Year]]&amp;"; "&amp;P864&amp;AS[[#This Row],[Insurance Category Code]]&amp;"; "&amp;Q864&amp;AS[[#This Row],[Large Provider Entity Code]]&amp;"; "&amp;R864&amp;AS[[#This Row],[Age Band Code]]&amp;"; "&amp;S864&amp;AS[[#This Row],[Sex Code]]</f>
        <v xml:space="preserve">Insurer Code ; Reporting Year ; Insurance Category Code ; Large Provider Entity Code ; Age Band Code ; Sex Code </v>
      </c>
      <c r="N864" s="297" t="s">
        <v>197</v>
      </c>
      <c r="O864" s="297" t="s">
        <v>198</v>
      </c>
      <c r="P864" s="297" t="s">
        <v>199</v>
      </c>
      <c r="Q864" s="297" t="s">
        <v>200</v>
      </c>
      <c r="R864" s="297" t="s">
        <v>213</v>
      </c>
      <c r="S864" s="297" t="s">
        <v>214</v>
      </c>
    </row>
    <row r="865" spans="1:19" x14ac:dyDescent="0.4">
      <c r="A865" s="291"/>
      <c r="B865" s="292"/>
      <c r="C865" s="312"/>
      <c r="D865" s="292"/>
      <c r="E865" s="489"/>
      <c r="F865" s="489"/>
      <c r="G865" s="490"/>
      <c r="H865" s="520"/>
      <c r="I865" s="523"/>
      <c r="J865" s="521"/>
      <c r="K865" s="522"/>
      <c r="M865" s="301" t="str">
        <f>N865&amp;AS[[#This Row],[Insurer Code]]&amp;"; "&amp;O865&amp;AS[[#This Row],[Reporting Year]]&amp;"; "&amp;P865&amp;AS[[#This Row],[Insurance Category Code]]&amp;"; "&amp;Q865&amp;AS[[#This Row],[Large Provider Entity Code]]&amp;"; "&amp;R865&amp;AS[[#This Row],[Age Band Code]]&amp;"; "&amp;S865&amp;AS[[#This Row],[Sex Code]]</f>
        <v xml:space="preserve">Insurer Code ; Reporting Year ; Insurance Category Code ; Large Provider Entity Code ; Age Band Code ; Sex Code </v>
      </c>
      <c r="N865" s="297" t="s">
        <v>197</v>
      </c>
      <c r="O865" s="297" t="s">
        <v>198</v>
      </c>
      <c r="P865" s="297" t="s">
        <v>199</v>
      </c>
      <c r="Q865" s="297" t="s">
        <v>200</v>
      </c>
      <c r="R865" s="297" t="s">
        <v>213</v>
      </c>
      <c r="S865" s="297" t="s">
        <v>214</v>
      </c>
    </row>
    <row r="866" spans="1:19" x14ac:dyDescent="0.4">
      <c r="A866" s="291"/>
      <c r="B866" s="292"/>
      <c r="C866" s="312"/>
      <c r="D866" s="292"/>
      <c r="E866" s="489"/>
      <c r="F866" s="489"/>
      <c r="G866" s="490"/>
      <c r="H866" s="520"/>
      <c r="I866" s="523"/>
      <c r="J866" s="521"/>
      <c r="K866" s="522"/>
      <c r="M866" s="301" t="str">
        <f>N866&amp;AS[[#This Row],[Insurer Code]]&amp;"; "&amp;O866&amp;AS[[#This Row],[Reporting Year]]&amp;"; "&amp;P866&amp;AS[[#This Row],[Insurance Category Code]]&amp;"; "&amp;Q866&amp;AS[[#This Row],[Large Provider Entity Code]]&amp;"; "&amp;R866&amp;AS[[#This Row],[Age Band Code]]&amp;"; "&amp;S866&amp;AS[[#This Row],[Sex Code]]</f>
        <v xml:space="preserve">Insurer Code ; Reporting Year ; Insurance Category Code ; Large Provider Entity Code ; Age Band Code ; Sex Code </v>
      </c>
      <c r="N866" s="297" t="s">
        <v>197</v>
      </c>
      <c r="O866" s="297" t="s">
        <v>198</v>
      </c>
      <c r="P866" s="297" t="s">
        <v>199</v>
      </c>
      <c r="Q866" s="297" t="s">
        <v>200</v>
      </c>
      <c r="R866" s="297" t="s">
        <v>213</v>
      </c>
      <c r="S866" s="297" t="s">
        <v>214</v>
      </c>
    </row>
    <row r="867" spans="1:19" x14ac:dyDescent="0.4">
      <c r="A867" s="291"/>
      <c r="B867" s="292"/>
      <c r="C867" s="312"/>
      <c r="D867" s="292"/>
      <c r="E867" s="489"/>
      <c r="F867" s="489"/>
      <c r="G867" s="490"/>
      <c r="H867" s="520"/>
      <c r="I867" s="523"/>
      <c r="J867" s="521"/>
      <c r="K867" s="522"/>
      <c r="M867" s="301" t="str">
        <f>N867&amp;AS[[#This Row],[Insurer Code]]&amp;"; "&amp;O867&amp;AS[[#This Row],[Reporting Year]]&amp;"; "&amp;P867&amp;AS[[#This Row],[Insurance Category Code]]&amp;"; "&amp;Q867&amp;AS[[#This Row],[Large Provider Entity Code]]&amp;"; "&amp;R867&amp;AS[[#This Row],[Age Band Code]]&amp;"; "&amp;S867&amp;AS[[#This Row],[Sex Code]]</f>
        <v xml:space="preserve">Insurer Code ; Reporting Year ; Insurance Category Code ; Large Provider Entity Code ; Age Band Code ; Sex Code </v>
      </c>
      <c r="N867" s="297" t="s">
        <v>197</v>
      </c>
      <c r="O867" s="297" t="s">
        <v>198</v>
      </c>
      <c r="P867" s="297" t="s">
        <v>199</v>
      </c>
      <c r="Q867" s="297" t="s">
        <v>200</v>
      </c>
      <c r="R867" s="297" t="s">
        <v>213</v>
      </c>
      <c r="S867" s="297" t="s">
        <v>214</v>
      </c>
    </row>
    <row r="868" spans="1:19" x14ac:dyDescent="0.4">
      <c r="A868" s="291"/>
      <c r="B868" s="292"/>
      <c r="C868" s="312"/>
      <c r="D868" s="292"/>
      <c r="E868" s="489"/>
      <c r="F868" s="489"/>
      <c r="G868" s="490"/>
      <c r="H868" s="520"/>
      <c r="I868" s="523"/>
      <c r="J868" s="521"/>
      <c r="K868" s="522"/>
      <c r="M868" s="301" t="str">
        <f>N868&amp;AS[[#This Row],[Insurer Code]]&amp;"; "&amp;O868&amp;AS[[#This Row],[Reporting Year]]&amp;"; "&amp;P868&amp;AS[[#This Row],[Insurance Category Code]]&amp;"; "&amp;Q868&amp;AS[[#This Row],[Large Provider Entity Code]]&amp;"; "&amp;R868&amp;AS[[#This Row],[Age Band Code]]&amp;"; "&amp;S868&amp;AS[[#This Row],[Sex Code]]</f>
        <v xml:space="preserve">Insurer Code ; Reporting Year ; Insurance Category Code ; Large Provider Entity Code ; Age Band Code ; Sex Code </v>
      </c>
      <c r="N868" s="297" t="s">
        <v>197</v>
      </c>
      <c r="O868" s="297" t="s">
        <v>198</v>
      </c>
      <c r="P868" s="297" t="s">
        <v>199</v>
      </c>
      <c r="Q868" s="297" t="s">
        <v>200</v>
      </c>
      <c r="R868" s="297" t="s">
        <v>213</v>
      </c>
      <c r="S868" s="297" t="s">
        <v>214</v>
      </c>
    </row>
    <row r="869" spans="1:19" x14ac:dyDescent="0.4">
      <c r="A869" s="291"/>
      <c r="B869" s="292"/>
      <c r="C869" s="312"/>
      <c r="D869" s="292"/>
      <c r="E869" s="489"/>
      <c r="F869" s="489"/>
      <c r="G869" s="490"/>
      <c r="H869" s="520"/>
      <c r="I869" s="523"/>
      <c r="J869" s="521"/>
      <c r="K869" s="522"/>
      <c r="M869" s="301" t="str">
        <f>N869&amp;AS[[#This Row],[Insurer Code]]&amp;"; "&amp;O869&amp;AS[[#This Row],[Reporting Year]]&amp;"; "&amp;P869&amp;AS[[#This Row],[Insurance Category Code]]&amp;"; "&amp;Q869&amp;AS[[#This Row],[Large Provider Entity Code]]&amp;"; "&amp;R869&amp;AS[[#This Row],[Age Band Code]]&amp;"; "&amp;S869&amp;AS[[#This Row],[Sex Code]]</f>
        <v xml:space="preserve">Insurer Code ; Reporting Year ; Insurance Category Code ; Large Provider Entity Code ; Age Band Code ; Sex Code </v>
      </c>
      <c r="N869" s="297" t="s">
        <v>197</v>
      </c>
      <c r="O869" s="297" t="s">
        <v>198</v>
      </c>
      <c r="P869" s="297" t="s">
        <v>199</v>
      </c>
      <c r="Q869" s="297" t="s">
        <v>200</v>
      </c>
      <c r="R869" s="297" t="s">
        <v>213</v>
      </c>
      <c r="S869" s="297" t="s">
        <v>214</v>
      </c>
    </row>
    <row r="870" spans="1:19" x14ac:dyDescent="0.4">
      <c r="A870" s="291"/>
      <c r="B870" s="292"/>
      <c r="C870" s="312"/>
      <c r="D870" s="292"/>
      <c r="E870" s="489"/>
      <c r="F870" s="489"/>
      <c r="G870" s="490"/>
      <c r="H870" s="520"/>
      <c r="I870" s="523"/>
      <c r="J870" s="521"/>
      <c r="K870" s="522"/>
      <c r="M870" s="301" t="str">
        <f>N870&amp;AS[[#This Row],[Insurer Code]]&amp;"; "&amp;O870&amp;AS[[#This Row],[Reporting Year]]&amp;"; "&amp;P870&amp;AS[[#This Row],[Insurance Category Code]]&amp;"; "&amp;Q870&amp;AS[[#This Row],[Large Provider Entity Code]]&amp;"; "&amp;R870&amp;AS[[#This Row],[Age Band Code]]&amp;"; "&amp;S870&amp;AS[[#This Row],[Sex Code]]</f>
        <v xml:space="preserve">Insurer Code ; Reporting Year ; Insurance Category Code ; Large Provider Entity Code ; Age Band Code ; Sex Code </v>
      </c>
      <c r="N870" s="297" t="s">
        <v>197</v>
      </c>
      <c r="O870" s="297" t="s">
        <v>198</v>
      </c>
      <c r="P870" s="297" t="s">
        <v>199</v>
      </c>
      <c r="Q870" s="297" t="s">
        <v>200</v>
      </c>
      <c r="R870" s="297" t="s">
        <v>213</v>
      </c>
      <c r="S870" s="297" t="s">
        <v>214</v>
      </c>
    </row>
    <row r="871" spans="1:19" x14ac:dyDescent="0.4">
      <c r="A871" s="291"/>
      <c r="B871" s="292"/>
      <c r="C871" s="312"/>
      <c r="D871" s="292"/>
      <c r="E871" s="489"/>
      <c r="F871" s="489"/>
      <c r="G871" s="490"/>
      <c r="H871" s="520"/>
      <c r="I871" s="523"/>
      <c r="J871" s="521"/>
      <c r="K871" s="522"/>
      <c r="M871" s="301" t="str">
        <f>N871&amp;AS[[#This Row],[Insurer Code]]&amp;"; "&amp;O871&amp;AS[[#This Row],[Reporting Year]]&amp;"; "&amp;P871&amp;AS[[#This Row],[Insurance Category Code]]&amp;"; "&amp;Q871&amp;AS[[#This Row],[Large Provider Entity Code]]&amp;"; "&amp;R871&amp;AS[[#This Row],[Age Band Code]]&amp;"; "&amp;S871&amp;AS[[#This Row],[Sex Code]]</f>
        <v xml:space="preserve">Insurer Code ; Reporting Year ; Insurance Category Code ; Large Provider Entity Code ; Age Band Code ; Sex Code </v>
      </c>
      <c r="N871" s="297" t="s">
        <v>197</v>
      </c>
      <c r="O871" s="297" t="s">
        <v>198</v>
      </c>
      <c r="P871" s="297" t="s">
        <v>199</v>
      </c>
      <c r="Q871" s="297" t="s">
        <v>200</v>
      </c>
      <c r="R871" s="297" t="s">
        <v>213</v>
      </c>
      <c r="S871" s="297" t="s">
        <v>214</v>
      </c>
    </row>
    <row r="872" spans="1:19" x14ac:dyDescent="0.4">
      <c r="A872" s="291"/>
      <c r="B872" s="292"/>
      <c r="C872" s="312"/>
      <c r="D872" s="292"/>
      <c r="E872" s="489"/>
      <c r="F872" s="489"/>
      <c r="G872" s="490"/>
      <c r="H872" s="520"/>
      <c r="I872" s="523"/>
      <c r="J872" s="521"/>
      <c r="K872" s="522"/>
      <c r="M872" s="301" t="str">
        <f>N872&amp;AS[[#This Row],[Insurer Code]]&amp;"; "&amp;O872&amp;AS[[#This Row],[Reporting Year]]&amp;"; "&amp;P872&amp;AS[[#This Row],[Insurance Category Code]]&amp;"; "&amp;Q872&amp;AS[[#This Row],[Large Provider Entity Code]]&amp;"; "&amp;R872&amp;AS[[#This Row],[Age Band Code]]&amp;"; "&amp;S872&amp;AS[[#This Row],[Sex Code]]</f>
        <v xml:space="preserve">Insurer Code ; Reporting Year ; Insurance Category Code ; Large Provider Entity Code ; Age Band Code ; Sex Code </v>
      </c>
      <c r="N872" s="297" t="s">
        <v>197</v>
      </c>
      <c r="O872" s="297" t="s">
        <v>198</v>
      </c>
      <c r="P872" s="297" t="s">
        <v>199</v>
      </c>
      <c r="Q872" s="297" t="s">
        <v>200</v>
      </c>
      <c r="R872" s="297" t="s">
        <v>213</v>
      </c>
      <c r="S872" s="297" t="s">
        <v>214</v>
      </c>
    </row>
    <row r="873" spans="1:19" x14ac:dyDescent="0.4">
      <c r="A873" s="291"/>
      <c r="B873" s="292"/>
      <c r="C873" s="312"/>
      <c r="D873" s="292"/>
      <c r="E873" s="489"/>
      <c r="F873" s="489"/>
      <c r="G873" s="490"/>
      <c r="H873" s="520"/>
      <c r="I873" s="523"/>
      <c r="J873" s="521"/>
      <c r="K873" s="522"/>
      <c r="M873" s="301" t="str">
        <f>N873&amp;AS[[#This Row],[Insurer Code]]&amp;"; "&amp;O873&amp;AS[[#This Row],[Reporting Year]]&amp;"; "&amp;P873&amp;AS[[#This Row],[Insurance Category Code]]&amp;"; "&amp;Q873&amp;AS[[#This Row],[Large Provider Entity Code]]&amp;"; "&amp;R873&amp;AS[[#This Row],[Age Band Code]]&amp;"; "&amp;S873&amp;AS[[#This Row],[Sex Code]]</f>
        <v xml:space="preserve">Insurer Code ; Reporting Year ; Insurance Category Code ; Large Provider Entity Code ; Age Band Code ; Sex Code </v>
      </c>
      <c r="N873" s="297" t="s">
        <v>197</v>
      </c>
      <c r="O873" s="297" t="s">
        <v>198</v>
      </c>
      <c r="P873" s="297" t="s">
        <v>199</v>
      </c>
      <c r="Q873" s="297" t="s">
        <v>200</v>
      </c>
      <c r="R873" s="297" t="s">
        <v>213</v>
      </c>
      <c r="S873" s="297" t="s">
        <v>214</v>
      </c>
    </row>
    <row r="874" spans="1:19" x14ac:dyDescent="0.4">
      <c r="A874" s="291"/>
      <c r="B874" s="292"/>
      <c r="C874" s="312"/>
      <c r="D874" s="292"/>
      <c r="E874" s="489"/>
      <c r="F874" s="489"/>
      <c r="G874" s="490"/>
      <c r="H874" s="520"/>
      <c r="I874" s="523"/>
      <c r="J874" s="521"/>
      <c r="K874" s="522"/>
      <c r="M874" s="301" t="str">
        <f>N874&amp;AS[[#This Row],[Insurer Code]]&amp;"; "&amp;O874&amp;AS[[#This Row],[Reporting Year]]&amp;"; "&amp;P874&amp;AS[[#This Row],[Insurance Category Code]]&amp;"; "&amp;Q874&amp;AS[[#This Row],[Large Provider Entity Code]]&amp;"; "&amp;R874&amp;AS[[#This Row],[Age Band Code]]&amp;"; "&amp;S874&amp;AS[[#This Row],[Sex Code]]</f>
        <v xml:space="preserve">Insurer Code ; Reporting Year ; Insurance Category Code ; Large Provider Entity Code ; Age Band Code ; Sex Code </v>
      </c>
      <c r="N874" s="297" t="s">
        <v>197</v>
      </c>
      <c r="O874" s="297" t="s">
        <v>198</v>
      </c>
      <c r="P874" s="297" t="s">
        <v>199</v>
      </c>
      <c r="Q874" s="297" t="s">
        <v>200</v>
      </c>
      <c r="R874" s="297" t="s">
        <v>213</v>
      </c>
      <c r="S874" s="297" t="s">
        <v>214</v>
      </c>
    </row>
    <row r="875" spans="1:19" x14ac:dyDescent="0.4">
      <c r="A875" s="291"/>
      <c r="B875" s="292"/>
      <c r="C875" s="312"/>
      <c r="D875" s="292"/>
      <c r="E875" s="489"/>
      <c r="F875" s="489"/>
      <c r="G875" s="490"/>
      <c r="H875" s="520"/>
      <c r="I875" s="523"/>
      <c r="J875" s="521"/>
      <c r="K875" s="522"/>
      <c r="M875" s="301" t="str">
        <f>N875&amp;AS[[#This Row],[Insurer Code]]&amp;"; "&amp;O875&amp;AS[[#This Row],[Reporting Year]]&amp;"; "&amp;P875&amp;AS[[#This Row],[Insurance Category Code]]&amp;"; "&amp;Q875&amp;AS[[#This Row],[Large Provider Entity Code]]&amp;"; "&amp;R875&amp;AS[[#This Row],[Age Band Code]]&amp;"; "&amp;S875&amp;AS[[#This Row],[Sex Code]]</f>
        <v xml:space="preserve">Insurer Code ; Reporting Year ; Insurance Category Code ; Large Provider Entity Code ; Age Band Code ; Sex Code </v>
      </c>
      <c r="N875" s="297" t="s">
        <v>197</v>
      </c>
      <c r="O875" s="297" t="s">
        <v>198</v>
      </c>
      <c r="P875" s="297" t="s">
        <v>199</v>
      </c>
      <c r="Q875" s="297" t="s">
        <v>200</v>
      </c>
      <c r="R875" s="297" t="s">
        <v>213</v>
      </c>
      <c r="S875" s="297" t="s">
        <v>214</v>
      </c>
    </row>
    <row r="876" spans="1:19" x14ac:dyDescent="0.4">
      <c r="A876" s="291"/>
      <c r="B876" s="292"/>
      <c r="C876" s="312"/>
      <c r="D876" s="292"/>
      <c r="E876" s="489"/>
      <c r="F876" s="489"/>
      <c r="G876" s="490"/>
      <c r="H876" s="520"/>
      <c r="I876" s="523"/>
      <c r="J876" s="521"/>
      <c r="K876" s="522"/>
      <c r="M876" s="301" t="str">
        <f>N876&amp;AS[[#This Row],[Insurer Code]]&amp;"; "&amp;O876&amp;AS[[#This Row],[Reporting Year]]&amp;"; "&amp;P876&amp;AS[[#This Row],[Insurance Category Code]]&amp;"; "&amp;Q876&amp;AS[[#This Row],[Large Provider Entity Code]]&amp;"; "&amp;R876&amp;AS[[#This Row],[Age Band Code]]&amp;"; "&amp;S876&amp;AS[[#This Row],[Sex Code]]</f>
        <v xml:space="preserve">Insurer Code ; Reporting Year ; Insurance Category Code ; Large Provider Entity Code ; Age Band Code ; Sex Code </v>
      </c>
      <c r="N876" s="297" t="s">
        <v>197</v>
      </c>
      <c r="O876" s="297" t="s">
        <v>198</v>
      </c>
      <c r="P876" s="297" t="s">
        <v>199</v>
      </c>
      <c r="Q876" s="297" t="s">
        <v>200</v>
      </c>
      <c r="R876" s="297" t="s">
        <v>213</v>
      </c>
      <c r="S876" s="297" t="s">
        <v>214</v>
      </c>
    </row>
    <row r="877" spans="1:19" x14ac:dyDescent="0.4">
      <c r="A877" s="291"/>
      <c r="B877" s="292"/>
      <c r="C877" s="312"/>
      <c r="D877" s="292"/>
      <c r="E877" s="489"/>
      <c r="F877" s="489"/>
      <c r="G877" s="490"/>
      <c r="H877" s="520"/>
      <c r="I877" s="523"/>
      <c r="J877" s="521"/>
      <c r="K877" s="522"/>
      <c r="M877" s="301" t="str">
        <f>N877&amp;AS[[#This Row],[Insurer Code]]&amp;"; "&amp;O877&amp;AS[[#This Row],[Reporting Year]]&amp;"; "&amp;P877&amp;AS[[#This Row],[Insurance Category Code]]&amp;"; "&amp;Q877&amp;AS[[#This Row],[Large Provider Entity Code]]&amp;"; "&amp;R877&amp;AS[[#This Row],[Age Band Code]]&amp;"; "&amp;S877&amp;AS[[#This Row],[Sex Code]]</f>
        <v xml:space="preserve">Insurer Code ; Reporting Year ; Insurance Category Code ; Large Provider Entity Code ; Age Band Code ; Sex Code </v>
      </c>
      <c r="N877" s="297" t="s">
        <v>197</v>
      </c>
      <c r="O877" s="297" t="s">
        <v>198</v>
      </c>
      <c r="P877" s="297" t="s">
        <v>199</v>
      </c>
      <c r="Q877" s="297" t="s">
        <v>200</v>
      </c>
      <c r="R877" s="297" t="s">
        <v>213</v>
      </c>
      <c r="S877" s="297" t="s">
        <v>214</v>
      </c>
    </row>
    <row r="878" spans="1:19" x14ac:dyDescent="0.4">
      <c r="A878" s="291"/>
      <c r="B878" s="292"/>
      <c r="C878" s="312"/>
      <c r="D878" s="292"/>
      <c r="E878" s="489"/>
      <c r="F878" s="489"/>
      <c r="G878" s="490"/>
      <c r="H878" s="520"/>
      <c r="I878" s="523"/>
      <c r="J878" s="521"/>
      <c r="K878" s="522"/>
      <c r="M878" s="301" t="str">
        <f>N878&amp;AS[[#This Row],[Insurer Code]]&amp;"; "&amp;O878&amp;AS[[#This Row],[Reporting Year]]&amp;"; "&amp;P878&amp;AS[[#This Row],[Insurance Category Code]]&amp;"; "&amp;Q878&amp;AS[[#This Row],[Large Provider Entity Code]]&amp;"; "&amp;R878&amp;AS[[#This Row],[Age Band Code]]&amp;"; "&amp;S878&amp;AS[[#This Row],[Sex Code]]</f>
        <v xml:space="preserve">Insurer Code ; Reporting Year ; Insurance Category Code ; Large Provider Entity Code ; Age Band Code ; Sex Code </v>
      </c>
      <c r="N878" s="297" t="s">
        <v>197</v>
      </c>
      <c r="O878" s="297" t="s">
        <v>198</v>
      </c>
      <c r="P878" s="297" t="s">
        <v>199</v>
      </c>
      <c r="Q878" s="297" t="s">
        <v>200</v>
      </c>
      <c r="R878" s="297" t="s">
        <v>213</v>
      </c>
      <c r="S878" s="297" t="s">
        <v>214</v>
      </c>
    </row>
    <row r="879" spans="1:19" x14ac:dyDescent="0.4">
      <c r="A879" s="291"/>
      <c r="B879" s="292"/>
      <c r="C879" s="312"/>
      <c r="D879" s="292"/>
      <c r="E879" s="489"/>
      <c r="F879" s="489"/>
      <c r="G879" s="490"/>
      <c r="H879" s="520"/>
      <c r="I879" s="523"/>
      <c r="J879" s="521"/>
      <c r="K879" s="522"/>
      <c r="M879" s="301" t="str">
        <f>N879&amp;AS[[#This Row],[Insurer Code]]&amp;"; "&amp;O879&amp;AS[[#This Row],[Reporting Year]]&amp;"; "&amp;P879&amp;AS[[#This Row],[Insurance Category Code]]&amp;"; "&amp;Q879&amp;AS[[#This Row],[Large Provider Entity Code]]&amp;"; "&amp;R879&amp;AS[[#This Row],[Age Band Code]]&amp;"; "&amp;S879&amp;AS[[#This Row],[Sex Code]]</f>
        <v xml:space="preserve">Insurer Code ; Reporting Year ; Insurance Category Code ; Large Provider Entity Code ; Age Band Code ; Sex Code </v>
      </c>
      <c r="N879" s="297" t="s">
        <v>197</v>
      </c>
      <c r="O879" s="297" t="s">
        <v>198</v>
      </c>
      <c r="P879" s="297" t="s">
        <v>199</v>
      </c>
      <c r="Q879" s="297" t="s">
        <v>200</v>
      </c>
      <c r="R879" s="297" t="s">
        <v>213</v>
      </c>
      <c r="S879" s="297" t="s">
        <v>214</v>
      </c>
    </row>
    <row r="880" spans="1:19" x14ac:dyDescent="0.4">
      <c r="A880" s="291"/>
      <c r="B880" s="292"/>
      <c r="C880" s="312"/>
      <c r="D880" s="292"/>
      <c r="E880" s="489"/>
      <c r="F880" s="489"/>
      <c r="G880" s="490"/>
      <c r="H880" s="520"/>
      <c r="I880" s="523"/>
      <c r="J880" s="521"/>
      <c r="K880" s="522"/>
      <c r="M880" s="301" t="str">
        <f>N880&amp;AS[[#This Row],[Insurer Code]]&amp;"; "&amp;O880&amp;AS[[#This Row],[Reporting Year]]&amp;"; "&amp;P880&amp;AS[[#This Row],[Insurance Category Code]]&amp;"; "&amp;Q880&amp;AS[[#This Row],[Large Provider Entity Code]]&amp;"; "&amp;R880&amp;AS[[#This Row],[Age Band Code]]&amp;"; "&amp;S880&amp;AS[[#This Row],[Sex Code]]</f>
        <v xml:space="preserve">Insurer Code ; Reporting Year ; Insurance Category Code ; Large Provider Entity Code ; Age Band Code ; Sex Code </v>
      </c>
      <c r="N880" s="297" t="s">
        <v>197</v>
      </c>
      <c r="O880" s="297" t="s">
        <v>198</v>
      </c>
      <c r="P880" s="297" t="s">
        <v>199</v>
      </c>
      <c r="Q880" s="297" t="s">
        <v>200</v>
      </c>
      <c r="R880" s="297" t="s">
        <v>213</v>
      </c>
      <c r="S880" s="297" t="s">
        <v>214</v>
      </c>
    </row>
    <row r="881" spans="1:19" x14ac:dyDescent="0.4">
      <c r="A881" s="291"/>
      <c r="B881" s="292"/>
      <c r="C881" s="312"/>
      <c r="D881" s="292"/>
      <c r="E881" s="489"/>
      <c r="F881" s="489"/>
      <c r="G881" s="490"/>
      <c r="H881" s="520"/>
      <c r="I881" s="523"/>
      <c r="J881" s="521"/>
      <c r="K881" s="522"/>
      <c r="M881" s="301" t="str">
        <f>N881&amp;AS[[#This Row],[Insurer Code]]&amp;"; "&amp;O881&amp;AS[[#This Row],[Reporting Year]]&amp;"; "&amp;P881&amp;AS[[#This Row],[Insurance Category Code]]&amp;"; "&amp;Q881&amp;AS[[#This Row],[Large Provider Entity Code]]&amp;"; "&amp;R881&amp;AS[[#This Row],[Age Band Code]]&amp;"; "&amp;S881&amp;AS[[#This Row],[Sex Code]]</f>
        <v xml:space="preserve">Insurer Code ; Reporting Year ; Insurance Category Code ; Large Provider Entity Code ; Age Band Code ; Sex Code </v>
      </c>
      <c r="N881" s="297" t="s">
        <v>197</v>
      </c>
      <c r="O881" s="297" t="s">
        <v>198</v>
      </c>
      <c r="P881" s="297" t="s">
        <v>199</v>
      </c>
      <c r="Q881" s="297" t="s">
        <v>200</v>
      </c>
      <c r="R881" s="297" t="s">
        <v>213</v>
      </c>
      <c r="S881" s="297" t="s">
        <v>214</v>
      </c>
    </row>
    <row r="882" spans="1:19" x14ac:dyDescent="0.4">
      <c r="A882" s="291"/>
      <c r="B882" s="292"/>
      <c r="C882" s="312"/>
      <c r="D882" s="292"/>
      <c r="E882" s="489"/>
      <c r="F882" s="489"/>
      <c r="G882" s="490"/>
      <c r="H882" s="520"/>
      <c r="I882" s="523"/>
      <c r="J882" s="521"/>
      <c r="K882" s="522"/>
      <c r="M882" s="301" t="str">
        <f>N882&amp;AS[[#This Row],[Insurer Code]]&amp;"; "&amp;O882&amp;AS[[#This Row],[Reporting Year]]&amp;"; "&amp;P882&amp;AS[[#This Row],[Insurance Category Code]]&amp;"; "&amp;Q882&amp;AS[[#This Row],[Large Provider Entity Code]]&amp;"; "&amp;R882&amp;AS[[#This Row],[Age Band Code]]&amp;"; "&amp;S882&amp;AS[[#This Row],[Sex Code]]</f>
        <v xml:space="preserve">Insurer Code ; Reporting Year ; Insurance Category Code ; Large Provider Entity Code ; Age Band Code ; Sex Code </v>
      </c>
      <c r="N882" s="297" t="s">
        <v>197</v>
      </c>
      <c r="O882" s="297" t="s">
        <v>198</v>
      </c>
      <c r="P882" s="297" t="s">
        <v>199</v>
      </c>
      <c r="Q882" s="297" t="s">
        <v>200</v>
      </c>
      <c r="R882" s="297" t="s">
        <v>213</v>
      </c>
      <c r="S882" s="297" t="s">
        <v>214</v>
      </c>
    </row>
    <row r="883" spans="1:19" x14ac:dyDescent="0.4">
      <c r="A883" s="291"/>
      <c r="B883" s="292"/>
      <c r="C883" s="312"/>
      <c r="D883" s="292"/>
      <c r="E883" s="489"/>
      <c r="F883" s="489"/>
      <c r="G883" s="490"/>
      <c r="H883" s="520"/>
      <c r="I883" s="523"/>
      <c r="J883" s="521"/>
      <c r="K883" s="522"/>
      <c r="M883" s="301" t="str">
        <f>N883&amp;AS[[#This Row],[Insurer Code]]&amp;"; "&amp;O883&amp;AS[[#This Row],[Reporting Year]]&amp;"; "&amp;P883&amp;AS[[#This Row],[Insurance Category Code]]&amp;"; "&amp;Q883&amp;AS[[#This Row],[Large Provider Entity Code]]&amp;"; "&amp;R883&amp;AS[[#This Row],[Age Band Code]]&amp;"; "&amp;S883&amp;AS[[#This Row],[Sex Code]]</f>
        <v xml:space="preserve">Insurer Code ; Reporting Year ; Insurance Category Code ; Large Provider Entity Code ; Age Band Code ; Sex Code </v>
      </c>
      <c r="N883" s="297" t="s">
        <v>197</v>
      </c>
      <c r="O883" s="297" t="s">
        <v>198</v>
      </c>
      <c r="P883" s="297" t="s">
        <v>199</v>
      </c>
      <c r="Q883" s="297" t="s">
        <v>200</v>
      </c>
      <c r="R883" s="297" t="s">
        <v>213</v>
      </c>
      <c r="S883" s="297" t="s">
        <v>214</v>
      </c>
    </row>
    <row r="884" spans="1:19" x14ac:dyDescent="0.4">
      <c r="A884" s="291"/>
      <c r="B884" s="292"/>
      <c r="C884" s="312"/>
      <c r="D884" s="292"/>
      <c r="E884" s="489"/>
      <c r="F884" s="489"/>
      <c r="G884" s="490"/>
      <c r="H884" s="520"/>
      <c r="I884" s="523"/>
      <c r="J884" s="521"/>
      <c r="K884" s="522"/>
      <c r="M884" s="301" t="str">
        <f>N884&amp;AS[[#This Row],[Insurer Code]]&amp;"; "&amp;O884&amp;AS[[#This Row],[Reporting Year]]&amp;"; "&amp;P884&amp;AS[[#This Row],[Insurance Category Code]]&amp;"; "&amp;Q884&amp;AS[[#This Row],[Large Provider Entity Code]]&amp;"; "&amp;R884&amp;AS[[#This Row],[Age Band Code]]&amp;"; "&amp;S884&amp;AS[[#This Row],[Sex Code]]</f>
        <v xml:space="preserve">Insurer Code ; Reporting Year ; Insurance Category Code ; Large Provider Entity Code ; Age Band Code ; Sex Code </v>
      </c>
      <c r="N884" s="297" t="s">
        <v>197</v>
      </c>
      <c r="O884" s="297" t="s">
        <v>198</v>
      </c>
      <c r="P884" s="297" t="s">
        <v>199</v>
      </c>
      <c r="Q884" s="297" t="s">
        <v>200</v>
      </c>
      <c r="R884" s="297" t="s">
        <v>213</v>
      </c>
      <c r="S884" s="297" t="s">
        <v>214</v>
      </c>
    </row>
    <row r="885" spans="1:19" x14ac:dyDescent="0.4">
      <c r="A885" s="291"/>
      <c r="B885" s="292"/>
      <c r="C885" s="312"/>
      <c r="D885" s="292"/>
      <c r="E885" s="489"/>
      <c r="F885" s="489"/>
      <c r="G885" s="490"/>
      <c r="H885" s="520"/>
      <c r="I885" s="523"/>
      <c r="J885" s="521"/>
      <c r="K885" s="522"/>
      <c r="M885" s="301" t="str">
        <f>N885&amp;AS[[#This Row],[Insurer Code]]&amp;"; "&amp;O885&amp;AS[[#This Row],[Reporting Year]]&amp;"; "&amp;P885&amp;AS[[#This Row],[Insurance Category Code]]&amp;"; "&amp;Q885&amp;AS[[#This Row],[Large Provider Entity Code]]&amp;"; "&amp;R885&amp;AS[[#This Row],[Age Band Code]]&amp;"; "&amp;S885&amp;AS[[#This Row],[Sex Code]]</f>
        <v xml:space="preserve">Insurer Code ; Reporting Year ; Insurance Category Code ; Large Provider Entity Code ; Age Band Code ; Sex Code </v>
      </c>
      <c r="N885" s="297" t="s">
        <v>197</v>
      </c>
      <c r="O885" s="297" t="s">
        <v>198</v>
      </c>
      <c r="P885" s="297" t="s">
        <v>199</v>
      </c>
      <c r="Q885" s="297" t="s">
        <v>200</v>
      </c>
      <c r="R885" s="297" t="s">
        <v>213</v>
      </c>
      <c r="S885" s="297" t="s">
        <v>214</v>
      </c>
    </row>
    <row r="886" spans="1:19" x14ac:dyDescent="0.4">
      <c r="A886" s="291"/>
      <c r="B886" s="292"/>
      <c r="C886" s="312"/>
      <c r="D886" s="292"/>
      <c r="E886" s="489"/>
      <c r="F886" s="489"/>
      <c r="G886" s="490"/>
      <c r="H886" s="520"/>
      <c r="I886" s="523"/>
      <c r="J886" s="521"/>
      <c r="K886" s="522"/>
      <c r="M886" s="301" t="str">
        <f>N886&amp;AS[[#This Row],[Insurer Code]]&amp;"; "&amp;O886&amp;AS[[#This Row],[Reporting Year]]&amp;"; "&amp;P886&amp;AS[[#This Row],[Insurance Category Code]]&amp;"; "&amp;Q886&amp;AS[[#This Row],[Large Provider Entity Code]]&amp;"; "&amp;R886&amp;AS[[#This Row],[Age Band Code]]&amp;"; "&amp;S886&amp;AS[[#This Row],[Sex Code]]</f>
        <v xml:space="preserve">Insurer Code ; Reporting Year ; Insurance Category Code ; Large Provider Entity Code ; Age Band Code ; Sex Code </v>
      </c>
      <c r="N886" s="297" t="s">
        <v>197</v>
      </c>
      <c r="O886" s="297" t="s">
        <v>198</v>
      </c>
      <c r="P886" s="297" t="s">
        <v>199</v>
      </c>
      <c r="Q886" s="297" t="s">
        <v>200</v>
      </c>
      <c r="R886" s="297" t="s">
        <v>213</v>
      </c>
      <c r="S886" s="297" t="s">
        <v>214</v>
      </c>
    </row>
    <row r="887" spans="1:19" x14ac:dyDescent="0.4">
      <c r="A887" s="291"/>
      <c r="B887" s="292"/>
      <c r="C887" s="312"/>
      <c r="D887" s="292"/>
      <c r="E887" s="489"/>
      <c r="F887" s="489"/>
      <c r="G887" s="490"/>
      <c r="H887" s="520"/>
      <c r="I887" s="523"/>
      <c r="J887" s="521"/>
      <c r="K887" s="522"/>
      <c r="M887" s="301" t="str">
        <f>N887&amp;AS[[#This Row],[Insurer Code]]&amp;"; "&amp;O887&amp;AS[[#This Row],[Reporting Year]]&amp;"; "&amp;P887&amp;AS[[#This Row],[Insurance Category Code]]&amp;"; "&amp;Q887&amp;AS[[#This Row],[Large Provider Entity Code]]&amp;"; "&amp;R887&amp;AS[[#This Row],[Age Band Code]]&amp;"; "&amp;S887&amp;AS[[#This Row],[Sex Code]]</f>
        <v xml:space="preserve">Insurer Code ; Reporting Year ; Insurance Category Code ; Large Provider Entity Code ; Age Band Code ; Sex Code </v>
      </c>
      <c r="N887" s="297" t="s">
        <v>197</v>
      </c>
      <c r="O887" s="297" t="s">
        <v>198</v>
      </c>
      <c r="P887" s="297" t="s">
        <v>199</v>
      </c>
      <c r="Q887" s="297" t="s">
        <v>200</v>
      </c>
      <c r="R887" s="297" t="s">
        <v>213</v>
      </c>
      <c r="S887" s="297" t="s">
        <v>214</v>
      </c>
    </row>
    <row r="888" spans="1:19" x14ac:dyDescent="0.4">
      <c r="A888" s="291"/>
      <c r="B888" s="292"/>
      <c r="C888" s="312"/>
      <c r="D888" s="292"/>
      <c r="E888" s="489"/>
      <c r="F888" s="489"/>
      <c r="G888" s="490"/>
      <c r="H888" s="520"/>
      <c r="I888" s="523"/>
      <c r="J888" s="521"/>
      <c r="K888" s="522"/>
      <c r="M888" s="301" t="str">
        <f>N888&amp;AS[[#This Row],[Insurer Code]]&amp;"; "&amp;O888&amp;AS[[#This Row],[Reporting Year]]&amp;"; "&amp;P888&amp;AS[[#This Row],[Insurance Category Code]]&amp;"; "&amp;Q888&amp;AS[[#This Row],[Large Provider Entity Code]]&amp;"; "&amp;R888&amp;AS[[#This Row],[Age Band Code]]&amp;"; "&amp;S888&amp;AS[[#This Row],[Sex Code]]</f>
        <v xml:space="preserve">Insurer Code ; Reporting Year ; Insurance Category Code ; Large Provider Entity Code ; Age Band Code ; Sex Code </v>
      </c>
      <c r="N888" s="297" t="s">
        <v>197</v>
      </c>
      <c r="O888" s="297" t="s">
        <v>198</v>
      </c>
      <c r="P888" s="297" t="s">
        <v>199</v>
      </c>
      <c r="Q888" s="297" t="s">
        <v>200</v>
      </c>
      <c r="R888" s="297" t="s">
        <v>213</v>
      </c>
      <c r="S888" s="297" t="s">
        <v>214</v>
      </c>
    </row>
    <row r="889" spans="1:19" x14ac:dyDescent="0.4">
      <c r="A889" s="291"/>
      <c r="B889" s="292"/>
      <c r="C889" s="312"/>
      <c r="D889" s="292"/>
      <c r="E889" s="489"/>
      <c r="F889" s="489"/>
      <c r="G889" s="490"/>
      <c r="H889" s="520"/>
      <c r="I889" s="523"/>
      <c r="J889" s="521"/>
      <c r="K889" s="522"/>
      <c r="M889" s="301" t="str">
        <f>N889&amp;AS[[#This Row],[Insurer Code]]&amp;"; "&amp;O889&amp;AS[[#This Row],[Reporting Year]]&amp;"; "&amp;P889&amp;AS[[#This Row],[Insurance Category Code]]&amp;"; "&amp;Q889&amp;AS[[#This Row],[Large Provider Entity Code]]&amp;"; "&amp;R889&amp;AS[[#This Row],[Age Band Code]]&amp;"; "&amp;S889&amp;AS[[#This Row],[Sex Code]]</f>
        <v xml:space="preserve">Insurer Code ; Reporting Year ; Insurance Category Code ; Large Provider Entity Code ; Age Band Code ; Sex Code </v>
      </c>
      <c r="N889" s="297" t="s">
        <v>197</v>
      </c>
      <c r="O889" s="297" t="s">
        <v>198</v>
      </c>
      <c r="P889" s="297" t="s">
        <v>199</v>
      </c>
      <c r="Q889" s="297" t="s">
        <v>200</v>
      </c>
      <c r="R889" s="297" t="s">
        <v>213</v>
      </c>
      <c r="S889" s="297" t="s">
        <v>214</v>
      </c>
    </row>
    <row r="890" spans="1:19" x14ac:dyDescent="0.4">
      <c r="A890" s="291"/>
      <c r="B890" s="292"/>
      <c r="C890" s="312"/>
      <c r="D890" s="292"/>
      <c r="E890" s="489"/>
      <c r="F890" s="489"/>
      <c r="G890" s="490"/>
      <c r="H890" s="520"/>
      <c r="I890" s="523"/>
      <c r="J890" s="521"/>
      <c r="K890" s="522"/>
      <c r="M890" s="301" t="str">
        <f>N890&amp;AS[[#This Row],[Insurer Code]]&amp;"; "&amp;O890&amp;AS[[#This Row],[Reporting Year]]&amp;"; "&amp;P890&amp;AS[[#This Row],[Insurance Category Code]]&amp;"; "&amp;Q890&amp;AS[[#This Row],[Large Provider Entity Code]]&amp;"; "&amp;R890&amp;AS[[#This Row],[Age Band Code]]&amp;"; "&amp;S890&amp;AS[[#This Row],[Sex Code]]</f>
        <v xml:space="preserve">Insurer Code ; Reporting Year ; Insurance Category Code ; Large Provider Entity Code ; Age Band Code ; Sex Code </v>
      </c>
      <c r="N890" s="297" t="s">
        <v>197</v>
      </c>
      <c r="O890" s="297" t="s">
        <v>198</v>
      </c>
      <c r="P890" s="297" t="s">
        <v>199</v>
      </c>
      <c r="Q890" s="297" t="s">
        <v>200</v>
      </c>
      <c r="R890" s="297" t="s">
        <v>213</v>
      </c>
      <c r="S890" s="297" t="s">
        <v>214</v>
      </c>
    </row>
    <row r="891" spans="1:19" x14ac:dyDescent="0.4">
      <c r="A891" s="291"/>
      <c r="B891" s="292"/>
      <c r="C891" s="312"/>
      <c r="D891" s="292"/>
      <c r="E891" s="489"/>
      <c r="F891" s="489"/>
      <c r="G891" s="490"/>
      <c r="H891" s="520"/>
      <c r="I891" s="523"/>
      <c r="J891" s="521"/>
      <c r="K891" s="522"/>
      <c r="M891" s="301" t="str">
        <f>N891&amp;AS[[#This Row],[Insurer Code]]&amp;"; "&amp;O891&amp;AS[[#This Row],[Reporting Year]]&amp;"; "&amp;P891&amp;AS[[#This Row],[Insurance Category Code]]&amp;"; "&amp;Q891&amp;AS[[#This Row],[Large Provider Entity Code]]&amp;"; "&amp;R891&amp;AS[[#This Row],[Age Band Code]]&amp;"; "&amp;S891&amp;AS[[#This Row],[Sex Code]]</f>
        <v xml:space="preserve">Insurer Code ; Reporting Year ; Insurance Category Code ; Large Provider Entity Code ; Age Band Code ; Sex Code </v>
      </c>
      <c r="N891" s="297" t="s">
        <v>197</v>
      </c>
      <c r="O891" s="297" t="s">
        <v>198</v>
      </c>
      <c r="P891" s="297" t="s">
        <v>199</v>
      </c>
      <c r="Q891" s="297" t="s">
        <v>200</v>
      </c>
      <c r="R891" s="297" t="s">
        <v>213</v>
      </c>
      <c r="S891" s="297" t="s">
        <v>214</v>
      </c>
    </row>
    <row r="892" spans="1:19" x14ac:dyDescent="0.4">
      <c r="A892" s="291"/>
      <c r="B892" s="292"/>
      <c r="C892" s="312"/>
      <c r="D892" s="292"/>
      <c r="E892" s="489"/>
      <c r="F892" s="489"/>
      <c r="G892" s="490"/>
      <c r="H892" s="520"/>
      <c r="I892" s="523"/>
      <c r="J892" s="521"/>
      <c r="K892" s="522"/>
      <c r="M892" s="301" t="str">
        <f>N892&amp;AS[[#This Row],[Insurer Code]]&amp;"; "&amp;O892&amp;AS[[#This Row],[Reporting Year]]&amp;"; "&amp;P892&amp;AS[[#This Row],[Insurance Category Code]]&amp;"; "&amp;Q892&amp;AS[[#This Row],[Large Provider Entity Code]]&amp;"; "&amp;R892&amp;AS[[#This Row],[Age Band Code]]&amp;"; "&amp;S892&amp;AS[[#This Row],[Sex Code]]</f>
        <v xml:space="preserve">Insurer Code ; Reporting Year ; Insurance Category Code ; Large Provider Entity Code ; Age Band Code ; Sex Code </v>
      </c>
      <c r="N892" s="297" t="s">
        <v>197</v>
      </c>
      <c r="O892" s="297" t="s">
        <v>198</v>
      </c>
      <c r="P892" s="297" t="s">
        <v>199</v>
      </c>
      <c r="Q892" s="297" t="s">
        <v>200</v>
      </c>
      <c r="R892" s="297" t="s">
        <v>213</v>
      </c>
      <c r="S892" s="297" t="s">
        <v>214</v>
      </c>
    </row>
    <row r="893" spans="1:19" x14ac:dyDescent="0.4">
      <c r="A893" s="291"/>
      <c r="B893" s="292"/>
      <c r="C893" s="312"/>
      <c r="D893" s="292"/>
      <c r="E893" s="489"/>
      <c r="F893" s="489"/>
      <c r="G893" s="490"/>
      <c r="H893" s="520"/>
      <c r="I893" s="523"/>
      <c r="J893" s="521"/>
      <c r="K893" s="522"/>
      <c r="M893" s="301" t="str">
        <f>N893&amp;AS[[#This Row],[Insurer Code]]&amp;"; "&amp;O893&amp;AS[[#This Row],[Reporting Year]]&amp;"; "&amp;P893&amp;AS[[#This Row],[Insurance Category Code]]&amp;"; "&amp;Q893&amp;AS[[#This Row],[Large Provider Entity Code]]&amp;"; "&amp;R893&amp;AS[[#This Row],[Age Band Code]]&amp;"; "&amp;S893&amp;AS[[#This Row],[Sex Code]]</f>
        <v xml:space="preserve">Insurer Code ; Reporting Year ; Insurance Category Code ; Large Provider Entity Code ; Age Band Code ; Sex Code </v>
      </c>
      <c r="N893" s="297" t="s">
        <v>197</v>
      </c>
      <c r="O893" s="297" t="s">
        <v>198</v>
      </c>
      <c r="P893" s="297" t="s">
        <v>199</v>
      </c>
      <c r="Q893" s="297" t="s">
        <v>200</v>
      </c>
      <c r="R893" s="297" t="s">
        <v>213</v>
      </c>
      <c r="S893" s="297" t="s">
        <v>214</v>
      </c>
    </row>
    <row r="894" spans="1:19" x14ac:dyDescent="0.4">
      <c r="A894" s="291"/>
      <c r="B894" s="292"/>
      <c r="C894" s="312"/>
      <c r="D894" s="292"/>
      <c r="E894" s="489"/>
      <c r="F894" s="489"/>
      <c r="G894" s="490"/>
      <c r="H894" s="520"/>
      <c r="I894" s="523"/>
      <c r="J894" s="521"/>
      <c r="K894" s="522"/>
      <c r="M894" s="301" t="str">
        <f>N894&amp;AS[[#This Row],[Insurer Code]]&amp;"; "&amp;O894&amp;AS[[#This Row],[Reporting Year]]&amp;"; "&amp;P894&amp;AS[[#This Row],[Insurance Category Code]]&amp;"; "&amp;Q894&amp;AS[[#This Row],[Large Provider Entity Code]]&amp;"; "&amp;R894&amp;AS[[#This Row],[Age Band Code]]&amp;"; "&amp;S894&amp;AS[[#This Row],[Sex Code]]</f>
        <v xml:space="preserve">Insurer Code ; Reporting Year ; Insurance Category Code ; Large Provider Entity Code ; Age Band Code ; Sex Code </v>
      </c>
      <c r="N894" s="297" t="s">
        <v>197</v>
      </c>
      <c r="O894" s="297" t="s">
        <v>198</v>
      </c>
      <c r="P894" s="297" t="s">
        <v>199</v>
      </c>
      <c r="Q894" s="297" t="s">
        <v>200</v>
      </c>
      <c r="R894" s="297" t="s">
        <v>213</v>
      </c>
      <c r="S894" s="297" t="s">
        <v>214</v>
      </c>
    </row>
    <row r="895" spans="1:19" x14ac:dyDescent="0.4">
      <c r="A895" s="291"/>
      <c r="B895" s="292"/>
      <c r="C895" s="312"/>
      <c r="D895" s="292"/>
      <c r="E895" s="489"/>
      <c r="F895" s="489"/>
      <c r="G895" s="490"/>
      <c r="H895" s="520"/>
      <c r="I895" s="523"/>
      <c r="J895" s="521"/>
      <c r="K895" s="522"/>
      <c r="M895" s="301" t="str">
        <f>N895&amp;AS[[#This Row],[Insurer Code]]&amp;"; "&amp;O895&amp;AS[[#This Row],[Reporting Year]]&amp;"; "&amp;P895&amp;AS[[#This Row],[Insurance Category Code]]&amp;"; "&amp;Q895&amp;AS[[#This Row],[Large Provider Entity Code]]&amp;"; "&amp;R895&amp;AS[[#This Row],[Age Band Code]]&amp;"; "&amp;S895&amp;AS[[#This Row],[Sex Code]]</f>
        <v xml:space="preserve">Insurer Code ; Reporting Year ; Insurance Category Code ; Large Provider Entity Code ; Age Band Code ; Sex Code </v>
      </c>
      <c r="N895" s="297" t="s">
        <v>197</v>
      </c>
      <c r="O895" s="297" t="s">
        <v>198</v>
      </c>
      <c r="P895" s="297" t="s">
        <v>199</v>
      </c>
      <c r="Q895" s="297" t="s">
        <v>200</v>
      </c>
      <c r="R895" s="297" t="s">
        <v>213</v>
      </c>
      <c r="S895" s="297" t="s">
        <v>214</v>
      </c>
    </row>
    <row r="896" spans="1:19" x14ac:dyDescent="0.4">
      <c r="A896" s="291"/>
      <c r="B896" s="292"/>
      <c r="C896" s="312"/>
      <c r="D896" s="292"/>
      <c r="E896" s="489"/>
      <c r="F896" s="489"/>
      <c r="G896" s="490"/>
      <c r="H896" s="520"/>
      <c r="I896" s="523"/>
      <c r="J896" s="521"/>
      <c r="K896" s="522"/>
      <c r="M896" s="301" t="str">
        <f>N896&amp;AS[[#This Row],[Insurer Code]]&amp;"; "&amp;O896&amp;AS[[#This Row],[Reporting Year]]&amp;"; "&amp;P896&amp;AS[[#This Row],[Insurance Category Code]]&amp;"; "&amp;Q896&amp;AS[[#This Row],[Large Provider Entity Code]]&amp;"; "&amp;R896&amp;AS[[#This Row],[Age Band Code]]&amp;"; "&amp;S896&amp;AS[[#This Row],[Sex Code]]</f>
        <v xml:space="preserve">Insurer Code ; Reporting Year ; Insurance Category Code ; Large Provider Entity Code ; Age Band Code ; Sex Code </v>
      </c>
      <c r="N896" s="297" t="s">
        <v>197</v>
      </c>
      <c r="O896" s="297" t="s">
        <v>198</v>
      </c>
      <c r="P896" s="297" t="s">
        <v>199</v>
      </c>
      <c r="Q896" s="297" t="s">
        <v>200</v>
      </c>
      <c r="R896" s="297" t="s">
        <v>213</v>
      </c>
      <c r="S896" s="297" t="s">
        <v>214</v>
      </c>
    </row>
    <row r="897" spans="1:19" x14ac:dyDescent="0.4">
      <c r="A897" s="291"/>
      <c r="B897" s="292"/>
      <c r="C897" s="312"/>
      <c r="D897" s="292"/>
      <c r="E897" s="489"/>
      <c r="F897" s="489"/>
      <c r="G897" s="490"/>
      <c r="H897" s="520"/>
      <c r="I897" s="523"/>
      <c r="J897" s="521"/>
      <c r="K897" s="522"/>
      <c r="M897" s="301" t="str">
        <f>N897&amp;AS[[#This Row],[Insurer Code]]&amp;"; "&amp;O897&amp;AS[[#This Row],[Reporting Year]]&amp;"; "&amp;P897&amp;AS[[#This Row],[Insurance Category Code]]&amp;"; "&amp;Q897&amp;AS[[#This Row],[Large Provider Entity Code]]&amp;"; "&amp;R897&amp;AS[[#This Row],[Age Band Code]]&amp;"; "&amp;S897&amp;AS[[#This Row],[Sex Code]]</f>
        <v xml:space="preserve">Insurer Code ; Reporting Year ; Insurance Category Code ; Large Provider Entity Code ; Age Band Code ; Sex Code </v>
      </c>
      <c r="N897" s="297" t="s">
        <v>197</v>
      </c>
      <c r="O897" s="297" t="s">
        <v>198</v>
      </c>
      <c r="P897" s="297" t="s">
        <v>199</v>
      </c>
      <c r="Q897" s="297" t="s">
        <v>200</v>
      </c>
      <c r="R897" s="297" t="s">
        <v>213</v>
      </c>
      <c r="S897" s="297" t="s">
        <v>214</v>
      </c>
    </row>
    <row r="898" spans="1:19" x14ac:dyDescent="0.4">
      <c r="A898" s="291"/>
      <c r="B898" s="292"/>
      <c r="C898" s="312"/>
      <c r="D898" s="292"/>
      <c r="E898" s="489"/>
      <c r="F898" s="489"/>
      <c r="G898" s="490"/>
      <c r="H898" s="520"/>
      <c r="I898" s="523"/>
      <c r="J898" s="521"/>
      <c r="K898" s="522"/>
      <c r="M898" s="301" t="str">
        <f>N898&amp;AS[[#This Row],[Insurer Code]]&amp;"; "&amp;O898&amp;AS[[#This Row],[Reporting Year]]&amp;"; "&amp;P898&amp;AS[[#This Row],[Insurance Category Code]]&amp;"; "&amp;Q898&amp;AS[[#This Row],[Large Provider Entity Code]]&amp;"; "&amp;R898&amp;AS[[#This Row],[Age Band Code]]&amp;"; "&amp;S898&amp;AS[[#This Row],[Sex Code]]</f>
        <v xml:space="preserve">Insurer Code ; Reporting Year ; Insurance Category Code ; Large Provider Entity Code ; Age Band Code ; Sex Code </v>
      </c>
      <c r="N898" s="297" t="s">
        <v>197</v>
      </c>
      <c r="O898" s="297" t="s">
        <v>198</v>
      </c>
      <c r="P898" s="297" t="s">
        <v>199</v>
      </c>
      <c r="Q898" s="297" t="s">
        <v>200</v>
      </c>
      <c r="R898" s="297" t="s">
        <v>213</v>
      </c>
      <c r="S898" s="297" t="s">
        <v>214</v>
      </c>
    </row>
    <row r="899" spans="1:19" x14ac:dyDescent="0.4">
      <c r="A899" s="291"/>
      <c r="B899" s="292"/>
      <c r="C899" s="312"/>
      <c r="D899" s="292"/>
      <c r="E899" s="489"/>
      <c r="F899" s="489"/>
      <c r="G899" s="490"/>
      <c r="H899" s="520"/>
      <c r="I899" s="523"/>
      <c r="J899" s="521"/>
      <c r="K899" s="522"/>
      <c r="M899" s="301" t="str">
        <f>N899&amp;AS[[#This Row],[Insurer Code]]&amp;"; "&amp;O899&amp;AS[[#This Row],[Reporting Year]]&amp;"; "&amp;P899&amp;AS[[#This Row],[Insurance Category Code]]&amp;"; "&amp;Q899&amp;AS[[#This Row],[Large Provider Entity Code]]&amp;"; "&amp;R899&amp;AS[[#This Row],[Age Band Code]]&amp;"; "&amp;S899&amp;AS[[#This Row],[Sex Code]]</f>
        <v xml:space="preserve">Insurer Code ; Reporting Year ; Insurance Category Code ; Large Provider Entity Code ; Age Band Code ; Sex Code </v>
      </c>
      <c r="N899" s="297" t="s">
        <v>197</v>
      </c>
      <c r="O899" s="297" t="s">
        <v>198</v>
      </c>
      <c r="P899" s="297" t="s">
        <v>199</v>
      </c>
      <c r="Q899" s="297" t="s">
        <v>200</v>
      </c>
      <c r="R899" s="297" t="s">
        <v>213</v>
      </c>
      <c r="S899" s="297" t="s">
        <v>214</v>
      </c>
    </row>
    <row r="900" spans="1:19" x14ac:dyDescent="0.4">
      <c r="A900" s="291"/>
      <c r="B900" s="292"/>
      <c r="C900" s="312"/>
      <c r="D900" s="292"/>
      <c r="E900" s="489"/>
      <c r="F900" s="489"/>
      <c r="G900" s="490"/>
      <c r="H900" s="520"/>
      <c r="I900" s="523"/>
      <c r="J900" s="521"/>
      <c r="K900" s="522"/>
      <c r="M900" s="301" t="str">
        <f>N900&amp;AS[[#This Row],[Insurer Code]]&amp;"; "&amp;O900&amp;AS[[#This Row],[Reporting Year]]&amp;"; "&amp;P900&amp;AS[[#This Row],[Insurance Category Code]]&amp;"; "&amp;Q900&amp;AS[[#This Row],[Large Provider Entity Code]]&amp;"; "&amp;R900&amp;AS[[#This Row],[Age Band Code]]&amp;"; "&amp;S900&amp;AS[[#This Row],[Sex Code]]</f>
        <v xml:space="preserve">Insurer Code ; Reporting Year ; Insurance Category Code ; Large Provider Entity Code ; Age Band Code ; Sex Code </v>
      </c>
      <c r="N900" s="297" t="s">
        <v>197</v>
      </c>
      <c r="O900" s="297" t="s">
        <v>198</v>
      </c>
      <c r="P900" s="297" t="s">
        <v>199</v>
      </c>
      <c r="Q900" s="297" t="s">
        <v>200</v>
      </c>
      <c r="R900" s="297" t="s">
        <v>213</v>
      </c>
      <c r="S900" s="297" t="s">
        <v>214</v>
      </c>
    </row>
    <row r="901" spans="1:19" x14ac:dyDescent="0.4">
      <c r="A901" s="291"/>
      <c r="B901" s="292"/>
      <c r="C901" s="312"/>
      <c r="D901" s="292"/>
      <c r="E901" s="489"/>
      <c r="F901" s="489"/>
      <c r="G901" s="490"/>
      <c r="H901" s="520"/>
      <c r="I901" s="523"/>
      <c r="J901" s="521"/>
      <c r="K901" s="522"/>
      <c r="M901" s="301" t="str">
        <f>N901&amp;AS[[#This Row],[Insurer Code]]&amp;"; "&amp;O901&amp;AS[[#This Row],[Reporting Year]]&amp;"; "&amp;P901&amp;AS[[#This Row],[Insurance Category Code]]&amp;"; "&amp;Q901&amp;AS[[#This Row],[Large Provider Entity Code]]&amp;"; "&amp;R901&amp;AS[[#This Row],[Age Band Code]]&amp;"; "&amp;S901&amp;AS[[#This Row],[Sex Code]]</f>
        <v xml:space="preserve">Insurer Code ; Reporting Year ; Insurance Category Code ; Large Provider Entity Code ; Age Band Code ; Sex Code </v>
      </c>
      <c r="N901" s="297" t="s">
        <v>197</v>
      </c>
      <c r="O901" s="297" t="s">
        <v>198</v>
      </c>
      <c r="P901" s="297" t="s">
        <v>199</v>
      </c>
      <c r="Q901" s="297" t="s">
        <v>200</v>
      </c>
      <c r="R901" s="297" t="s">
        <v>213</v>
      </c>
      <c r="S901" s="297" t="s">
        <v>214</v>
      </c>
    </row>
    <row r="902" spans="1:19" x14ac:dyDescent="0.4">
      <c r="A902" s="291"/>
      <c r="B902" s="292"/>
      <c r="C902" s="312"/>
      <c r="D902" s="292"/>
      <c r="E902" s="489"/>
      <c r="F902" s="489"/>
      <c r="G902" s="490"/>
      <c r="H902" s="520"/>
      <c r="I902" s="523"/>
      <c r="J902" s="521"/>
      <c r="K902" s="522"/>
      <c r="M902" s="301" t="str">
        <f>N902&amp;AS[[#This Row],[Insurer Code]]&amp;"; "&amp;O902&amp;AS[[#This Row],[Reporting Year]]&amp;"; "&amp;P902&amp;AS[[#This Row],[Insurance Category Code]]&amp;"; "&amp;Q902&amp;AS[[#This Row],[Large Provider Entity Code]]&amp;"; "&amp;R902&amp;AS[[#This Row],[Age Band Code]]&amp;"; "&amp;S902&amp;AS[[#This Row],[Sex Code]]</f>
        <v xml:space="preserve">Insurer Code ; Reporting Year ; Insurance Category Code ; Large Provider Entity Code ; Age Band Code ; Sex Code </v>
      </c>
      <c r="N902" s="297" t="s">
        <v>197</v>
      </c>
      <c r="O902" s="297" t="s">
        <v>198</v>
      </c>
      <c r="P902" s="297" t="s">
        <v>199</v>
      </c>
      <c r="Q902" s="297" t="s">
        <v>200</v>
      </c>
      <c r="R902" s="297" t="s">
        <v>213</v>
      </c>
      <c r="S902" s="297" t="s">
        <v>214</v>
      </c>
    </row>
    <row r="903" spans="1:19" x14ac:dyDescent="0.4">
      <c r="A903" s="291"/>
      <c r="B903" s="292"/>
      <c r="C903" s="312"/>
      <c r="D903" s="292"/>
      <c r="E903" s="489"/>
      <c r="F903" s="489"/>
      <c r="G903" s="490"/>
      <c r="H903" s="520"/>
      <c r="I903" s="523"/>
      <c r="J903" s="521"/>
      <c r="K903" s="522"/>
      <c r="M903" s="301" t="str">
        <f>N903&amp;AS[[#This Row],[Insurer Code]]&amp;"; "&amp;O903&amp;AS[[#This Row],[Reporting Year]]&amp;"; "&amp;P903&amp;AS[[#This Row],[Insurance Category Code]]&amp;"; "&amp;Q903&amp;AS[[#This Row],[Large Provider Entity Code]]&amp;"; "&amp;R903&amp;AS[[#This Row],[Age Band Code]]&amp;"; "&amp;S903&amp;AS[[#This Row],[Sex Code]]</f>
        <v xml:space="preserve">Insurer Code ; Reporting Year ; Insurance Category Code ; Large Provider Entity Code ; Age Band Code ; Sex Code </v>
      </c>
      <c r="N903" s="297" t="s">
        <v>197</v>
      </c>
      <c r="O903" s="297" t="s">
        <v>198</v>
      </c>
      <c r="P903" s="297" t="s">
        <v>199</v>
      </c>
      <c r="Q903" s="297" t="s">
        <v>200</v>
      </c>
      <c r="R903" s="297" t="s">
        <v>213</v>
      </c>
      <c r="S903" s="297" t="s">
        <v>214</v>
      </c>
    </row>
    <row r="904" spans="1:19" x14ac:dyDescent="0.4">
      <c r="A904" s="291"/>
      <c r="B904" s="292"/>
      <c r="C904" s="312"/>
      <c r="D904" s="292"/>
      <c r="E904" s="489"/>
      <c r="F904" s="489"/>
      <c r="G904" s="490"/>
      <c r="H904" s="520"/>
      <c r="I904" s="523"/>
      <c r="J904" s="521"/>
      <c r="K904" s="522"/>
      <c r="M904" s="301" t="str">
        <f>N904&amp;AS[[#This Row],[Insurer Code]]&amp;"; "&amp;O904&amp;AS[[#This Row],[Reporting Year]]&amp;"; "&amp;P904&amp;AS[[#This Row],[Insurance Category Code]]&amp;"; "&amp;Q904&amp;AS[[#This Row],[Large Provider Entity Code]]&amp;"; "&amp;R904&amp;AS[[#This Row],[Age Band Code]]&amp;"; "&amp;S904&amp;AS[[#This Row],[Sex Code]]</f>
        <v xml:space="preserve">Insurer Code ; Reporting Year ; Insurance Category Code ; Large Provider Entity Code ; Age Band Code ; Sex Code </v>
      </c>
      <c r="N904" s="297" t="s">
        <v>197</v>
      </c>
      <c r="O904" s="297" t="s">
        <v>198</v>
      </c>
      <c r="P904" s="297" t="s">
        <v>199</v>
      </c>
      <c r="Q904" s="297" t="s">
        <v>200</v>
      </c>
      <c r="R904" s="297" t="s">
        <v>213</v>
      </c>
      <c r="S904" s="297" t="s">
        <v>214</v>
      </c>
    </row>
    <row r="905" spans="1:19" x14ac:dyDescent="0.4">
      <c r="A905" s="291"/>
      <c r="B905" s="292"/>
      <c r="C905" s="312"/>
      <c r="D905" s="292"/>
      <c r="E905" s="489"/>
      <c r="F905" s="489"/>
      <c r="G905" s="490"/>
      <c r="H905" s="520"/>
      <c r="I905" s="523"/>
      <c r="J905" s="521"/>
      <c r="K905" s="522"/>
      <c r="M905" s="301" t="str">
        <f>N905&amp;AS[[#This Row],[Insurer Code]]&amp;"; "&amp;O905&amp;AS[[#This Row],[Reporting Year]]&amp;"; "&amp;P905&amp;AS[[#This Row],[Insurance Category Code]]&amp;"; "&amp;Q905&amp;AS[[#This Row],[Large Provider Entity Code]]&amp;"; "&amp;R905&amp;AS[[#This Row],[Age Band Code]]&amp;"; "&amp;S905&amp;AS[[#This Row],[Sex Code]]</f>
        <v xml:space="preserve">Insurer Code ; Reporting Year ; Insurance Category Code ; Large Provider Entity Code ; Age Band Code ; Sex Code </v>
      </c>
      <c r="N905" s="297" t="s">
        <v>197</v>
      </c>
      <c r="O905" s="297" t="s">
        <v>198</v>
      </c>
      <c r="P905" s="297" t="s">
        <v>199</v>
      </c>
      <c r="Q905" s="297" t="s">
        <v>200</v>
      </c>
      <c r="R905" s="297" t="s">
        <v>213</v>
      </c>
      <c r="S905" s="297" t="s">
        <v>214</v>
      </c>
    </row>
    <row r="906" spans="1:19" x14ac:dyDescent="0.4">
      <c r="A906" s="291"/>
      <c r="B906" s="292"/>
      <c r="C906" s="312"/>
      <c r="D906" s="292"/>
      <c r="E906" s="489"/>
      <c r="F906" s="489"/>
      <c r="G906" s="490"/>
      <c r="H906" s="520"/>
      <c r="I906" s="523"/>
      <c r="J906" s="521"/>
      <c r="K906" s="522"/>
      <c r="M906" s="301" t="str">
        <f>N906&amp;AS[[#This Row],[Insurer Code]]&amp;"; "&amp;O906&amp;AS[[#This Row],[Reporting Year]]&amp;"; "&amp;P906&amp;AS[[#This Row],[Insurance Category Code]]&amp;"; "&amp;Q906&amp;AS[[#This Row],[Large Provider Entity Code]]&amp;"; "&amp;R906&amp;AS[[#This Row],[Age Band Code]]&amp;"; "&amp;S906&amp;AS[[#This Row],[Sex Code]]</f>
        <v xml:space="preserve">Insurer Code ; Reporting Year ; Insurance Category Code ; Large Provider Entity Code ; Age Band Code ; Sex Code </v>
      </c>
      <c r="N906" s="297" t="s">
        <v>197</v>
      </c>
      <c r="O906" s="297" t="s">
        <v>198</v>
      </c>
      <c r="P906" s="297" t="s">
        <v>199</v>
      </c>
      <c r="Q906" s="297" t="s">
        <v>200</v>
      </c>
      <c r="R906" s="297" t="s">
        <v>213</v>
      </c>
      <c r="S906" s="297" t="s">
        <v>214</v>
      </c>
    </row>
    <row r="907" spans="1:19" x14ac:dyDescent="0.4">
      <c r="A907" s="291"/>
      <c r="B907" s="292"/>
      <c r="C907" s="312"/>
      <c r="D907" s="292"/>
      <c r="E907" s="489"/>
      <c r="F907" s="489"/>
      <c r="G907" s="490"/>
      <c r="H907" s="520"/>
      <c r="I907" s="523"/>
      <c r="J907" s="521"/>
      <c r="K907" s="522"/>
      <c r="M907" s="301" t="str">
        <f>N907&amp;AS[[#This Row],[Insurer Code]]&amp;"; "&amp;O907&amp;AS[[#This Row],[Reporting Year]]&amp;"; "&amp;P907&amp;AS[[#This Row],[Insurance Category Code]]&amp;"; "&amp;Q907&amp;AS[[#This Row],[Large Provider Entity Code]]&amp;"; "&amp;R907&amp;AS[[#This Row],[Age Band Code]]&amp;"; "&amp;S907&amp;AS[[#This Row],[Sex Code]]</f>
        <v xml:space="preserve">Insurer Code ; Reporting Year ; Insurance Category Code ; Large Provider Entity Code ; Age Band Code ; Sex Code </v>
      </c>
      <c r="N907" s="297" t="s">
        <v>197</v>
      </c>
      <c r="O907" s="297" t="s">
        <v>198</v>
      </c>
      <c r="P907" s="297" t="s">
        <v>199</v>
      </c>
      <c r="Q907" s="297" t="s">
        <v>200</v>
      </c>
      <c r="R907" s="297" t="s">
        <v>213</v>
      </c>
      <c r="S907" s="297" t="s">
        <v>214</v>
      </c>
    </row>
    <row r="908" spans="1:19" x14ac:dyDescent="0.4">
      <c r="A908" s="291"/>
      <c r="B908" s="292"/>
      <c r="C908" s="312"/>
      <c r="D908" s="292"/>
      <c r="E908" s="489"/>
      <c r="F908" s="489"/>
      <c r="G908" s="490"/>
      <c r="H908" s="520"/>
      <c r="I908" s="523"/>
      <c r="J908" s="521"/>
      <c r="K908" s="522"/>
      <c r="M908" s="301" t="str">
        <f>N908&amp;AS[[#This Row],[Insurer Code]]&amp;"; "&amp;O908&amp;AS[[#This Row],[Reporting Year]]&amp;"; "&amp;P908&amp;AS[[#This Row],[Insurance Category Code]]&amp;"; "&amp;Q908&amp;AS[[#This Row],[Large Provider Entity Code]]&amp;"; "&amp;R908&amp;AS[[#This Row],[Age Band Code]]&amp;"; "&amp;S908&amp;AS[[#This Row],[Sex Code]]</f>
        <v xml:space="preserve">Insurer Code ; Reporting Year ; Insurance Category Code ; Large Provider Entity Code ; Age Band Code ; Sex Code </v>
      </c>
      <c r="N908" s="297" t="s">
        <v>197</v>
      </c>
      <c r="O908" s="297" t="s">
        <v>198</v>
      </c>
      <c r="P908" s="297" t="s">
        <v>199</v>
      </c>
      <c r="Q908" s="297" t="s">
        <v>200</v>
      </c>
      <c r="R908" s="297" t="s">
        <v>213</v>
      </c>
      <c r="S908" s="297" t="s">
        <v>214</v>
      </c>
    </row>
    <row r="909" spans="1:19" x14ac:dyDescent="0.4">
      <c r="A909" s="291"/>
      <c r="B909" s="292"/>
      <c r="C909" s="312"/>
      <c r="D909" s="292"/>
      <c r="E909" s="489"/>
      <c r="F909" s="489"/>
      <c r="G909" s="490"/>
      <c r="H909" s="520"/>
      <c r="I909" s="523"/>
      <c r="J909" s="521"/>
      <c r="K909" s="522"/>
      <c r="M909" s="301" t="str">
        <f>N909&amp;AS[[#This Row],[Insurer Code]]&amp;"; "&amp;O909&amp;AS[[#This Row],[Reporting Year]]&amp;"; "&amp;P909&amp;AS[[#This Row],[Insurance Category Code]]&amp;"; "&amp;Q909&amp;AS[[#This Row],[Large Provider Entity Code]]&amp;"; "&amp;R909&amp;AS[[#This Row],[Age Band Code]]&amp;"; "&amp;S909&amp;AS[[#This Row],[Sex Code]]</f>
        <v xml:space="preserve">Insurer Code ; Reporting Year ; Insurance Category Code ; Large Provider Entity Code ; Age Band Code ; Sex Code </v>
      </c>
      <c r="N909" s="297" t="s">
        <v>197</v>
      </c>
      <c r="O909" s="297" t="s">
        <v>198</v>
      </c>
      <c r="P909" s="297" t="s">
        <v>199</v>
      </c>
      <c r="Q909" s="297" t="s">
        <v>200</v>
      </c>
      <c r="R909" s="297" t="s">
        <v>213</v>
      </c>
      <c r="S909" s="297" t="s">
        <v>214</v>
      </c>
    </row>
    <row r="910" spans="1:19" x14ac:dyDescent="0.4">
      <c r="A910" s="291"/>
      <c r="B910" s="292"/>
      <c r="C910" s="312"/>
      <c r="D910" s="292"/>
      <c r="E910" s="489"/>
      <c r="F910" s="489"/>
      <c r="G910" s="490"/>
      <c r="H910" s="520"/>
      <c r="I910" s="523"/>
      <c r="J910" s="521"/>
      <c r="K910" s="522"/>
      <c r="M910" s="301" t="str">
        <f>N910&amp;AS[[#This Row],[Insurer Code]]&amp;"; "&amp;O910&amp;AS[[#This Row],[Reporting Year]]&amp;"; "&amp;P910&amp;AS[[#This Row],[Insurance Category Code]]&amp;"; "&amp;Q910&amp;AS[[#This Row],[Large Provider Entity Code]]&amp;"; "&amp;R910&amp;AS[[#This Row],[Age Band Code]]&amp;"; "&amp;S910&amp;AS[[#This Row],[Sex Code]]</f>
        <v xml:space="preserve">Insurer Code ; Reporting Year ; Insurance Category Code ; Large Provider Entity Code ; Age Band Code ; Sex Code </v>
      </c>
      <c r="N910" s="297" t="s">
        <v>197</v>
      </c>
      <c r="O910" s="297" t="s">
        <v>198</v>
      </c>
      <c r="P910" s="297" t="s">
        <v>199</v>
      </c>
      <c r="Q910" s="297" t="s">
        <v>200</v>
      </c>
      <c r="R910" s="297" t="s">
        <v>213</v>
      </c>
      <c r="S910" s="297" t="s">
        <v>214</v>
      </c>
    </row>
    <row r="911" spans="1:19" x14ac:dyDescent="0.4">
      <c r="A911" s="291"/>
      <c r="B911" s="292"/>
      <c r="C911" s="312"/>
      <c r="D911" s="292"/>
      <c r="E911" s="489"/>
      <c r="F911" s="489"/>
      <c r="G911" s="490"/>
      <c r="H911" s="520"/>
      <c r="I911" s="523"/>
      <c r="J911" s="521"/>
      <c r="K911" s="522"/>
      <c r="M911" s="301" t="str">
        <f>N911&amp;AS[[#This Row],[Insurer Code]]&amp;"; "&amp;O911&amp;AS[[#This Row],[Reporting Year]]&amp;"; "&amp;P911&amp;AS[[#This Row],[Insurance Category Code]]&amp;"; "&amp;Q911&amp;AS[[#This Row],[Large Provider Entity Code]]&amp;"; "&amp;R911&amp;AS[[#This Row],[Age Band Code]]&amp;"; "&amp;S911&amp;AS[[#This Row],[Sex Code]]</f>
        <v xml:space="preserve">Insurer Code ; Reporting Year ; Insurance Category Code ; Large Provider Entity Code ; Age Band Code ; Sex Code </v>
      </c>
      <c r="N911" s="297" t="s">
        <v>197</v>
      </c>
      <c r="O911" s="297" t="s">
        <v>198</v>
      </c>
      <c r="P911" s="297" t="s">
        <v>199</v>
      </c>
      <c r="Q911" s="297" t="s">
        <v>200</v>
      </c>
      <c r="R911" s="297" t="s">
        <v>213</v>
      </c>
      <c r="S911" s="297" t="s">
        <v>214</v>
      </c>
    </row>
    <row r="912" spans="1:19" x14ac:dyDescent="0.4">
      <c r="A912" s="291"/>
      <c r="B912" s="292"/>
      <c r="C912" s="312"/>
      <c r="D912" s="292"/>
      <c r="E912" s="489"/>
      <c r="F912" s="489"/>
      <c r="G912" s="490"/>
      <c r="H912" s="520"/>
      <c r="I912" s="523"/>
      <c r="J912" s="521"/>
      <c r="K912" s="522"/>
      <c r="M912" s="301" t="str">
        <f>N912&amp;AS[[#This Row],[Insurer Code]]&amp;"; "&amp;O912&amp;AS[[#This Row],[Reporting Year]]&amp;"; "&amp;P912&amp;AS[[#This Row],[Insurance Category Code]]&amp;"; "&amp;Q912&amp;AS[[#This Row],[Large Provider Entity Code]]&amp;"; "&amp;R912&amp;AS[[#This Row],[Age Band Code]]&amp;"; "&amp;S912&amp;AS[[#This Row],[Sex Code]]</f>
        <v xml:space="preserve">Insurer Code ; Reporting Year ; Insurance Category Code ; Large Provider Entity Code ; Age Band Code ; Sex Code </v>
      </c>
      <c r="N912" s="297" t="s">
        <v>197</v>
      </c>
      <c r="O912" s="297" t="s">
        <v>198</v>
      </c>
      <c r="P912" s="297" t="s">
        <v>199</v>
      </c>
      <c r="Q912" s="297" t="s">
        <v>200</v>
      </c>
      <c r="R912" s="297" t="s">
        <v>213</v>
      </c>
      <c r="S912" s="297" t="s">
        <v>214</v>
      </c>
    </row>
    <row r="913" spans="1:19" x14ac:dyDescent="0.4">
      <c r="A913" s="291"/>
      <c r="B913" s="292"/>
      <c r="C913" s="312"/>
      <c r="D913" s="292"/>
      <c r="E913" s="489"/>
      <c r="F913" s="489"/>
      <c r="G913" s="490"/>
      <c r="H913" s="520"/>
      <c r="I913" s="523"/>
      <c r="J913" s="521"/>
      <c r="K913" s="522"/>
      <c r="M913" s="301" t="str">
        <f>N913&amp;AS[[#This Row],[Insurer Code]]&amp;"; "&amp;O913&amp;AS[[#This Row],[Reporting Year]]&amp;"; "&amp;P913&amp;AS[[#This Row],[Insurance Category Code]]&amp;"; "&amp;Q913&amp;AS[[#This Row],[Large Provider Entity Code]]&amp;"; "&amp;R913&amp;AS[[#This Row],[Age Band Code]]&amp;"; "&amp;S913&amp;AS[[#This Row],[Sex Code]]</f>
        <v xml:space="preserve">Insurer Code ; Reporting Year ; Insurance Category Code ; Large Provider Entity Code ; Age Band Code ; Sex Code </v>
      </c>
      <c r="N913" s="297" t="s">
        <v>197</v>
      </c>
      <c r="O913" s="297" t="s">
        <v>198</v>
      </c>
      <c r="P913" s="297" t="s">
        <v>199</v>
      </c>
      <c r="Q913" s="297" t="s">
        <v>200</v>
      </c>
      <c r="R913" s="297" t="s">
        <v>213</v>
      </c>
      <c r="S913" s="297" t="s">
        <v>214</v>
      </c>
    </row>
    <row r="914" spans="1:19" x14ac:dyDescent="0.4">
      <c r="A914" s="291"/>
      <c r="B914" s="292"/>
      <c r="C914" s="312"/>
      <c r="D914" s="292"/>
      <c r="E914" s="489"/>
      <c r="F914" s="489"/>
      <c r="G914" s="490"/>
      <c r="H914" s="520"/>
      <c r="I914" s="523"/>
      <c r="J914" s="521"/>
      <c r="K914" s="522"/>
      <c r="M914" s="301" t="str">
        <f>N914&amp;AS[[#This Row],[Insurer Code]]&amp;"; "&amp;O914&amp;AS[[#This Row],[Reporting Year]]&amp;"; "&amp;P914&amp;AS[[#This Row],[Insurance Category Code]]&amp;"; "&amp;Q914&amp;AS[[#This Row],[Large Provider Entity Code]]&amp;"; "&amp;R914&amp;AS[[#This Row],[Age Band Code]]&amp;"; "&amp;S914&amp;AS[[#This Row],[Sex Code]]</f>
        <v xml:space="preserve">Insurer Code ; Reporting Year ; Insurance Category Code ; Large Provider Entity Code ; Age Band Code ; Sex Code </v>
      </c>
      <c r="N914" s="297" t="s">
        <v>197</v>
      </c>
      <c r="O914" s="297" t="s">
        <v>198</v>
      </c>
      <c r="P914" s="297" t="s">
        <v>199</v>
      </c>
      <c r="Q914" s="297" t="s">
        <v>200</v>
      </c>
      <c r="R914" s="297" t="s">
        <v>213</v>
      </c>
      <c r="S914" s="297" t="s">
        <v>214</v>
      </c>
    </row>
    <row r="915" spans="1:19" x14ac:dyDescent="0.4">
      <c r="A915" s="291"/>
      <c r="B915" s="292"/>
      <c r="C915" s="312"/>
      <c r="D915" s="292"/>
      <c r="E915" s="489"/>
      <c r="F915" s="489"/>
      <c r="G915" s="490"/>
      <c r="H915" s="520"/>
      <c r="I915" s="523"/>
      <c r="J915" s="521"/>
      <c r="K915" s="522"/>
      <c r="M915" s="301" t="str">
        <f>N915&amp;AS[[#This Row],[Insurer Code]]&amp;"; "&amp;O915&amp;AS[[#This Row],[Reporting Year]]&amp;"; "&amp;P915&amp;AS[[#This Row],[Insurance Category Code]]&amp;"; "&amp;Q915&amp;AS[[#This Row],[Large Provider Entity Code]]&amp;"; "&amp;R915&amp;AS[[#This Row],[Age Band Code]]&amp;"; "&amp;S915&amp;AS[[#This Row],[Sex Code]]</f>
        <v xml:space="preserve">Insurer Code ; Reporting Year ; Insurance Category Code ; Large Provider Entity Code ; Age Band Code ; Sex Code </v>
      </c>
      <c r="N915" s="297" t="s">
        <v>197</v>
      </c>
      <c r="O915" s="297" t="s">
        <v>198</v>
      </c>
      <c r="P915" s="297" t="s">
        <v>199</v>
      </c>
      <c r="Q915" s="297" t="s">
        <v>200</v>
      </c>
      <c r="R915" s="297" t="s">
        <v>213</v>
      </c>
      <c r="S915" s="297" t="s">
        <v>214</v>
      </c>
    </row>
    <row r="916" spans="1:19" x14ac:dyDescent="0.4">
      <c r="A916" s="291"/>
      <c r="B916" s="292"/>
      <c r="C916" s="312"/>
      <c r="D916" s="292"/>
      <c r="E916" s="489"/>
      <c r="F916" s="489"/>
      <c r="G916" s="490"/>
      <c r="H916" s="520"/>
      <c r="I916" s="523"/>
      <c r="J916" s="521"/>
      <c r="K916" s="522"/>
      <c r="M916" s="301" t="str">
        <f>N916&amp;AS[[#This Row],[Insurer Code]]&amp;"; "&amp;O916&amp;AS[[#This Row],[Reporting Year]]&amp;"; "&amp;P916&amp;AS[[#This Row],[Insurance Category Code]]&amp;"; "&amp;Q916&amp;AS[[#This Row],[Large Provider Entity Code]]&amp;"; "&amp;R916&amp;AS[[#This Row],[Age Band Code]]&amp;"; "&amp;S916&amp;AS[[#This Row],[Sex Code]]</f>
        <v xml:space="preserve">Insurer Code ; Reporting Year ; Insurance Category Code ; Large Provider Entity Code ; Age Band Code ; Sex Code </v>
      </c>
      <c r="N916" s="297" t="s">
        <v>197</v>
      </c>
      <c r="O916" s="297" t="s">
        <v>198</v>
      </c>
      <c r="P916" s="297" t="s">
        <v>199</v>
      </c>
      <c r="Q916" s="297" t="s">
        <v>200</v>
      </c>
      <c r="R916" s="297" t="s">
        <v>213</v>
      </c>
      <c r="S916" s="297" t="s">
        <v>214</v>
      </c>
    </row>
    <row r="917" spans="1:19" x14ac:dyDescent="0.4">
      <c r="A917" s="291"/>
      <c r="B917" s="292"/>
      <c r="C917" s="312"/>
      <c r="D917" s="292"/>
      <c r="E917" s="489"/>
      <c r="F917" s="489"/>
      <c r="G917" s="490"/>
      <c r="H917" s="520"/>
      <c r="I917" s="523"/>
      <c r="J917" s="521"/>
      <c r="K917" s="522"/>
      <c r="M917" s="301" t="str">
        <f>N917&amp;AS[[#This Row],[Insurer Code]]&amp;"; "&amp;O917&amp;AS[[#This Row],[Reporting Year]]&amp;"; "&amp;P917&amp;AS[[#This Row],[Insurance Category Code]]&amp;"; "&amp;Q917&amp;AS[[#This Row],[Large Provider Entity Code]]&amp;"; "&amp;R917&amp;AS[[#This Row],[Age Band Code]]&amp;"; "&amp;S917&amp;AS[[#This Row],[Sex Code]]</f>
        <v xml:space="preserve">Insurer Code ; Reporting Year ; Insurance Category Code ; Large Provider Entity Code ; Age Band Code ; Sex Code </v>
      </c>
      <c r="N917" s="297" t="s">
        <v>197</v>
      </c>
      <c r="O917" s="297" t="s">
        <v>198</v>
      </c>
      <c r="P917" s="297" t="s">
        <v>199</v>
      </c>
      <c r="Q917" s="297" t="s">
        <v>200</v>
      </c>
      <c r="R917" s="297" t="s">
        <v>213</v>
      </c>
      <c r="S917" s="297" t="s">
        <v>214</v>
      </c>
    </row>
    <row r="918" spans="1:19" x14ac:dyDescent="0.4">
      <c r="A918" s="291"/>
      <c r="B918" s="292"/>
      <c r="C918" s="312"/>
      <c r="D918" s="292"/>
      <c r="E918" s="489"/>
      <c r="F918" s="489"/>
      <c r="G918" s="490"/>
      <c r="H918" s="520"/>
      <c r="I918" s="523"/>
      <c r="J918" s="521"/>
      <c r="K918" s="522"/>
      <c r="M918" s="301" t="str">
        <f>N918&amp;AS[[#This Row],[Insurer Code]]&amp;"; "&amp;O918&amp;AS[[#This Row],[Reporting Year]]&amp;"; "&amp;P918&amp;AS[[#This Row],[Insurance Category Code]]&amp;"; "&amp;Q918&amp;AS[[#This Row],[Large Provider Entity Code]]&amp;"; "&amp;R918&amp;AS[[#This Row],[Age Band Code]]&amp;"; "&amp;S918&amp;AS[[#This Row],[Sex Code]]</f>
        <v xml:space="preserve">Insurer Code ; Reporting Year ; Insurance Category Code ; Large Provider Entity Code ; Age Band Code ; Sex Code </v>
      </c>
      <c r="N918" s="297" t="s">
        <v>197</v>
      </c>
      <c r="O918" s="297" t="s">
        <v>198</v>
      </c>
      <c r="P918" s="297" t="s">
        <v>199</v>
      </c>
      <c r="Q918" s="297" t="s">
        <v>200</v>
      </c>
      <c r="R918" s="297" t="s">
        <v>213</v>
      </c>
      <c r="S918" s="297" t="s">
        <v>214</v>
      </c>
    </row>
    <row r="919" spans="1:19" x14ac:dyDescent="0.4">
      <c r="A919" s="291"/>
      <c r="B919" s="292"/>
      <c r="C919" s="312"/>
      <c r="D919" s="292"/>
      <c r="E919" s="489"/>
      <c r="F919" s="489"/>
      <c r="G919" s="490"/>
      <c r="H919" s="520"/>
      <c r="I919" s="523"/>
      <c r="J919" s="521"/>
      <c r="K919" s="522"/>
      <c r="M919" s="301" t="str">
        <f>N919&amp;AS[[#This Row],[Insurer Code]]&amp;"; "&amp;O919&amp;AS[[#This Row],[Reporting Year]]&amp;"; "&amp;P919&amp;AS[[#This Row],[Insurance Category Code]]&amp;"; "&amp;Q919&amp;AS[[#This Row],[Large Provider Entity Code]]&amp;"; "&amp;R919&amp;AS[[#This Row],[Age Band Code]]&amp;"; "&amp;S919&amp;AS[[#This Row],[Sex Code]]</f>
        <v xml:space="preserve">Insurer Code ; Reporting Year ; Insurance Category Code ; Large Provider Entity Code ; Age Band Code ; Sex Code </v>
      </c>
      <c r="N919" s="297" t="s">
        <v>197</v>
      </c>
      <c r="O919" s="297" t="s">
        <v>198</v>
      </c>
      <c r="P919" s="297" t="s">
        <v>199</v>
      </c>
      <c r="Q919" s="297" t="s">
        <v>200</v>
      </c>
      <c r="R919" s="297" t="s">
        <v>213</v>
      </c>
      <c r="S919" s="297" t="s">
        <v>214</v>
      </c>
    </row>
    <row r="920" spans="1:19" x14ac:dyDescent="0.4">
      <c r="A920" s="291"/>
      <c r="B920" s="292"/>
      <c r="C920" s="312"/>
      <c r="D920" s="292"/>
      <c r="E920" s="489"/>
      <c r="F920" s="489"/>
      <c r="G920" s="490"/>
      <c r="H920" s="520"/>
      <c r="I920" s="523"/>
      <c r="J920" s="521"/>
      <c r="K920" s="522"/>
      <c r="M920" s="301" t="str">
        <f>N920&amp;AS[[#This Row],[Insurer Code]]&amp;"; "&amp;O920&amp;AS[[#This Row],[Reporting Year]]&amp;"; "&amp;P920&amp;AS[[#This Row],[Insurance Category Code]]&amp;"; "&amp;Q920&amp;AS[[#This Row],[Large Provider Entity Code]]&amp;"; "&amp;R920&amp;AS[[#This Row],[Age Band Code]]&amp;"; "&amp;S920&amp;AS[[#This Row],[Sex Code]]</f>
        <v xml:space="preserve">Insurer Code ; Reporting Year ; Insurance Category Code ; Large Provider Entity Code ; Age Band Code ; Sex Code </v>
      </c>
      <c r="N920" s="297" t="s">
        <v>197</v>
      </c>
      <c r="O920" s="297" t="s">
        <v>198</v>
      </c>
      <c r="P920" s="297" t="s">
        <v>199</v>
      </c>
      <c r="Q920" s="297" t="s">
        <v>200</v>
      </c>
      <c r="R920" s="297" t="s">
        <v>213</v>
      </c>
      <c r="S920" s="297" t="s">
        <v>214</v>
      </c>
    </row>
    <row r="921" spans="1:19" x14ac:dyDescent="0.4">
      <c r="A921" s="291"/>
      <c r="B921" s="292"/>
      <c r="C921" s="312"/>
      <c r="D921" s="292"/>
      <c r="E921" s="489"/>
      <c r="F921" s="489"/>
      <c r="G921" s="490"/>
      <c r="H921" s="520"/>
      <c r="I921" s="523"/>
      <c r="J921" s="521"/>
      <c r="K921" s="522"/>
      <c r="M921" s="301" t="str">
        <f>N921&amp;AS[[#This Row],[Insurer Code]]&amp;"; "&amp;O921&amp;AS[[#This Row],[Reporting Year]]&amp;"; "&amp;P921&amp;AS[[#This Row],[Insurance Category Code]]&amp;"; "&amp;Q921&amp;AS[[#This Row],[Large Provider Entity Code]]&amp;"; "&amp;R921&amp;AS[[#This Row],[Age Band Code]]&amp;"; "&amp;S921&amp;AS[[#This Row],[Sex Code]]</f>
        <v xml:space="preserve">Insurer Code ; Reporting Year ; Insurance Category Code ; Large Provider Entity Code ; Age Band Code ; Sex Code </v>
      </c>
      <c r="N921" s="297" t="s">
        <v>197</v>
      </c>
      <c r="O921" s="297" t="s">
        <v>198</v>
      </c>
      <c r="P921" s="297" t="s">
        <v>199</v>
      </c>
      <c r="Q921" s="297" t="s">
        <v>200</v>
      </c>
      <c r="R921" s="297" t="s">
        <v>213</v>
      </c>
      <c r="S921" s="297" t="s">
        <v>214</v>
      </c>
    </row>
    <row r="922" spans="1:19" x14ac:dyDescent="0.4">
      <c r="A922" s="291"/>
      <c r="B922" s="292"/>
      <c r="C922" s="312"/>
      <c r="D922" s="292"/>
      <c r="E922" s="489"/>
      <c r="F922" s="489"/>
      <c r="G922" s="490"/>
      <c r="H922" s="520"/>
      <c r="I922" s="523"/>
      <c r="J922" s="521"/>
      <c r="K922" s="522"/>
      <c r="M922" s="301" t="str">
        <f>N922&amp;AS[[#This Row],[Insurer Code]]&amp;"; "&amp;O922&amp;AS[[#This Row],[Reporting Year]]&amp;"; "&amp;P922&amp;AS[[#This Row],[Insurance Category Code]]&amp;"; "&amp;Q922&amp;AS[[#This Row],[Large Provider Entity Code]]&amp;"; "&amp;R922&amp;AS[[#This Row],[Age Band Code]]&amp;"; "&amp;S922&amp;AS[[#This Row],[Sex Code]]</f>
        <v xml:space="preserve">Insurer Code ; Reporting Year ; Insurance Category Code ; Large Provider Entity Code ; Age Band Code ; Sex Code </v>
      </c>
      <c r="N922" s="297" t="s">
        <v>197</v>
      </c>
      <c r="O922" s="297" t="s">
        <v>198</v>
      </c>
      <c r="P922" s="297" t="s">
        <v>199</v>
      </c>
      <c r="Q922" s="297" t="s">
        <v>200</v>
      </c>
      <c r="R922" s="297" t="s">
        <v>213</v>
      </c>
      <c r="S922" s="297" t="s">
        <v>214</v>
      </c>
    </row>
    <row r="923" spans="1:19" x14ac:dyDescent="0.4">
      <c r="A923" s="291"/>
      <c r="B923" s="292"/>
      <c r="C923" s="312"/>
      <c r="D923" s="292"/>
      <c r="E923" s="489"/>
      <c r="F923" s="489"/>
      <c r="G923" s="490"/>
      <c r="H923" s="520"/>
      <c r="I923" s="523"/>
      <c r="J923" s="521"/>
      <c r="K923" s="522"/>
      <c r="M923" s="301" t="str">
        <f>N923&amp;AS[[#This Row],[Insurer Code]]&amp;"; "&amp;O923&amp;AS[[#This Row],[Reporting Year]]&amp;"; "&amp;P923&amp;AS[[#This Row],[Insurance Category Code]]&amp;"; "&amp;Q923&amp;AS[[#This Row],[Large Provider Entity Code]]&amp;"; "&amp;R923&amp;AS[[#This Row],[Age Band Code]]&amp;"; "&amp;S923&amp;AS[[#This Row],[Sex Code]]</f>
        <v xml:space="preserve">Insurer Code ; Reporting Year ; Insurance Category Code ; Large Provider Entity Code ; Age Band Code ; Sex Code </v>
      </c>
      <c r="N923" s="297" t="s">
        <v>197</v>
      </c>
      <c r="O923" s="297" t="s">
        <v>198</v>
      </c>
      <c r="P923" s="297" t="s">
        <v>199</v>
      </c>
      <c r="Q923" s="297" t="s">
        <v>200</v>
      </c>
      <c r="R923" s="297" t="s">
        <v>213</v>
      </c>
      <c r="S923" s="297" t="s">
        <v>214</v>
      </c>
    </row>
    <row r="924" spans="1:19" x14ac:dyDescent="0.4">
      <c r="A924" s="291"/>
      <c r="B924" s="292"/>
      <c r="C924" s="312"/>
      <c r="D924" s="292"/>
      <c r="E924" s="489"/>
      <c r="F924" s="489"/>
      <c r="G924" s="490"/>
      <c r="H924" s="520"/>
      <c r="I924" s="523"/>
      <c r="J924" s="521"/>
      <c r="K924" s="522"/>
      <c r="M924" s="301" t="str">
        <f>N924&amp;AS[[#This Row],[Insurer Code]]&amp;"; "&amp;O924&amp;AS[[#This Row],[Reporting Year]]&amp;"; "&amp;P924&amp;AS[[#This Row],[Insurance Category Code]]&amp;"; "&amp;Q924&amp;AS[[#This Row],[Large Provider Entity Code]]&amp;"; "&amp;R924&amp;AS[[#This Row],[Age Band Code]]&amp;"; "&amp;S924&amp;AS[[#This Row],[Sex Code]]</f>
        <v xml:space="preserve">Insurer Code ; Reporting Year ; Insurance Category Code ; Large Provider Entity Code ; Age Band Code ; Sex Code </v>
      </c>
      <c r="N924" s="297" t="s">
        <v>197</v>
      </c>
      <c r="O924" s="297" t="s">
        <v>198</v>
      </c>
      <c r="P924" s="297" t="s">
        <v>199</v>
      </c>
      <c r="Q924" s="297" t="s">
        <v>200</v>
      </c>
      <c r="R924" s="297" t="s">
        <v>213</v>
      </c>
      <c r="S924" s="297" t="s">
        <v>214</v>
      </c>
    </row>
    <row r="925" spans="1:19" x14ac:dyDescent="0.4">
      <c r="A925" s="291"/>
      <c r="B925" s="292"/>
      <c r="C925" s="312"/>
      <c r="D925" s="292"/>
      <c r="E925" s="489"/>
      <c r="F925" s="489"/>
      <c r="G925" s="490"/>
      <c r="H925" s="520"/>
      <c r="I925" s="523"/>
      <c r="J925" s="521"/>
      <c r="K925" s="522"/>
      <c r="M925" s="301" t="str">
        <f>N925&amp;AS[[#This Row],[Insurer Code]]&amp;"; "&amp;O925&amp;AS[[#This Row],[Reporting Year]]&amp;"; "&amp;P925&amp;AS[[#This Row],[Insurance Category Code]]&amp;"; "&amp;Q925&amp;AS[[#This Row],[Large Provider Entity Code]]&amp;"; "&amp;R925&amp;AS[[#This Row],[Age Band Code]]&amp;"; "&amp;S925&amp;AS[[#This Row],[Sex Code]]</f>
        <v xml:space="preserve">Insurer Code ; Reporting Year ; Insurance Category Code ; Large Provider Entity Code ; Age Band Code ; Sex Code </v>
      </c>
      <c r="N925" s="297" t="s">
        <v>197</v>
      </c>
      <c r="O925" s="297" t="s">
        <v>198</v>
      </c>
      <c r="P925" s="297" t="s">
        <v>199</v>
      </c>
      <c r="Q925" s="297" t="s">
        <v>200</v>
      </c>
      <c r="R925" s="297" t="s">
        <v>213</v>
      </c>
      <c r="S925" s="297" t="s">
        <v>214</v>
      </c>
    </row>
    <row r="926" spans="1:19" x14ac:dyDescent="0.4">
      <c r="A926" s="291"/>
      <c r="B926" s="292"/>
      <c r="C926" s="312"/>
      <c r="D926" s="292"/>
      <c r="E926" s="489"/>
      <c r="F926" s="489"/>
      <c r="G926" s="490"/>
      <c r="H926" s="520"/>
      <c r="I926" s="523"/>
      <c r="J926" s="521"/>
      <c r="K926" s="522"/>
      <c r="M926" s="301" t="str">
        <f>N926&amp;AS[[#This Row],[Insurer Code]]&amp;"; "&amp;O926&amp;AS[[#This Row],[Reporting Year]]&amp;"; "&amp;P926&amp;AS[[#This Row],[Insurance Category Code]]&amp;"; "&amp;Q926&amp;AS[[#This Row],[Large Provider Entity Code]]&amp;"; "&amp;R926&amp;AS[[#This Row],[Age Band Code]]&amp;"; "&amp;S926&amp;AS[[#This Row],[Sex Code]]</f>
        <v xml:space="preserve">Insurer Code ; Reporting Year ; Insurance Category Code ; Large Provider Entity Code ; Age Band Code ; Sex Code </v>
      </c>
      <c r="N926" s="297" t="s">
        <v>197</v>
      </c>
      <c r="O926" s="297" t="s">
        <v>198</v>
      </c>
      <c r="P926" s="297" t="s">
        <v>199</v>
      </c>
      <c r="Q926" s="297" t="s">
        <v>200</v>
      </c>
      <c r="R926" s="297" t="s">
        <v>213</v>
      </c>
      <c r="S926" s="297" t="s">
        <v>214</v>
      </c>
    </row>
    <row r="927" spans="1:19" x14ac:dyDescent="0.4">
      <c r="A927" s="291"/>
      <c r="B927" s="292"/>
      <c r="C927" s="312"/>
      <c r="D927" s="292"/>
      <c r="E927" s="489"/>
      <c r="F927" s="489"/>
      <c r="G927" s="490"/>
      <c r="H927" s="520"/>
      <c r="I927" s="523"/>
      <c r="J927" s="521"/>
      <c r="K927" s="522"/>
      <c r="M927" s="301" t="str">
        <f>N927&amp;AS[[#This Row],[Insurer Code]]&amp;"; "&amp;O927&amp;AS[[#This Row],[Reporting Year]]&amp;"; "&amp;P927&amp;AS[[#This Row],[Insurance Category Code]]&amp;"; "&amp;Q927&amp;AS[[#This Row],[Large Provider Entity Code]]&amp;"; "&amp;R927&amp;AS[[#This Row],[Age Band Code]]&amp;"; "&amp;S927&amp;AS[[#This Row],[Sex Code]]</f>
        <v xml:space="preserve">Insurer Code ; Reporting Year ; Insurance Category Code ; Large Provider Entity Code ; Age Band Code ; Sex Code </v>
      </c>
      <c r="N927" s="297" t="s">
        <v>197</v>
      </c>
      <c r="O927" s="297" t="s">
        <v>198</v>
      </c>
      <c r="P927" s="297" t="s">
        <v>199</v>
      </c>
      <c r="Q927" s="297" t="s">
        <v>200</v>
      </c>
      <c r="R927" s="297" t="s">
        <v>213</v>
      </c>
      <c r="S927" s="297" t="s">
        <v>214</v>
      </c>
    </row>
    <row r="928" spans="1:19" x14ac:dyDescent="0.4">
      <c r="A928" s="291"/>
      <c r="B928" s="292"/>
      <c r="C928" s="312"/>
      <c r="D928" s="292"/>
      <c r="E928" s="489"/>
      <c r="F928" s="489"/>
      <c r="G928" s="490"/>
      <c r="H928" s="520"/>
      <c r="I928" s="523"/>
      <c r="J928" s="521"/>
      <c r="K928" s="522"/>
      <c r="M928" s="301" t="str">
        <f>N928&amp;AS[[#This Row],[Insurer Code]]&amp;"; "&amp;O928&amp;AS[[#This Row],[Reporting Year]]&amp;"; "&amp;P928&amp;AS[[#This Row],[Insurance Category Code]]&amp;"; "&amp;Q928&amp;AS[[#This Row],[Large Provider Entity Code]]&amp;"; "&amp;R928&amp;AS[[#This Row],[Age Band Code]]&amp;"; "&amp;S928&amp;AS[[#This Row],[Sex Code]]</f>
        <v xml:space="preserve">Insurer Code ; Reporting Year ; Insurance Category Code ; Large Provider Entity Code ; Age Band Code ; Sex Code </v>
      </c>
      <c r="N928" s="297" t="s">
        <v>197</v>
      </c>
      <c r="O928" s="297" t="s">
        <v>198</v>
      </c>
      <c r="P928" s="297" t="s">
        <v>199</v>
      </c>
      <c r="Q928" s="297" t="s">
        <v>200</v>
      </c>
      <c r="R928" s="297" t="s">
        <v>213</v>
      </c>
      <c r="S928" s="297" t="s">
        <v>214</v>
      </c>
    </row>
    <row r="929" spans="1:19" x14ac:dyDescent="0.4">
      <c r="A929" s="291"/>
      <c r="B929" s="292"/>
      <c r="C929" s="312"/>
      <c r="D929" s="292"/>
      <c r="E929" s="489"/>
      <c r="F929" s="489"/>
      <c r="G929" s="490"/>
      <c r="H929" s="520"/>
      <c r="I929" s="523"/>
      <c r="J929" s="521"/>
      <c r="K929" s="522"/>
      <c r="M929" s="301" t="str">
        <f>N929&amp;AS[[#This Row],[Insurer Code]]&amp;"; "&amp;O929&amp;AS[[#This Row],[Reporting Year]]&amp;"; "&amp;P929&amp;AS[[#This Row],[Insurance Category Code]]&amp;"; "&amp;Q929&amp;AS[[#This Row],[Large Provider Entity Code]]&amp;"; "&amp;R929&amp;AS[[#This Row],[Age Band Code]]&amp;"; "&amp;S929&amp;AS[[#This Row],[Sex Code]]</f>
        <v xml:space="preserve">Insurer Code ; Reporting Year ; Insurance Category Code ; Large Provider Entity Code ; Age Band Code ; Sex Code </v>
      </c>
      <c r="N929" s="297" t="s">
        <v>197</v>
      </c>
      <c r="O929" s="297" t="s">
        <v>198</v>
      </c>
      <c r="P929" s="297" t="s">
        <v>199</v>
      </c>
      <c r="Q929" s="297" t="s">
        <v>200</v>
      </c>
      <c r="R929" s="297" t="s">
        <v>213</v>
      </c>
      <c r="S929" s="297" t="s">
        <v>214</v>
      </c>
    </row>
    <row r="930" spans="1:19" x14ac:dyDescent="0.4">
      <c r="A930" s="291"/>
      <c r="B930" s="292"/>
      <c r="C930" s="312"/>
      <c r="D930" s="292"/>
      <c r="E930" s="489"/>
      <c r="F930" s="489"/>
      <c r="G930" s="490"/>
      <c r="H930" s="520"/>
      <c r="I930" s="523"/>
      <c r="J930" s="521"/>
      <c r="K930" s="522"/>
      <c r="M930" s="301" t="str">
        <f>N930&amp;AS[[#This Row],[Insurer Code]]&amp;"; "&amp;O930&amp;AS[[#This Row],[Reporting Year]]&amp;"; "&amp;P930&amp;AS[[#This Row],[Insurance Category Code]]&amp;"; "&amp;Q930&amp;AS[[#This Row],[Large Provider Entity Code]]&amp;"; "&amp;R930&amp;AS[[#This Row],[Age Band Code]]&amp;"; "&amp;S930&amp;AS[[#This Row],[Sex Code]]</f>
        <v xml:space="preserve">Insurer Code ; Reporting Year ; Insurance Category Code ; Large Provider Entity Code ; Age Band Code ; Sex Code </v>
      </c>
      <c r="N930" s="297" t="s">
        <v>197</v>
      </c>
      <c r="O930" s="297" t="s">
        <v>198</v>
      </c>
      <c r="P930" s="297" t="s">
        <v>199</v>
      </c>
      <c r="Q930" s="297" t="s">
        <v>200</v>
      </c>
      <c r="R930" s="297" t="s">
        <v>213</v>
      </c>
      <c r="S930" s="297" t="s">
        <v>214</v>
      </c>
    </row>
    <row r="931" spans="1:19" x14ac:dyDescent="0.4">
      <c r="A931" s="291"/>
      <c r="B931" s="292"/>
      <c r="C931" s="312"/>
      <c r="D931" s="292"/>
      <c r="E931" s="489"/>
      <c r="F931" s="489"/>
      <c r="G931" s="490"/>
      <c r="H931" s="520"/>
      <c r="I931" s="523"/>
      <c r="J931" s="521"/>
      <c r="K931" s="522"/>
      <c r="M931" s="301" t="str">
        <f>N931&amp;AS[[#This Row],[Insurer Code]]&amp;"; "&amp;O931&amp;AS[[#This Row],[Reporting Year]]&amp;"; "&amp;P931&amp;AS[[#This Row],[Insurance Category Code]]&amp;"; "&amp;Q931&amp;AS[[#This Row],[Large Provider Entity Code]]&amp;"; "&amp;R931&amp;AS[[#This Row],[Age Band Code]]&amp;"; "&amp;S931&amp;AS[[#This Row],[Sex Code]]</f>
        <v xml:space="preserve">Insurer Code ; Reporting Year ; Insurance Category Code ; Large Provider Entity Code ; Age Band Code ; Sex Code </v>
      </c>
      <c r="N931" s="297" t="s">
        <v>197</v>
      </c>
      <c r="O931" s="297" t="s">
        <v>198</v>
      </c>
      <c r="P931" s="297" t="s">
        <v>199</v>
      </c>
      <c r="Q931" s="297" t="s">
        <v>200</v>
      </c>
      <c r="R931" s="297" t="s">
        <v>213</v>
      </c>
      <c r="S931" s="297" t="s">
        <v>214</v>
      </c>
    </row>
    <row r="932" spans="1:19" x14ac:dyDescent="0.4">
      <c r="A932" s="291"/>
      <c r="B932" s="292"/>
      <c r="C932" s="312"/>
      <c r="D932" s="292"/>
      <c r="E932" s="489"/>
      <c r="F932" s="489"/>
      <c r="G932" s="490"/>
      <c r="H932" s="520"/>
      <c r="I932" s="523"/>
      <c r="J932" s="521"/>
      <c r="K932" s="522"/>
      <c r="M932" s="301" t="str">
        <f>N932&amp;AS[[#This Row],[Insurer Code]]&amp;"; "&amp;O932&amp;AS[[#This Row],[Reporting Year]]&amp;"; "&amp;P932&amp;AS[[#This Row],[Insurance Category Code]]&amp;"; "&amp;Q932&amp;AS[[#This Row],[Large Provider Entity Code]]&amp;"; "&amp;R932&amp;AS[[#This Row],[Age Band Code]]&amp;"; "&amp;S932&amp;AS[[#This Row],[Sex Code]]</f>
        <v xml:space="preserve">Insurer Code ; Reporting Year ; Insurance Category Code ; Large Provider Entity Code ; Age Band Code ; Sex Code </v>
      </c>
      <c r="N932" s="297" t="s">
        <v>197</v>
      </c>
      <c r="O932" s="297" t="s">
        <v>198</v>
      </c>
      <c r="P932" s="297" t="s">
        <v>199</v>
      </c>
      <c r="Q932" s="297" t="s">
        <v>200</v>
      </c>
      <c r="R932" s="297" t="s">
        <v>213</v>
      </c>
      <c r="S932" s="297" t="s">
        <v>214</v>
      </c>
    </row>
    <row r="933" spans="1:19" x14ac:dyDescent="0.4">
      <c r="A933" s="291"/>
      <c r="B933" s="292"/>
      <c r="C933" s="312"/>
      <c r="D933" s="292"/>
      <c r="E933" s="489"/>
      <c r="F933" s="489"/>
      <c r="G933" s="490"/>
      <c r="H933" s="520"/>
      <c r="I933" s="523"/>
      <c r="J933" s="521"/>
      <c r="K933" s="522"/>
      <c r="M933" s="301" t="str">
        <f>N933&amp;AS[[#This Row],[Insurer Code]]&amp;"; "&amp;O933&amp;AS[[#This Row],[Reporting Year]]&amp;"; "&amp;P933&amp;AS[[#This Row],[Insurance Category Code]]&amp;"; "&amp;Q933&amp;AS[[#This Row],[Large Provider Entity Code]]&amp;"; "&amp;R933&amp;AS[[#This Row],[Age Band Code]]&amp;"; "&amp;S933&amp;AS[[#This Row],[Sex Code]]</f>
        <v xml:space="preserve">Insurer Code ; Reporting Year ; Insurance Category Code ; Large Provider Entity Code ; Age Band Code ; Sex Code </v>
      </c>
      <c r="N933" s="297" t="s">
        <v>197</v>
      </c>
      <c r="O933" s="297" t="s">
        <v>198</v>
      </c>
      <c r="P933" s="297" t="s">
        <v>199</v>
      </c>
      <c r="Q933" s="297" t="s">
        <v>200</v>
      </c>
      <c r="R933" s="297" t="s">
        <v>213</v>
      </c>
      <c r="S933" s="297" t="s">
        <v>214</v>
      </c>
    </row>
    <row r="934" spans="1:19" x14ac:dyDescent="0.4">
      <c r="A934" s="291"/>
      <c r="B934" s="292"/>
      <c r="C934" s="312"/>
      <c r="D934" s="292"/>
      <c r="E934" s="489"/>
      <c r="F934" s="489"/>
      <c r="G934" s="490"/>
      <c r="H934" s="520"/>
      <c r="I934" s="523"/>
      <c r="J934" s="521"/>
      <c r="K934" s="522"/>
      <c r="M934" s="301" t="str">
        <f>N934&amp;AS[[#This Row],[Insurer Code]]&amp;"; "&amp;O934&amp;AS[[#This Row],[Reporting Year]]&amp;"; "&amp;P934&amp;AS[[#This Row],[Insurance Category Code]]&amp;"; "&amp;Q934&amp;AS[[#This Row],[Large Provider Entity Code]]&amp;"; "&amp;R934&amp;AS[[#This Row],[Age Band Code]]&amp;"; "&amp;S934&amp;AS[[#This Row],[Sex Code]]</f>
        <v xml:space="preserve">Insurer Code ; Reporting Year ; Insurance Category Code ; Large Provider Entity Code ; Age Band Code ; Sex Code </v>
      </c>
      <c r="N934" s="297" t="s">
        <v>197</v>
      </c>
      <c r="O934" s="297" t="s">
        <v>198</v>
      </c>
      <c r="P934" s="297" t="s">
        <v>199</v>
      </c>
      <c r="Q934" s="297" t="s">
        <v>200</v>
      </c>
      <c r="R934" s="297" t="s">
        <v>213</v>
      </c>
      <c r="S934" s="297" t="s">
        <v>214</v>
      </c>
    </row>
    <row r="935" spans="1:19" x14ac:dyDescent="0.4">
      <c r="A935" s="291"/>
      <c r="B935" s="292"/>
      <c r="C935" s="312"/>
      <c r="D935" s="292"/>
      <c r="E935" s="489"/>
      <c r="F935" s="489"/>
      <c r="G935" s="490"/>
      <c r="H935" s="520"/>
      <c r="I935" s="523"/>
      <c r="J935" s="521"/>
      <c r="K935" s="522"/>
      <c r="M935" s="301" t="str">
        <f>N935&amp;AS[[#This Row],[Insurer Code]]&amp;"; "&amp;O935&amp;AS[[#This Row],[Reporting Year]]&amp;"; "&amp;P935&amp;AS[[#This Row],[Insurance Category Code]]&amp;"; "&amp;Q935&amp;AS[[#This Row],[Large Provider Entity Code]]&amp;"; "&amp;R935&amp;AS[[#This Row],[Age Band Code]]&amp;"; "&amp;S935&amp;AS[[#This Row],[Sex Code]]</f>
        <v xml:space="preserve">Insurer Code ; Reporting Year ; Insurance Category Code ; Large Provider Entity Code ; Age Band Code ; Sex Code </v>
      </c>
      <c r="N935" s="297" t="s">
        <v>197</v>
      </c>
      <c r="O935" s="297" t="s">
        <v>198</v>
      </c>
      <c r="P935" s="297" t="s">
        <v>199</v>
      </c>
      <c r="Q935" s="297" t="s">
        <v>200</v>
      </c>
      <c r="R935" s="297" t="s">
        <v>213</v>
      </c>
      <c r="S935" s="297" t="s">
        <v>214</v>
      </c>
    </row>
    <row r="936" spans="1:19" x14ac:dyDescent="0.4">
      <c r="A936" s="291"/>
      <c r="B936" s="292"/>
      <c r="C936" s="312"/>
      <c r="D936" s="292"/>
      <c r="E936" s="489"/>
      <c r="F936" s="489"/>
      <c r="G936" s="490"/>
      <c r="H936" s="520"/>
      <c r="I936" s="523"/>
      <c r="J936" s="521"/>
      <c r="K936" s="522"/>
      <c r="M936" s="301" t="str">
        <f>N936&amp;AS[[#This Row],[Insurer Code]]&amp;"; "&amp;O936&amp;AS[[#This Row],[Reporting Year]]&amp;"; "&amp;P936&amp;AS[[#This Row],[Insurance Category Code]]&amp;"; "&amp;Q936&amp;AS[[#This Row],[Large Provider Entity Code]]&amp;"; "&amp;R936&amp;AS[[#This Row],[Age Band Code]]&amp;"; "&amp;S936&amp;AS[[#This Row],[Sex Code]]</f>
        <v xml:space="preserve">Insurer Code ; Reporting Year ; Insurance Category Code ; Large Provider Entity Code ; Age Band Code ; Sex Code </v>
      </c>
      <c r="N936" s="297" t="s">
        <v>197</v>
      </c>
      <c r="O936" s="297" t="s">
        <v>198</v>
      </c>
      <c r="P936" s="297" t="s">
        <v>199</v>
      </c>
      <c r="Q936" s="297" t="s">
        <v>200</v>
      </c>
      <c r="R936" s="297" t="s">
        <v>213</v>
      </c>
      <c r="S936" s="297" t="s">
        <v>214</v>
      </c>
    </row>
    <row r="937" spans="1:19" x14ac:dyDescent="0.4">
      <c r="A937" s="291"/>
      <c r="B937" s="292"/>
      <c r="C937" s="312"/>
      <c r="D937" s="292"/>
      <c r="E937" s="489"/>
      <c r="F937" s="489"/>
      <c r="G937" s="490"/>
      <c r="H937" s="520"/>
      <c r="I937" s="523"/>
      <c r="J937" s="521"/>
      <c r="K937" s="522"/>
      <c r="M937" s="301" t="str">
        <f>N937&amp;AS[[#This Row],[Insurer Code]]&amp;"; "&amp;O937&amp;AS[[#This Row],[Reporting Year]]&amp;"; "&amp;P937&amp;AS[[#This Row],[Insurance Category Code]]&amp;"; "&amp;Q937&amp;AS[[#This Row],[Large Provider Entity Code]]&amp;"; "&amp;R937&amp;AS[[#This Row],[Age Band Code]]&amp;"; "&amp;S937&amp;AS[[#This Row],[Sex Code]]</f>
        <v xml:space="preserve">Insurer Code ; Reporting Year ; Insurance Category Code ; Large Provider Entity Code ; Age Band Code ; Sex Code </v>
      </c>
      <c r="N937" s="297" t="s">
        <v>197</v>
      </c>
      <c r="O937" s="297" t="s">
        <v>198</v>
      </c>
      <c r="P937" s="297" t="s">
        <v>199</v>
      </c>
      <c r="Q937" s="297" t="s">
        <v>200</v>
      </c>
      <c r="R937" s="297" t="s">
        <v>213</v>
      </c>
      <c r="S937" s="297" t="s">
        <v>214</v>
      </c>
    </row>
    <row r="938" spans="1:19" x14ac:dyDescent="0.4">
      <c r="A938" s="291"/>
      <c r="B938" s="292"/>
      <c r="C938" s="312"/>
      <c r="D938" s="292"/>
      <c r="E938" s="489"/>
      <c r="F938" s="489"/>
      <c r="G938" s="490"/>
      <c r="H938" s="520"/>
      <c r="I938" s="523"/>
      <c r="J938" s="521"/>
      <c r="K938" s="522"/>
      <c r="M938" s="301" t="str">
        <f>N938&amp;AS[[#This Row],[Insurer Code]]&amp;"; "&amp;O938&amp;AS[[#This Row],[Reporting Year]]&amp;"; "&amp;P938&amp;AS[[#This Row],[Insurance Category Code]]&amp;"; "&amp;Q938&amp;AS[[#This Row],[Large Provider Entity Code]]&amp;"; "&amp;R938&amp;AS[[#This Row],[Age Band Code]]&amp;"; "&amp;S938&amp;AS[[#This Row],[Sex Code]]</f>
        <v xml:space="preserve">Insurer Code ; Reporting Year ; Insurance Category Code ; Large Provider Entity Code ; Age Band Code ; Sex Code </v>
      </c>
      <c r="N938" s="297" t="s">
        <v>197</v>
      </c>
      <c r="O938" s="297" t="s">
        <v>198</v>
      </c>
      <c r="P938" s="297" t="s">
        <v>199</v>
      </c>
      <c r="Q938" s="297" t="s">
        <v>200</v>
      </c>
      <c r="R938" s="297" t="s">
        <v>213</v>
      </c>
      <c r="S938" s="297" t="s">
        <v>214</v>
      </c>
    </row>
    <row r="939" spans="1:19" x14ac:dyDescent="0.4">
      <c r="A939" s="291"/>
      <c r="B939" s="292"/>
      <c r="C939" s="312"/>
      <c r="D939" s="292"/>
      <c r="E939" s="489"/>
      <c r="F939" s="489"/>
      <c r="G939" s="490"/>
      <c r="H939" s="520"/>
      <c r="I939" s="523"/>
      <c r="J939" s="521"/>
      <c r="K939" s="522"/>
      <c r="M939" s="301" t="str">
        <f>N939&amp;AS[[#This Row],[Insurer Code]]&amp;"; "&amp;O939&amp;AS[[#This Row],[Reporting Year]]&amp;"; "&amp;P939&amp;AS[[#This Row],[Insurance Category Code]]&amp;"; "&amp;Q939&amp;AS[[#This Row],[Large Provider Entity Code]]&amp;"; "&amp;R939&amp;AS[[#This Row],[Age Band Code]]&amp;"; "&amp;S939&amp;AS[[#This Row],[Sex Code]]</f>
        <v xml:space="preserve">Insurer Code ; Reporting Year ; Insurance Category Code ; Large Provider Entity Code ; Age Band Code ; Sex Code </v>
      </c>
      <c r="N939" s="297" t="s">
        <v>197</v>
      </c>
      <c r="O939" s="297" t="s">
        <v>198</v>
      </c>
      <c r="P939" s="297" t="s">
        <v>199</v>
      </c>
      <c r="Q939" s="297" t="s">
        <v>200</v>
      </c>
      <c r="R939" s="297" t="s">
        <v>213</v>
      </c>
      <c r="S939" s="297" t="s">
        <v>214</v>
      </c>
    </row>
    <row r="940" spans="1:19" x14ac:dyDescent="0.4">
      <c r="A940" s="291"/>
      <c r="B940" s="292"/>
      <c r="C940" s="312"/>
      <c r="D940" s="292"/>
      <c r="E940" s="489"/>
      <c r="F940" s="489"/>
      <c r="G940" s="490"/>
      <c r="H940" s="520"/>
      <c r="I940" s="523"/>
      <c r="J940" s="521"/>
      <c r="K940" s="522"/>
      <c r="M940" s="301" t="str">
        <f>N940&amp;AS[[#This Row],[Insurer Code]]&amp;"; "&amp;O940&amp;AS[[#This Row],[Reporting Year]]&amp;"; "&amp;P940&amp;AS[[#This Row],[Insurance Category Code]]&amp;"; "&amp;Q940&amp;AS[[#This Row],[Large Provider Entity Code]]&amp;"; "&amp;R940&amp;AS[[#This Row],[Age Band Code]]&amp;"; "&amp;S940&amp;AS[[#This Row],[Sex Code]]</f>
        <v xml:space="preserve">Insurer Code ; Reporting Year ; Insurance Category Code ; Large Provider Entity Code ; Age Band Code ; Sex Code </v>
      </c>
      <c r="N940" s="297" t="s">
        <v>197</v>
      </c>
      <c r="O940" s="297" t="s">
        <v>198</v>
      </c>
      <c r="P940" s="297" t="s">
        <v>199</v>
      </c>
      <c r="Q940" s="297" t="s">
        <v>200</v>
      </c>
      <c r="R940" s="297" t="s">
        <v>213</v>
      </c>
      <c r="S940" s="297" t="s">
        <v>214</v>
      </c>
    </row>
    <row r="941" spans="1:19" x14ac:dyDescent="0.4">
      <c r="A941" s="291"/>
      <c r="B941" s="292"/>
      <c r="C941" s="312"/>
      <c r="D941" s="292"/>
      <c r="E941" s="489"/>
      <c r="F941" s="489"/>
      <c r="G941" s="490"/>
      <c r="H941" s="520"/>
      <c r="I941" s="523"/>
      <c r="J941" s="521"/>
      <c r="K941" s="522"/>
      <c r="M941" s="301" t="str">
        <f>N941&amp;AS[[#This Row],[Insurer Code]]&amp;"; "&amp;O941&amp;AS[[#This Row],[Reporting Year]]&amp;"; "&amp;P941&amp;AS[[#This Row],[Insurance Category Code]]&amp;"; "&amp;Q941&amp;AS[[#This Row],[Large Provider Entity Code]]&amp;"; "&amp;R941&amp;AS[[#This Row],[Age Band Code]]&amp;"; "&amp;S941&amp;AS[[#This Row],[Sex Code]]</f>
        <v xml:space="preserve">Insurer Code ; Reporting Year ; Insurance Category Code ; Large Provider Entity Code ; Age Band Code ; Sex Code </v>
      </c>
      <c r="N941" s="297" t="s">
        <v>197</v>
      </c>
      <c r="O941" s="297" t="s">
        <v>198</v>
      </c>
      <c r="P941" s="297" t="s">
        <v>199</v>
      </c>
      <c r="Q941" s="297" t="s">
        <v>200</v>
      </c>
      <c r="R941" s="297" t="s">
        <v>213</v>
      </c>
      <c r="S941" s="297" t="s">
        <v>214</v>
      </c>
    </row>
    <row r="942" spans="1:19" x14ac:dyDescent="0.4">
      <c r="A942" s="291"/>
      <c r="B942" s="292"/>
      <c r="C942" s="312"/>
      <c r="D942" s="292"/>
      <c r="E942" s="489"/>
      <c r="F942" s="489"/>
      <c r="G942" s="490"/>
      <c r="H942" s="520"/>
      <c r="I942" s="523"/>
      <c r="J942" s="521"/>
      <c r="K942" s="522"/>
      <c r="M942" s="301" t="str">
        <f>N942&amp;AS[[#This Row],[Insurer Code]]&amp;"; "&amp;O942&amp;AS[[#This Row],[Reporting Year]]&amp;"; "&amp;P942&amp;AS[[#This Row],[Insurance Category Code]]&amp;"; "&amp;Q942&amp;AS[[#This Row],[Large Provider Entity Code]]&amp;"; "&amp;R942&amp;AS[[#This Row],[Age Band Code]]&amp;"; "&amp;S942&amp;AS[[#This Row],[Sex Code]]</f>
        <v xml:space="preserve">Insurer Code ; Reporting Year ; Insurance Category Code ; Large Provider Entity Code ; Age Band Code ; Sex Code </v>
      </c>
      <c r="N942" s="297" t="s">
        <v>197</v>
      </c>
      <c r="O942" s="297" t="s">
        <v>198</v>
      </c>
      <c r="P942" s="297" t="s">
        <v>199</v>
      </c>
      <c r="Q942" s="297" t="s">
        <v>200</v>
      </c>
      <c r="R942" s="297" t="s">
        <v>213</v>
      </c>
      <c r="S942" s="297" t="s">
        <v>214</v>
      </c>
    </row>
    <row r="943" spans="1:19" x14ac:dyDescent="0.4">
      <c r="A943" s="291"/>
      <c r="B943" s="292"/>
      <c r="C943" s="312"/>
      <c r="D943" s="292"/>
      <c r="E943" s="489"/>
      <c r="F943" s="489"/>
      <c r="G943" s="490"/>
      <c r="H943" s="520"/>
      <c r="I943" s="523"/>
      <c r="J943" s="521"/>
      <c r="K943" s="522"/>
      <c r="M943" s="301" t="str">
        <f>N943&amp;AS[[#This Row],[Insurer Code]]&amp;"; "&amp;O943&amp;AS[[#This Row],[Reporting Year]]&amp;"; "&amp;P943&amp;AS[[#This Row],[Insurance Category Code]]&amp;"; "&amp;Q943&amp;AS[[#This Row],[Large Provider Entity Code]]&amp;"; "&amp;R943&amp;AS[[#This Row],[Age Band Code]]&amp;"; "&amp;S943&amp;AS[[#This Row],[Sex Code]]</f>
        <v xml:space="preserve">Insurer Code ; Reporting Year ; Insurance Category Code ; Large Provider Entity Code ; Age Band Code ; Sex Code </v>
      </c>
      <c r="N943" s="297" t="s">
        <v>197</v>
      </c>
      <c r="O943" s="297" t="s">
        <v>198</v>
      </c>
      <c r="P943" s="297" t="s">
        <v>199</v>
      </c>
      <c r="Q943" s="297" t="s">
        <v>200</v>
      </c>
      <c r="R943" s="297" t="s">
        <v>213</v>
      </c>
      <c r="S943" s="297" t="s">
        <v>214</v>
      </c>
    </row>
    <row r="944" spans="1:19" x14ac:dyDescent="0.4">
      <c r="A944" s="291"/>
      <c r="B944" s="292"/>
      <c r="C944" s="312"/>
      <c r="D944" s="292"/>
      <c r="E944" s="489"/>
      <c r="F944" s="489"/>
      <c r="G944" s="490"/>
      <c r="H944" s="520"/>
      <c r="I944" s="523"/>
      <c r="J944" s="521"/>
      <c r="K944" s="522"/>
      <c r="M944" s="301" t="str">
        <f>N944&amp;AS[[#This Row],[Insurer Code]]&amp;"; "&amp;O944&amp;AS[[#This Row],[Reporting Year]]&amp;"; "&amp;P944&amp;AS[[#This Row],[Insurance Category Code]]&amp;"; "&amp;Q944&amp;AS[[#This Row],[Large Provider Entity Code]]&amp;"; "&amp;R944&amp;AS[[#This Row],[Age Band Code]]&amp;"; "&amp;S944&amp;AS[[#This Row],[Sex Code]]</f>
        <v xml:space="preserve">Insurer Code ; Reporting Year ; Insurance Category Code ; Large Provider Entity Code ; Age Band Code ; Sex Code </v>
      </c>
      <c r="N944" s="297" t="s">
        <v>197</v>
      </c>
      <c r="O944" s="297" t="s">
        <v>198</v>
      </c>
      <c r="P944" s="297" t="s">
        <v>199</v>
      </c>
      <c r="Q944" s="297" t="s">
        <v>200</v>
      </c>
      <c r="R944" s="297" t="s">
        <v>213</v>
      </c>
      <c r="S944" s="297" t="s">
        <v>214</v>
      </c>
    </row>
    <row r="945" spans="1:19" x14ac:dyDescent="0.4">
      <c r="A945" s="291"/>
      <c r="B945" s="292"/>
      <c r="C945" s="312"/>
      <c r="D945" s="292"/>
      <c r="E945" s="489"/>
      <c r="F945" s="489"/>
      <c r="G945" s="490"/>
      <c r="H945" s="520"/>
      <c r="I945" s="523"/>
      <c r="J945" s="521"/>
      <c r="K945" s="522"/>
      <c r="M945" s="301" t="str">
        <f>N945&amp;AS[[#This Row],[Insurer Code]]&amp;"; "&amp;O945&amp;AS[[#This Row],[Reporting Year]]&amp;"; "&amp;P945&amp;AS[[#This Row],[Insurance Category Code]]&amp;"; "&amp;Q945&amp;AS[[#This Row],[Large Provider Entity Code]]&amp;"; "&amp;R945&amp;AS[[#This Row],[Age Band Code]]&amp;"; "&amp;S945&amp;AS[[#This Row],[Sex Code]]</f>
        <v xml:space="preserve">Insurer Code ; Reporting Year ; Insurance Category Code ; Large Provider Entity Code ; Age Band Code ; Sex Code </v>
      </c>
      <c r="N945" s="297" t="s">
        <v>197</v>
      </c>
      <c r="O945" s="297" t="s">
        <v>198</v>
      </c>
      <c r="P945" s="297" t="s">
        <v>199</v>
      </c>
      <c r="Q945" s="297" t="s">
        <v>200</v>
      </c>
      <c r="R945" s="297" t="s">
        <v>213</v>
      </c>
      <c r="S945" s="297" t="s">
        <v>214</v>
      </c>
    </row>
    <row r="946" spans="1:19" x14ac:dyDescent="0.4">
      <c r="A946" s="291"/>
      <c r="B946" s="292"/>
      <c r="C946" s="312"/>
      <c r="D946" s="292"/>
      <c r="E946" s="489"/>
      <c r="F946" s="489"/>
      <c r="G946" s="490"/>
      <c r="H946" s="520"/>
      <c r="I946" s="523"/>
      <c r="J946" s="521"/>
      <c r="K946" s="522"/>
      <c r="M946" s="301" t="str">
        <f>N946&amp;AS[[#This Row],[Insurer Code]]&amp;"; "&amp;O946&amp;AS[[#This Row],[Reporting Year]]&amp;"; "&amp;P946&amp;AS[[#This Row],[Insurance Category Code]]&amp;"; "&amp;Q946&amp;AS[[#This Row],[Large Provider Entity Code]]&amp;"; "&amp;R946&amp;AS[[#This Row],[Age Band Code]]&amp;"; "&amp;S946&amp;AS[[#This Row],[Sex Code]]</f>
        <v xml:space="preserve">Insurer Code ; Reporting Year ; Insurance Category Code ; Large Provider Entity Code ; Age Band Code ; Sex Code </v>
      </c>
      <c r="N946" s="297" t="s">
        <v>197</v>
      </c>
      <c r="O946" s="297" t="s">
        <v>198</v>
      </c>
      <c r="P946" s="297" t="s">
        <v>199</v>
      </c>
      <c r="Q946" s="297" t="s">
        <v>200</v>
      </c>
      <c r="R946" s="297" t="s">
        <v>213</v>
      </c>
      <c r="S946" s="297" t="s">
        <v>214</v>
      </c>
    </row>
    <row r="947" spans="1:19" x14ac:dyDescent="0.4">
      <c r="A947" s="291"/>
      <c r="B947" s="292"/>
      <c r="C947" s="312"/>
      <c r="D947" s="292"/>
      <c r="E947" s="489"/>
      <c r="F947" s="489"/>
      <c r="G947" s="490"/>
      <c r="H947" s="520"/>
      <c r="I947" s="523"/>
      <c r="J947" s="521"/>
      <c r="K947" s="522"/>
      <c r="M947" s="301" t="str">
        <f>N947&amp;AS[[#This Row],[Insurer Code]]&amp;"; "&amp;O947&amp;AS[[#This Row],[Reporting Year]]&amp;"; "&amp;P947&amp;AS[[#This Row],[Insurance Category Code]]&amp;"; "&amp;Q947&amp;AS[[#This Row],[Large Provider Entity Code]]&amp;"; "&amp;R947&amp;AS[[#This Row],[Age Band Code]]&amp;"; "&amp;S947&amp;AS[[#This Row],[Sex Code]]</f>
        <v xml:space="preserve">Insurer Code ; Reporting Year ; Insurance Category Code ; Large Provider Entity Code ; Age Band Code ; Sex Code </v>
      </c>
      <c r="N947" s="297" t="s">
        <v>197</v>
      </c>
      <c r="O947" s="297" t="s">
        <v>198</v>
      </c>
      <c r="P947" s="297" t="s">
        <v>199</v>
      </c>
      <c r="Q947" s="297" t="s">
        <v>200</v>
      </c>
      <c r="R947" s="297" t="s">
        <v>213</v>
      </c>
      <c r="S947" s="297" t="s">
        <v>214</v>
      </c>
    </row>
    <row r="948" spans="1:19" x14ac:dyDescent="0.4">
      <c r="A948" s="291"/>
      <c r="B948" s="292"/>
      <c r="C948" s="312"/>
      <c r="D948" s="292"/>
      <c r="E948" s="489"/>
      <c r="F948" s="489"/>
      <c r="G948" s="490"/>
      <c r="H948" s="520"/>
      <c r="I948" s="523"/>
      <c r="J948" s="521"/>
      <c r="K948" s="522"/>
      <c r="M948" s="301" t="str">
        <f>N948&amp;AS[[#This Row],[Insurer Code]]&amp;"; "&amp;O948&amp;AS[[#This Row],[Reporting Year]]&amp;"; "&amp;P948&amp;AS[[#This Row],[Insurance Category Code]]&amp;"; "&amp;Q948&amp;AS[[#This Row],[Large Provider Entity Code]]&amp;"; "&amp;R948&amp;AS[[#This Row],[Age Band Code]]&amp;"; "&amp;S948&amp;AS[[#This Row],[Sex Code]]</f>
        <v xml:space="preserve">Insurer Code ; Reporting Year ; Insurance Category Code ; Large Provider Entity Code ; Age Band Code ; Sex Code </v>
      </c>
      <c r="N948" s="297" t="s">
        <v>197</v>
      </c>
      <c r="O948" s="297" t="s">
        <v>198</v>
      </c>
      <c r="P948" s="297" t="s">
        <v>199</v>
      </c>
      <c r="Q948" s="297" t="s">
        <v>200</v>
      </c>
      <c r="R948" s="297" t="s">
        <v>213</v>
      </c>
      <c r="S948" s="297" t="s">
        <v>214</v>
      </c>
    </row>
    <row r="949" spans="1:19" x14ac:dyDescent="0.4">
      <c r="A949" s="291"/>
      <c r="B949" s="292"/>
      <c r="C949" s="312"/>
      <c r="D949" s="292"/>
      <c r="E949" s="489"/>
      <c r="F949" s="489"/>
      <c r="G949" s="490"/>
      <c r="H949" s="520"/>
      <c r="I949" s="523"/>
      <c r="J949" s="521"/>
      <c r="K949" s="522"/>
      <c r="M949" s="301" t="str">
        <f>N949&amp;AS[[#This Row],[Insurer Code]]&amp;"; "&amp;O949&amp;AS[[#This Row],[Reporting Year]]&amp;"; "&amp;P949&amp;AS[[#This Row],[Insurance Category Code]]&amp;"; "&amp;Q949&amp;AS[[#This Row],[Large Provider Entity Code]]&amp;"; "&amp;R949&amp;AS[[#This Row],[Age Band Code]]&amp;"; "&amp;S949&amp;AS[[#This Row],[Sex Code]]</f>
        <v xml:space="preserve">Insurer Code ; Reporting Year ; Insurance Category Code ; Large Provider Entity Code ; Age Band Code ; Sex Code </v>
      </c>
      <c r="N949" s="297" t="s">
        <v>197</v>
      </c>
      <c r="O949" s="297" t="s">
        <v>198</v>
      </c>
      <c r="P949" s="297" t="s">
        <v>199</v>
      </c>
      <c r="Q949" s="297" t="s">
        <v>200</v>
      </c>
      <c r="R949" s="297" t="s">
        <v>213</v>
      </c>
      <c r="S949" s="297" t="s">
        <v>214</v>
      </c>
    </row>
    <row r="950" spans="1:19" x14ac:dyDescent="0.4">
      <c r="A950" s="291"/>
      <c r="B950" s="292"/>
      <c r="C950" s="312"/>
      <c r="D950" s="292"/>
      <c r="E950" s="489"/>
      <c r="F950" s="489"/>
      <c r="G950" s="490"/>
      <c r="H950" s="520"/>
      <c r="I950" s="523"/>
      <c r="J950" s="521"/>
      <c r="K950" s="522"/>
      <c r="M950" s="301" t="str">
        <f>N950&amp;AS[[#This Row],[Insurer Code]]&amp;"; "&amp;O950&amp;AS[[#This Row],[Reporting Year]]&amp;"; "&amp;P950&amp;AS[[#This Row],[Insurance Category Code]]&amp;"; "&amp;Q950&amp;AS[[#This Row],[Large Provider Entity Code]]&amp;"; "&amp;R950&amp;AS[[#This Row],[Age Band Code]]&amp;"; "&amp;S950&amp;AS[[#This Row],[Sex Code]]</f>
        <v xml:space="preserve">Insurer Code ; Reporting Year ; Insurance Category Code ; Large Provider Entity Code ; Age Band Code ; Sex Code </v>
      </c>
      <c r="N950" s="297" t="s">
        <v>197</v>
      </c>
      <c r="O950" s="297" t="s">
        <v>198</v>
      </c>
      <c r="P950" s="297" t="s">
        <v>199</v>
      </c>
      <c r="Q950" s="297" t="s">
        <v>200</v>
      </c>
      <c r="R950" s="297" t="s">
        <v>213</v>
      </c>
      <c r="S950" s="297" t="s">
        <v>214</v>
      </c>
    </row>
    <row r="951" spans="1:19" x14ac:dyDescent="0.4">
      <c r="A951" s="291"/>
      <c r="B951" s="292"/>
      <c r="C951" s="312"/>
      <c r="D951" s="292"/>
      <c r="E951" s="489"/>
      <c r="F951" s="489"/>
      <c r="G951" s="490"/>
      <c r="H951" s="520"/>
      <c r="I951" s="523"/>
      <c r="J951" s="521"/>
      <c r="K951" s="522"/>
      <c r="M951" s="301" t="str">
        <f>N951&amp;AS[[#This Row],[Insurer Code]]&amp;"; "&amp;O951&amp;AS[[#This Row],[Reporting Year]]&amp;"; "&amp;P951&amp;AS[[#This Row],[Insurance Category Code]]&amp;"; "&amp;Q951&amp;AS[[#This Row],[Large Provider Entity Code]]&amp;"; "&amp;R951&amp;AS[[#This Row],[Age Band Code]]&amp;"; "&amp;S951&amp;AS[[#This Row],[Sex Code]]</f>
        <v xml:space="preserve">Insurer Code ; Reporting Year ; Insurance Category Code ; Large Provider Entity Code ; Age Band Code ; Sex Code </v>
      </c>
      <c r="N951" s="297" t="s">
        <v>197</v>
      </c>
      <c r="O951" s="297" t="s">
        <v>198</v>
      </c>
      <c r="P951" s="297" t="s">
        <v>199</v>
      </c>
      <c r="Q951" s="297" t="s">
        <v>200</v>
      </c>
      <c r="R951" s="297" t="s">
        <v>213</v>
      </c>
      <c r="S951" s="297" t="s">
        <v>214</v>
      </c>
    </row>
    <row r="952" spans="1:19" x14ac:dyDescent="0.4">
      <c r="A952" s="291"/>
      <c r="B952" s="292"/>
      <c r="C952" s="312"/>
      <c r="D952" s="292"/>
      <c r="E952" s="489"/>
      <c r="F952" s="489"/>
      <c r="G952" s="490"/>
      <c r="H952" s="520"/>
      <c r="I952" s="523"/>
      <c r="J952" s="521"/>
      <c r="K952" s="522"/>
      <c r="M952" s="301" t="str">
        <f>N952&amp;AS[[#This Row],[Insurer Code]]&amp;"; "&amp;O952&amp;AS[[#This Row],[Reporting Year]]&amp;"; "&amp;P952&amp;AS[[#This Row],[Insurance Category Code]]&amp;"; "&amp;Q952&amp;AS[[#This Row],[Large Provider Entity Code]]&amp;"; "&amp;R952&amp;AS[[#This Row],[Age Band Code]]&amp;"; "&amp;S952&amp;AS[[#This Row],[Sex Code]]</f>
        <v xml:space="preserve">Insurer Code ; Reporting Year ; Insurance Category Code ; Large Provider Entity Code ; Age Band Code ; Sex Code </v>
      </c>
      <c r="N952" s="297" t="s">
        <v>197</v>
      </c>
      <c r="O952" s="297" t="s">
        <v>198</v>
      </c>
      <c r="P952" s="297" t="s">
        <v>199</v>
      </c>
      <c r="Q952" s="297" t="s">
        <v>200</v>
      </c>
      <c r="R952" s="297" t="s">
        <v>213</v>
      </c>
      <c r="S952" s="297" t="s">
        <v>214</v>
      </c>
    </row>
    <row r="953" spans="1:19" x14ac:dyDescent="0.4">
      <c r="A953" s="291"/>
      <c r="B953" s="292"/>
      <c r="C953" s="312"/>
      <c r="D953" s="292"/>
      <c r="E953" s="489"/>
      <c r="F953" s="489"/>
      <c r="G953" s="490"/>
      <c r="H953" s="520"/>
      <c r="I953" s="523"/>
      <c r="J953" s="521"/>
      <c r="K953" s="522"/>
      <c r="M953" s="301" t="str">
        <f>N953&amp;AS[[#This Row],[Insurer Code]]&amp;"; "&amp;O953&amp;AS[[#This Row],[Reporting Year]]&amp;"; "&amp;P953&amp;AS[[#This Row],[Insurance Category Code]]&amp;"; "&amp;Q953&amp;AS[[#This Row],[Large Provider Entity Code]]&amp;"; "&amp;R953&amp;AS[[#This Row],[Age Band Code]]&amp;"; "&amp;S953&amp;AS[[#This Row],[Sex Code]]</f>
        <v xml:space="preserve">Insurer Code ; Reporting Year ; Insurance Category Code ; Large Provider Entity Code ; Age Band Code ; Sex Code </v>
      </c>
      <c r="N953" s="297" t="s">
        <v>197</v>
      </c>
      <c r="O953" s="297" t="s">
        <v>198</v>
      </c>
      <c r="P953" s="297" t="s">
        <v>199</v>
      </c>
      <c r="Q953" s="297" t="s">
        <v>200</v>
      </c>
      <c r="R953" s="297" t="s">
        <v>213</v>
      </c>
      <c r="S953" s="297" t="s">
        <v>214</v>
      </c>
    </row>
    <row r="954" spans="1:19" x14ac:dyDescent="0.4">
      <c r="A954" s="291"/>
      <c r="B954" s="292"/>
      <c r="C954" s="312"/>
      <c r="D954" s="292"/>
      <c r="E954" s="489"/>
      <c r="F954" s="489"/>
      <c r="G954" s="490"/>
      <c r="H954" s="520"/>
      <c r="I954" s="523"/>
      <c r="J954" s="521"/>
      <c r="K954" s="522"/>
      <c r="M954" s="301" t="str">
        <f>N954&amp;AS[[#This Row],[Insurer Code]]&amp;"; "&amp;O954&amp;AS[[#This Row],[Reporting Year]]&amp;"; "&amp;P954&amp;AS[[#This Row],[Insurance Category Code]]&amp;"; "&amp;Q954&amp;AS[[#This Row],[Large Provider Entity Code]]&amp;"; "&amp;R954&amp;AS[[#This Row],[Age Band Code]]&amp;"; "&amp;S954&amp;AS[[#This Row],[Sex Code]]</f>
        <v xml:space="preserve">Insurer Code ; Reporting Year ; Insurance Category Code ; Large Provider Entity Code ; Age Band Code ; Sex Code </v>
      </c>
      <c r="N954" s="297" t="s">
        <v>197</v>
      </c>
      <c r="O954" s="297" t="s">
        <v>198</v>
      </c>
      <c r="P954" s="297" t="s">
        <v>199</v>
      </c>
      <c r="Q954" s="297" t="s">
        <v>200</v>
      </c>
      <c r="R954" s="297" t="s">
        <v>213</v>
      </c>
      <c r="S954" s="297" t="s">
        <v>214</v>
      </c>
    </row>
    <row r="955" spans="1:19" x14ac:dyDescent="0.4">
      <c r="A955" s="291"/>
      <c r="B955" s="292"/>
      <c r="C955" s="312"/>
      <c r="D955" s="292"/>
      <c r="E955" s="489"/>
      <c r="F955" s="489"/>
      <c r="G955" s="490"/>
      <c r="H955" s="520"/>
      <c r="I955" s="523"/>
      <c r="J955" s="521"/>
      <c r="K955" s="522"/>
      <c r="M955" s="301" t="str">
        <f>N955&amp;AS[[#This Row],[Insurer Code]]&amp;"; "&amp;O955&amp;AS[[#This Row],[Reporting Year]]&amp;"; "&amp;P955&amp;AS[[#This Row],[Insurance Category Code]]&amp;"; "&amp;Q955&amp;AS[[#This Row],[Large Provider Entity Code]]&amp;"; "&amp;R955&amp;AS[[#This Row],[Age Band Code]]&amp;"; "&amp;S955&amp;AS[[#This Row],[Sex Code]]</f>
        <v xml:space="preserve">Insurer Code ; Reporting Year ; Insurance Category Code ; Large Provider Entity Code ; Age Band Code ; Sex Code </v>
      </c>
      <c r="N955" s="297" t="s">
        <v>197</v>
      </c>
      <c r="O955" s="297" t="s">
        <v>198</v>
      </c>
      <c r="P955" s="297" t="s">
        <v>199</v>
      </c>
      <c r="Q955" s="297" t="s">
        <v>200</v>
      </c>
      <c r="R955" s="297" t="s">
        <v>213</v>
      </c>
      <c r="S955" s="297" t="s">
        <v>214</v>
      </c>
    </row>
    <row r="956" spans="1:19" x14ac:dyDescent="0.4">
      <c r="A956" s="291"/>
      <c r="B956" s="292"/>
      <c r="C956" s="312"/>
      <c r="D956" s="292"/>
      <c r="E956" s="489"/>
      <c r="F956" s="489"/>
      <c r="G956" s="490"/>
      <c r="H956" s="520"/>
      <c r="I956" s="523"/>
      <c r="J956" s="521"/>
      <c r="K956" s="522"/>
      <c r="M956" s="301" t="str">
        <f>N956&amp;AS[[#This Row],[Insurer Code]]&amp;"; "&amp;O956&amp;AS[[#This Row],[Reporting Year]]&amp;"; "&amp;P956&amp;AS[[#This Row],[Insurance Category Code]]&amp;"; "&amp;Q956&amp;AS[[#This Row],[Large Provider Entity Code]]&amp;"; "&amp;R956&amp;AS[[#This Row],[Age Band Code]]&amp;"; "&amp;S956&amp;AS[[#This Row],[Sex Code]]</f>
        <v xml:space="preserve">Insurer Code ; Reporting Year ; Insurance Category Code ; Large Provider Entity Code ; Age Band Code ; Sex Code </v>
      </c>
      <c r="N956" s="297" t="s">
        <v>197</v>
      </c>
      <c r="O956" s="297" t="s">
        <v>198</v>
      </c>
      <c r="P956" s="297" t="s">
        <v>199</v>
      </c>
      <c r="Q956" s="297" t="s">
        <v>200</v>
      </c>
      <c r="R956" s="297" t="s">
        <v>213</v>
      </c>
      <c r="S956" s="297" t="s">
        <v>214</v>
      </c>
    </row>
    <row r="957" spans="1:19" x14ac:dyDescent="0.4">
      <c r="A957" s="291"/>
      <c r="B957" s="292"/>
      <c r="C957" s="312"/>
      <c r="D957" s="292"/>
      <c r="E957" s="489"/>
      <c r="F957" s="489"/>
      <c r="G957" s="490"/>
      <c r="H957" s="520"/>
      <c r="I957" s="523"/>
      <c r="J957" s="521"/>
      <c r="K957" s="522"/>
      <c r="M957" s="301" t="str">
        <f>N957&amp;AS[[#This Row],[Insurer Code]]&amp;"; "&amp;O957&amp;AS[[#This Row],[Reporting Year]]&amp;"; "&amp;P957&amp;AS[[#This Row],[Insurance Category Code]]&amp;"; "&amp;Q957&amp;AS[[#This Row],[Large Provider Entity Code]]&amp;"; "&amp;R957&amp;AS[[#This Row],[Age Band Code]]&amp;"; "&amp;S957&amp;AS[[#This Row],[Sex Code]]</f>
        <v xml:space="preserve">Insurer Code ; Reporting Year ; Insurance Category Code ; Large Provider Entity Code ; Age Band Code ; Sex Code </v>
      </c>
      <c r="N957" s="297" t="s">
        <v>197</v>
      </c>
      <c r="O957" s="297" t="s">
        <v>198</v>
      </c>
      <c r="P957" s="297" t="s">
        <v>199</v>
      </c>
      <c r="Q957" s="297" t="s">
        <v>200</v>
      </c>
      <c r="R957" s="297" t="s">
        <v>213</v>
      </c>
      <c r="S957" s="297" t="s">
        <v>214</v>
      </c>
    </row>
    <row r="958" spans="1:19" x14ac:dyDescent="0.4">
      <c r="A958" s="291"/>
      <c r="B958" s="292"/>
      <c r="C958" s="312"/>
      <c r="D958" s="292"/>
      <c r="E958" s="489"/>
      <c r="F958" s="489"/>
      <c r="G958" s="490"/>
      <c r="H958" s="520"/>
      <c r="I958" s="523"/>
      <c r="J958" s="521"/>
      <c r="K958" s="522"/>
      <c r="M958" s="301" t="str">
        <f>N958&amp;AS[[#This Row],[Insurer Code]]&amp;"; "&amp;O958&amp;AS[[#This Row],[Reporting Year]]&amp;"; "&amp;P958&amp;AS[[#This Row],[Insurance Category Code]]&amp;"; "&amp;Q958&amp;AS[[#This Row],[Large Provider Entity Code]]&amp;"; "&amp;R958&amp;AS[[#This Row],[Age Band Code]]&amp;"; "&amp;S958&amp;AS[[#This Row],[Sex Code]]</f>
        <v xml:space="preserve">Insurer Code ; Reporting Year ; Insurance Category Code ; Large Provider Entity Code ; Age Band Code ; Sex Code </v>
      </c>
      <c r="N958" s="297" t="s">
        <v>197</v>
      </c>
      <c r="O958" s="297" t="s">
        <v>198</v>
      </c>
      <c r="P958" s="297" t="s">
        <v>199</v>
      </c>
      <c r="Q958" s="297" t="s">
        <v>200</v>
      </c>
      <c r="R958" s="297" t="s">
        <v>213</v>
      </c>
      <c r="S958" s="297" t="s">
        <v>214</v>
      </c>
    </row>
    <row r="959" spans="1:19" x14ac:dyDescent="0.4">
      <c r="A959" s="291"/>
      <c r="B959" s="292"/>
      <c r="C959" s="312"/>
      <c r="D959" s="292"/>
      <c r="E959" s="489"/>
      <c r="F959" s="489"/>
      <c r="G959" s="490"/>
      <c r="H959" s="520"/>
      <c r="I959" s="523"/>
      <c r="J959" s="521"/>
      <c r="K959" s="522"/>
      <c r="M959" s="301" t="str">
        <f>N959&amp;AS[[#This Row],[Insurer Code]]&amp;"; "&amp;O959&amp;AS[[#This Row],[Reporting Year]]&amp;"; "&amp;P959&amp;AS[[#This Row],[Insurance Category Code]]&amp;"; "&amp;Q959&amp;AS[[#This Row],[Large Provider Entity Code]]&amp;"; "&amp;R959&amp;AS[[#This Row],[Age Band Code]]&amp;"; "&amp;S959&amp;AS[[#This Row],[Sex Code]]</f>
        <v xml:space="preserve">Insurer Code ; Reporting Year ; Insurance Category Code ; Large Provider Entity Code ; Age Band Code ; Sex Code </v>
      </c>
      <c r="N959" s="297" t="s">
        <v>197</v>
      </c>
      <c r="O959" s="297" t="s">
        <v>198</v>
      </c>
      <c r="P959" s="297" t="s">
        <v>199</v>
      </c>
      <c r="Q959" s="297" t="s">
        <v>200</v>
      </c>
      <c r="R959" s="297" t="s">
        <v>213</v>
      </c>
      <c r="S959" s="297" t="s">
        <v>214</v>
      </c>
    </row>
    <row r="960" spans="1:19" x14ac:dyDescent="0.4">
      <c r="A960" s="291"/>
      <c r="B960" s="292"/>
      <c r="C960" s="312"/>
      <c r="D960" s="292"/>
      <c r="E960" s="489"/>
      <c r="F960" s="489"/>
      <c r="G960" s="490"/>
      <c r="H960" s="520"/>
      <c r="I960" s="523"/>
      <c r="J960" s="521"/>
      <c r="K960" s="522"/>
      <c r="M960" s="301" t="str">
        <f>N960&amp;AS[[#This Row],[Insurer Code]]&amp;"; "&amp;O960&amp;AS[[#This Row],[Reporting Year]]&amp;"; "&amp;P960&amp;AS[[#This Row],[Insurance Category Code]]&amp;"; "&amp;Q960&amp;AS[[#This Row],[Large Provider Entity Code]]&amp;"; "&amp;R960&amp;AS[[#This Row],[Age Band Code]]&amp;"; "&amp;S960&amp;AS[[#This Row],[Sex Code]]</f>
        <v xml:space="preserve">Insurer Code ; Reporting Year ; Insurance Category Code ; Large Provider Entity Code ; Age Band Code ; Sex Code </v>
      </c>
      <c r="N960" s="297" t="s">
        <v>197</v>
      </c>
      <c r="O960" s="297" t="s">
        <v>198</v>
      </c>
      <c r="P960" s="297" t="s">
        <v>199</v>
      </c>
      <c r="Q960" s="297" t="s">
        <v>200</v>
      </c>
      <c r="R960" s="297" t="s">
        <v>213</v>
      </c>
      <c r="S960" s="297" t="s">
        <v>214</v>
      </c>
    </row>
    <row r="961" spans="1:19" x14ac:dyDescent="0.4">
      <c r="A961" s="291"/>
      <c r="B961" s="292"/>
      <c r="C961" s="312"/>
      <c r="D961" s="292"/>
      <c r="E961" s="489"/>
      <c r="F961" s="489"/>
      <c r="G961" s="490"/>
      <c r="H961" s="520"/>
      <c r="I961" s="523"/>
      <c r="J961" s="521"/>
      <c r="K961" s="522"/>
      <c r="M961" s="301" t="str">
        <f>N961&amp;AS[[#This Row],[Insurer Code]]&amp;"; "&amp;O961&amp;AS[[#This Row],[Reporting Year]]&amp;"; "&amp;P961&amp;AS[[#This Row],[Insurance Category Code]]&amp;"; "&amp;Q961&amp;AS[[#This Row],[Large Provider Entity Code]]&amp;"; "&amp;R961&amp;AS[[#This Row],[Age Band Code]]&amp;"; "&amp;S961&amp;AS[[#This Row],[Sex Code]]</f>
        <v xml:space="preserve">Insurer Code ; Reporting Year ; Insurance Category Code ; Large Provider Entity Code ; Age Band Code ; Sex Code </v>
      </c>
      <c r="N961" s="297" t="s">
        <v>197</v>
      </c>
      <c r="O961" s="297" t="s">
        <v>198</v>
      </c>
      <c r="P961" s="297" t="s">
        <v>199</v>
      </c>
      <c r="Q961" s="297" t="s">
        <v>200</v>
      </c>
      <c r="R961" s="297" t="s">
        <v>213</v>
      </c>
      <c r="S961" s="297" t="s">
        <v>214</v>
      </c>
    </row>
    <row r="962" spans="1:19" x14ac:dyDescent="0.4">
      <c r="A962" s="291"/>
      <c r="B962" s="292"/>
      <c r="C962" s="312"/>
      <c r="D962" s="292"/>
      <c r="E962" s="489"/>
      <c r="F962" s="489"/>
      <c r="G962" s="490"/>
      <c r="H962" s="520"/>
      <c r="I962" s="523"/>
      <c r="J962" s="521"/>
      <c r="K962" s="522"/>
      <c r="M962" s="301" t="str">
        <f>N962&amp;AS[[#This Row],[Insurer Code]]&amp;"; "&amp;O962&amp;AS[[#This Row],[Reporting Year]]&amp;"; "&amp;P962&amp;AS[[#This Row],[Insurance Category Code]]&amp;"; "&amp;Q962&amp;AS[[#This Row],[Large Provider Entity Code]]&amp;"; "&amp;R962&amp;AS[[#This Row],[Age Band Code]]&amp;"; "&amp;S962&amp;AS[[#This Row],[Sex Code]]</f>
        <v xml:space="preserve">Insurer Code ; Reporting Year ; Insurance Category Code ; Large Provider Entity Code ; Age Band Code ; Sex Code </v>
      </c>
      <c r="N962" s="297" t="s">
        <v>197</v>
      </c>
      <c r="O962" s="297" t="s">
        <v>198</v>
      </c>
      <c r="P962" s="297" t="s">
        <v>199</v>
      </c>
      <c r="Q962" s="297" t="s">
        <v>200</v>
      </c>
      <c r="R962" s="297" t="s">
        <v>213</v>
      </c>
      <c r="S962" s="297" t="s">
        <v>214</v>
      </c>
    </row>
    <row r="963" spans="1:19" x14ac:dyDescent="0.4">
      <c r="A963" s="291"/>
      <c r="B963" s="292"/>
      <c r="C963" s="312"/>
      <c r="D963" s="292"/>
      <c r="E963" s="489"/>
      <c r="F963" s="489"/>
      <c r="G963" s="490"/>
      <c r="H963" s="520"/>
      <c r="I963" s="523"/>
      <c r="J963" s="521"/>
      <c r="K963" s="522"/>
      <c r="M963" s="301" t="str">
        <f>N963&amp;AS[[#This Row],[Insurer Code]]&amp;"; "&amp;O963&amp;AS[[#This Row],[Reporting Year]]&amp;"; "&amp;P963&amp;AS[[#This Row],[Insurance Category Code]]&amp;"; "&amp;Q963&amp;AS[[#This Row],[Large Provider Entity Code]]&amp;"; "&amp;R963&amp;AS[[#This Row],[Age Band Code]]&amp;"; "&amp;S963&amp;AS[[#This Row],[Sex Code]]</f>
        <v xml:space="preserve">Insurer Code ; Reporting Year ; Insurance Category Code ; Large Provider Entity Code ; Age Band Code ; Sex Code </v>
      </c>
      <c r="N963" s="297" t="s">
        <v>197</v>
      </c>
      <c r="O963" s="297" t="s">
        <v>198</v>
      </c>
      <c r="P963" s="297" t="s">
        <v>199</v>
      </c>
      <c r="Q963" s="297" t="s">
        <v>200</v>
      </c>
      <c r="R963" s="297" t="s">
        <v>213</v>
      </c>
      <c r="S963" s="297" t="s">
        <v>214</v>
      </c>
    </row>
    <row r="964" spans="1:19" x14ac:dyDescent="0.4">
      <c r="A964" s="291"/>
      <c r="B964" s="292"/>
      <c r="C964" s="312"/>
      <c r="D964" s="292"/>
      <c r="E964" s="489"/>
      <c r="F964" s="489"/>
      <c r="G964" s="490"/>
      <c r="H964" s="520"/>
      <c r="I964" s="523"/>
      <c r="J964" s="521"/>
      <c r="K964" s="522"/>
      <c r="M964" s="301" t="str">
        <f>N964&amp;AS[[#This Row],[Insurer Code]]&amp;"; "&amp;O964&amp;AS[[#This Row],[Reporting Year]]&amp;"; "&amp;P964&amp;AS[[#This Row],[Insurance Category Code]]&amp;"; "&amp;Q964&amp;AS[[#This Row],[Large Provider Entity Code]]&amp;"; "&amp;R964&amp;AS[[#This Row],[Age Band Code]]&amp;"; "&amp;S964&amp;AS[[#This Row],[Sex Code]]</f>
        <v xml:space="preserve">Insurer Code ; Reporting Year ; Insurance Category Code ; Large Provider Entity Code ; Age Band Code ; Sex Code </v>
      </c>
      <c r="N964" s="297" t="s">
        <v>197</v>
      </c>
      <c r="O964" s="297" t="s">
        <v>198</v>
      </c>
      <c r="P964" s="297" t="s">
        <v>199</v>
      </c>
      <c r="Q964" s="297" t="s">
        <v>200</v>
      </c>
      <c r="R964" s="297" t="s">
        <v>213</v>
      </c>
      <c r="S964" s="297" t="s">
        <v>214</v>
      </c>
    </row>
    <row r="965" spans="1:19" x14ac:dyDescent="0.4">
      <c r="A965" s="291"/>
      <c r="B965" s="292"/>
      <c r="C965" s="312"/>
      <c r="D965" s="292"/>
      <c r="E965" s="489"/>
      <c r="F965" s="489"/>
      <c r="G965" s="490"/>
      <c r="H965" s="520"/>
      <c r="I965" s="523"/>
      <c r="J965" s="521"/>
      <c r="K965" s="522"/>
      <c r="M965" s="301" t="str">
        <f>N965&amp;AS[[#This Row],[Insurer Code]]&amp;"; "&amp;O965&amp;AS[[#This Row],[Reporting Year]]&amp;"; "&amp;P965&amp;AS[[#This Row],[Insurance Category Code]]&amp;"; "&amp;Q965&amp;AS[[#This Row],[Large Provider Entity Code]]&amp;"; "&amp;R965&amp;AS[[#This Row],[Age Band Code]]&amp;"; "&amp;S965&amp;AS[[#This Row],[Sex Code]]</f>
        <v xml:space="preserve">Insurer Code ; Reporting Year ; Insurance Category Code ; Large Provider Entity Code ; Age Band Code ; Sex Code </v>
      </c>
      <c r="N965" s="297" t="s">
        <v>197</v>
      </c>
      <c r="O965" s="297" t="s">
        <v>198</v>
      </c>
      <c r="P965" s="297" t="s">
        <v>199</v>
      </c>
      <c r="Q965" s="297" t="s">
        <v>200</v>
      </c>
      <c r="R965" s="297" t="s">
        <v>213</v>
      </c>
      <c r="S965" s="297" t="s">
        <v>214</v>
      </c>
    </row>
    <row r="966" spans="1:19" x14ac:dyDescent="0.4">
      <c r="A966" s="291"/>
      <c r="B966" s="292"/>
      <c r="C966" s="312"/>
      <c r="D966" s="292"/>
      <c r="E966" s="489"/>
      <c r="F966" s="489"/>
      <c r="G966" s="490"/>
      <c r="H966" s="520"/>
      <c r="I966" s="523"/>
      <c r="J966" s="521"/>
      <c r="K966" s="522"/>
      <c r="M966" s="301" t="str">
        <f>N966&amp;AS[[#This Row],[Insurer Code]]&amp;"; "&amp;O966&amp;AS[[#This Row],[Reporting Year]]&amp;"; "&amp;P966&amp;AS[[#This Row],[Insurance Category Code]]&amp;"; "&amp;Q966&amp;AS[[#This Row],[Large Provider Entity Code]]&amp;"; "&amp;R966&amp;AS[[#This Row],[Age Band Code]]&amp;"; "&amp;S966&amp;AS[[#This Row],[Sex Code]]</f>
        <v xml:space="preserve">Insurer Code ; Reporting Year ; Insurance Category Code ; Large Provider Entity Code ; Age Band Code ; Sex Code </v>
      </c>
      <c r="N966" s="297" t="s">
        <v>197</v>
      </c>
      <c r="O966" s="297" t="s">
        <v>198</v>
      </c>
      <c r="P966" s="297" t="s">
        <v>199</v>
      </c>
      <c r="Q966" s="297" t="s">
        <v>200</v>
      </c>
      <c r="R966" s="297" t="s">
        <v>213</v>
      </c>
      <c r="S966" s="297" t="s">
        <v>214</v>
      </c>
    </row>
    <row r="967" spans="1:19" x14ac:dyDescent="0.4">
      <c r="A967" s="291"/>
      <c r="B967" s="292"/>
      <c r="C967" s="312"/>
      <c r="D967" s="292"/>
      <c r="E967" s="489"/>
      <c r="F967" s="489"/>
      <c r="G967" s="490"/>
      <c r="H967" s="520"/>
      <c r="I967" s="523"/>
      <c r="J967" s="521"/>
      <c r="K967" s="522"/>
      <c r="M967" s="301" t="str">
        <f>N967&amp;AS[[#This Row],[Insurer Code]]&amp;"; "&amp;O967&amp;AS[[#This Row],[Reporting Year]]&amp;"; "&amp;P967&amp;AS[[#This Row],[Insurance Category Code]]&amp;"; "&amp;Q967&amp;AS[[#This Row],[Large Provider Entity Code]]&amp;"; "&amp;R967&amp;AS[[#This Row],[Age Band Code]]&amp;"; "&amp;S967&amp;AS[[#This Row],[Sex Code]]</f>
        <v xml:space="preserve">Insurer Code ; Reporting Year ; Insurance Category Code ; Large Provider Entity Code ; Age Band Code ; Sex Code </v>
      </c>
      <c r="N967" s="297" t="s">
        <v>197</v>
      </c>
      <c r="O967" s="297" t="s">
        <v>198</v>
      </c>
      <c r="P967" s="297" t="s">
        <v>199</v>
      </c>
      <c r="Q967" s="297" t="s">
        <v>200</v>
      </c>
      <c r="R967" s="297" t="s">
        <v>213</v>
      </c>
      <c r="S967" s="297" t="s">
        <v>214</v>
      </c>
    </row>
    <row r="968" spans="1:19" x14ac:dyDescent="0.4">
      <c r="A968" s="291"/>
      <c r="B968" s="292"/>
      <c r="C968" s="312"/>
      <c r="D968" s="292"/>
      <c r="E968" s="489"/>
      <c r="F968" s="489"/>
      <c r="G968" s="490"/>
      <c r="H968" s="520"/>
      <c r="I968" s="523"/>
      <c r="J968" s="521"/>
      <c r="K968" s="522"/>
      <c r="M968" s="301" t="str">
        <f>N968&amp;AS[[#This Row],[Insurer Code]]&amp;"; "&amp;O968&amp;AS[[#This Row],[Reporting Year]]&amp;"; "&amp;P968&amp;AS[[#This Row],[Insurance Category Code]]&amp;"; "&amp;Q968&amp;AS[[#This Row],[Large Provider Entity Code]]&amp;"; "&amp;R968&amp;AS[[#This Row],[Age Band Code]]&amp;"; "&amp;S968&amp;AS[[#This Row],[Sex Code]]</f>
        <v xml:space="preserve">Insurer Code ; Reporting Year ; Insurance Category Code ; Large Provider Entity Code ; Age Band Code ; Sex Code </v>
      </c>
      <c r="N968" s="297" t="s">
        <v>197</v>
      </c>
      <c r="O968" s="297" t="s">
        <v>198</v>
      </c>
      <c r="P968" s="297" t="s">
        <v>199</v>
      </c>
      <c r="Q968" s="297" t="s">
        <v>200</v>
      </c>
      <c r="R968" s="297" t="s">
        <v>213</v>
      </c>
      <c r="S968" s="297" t="s">
        <v>214</v>
      </c>
    </row>
    <row r="969" spans="1:19" x14ac:dyDescent="0.4">
      <c r="A969" s="291"/>
      <c r="B969" s="292"/>
      <c r="C969" s="312"/>
      <c r="D969" s="292"/>
      <c r="E969" s="489"/>
      <c r="F969" s="489"/>
      <c r="G969" s="490"/>
      <c r="H969" s="520"/>
      <c r="I969" s="523"/>
      <c r="J969" s="521"/>
      <c r="K969" s="522"/>
      <c r="M969" s="301" t="str">
        <f>N969&amp;AS[[#This Row],[Insurer Code]]&amp;"; "&amp;O969&amp;AS[[#This Row],[Reporting Year]]&amp;"; "&amp;P969&amp;AS[[#This Row],[Insurance Category Code]]&amp;"; "&amp;Q969&amp;AS[[#This Row],[Large Provider Entity Code]]&amp;"; "&amp;R969&amp;AS[[#This Row],[Age Band Code]]&amp;"; "&amp;S969&amp;AS[[#This Row],[Sex Code]]</f>
        <v xml:space="preserve">Insurer Code ; Reporting Year ; Insurance Category Code ; Large Provider Entity Code ; Age Band Code ; Sex Code </v>
      </c>
      <c r="N969" s="297" t="s">
        <v>197</v>
      </c>
      <c r="O969" s="297" t="s">
        <v>198</v>
      </c>
      <c r="P969" s="297" t="s">
        <v>199</v>
      </c>
      <c r="Q969" s="297" t="s">
        <v>200</v>
      </c>
      <c r="R969" s="297" t="s">
        <v>213</v>
      </c>
      <c r="S969" s="297" t="s">
        <v>214</v>
      </c>
    </row>
    <row r="970" spans="1:19" x14ac:dyDescent="0.4">
      <c r="A970" s="291"/>
      <c r="B970" s="292"/>
      <c r="C970" s="312"/>
      <c r="D970" s="292"/>
      <c r="E970" s="489"/>
      <c r="F970" s="489"/>
      <c r="G970" s="490"/>
      <c r="H970" s="520"/>
      <c r="I970" s="523"/>
      <c r="J970" s="521"/>
      <c r="K970" s="522"/>
      <c r="M970" s="301" t="str">
        <f>N970&amp;AS[[#This Row],[Insurer Code]]&amp;"; "&amp;O970&amp;AS[[#This Row],[Reporting Year]]&amp;"; "&amp;P970&amp;AS[[#This Row],[Insurance Category Code]]&amp;"; "&amp;Q970&amp;AS[[#This Row],[Large Provider Entity Code]]&amp;"; "&amp;R970&amp;AS[[#This Row],[Age Band Code]]&amp;"; "&amp;S970&amp;AS[[#This Row],[Sex Code]]</f>
        <v xml:space="preserve">Insurer Code ; Reporting Year ; Insurance Category Code ; Large Provider Entity Code ; Age Band Code ; Sex Code </v>
      </c>
      <c r="N970" s="297" t="s">
        <v>197</v>
      </c>
      <c r="O970" s="297" t="s">
        <v>198</v>
      </c>
      <c r="P970" s="297" t="s">
        <v>199</v>
      </c>
      <c r="Q970" s="297" t="s">
        <v>200</v>
      </c>
      <c r="R970" s="297" t="s">
        <v>213</v>
      </c>
      <c r="S970" s="297" t="s">
        <v>214</v>
      </c>
    </row>
    <row r="971" spans="1:19" x14ac:dyDescent="0.4">
      <c r="A971" s="291"/>
      <c r="B971" s="292"/>
      <c r="C971" s="312"/>
      <c r="D971" s="292"/>
      <c r="E971" s="489"/>
      <c r="F971" s="489"/>
      <c r="G971" s="490"/>
      <c r="H971" s="520"/>
      <c r="I971" s="523"/>
      <c r="J971" s="521"/>
      <c r="K971" s="522"/>
      <c r="M971" s="301" t="str">
        <f>N971&amp;AS[[#This Row],[Insurer Code]]&amp;"; "&amp;O971&amp;AS[[#This Row],[Reporting Year]]&amp;"; "&amp;P971&amp;AS[[#This Row],[Insurance Category Code]]&amp;"; "&amp;Q971&amp;AS[[#This Row],[Large Provider Entity Code]]&amp;"; "&amp;R971&amp;AS[[#This Row],[Age Band Code]]&amp;"; "&amp;S971&amp;AS[[#This Row],[Sex Code]]</f>
        <v xml:space="preserve">Insurer Code ; Reporting Year ; Insurance Category Code ; Large Provider Entity Code ; Age Band Code ; Sex Code </v>
      </c>
      <c r="N971" s="297" t="s">
        <v>197</v>
      </c>
      <c r="O971" s="297" t="s">
        <v>198</v>
      </c>
      <c r="P971" s="297" t="s">
        <v>199</v>
      </c>
      <c r="Q971" s="297" t="s">
        <v>200</v>
      </c>
      <c r="R971" s="297" t="s">
        <v>213</v>
      </c>
      <c r="S971" s="297" t="s">
        <v>214</v>
      </c>
    </row>
    <row r="972" spans="1:19" x14ac:dyDescent="0.4">
      <c r="A972" s="291"/>
      <c r="B972" s="292"/>
      <c r="C972" s="312"/>
      <c r="D972" s="292"/>
      <c r="E972" s="489"/>
      <c r="F972" s="489"/>
      <c r="G972" s="490"/>
      <c r="H972" s="520"/>
      <c r="I972" s="523"/>
      <c r="J972" s="521"/>
      <c r="K972" s="522"/>
      <c r="M972" s="301" t="str">
        <f>N972&amp;AS[[#This Row],[Insurer Code]]&amp;"; "&amp;O972&amp;AS[[#This Row],[Reporting Year]]&amp;"; "&amp;P972&amp;AS[[#This Row],[Insurance Category Code]]&amp;"; "&amp;Q972&amp;AS[[#This Row],[Large Provider Entity Code]]&amp;"; "&amp;R972&amp;AS[[#This Row],[Age Band Code]]&amp;"; "&amp;S972&amp;AS[[#This Row],[Sex Code]]</f>
        <v xml:space="preserve">Insurer Code ; Reporting Year ; Insurance Category Code ; Large Provider Entity Code ; Age Band Code ; Sex Code </v>
      </c>
      <c r="N972" s="297" t="s">
        <v>197</v>
      </c>
      <c r="O972" s="297" t="s">
        <v>198</v>
      </c>
      <c r="P972" s="297" t="s">
        <v>199</v>
      </c>
      <c r="Q972" s="297" t="s">
        <v>200</v>
      </c>
      <c r="R972" s="297" t="s">
        <v>213</v>
      </c>
      <c r="S972" s="297" t="s">
        <v>214</v>
      </c>
    </row>
    <row r="973" spans="1:19" x14ac:dyDescent="0.4">
      <c r="A973" s="291"/>
      <c r="B973" s="292"/>
      <c r="C973" s="312"/>
      <c r="D973" s="292"/>
      <c r="E973" s="489"/>
      <c r="F973" s="489"/>
      <c r="G973" s="490"/>
      <c r="H973" s="520"/>
      <c r="I973" s="523"/>
      <c r="J973" s="521"/>
      <c r="K973" s="522"/>
      <c r="M973" s="301" t="str">
        <f>N973&amp;AS[[#This Row],[Insurer Code]]&amp;"; "&amp;O973&amp;AS[[#This Row],[Reporting Year]]&amp;"; "&amp;P973&amp;AS[[#This Row],[Insurance Category Code]]&amp;"; "&amp;Q973&amp;AS[[#This Row],[Large Provider Entity Code]]&amp;"; "&amp;R973&amp;AS[[#This Row],[Age Band Code]]&amp;"; "&amp;S973&amp;AS[[#This Row],[Sex Code]]</f>
        <v xml:space="preserve">Insurer Code ; Reporting Year ; Insurance Category Code ; Large Provider Entity Code ; Age Band Code ; Sex Code </v>
      </c>
      <c r="N973" s="297" t="s">
        <v>197</v>
      </c>
      <c r="O973" s="297" t="s">
        <v>198</v>
      </c>
      <c r="P973" s="297" t="s">
        <v>199</v>
      </c>
      <c r="Q973" s="297" t="s">
        <v>200</v>
      </c>
      <c r="R973" s="297" t="s">
        <v>213</v>
      </c>
      <c r="S973" s="297" t="s">
        <v>214</v>
      </c>
    </row>
    <row r="974" spans="1:19" x14ac:dyDescent="0.4">
      <c r="A974" s="291"/>
      <c r="B974" s="292"/>
      <c r="C974" s="312"/>
      <c r="D974" s="292"/>
      <c r="E974" s="489"/>
      <c r="F974" s="489"/>
      <c r="G974" s="490"/>
      <c r="H974" s="520"/>
      <c r="I974" s="523"/>
      <c r="J974" s="521"/>
      <c r="K974" s="522"/>
      <c r="M974" s="301" t="str">
        <f>N974&amp;AS[[#This Row],[Insurer Code]]&amp;"; "&amp;O974&amp;AS[[#This Row],[Reporting Year]]&amp;"; "&amp;P974&amp;AS[[#This Row],[Insurance Category Code]]&amp;"; "&amp;Q974&amp;AS[[#This Row],[Large Provider Entity Code]]&amp;"; "&amp;R974&amp;AS[[#This Row],[Age Band Code]]&amp;"; "&amp;S974&amp;AS[[#This Row],[Sex Code]]</f>
        <v xml:space="preserve">Insurer Code ; Reporting Year ; Insurance Category Code ; Large Provider Entity Code ; Age Band Code ; Sex Code </v>
      </c>
      <c r="N974" s="297" t="s">
        <v>197</v>
      </c>
      <c r="O974" s="297" t="s">
        <v>198</v>
      </c>
      <c r="P974" s="297" t="s">
        <v>199</v>
      </c>
      <c r="Q974" s="297" t="s">
        <v>200</v>
      </c>
      <c r="R974" s="297" t="s">
        <v>213</v>
      </c>
      <c r="S974" s="297" t="s">
        <v>214</v>
      </c>
    </row>
    <row r="975" spans="1:19" x14ac:dyDescent="0.4">
      <c r="A975" s="291"/>
      <c r="B975" s="292"/>
      <c r="C975" s="312"/>
      <c r="D975" s="292"/>
      <c r="E975" s="489"/>
      <c r="F975" s="489"/>
      <c r="G975" s="490"/>
      <c r="H975" s="520"/>
      <c r="I975" s="523"/>
      <c r="J975" s="521"/>
      <c r="K975" s="522"/>
      <c r="M975" s="301" t="str">
        <f>N975&amp;AS[[#This Row],[Insurer Code]]&amp;"; "&amp;O975&amp;AS[[#This Row],[Reporting Year]]&amp;"; "&amp;P975&amp;AS[[#This Row],[Insurance Category Code]]&amp;"; "&amp;Q975&amp;AS[[#This Row],[Large Provider Entity Code]]&amp;"; "&amp;R975&amp;AS[[#This Row],[Age Band Code]]&amp;"; "&amp;S975&amp;AS[[#This Row],[Sex Code]]</f>
        <v xml:space="preserve">Insurer Code ; Reporting Year ; Insurance Category Code ; Large Provider Entity Code ; Age Band Code ; Sex Code </v>
      </c>
      <c r="N975" s="297" t="s">
        <v>197</v>
      </c>
      <c r="O975" s="297" t="s">
        <v>198</v>
      </c>
      <c r="P975" s="297" t="s">
        <v>199</v>
      </c>
      <c r="Q975" s="297" t="s">
        <v>200</v>
      </c>
      <c r="R975" s="297" t="s">
        <v>213</v>
      </c>
      <c r="S975" s="297" t="s">
        <v>214</v>
      </c>
    </row>
    <row r="976" spans="1:19" x14ac:dyDescent="0.4">
      <c r="A976" s="291"/>
      <c r="B976" s="292"/>
      <c r="C976" s="312"/>
      <c r="D976" s="292"/>
      <c r="E976" s="489"/>
      <c r="F976" s="489"/>
      <c r="G976" s="490"/>
      <c r="H976" s="520"/>
      <c r="I976" s="523"/>
      <c r="J976" s="521"/>
      <c r="K976" s="522"/>
      <c r="M976" s="301" t="str">
        <f>N976&amp;AS[[#This Row],[Insurer Code]]&amp;"; "&amp;O976&amp;AS[[#This Row],[Reporting Year]]&amp;"; "&amp;P976&amp;AS[[#This Row],[Insurance Category Code]]&amp;"; "&amp;Q976&amp;AS[[#This Row],[Large Provider Entity Code]]&amp;"; "&amp;R976&amp;AS[[#This Row],[Age Band Code]]&amp;"; "&amp;S976&amp;AS[[#This Row],[Sex Code]]</f>
        <v xml:space="preserve">Insurer Code ; Reporting Year ; Insurance Category Code ; Large Provider Entity Code ; Age Band Code ; Sex Code </v>
      </c>
      <c r="N976" s="297" t="s">
        <v>197</v>
      </c>
      <c r="O976" s="297" t="s">
        <v>198</v>
      </c>
      <c r="P976" s="297" t="s">
        <v>199</v>
      </c>
      <c r="Q976" s="297" t="s">
        <v>200</v>
      </c>
      <c r="R976" s="297" t="s">
        <v>213</v>
      </c>
      <c r="S976" s="297" t="s">
        <v>214</v>
      </c>
    </row>
    <row r="977" spans="1:19" x14ac:dyDescent="0.4">
      <c r="A977" s="291"/>
      <c r="B977" s="292"/>
      <c r="C977" s="312"/>
      <c r="D977" s="292"/>
      <c r="E977" s="489"/>
      <c r="F977" s="489"/>
      <c r="G977" s="490"/>
      <c r="H977" s="520"/>
      <c r="I977" s="523"/>
      <c r="J977" s="521"/>
      <c r="K977" s="522"/>
      <c r="M977" s="301" t="str">
        <f>N977&amp;AS[[#This Row],[Insurer Code]]&amp;"; "&amp;O977&amp;AS[[#This Row],[Reporting Year]]&amp;"; "&amp;P977&amp;AS[[#This Row],[Insurance Category Code]]&amp;"; "&amp;Q977&amp;AS[[#This Row],[Large Provider Entity Code]]&amp;"; "&amp;R977&amp;AS[[#This Row],[Age Band Code]]&amp;"; "&amp;S977&amp;AS[[#This Row],[Sex Code]]</f>
        <v xml:space="preserve">Insurer Code ; Reporting Year ; Insurance Category Code ; Large Provider Entity Code ; Age Band Code ; Sex Code </v>
      </c>
      <c r="N977" s="297" t="s">
        <v>197</v>
      </c>
      <c r="O977" s="297" t="s">
        <v>198</v>
      </c>
      <c r="P977" s="297" t="s">
        <v>199</v>
      </c>
      <c r="Q977" s="297" t="s">
        <v>200</v>
      </c>
      <c r="R977" s="297" t="s">
        <v>213</v>
      </c>
      <c r="S977" s="297" t="s">
        <v>214</v>
      </c>
    </row>
    <row r="978" spans="1:19" x14ac:dyDescent="0.4">
      <c r="A978" s="291"/>
      <c r="B978" s="292"/>
      <c r="C978" s="312"/>
      <c r="D978" s="292"/>
      <c r="E978" s="489"/>
      <c r="F978" s="489"/>
      <c r="G978" s="490"/>
      <c r="H978" s="520"/>
      <c r="I978" s="523"/>
      <c r="J978" s="521"/>
      <c r="K978" s="522"/>
      <c r="M978" s="301" t="str">
        <f>N978&amp;AS[[#This Row],[Insurer Code]]&amp;"; "&amp;O978&amp;AS[[#This Row],[Reporting Year]]&amp;"; "&amp;P978&amp;AS[[#This Row],[Insurance Category Code]]&amp;"; "&amp;Q978&amp;AS[[#This Row],[Large Provider Entity Code]]&amp;"; "&amp;R978&amp;AS[[#This Row],[Age Band Code]]&amp;"; "&amp;S978&amp;AS[[#This Row],[Sex Code]]</f>
        <v xml:space="preserve">Insurer Code ; Reporting Year ; Insurance Category Code ; Large Provider Entity Code ; Age Band Code ; Sex Code </v>
      </c>
      <c r="N978" s="297" t="s">
        <v>197</v>
      </c>
      <c r="O978" s="297" t="s">
        <v>198</v>
      </c>
      <c r="P978" s="297" t="s">
        <v>199</v>
      </c>
      <c r="Q978" s="297" t="s">
        <v>200</v>
      </c>
      <c r="R978" s="297" t="s">
        <v>213</v>
      </c>
      <c r="S978" s="297" t="s">
        <v>214</v>
      </c>
    </row>
    <row r="979" spans="1:19" x14ac:dyDescent="0.4">
      <c r="A979" s="291"/>
      <c r="B979" s="292"/>
      <c r="C979" s="312"/>
      <c r="D979" s="292"/>
      <c r="E979" s="489"/>
      <c r="F979" s="489"/>
      <c r="G979" s="490"/>
      <c r="H979" s="520"/>
      <c r="I979" s="523"/>
      <c r="J979" s="521"/>
      <c r="K979" s="522"/>
      <c r="M979" s="301" t="str">
        <f>N979&amp;AS[[#This Row],[Insurer Code]]&amp;"; "&amp;O979&amp;AS[[#This Row],[Reporting Year]]&amp;"; "&amp;P979&amp;AS[[#This Row],[Insurance Category Code]]&amp;"; "&amp;Q979&amp;AS[[#This Row],[Large Provider Entity Code]]&amp;"; "&amp;R979&amp;AS[[#This Row],[Age Band Code]]&amp;"; "&amp;S979&amp;AS[[#This Row],[Sex Code]]</f>
        <v xml:space="preserve">Insurer Code ; Reporting Year ; Insurance Category Code ; Large Provider Entity Code ; Age Band Code ; Sex Code </v>
      </c>
      <c r="N979" s="297" t="s">
        <v>197</v>
      </c>
      <c r="O979" s="297" t="s">
        <v>198</v>
      </c>
      <c r="P979" s="297" t="s">
        <v>199</v>
      </c>
      <c r="Q979" s="297" t="s">
        <v>200</v>
      </c>
      <c r="R979" s="297" t="s">
        <v>213</v>
      </c>
      <c r="S979" s="297" t="s">
        <v>214</v>
      </c>
    </row>
    <row r="980" spans="1:19" x14ac:dyDescent="0.4">
      <c r="A980" s="291"/>
      <c r="B980" s="292"/>
      <c r="C980" s="312"/>
      <c r="D980" s="292"/>
      <c r="E980" s="489"/>
      <c r="F980" s="489"/>
      <c r="G980" s="490"/>
      <c r="H980" s="520"/>
      <c r="I980" s="523"/>
      <c r="J980" s="521"/>
      <c r="K980" s="522"/>
      <c r="M980" s="301" t="str">
        <f>N980&amp;AS[[#This Row],[Insurer Code]]&amp;"; "&amp;O980&amp;AS[[#This Row],[Reporting Year]]&amp;"; "&amp;P980&amp;AS[[#This Row],[Insurance Category Code]]&amp;"; "&amp;Q980&amp;AS[[#This Row],[Large Provider Entity Code]]&amp;"; "&amp;R980&amp;AS[[#This Row],[Age Band Code]]&amp;"; "&amp;S980&amp;AS[[#This Row],[Sex Code]]</f>
        <v xml:space="preserve">Insurer Code ; Reporting Year ; Insurance Category Code ; Large Provider Entity Code ; Age Band Code ; Sex Code </v>
      </c>
      <c r="N980" s="297" t="s">
        <v>197</v>
      </c>
      <c r="O980" s="297" t="s">
        <v>198</v>
      </c>
      <c r="P980" s="297" t="s">
        <v>199</v>
      </c>
      <c r="Q980" s="297" t="s">
        <v>200</v>
      </c>
      <c r="R980" s="297" t="s">
        <v>213</v>
      </c>
      <c r="S980" s="297" t="s">
        <v>214</v>
      </c>
    </row>
    <row r="981" spans="1:19" x14ac:dyDescent="0.4">
      <c r="A981" s="291"/>
      <c r="B981" s="292"/>
      <c r="C981" s="312"/>
      <c r="D981" s="292"/>
      <c r="E981" s="489"/>
      <c r="F981" s="489"/>
      <c r="G981" s="490"/>
      <c r="H981" s="520"/>
      <c r="I981" s="523"/>
      <c r="J981" s="521"/>
      <c r="K981" s="522"/>
      <c r="M981" s="301" t="str">
        <f>N981&amp;AS[[#This Row],[Insurer Code]]&amp;"; "&amp;O981&amp;AS[[#This Row],[Reporting Year]]&amp;"; "&amp;P981&amp;AS[[#This Row],[Insurance Category Code]]&amp;"; "&amp;Q981&amp;AS[[#This Row],[Large Provider Entity Code]]&amp;"; "&amp;R981&amp;AS[[#This Row],[Age Band Code]]&amp;"; "&amp;S981&amp;AS[[#This Row],[Sex Code]]</f>
        <v xml:space="preserve">Insurer Code ; Reporting Year ; Insurance Category Code ; Large Provider Entity Code ; Age Band Code ; Sex Code </v>
      </c>
      <c r="N981" s="297" t="s">
        <v>197</v>
      </c>
      <c r="O981" s="297" t="s">
        <v>198</v>
      </c>
      <c r="P981" s="297" t="s">
        <v>199</v>
      </c>
      <c r="Q981" s="297" t="s">
        <v>200</v>
      </c>
      <c r="R981" s="297" t="s">
        <v>213</v>
      </c>
      <c r="S981" s="297" t="s">
        <v>214</v>
      </c>
    </row>
    <row r="982" spans="1:19" x14ac:dyDescent="0.4">
      <c r="A982" s="291"/>
      <c r="B982" s="292"/>
      <c r="C982" s="312"/>
      <c r="D982" s="292"/>
      <c r="E982" s="489"/>
      <c r="F982" s="489"/>
      <c r="G982" s="490"/>
      <c r="H982" s="520"/>
      <c r="I982" s="523"/>
      <c r="J982" s="521"/>
      <c r="K982" s="522"/>
      <c r="M982" s="301" t="str">
        <f>N982&amp;AS[[#This Row],[Insurer Code]]&amp;"; "&amp;O982&amp;AS[[#This Row],[Reporting Year]]&amp;"; "&amp;P982&amp;AS[[#This Row],[Insurance Category Code]]&amp;"; "&amp;Q982&amp;AS[[#This Row],[Large Provider Entity Code]]&amp;"; "&amp;R982&amp;AS[[#This Row],[Age Band Code]]&amp;"; "&amp;S982&amp;AS[[#This Row],[Sex Code]]</f>
        <v xml:space="preserve">Insurer Code ; Reporting Year ; Insurance Category Code ; Large Provider Entity Code ; Age Band Code ; Sex Code </v>
      </c>
      <c r="N982" s="297" t="s">
        <v>197</v>
      </c>
      <c r="O982" s="297" t="s">
        <v>198</v>
      </c>
      <c r="P982" s="297" t="s">
        <v>199</v>
      </c>
      <c r="Q982" s="297" t="s">
        <v>200</v>
      </c>
      <c r="R982" s="297" t="s">
        <v>213</v>
      </c>
      <c r="S982" s="297" t="s">
        <v>214</v>
      </c>
    </row>
    <row r="983" spans="1:19" x14ac:dyDescent="0.4">
      <c r="A983" s="291"/>
      <c r="B983" s="292"/>
      <c r="C983" s="312"/>
      <c r="D983" s="292"/>
      <c r="E983" s="489"/>
      <c r="F983" s="489"/>
      <c r="G983" s="490"/>
      <c r="H983" s="520"/>
      <c r="I983" s="523"/>
      <c r="J983" s="521"/>
      <c r="K983" s="522"/>
      <c r="M983" s="301" t="str">
        <f>N983&amp;AS[[#This Row],[Insurer Code]]&amp;"; "&amp;O983&amp;AS[[#This Row],[Reporting Year]]&amp;"; "&amp;P983&amp;AS[[#This Row],[Insurance Category Code]]&amp;"; "&amp;Q983&amp;AS[[#This Row],[Large Provider Entity Code]]&amp;"; "&amp;R983&amp;AS[[#This Row],[Age Band Code]]&amp;"; "&amp;S983&amp;AS[[#This Row],[Sex Code]]</f>
        <v xml:space="preserve">Insurer Code ; Reporting Year ; Insurance Category Code ; Large Provider Entity Code ; Age Band Code ; Sex Code </v>
      </c>
      <c r="N983" s="297" t="s">
        <v>197</v>
      </c>
      <c r="O983" s="297" t="s">
        <v>198</v>
      </c>
      <c r="P983" s="297" t="s">
        <v>199</v>
      </c>
      <c r="Q983" s="297" t="s">
        <v>200</v>
      </c>
      <c r="R983" s="297" t="s">
        <v>213</v>
      </c>
      <c r="S983" s="297" t="s">
        <v>214</v>
      </c>
    </row>
    <row r="984" spans="1:19" x14ac:dyDescent="0.4">
      <c r="A984" s="291"/>
      <c r="B984" s="292"/>
      <c r="C984" s="312"/>
      <c r="D984" s="292"/>
      <c r="E984" s="489"/>
      <c r="F984" s="489"/>
      <c r="G984" s="490"/>
      <c r="H984" s="520"/>
      <c r="I984" s="523"/>
      <c r="J984" s="521"/>
      <c r="K984" s="522"/>
      <c r="M984" s="301" t="str">
        <f>N984&amp;AS[[#This Row],[Insurer Code]]&amp;"; "&amp;O984&amp;AS[[#This Row],[Reporting Year]]&amp;"; "&amp;P984&amp;AS[[#This Row],[Insurance Category Code]]&amp;"; "&amp;Q984&amp;AS[[#This Row],[Large Provider Entity Code]]&amp;"; "&amp;R984&amp;AS[[#This Row],[Age Band Code]]&amp;"; "&amp;S984&amp;AS[[#This Row],[Sex Code]]</f>
        <v xml:space="preserve">Insurer Code ; Reporting Year ; Insurance Category Code ; Large Provider Entity Code ; Age Band Code ; Sex Code </v>
      </c>
      <c r="N984" s="297" t="s">
        <v>197</v>
      </c>
      <c r="O984" s="297" t="s">
        <v>198</v>
      </c>
      <c r="P984" s="297" t="s">
        <v>199</v>
      </c>
      <c r="Q984" s="297" t="s">
        <v>200</v>
      </c>
      <c r="R984" s="297" t="s">
        <v>213</v>
      </c>
      <c r="S984" s="297" t="s">
        <v>214</v>
      </c>
    </row>
    <row r="985" spans="1:19" x14ac:dyDescent="0.4">
      <c r="A985" s="291"/>
      <c r="B985" s="292"/>
      <c r="C985" s="312"/>
      <c r="D985" s="292"/>
      <c r="E985" s="489"/>
      <c r="F985" s="489"/>
      <c r="G985" s="490"/>
      <c r="H985" s="520"/>
      <c r="I985" s="523"/>
      <c r="J985" s="521"/>
      <c r="K985" s="522"/>
      <c r="M985" s="301" t="str">
        <f>N985&amp;AS[[#This Row],[Insurer Code]]&amp;"; "&amp;O985&amp;AS[[#This Row],[Reporting Year]]&amp;"; "&amp;P985&amp;AS[[#This Row],[Insurance Category Code]]&amp;"; "&amp;Q985&amp;AS[[#This Row],[Large Provider Entity Code]]&amp;"; "&amp;R985&amp;AS[[#This Row],[Age Band Code]]&amp;"; "&amp;S985&amp;AS[[#This Row],[Sex Code]]</f>
        <v xml:space="preserve">Insurer Code ; Reporting Year ; Insurance Category Code ; Large Provider Entity Code ; Age Band Code ; Sex Code </v>
      </c>
      <c r="N985" s="297" t="s">
        <v>197</v>
      </c>
      <c r="O985" s="297" t="s">
        <v>198</v>
      </c>
      <c r="P985" s="297" t="s">
        <v>199</v>
      </c>
      <c r="Q985" s="297" t="s">
        <v>200</v>
      </c>
      <c r="R985" s="297" t="s">
        <v>213</v>
      </c>
      <c r="S985" s="297" t="s">
        <v>214</v>
      </c>
    </row>
    <row r="986" spans="1:19" x14ac:dyDescent="0.4">
      <c r="A986" s="291"/>
      <c r="B986" s="292"/>
      <c r="C986" s="312"/>
      <c r="D986" s="292"/>
      <c r="E986" s="489"/>
      <c r="F986" s="489"/>
      <c r="G986" s="490"/>
      <c r="H986" s="520"/>
      <c r="I986" s="523"/>
      <c r="J986" s="521"/>
      <c r="K986" s="522"/>
      <c r="M986" s="301" t="str">
        <f>N986&amp;AS[[#This Row],[Insurer Code]]&amp;"; "&amp;O986&amp;AS[[#This Row],[Reporting Year]]&amp;"; "&amp;P986&amp;AS[[#This Row],[Insurance Category Code]]&amp;"; "&amp;Q986&amp;AS[[#This Row],[Large Provider Entity Code]]&amp;"; "&amp;R986&amp;AS[[#This Row],[Age Band Code]]&amp;"; "&amp;S986&amp;AS[[#This Row],[Sex Code]]</f>
        <v xml:space="preserve">Insurer Code ; Reporting Year ; Insurance Category Code ; Large Provider Entity Code ; Age Band Code ; Sex Code </v>
      </c>
      <c r="N986" s="297" t="s">
        <v>197</v>
      </c>
      <c r="O986" s="297" t="s">
        <v>198</v>
      </c>
      <c r="P986" s="297" t="s">
        <v>199</v>
      </c>
      <c r="Q986" s="297" t="s">
        <v>200</v>
      </c>
      <c r="R986" s="297" t="s">
        <v>213</v>
      </c>
      <c r="S986" s="297" t="s">
        <v>214</v>
      </c>
    </row>
    <row r="987" spans="1:19" x14ac:dyDescent="0.4">
      <c r="A987" s="291"/>
      <c r="B987" s="292"/>
      <c r="C987" s="312"/>
      <c r="D987" s="292"/>
      <c r="E987" s="489"/>
      <c r="F987" s="489"/>
      <c r="G987" s="490"/>
      <c r="H987" s="520"/>
      <c r="I987" s="523"/>
      <c r="J987" s="521"/>
      <c r="K987" s="522"/>
      <c r="M987" s="301" t="str">
        <f>N987&amp;AS[[#This Row],[Insurer Code]]&amp;"; "&amp;O987&amp;AS[[#This Row],[Reporting Year]]&amp;"; "&amp;P987&amp;AS[[#This Row],[Insurance Category Code]]&amp;"; "&amp;Q987&amp;AS[[#This Row],[Large Provider Entity Code]]&amp;"; "&amp;R987&amp;AS[[#This Row],[Age Band Code]]&amp;"; "&amp;S987&amp;AS[[#This Row],[Sex Code]]</f>
        <v xml:space="preserve">Insurer Code ; Reporting Year ; Insurance Category Code ; Large Provider Entity Code ; Age Band Code ; Sex Code </v>
      </c>
      <c r="N987" s="297" t="s">
        <v>197</v>
      </c>
      <c r="O987" s="297" t="s">
        <v>198</v>
      </c>
      <c r="P987" s="297" t="s">
        <v>199</v>
      </c>
      <c r="Q987" s="297" t="s">
        <v>200</v>
      </c>
      <c r="R987" s="297" t="s">
        <v>213</v>
      </c>
      <c r="S987" s="297" t="s">
        <v>214</v>
      </c>
    </row>
    <row r="988" spans="1:19" x14ac:dyDescent="0.4">
      <c r="A988" s="291"/>
      <c r="B988" s="292"/>
      <c r="C988" s="312"/>
      <c r="D988" s="292"/>
      <c r="E988" s="489"/>
      <c r="F988" s="489"/>
      <c r="G988" s="490"/>
      <c r="H988" s="520"/>
      <c r="I988" s="523"/>
      <c r="J988" s="521"/>
      <c r="K988" s="522"/>
      <c r="M988" s="301" t="str">
        <f>N988&amp;AS[[#This Row],[Insurer Code]]&amp;"; "&amp;O988&amp;AS[[#This Row],[Reporting Year]]&amp;"; "&amp;P988&amp;AS[[#This Row],[Insurance Category Code]]&amp;"; "&amp;Q988&amp;AS[[#This Row],[Large Provider Entity Code]]&amp;"; "&amp;R988&amp;AS[[#This Row],[Age Band Code]]&amp;"; "&amp;S988&amp;AS[[#This Row],[Sex Code]]</f>
        <v xml:space="preserve">Insurer Code ; Reporting Year ; Insurance Category Code ; Large Provider Entity Code ; Age Band Code ; Sex Code </v>
      </c>
      <c r="N988" s="297" t="s">
        <v>197</v>
      </c>
      <c r="O988" s="297" t="s">
        <v>198</v>
      </c>
      <c r="P988" s="297" t="s">
        <v>199</v>
      </c>
      <c r="Q988" s="297" t="s">
        <v>200</v>
      </c>
      <c r="R988" s="297" t="s">
        <v>213</v>
      </c>
      <c r="S988" s="297" t="s">
        <v>214</v>
      </c>
    </row>
    <row r="989" spans="1:19" x14ac:dyDescent="0.4">
      <c r="A989" s="291"/>
      <c r="B989" s="292"/>
      <c r="C989" s="312"/>
      <c r="D989" s="292"/>
      <c r="E989" s="489"/>
      <c r="F989" s="489"/>
      <c r="G989" s="490"/>
      <c r="H989" s="520"/>
      <c r="I989" s="523"/>
      <c r="J989" s="521"/>
      <c r="K989" s="522"/>
      <c r="M989" s="301" t="str">
        <f>N989&amp;AS[[#This Row],[Insurer Code]]&amp;"; "&amp;O989&amp;AS[[#This Row],[Reporting Year]]&amp;"; "&amp;P989&amp;AS[[#This Row],[Insurance Category Code]]&amp;"; "&amp;Q989&amp;AS[[#This Row],[Large Provider Entity Code]]&amp;"; "&amp;R989&amp;AS[[#This Row],[Age Band Code]]&amp;"; "&amp;S989&amp;AS[[#This Row],[Sex Code]]</f>
        <v xml:space="preserve">Insurer Code ; Reporting Year ; Insurance Category Code ; Large Provider Entity Code ; Age Band Code ; Sex Code </v>
      </c>
      <c r="N989" s="297" t="s">
        <v>197</v>
      </c>
      <c r="O989" s="297" t="s">
        <v>198</v>
      </c>
      <c r="P989" s="297" t="s">
        <v>199</v>
      </c>
      <c r="Q989" s="297" t="s">
        <v>200</v>
      </c>
      <c r="R989" s="297" t="s">
        <v>213</v>
      </c>
      <c r="S989" s="297" t="s">
        <v>214</v>
      </c>
    </row>
    <row r="990" spans="1:19" x14ac:dyDescent="0.4">
      <c r="A990" s="291"/>
      <c r="B990" s="292"/>
      <c r="C990" s="312"/>
      <c r="D990" s="292"/>
      <c r="E990" s="489"/>
      <c r="F990" s="489"/>
      <c r="G990" s="490"/>
      <c r="H990" s="520"/>
      <c r="I990" s="523"/>
      <c r="J990" s="521"/>
      <c r="K990" s="522"/>
      <c r="M990" s="301" t="str">
        <f>N990&amp;AS[[#This Row],[Insurer Code]]&amp;"; "&amp;O990&amp;AS[[#This Row],[Reporting Year]]&amp;"; "&amp;P990&amp;AS[[#This Row],[Insurance Category Code]]&amp;"; "&amp;Q990&amp;AS[[#This Row],[Large Provider Entity Code]]&amp;"; "&amp;R990&amp;AS[[#This Row],[Age Band Code]]&amp;"; "&amp;S990&amp;AS[[#This Row],[Sex Code]]</f>
        <v xml:space="preserve">Insurer Code ; Reporting Year ; Insurance Category Code ; Large Provider Entity Code ; Age Band Code ; Sex Code </v>
      </c>
      <c r="N990" s="297" t="s">
        <v>197</v>
      </c>
      <c r="O990" s="297" t="s">
        <v>198</v>
      </c>
      <c r="P990" s="297" t="s">
        <v>199</v>
      </c>
      <c r="Q990" s="297" t="s">
        <v>200</v>
      </c>
      <c r="R990" s="297" t="s">
        <v>213</v>
      </c>
      <c r="S990" s="297" t="s">
        <v>214</v>
      </c>
    </row>
    <row r="991" spans="1:19" x14ac:dyDescent="0.4">
      <c r="A991" s="291"/>
      <c r="B991" s="292"/>
      <c r="C991" s="312"/>
      <c r="D991" s="292"/>
      <c r="E991" s="489"/>
      <c r="F991" s="489"/>
      <c r="G991" s="490"/>
      <c r="H991" s="520"/>
      <c r="I991" s="523"/>
      <c r="J991" s="521"/>
      <c r="K991" s="522"/>
      <c r="M991" s="301" t="str">
        <f>N991&amp;AS[[#This Row],[Insurer Code]]&amp;"; "&amp;O991&amp;AS[[#This Row],[Reporting Year]]&amp;"; "&amp;P991&amp;AS[[#This Row],[Insurance Category Code]]&amp;"; "&amp;Q991&amp;AS[[#This Row],[Large Provider Entity Code]]&amp;"; "&amp;R991&amp;AS[[#This Row],[Age Band Code]]&amp;"; "&amp;S991&amp;AS[[#This Row],[Sex Code]]</f>
        <v xml:space="preserve">Insurer Code ; Reporting Year ; Insurance Category Code ; Large Provider Entity Code ; Age Band Code ; Sex Code </v>
      </c>
      <c r="N991" s="297" t="s">
        <v>197</v>
      </c>
      <c r="O991" s="297" t="s">
        <v>198</v>
      </c>
      <c r="P991" s="297" t="s">
        <v>199</v>
      </c>
      <c r="Q991" s="297" t="s">
        <v>200</v>
      </c>
      <c r="R991" s="297" t="s">
        <v>213</v>
      </c>
      <c r="S991" s="297" t="s">
        <v>214</v>
      </c>
    </row>
    <row r="992" spans="1:19" x14ac:dyDescent="0.4">
      <c r="A992" s="291"/>
      <c r="B992" s="292"/>
      <c r="C992" s="312"/>
      <c r="D992" s="292"/>
      <c r="E992" s="489"/>
      <c r="F992" s="489"/>
      <c r="G992" s="490"/>
      <c r="H992" s="520"/>
      <c r="I992" s="523"/>
      <c r="J992" s="521"/>
      <c r="K992" s="522"/>
      <c r="M992" s="301" t="str">
        <f>N992&amp;AS[[#This Row],[Insurer Code]]&amp;"; "&amp;O992&amp;AS[[#This Row],[Reporting Year]]&amp;"; "&amp;P992&amp;AS[[#This Row],[Insurance Category Code]]&amp;"; "&amp;Q992&amp;AS[[#This Row],[Large Provider Entity Code]]&amp;"; "&amp;R992&amp;AS[[#This Row],[Age Band Code]]&amp;"; "&amp;S992&amp;AS[[#This Row],[Sex Code]]</f>
        <v xml:space="preserve">Insurer Code ; Reporting Year ; Insurance Category Code ; Large Provider Entity Code ; Age Band Code ; Sex Code </v>
      </c>
      <c r="N992" s="297" t="s">
        <v>197</v>
      </c>
      <c r="O992" s="297" t="s">
        <v>198</v>
      </c>
      <c r="P992" s="297" t="s">
        <v>199</v>
      </c>
      <c r="Q992" s="297" t="s">
        <v>200</v>
      </c>
      <c r="R992" s="297" t="s">
        <v>213</v>
      </c>
      <c r="S992" s="297" t="s">
        <v>214</v>
      </c>
    </row>
    <row r="993" spans="1:19" x14ac:dyDescent="0.4">
      <c r="A993" s="291"/>
      <c r="B993" s="292"/>
      <c r="C993" s="312"/>
      <c r="D993" s="292"/>
      <c r="E993" s="489"/>
      <c r="F993" s="489"/>
      <c r="G993" s="490"/>
      <c r="H993" s="520"/>
      <c r="I993" s="523"/>
      <c r="J993" s="521"/>
      <c r="K993" s="522"/>
      <c r="M993" s="301" t="str">
        <f>N993&amp;AS[[#This Row],[Insurer Code]]&amp;"; "&amp;O993&amp;AS[[#This Row],[Reporting Year]]&amp;"; "&amp;P993&amp;AS[[#This Row],[Insurance Category Code]]&amp;"; "&amp;Q993&amp;AS[[#This Row],[Large Provider Entity Code]]&amp;"; "&amp;R993&amp;AS[[#This Row],[Age Band Code]]&amp;"; "&amp;S993&amp;AS[[#This Row],[Sex Code]]</f>
        <v xml:space="preserve">Insurer Code ; Reporting Year ; Insurance Category Code ; Large Provider Entity Code ; Age Band Code ; Sex Code </v>
      </c>
      <c r="N993" s="297" t="s">
        <v>197</v>
      </c>
      <c r="O993" s="297" t="s">
        <v>198</v>
      </c>
      <c r="P993" s="297" t="s">
        <v>199</v>
      </c>
      <c r="Q993" s="297" t="s">
        <v>200</v>
      </c>
      <c r="R993" s="297" t="s">
        <v>213</v>
      </c>
      <c r="S993" s="297" t="s">
        <v>214</v>
      </c>
    </row>
    <row r="994" spans="1:19" x14ac:dyDescent="0.4">
      <c r="A994" s="291"/>
      <c r="B994" s="292"/>
      <c r="C994" s="312"/>
      <c r="D994" s="292"/>
      <c r="E994" s="489"/>
      <c r="F994" s="489"/>
      <c r="G994" s="490"/>
      <c r="H994" s="520"/>
      <c r="I994" s="523"/>
      <c r="J994" s="521"/>
      <c r="K994" s="522"/>
      <c r="M994" s="301" t="str">
        <f>N994&amp;AS[[#This Row],[Insurer Code]]&amp;"; "&amp;O994&amp;AS[[#This Row],[Reporting Year]]&amp;"; "&amp;P994&amp;AS[[#This Row],[Insurance Category Code]]&amp;"; "&amp;Q994&amp;AS[[#This Row],[Large Provider Entity Code]]&amp;"; "&amp;R994&amp;AS[[#This Row],[Age Band Code]]&amp;"; "&amp;S994&amp;AS[[#This Row],[Sex Code]]</f>
        <v xml:space="preserve">Insurer Code ; Reporting Year ; Insurance Category Code ; Large Provider Entity Code ; Age Band Code ; Sex Code </v>
      </c>
      <c r="N994" s="297" t="s">
        <v>197</v>
      </c>
      <c r="O994" s="297" t="s">
        <v>198</v>
      </c>
      <c r="P994" s="297" t="s">
        <v>199</v>
      </c>
      <c r="Q994" s="297" t="s">
        <v>200</v>
      </c>
      <c r="R994" s="297" t="s">
        <v>213</v>
      </c>
      <c r="S994" s="297" t="s">
        <v>214</v>
      </c>
    </row>
    <row r="995" spans="1:19" x14ac:dyDescent="0.4">
      <c r="A995" s="291"/>
      <c r="B995" s="292"/>
      <c r="C995" s="312"/>
      <c r="D995" s="292"/>
      <c r="E995" s="489"/>
      <c r="F995" s="489"/>
      <c r="G995" s="490"/>
      <c r="H995" s="520"/>
      <c r="I995" s="523"/>
      <c r="J995" s="521"/>
      <c r="K995" s="522"/>
      <c r="M995" s="301" t="str">
        <f>N995&amp;AS[[#This Row],[Insurer Code]]&amp;"; "&amp;O995&amp;AS[[#This Row],[Reporting Year]]&amp;"; "&amp;P995&amp;AS[[#This Row],[Insurance Category Code]]&amp;"; "&amp;Q995&amp;AS[[#This Row],[Large Provider Entity Code]]&amp;"; "&amp;R995&amp;AS[[#This Row],[Age Band Code]]&amp;"; "&amp;S995&amp;AS[[#This Row],[Sex Code]]</f>
        <v xml:space="preserve">Insurer Code ; Reporting Year ; Insurance Category Code ; Large Provider Entity Code ; Age Band Code ; Sex Code </v>
      </c>
      <c r="N995" s="297" t="s">
        <v>197</v>
      </c>
      <c r="O995" s="297" t="s">
        <v>198</v>
      </c>
      <c r="P995" s="297" t="s">
        <v>199</v>
      </c>
      <c r="Q995" s="297" t="s">
        <v>200</v>
      </c>
      <c r="R995" s="297" t="s">
        <v>213</v>
      </c>
      <c r="S995" s="297" t="s">
        <v>214</v>
      </c>
    </row>
    <row r="996" spans="1:19" x14ac:dyDescent="0.4">
      <c r="A996" s="291"/>
      <c r="B996" s="292"/>
      <c r="C996" s="312"/>
      <c r="D996" s="292"/>
      <c r="E996" s="489"/>
      <c r="F996" s="489"/>
      <c r="G996" s="490"/>
      <c r="H996" s="520"/>
      <c r="I996" s="523"/>
      <c r="J996" s="521"/>
      <c r="K996" s="522"/>
      <c r="M996" s="301" t="str">
        <f>N996&amp;AS[[#This Row],[Insurer Code]]&amp;"; "&amp;O996&amp;AS[[#This Row],[Reporting Year]]&amp;"; "&amp;P996&amp;AS[[#This Row],[Insurance Category Code]]&amp;"; "&amp;Q996&amp;AS[[#This Row],[Large Provider Entity Code]]&amp;"; "&amp;R996&amp;AS[[#This Row],[Age Band Code]]&amp;"; "&amp;S996&amp;AS[[#This Row],[Sex Code]]</f>
        <v xml:space="preserve">Insurer Code ; Reporting Year ; Insurance Category Code ; Large Provider Entity Code ; Age Band Code ; Sex Code </v>
      </c>
      <c r="N996" s="297" t="s">
        <v>197</v>
      </c>
      <c r="O996" s="297" t="s">
        <v>198</v>
      </c>
      <c r="P996" s="297" t="s">
        <v>199</v>
      </c>
      <c r="Q996" s="297" t="s">
        <v>200</v>
      </c>
      <c r="R996" s="297" t="s">
        <v>213</v>
      </c>
      <c r="S996" s="297" t="s">
        <v>214</v>
      </c>
    </row>
    <row r="997" spans="1:19" x14ac:dyDescent="0.4">
      <c r="A997" s="291"/>
      <c r="B997" s="292"/>
      <c r="C997" s="312"/>
      <c r="D997" s="292"/>
      <c r="E997" s="489"/>
      <c r="F997" s="489"/>
      <c r="G997" s="490"/>
      <c r="H997" s="520"/>
      <c r="I997" s="523"/>
      <c r="J997" s="521"/>
      <c r="K997" s="522"/>
      <c r="M997" s="301" t="str">
        <f>N997&amp;AS[[#This Row],[Insurer Code]]&amp;"; "&amp;O997&amp;AS[[#This Row],[Reporting Year]]&amp;"; "&amp;P997&amp;AS[[#This Row],[Insurance Category Code]]&amp;"; "&amp;Q997&amp;AS[[#This Row],[Large Provider Entity Code]]&amp;"; "&amp;R997&amp;AS[[#This Row],[Age Band Code]]&amp;"; "&amp;S997&amp;AS[[#This Row],[Sex Code]]</f>
        <v xml:space="preserve">Insurer Code ; Reporting Year ; Insurance Category Code ; Large Provider Entity Code ; Age Band Code ; Sex Code </v>
      </c>
      <c r="N997" s="297" t="s">
        <v>197</v>
      </c>
      <c r="O997" s="297" t="s">
        <v>198</v>
      </c>
      <c r="P997" s="297" t="s">
        <v>199</v>
      </c>
      <c r="Q997" s="297" t="s">
        <v>200</v>
      </c>
      <c r="R997" s="297" t="s">
        <v>213</v>
      </c>
      <c r="S997" s="297" t="s">
        <v>214</v>
      </c>
    </row>
    <row r="998" spans="1:19" x14ac:dyDescent="0.4">
      <c r="A998" s="291"/>
      <c r="B998" s="292"/>
      <c r="C998" s="312"/>
      <c r="D998" s="292"/>
      <c r="E998" s="489"/>
      <c r="F998" s="489"/>
      <c r="G998" s="490"/>
      <c r="H998" s="520"/>
      <c r="I998" s="523"/>
      <c r="J998" s="521"/>
      <c r="K998" s="522"/>
      <c r="M998" s="301" t="str">
        <f>N998&amp;AS[[#This Row],[Insurer Code]]&amp;"; "&amp;O998&amp;AS[[#This Row],[Reporting Year]]&amp;"; "&amp;P998&amp;AS[[#This Row],[Insurance Category Code]]&amp;"; "&amp;Q998&amp;AS[[#This Row],[Large Provider Entity Code]]&amp;"; "&amp;R998&amp;AS[[#This Row],[Age Band Code]]&amp;"; "&amp;S998&amp;AS[[#This Row],[Sex Code]]</f>
        <v xml:space="preserve">Insurer Code ; Reporting Year ; Insurance Category Code ; Large Provider Entity Code ; Age Band Code ; Sex Code </v>
      </c>
      <c r="N998" s="297" t="s">
        <v>197</v>
      </c>
      <c r="O998" s="297" t="s">
        <v>198</v>
      </c>
      <c r="P998" s="297" t="s">
        <v>199</v>
      </c>
      <c r="Q998" s="297" t="s">
        <v>200</v>
      </c>
      <c r="R998" s="297" t="s">
        <v>213</v>
      </c>
      <c r="S998" s="297" t="s">
        <v>214</v>
      </c>
    </row>
    <row r="999" spans="1:19" x14ac:dyDescent="0.4">
      <c r="A999" s="291"/>
      <c r="B999" s="292"/>
      <c r="C999" s="312"/>
      <c r="D999" s="292"/>
      <c r="E999" s="489"/>
      <c r="F999" s="489"/>
      <c r="G999" s="490"/>
      <c r="H999" s="520"/>
      <c r="I999" s="523"/>
      <c r="J999" s="521"/>
      <c r="K999" s="522"/>
      <c r="M999" s="301" t="str">
        <f>N999&amp;AS[[#This Row],[Insurer Code]]&amp;"; "&amp;O999&amp;AS[[#This Row],[Reporting Year]]&amp;"; "&amp;P999&amp;AS[[#This Row],[Insurance Category Code]]&amp;"; "&amp;Q999&amp;AS[[#This Row],[Large Provider Entity Code]]&amp;"; "&amp;R999&amp;AS[[#This Row],[Age Band Code]]&amp;"; "&amp;S999&amp;AS[[#This Row],[Sex Code]]</f>
        <v xml:space="preserve">Insurer Code ; Reporting Year ; Insurance Category Code ; Large Provider Entity Code ; Age Band Code ; Sex Code </v>
      </c>
      <c r="N999" s="297" t="s">
        <v>197</v>
      </c>
      <c r="O999" s="297" t="s">
        <v>198</v>
      </c>
      <c r="P999" s="297" t="s">
        <v>199</v>
      </c>
      <c r="Q999" s="297" t="s">
        <v>200</v>
      </c>
      <c r="R999" s="297" t="s">
        <v>213</v>
      </c>
      <c r="S999" s="297" t="s">
        <v>214</v>
      </c>
    </row>
    <row r="1000" spans="1:19" x14ac:dyDescent="0.4">
      <c r="A1000" s="291"/>
      <c r="B1000" s="292"/>
      <c r="C1000" s="312"/>
      <c r="D1000" s="292"/>
      <c r="E1000" s="489"/>
      <c r="F1000" s="489"/>
      <c r="G1000" s="490"/>
      <c r="H1000" s="520"/>
      <c r="I1000" s="523"/>
      <c r="J1000" s="521"/>
      <c r="K1000" s="522"/>
      <c r="M1000" s="301" t="str">
        <f>N1000&amp;AS[[#This Row],[Insurer Code]]&amp;"; "&amp;O1000&amp;AS[[#This Row],[Reporting Year]]&amp;"; "&amp;P1000&amp;AS[[#This Row],[Insurance Category Code]]&amp;"; "&amp;Q1000&amp;AS[[#This Row],[Large Provider Entity Code]]&amp;"; "&amp;R1000&amp;AS[[#This Row],[Age Band Code]]&amp;"; "&amp;S1000&amp;AS[[#This Row],[Sex Code]]</f>
        <v xml:space="preserve">Insurer Code ; Reporting Year ; Insurance Category Code ; Large Provider Entity Code ; Age Band Code ; Sex Code </v>
      </c>
      <c r="N1000" s="297" t="s">
        <v>197</v>
      </c>
      <c r="O1000" s="297" t="s">
        <v>198</v>
      </c>
      <c r="P1000" s="297" t="s">
        <v>199</v>
      </c>
      <c r="Q1000" s="297" t="s">
        <v>200</v>
      </c>
      <c r="R1000" s="297" t="s">
        <v>213</v>
      </c>
      <c r="S1000" s="297" t="s">
        <v>214</v>
      </c>
    </row>
    <row r="1001" spans="1:19" x14ac:dyDescent="0.4">
      <c r="A1001" s="291"/>
      <c r="B1001" s="292"/>
      <c r="C1001" s="312"/>
      <c r="D1001" s="292"/>
      <c r="E1001" s="489"/>
      <c r="F1001" s="489"/>
      <c r="G1001" s="490"/>
      <c r="H1001" s="520"/>
      <c r="I1001" s="523"/>
      <c r="J1001" s="521"/>
      <c r="K1001" s="522"/>
      <c r="M1001" s="301" t="str">
        <f>N1001&amp;AS[[#This Row],[Insurer Code]]&amp;"; "&amp;O1001&amp;AS[[#This Row],[Reporting Year]]&amp;"; "&amp;P1001&amp;AS[[#This Row],[Insurance Category Code]]&amp;"; "&amp;Q1001&amp;AS[[#This Row],[Large Provider Entity Code]]&amp;"; "&amp;R1001&amp;AS[[#This Row],[Age Band Code]]&amp;"; "&amp;S1001&amp;AS[[#This Row],[Sex Code]]</f>
        <v xml:space="preserve">Insurer Code ; Reporting Year ; Insurance Category Code ; Large Provider Entity Code ; Age Band Code ; Sex Code </v>
      </c>
      <c r="N1001" s="297" t="s">
        <v>197</v>
      </c>
      <c r="O1001" s="297" t="s">
        <v>198</v>
      </c>
      <c r="P1001" s="297" t="s">
        <v>199</v>
      </c>
      <c r="Q1001" s="297" t="s">
        <v>200</v>
      </c>
      <c r="R1001" s="297" t="s">
        <v>213</v>
      </c>
      <c r="S1001" s="297" t="s">
        <v>214</v>
      </c>
    </row>
    <row r="1002" spans="1:19" x14ac:dyDescent="0.4">
      <c r="A1002" s="291"/>
      <c r="B1002" s="292"/>
      <c r="C1002" s="312"/>
      <c r="D1002" s="292"/>
      <c r="E1002" s="489"/>
      <c r="F1002" s="489"/>
      <c r="G1002" s="490"/>
      <c r="H1002" s="520"/>
      <c r="I1002" s="523"/>
      <c r="J1002" s="521"/>
      <c r="K1002" s="522"/>
      <c r="M1002" s="301" t="str">
        <f>N1002&amp;AS[[#This Row],[Insurer Code]]&amp;"; "&amp;O1002&amp;AS[[#This Row],[Reporting Year]]&amp;"; "&amp;P1002&amp;AS[[#This Row],[Insurance Category Code]]&amp;"; "&amp;Q1002&amp;AS[[#This Row],[Large Provider Entity Code]]&amp;"; "&amp;R1002&amp;AS[[#This Row],[Age Band Code]]&amp;"; "&amp;S1002&amp;AS[[#This Row],[Sex Code]]</f>
        <v xml:space="preserve">Insurer Code ; Reporting Year ; Insurance Category Code ; Large Provider Entity Code ; Age Band Code ; Sex Code </v>
      </c>
      <c r="N1002" s="297" t="s">
        <v>197</v>
      </c>
      <c r="O1002" s="297" t="s">
        <v>198</v>
      </c>
      <c r="P1002" s="297" t="s">
        <v>199</v>
      </c>
      <c r="Q1002" s="297" t="s">
        <v>200</v>
      </c>
      <c r="R1002" s="297" t="s">
        <v>213</v>
      </c>
      <c r="S1002" s="297" t="s">
        <v>214</v>
      </c>
    </row>
    <row r="1003" spans="1:19" x14ac:dyDescent="0.4">
      <c r="A1003" s="291"/>
      <c r="B1003" s="292"/>
      <c r="C1003" s="312"/>
      <c r="D1003" s="292"/>
      <c r="E1003" s="489"/>
      <c r="F1003" s="489"/>
      <c r="G1003" s="490"/>
      <c r="H1003" s="520"/>
      <c r="I1003" s="523"/>
      <c r="J1003" s="521"/>
      <c r="K1003" s="522"/>
      <c r="M1003" s="301" t="str">
        <f>N1003&amp;AS[[#This Row],[Insurer Code]]&amp;"; "&amp;O1003&amp;AS[[#This Row],[Reporting Year]]&amp;"; "&amp;P1003&amp;AS[[#This Row],[Insurance Category Code]]&amp;"; "&amp;Q1003&amp;AS[[#This Row],[Large Provider Entity Code]]&amp;"; "&amp;R1003&amp;AS[[#This Row],[Age Band Code]]&amp;"; "&amp;S1003&amp;AS[[#This Row],[Sex Code]]</f>
        <v xml:space="preserve">Insurer Code ; Reporting Year ; Insurance Category Code ; Large Provider Entity Code ; Age Band Code ; Sex Code </v>
      </c>
      <c r="N1003" s="297" t="s">
        <v>197</v>
      </c>
      <c r="O1003" s="297" t="s">
        <v>198</v>
      </c>
      <c r="P1003" s="297" t="s">
        <v>199</v>
      </c>
      <c r="Q1003" s="297" t="s">
        <v>200</v>
      </c>
      <c r="R1003" s="297" t="s">
        <v>213</v>
      </c>
      <c r="S1003" s="297" t="s">
        <v>214</v>
      </c>
    </row>
    <row r="1004" spans="1:19" x14ac:dyDescent="0.4">
      <c r="A1004" s="291"/>
      <c r="B1004" s="292"/>
      <c r="C1004" s="312"/>
      <c r="D1004" s="292"/>
      <c r="E1004" s="489"/>
      <c r="F1004" s="489"/>
      <c r="G1004" s="490"/>
      <c r="H1004" s="520"/>
      <c r="I1004" s="523"/>
      <c r="J1004" s="521"/>
      <c r="K1004" s="522"/>
      <c r="M1004" s="301" t="str">
        <f>N1004&amp;AS[[#This Row],[Insurer Code]]&amp;"; "&amp;O1004&amp;AS[[#This Row],[Reporting Year]]&amp;"; "&amp;P1004&amp;AS[[#This Row],[Insurance Category Code]]&amp;"; "&amp;Q1004&amp;AS[[#This Row],[Large Provider Entity Code]]&amp;"; "&amp;R1004&amp;AS[[#This Row],[Age Band Code]]&amp;"; "&amp;S1004&amp;AS[[#This Row],[Sex Code]]</f>
        <v xml:space="preserve">Insurer Code ; Reporting Year ; Insurance Category Code ; Large Provider Entity Code ; Age Band Code ; Sex Code </v>
      </c>
      <c r="N1004" s="297" t="s">
        <v>197</v>
      </c>
      <c r="O1004" s="297" t="s">
        <v>198</v>
      </c>
      <c r="P1004" s="297" t="s">
        <v>199</v>
      </c>
      <c r="Q1004" s="297" t="s">
        <v>200</v>
      </c>
      <c r="R1004" s="297" t="s">
        <v>213</v>
      </c>
      <c r="S1004" s="297" t="s">
        <v>214</v>
      </c>
    </row>
    <row r="1005" spans="1:19" x14ac:dyDescent="0.4">
      <c r="A1005" s="291"/>
      <c r="B1005" s="292"/>
      <c r="C1005" s="312"/>
      <c r="D1005" s="292"/>
      <c r="E1005" s="489"/>
      <c r="F1005" s="489"/>
      <c r="G1005" s="490"/>
      <c r="H1005" s="520"/>
      <c r="I1005" s="523"/>
      <c r="J1005" s="521"/>
      <c r="K1005" s="522"/>
      <c r="M1005" s="301" t="str">
        <f>N1005&amp;AS[[#This Row],[Insurer Code]]&amp;"; "&amp;O1005&amp;AS[[#This Row],[Reporting Year]]&amp;"; "&amp;P1005&amp;AS[[#This Row],[Insurance Category Code]]&amp;"; "&amp;Q1005&amp;AS[[#This Row],[Large Provider Entity Code]]&amp;"; "&amp;R1005&amp;AS[[#This Row],[Age Band Code]]&amp;"; "&amp;S1005&amp;AS[[#This Row],[Sex Code]]</f>
        <v xml:space="preserve">Insurer Code ; Reporting Year ; Insurance Category Code ; Large Provider Entity Code ; Age Band Code ; Sex Code </v>
      </c>
      <c r="N1005" s="297" t="s">
        <v>197</v>
      </c>
      <c r="O1005" s="297" t="s">
        <v>198</v>
      </c>
      <c r="P1005" s="297" t="s">
        <v>199</v>
      </c>
      <c r="Q1005" s="297" t="s">
        <v>200</v>
      </c>
      <c r="R1005" s="297" t="s">
        <v>213</v>
      </c>
      <c r="S1005" s="297" t="s">
        <v>214</v>
      </c>
    </row>
    <row r="1006" spans="1:19" x14ac:dyDescent="0.4">
      <c r="A1006" s="291"/>
      <c r="B1006" s="292"/>
      <c r="C1006" s="312"/>
      <c r="D1006" s="292"/>
      <c r="E1006" s="489"/>
      <c r="F1006" s="489"/>
      <c r="G1006" s="490"/>
      <c r="H1006" s="520"/>
      <c r="I1006" s="523"/>
      <c r="J1006" s="521"/>
      <c r="K1006" s="522"/>
      <c r="M1006" s="301" t="str">
        <f>N1006&amp;AS[[#This Row],[Insurer Code]]&amp;"; "&amp;O1006&amp;AS[[#This Row],[Reporting Year]]&amp;"; "&amp;P1006&amp;AS[[#This Row],[Insurance Category Code]]&amp;"; "&amp;Q1006&amp;AS[[#This Row],[Large Provider Entity Code]]&amp;"; "&amp;R1006&amp;AS[[#This Row],[Age Band Code]]&amp;"; "&amp;S1006&amp;AS[[#This Row],[Sex Code]]</f>
        <v xml:space="preserve">Insurer Code ; Reporting Year ; Insurance Category Code ; Large Provider Entity Code ; Age Band Code ; Sex Code </v>
      </c>
      <c r="N1006" s="297" t="s">
        <v>197</v>
      </c>
      <c r="O1006" s="297" t="s">
        <v>198</v>
      </c>
      <c r="P1006" s="297" t="s">
        <v>199</v>
      </c>
      <c r="Q1006" s="297" t="s">
        <v>200</v>
      </c>
      <c r="R1006" s="297" t="s">
        <v>213</v>
      </c>
      <c r="S1006" s="297" t="s">
        <v>214</v>
      </c>
    </row>
    <row r="1007" spans="1:19" x14ac:dyDescent="0.4">
      <c r="A1007" s="291"/>
      <c r="B1007" s="292"/>
      <c r="C1007" s="312"/>
      <c r="D1007" s="292"/>
      <c r="E1007" s="489"/>
      <c r="F1007" s="489"/>
      <c r="G1007" s="490"/>
      <c r="H1007" s="520"/>
      <c r="I1007" s="523"/>
      <c r="J1007" s="521"/>
      <c r="K1007" s="522"/>
      <c r="M1007" s="301" t="str">
        <f>N1007&amp;AS[[#This Row],[Insurer Code]]&amp;"; "&amp;O1007&amp;AS[[#This Row],[Reporting Year]]&amp;"; "&amp;P1007&amp;AS[[#This Row],[Insurance Category Code]]&amp;"; "&amp;Q1007&amp;AS[[#This Row],[Large Provider Entity Code]]&amp;"; "&amp;R1007&amp;AS[[#This Row],[Age Band Code]]&amp;"; "&amp;S1007&amp;AS[[#This Row],[Sex Code]]</f>
        <v xml:space="preserve">Insurer Code ; Reporting Year ; Insurance Category Code ; Large Provider Entity Code ; Age Band Code ; Sex Code </v>
      </c>
      <c r="N1007" s="297" t="s">
        <v>197</v>
      </c>
      <c r="O1007" s="297" t="s">
        <v>198</v>
      </c>
      <c r="P1007" s="297" t="s">
        <v>199</v>
      </c>
      <c r="Q1007" s="297" t="s">
        <v>200</v>
      </c>
      <c r="R1007" s="297" t="s">
        <v>213</v>
      </c>
      <c r="S1007" s="297" t="s">
        <v>214</v>
      </c>
    </row>
    <row r="1008" spans="1:19" x14ac:dyDescent="0.4">
      <c r="A1008" s="291"/>
      <c r="B1008" s="292"/>
      <c r="C1008" s="312"/>
      <c r="D1008" s="292"/>
      <c r="E1008" s="489"/>
      <c r="F1008" s="489"/>
      <c r="G1008" s="490"/>
      <c r="H1008" s="520"/>
      <c r="I1008" s="523"/>
      <c r="J1008" s="521"/>
      <c r="K1008" s="522"/>
      <c r="M1008" s="301" t="str">
        <f>N1008&amp;AS[[#This Row],[Insurer Code]]&amp;"; "&amp;O1008&amp;AS[[#This Row],[Reporting Year]]&amp;"; "&amp;P1008&amp;AS[[#This Row],[Insurance Category Code]]&amp;"; "&amp;Q1008&amp;AS[[#This Row],[Large Provider Entity Code]]&amp;"; "&amp;R1008&amp;AS[[#This Row],[Age Band Code]]&amp;"; "&amp;S1008&amp;AS[[#This Row],[Sex Code]]</f>
        <v xml:space="preserve">Insurer Code ; Reporting Year ; Insurance Category Code ; Large Provider Entity Code ; Age Band Code ; Sex Code </v>
      </c>
      <c r="N1008" s="297" t="s">
        <v>197</v>
      </c>
      <c r="O1008" s="297" t="s">
        <v>198</v>
      </c>
      <c r="P1008" s="297" t="s">
        <v>199</v>
      </c>
      <c r="Q1008" s="297" t="s">
        <v>200</v>
      </c>
      <c r="R1008" s="297" t="s">
        <v>213</v>
      </c>
      <c r="S1008" s="297" t="s">
        <v>214</v>
      </c>
    </row>
    <row r="1009" spans="1:19" x14ac:dyDescent="0.4">
      <c r="A1009" s="291"/>
      <c r="B1009" s="292"/>
      <c r="C1009" s="312"/>
      <c r="D1009" s="292"/>
      <c r="E1009" s="489"/>
      <c r="F1009" s="489"/>
      <c r="G1009" s="490"/>
      <c r="H1009" s="520"/>
      <c r="I1009" s="523"/>
      <c r="J1009" s="521"/>
      <c r="K1009" s="522"/>
      <c r="M1009" s="301" t="str">
        <f>N1009&amp;AS[[#This Row],[Insurer Code]]&amp;"; "&amp;O1009&amp;AS[[#This Row],[Reporting Year]]&amp;"; "&amp;P1009&amp;AS[[#This Row],[Insurance Category Code]]&amp;"; "&amp;Q1009&amp;AS[[#This Row],[Large Provider Entity Code]]&amp;"; "&amp;R1009&amp;AS[[#This Row],[Age Band Code]]&amp;"; "&amp;S1009&amp;AS[[#This Row],[Sex Code]]</f>
        <v xml:space="preserve">Insurer Code ; Reporting Year ; Insurance Category Code ; Large Provider Entity Code ; Age Band Code ; Sex Code </v>
      </c>
      <c r="N1009" s="297" t="s">
        <v>197</v>
      </c>
      <c r="O1009" s="297" t="s">
        <v>198</v>
      </c>
      <c r="P1009" s="297" t="s">
        <v>199</v>
      </c>
      <c r="Q1009" s="297" t="s">
        <v>200</v>
      </c>
      <c r="R1009" s="297" t="s">
        <v>213</v>
      </c>
      <c r="S1009" s="297" t="s">
        <v>214</v>
      </c>
    </row>
    <row r="1010" spans="1:19" x14ac:dyDescent="0.4">
      <c r="A1010" s="291"/>
      <c r="B1010" s="292"/>
      <c r="C1010" s="312"/>
      <c r="D1010" s="292"/>
      <c r="E1010" s="489"/>
      <c r="F1010" s="489"/>
      <c r="G1010" s="490"/>
      <c r="H1010" s="520"/>
      <c r="I1010" s="523"/>
      <c r="J1010" s="521"/>
      <c r="K1010" s="522"/>
      <c r="M1010" s="301" t="str">
        <f>N1010&amp;AS[[#This Row],[Insurer Code]]&amp;"; "&amp;O1010&amp;AS[[#This Row],[Reporting Year]]&amp;"; "&amp;P1010&amp;AS[[#This Row],[Insurance Category Code]]&amp;"; "&amp;Q1010&amp;AS[[#This Row],[Large Provider Entity Code]]&amp;"; "&amp;R1010&amp;AS[[#This Row],[Age Band Code]]&amp;"; "&amp;S1010&amp;AS[[#This Row],[Sex Code]]</f>
        <v xml:space="preserve">Insurer Code ; Reporting Year ; Insurance Category Code ; Large Provider Entity Code ; Age Band Code ; Sex Code </v>
      </c>
      <c r="N1010" s="297" t="s">
        <v>197</v>
      </c>
      <c r="O1010" s="297" t="s">
        <v>198</v>
      </c>
      <c r="P1010" s="297" t="s">
        <v>199</v>
      </c>
      <c r="Q1010" s="297" t="s">
        <v>200</v>
      </c>
      <c r="R1010" s="297" t="s">
        <v>213</v>
      </c>
      <c r="S1010" s="297" t="s">
        <v>214</v>
      </c>
    </row>
    <row r="1011" spans="1:19" x14ac:dyDescent="0.4">
      <c r="A1011" s="291"/>
      <c r="B1011" s="292"/>
      <c r="C1011" s="312"/>
      <c r="D1011" s="292"/>
      <c r="E1011" s="489"/>
      <c r="F1011" s="489"/>
      <c r="G1011" s="490"/>
      <c r="H1011" s="520"/>
      <c r="I1011" s="523"/>
      <c r="J1011" s="521"/>
      <c r="K1011" s="522"/>
      <c r="M1011" s="301" t="str">
        <f>N1011&amp;AS[[#This Row],[Insurer Code]]&amp;"; "&amp;O1011&amp;AS[[#This Row],[Reporting Year]]&amp;"; "&amp;P1011&amp;AS[[#This Row],[Insurance Category Code]]&amp;"; "&amp;Q1011&amp;AS[[#This Row],[Large Provider Entity Code]]&amp;"; "&amp;R1011&amp;AS[[#This Row],[Age Band Code]]&amp;"; "&amp;S1011&amp;AS[[#This Row],[Sex Code]]</f>
        <v xml:space="preserve">Insurer Code ; Reporting Year ; Insurance Category Code ; Large Provider Entity Code ; Age Band Code ; Sex Code </v>
      </c>
      <c r="N1011" s="297" t="s">
        <v>197</v>
      </c>
      <c r="O1011" s="297" t="s">
        <v>198</v>
      </c>
      <c r="P1011" s="297" t="s">
        <v>199</v>
      </c>
      <c r="Q1011" s="297" t="s">
        <v>200</v>
      </c>
      <c r="R1011" s="297" t="s">
        <v>213</v>
      </c>
      <c r="S1011" s="297" t="s">
        <v>214</v>
      </c>
    </row>
    <row r="1012" spans="1:19" x14ac:dyDescent="0.4">
      <c r="A1012" s="291"/>
      <c r="B1012" s="292"/>
      <c r="C1012" s="312"/>
      <c r="D1012" s="292"/>
      <c r="E1012" s="489"/>
      <c r="F1012" s="489"/>
      <c r="G1012" s="490"/>
      <c r="H1012" s="520"/>
      <c r="I1012" s="523"/>
      <c r="J1012" s="521"/>
      <c r="K1012" s="522"/>
      <c r="M1012" s="301" t="str">
        <f>N1012&amp;AS[[#This Row],[Insurer Code]]&amp;"; "&amp;O1012&amp;AS[[#This Row],[Reporting Year]]&amp;"; "&amp;P1012&amp;AS[[#This Row],[Insurance Category Code]]&amp;"; "&amp;Q1012&amp;AS[[#This Row],[Large Provider Entity Code]]&amp;"; "&amp;R1012&amp;AS[[#This Row],[Age Band Code]]&amp;"; "&amp;S1012&amp;AS[[#This Row],[Sex Code]]</f>
        <v xml:space="preserve">Insurer Code ; Reporting Year ; Insurance Category Code ; Large Provider Entity Code ; Age Band Code ; Sex Code </v>
      </c>
      <c r="N1012" s="297" t="s">
        <v>197</v>
      </c>
      <c r="O1012" s="297" t="s">
        <v>198</v>
      </c>
      <c r="P1012" s="297" t="s">
        <v>199</v>
      </c>
      <c r="Q1012" s="297" t="s">
        <v>200</v>
      </c>
      <c r="R1012" s="297" t="s">
        <v>213</v>
      </c>
      <c r="S1012" s="297" t="s">
        <v>214</v>
      </c>
    </row>
    <row r="1013" spans="1:19" x14ac:dyDescent="0.4">
      <c r="A1013" s="291"/>
      <c r="B1013" s="292"/>
      <c r="C1013" s="312"/>
      <c r="D1013" s="292"/>
      <c r="E1013" s="489"/>
      <c r="F1013" s="489"/>
      <c r="G1013" s="490"/>
      <c r="H1013" s="520"/>
      <c r="I1013" s="523"/>
      <c r="J1013" s="521"/>
      <c r="K1013" s="522"/>
      <c r="M1013" s="301" t="str">
        <f>N1013&amp;AS[[#This Row],[Insurer Code]]&amp;"; "&amp;O1013&amp;AS[[#This Row],[Reporting Year]]&amp;"; "&amp;P1013&amp;AS[[#This Row],[Insurance Category Code]]&amp;"; "&amp;Q1013&amp;AS[[#This Row],[Large Provider Entity Code]]&amp;"; "&amp;R1013&amp;AS[[#This Row],[Age Band Code]]&amp;"; "&amp;S1013&amp;AS[[#This Row],[Sex Code]]</f>
        <v xml:space="preserve">Insurer Code ; Reporting Year ; Insurance Category Code ; Large Provider Entity Code ; Age Band Code ; Sex Code </v>
      </c>
      <c r="N1013" s="297" t="s">
        <v>197</v>
      </c>
      <c r="O1013" s="297" t="s">
        <v>198</v>
      </c>
      <c r="P1013" s="297" t="s">
        <v>199</v>
      </c>
      <c r="Q1013" s="297" t="s">
        <v>200</v>
      </c>
      <c r="R1013" s="297" t="s">
        <v>213</v>
      </c>
      <c r="S1013" s="297" t="s">
        <v>214</v>
      </c>
    </row>
    <row r="1014" spans="1:19" x14ac:dyDescent="0.4">
      <c r="A1014" s="291"/>
      <c r="B1014" s="292"/>
      <c r="C1014" s="312"/>
      <c r="D1014" s="292"/>
      <c r="E1014" s="489"/>
      <c r="F1014" s="489"/>
      <c r="G1014" s="490"/>
      <c r="H1014" s="520"/>
      <c r="I1014" s="523"/>
      <c r="J1014" s="521"/>
      <c r="K1014" s="522"/>
      <c r="M1014" s="301" t="str">
        <f>N1014&amp;AS[[#This Row],[Insurer Code]]&amp;"; "&amp;O1014&amp;AS[[#This Row],[Reporting Year]]&amp;"; "&amp;P1014&amp;AS[[#This Row],[Insurance Category Code]]&amp;"; "&amp;Q1014&amp;AS[[#This Row],[Large Provider Entity Code]]&amp;"; "&amp;R1014&amp;AS[[#This Row],[Age Band Code]]&amp;"; "&amp;S1014&amp;AS[[#This Row],[Sex Code]]</f>
        <v xml:space="preserve">Insurer Code ; Reporting Year ; Insurance Category Code ; Large Provider Entity Code ; Age Band Code ; Sex Code </v>
      </c>
      <c r="N1014" s="297" t="s">
        <v>197</v>
      </c>
      <c r="O1014" s="297" t="s">
        <v>198</v>
      </c>
      <c r="P1014" s="297" t="s">
        <v>199</v>
      </c>
      <c r="Q1014" s="297" t="s">
        <v>200</v>
      </c>
      <c r="R1014" s="297" t="s">
        <v>213</v>
      </c>
      <c r="S1014" s="297" t="s">
        <v>214</v>
      </c>
    </row>
    <row r="1015" spans="1:19" x14ac:dyDescent="0.4">
      <c r="A1015" s="291"/>
      <c r="B1015" s="292"/>
      <c r="C1015" s="312"/>
      <c r="D1015" s="292"/>
      <c r="E1015" s="489"/>
      <c r="F1015" s="489"/>
      <c r="G1015" s="490"/>
      <c r="H1015" s="520"/>
      <c r="I1015" s="523"/>
      <c r="J1015" s="521"/>
      <c r="K1015" s="522"/>
      <c r="M1015" s="301" t="str">
        <f>N1015&amp;AS[[#This Row],[Insurer Code]]&amp;"; "&amp;O1015&amp;AS[[#This Row],[Reporting Year]]&amp;"; "&amp;P1015&amp;AS[[#This Row],[Insurance Category Code]]&amp;"; "&amp;Q1015&amp;AS[[#This Row],[Large Provider Entity Code]]&amp;"; "&amp;R1015&amp;AS[[#This Row],[Age Band Code]]&amp;"; "&amp;S1015&amp;AS[[#This Row],[Sex Code]]</f>
        <v xml:space="preserve">Insurer Code ; Reporting Year ; Insurance Category Code ; Large Provider Entity Code ; Age Band Code ; Sex Code </v>
      </c>
      <c r="N1015" s="297" t="s">
        <v>197</v>
      </c>
      <c r="O1015" s="297" t="s">
        <v>198</v>
      </c>
      <c r="P1015" s="297" t="s">
        <v>199</v>
      </c>
      <c r="Q1015" s="297" t="s">
        <v>200</v>
      </c>
      <c r="R1015" s="297" t="s">
        <v>213</v>
      </c>
      <c r="S1015" s="297" t="s">
        <v>214</v>
      </c>
    </row>
    <row r="1016" spans="1:19" x14ac:dyDescent="0.4">
      <c r="A1016" s="291"/>
      <c r="B1016" s="292"/>
      <c r="C1016" s="312"/>
      <c r="D1016" s="292"/>
      <c r="E1016" s="489"/>
      <c r="F1016" s="489"/>
      <c r="G1016" s="490"/>
      <c r="H1016" s="520"/>
      <c r="I1016" s="523"/>
      <c r="J1016" s="521"/>
      <c r="K1016" s="522"/>
      <c r="M1016" s="301" t="str">
        <f>N1016&amp;AS[[#This Row],[Insurer Code]]&amp;"; "&amp;O1016&amp;AS[[#This Row],[Reporting Year]]&amp;"; "&amp;P1016&amp;AS[[#This Row],[Insurance Category Code]]&amp;"; "&amp;Q1016&amp;AS[[#This Row],[Large Provider Entity Code]]&amp;"; "&amp;R1016&amp;AS[[#This Row],[Age Band Code]]&amp;"; "&amp;S1016&amp;AS[[#This Row],[Sex Code]]</f>
        <v xml:space="preserve">Insurer Code ; Reporting Year ; Insurance Category Code ; Large Provider Entity Code ; Age Band Code ; Sex Code </v>
      </c>
      <c r="N1016" s="297" t="s">
        <v>197</v>
      </c>
      <c r="O1016" s="297" t="s">
        <v>198</v>
      </c>
      <c r="P1016" s="297" t="s">
        <v>199</v>
      </c>
      <c r="Q1016" s="297" t="s">
        <v>200</v>
      </c>
      <c r="R1016" s="297" t="s">
        <v>213</v>
      </c>
      <c r="S1016" s="297" t="s">
        <v>214</v>
      </c>
    </row>
    <row r="1017" spans="1:19" x14ac:dyDescent="0.4">
      <c r="A1017" s="291"/>
      <c r="B1017" s="292"/>
      <c r="C1017" s="312"/>
      <c r="D1017" s="292"/>
      <c r="E1017" s="489"/>
      <c r="F1017" s="489"/>
      <c r="G1017" s="490"/>
      <c r="H1017" s="520"/>
      <c r="I1017" s="523"/>
      <c r="J1017" s="521"/>
      <c r="K1017" s="522"/>
      <c r="M1017" s="301" t="str">
        <f>N1017&amp;AS[[#This Row],[Insurer Code]]&amp;"; "&amp;O1017&amp;AS[[#This Row],[Reporting Year]]&amp;"; "&amp;P1017&amp;AS[[#This Row],[Insurance Category Code]]&amp;"; "&amp;Q1017&amp;AS[[#This Row],[Large Provider Entity Code]]&amp;"; "&amp;R1017&amp;AS[[#This Row],[Age Band Code]]&amp;"; "&amp;S1017&amp;AS[[#This Row],[Sex Code]]</f>
        <v xml:space="preserve">Insurer Code ; Reporting Year ; Insurance Category Code ; Large Provider Entity Code ; Age Band Code ; Sex Code </v>
      </c>
      <c r="N1017" s="297" t="s">
        <v>197</v>
      </c>
      <c r="O1017" s="297" t="s">
        <v>198</v>
      </c>
      <c r="P1017" s="297" t="s">
        <v>199</v>
      </c>
      <c r="Q1017" s="297" t="s">
        <v>200</v>
      </c>
      <c r="R1017" s="297" t="s">
        <v>213</v>
      </c>
      <c r="S1017" s="297" t="s">
        <v>214</v>
      </c>
    </row>
    <row r="1018" spans="1:19" x14ac:dyDescent="0.4">
      <c r="A1018" s="291"/>
      <c r="B1018" s="292"/>
      <c r="C1018" s="312"/>
      <c r="D1018" s="292"/>
      <c r="E1018" s="489"/>
      <c r="F1018" s="489"/>
      <c r="G1018" s="490"/>
      <c r="H1018" s="520"/>
      <c r="I1018" s="523"/>
      <c r="J1018" s="521"/>
      <c r="K1018" s="522"/>
      <c r="M1018" s="301" t="str">
        <f>N1018&amp;AS[[#This Row],[Insurer Code]]&amp;"; "&amp;O1018&amp;AS[[#This Row],[Reporting Year]]&amp;"; "&amp;P1018&amp;AS[[#This Row],[Insurance Category Code]]&amp;"; "&amp;Q1018&amp;AS[[#This Row],[Large Provider Entity Code]]&amp;"; "&amp;R1018&amp;AS[[#This Row],[Age Band Code]]&amp;"; "&amp;S1018&amp;AS[[#This Row],[Sex Code]]</f>
        <v xml:space="preserve">Insurer Code ; Reporting Year ; Insurance Category Code ; Large Provider Entity Code ; Age Band Code ; Sex Code </v>
      </c>
      <c r="N1018" s="297" t="s">
        <v>197</v>
      </c>
      <c r="O1018" s="297" t="s">
        <v>198</v>
      </c>
      <c r="P1018" s="297" t="s">
        <v>199</v>
      </c>
      <c r="Q1018" s="297" t="s">
        <v>200</v>
      </c>
      <c r="R1018" s="297" t="s">
        <v>213</v>
      </c>
      <c r="S1018" s="297" t="s">
        <v>214</v>
      </c>
    </row>
    <row r="1019" spans="1:19" x14ac:dyDescent="0.4">
      <c r="A1019" s="291"/>
      <c r="B1019" s="292"/>
      <c r="C1019" s="312"/>
      <c r="D1019" s="292"/>
      <c r="E1019" s="489"/>
      <c r="F1019" s="489"/>
      <c r="G1019" s="490"/>
      <c r="H1019" s="520"/>
      <c r="I1019" s="523"/>
      <c r="J1019" s="521"/>
      <c r="K1019" s="522"/>
      <c r="M1019" s="301" t="str">
        <f>N1019&amp;AS[[#This Row],[Insurer Code]]&amp;"; "&amp;O1019&amp;AS[[#This Row],[Reporting Year]]&amp;"; "&amp;P1019&amp;AS[[#This Row],[Insurance Category Code]]&amp;"; "&amp;Q1019&amp;AS[[#This Row],[Large Provider Entity Code]]&amp;"; "&amp;R1019&amp;AS[[#This Row],[Age Band Code]]&amp;"; "&amp;S1019&amp;AS[[#This Row],[Sex Code]]</f>
        <v xml:space="preserve">Insurer Code ; Reporting Year ; Insurance Category Code ; Large Provider Entity Code ; Age Band Code ; Sex Code </v>
      </c>
      <c r="N1019" s="297" t="s">
        <v>197</v>
      </c>
      <c r="O1019" s="297" t="s">
        <v>198</v>
      </c>
      <c r="P1019" s="297" t="s">
        <v>199</v>
      </c>
      <c r="Q1019" s="297" t="s">
        <v>200</v>
      </c>
      <c r="R1019" s="297" t="s">
        <v>213</v>
      </c>
      <c r="S1019" s="297" t="s">
        <v>214</v>
      </c>
    </row>
    <row r="1020" spans="1:19" x14ac:dyDescent="0.4">
      <c r="A1020" s="291"/>
      <c r="B1020" s="292"/>
      <c r="C1020" s="312"/>
      <c r="D1020" s="292"/>
      <c r="E1020" s="489"/>
      <c r="F1020" s="489"/>
      <c r="G1020" s="490"/>
      <c r="H1020" s="520"/>
      <c r="I1020" s="523"/>
      <c r="J1020" s="521"/>
      <c r="K1020" s="522"/>
      <c r="M1020" s="301" t="str">
        <f>N1020&amp;AS[[#This Row],[Insurer Code]]&amp;"; "&amp;O1020&amp;AS[[#This Row],[Reporting Year]]&amp;"; "&amp;P1020&amp;AS[[#This Row],[Insurance Category Code]]&amp;"; "&amp;Q1020&amp;AS[[#This Row],[Large Provider Entity Code]]&amp;"; "&amp;R1020&amp;AS[[#This Row],[Age Band Code]]&amp;"; "&amp;S1020&amp;AS[[#This Row],[Sex Code]]</f>
        <v xml:space="preserve">Insurer Code ; Reporting Year ; Insurance Category Code ; Large Provider Entity Code ; Age Band Code ; Sex Code </v>
      </c>
      <c r="N1020" s="297" t="s">
        <v>197</v>
      </c>
      <c r="O1020" s="297" t="s">
        <v>198</v>
      </c>
      <c r="P1020" s="297" t="s">
        <v>199</v>
      </c>
      <c r="Q1020" s="297" t="s">
        <v>200</v>
      </c>
      <c r="R1020" s="297" t="s">
        <v>213</v>
      </c>
      <c r="S1020" s="297" t="s">
        <v>214</v>
      </c>
    </row>
    <row r="1021" spans="1:19" x14ac:dyDescent="0.4">
      <c r="A1021" s="291"/>
      <c r="B1021" s="292"/>
      <c r="C1021" s="312"/>
      <c r="D1021" s="292"/>
      <c r="E1021" s="489"/>
      <c r="F1021" s="489"/>
      <c r="G1021" s="490"/>
      <c r="H1021" s="520"/>
      <c r="I1021" s="523"/>
      <c r="J1021" s="521"/>
      <c r="K1021" s="522"/>
      <c r="M1021" s="301" t="str">
        <f>N1021&amp;AS[[#This Row],[Insurer Code]]&amp;"; "&amp;O1021&amp;AS[[#This Row],[Reporting Year]]&amp;"; "&amp;P1021&amp;AS[[#This Row],[Insurance Category Code]]&amp;"; "&amp;Q1021&amp;AS[[#This Row],[Large Provider Entity Code]]&amp;"; "&amp;R1021&amp;AS[[#This Row],[Age Band Code]]&amp;"; "&amp;S1021&amp;AS[[#This Row],[Sex Code]]</f>
        <v xml:space="preserve">Insurer Code ; Reporting Year ; Insurance Category Code ; Large Provider Entity Code ; Age Band Code ; Sex Code </v>
      </c>
      <c r="N1021" s="297" t="s">
        <v>197</v>
      </c>
      <c r="O1021" s="297" t="s">
        <v>198</v>
      </c>
      <c r="P1021" s="297" t="s">
        <v>199</v>
      </c>
      <c r="Q1021" s="297" t="s">
        <v>200</v>
      </c>
      <c r="R1021" s="297" t="s">
        <v>213</v>
      </c>
      <c r="S1021" s="297" t="s">
        <v>214</v>
      </c>
    </row>
    <row r="1022" spans="1:19" x14ac:dyDescent="0.4">
      <c r="A1022" s="291"/>
      <c r="B1022" s="292"/>
      <c r="C1022" s="312"/>
      <c r="D1022" s="292"/>
      <c r="E1022" s="489"/>
      <c r="F1022" s="489"/>
      <c r="G1022" s="490"/>
      <c r="H1022" s="520"/>
      <c r="I1022" s="523"/>
      <c r="J1022" s="521"/>
      <c r="K1022" s="522"/>
      <c r="M1022" s="301" t="str">
        <f>N1022&amp;AS[[#This Row],[Insurer Code]]&amp;"; "&amp;O1022&amp;AS[[#This Row],[Reporting Year]]&amp;"; "&amp;P1022&amp;AS[[#This Row],[Insurance Category Code]]&amp;"; "&amp;Q1022&amp;AS[[#This Row],[Large Provider Entity Code]]&amp;"; "&amp;R1022&amp;AS[[#This Row],[Age Band Code]]&amp;"; "&amp;S1022&amp;AS[[#This Row],[Sex Code]]</f>
        <v xml:space="preserve">Insurer Code ; Reporting Year ; Insurance Category Code ; Large Provider Entity Code ; Age Band Code ; Sex Code </v>
      </c>
      <c r="N1022" s="297" t="s">
        <v>197</v>
      </c>
      <c r="O1022" s="297" t="s">
        <v>198</v>
      </c>
      <c r="P1022" s="297" t="s">
        <v>199</v>
      </c>
      <c r="Q1022" s="297" t="s">
        <v>200</v>
      </c>
      <c r="R1022" s="297" t="s">
        <v>213</v>
      </c>
      <c r="S1022" s="297" t="s">
        <v>214</v>
      </c>
    </row>
    <row r="1023" spans="1:19" x14ac:dyDescent="0.4">
      <c r="A1023" s="291"/>
      <c r="B1023" s="292"/>
      <c r="C1023" s="312"/>
      <c r="D1023" s="292"/>
      <c r="E1023" s="489"/>
      <c r="F1023" s="489"/>
      <c r="G1023" s="490"/>
      <c r="H1023" s="520"/>
      <c r="I1023" s="523"/>
      <c r="J1023" s="521"/>
      <c r="K1023" s="522"/>
      <c r="M1023" s="301" t="str">
        <f>N1023&amp;AS[[#This Row],[Insurer Code]]&amp;"; "&amp;O1023&amp;AS[[#This Row],[Reporting Year]]&amp;"; "&amp;P1023&amp;AS[[#This Row],[Insurance Category Code]]&amp;"; "&amp;Q1023&amp;AS[[#This Row],[Large Provider Entity Code]]&amp;"; "&amp;R1023&amp;AS[[#This Row],[Age Band Code]]&amp;"; "&amp;S1023&amp;AS[[#This Row],[Sex Code]]</f>
        <v xml:space="preserve">Insurer Code ; Reporting Year ; Insurance Category Code ; Large Provider Entity Code ; Age Band Code ; Sex Code </v>
      </c>
      <c r="N1023" s="297" t="s">
        <v>197</v>
      </c>
      <c r="O1023" s="297" t="s">
        <v>198</v>
      </c>
      <c r="P1023" s="297" t="s">
        <v>199</v>
      </c>
      <c r="Q1023" s="297" t="s">
        <v>200</v>
      </c>
      <c r="R1023" s="297" t="s">
        <v>213</v>
      </c>
      <c r="S1023" s="297" t="s">
        <v>214</v>
      </c>
    </row>
    <row r="1024" spans="1:19" x14ac:dyDescent="0.4">
      <c r="A1024" s="291"/>
      <c r="B1024" s="292"/>
      <c r="C1024" s="312"/>
      <c r="D1024" s="292"/>
      <c r="E1024" s="489"/>
      <c r="F1024" s="489"/>
      <c r="G1024" s="490"/>
      <c r="H1024" s="520"/>
      <c r="I1024" s="523"/>
      <c r="J1024" s="521"/>
      <c r="K1024" s="522"/>
      <c r="M1024" s="301" t="str">
        <f>N1024&amp;AS[[#This Row],[Insurer Code]]&amp;"; "&amp;O1024&amp;AS[[#This Row],[Reporting Year]]&amp;"; "&amp;P1024&amp;AS[[#This Row],[Insurance Category Code]]&amp;"; "&amp;Q1024&amp;AS[[#This Row],[Large Provider Entity Code]]&amp;"; "&amp;R1024&amp;AS[[#This Row],[Age Band Code]]&amp;"; "&amp;S1024&amp;AS[[#This Row],[Sex Code]]</f>
        <v xml:space="preserve">Insurer Code ; Reporting Year ; Insurance Category Code ; Large Provider Entity Code ; Age Band Code ; Sex Code </v>
      </c>
      <c r="N1024" s="297" t="s">
        <v>197</v>
      </c>
      <c r="O1024" s="297" t="s">
        <v>198</v>
      </c>
      <c r="P1024" s="297" t="s">
        <v>199</v>
      </c>
      <c r="Q1024" s="297" t="s">
        <v>200</v>
      </c>
      <c r="R1024" s="297" t="s">
        <v>213</v>
      </c>
      <c r="S1024" s="297" t="s">
        <v>214</v>
      </c>
    </row>
    <row r="1025" spans="1:19" x14ac:dyDescent="0.4">
      <c r="A1025" s="291"/>
      <c r="B1025" s="292"/>
      <c r="C1025" s="312"/>
      <c r="D1025" s="292"/>
      <c r="E1025" s="489"/>
      <c r="F1025" s="489"/>
      <c r="G1025" s="490"/>
      <c r="H1025" s="520"/>
      <c r="I1025" s="523"/>
      <c r="J1025" s="521"/>
      <c r="K1025" s="522"/>
      <c r="M1025" s="301" t="str">
        <f>N1025&amp;AS[[#This Row],[Insurer Code]]&amp;"; "&amp;O1025&amp;AS[[#This Row],[Reporting Year]]&amp;"; "&amp;P1025&amp;AS[[#This Row],[Insurance Category Code]]&amp;"; "&amp;Q1025&amp;AS[[#This Row],[Large Provider Entity Code]]&amp;"; "&amp;R1025&amp;AS[[#This Row],[Age Band Code]]&amp;"; "&amp;S1025&amp;AS[[#This Row],[Sex Code]]</f>
        <v xml:space="preserve">Insurer Code ; Reporting Year ; Insurance Category Code ; Large Provider Entity Code ; Age Band Code ; Sex Code </v>
      </c>
      <c r="N1025" s="297" t="s">
        <v>197</v>
      </c>
      <c r="O1025" s="297" t="s">
        <v>198</v>
      </c>
      <c r="P1025" s="297" t="s">
        <v>199</v>
      </c>
      <c r="Q1025" s="297" t="s">
        <v>200</v>
      </c>
      <c r="R1025" s="297" t="s">
        <v>213</v>
      </c>
      <c r="S1025" s="297" t="s">
        <v>214</v>
      </c>
    </row>
    <row r="1026" spans="1:19" x14ac:dyDescent="0.4">
      <c r="A1026" s="291"/>
      <c r="B1026" s="292"/>
      <c r="C1026" s="312"/>
      <c r="D1026" s="292"/>
      <c r="E1026" s="489"/>
      <c r="F1026" s="489"/>
      <c r="G1026" s="490"/>
      <c r="H1026" s="520"/>
      <c r="I1026" s="523"/>
      <c r="J1026" s="521"/>
      <c r="K1026" s="522"/>
      <c r="M1026" s="301" t="str">
        <f>N1026&amp;AS[[#This Row],[Insurer Code]]&amp;"; "&amp;O1026&amp;AS[[#This Row],[Reporting Year]]&amp;"; "&amp;P1026&amp;AS[[#This Row],[Insurance Category Code]]&amp;"; "&amp;Q1026&amp;AS[[#This Row],[Large Provider Entity Code]]&amp;"; "&amp;R1026&amp;AS[[#This Row],[Age Band Code]]&amp;"; "&amp;S1026&amp;AS[[#This Row],[Sex Code]]</f>
        <v xml:space="preserve">Insurer Code ; Reporting Year ; Insurance Category Code ; Large Provider Entity Code ; Age Band Code ; Sex Code </v>
      </c>
      <c r="N1026" s="297" t="s">
        <v>197</v>
      </c>
      <c r="O1026" s="297" t="s">
        <v>198</v>
      </c>
      <c r="P1026" s="297" t="s">
        <v>199</v>
      </c>
      <c r="Q1026" s="297" t="s">
        <v>200</v>
      </c>
      <c r="R1026" s="297" t="s">
        <v>213</v>
      </c>
      <c r="S1026" s="297" t="s">
        <v>214</v>
      </c>
    </row>
    <row r="1027" spans="1:19" x14ac:dyDescent="0.4">
      <c r="A1027" s="291"/>
      <c r="B1027" s="292"/>
      <c r="C1027" s="312"/>
      <c r="D1027" s="292"/>
      <c r="E1027" s="489"/>
      <c r="F1027" s="489"/>
      <c r="G1027" s="490"/>
      <c r="H1027" s="520"/>
      <c r="I1027" s="523"/>
      <c r="J1027" s="521"/>
      <c r="K1027" s="522"/>
      <c r="M1027" s="301" t="str">
        <f>N1027&amp;AS[[#This Row],[Insurer Code]]&amp;"; "&amp;O1027&amp;AS[[#This Row],[Reporting Year]]&amp;"; "&amp;P1027&amp;AS[[#This Row],[Insurance Category Code]]&amp;"; "&amp;Q1027&amp;AS[[#This Row],[Large Provider Entity Code]]&amp;"; "&amp;R1027&amp;AS[[#This Row],[Age Band Code]]&amp;"; "&amp;S1027&amp;AS[[#This Row],[Sex Code]]</f>
        <v xml:space="preserve">Insurer Code ; Reporting Year ; Insurance Category Code ; Large Provider Entity Code ; Age Band Code ; Sex Code </v>
      </c>
      <c r="N1027" s="297" t="s">
        <v>197</v>
      </c>
      <c r="O1027" s="297" t="s">
        <v>198</v>
      </c>
      <c r="P1027" s="297" t="s">
        <v>199</v>
      </c>
      <c r="Q1027" s="297" t="s">
        <v>200</v>
      </c>
      <c r="R1027" s="297" t="s">
        <v>213</v>
      </c>
      <c r="S1027" s="297" t="s">
        <v>214</v>
      </c>
    </row>
    <row r="1028" spans="1:19" x14ac:dyDescent="0.4">
      <c r="A1028" s="291"/>
      <c r="B1028" s="292"/>
      <c r="C1028" s="312"/>
      <c r="D1028" s="292"/>
      <c r="E1028" s="489"/>
      <c r="F1028" s="489"/>
      <c r="G1028" s="490"/>
      <c r="H1028" s="520"/>
      <c r="I1028" s="523"/>
      <c r="J1028" s="521"/>
      <c r="K1028" s="522"/>
      <c r="M1028" s="301" t="str">
        <f>N1028&amp;AS[[#This Row],[Insurer Code]]&amp;"; "&amp;O1028&amp;AS[[#This Row],[Reporting Year]]&amp;"; "&amp;P1028&amp;AS[[#This Row],[Insurance Category Code]]&amp;"; "&amp;Q1028&amp;AS[[#This Row],[Large Provider Entity Code]]&amp;"; "&amp;R1028&amp;AS[[#This Row],[Age Band Code]]&amp;"; "&amp;S1028&amp;AS[[#This Row],[Sex Code]]</f>
        <v xml:space="preserve">Insurer Code ; Reporting Year ; Insurance Category Code ; Large Provider Entity Code ; Age Band Code ; Sex Code </v>
      </c>
      <c r="N1028" s="297" t="s">
        <v>197</v>
      </c>
      <c r="O1028" s="297" t="s">
        <v>198</v>
      </c>
      <c r="P1028" s="297" t="s">
        <v>199</v>
      </c>
      <c r="Q1028" s="297" t="s">
        <v>200</v>
      </c>
      <c r="R1028" s="297" t="s">
        <v>213</v>
      </c>
      <c r="S1028" s="297" t="s">
        <v>214</v>
      </c>
    </row>
    <row r="1029" spans="1:19" x14ac:dyDescent="0.4">
      <c r="A1029" s="291"/>
      <c r="B1029" s="292"/>
      <c r="C1029" s="312"/>
      <c r="D1029" s="292"/>
      <c r="E1029" s="489"/>
      <c r="F1029" s="489"/>
      <c r="G1029" s="490"/>
      <c r="H1029" s="520"/>
      <c r="I1029" s="523"/>
      <c r="J1029" s="521"/>
      <c r="K1029" s="522"/>
      <c r="M1029" s="301" t="str">
        <f>N1029&amp;AS[[#This Row],[Insurer Code]]&amp;"; "&amp;O1029&amp;AS[[#This Row],[Reporting Year]]&amp;"; "&amp;P1029&amp;AS[[#This Row],[Insurance Category Code]]&amp;"; "&amp;Q1029&amp;AS[[#This Row],[Large Provider Entity Code]]&amp;"; "&amp;R1029&amp;AS[[#This Row],[Age Band Code]]&amp;"; "&amp;S1029&amp;AS[[#This Row],[Sex Code]]</f>
        <v xml:space="preserve">Insurer Code ; Reporting Year ; Insurance Category Code ; Large Provider Entity Code ; Age Band Code ; Sex Code </v>
      </c>
      <c r="N1029" s="297" t="s">
        <v>197</v>
      </c>
      <c r="O1029" s="297" t="s">
        <v>198</v>
      </c>
      <c r="P1029" s="297" t="s">
        <v>199</v>
      </c>
      <c r="Q1029" s="297" t="s">
        <v>200</v>
      </c>
      <c r="R1029" s="297" t="s">
        <v>213</v>
      </c>
      <c r="S1029" s="297" t="s">
        <v>214</v>
      </c>
    </row>
    <row r="1030" spans="1:19" x14ac:dyDescent="0.4">
      <c r="A1030" s="291"/>
      <c r="B1030" s="292"/>
      <c r="C1030" s="312"/>
      <c r="D1030" s="292"/>
      <c r="E1030" s="489"/>
      <c r="F1030" s="489"/>
      <c r="G1030" s="490"/>
      <c r="H1030" s="520"/>
      <c r="I1030" s="523"/>
      <c r="J1030" s="521"/>
      <c r="K1030" s="522"/>
      <c r="M1030" s="301" t="str">
        <f>N1030&amp;AS[[#This Row],[Insurer Code]]&amp;"; "&amp;O1030&amp;AS[[#This Row],[Reporting Year]]&amp;"; "&amp;P1030&amp;AS[[#This Row],[Insurance Category Code]]&amp;"; "&amp;Q1030&amp;AS[[#This Row],[Large Provider Entity Code]]&amp;"; "&amp;R1030&amp;AS[[#This Row],[Age Band Code]]&amp;"; "&amp;S1030&amp;AS[[#This Row],[Sex Code]]</f>
        <v xml:space="preserve">Insurer Code ; Reporting Year ; Insurance Category Code ; Large Provider Entity Code ; Age Band Code ; Sex Code </v>
      </c>
      <c r="N1030" s="297" t="s">
        <v>197</v>
      </c>
      <c r="O1030" s="297" t="s">
        <v>198</v>
      </c>
      <c r="P1030" s="297" t="s">
        <v>199</v>
      </c>
      <c r="Q1030" s="297" t="s">
        <v>200</v>
      </c>
      <c r="R1030" s="297" t="s">
        <v>213</v>
      </c>
      <c r="S1030" s="297" t="s">
        <v>214</v>
      </c>
    </row>
    <row r="1031" spans="1:19" x14ac:dyDescent="0.4">
      <c r="A1031" s="291"/>
      <c r="B1031" s="292"/>
      <c r="C1031" s="312"/>
      <c r="D1031" s="292"/>
      <c r="E1031" s="489"/>
      <c r="F1031" s="489"/>
      <c r="G1031" s="490"/>
      <c r="H1031" s="520"/>
      <c r="I1031" s="523"/>
      <c r="J1031" s="521"/>
      <c r="K1031" s="522"/>
      <c r="M1031" s="301" t="str">
        <f>N1031&amp;AS[[#This Row],[Insurer Code]]&amp;"; "&amp;O1031&amp;AS[[#This Row],[Reporting Year]]&amp;"; "&amp;P1031&amp;AS[[#This Row],[Insurance Category Code]]&amp;"; "&amp;Q1031&amp;AS[[#This Row],[Large Provider Entity Code]]&amp;"; "&amp;R1031&amp;AS[[#This Row],[Age Band Code]]&amp;"; "&amp;S1031&amp;AS[[#This Row],[Sex Code]]</f>
        <v xml:space="preserve">Insurer Code ; Reporting Year ; Insurance Category Code ; Large Provider Entity Code ; Age Band Code ; Sex Code </v>
      </c>
      <c r="N1031" s="297" t="s">
        <v>197</v>
      </c>
      <c r="O1031" s="297" t="s">
        <v>198</v>
      </c>
      <c r="P1031" s="297" t="s">
        <v>199</v>
      </c>
      <c r="Q1031" s="297" t="s">
        <v>200</v>
      </c>
      <c r="R1031" s="297" t="s">
        <v>213</v>
      </c>
      <c r="S1031" s="297" t="s">
        <v>214</v>
      </c>
    </row>
    <row r="1032" spans="1:19" x14ac:dyDescent="0.4">
      <c r="A1032" s="291"/>
      <c r="B1032" s="292"/>
      <c r="C1032" s="312"/>
      <c r="D1032" s="292"/>
      <c r="E1032" s="489"/>
      <c r="F1032" s="489"/>
      <c r="G1032" s="490"/>
      <c r="H1032" s="520"/>
      <c r="I1032" s="523"/>
      <c r="J1032" s="521"/>
      <c r="K1032" s="522"/>
      <c r="M1032" s="301" t="str">
        <f>N1032&amp;AS[[#This Row],[Insurer Code]]&amp;"; "&amp;O1032&amp;AS[[#This Row],[Reporting Year]]&amp;"; "&amp;P1032&amp;AS[[#This Row],[Insurance Category Code]]&amp;"; "&amp;Q1032&amp;AS[[#This Row],[Large Provider Entity Code]]&amp;"; "&amp;R1032&amp;AS[[#This Row],[Age Band Code]]&amp;"; "&amp;S1032&amp;AS[[#This Row],[Sex Code]]</f>
        <v xml:space="preserve">Insurer Code ; Reporting Year ; Insurance Category Code ; Large Provider Entity Code ; Age Band Code ; Sex Code </v>
      </c>
      <c r="N1032" s="297" t="s">
        <v>197</v>
      </c>
      <c r="O1032" s="297" t="s">
        <v>198</v>
      </c>
      <c r="P1032" s="297" t="s">
        <v>199</v>
      </c>
      <c r="Q1032" s="297" t="s">
        <v>200</v>
      </c>
      <c r="R1032" s="297" t="s">
        <v>213</v>
      </c>
      <c r="S1032" s="297" t="s">
        <v>214</v>
      </c>
    </row>
    <row r="1033" spans="1:19" x14ac:dyDescent="0.4">
      <c r="A1033" s="291"/>
      <c r="B1033" s="292"/>
      <c r="C1033" s="312"/>
      <c r="D1033" s="292"/>
      <c r="E1033" s="489"/>
      <c r="F1033" s="489"/>
      <c r="G1033" s="490"/>
      <c r="H1033" s="520"/>
      <c r="I1033" s="523"/>
      <c r="J1033" s="521"/>
      <c r="K1033" s="522"/>
      <c r="M1033" s="301" t="str">
        <f>N1033&amp;AS[[#This Row],[Insurer Code]]&amp;"; "&amp;O1033&amp;AS[[#This Row],[Reporting Year]]&amp;"; "&amp;P1033&amp;AS[[#This Row],[Insurance Category Code]]&amp;"; "&amp;Q1033&amp;AS[[#This Row],[Large Provider Entity Code]]&amp;"; "&amp;R1033&amp;AS[[#This Row],[Age Band Code]]&amp;"; "&amp;S1033&amp;AS[[#This Row],[Sex Code]]</f>
        <v xml:space="preserve">Insurer Code ; Reporting Year ; Insurance Category Code ; Large Provider Entity Code ; Age Band Code ; Sex Code </v>
      </c>
      <c r="N1033" s="297" t="s">
        <v>197</v>
      </c>
      <c r="O1033" s="297" t="s">
        <v>198</v>
      </c>
      <c r="P1033" s="297" t="s">
        <v>199</v>
      </c>
      <c r="Q1033" s="297" t="s">
        <v>200</v>
      </c>
      <c r="R1033" s="297" t="s">
        <v>213</v>
      </c>
      <c r="S1033" s="297" t="s">
        <v>214</v>
      </c>
    </row>
    <row r="1034" spans="1:19" x14ac:dyDescent="0.4">
      <c r="A1034" s="291"/>
      <c r="B1034" s="292"/>
      <c r="C1034" s="312"/>
      <c r="D1034" s="292"/>
      <c r="E1034" s="489"/>
      <c r="F1034" s="489"/>
      <c r="G1034" s="490"/>
      <c r="H1034" s="520"/>
      <c r="I1034" s="523"/>
      <c r="J1034" s="521"/>
      <c r="K1034" s="522"/>
      <c r="M1034" s="301" t="str">
        <f>N1034&amp;AS[[#This Row],[Insurer Code]]&amp;"; "&amp;O1034&amp;AS[[#This Row],[Reporting Year]]&amp;"; "&amp;P1034&amp;AS[[#This Row],[Insurance Category Code]]&amp;"; "&amp;Q1034&amp;AS[[#This Row],[Large Provider Entity Code]]&amp;"; "&amp;R1034&amp;AS[[#This Row],[Age Band Code]]&amp;"; "&amp;S1034&amp;AS[[#This Row],[Sex Code]]</f>
        <v xml:space="preserve">Insurer Code ; Reporting Year ; Insurance Category Code ; Large Provider Entity Code ; Age Band Code ; Sex Code </v>
      </c>
      <c r="N1034" s="297" t="s">
        <v>197</v>
      </c>
      <c r="O1034" s="297" t="s">
        <v>198</v>
      </c>
      <c r="P1034" s="297" t="s">
        <v>199</v>
      </c>
      <c r="Q1034" s="297" t="s">
        <v>200</v>
      </c>
      <c r="R1034" s="297" t="s">
        <v>213</v>
      </c>
      <c r="S1034" s="297" t="s">
        <v>214</v>
      </c>
    </row>
    <row r="1035" spans="1:19" x14ac:dyDescent="0.4">
      <c r="A1035" s="291"/>
      <c r="B1035" s="292"/>
      <c r="C1035" s="312"/>
      <c r="D1035" s="292"/>
      <c r="E1035" s="489"/>
      <c r="F1035" s="489"/>
      <c r="G1035" s="490"/>
      <c r="H1035" s="520"/>
      <c r="I1035" s="523"/>
      <c r="J1035" s="521"/>
      <c r="K1035" s="522"/>
      <c r="M1035" s="301" t="str">
        <f>N1035&amp;AS[[#This Row],[Insurer Code]]&amp;"; "&amp;O1035&amp;AS[[#This Row],[Reporting Year]]&amp;"; "&amp;P1035&amp;AS[[#This Row],[Insurance Category Code]]&amp;"; "&amp;Q1035&amp;AS[[#This Row],[Large Provider Entity Code]]&amp;"; "&amp;R1035&amp;AS[[#This Row],[Age Band Code]]&amp;"; "&amp;S1035&amp;AS[[#This Row],[Sex Code]]</f>
        <v xml:space="preserve">Insurer Code ; Reporting Year ; Insurance Category Code ; Large Provider Entity Code ; Age Band Code ; Sex Code </v>
      </c>
      <c r="N1035" s="297" t="s">
        <v>197</v>
      </c>
      <c r="O1035" s="297" t="s">
        <v>198</v>
      </c>
      <c r="P1035" s="297" t="s">
        <v>199</v>
      </c>
      <c r="Q1035" s="297" t="s">
        <v>200</v>
      </c>
      <c r="R1035" s="297" t="s">
        <v>213</v>
      </c>
      <c r="S1035" s="297" t="s">
        <v>214</v>
      </c>
    </row>
    <row r="1036" spans="1:19" x14ac:dyDescent="0.4">
      <c r="A1036" s="291"/>
      <c r="B1036" s="292"/>
      <c r="C1036" s="312"/>
      <c r="D1036" s="292"/>
      <c r="E1036" s="489"/>
      <c r="F1036" s="489"/>
      <c r="G1036" s="490"/>
      <c r="H1036" s="520"/>
      <c r="I1036" s="523"/>
      <c r="J1036" s="521"/>
      <c r="K1036" s="522"/>
      <c r="M1036" s="301" t="str">
        <f>N1036&amp;AS[[#This Row],[Insurer Code]]&amp;"; "&amp;O1036&amp;AS[[#This Row],[Reporting Year]]&amp;"; "&amp;P1036&amp;AS[[#This Row],[Insurance Category Code]]&amp;"; "&amp;Q1036&amp;AS[[#This Row],[Large Provider Entity Code]]&amp;"; "&amp;R1036&amp;AS[[#This Row],[Age Band Code]]&amp;"; "&amp;S1036&amp;AS[[#This Row],[Sex Code]]</f>
        <v xml:space="preserve">Insurer Code ; Reporting Year ; Insurance Category Code ; Large Provider Entity Code ; Age Band Code ; Sex Code </v>
      </c>
      <c r="N1036" s="297" t="s">
        <v>197</v>
      </c>
      <c r="O1036" s="297" t="s">
        <v>198</v>
      </c>
      <c r="P1036" s="297" t="s">
        <v>199</v>
      </c>
      <c r="Q1036" s="297" t="s">
        <v>200</v>
      </c>
      <c r="R1036" s="297" t="s">
        <v>213</v>
      </c>
      <c r="S1036" s="297" t="s">
        <v>214</v>
      </c>
    </row>
    <row r="1037" spans="1:19" x14ac:dyDescent="0.4">
      <c r="A1037" s="291"/>
      <c r="B1037" s="292"/>
      <c r="C1037" s="312"/>
      <c r="D1037" s="292"/>
      <c r="E1037" s="489"/>
      <c r="F1037" s="489"/>
      <c r="G1037" s="490"/>
      <c r="H1037" s="520"/>
      <c r="I1037" s="523"/>
      <c r="J1037" s="521"/>
      <c r="K1037" s="522"/>
      <c r="M1037" s="301" t="str">
        <f>N1037&amp;AS[[#This Row],[Insurer Code]]&amp;"; "&amp;O1037&amp;AS[[#This Row],[Reporting Year]]&amp;"; "&amp;P1037&amp;AS[[#This Row],[Insurance Category Code]]&amp;"; "&amp;Q1037&amp;AS[[#This Row],[Large Provider Entity Code]]&amp;"; "&amp;R1037&amp;AS[[#This Row],[Age Band Code]]&amp;"; "&amp;S1037&amp;AS[[#This Row],[Sex Code]]</f>
        <v xml:space="preserve">Insurer Code ; Reporting Year ; Insurance Category Code ; Large Provider Entity Code ; Age Band Code ; Sex Code </v>
      </c>
      <c r="N1037" s="297" t="s">
        <v>197</v>
      </c>
      <c r="O1037" s="297" t="s">
        <v>198</v>
      </c>
      <c r="P1037" s="297" t="s">
        <v>199</v>
      </c>
      <c r="Q1037" s="297" t="s">
        <v>200</v>
      </c>
      <c r="R1037" s="297" t="s">
        <v>213</v>
      </c>
      <c r="S1037" s="297" t="s">
        <v>214</v>
      </c>
    </row>
    <row r="1038" spans="1:19" x14ac:dyDescent="0.4">
      <c r="A1038" s="291"/>
      <c r="B1038" s="292"/>
      <c r="C1038" s="312"/>
      <c r="D1038" s="292"/>
      <c r="E1038" s="489"/>
      <c r="F1038" s="489"/>
      <c r="G1038" s="490"/>
      <c r="H1038" s="520"/>
      <c r="I1038" s="523"/>
      <c r="J1038" s="521"/>
      <c r="K1038" s="522"/>
      <c r="M1038" s="301" t="str">
        <f>N1038&amp;AS[[#This Row],[Insurer Code]]&amp;"; "&amp;O1038&amp;AS[[#This Row],[Reporting Year]]&amp;"; "&amp;P1038&amp;AS[[#This Row],[Insurance Category Code]]&amp;"; "&amp;Q1038&amp;AS[[#This Row],[Large Provider Entity Code]]&amp;"; "&amp;R1038&amp;AS[[#This Row],[Age Band Code]]&amp;"; "&amp;S1038&amp;AS[[#This Row],[Sex Code]]</f>
        <v xml:space="preserve">Insurer Code ; Reporting Year ; Insurance Category Code ; Large Provider Entity Code ; Age Band Code ; Sex Code </v>
      </c>
      <c r="N1038" s="297" t="s">
        <v>197</v>
      </c>
      <c r="O1038" s="297" t="s">
        <v>198</v>
      </c>
      <c r="P1038" s="297" t="s">
        <v>199</v>
      </c>
      <c r="Q1038" s="297" t="s">
        <v>200</v>
      </c>
      <c r="R1038" s="297" t="s">
        <v>213</v>
      </c>
      <c r="S1038" s="297" t="s">
        <v>214</v>
      </c>
    </row>
    <row r="1039" spans="1:19" x14ac:dyDescent="0.4">
      <c r="A1039" s="291"/>
      <c r="B1039" s="292"/>
      <c r="C1039" s="312"/>
      <c r="D1039" s="292"/>
      <c r="E1039" s="489"/>
      <c r="F1039" s="489"/>
      <c r="G1039" s="490"/>
      <c r="H1039" s="520"/>
      <c r="I1039" s="523"/>
      <c r="J1039" s="521"/>
      <c r="K1039" s="522"/>
      <c r="M1039" s="301" t="str">
        <f>N1039&amp;AS[[#This Row],[Insurer Code]]&amp;"; "&amp;O1039&amp;AS[[#This Row],[Reporting Year]]&amp;"; "&amp;P1039&amp;AS[[#This Row],[Insurance Category Code]]&amp;"; "&amp;Q1039&amp;AS[[#This Row],[Large Provider Entity Code]]&amp;"; "&amp;R1039&amp;AS[[#This Row],[Age Band Code]]&amp;"; "&amp;S1039&amp;AS[[#This Row],[Sex Code]]</f>
        <v xml:space="preserve">Insurer Code ; Reporting Year ; Insurance Category Code ; Large Provider Entity Code ; Age Band Code ; Sex Code </v>
      </c>
      <c r="N1039" s="297" t="s">
        <v>197</v>
      </c>
      <c r="O1039" s="297" t="s">
        <v>198</v>
      </c>
      <c r="P1039" s="297" t="s">
        <v>199</v>
      </c>
      <c r="Q1039" s="297" t="s">
        <v>200</v>
      </c>
      <c r="R1039" s="297" t="s">
        <v>213</v>
      </c>
      <c r="S1039" s="297" t="s">
        <v>214</v>
      </c>
    </row>
    <row r="1040" spans="1:19" x14ac:dyDescent="0.4">
      <c r="A1040" s="291"/>
      <c r="B1040" s="292"/>
      <c r="C1040" s="312"/>
      <c r="D1040" s="292"/>
      <c r="E1040" s="489"/>
      <c r="F1040" s="489"/>
      <c r="G1040" s="490"/>
      <c r="H1040" s="520"/>
      <c r="I1040" s="523"/>
      <c r="J1040" s="521"/>
      <c r="K1040" s="522"/>
      <c r="M1040" s="301" t="str">
        <f>N1040&amp;AS[[#This Row],[Insurer Code]]&amp;"; "&amp;O1040&amp;AS[[#This Row],[Reporting Year]]&amp;"; "&amp;P1040&amp;AS[[#This Row],[Insurance Category Code]]&amp;"; "&amp;Q1040&amp;AS[[#This Row],[Large Provider Entity Code]]&amp;"; "&amp;R1040&amp;AS[[#This Row],[Age Band Code]]&amp;"; "&amp;S1040&amp;AS[[#This Row],[Sex Code]]</f>
        <v xml:space="preserve">Insurer Code ; Reporting Year ; Insurance Category Code ; Large Provider Entity Code ; Age Band Code ; Sex Code </v>
      </c>
      <c r="N1040" s="297" t="s">
        <v>197</v>
      </c>
      <c r="O1040" s="297" t="s">
        <v>198</v>
      </c>
      <c r="P1040" s="297" t="s">
        <v>199</v>
      </c>
      <c r="Q1040" s="297" t="s">
        <v>200</v>
      </c>
      <c r="R1040" s="297" t="s">
        <v>213</v>
      </c>
      <c r="S1040" s="297" t="s">
        <v>214</v>
      </c>
    </row>
    <row r="1041" spans="1:19" x14ac:dyDescent="0.4">
      <c r="A1041" s="291"/>
      <c r="B1041" s="292"/>
      <c r="C1041" s="312"/>
      <c r="D1041" s="292"/>
      <c r="E1041" s="489"/>
      <c r="F1041" s="489"/>
      <c r="G1041" s="490"/>
      <c r="H1041" s="520"/>
      <c r="I1041" s="523"/>
      <c r="J1041" s="521"/>
      <c r="K1041" s="522"/>
      <c r="M1041" s="301" t="str">
        <f>N1041&amp;AS[[#This Row],[Insurer Code]]&amp;"; "&amp;O1041&amp;AS[[#This Row],[Reporting Year]]&amp;"; "&amp;P1041&amp;AS[[#This Row],[Insurance Category Code]]&amp;"; "&amp;Q1041&amp;AS[[#This Row],[Large Provider Entity Code]]&amp;"; "&amp;R1041&amp;AS[[#This Row],[Age Band Code]]&amp;"; "&amp;S1041&amp;AS[[#This Row],[Sex Code]]</f>
        <v xml:space="preserve">Insurer Code ; Reporting Year ; Insurance Category Code ; Large Provider Entity Code ; Age Band Code ; Sex Code </v>
      </c>
      <c r="N1041" s="297" t="s">
        <v>197</v>
      </c>
      <c r="O1041" s="297" t="s">
        <v>198</v>
      </c>
      <c r="P1041" s="297" t="s">
        <v>199</v>
      </c>
      <c r="Q1041" s="297" t="s">
        <v>200</v>
      </c>
      <c r="R1041" s="297" t="s">
        <v>213</v>
      </c>
      <c r="S1041" s="297" t="s">
        <v>214</v>
      </c>
    </row>
    <row r="1042" spans="1:19" x14ac:dyDescent="0.4">
      <c r="A1042" s="291"/>
      <c r="B1042" s="292"/>
      <c r="C1042" s="312"/>
      <c r="D1042" s="292"/>
      <c r="E1042" s="489"/>
      <c r="F1042" s="489"/>
      <c r="G1042" s="490"/>
      <c r="H1042" s="520"/>
      <c r="I1042" s="523"/>
      <c r="J1042" s="521"/>
      <c r="K1042" s="522"/>
      <c r="M1042" s="301" t="str">
        <f>N1042&amp;AS[[#This Row],[Insurer Code]]&amp;"; "&amp;O1042&amp;AS[[#This Row],[Reporting Year]]&amp;"; "&amp;P1042&amp;AS[[#This Row],[Insurance Category Code]]&amp;"; "&amp;Q1042&amp;AS[[#This Row],[Large Provider Entity Code]]&amp;"; "&amp;R1042&amp;AS[[#This Row],[Age Band Code]]&amp;"; "&amp;S1042&amp;AS[[#This Row],[Sex Code]]</f>
        <v xml:space="preserve">Insurer Code ; Reporting Year ; Insurance Category Code ; Large Provider Entity Code ; Age Band Code ; Sex Code </v>
      </c>
      <c r="N1042" s="297" t="s">
        <v>197</v>
      </c>
      <c r="O1042" s="297" t="s">
        <v>198</v>
      </c>
      <c r="P1042" s="297" t="s">
        <v>199</v>
      </c>
      <c r="Q1042" s="297" t="s">
        <v>200</v>
      </c>
      <c r="R1042" s="297" t="s">
        <v>213</v>
      </c>
      <c r="S1042" s="297" t="s">
        <v>214</v>
      </c>
    </row>
    <row r="1043" spans="1:19" x14ac:dyDescent="0.4">
      <c r="A1043" s="291"/>
      <c r="B1043" s="292"/>
      <c r="C1043" s="312"/>
      <c r="D1043" s="292"/>
      <c r="E1043" s="489"/>
      <c r="F1043" s="489"/>
      <c r="G1043" s="490"/>
      <c r="H1043" s="520"/>
      <c r="I1043" s="523"/>
      <c r="J1043" s="521"/>
      <c r="K1043" s="522"/>
      <c r="M1043" s="301" t="str">
        <f>N1043&amp;AS[[#This Row],[Insurer Code]]&amp;"; "&amp;O1043&amp;AS[[#This Row],[Reporting Year]]&amp;"; "&amp;P1043&amp;AS[[#This Row],[Insurance Category Code]]&amp;"; "&amp;Q1043&amp;AS[[#This Row],[Large Provider Entity Code]]&amp;"; "&amp;R1043&amp;AS[[#This Row],[Age Band Code]]&amp;"; "&amp;S1043&amp;AS[[#This Row],[Sex Code]]</f>
        <v xml:space="preserve">Insurer Code ; Reporting Year ; Insurance Category Code ; Large Provider Entity Code ; Age Band Code ; Sex Code </v>
      </c>
      <c r="N1043" s="297" t="s">
        <v>197</v>
      </c>
      <c r="O1043" s="297" t="s">
        <v>198</v>
      </c>
      <c r="P1043" s="297" t="s">
        <v>199</v>
      </c>
      <c r="Q1043" s="297" t="s">
        <v>200</v>
      </c>
      <c r="R1043" s="297" t="s">
        <v>213</v>
      </c>
      <c r="S1043" s="297" t="s">
        <v>214</v>
      </c>
    </row>
    <row r="1044" spans="1:19" x14ac:dyDescent="0.4">
      <c r="A1044" s="291"/>
      <c r="B1044" s="292"/>
      <c r="C1044" s="312"/>
      <c r="D1044" s="292"/>
      <c r="E1044" s="489"/>
      <c r="F1044" s="489"/>
      <c r="G1044" s="490"/>
      <c r="H1044" s="520"/>
      <c r="I1044" s="523"/>
      <c r="J1044" s="521"/>
      <c r="K1044" s="522"/>
      <c r="M1044" s="301" t="str">
        <f>N1044&amp;AS[[#This Row],[Insurer Code]]&amp;"; "&amp;O1044&amp;AS[[#This Row],[Reporting Year]]&amp;"; "&amp;P1044&amp;AS[[#This Row],[Insurance Category Code]]&amp;"; "&amp;Q1044&amp;AS[[#This Row],[Large Provider Entity Code]]&amp;"; "&amp;R1044&amp;AS[[#This Row],[Age Band Code]]&amp;"; "&amp;S1044&amp;AS[[#This Row],[Sex Code]]</f>
        <v xml:space="preserve">Insurer Code ; Reporting Year ; Insurance Category Code ; Large Provider Entity Code ; Age Band Code ; Sex Code </v>
      </c>
      <c r="N1044" s="297" t="s">
        <v>197</v>
      </c>
      <c r="O1044" s="297" t="s">
        <v>198</v>
      </c>
      <c r="P1044" s="297" t="s">
        <v>199</v>
      </c>
      <c r="Q1044" s="297" t="s">
        <v>200</v>
      </c>
      <c r="R1044" s="297" t="s">
        <v>213</v>
      </c>
      <c r="S1044" s="297" t="s">
        <v>214</v>
      </c>
    </row>
    <row r="1045" spans="1:19" x14ac:dyDescent="0.4">
      <c r="A1045" s="291"/>
      <c r="B1045" s="292"/>
      <c r="C1045" s="312"/>
      <c r="D1045" s="292"/>
      <c r="E1045" s="489"/>
      <c r="F1045" s="489"/>
      <c r="G1045" s="490"/>
      <c r="H1045" s="520"/>
      <c r="I1045" s="523"/>
      <c r="J1045" s="521"/>
      <c r="K1045" s="522"/>
      <c r="M1045" s="301" t="str">
        <f>N1045&amp;AS[[#This Row],[Insurer Code]]&amp;"; "&amp;O1045&amp;AS[[#This Row],[Reporting Year]]&amp;"; "&amp;P1045&amp;AS[[#This Row],[Insurance Category Code]]&amp;"; "&amp;Q1045&amp;AS[[#This Row],[Large Provider Entity Code]]&amp;"; "&amp;R1045&amp;AS[[#This Row],[Age Band Code]]&amp;"; "&amp;S1045&amp;AS[[#This Row],[Sex Code]]</f>
        <v xml:space="preserve">Insurer Code ; Reporting Year ; Insurance Category Code ; Large Provider Entity Code ; Age Band Code ; Sex Code </v>
      </c>
      <c r="N1045" s="297" t="s">
        <v>197</v>
      </c>
      <c r="O1045" s="297" t="s">
        <v>198</v>
      </c>
      <c r="P1045" s="297" t="s">
        <v>199</v>
      </c>
      <c r="Q1045" s="297" t="s">
        <v>200</v>
      </c>
      <c r="R1045" s="297" t="s">
        <v>213</v>
      </c>
      <c r="S1045" s="297" t="s">
        <v>214</v>
      </c>
    </row>
    <row r="1046" spans="1:19" x14ac:dyDescent="0.4">
      <c r="A1046" s="291"/>
      <c r="B1046" s="292"/>
      <c r="C1046" s="312"/>
      <c r="D1046" s="292"/>
      <c r="E1046" s="489"/>
      <c r="F1046" s="489"/>
      <c r="G1046" s="490"/>
      <c r="H1046" s="520"/>
      <c r="I1046" s="523"/>
      <c r="J1046" s="521"/>
      <c r="K1046" s="522"/>
      <c r="M1046" s="301" t="str">
        <f>N1046&amp;AS[[#This Row],[Insurer Code]]&amp;"; "&amp;O1046&amp;AS[[#This Row],[Reporting Year]]&amp;"; "&amp;P1046&amp;AS[[#This Row],[Insurance Category Code]]&amp;"; "&amp;Q1046&amp;AS[[#This Row],[Large Provider Entity Code]]&amp;"; "&amp;R1046&amp;AS[[#This Row],[Age Band Code]]&amp;"; "&amp;S1046&amp;AS[[#This Row],[Sex Code]]</f>
        <v xml:space="preserve">Insurer Code ; Reporting Year ; Insurance Category Code ; Large Provider Entity Code ; Age Band Code ; Sex Code </v>
      </c>
      <c r="N1046" s="297" t="s">
        <v>197</v>
      </c>
      <c r="O1046" s="297" t="s">
        <v>198</v>
      </c>
      <c r="P1046" s="297" t="s">
        <v>199</v>
      </c>
      <c r="Q1046" s="297" t="s">
        <v>200</v>
      </c>
      <c r="R1046" s="297" t="s">
        <v>213</v>
      </c>
      <c r="S1046" s="297" t="s">
        <v>214</v>
      </c>
    </row>
    <row r="1047" spans="1:19" x14ac:dyDescent="0.4">
      <c r="A1047" s="291"/>
      <c r="B1047" s="292"/>
      <c r="C1047" s="312"/>
      <c r="D1047" s="292"/>
      <c r="E1047" s="489"/>
      <c r="F1047" s="489"/>
      <c r="G1047" s="490"/>
      <c r="H1047" s="520"/>
      <c r="I1047" s="523"/>
      <c r="J1047" s="521"/>
      <c r="K1047" s="522"/>
      <c r="M1047" s="301" t="str">
        <f>N1047&amp;AS[[#This Row],[Insurer Code]]&amp;"; "&amp;O1047&amp;AS[[#This Row],[Reporting Year]]&amp;"; "&amp;P1047&amp;AS[[#This Row],[Insurance Category Code]]&amp;"; "&amp;Q1047&amp;AS[[#This Row],[Large Provider Entity Code]]&amp;"; "&amp;R1047&amp;AS[[#This Row],[Age Band Code]]&amp;"; "&amp;S1047&amp;AS[[#This Row],[Sex Code]]</f>
        <v xml:space="preserve">Insurer Code ; Reporting Year ; Insurance Category Code ; Large Provider Entity Code ; Age Band Code ; Sex Code </v>
      </c>
      <c r="N1047" s="297" t="s">
        <v>197</v>
      </c>
      <c r="O1047" s="297" t="s">
        <v>198</v>
      </c>
      <c r="P1047" s="297" t="s">
        <v>199</v>
      </c>
      <c r="Q1047" s="297" t="s">
        <v>200</v>
      </c>
      <c r="R1047" s="297" t="s">
        <v>213</v>
      </c>
      <c r="S1047" s="297" t="s">
        <v>214</v>
      </c>
    </row>
    <row r="1048" spans="1:19" x14ac:dyDescent="0.4">
      <c r="A1048" s="291"/>
      <c r="B1048" s="292"/>
      <c r="C1048" s="312"/>
      <c r="D1048" s="292"/>
      <c r="E1048" s="489"/>
      <c r="F1048" s="489"/>
      <c r="G1048" s="490"/>
      <c r="H1048" s="520"/>
      <c r="I1048" s="523"/>
      <c r="J1048" s="521"/>
      <c r="K1048" s="522"/>
      <c r="M1048" s="301" t="str">
        <f>N1048&amp;AS[[#This Row],[Insurer Code]]&amp;"; "&amp;O1048&amp;AS[[#This Row],[Reporting Year]]&amp;"; "&amp;P1048&amp;AS[[#This Row],[Insurance Category Code]]&amp;"; "&amp;Q1048&amp;AS[[#This Row],[Large Provider Entity Code]]&amp;"; "&amp;R1048&amp;AS[[#This Row],[Age Band Code]]&amp;"; "&amp;S1048&amp;AS[[#This Row],[Sex Code]]</f>
        <v xml:space="preserve">Insurer Code ; Reporting Year ; Insurance Category Code ; Large Provider Entity Code ; Age Band Code ; Sex Code </v>
      </c>
      <c r="N1048" s="297" t="s">
        <v>197</v>
      </c>
      <c r="O1048" s="297" t="s">
        <v>198</v>
      </c>
      <c r="P1048" s="297" t="s">
        <v>199</v>
      </c>
      <c r="Q1048" s="297" t="s">
        <v>200</v>
      </c>
      <c r="R1048" s="297" t="s">
        <v>213</v>
      </c>
      <c r="S1048" s="297" t="s">
        <v>214</v>
      </c>
    </row>
    <row r="1049" spans="1:19" x14ac:dyDescent="0.4">
      <c r="A1049" s="291"/>
      <c r="B1049" s="292"/>
      <c r="C1049" s="312"/>
      <c r="D1049" s="292"/>
      <c r="E1049" s="489"/>
      <c r="F1049" s="489"/>
      <c r="G1049" s="490"/>
      <c r="H1049" s="520"/>
      <c r="I1049" s="523"/>
      <c r="J1049" s="521"/>
      <c r="K1049" s="522"/>
      <c r="M1049" s="301" t="str">
        <f>N1049&amp;AS[[#This Row],[Insurer Code]]&amp;"; "&amp;O1049&amp;AS[[#This Row],[Reporting Year]]&amp;"; "&amp;P1049&amp;AS[[#This Row],[Insurance Category Code]]&amp;"; "&amp;Q1049&amp;AS[[#This Row],[Large Provider Entity Code]]&amp;"; "&amp;R1049&amp;AS[[#This Row],[Age Band Code]]&amp;"; "&amp;S1049&amp;AS[[#This Row],[Sex Code]]</f>
        <v xml:space="preserve">Insurer Code ; Reporting Year ; Insurance Category Code ; Large Provider Entity Code ; Age Band Code ; Sex Code </v>
      </c>
      <c r="N1049" s="297" t="s">
        <v>197</v>
      </c>
      <c r="O1049" s="297" t="s">
        <v>198</v>
      </c>
      <c r="P1049" s="297" t="s">
        <v>199</v>
      </c>
      <c r="Q1049" s="297" t="s">
        <v>200</v>
      </c>
      <c r="R1049" s="297" t="s">
        <v>213</v>
      </c>
      <c r="S1049" s="297" t="s">
        <v>214</v>
      </c>
    </row>
    <row r="1050" spans="1:19" x14ac:dyDescent="0.4">
      <c r="A1050" s="291"/>
      <c r="B1050" s="292"/>
      <c r="C1050" s="312"/>
      <c r="D1050" s="292"/>
      <c r="E1050" s="489"/>
      <c r="F1050" s="489"/>
      <c r="G1050" s="490"/>
      <c r="H1050" s="520"/>
      <c r="I1050" s="523"/>
      <c r="J1050" s="521"/>
      <c r="K1050" s="522"/>
      <c r="M1050" s="301" t="str">
        <f>N1050&amp;AS[[#This Row],[Insurer Code]]&amp;"; "&amp;O1050&amp;AS[[#This Row],[Reporting Year]]&amp;"; "&amp;P1050&amp;AS[[#This Row],[Insurance Category Code]]&amp;"; "&amp;Q1050&amp;AS[[#This Row],[Large Provider Entity Code]]&amp;"; "&amp;R1050&amp;AS[[#This Row],[Age Band Code]]&amp;"; "&amp;S1050&amp;AS[[#This Row],[Sex Code]]</f>
        <v xml:space="preserve">Insurer Code ; Reporting Year ; Insurance Category Code ; Large Provider Entity Code ; Age Band Code ; Sex Code </v>
      </c>
      <c r="N1050" s="297" t="s">
        <v>197</v>
      </c>
      <c r="O1050" s="297" t="s">
        <v>198</v>
      </c>
      <c r="P1050" s="297" t="s">
        <v>199</v>
      </c>
      <c r="Q1050" s="297" t="s">
        <v>200</v>
      </c>
      <c r="R1050" s="297" t="s">
        <v>213</v>
      </c>
      <c r="S1050" s="297" t="s">
        <v>214</v>
      </c>
    </row>
    <row r="1051" spans="1:19" x14ac:dyDescent="0.4">
      <c r="A1051" s="291"/>
      <c r="B1051" s="292"/>
      <c r="C1051" s="312"/>
      <c r="D1051" s="292"/>
      <c r="E1051" s="489"/>
      <c r="F1051" s="489"/>
      <c r="G1051" s="490"/>
      <c r="H1051" s="520"/>
      <c r="I1051" s="523"/>
      <c r="J1051" s="521"/>
      <c r="K1051" s="522"/>
      <c r="M1051" s="301" t="str">
        <f>N1051&amp;AS[[#This Row],[Insurer Code]]&amp;"; "&amp;O1051&amp;AS[[#This Row],[Reporting Year]]&amp;"; "&amp;P1051&amp;AS[[#This Row],[Insurance Category Code]]&amp;"; "&amp;Q1051&amp;AS[[#This Row],[Large Provider Entity Code]]&amp;"; "&amp;R1051&amp;AS[[#This Row],[Age Band Code]]&amp;"; "&amp;S1051&amp;AS[[#This Row],[Sex Code]]</f>
        <v xml:space="preserve">Insurer Code ; Reporting Year ; Insurance Category Code ; Large Provider Entity Code ; Age Band Code ; Sex Code </v>
      </c>
      <c r="N1051" s="297" t="s">
        <v>197</v>
      </c>
      <c r="O1051" s="297" t="s">
        <v>198</v>
      </c>
      <c r="P1051" s="297" t="s">
        <v>199</v>
      </c>
      <c r="Q1051" s="297" t="s">
        <v>200</v>
      </c>
      <c r="R1051" s="297" t="s">
        <v>213</v>
      </c>
      <c r="S1051" s="297" t="s">
        <v>214</v>
      </c>
    </row>
    <row r="1052" spans="1:19" x14ac:dyDescent="0.4">
      <c r="A1052" s="291"/>
      <c r="B1052" s="292"/>
      <c r="C1052" s="312"/>
      <c r="D1052" s="292"/>
      <c r="E1052" s="489"/>
      <c r="F1052" s="489"/>
      <c r="G1052" s="490"/>
      <c r="H1052" s="520"/>
      <c r="I1052" s="523"/>
      <c r="J1052" s="521"/>
      <c r="K1052" s="522"/>
      <c r="M1052" s="301" t="str">
        <f>N1052&amp;AS[[#This Row],[Insurer Code]]&amp;"; "&amp;O1052&amp;AS[[#This Row],[Reporting Year]]&amp;"; "&amp;P1052&amp;AS[[#This Row],[Insurance Category Code]]&amp;"; "&amp;Q1052&amp;AS[[#This Row],[Large Provider Entity Code]]&amp;"; "&amp;R1052&amp;AS[[#This Row],[Age Band Code]]&amp;"; "&amp;S1052&amp;AS[[#This Row],[Sex Code]]</f>
        <v xml:space="preserve">Insurer Code ; Reporting Year ; Insurance Category Code ; Large Provider Entity Code ; Age Band Code ; Sex Code </v>
      </c>
      <c r="N1052" s="297" t="s">
        <v>197</v>
      </c>
      <c r="O1052" s="297" t="s">
        <v>198</v>
      </c>
      <c r="P1052" s="297" t="s">
        <v>199</v>
      </c>
      <c r="Q1052" s="297" t="s">
        <v>200</v>
      </c>
      <c r="R1052" s="297" t="s">
        <v>213</v>
      </c>
      <c r="S1052" s="297" t="s">
        <v>214</v>
      </c>
    </row>
    <row r="1053" spans="1:19" x14ac:dyDescent="0.4">
      <c r="A1053" s="291"/>
      <c r="B1053" s="292"/>
      <c r="C1053" s="312"/>
      <c r="D1053" s="292"/>
      <c r="E1053" s="489"/>
      <c r="F1053" s="489"/>
      <c r="G1053" s="490"/>
      <c r="H1053" s="520"/>
      <c r="I1053" s="523"/>
      <c r="J1053" s="521"/>
      <c r="K1053" s="522"/>
      <c r="M1053" s="301" t="str">
        <f>N1053&amp;AS[[#This Row],[Insurer Code]]&amp;"; "&amp;O1053&amp;AS[[#This Row],[Reporting Year]]&amp;"; "&amp;P1053&amp;AS[[#This Row],[Insurance Category Code]]&amp;"; "&amp;Q1053&amp;AS[[#This Row],[Large Provider Entity Code]]&amp;"; "&amp;R1053&amp;AS[[#This Row],[Age Band Code]]&amp;"; "&amp;S1053&amp;AS[[#This Row],[Sex Code]]</f>
        <v xml:space="preserve">Insurer Code ; Reporting Year ; Insurance Category Code ; Large Provider Entity Code ; Age Band Code ; Sex Code </v>
      </c>
      <c r="N1053" s="297" t="s">
        <v>197</v>
      </c>
      <c r="O1053" s="297" t="s">
        <v>198</v>
      </c>
      <c r="P1053" s="297" t="s">
        <v>199</v>
      </c>
      <c r="Q1053" s="297" t="s">
        <v>200</v>
      </c>
      <c r="R1053" s="297" t="s">
        <v>213</v>
      </c>
      <c r="S1053" s="297" t="s">
        <v>214</v>
      </c>
    </row>
    <row r="1054" spans="1:19" x14ac:dyDescent="0.4">
      <c r="A1054" s="291"/>
      <c r="B1054" s="292"/>
      <c r="C1054" s="312"/>
      <c r="D1054" s="292"/>
      <c r="E1054" s="489"/>
      <c r="F1054" s="489"/>
      <c r="G1054" s="490"/>
      <c r="H1054" s="520"/>
      <c r="I1054" s="523"/>
      <c r="J1054" s="521"/>
      <c r="K1054" s="522"/>
      <c r="M1054" s="301" t="str">
        <f>N1054&amp;AS[[#This Row],[Insurer Code]]&amp;"; "&amp;O1054&amp;AS[[#This Row],[Reporting Year]]&amp;"; "&amp;P1054&amp;AS[[#This Row],[Insurance Category Code]]&amp;"; "&amp;Q1054&amp;AS[[#This Row],[Large Provider Entity Code]]&amp;"; "&amp;R1054&amp;AS[[#This Row],[Age Band Code]]&amp;"; "&amp;S1054&amp;AS[[#This Row],[Sex Code]]</f>
        <v xml:space="preserve">Insurer Code ; Reporting Year ; Insurance Category Code ; Large Provider Entity Code ; Age Band Code ; Sex Code </v>
      </c>
      <c r="N1054" s="297" t="s">
        <v>197</v>
      </c>
      <c r="O1054" s="297" t="s">
        <v>198</v>
      </c>
      <c r="P1054" s="297" t="s">
        <v>199</v>
      </c>
      <c r="Q1054" s="297" t="s">
        <v>200</v>
      </c>
      <c r="R1054" s="297" t="s">
        <v>213</v>
      </c>
      <c r="S1054" s="297" t="s">
        <v>214</v>
      </c>
    </row>
    <row r="1055" spans="1:19" x14ac:dyDescent="0.4">
      <c r="A1055" s="291"/>
      <c r="B1055" s="292"/>
      <c r="C1055" s="312"/>
      <c r="D1055" s="292"/>
      <c r="E1055" s="489"/>
      <c r="F1055" s="489"/>
      <c r="G1055" s="490"/>
      <c r="H1055" s="520"/>
      <c r="I1055" s="523"/>
      <c r="J1055" s="521"/>
      <c r="K1055" s="522"/>
      <c r="M1055" s="301" t="str">
        <f>N1055&amp;AS[[#This Row],[Insurer Code]]&amp;"; "&amp;O1055&amp;AS[[#This Row],[Reporting Year]]&amp;"; "&amp;P1055&amp;AS[[#This Row],[Insurance Category Code]]&amp;"; "&amp;Q1055&amp;AS[[#This Row],[Large Provider Entity Code]]&amp;"; "&amp;R1055&amp;AS[[#This Row],[Age Band Code]]&amp;"; "&amp;S1055&amp;AS[[#This Row],[Sex Code]]</f>
        <v xml:space="preserve">Insurer Code ; Reporting Year ; Insurance Category Code ; Large Provider Entity Code ; Age Band Code ; Sex Code </v>
      </c>
      <c r="N1055" s="297" t="s">
        <v>197</v>
      </c>
      <c r="O1055" s="297" t="s">
        <v>198</v>
      </c>
      <c r="P1055" s="297" t="s">
        <v>199</v>
      </c>
      <c r="Q1055" s="297" t="s">
        <v>200</v>
      </c>
      <c r="R1055" s="297" t="s">
        <v>213</v>
      </c>
      <c r="S1055" s="297" t="s">
        <v>214</v>
      </c>
    </row>
    <row r="1056" spans="1:19" x14ac:dyDescent="0.4">
      <c r="A1056" s="291"/>
      <c r="B1056" s="292"/>
      <c r="C1056" s="312"/>
      <c r="D1056" s="292"/>
      <c r="E1056" s="489"/>
      <c r="F1056" s="489"/>
      <c r="G1056" s="490"/>
      <c r="H1056" s="520"/>
      <c r="I1056" s="523"/>
      <c r="J1056" s="521"/>
      <c r="K1056" s="522"/>
      <c r="M1056" s="301" t="str">
        <f>N1056&amp;AS[[#This Row],[Insurer Code]]&amp;"; "&amp;O1056&amp;AS[[#This Row],[Reporting Year]]&amp;"; "&amp;P1056&amp;AS[[#This Row],[Insurance Category Code]]&amp;"; "&amp;Q1056&amp;AS[[#This Row],[Large Provider Entity Code]]&amp;"; "&amp;R1056&amp;AS[[#This Row],[Age Band Code]]&amp;"; "&amp;S1056&amp;AS[[#This Row],[Sex Code]]</f>
        <v xml:space="preserve">Insurer Code ; Reporting Year ; Insurance Category Code ; Large Provider Entity Code ; Age Band Code ; Sex Code </v>
      </c>
      <c r="N1056" s="297" t="s">
        <v>197</v>
      </c>
      <c r="O1056" s="297" t="s">
        <v>198</v>
      </c>
      <c r="P1056" s="297" t="s">
        <v>199</v>
      </c>
      <c r="Q1056" s="297" t="s">
        <v>200</v>
      </c>
      <c r="R1056" s="297" t="s">
        <v>213</v>
      </c>
      <c r="S1056" s="297" t="s">
        <v>214</v>
      </c>
    </row>
    <row r="1057" spans="1:19" x14ac:dyDescent="0.4">
      <c r="A1057" s="291"/>
      <c r="B1057" s="292"/>
      <c r="C1057" s="312"/>
      <c r="D1057" s="292"/>
      <c r="E1057" s="489"/>
      <c r="F1057" s="489"/>
      <c r="G1057" s="490"/>
      <c r="H1057" s="520"/>
      <c r="I1057" s="523"/>
      <c r="J1057" s="521"/>
      <c r="K1057" s="522"/>
      <c r="M1057" s="301" t="str">
        <f>N1057&amp;AS[[#This Row],[Insurer Code]]&amp;"; "&amp;O1057&amp;AS[[#This Row],[Reporting Year]]&amp;"; "&amp;P1057&amp;AS[[#This Row],[Insurance Category Code]]&amp;"; "&amp;Q1057&amp;AS[[#This Row],[Large Provider Entity Code]]&amp;"; "&amp;R1057&amp;AS[[#This Row],[Age Band Code]]&amp;"; "&amp;S1057&amp;AS[[#This Row],[Sex Code]]</f>
        <v xml:space="preserve">Insurer Code ; Reporting Year ; Insurance Category Code ; Large Provider Entity Code ; Age Band Code ; Sex Code </v>
      </c>
      <c r="N1057" s="297" t="s">
        <v>197</v>
      </c>
      <c r="O1057" s="297" t="s">
        <v>198</v>
      </c>
      <c r="P1057" s="297" t="s">
        <v>199</v>
      </c>
      <c r="Q1057" s="297" t="s">
        <v>200</v>
      </c>
      <c r="R1057" s="297" t="s">
        <v>213</v>
      </c>
      <c r="S1057" s="297" t="s">
        <v>214</v>
      </c>
    </row>
    <row r="1058" spans="1:19" x14ac:dyDescent="0.4">
      <c r="A1058" s="291"/>
      <c r="B1058" s="292"/>
      <c r="C1058" s="312"/>
      <c r="D1058" s="292"/>
      <c r="E1058" s="489"/>
      <c r="F1058" s="489"/>
      <c r="G1058" s="490"/>
      <c r="H1058" s="520"/>
      <c r="I1058" s="523"/>
      <c r="J1058" s="521"/>
      <c r="K1058" s="522"/>
      <c r="M1058" s="301" t="str">
        <f>N1058&amp;AS[[#This Row],[Insurer Code]]&amp;"; "&amp;O1058&amp;AS[[#This Row],[Reporting Year]]&amp;"; "&amp;P1058&amp;AS[[#This Row],[Insurance Category Code]]&amp;"; "&amp;Q1058&amp;AS[[#This Row],[Large Provider Entity Code]]&amp;"; "&amp;R1058&amp;AS[[#This Row],[Age Band Code]]&amp;"; "&amp;S1058&amp;AS[[#This Row],[Sex Code]]</f>
        <v xml:space="preserve">Insurer Code ; Reporting Year ; Insurance Category Code ; Large Provider Entity Code ; Age Band Code ; Sex Code </v>
      </c>
      <c r="N1058" s="297" t="s">
        <v>197</v>
      </c>
      <c r="O1058" s="297" t="s">
        <v>198</v>
      </c>
      <c r="P1058" s="297" t="s">
        <v>199</v>
      </c>
      <c r="Q1058" s="297" t="s">
        <v>200</v>
      </c>
      <c r="R1058" s="297" t="s">
        <v>213</v>
      </c>
      <c r="S1058" s="297" t="s">
        <v>214</v>
      </c>
    </row>
    <row r="1059" spans="1:19" x14ac:dyDescent="0.4">
      <c r="A1059" s="291"/>
      <c r="B1059" s="292"/>
      <c r="C1059" s="312"/>
      <c r="D1059" s="292"/>
      <c r="E1059" s="489"/>
      <c r="F1059" s="489"/>
      <c r="G1059" s="490"/>
      <c r="H1059" s="520"/>
      <c r="I1059" s="523"/>
      <c r="J1059" s="521"/>
      <c r="K1059" s="522"/>
      <c r="M1059" s="301" t="str">
        <f>N1059&amp;AS[[#This Row],[Insurer Code]]&amp;"; "&amp;O1059&amp;AS[[#This Row],[Reporting Year]]&amp;"; "&amp;P1059&amp;AS[[#This Row],[Insurance Category Code]]&amp;"; "&amp;Q1059&amp;AS[[#This Row],[Large Provider Entity Code]]&amp;"; "&amp;R1059&amp;AS[[#This Row],[Age Band Code]]&amp;"; "&amp;S1059&amp;AS[[#This Row],[Sex Code]]</f>
        <v xml:space="preserve">Insurer Code ; Reporting Year ; Insurance Category Code ; Large Provider Entity Code ; Age Band Code ; Sex Code </v>
      </c>
      <c r="N1059" s="297" t="s">
        <v>197</v>
      </c>
      <c r="O1059" s="297" t="s">
        <v>198</v>
      </c>
      <c r="P1059" s="297" t="s">
        <v>199</v>
      </c>
      <c r="Q1059" s="297" t="s">
        <v>200</v>
      </c>
      <c r="R1059" s="297" t="s">
        <v>213</v>
      </c>
      <c r="S1059" s="297" t="s">
        <v>214</v>
      </c>
    </row>
    <row r="1060" spans="1:19" x14ac:dyDescent="0.4">
      <c r="A1060" s="291"/>
      <c r="B1060" s="292"/>
      <c r="C1060" s="312"/>
      <c r="D1060" s="292"/>
      <c r="E1060" s="489"/>
      <c r="F1060" s="489"/>
      <c r="G1060" s="490"/>
      <c r="H1060" s="520"/>
      <c r="I1060" s="523"/>
      <c r="J1060" s="521"/>
      <c r="K1060" s="522"/>
      <c r="M1060" s="301" t="str">
        <f>N1060&amp;AS[[#This Row],[Insurer Code]]&amp;"; "&amp;O1060&amp;AS[[#This Row],[Reporting Year]]&amp;"; "&amp;P1060&amp;AS[[#This Row],[Insurance Category Code]]&amp;"; "&amp;Q1060&amp;AS[[#This Row],[Large Provider Entity Code]]&amp;"; "&amp;R1060&amp;AS[[#This Row],[Age Band Code]]&amp;"; "&amp;S1060&amp;AS[[#This Row],[Sex Code]]</f>
        <v xml:space="preserve">Insurer Code ; Reporting Year ; Insurance Category Code ; Large Provider Entity Code ; Age Band Code ; Sex Code </v>
      </c>
      <c r="N1060" s="297" t="s">
        <v>197</v>
      </c>
      <c r="O1060" s="297" t="s">
        <v>198</v>
      </c>
      <c r="P1060" s="297" t="s">
        <v>199</v>
      </c>
      <c r="Q1060" s="297" t="s">
        <v>200</v>
      </c>
      <c r="R1060" s="297" t="s">
        <v>213</v>
      </c>
      <c r="S1060" s="297" t="s">
        <v>214</v>
      </c>
    </row>
    <row r="1061" spans="1:19" x14ac:dyDescent="0.4">
      <c r="A1061" s="291"/>
      <c r="B1061" s="292"/>
      <c r="C1061" s="312"/>
      <c r="D1061" s="292"/>
      <c r="E1061" s="489"/>
      <c r="F1061" s="489"/>
      <c r="G1061" s="490"/>
      <c r="H1061" s="520"/>
      <c r="I1061" s="523"/>
      <c r="J1061" s="521"/>
      <c r="K1061" s="522"/>
      <c r="M1061" s="301" t="str">
        <f>N1061&amp;AS[[#This Row],[Insurer Code]]&amp;"; "&amp;O1061&amp;AS[[#This Row],[Reporting Year]]&amp;"; "&amp;P1061&amp;AS[[#This Row],[Insurance Category Code]]&amp;"; "&amp;Q1061&amp;AS[[#This Row],[Large Provider Entity Code]]&amp;"; "&amp;R1061&amp;AS[[#This Row],[Age Band Code]]&amp;"; "&amp;S1061&amp;AS[[#This Row],[Sex Code]]</f>
        <v xml:space="preserve">Insurer Code ; Reporting Year ; Insurance Category Code ; Large Provider Entity Code ; Age Band Code ; Sex Code </v>
      </c>
      <c r="N1061" s="297" t="s">
        <v>197</v>
      </c>
      <c r="O1061" s="297" t="s">
        <v>198</v>
      </c>
      <c r="P1061" s="297" t="s">
        <v>199</v>
      </c>
      <c r="Q1061" s="297" t="s">
        <v>200</v>
      </c>
      <c r="R1061" s="297" t="s">
        <v>213</v>
      </c>
      <c r="S1061" s="297" t="s">
        <v>214</v>
      </c>
    </row>
    <row r="1062" spans="1:19" x14ac:dyDescent="0.4">
      <c r="A1062" s="291"/>
      <c r="B1062" s="292"/>
      <c r="C1062" s="312"/>
      <c r="D1062" s="292"/>
      <c r="E1062" s="489"/>
      <c r="F1062" s="489"/>
      <c r="G1062" s="490"/>
      <c r="H1062" s="520"/>
      <c r="I1062" s="523"/>
      <c r="J1062" s="521"/>
      <c r="K1062" s="522"/>
      <c r="M1062" s="301" t="str">
        <f>N1062&amp;AS[[#This Row],[Insurer Code]]&amp;"; "&amp;O1062&amp;AS[[#This Row],[Reporting Year]]&amp;"; "&amp;P1062&amp;AS[[#This Row],[Insurance Category Code]]&amp;"; "&amp;Q1062&amp;AS[[#This Row],[Large Provider Entity Code]]&amp;"; "&amp;R1062&amp;AS[[#This Row],[Age Band Code]]&amp;"; "&amp;S1062&amp;AS[[#This Row],[Sex Code]]</f>
        <v xml:space="preserve">Insurer Code ; Reporting Year ; Insurance Category Code ; Large Provider Entity Code ; Age Band Code ; Sex Code </v>
      </c>
      <c r="N1062" s="297" t="s">
        <v>197</v>
      </c>
      <c r="O1062" s="297" t="s">
        <v>198</v>
      </c>
      <c r="P1062" s="297" t="s">
        <v>199</v>
      </c>
      <c r="Q1062" s="297" t="s">
        <v>200</v>
      </c>
      <c r="R1062" s="297" t="s">
        <v>213</v>
      </c>
      <c r="S1062" s="297" t="s">
        <v>214</v>
      </c>
    </row>
    <row r="1063" spans="1:19" x14ac:dyDescent="0.4">
      <c r="A1063" s="291"/>
      <c r="B1063" s="292"/>
      <c r="C1063" s="312"/>
      <c r="D1063" s="292"/>
      <c r="E1063" s="489"/>
      <c r="F1063" s="489"/>
      <c r="G1063" s="490"/>
      <c r="H1063" s="520"/>
      <c r="I1063" s="523"/>
      <c r="J1063" s="521"/>
      <c r="K1063" s="522"/>
      <c r="M1063" s="301" t="str">
        <f>N1063&amp;AS[[#This Row],[Insurer Code]]&amp;"; "&amp;O1063&amp;AS[[#This Row],[Reporting Year]]&amp;"; "&amp;P1063&amp;AS[[#This Row],[Insurance Category Code]]&amp;"; "&amp;Q1063&amp;AS[[#This Row],[Large Provider Entity Code]]&amp;"; "&amp;R1063&amp;AS[[#This Row],[Age Band Code]]&amp;"; "&amp;S1063&amp;AS[[#This Row],[Sex Code]]</f>
        <v xml:space="preserve">Insurer Code ; Reporting Year ; Insurance Category Code ; Large Provider Entity Code ; Age Band Code ; Sex Code </v>
      </c>
      <c r="N1063" s="297" t="s">
        <v>197</v>
      </c>
      <c r="O1063" s="297" t="s">
        <v>198</v>
      </c>
      <c r="P1063" s="297" t="s">
        <v>199</v>
      </c>
      <c r="Q1063" s="297" t="s">
        <v>200</v>
      </c>
      <c r="R1063" s="297" t="s">
        <v>213</v>
      </c>
      <c r="S1063" s="297" t="s">
        <v>214</v>
      </c>
    </row>
    <row r="1064" spans="1:19" x14ac:dyDescent="0.4">
      <c r="A1064" s="291"/>
      <c r="B1064" s="292"/>
      <c r="C1064" s="312"/>
      <c r="D1064" s="292"/>
      <c r="E1064" s="489"/>
      <c r="F1064" s="489"/>
      <c r="G1064" s="490"/>
      <c r="H1064" s="520"/>
      <c r="I1064" s="523"/>
      <c r="J1064" s="521"/>
      <c r="K1064" s="522"/>
      <c r="M1064" s="301" t="str">
        <f>N1064&amp;AS[[#This Row],[Insurer Code]]&amp;"; "&amp;O1064&amp;AS[[#This Row],[Reporting Year]]&amp;"; "&amp;P1064&amp;AS[[#This Row],[Insurance Category Code]]&amp;"; "&amp;Q1064&amp;AS[[#This Row],[Large Provider Entity Code]]&amp;"; "&amp;R1064&amp;AS[[#This Row],[Age Band Code]]&amp;"; "&amp;S1064&amp;AS[[#This Row],[Sex Code]]</f>
        <v xml:space="preserve">Insurer Code ; Reporting Year ; Insurance Category Code ; Large Provider Entity Code ; Age Band Code ; Sex Code </v>
      </c>
      <c r="N1064" s="297" t="s">
        <v>197</v>
      </c>
      <c r="O1064" s="297" t="s">
        <v>198</v>
      </c>
      <c r="P1064" s="297" t="s">
        <v>199</v>
      </c>
      <c r="Q1064" s="297" t="s">
        <v>200</v>
      </c>
      <c r="R1064" s="297" t="s">
        <v>213</v>
      </c>
      <c r="S1064" s="297" t="s">
        <v>214</v>
      </c>
    </row>
    <row r="1065" spans="1:19" x14ac:dyDescent="0.4">
      <c r="A1065" s="291"/>
      <c r="B1065" s="292"/>
      <c r="C1065" s="312"/>
      <c r="D1065" s="292"/>
      <c r="E1065" s="489"/>
      <c r="F1065" s="489"/>
      <c r="G1065" s="490"/>
      <c r="H1065" s="520"/>
      <c r="I1065" s="523"/>
      <c r="J1065" s="521"/>
      <c r="K1065" s="522"/>
      <c r="M1065" s="301" t="str">
        <f>N1065&amp;AS[[#This Row],[Insurer Code]]&amp;"; "&amp;O1065&amp;AS[[#This Row],[Reporting Year]]&amp;"; "&amp;P1065&amp;AS[[#This Row],[Insurance Category Code]]&amp;"; "&amp;Q1065&amp;AS[[#This Row],[Large Provider Entity Code]]&amp;"; "&amp;R1065&amp;AS[[#This Row],[Age Band Code]]&amp;"; "&amp;S1065&amp;AS[[#This Row],[Sex Code]]</f>
        <v xml:space="preserve">Insurer Code ; Reporting Year ; Insurance Category Code ; Large Provider Entity Code ; Age Band Code ; Sex Code </v>
      </c>
      <c r="N1065" s="297" t="s">
        <v>197</v>
      </c>
      <c r="O1065" s="297" t="s">
        <v>198</v>
      </c>
      <c r="P1065" s="297" t="s">
        <v>199</v>
      </c>
      <c r="Q1065" s="297" t="s">
        <v>200</v>
      </c>
      <c r="R1065" s="297" t="s">
        <v>213</v>
      </c>
      <c r="S1065" s="297" t="s">
        <v>214</v>
      </c>
    </row>
    <row r="1066" spans="1:19" x14ac:dyDescent="0.4">
      <c r="A1066" s="291"/>
      <c r="B1066" s="292"/>
      <c r="C1066" s="312"/>
      <c r="D1066" s="292"/>
      <c r="E1066" s="489"/>
      <c r="F1066" s="489"/>
      <c r="G1066" s="490"/>
      <c r="H1066" s="520"/>
      <c r="I1066" s="523"/>
      <c r="J1066" s="521"/>
      <c r="K1066" s="522"/>
      <c r="M1066" s="301" t="str">
        <f>N1066&amp;AS[[#This Row],[Insurer Code]]&amp;"; "&amp;O1066&amp;AS[[#This Row],[Reporting Year]]&amp;"; "&amp;P1066&amp;AS[[#This Row],[Insurance Category Code]]&amp;"; "&amp;Q1066&amp;AS[[#This Row],[Large Provider Entity Code]]&amp;"; "&amp;R1066&amp;AS[[#This Row],[Age Band Code]]&amp;"; "&amp;S1066&amp;AS[[#This Row],[Sex Code]]</f>
        <v xml:space="preserve">Insurer Code ; Reporting Year ; Insurance Category Code ; Large Provider Entity Code ; Age Band Code ; Sex Code </v>
      </c>
      <c r="N1066" s="297" t="s">
        <v>197</v>
      </c>
      <c r="O1066" s="297" t="s">
        <v>198</v>
      </c>
      <c r="P1066" s="297" t="s">
        <v>199</v>
      </c>
      <c r="Q1066" s="297" t="s">
        <v>200</v>
      </c>
      <c r="R1066" s="297" t="s">
        <v>213</v>
      </c>
      <c r="S1066" s="297" t="s">
        <v>214</v>
      </c>
    </row>
    <row r="1067" spans="1:19" x14ac:dyDescent="0.4">
      <c r="A1067" s="291"/>
      <c r="B1067" s="292"/>
      <c r="C1067" s="312"/>
      <c r="D1067" s="292"/>
      <c r="E1067" s="489"/>
      <c r="F1067" s="489"/>
      <c r="G1067" s="490"/>
      <c r="H1067" s="520"/>
      <c r="I1067" s="523"/>
      <c r="J1067" s="521"/>
      <c r="K1067" s="522"/>
      <c r="M1067" s="301" t="str">
        <f>N1067&amp;AS[[#This Row],[Insurer Code]]&amp;"; "&amp;O1067&amp;AS[[#This Row],[Reporting Year]]&amp;"; "&amp;P1067&amp;AS[[#This Row],[Insurance Category Code]]&amp;"; "&amp;Q1067&amp;AS[[#This Row],[Large Provider Entity Code]]&amp;"; "&amp;R1067&amp;AS[[#This Row],[Age Band Code]]&amp;"; "&amp;S1067&amp;AS[[#This Row],[Sex Code]]</f>
        <v xml:space="preserve">Insurer Code ; Reporting Year ; Insurance Category Code ; Large Provider Entity Code ; Age Band Code ; Sex Code </v>
      </c>
      <c r="N1067" s="297" t="s">
        <v>197</v>
      </c>
      <c r="O1067" s="297" t="s">
        <v>198</v>
      </c>
      <c r="P1067" s="297" t="s">
        <v>199</v>
      </c>
      <c r="Q1067" s="297" t="s">
        <v>200</v>
      </c>
      <c r="R1067" s="297" t="s">
        <v>213</v>
      </c>
      <c r="S1067" s="297" t="s">
        <v>214</v>
      </c>
    </row>
    <row r="1068" spans="1:19" x14ac:dyDescent="0.4">
      <c r="A1068" s="291"/>
      <c r="B1068" s="292"/>
      <c r="C1068" s="312"/>
      <c r="D1068" s="292"/>
      <c r="E1068" s="489"/>
      <c r="F1068" s="489"/>
      <c r="G1068" s="490"/>
      <c r="H1068" s="520"/>
      <c r="I1068" s="523"/>
      <c r="J1068" s="521"/>
      <c r="K1068" s="522"/>
      <c r="M1068" s="301" t="str">
        <f>N1068&amp;AS[[#This Row],[Insurer Code]]&amp;"; "&amp;O1068&amp;AS[[#This Row],[Reporting Year]]&amp;"; "&amp;P1068&amp;AS[[#This Row],[Insurance Category Code]]&amp;"; "&amp;Q1068&amp;AS[[#This Row],[Large Provider Entity Code]]&amp;"; "&amp;R1068&amp;AS[[#This Row],[Age Band Code]]&amp;"; "&amp;S1068&amp;AS[[#This Row],[Sex Code]]</f>
        <v xml:space="preserve">Insurer Code ; Reporting Year ; Insurance Category Code ; Large Provider Entity Code ; Age Band Code ; Sex Code </v>
      </c>
      <c r="N1068" s="297" t="s">
        <v>197</v>
      </c>
      <c r="O1068" s="297" t="s">
        <v>198</v>
      </c>
      <c r="P1068" s="297" t="s">
        <v>199</v>
      </c>
      <c r="Q1068" s="297" t="s">
        <v>200</v>
      </c>
      <c r="R1068" s="297" t="s">
        <v>213</v>
      </c>
      <c r="S1068" s="297" t="s">
        <v>214</v>
      </c>
    </row>
    <row r="1069" spans="1:19" x14ac:dyDescent="0.4">
      <c r="A1069" s="291"/>
      <c r="B1069" s="292"/>
      <c r="C1069" s="312"/>
      <c r="D1069" s="292"/>
      <c r="E1069" s="489"/>
      <c r="F1069" s="489"/>
      <c r="G1069" s="490"/>
      <c r="H1069" s="520"/>
      <c r="I1069" s="523"/>
      <c r="J1069" s="521"/>
      <c r="K1069" s="522"/>
      <c r="M1069" s="301" t="str">
        <f>N1069&amp;AS[[#This Row],[Insurer Code]]&amp;"; "&amp;O1069&amp;AS[[#This Row],[Reporting Year]]&amp;"; "&amp;P1069&amp;AS[[#This Row],[Insurance Category Code]]&amp;"; "&amp;Q1069&amp;AS[[#This Row],[Large Provider Entity Code]]&amp;"; "&amp;R1069&amp;AS[[#This Row],[Age Band Code]]&amp;"; "&amp;S1069&amp;AS[[#This Row],[Sex Code]]</f>
        <v xml:space="preserve">Insurer Code ; Reporting Year ; Insurance Category Code ; Large Provider Entity Code ; Age Band Code ; Sex Code </v>
      </c>
      <c r="N1069" s="297" t="s">
        <v>197</v>
      </c>
      <c r="O1069" s="297" t="s">
        <v>198</v>
      </c>
      <c r="P1069" s="297" t="s">
        <v>199</v>
      </c>
      <c r="Q1069" s="297" t="s">
        <v>200</v>
      </c>
      <c r="R1069" s="297" t="s">
        <v>213</v>
      </c>
      <c r="S1069" s="297" t="s">
        <v>214</v>
      </c>
    </row>
    <row r="1070" spans="1:19" x14ac:dyDescent="0.4">
      <c r="A1070" s="291"/>
      <c r="B1070" s="292"/>
      <c r="C1070" s="312"/>
      <c r="D1070" s="292"/>
      <c r="E1070" s="489"/>
      <c r="F1070" s="489"/>
      <c r="G1070" s="490"/>
      <c r="H1070" s="520"/>
      <c r="I1070" s="523"/>
      <c r="J1070" s="521"/>
      <c r="K1070" s="522"/>
      <c r="M1070" s="301" t="str">
        <f>N1070&amp;AS[[#This Row],[Insurer Code]]&amp;"; "&amp;O1070&amp;AS[[#This Row],[Reporting Year]]&amp;"; "&amp;P1070&amp;AS[[#This Row],[Insurance Category Code]]&amp;"; "&amp;Q1070&amp;AS[[#This Row],[Large Provider Entity Code]]&amp;"; "&amp;R1070&amp;AS[[#This Row],[Age Band Code]]&amp;"; "&amp;S1070&amp;AS[[#This Row],[Sex Code]]</f>
        <v xml:space="preserve">Insurer Code ; Reporting Year ; Insurance Category Code ; Large Provider Entity Code ; Age Band Code ; Sex Code </v>
      </c>
      <c r="N1070" s="297" t="s">
        <v>197</v>
      </c>
      <c r="O1070" s="297" t="s">
        <v>198</v>
      </c>
      <c r="P1070" s="297" t="s">
        <v>199</v>
      </c>
      <c r="Q1070" s="297" t="s">
        <v>200</v>
      </c>
      <c r="R1070" s="297" t="s">
        <v>213</v>
      </c>
      <c r="S1070" s="297" t="s">
        <v>214</v>
      </c>
    </row>
    <row r="1071" spans="1:19" x14ac:dyDescent="0.4">
      <c r="A1071" s="291"/>
      <c r="B1071" s="292"/>
      <c r="C1071" s="312"/>
      <c r="D1071" s="292"/>
      <c r="E1071" s="489"/>
      <c r="F1071" s="489"/>
      <c r="G1071" s="490"/>
      <c r="H1071" s="520"/>
      <c r="I1071" s="523"/>
      <c r="J1071" s="521"/>
      <c r="K1071" s="522"/>
      <c r="M1071" s="301" t="str">
        <f>N1071&amp;AS[[#This Row],[Insurer Code]]&amp;"; "&amp;O1071&amp;AS[[#This Row],[Reporting Year]]&amp;"; "&amp;P1071&amp;AS[[#This Row],[Insurance Category Code]]&amp;"; "&amp;Q1071&amp;AS[[#This Row],[Large Provider Entity Code]]&amp;"; "&amp;R1071&amp;AS[[#This Row],[Age Band Code]]&amp;"; "&amp;S1071&amp;AS[[#This Row],[Sex Code]]</f>
        <v xml:space="preserve">Insurer Code ; Reporting Year ; Insurance Category Code ; Large Provider Entity Code ; Age Band Code ; Sex Code </v>
      </c>
      <c r="N1071" s="297" t="s">
        <v>197</v>
      </c>
      <c r="O1071" s="297" t="s">
        <v>198</v>
      </c>
      <c r="P1071" s="297" t="s">
        <v>199</v>
      </c>
      <c r="Q1071" s="297" t="s">
        <v>200</v>
      </c>
      <c r="R1071" s="297" t="s">
        <v>213</v>
      </c>
      <c r="S1071" s="297" t="s">
        <v>214</v>
      </c>
    </row>
    <row r="1072" spans="1:19" x14ac:dyDescent="0.4">
      <c r="A1072" s="291"/>
      <c r="B1072" s="292"/>
      <c r="C1072" s="312"/>
      <c r="D1072" s="292"/>
      <c r="E1072" s="489"/>
      <c r="F1072" s="489"/>
      <c r="G1072" s="490"/>
      <c r="H1072" s="520"/>
      <c r="I1072" s="523"/>
      <c r="J1072" s="521"/>
      <c r="K1072" s="522"/>
      <c r="M1072" s="301" t="str">
        <f>N1072&amp;AS[[#This Row],[Insurer Code]]&amp;"; "&amp;O1072&amp;AS[[#This Row],[Reporting Year]]&amp;"; "&amp;P1072&amp;AS[[#This Row],[Insurance Category Code]]&amp;"; "&amp;Q1072&amp;AS[[#This Row],[Large Provider Entity Code]]&amp;"; "&amp;R1072&amp;AS[[#This Row],[Age Band Code]]&amp;"; "&amp;S1072&amp;AS[[#This Row],[Sex Code]]</f>
        <v xml:space="preserve">Insurer Code ; Reporting Year ; Insurance Category Code ; Large Provider Entity Code ; Age Band Code ; Sex Code </v>
      </c>
      <c r="N1072" s="297" t="s">
        <v>197</v>
      </c>
      <c r="O1072" s="297" t="s">
        <v>198</v>
      </c>
      <c r="P1072" s="297" t="s">
        <v>199</v>
      </c>
      <c r="Q1072" s="297" t="s">
        <v>200</v>
      </c>
      <c r="R1072" s="297" t="s">
        <v>213</v>
      </c>
      <c r="S1072" s="297" t="s">
        <v>214</v>
      </c>
    </row>
    <row r="1073" spans="1:19" x14ac:dyDescent="0.4">
      <c r="A1073" s="291"/>
      <c r="B1073" s="292"/>
      <c r="C1073" s="312"/>
      <c r="D1073" s="292"/>
      <c r="E1073" s="489"/>
      <c r="F1073" s="489"/>
      <c r="G1073" s="490"/>
      <c r="H1073" s="520"/>
      <c r="I1073" s="523"/>
      <c r="J1073" s="521"/>
      <c r="K1073" s="522"/>
      <c r="M1073" s="301" t="str">
        <f>N1073&amp;AS[[#This Row],[Insurer Code]]&amp;"; "&amp;O1073&amp;AS[[#This Row],[Reporting Year]]&amp;"; "&amp;P1073&amp;AS[[#This Row],[Insurance Category Code]]&amp;"; "&amp;Q1073&amp;AS[[#This Row],[Large Provider Entity Code]]&amp;"; "&amp;R1073&amp;AS[[#This Row],[Age Band Code]]&amp;"; "&amp;S1073&amp;AS[[#This Row],[Sex Code]]</f>
        <v xml:space="preserve">Insurer Code ; Reporting Year ; Insurance Category Code ; Large Provider Entity Code ; Age Band Code ; Sex Code </v>
      </c>
      <c r="N1073" s="297" t="s">
        <v>197</v>
      </c>
      <c r="O1073" s="297" t="s">
        <v>198</v>
      </c>
      <c r="P1073" s="297" t="s">
        <v>199</v>
      </c>
      <c r="Q1073" s="297" t="s">
        <v>200</v>
      </c>
      <c r="R1073" s="297" t="s">
        <v>213</v>
      </c>
      <c r="S1073" s="297" t="s">
        <v>214</v>
      </c>
    </row>
    <row r="1074" spans="1:19" x14ac:dyDescent="0.4">
      <c r="A1074" s="291"/>
      <c r="B1074" s="292"/>
      <c r="C1074" s="312"/>
      <c r="D1074" s="292"/>
      <c r="E1074" s="489"/>
      <c r="F1074" s="489"/>
      <c r="G1074" s="490"/>
      <c r="H1074" s="520"/>
      <c r="I1074" s="523"/>
      <c r="J1074" s="521"/>
      <c r="K1074" s="522"/>
      <c r="M1074" s="301" t="str">
        <f>N1074&amp;AS[[#This Row],[Insurer Code]]&amp;"; "&amp;O1074&amp;AS[[#This Row],[Reporting Year]]&amp;"; "&amp;P1074&amp;AS[[#This Row],[Insurance Category Code]]&amp;"; "&amp;Q1074&amp;AS[[#This Row],[Large Provider Entity Code]]&amp;"; "&amp;R1074&amp;AS[[#This Row],[Age Band Code]]&amp;"; "&amp;S1074&amp;AS[[#This Row],[Sex Code]]</f>
        <v xml:space="preserve">Insurer Code ; Reporting Year ; Insurance Category Code ; Large Provider Entity Code ; Age Band Code ; Sex Code </v>
      </c>
      <c r="N1074" s="297" t="s">
        <v>197</v>
      </c>
      <c r="O1074" s="297" t="s">
        <v>198</v>
      </c>
      <c r="P1074" s="297" t="s">
        <v>199</v>
      </c>
      <c r="Q1074" s="297" t="s">
        <v>200</v>
      </c>
      <c r="R1074" s="297" t="s">
        <v>213</v>
      </c>
      <c r="S1074" s="297" t="s">
        <v>214</v>
      </c>
    </row>
    <row r="1075" spans="1:19" x14ac:dyDescent="0.4">
      <c r="A1075" s="291"/>
      <c r="B1075" s="292"/>
      <c r="C1075" s="312"/>
      <c r="D1075" s="292"/>
      <c r="E1075" s="489"/>
      <c r="F1075" s="489"/>
      <c r="G1075" s="490"/>
      <c r="H1075" s="520"/>
      <c r="I1075" s="523"/>
      <c r="J1075" s="521"/>
      <c r="K1075" s="522"/>
      <c r="M1075" s="301" t="str">
        <f>N1075&amp;AS[[#This Row],[Insurer Code]]&amp;"; "&amp;O1075&amp;AS[[#This Row],[Reporting Year]]&amp;"; "&amp;P1075&amp;AS[[#This Row],[Insurance Category Code]]&amp;"; "&amp;Q1075&amp;AS[[#This Row],[Large Provider Entity Code]]&amp;"; "&amp;R1075&amp;AS[[#This Row],[Age Band Code]]&amp;"; "&amp;S1075&amp;AS[[#This Row],[Sex Code]]</f>
        <v xml:space="preserve">Insurer Code ; Reporting Year ; Insurance Category Code ; Large Provider Entity Code ; Age Band Code ; Sex Code </v>
      </c>
      <c r="N1075" s="297" t="s">
        <v>197</v>
      </c>
      <c r="O1075" s="297" t="s">
        <v>198</v>
      </c>
      <c r="P1075" s="297" t="s">
        <v>199</v>
      </c>
      <c r="Q1075" s="297" t="s">
        <v>200</v>
      </c>
      <c r="R1075" s="297" t="s">
        <v>213</v>
      </c>
      <c r="S1075" s="297" t="s">
        <v>214</v>
      </c>
    </row>
    <row r="1076" spans="1:19" x14ac:dyDescent="0.4">
      <c r="A1076" s="291"/>
      <c r="B1076" s="292"/>
      <c r="C1076" s="312"/>
      <c r="D1076" s="292"/>
      <c r="E1076" s="489"/>
      <c r="F1076" s="489"/>
      <c r="G1076" s="490"/>
      <c r="H1076" s="520"/>
      <c r="I1076" s="523"/>
      <c r="J1076" s="521"/>
      <c r="K1076" s="522"/>
      <c r="M1076" s="301" t="str">
        <f>N1076&amp;AS[[#This Row],[Insurer Code]]&amp;"; "&amp;O1076&amp;AS[[#This Row],[Reporting Year]]&amp;"; "&amp;P1076&amp;AS[[#This Row],[Insurance Category Code]]&amp;"; "&amp;Q1076&amp;AS[[#This Row],[Large Provider Entity Code]]&amp;"; "&amp;R1076&amp;AS[[#This Row],[Age Band Code]]&amp;"; "&amp;S1076&amp;AS[[#This Row],[Sex Code]]</f>
        <v xml:space="preserve">Insurer Code ; Reporting Year ; Insurance Category Code ; Large Provider Entity Code ; Age Band Code ; Sex Code </v>
      </c>
      <c r="N1076" s="297" t="s">
        <v>197</v>
      </c>
      <c r="O1076" s="297" t="s">
        <v>198</v>
      </c>
      <c r="P1076" s="297" t="s">
        <v>199</v>
      </c>
      <c r="Q1076" s="297" t="s">
        <v>200</v>
      </c>
      <c r="R1076" s="297" t="s">
        <v>213</v>
      </c>
      <c r="S1076" s="297" t="s">
        <v>214</v>
      </c>
    </row>
    <row r="1077" spans="1:19" x14ac:dyDescent="0.4">
      <c r="A1077" s="291"/>
      <c r="B1077" s="292"/>
      <c r="C1077" s="312"/>
      <c r="D1077" s="292"/>
      <c r="E1077" s="489"/>
      <c r="F1077" s="489"/>
      <c r="G1077" s="490"/>
      <c r="H1077" s="520"/>
      <c r="I1077" s="523"/>
      <c r="J1077" s="521"/>
      <c r="K1077" s="522"/>
      <c r="M1077" s="301" t="str">
        <f>N1077&amp;AS[[#This Row],[Insurer Code]]&amp;"; "&amp;O1077&amp;AS[[#This Row],[Reporting Year]]&amp;"; "&amp;P1077&amp;AS[[#This Row],[Insurance Category Code]]&amp;"; "&amp;Q1077&amp;AS[[#This Row],[Large Provider Entity Code]]&amp;"; "&amp;R1077&amp;AS[[#This Row],[Age Band Code]]&amp;"; "&amp;S1077&amp;AS[[#This Row],[Sex Code]]</f>
        <v xml:space="preserve">Insurer Code ; Reporting Year ; Insurance Category Code ; Large Provider Entity Code ; Age Band Code ; Sex Code </v>
      </c>
      <c r="N1077" s="297" t="s">
        <v>197</v>
      </c>
      <c r="O1077" s="297" t="s">
        <v>198</v>
      </c>
      <c r="P1077" s="297" t="s">
        <v>199</v>
      </c>
      <c r="Q1077" s="297" t="s">
        <v>200</v>
      </c>
      <c r="R1077" s="297" t="s">
        <v>213</v>
      </c>
      <c r="S1077" s="297" t="s">
        <v>214</v>
      </c>
    </row>
    <row r="1078" spans="1:19" x14ac:dyDescent="0.4">
      <c r="A1078" s="291"/>
      <c r="B1078" s="292"/>
      <c r="C1078" s="312"/>
      <c r="D1078" s="292"/>
      <c r="E1078" s="489"/>
      <c r="F1078" s="489"/>
      <c r="G1078" s="490"/>
      <c r="H1078" s="520"/>
      <c r="I1078" s="523"/>
      <c r="J1078" s="521"/>
      <c r="K1078" s="522"/>
      <c r="M1078" s="301" t="str">
        <f>N1078&amp;AS[[#This Row],[Insurer Code]]&amp;"; "&amp;O1078&amp;AS[[#This Row],[Reporting Year]]&amp;"; "&amp;P1078&amp;AS[[#This Row],[Insurance Category Code]]&amp;"; "&amp;Q1078&amp;AS[[#This Row],[Large Provider Entity Code]]&amp;"; "&amp;R1078&amp;AS[[#This Row],[Age Band Code]]&amp;"; "&amp;S1078&amp;AS[[#This Row],[Sex Code]]</f>
        <v xml:space="preserve">Insurer Code ; Reporting Year ; Insurance Category Code ; Large Provider Entity Code ; Age Band Code ; Sex Code </v>
      </c>
      <c r="N1078" s="297" t="s">
        <v>197</v>
      </c>
      <c r="O1078" s="297" t="s">
        <v>198</v>
      </c>
      <c r="P1078" s="297" t="s">
        <v>199</v>
      </c>
      <c r="Q1078" s="297" t="s">
        <v>200</v>
      </c>
      <c r="R1078" s="297" t="s">
        <v>213</v>
      </c>
      <c r="S1078" s="297" t="s">
        <v>214</v>
      </c>
    </row>
    <row r="1079" spans="1:19" x14ac:dyDescent="0.4">
      <c r="A1079" s="291"/>
      <c r="B1079" s="292"/>
      <c r="C1079" s="312"/>
      <c r="D1079" s="292"/>
      <c r="E1079" s="489"/>
      <c r="F1079" s="489"/>
      <c r="G1079" s="490"/>
      <c r="H1079" s="520"/>
      <c r="I1079" s="523"/>
      <c r="J1079" s="521"/>
      <c r="K1079" s="522"/>
      <c r="M1079" s="301" t="str">
        <f>N1079&amp;AS[[#This Row],[Insurer Code]]&amp;"; "&amp;O1079&amp;AS[[#This Row],[Reporting Year]]&amp;"; "&amp;P1079&amp;AS[[#This Row],[Insurance Category Code]]&amp;"; "&amp;Q1079&amp;AS[[#This Row],[Large Provider Entity Code]]&amp;"; "&amp;R1079&amp;AS[[#This Row],[Age Band Code]]&amp;"; "&amp;S1079&amp;AS[[#This Row],[Sex Code]]</f>
        <v xml:space="preserve">Insurer Code ; Reporting Year ; Insurance Category Code ; Large Provider Entity Code ; Age Band Code ; Sex Code </v>
      </c>
      <c r="N1079" s="297" t="s">
        <v>197</v>
      </c>
      <c r="O1079" s="297" t="s">
        <v>198</v>
      </c>
      <c r="P1079" s="297" t="s">
        <v>199</v>
      </c>
      <c r="Q1079" s="297" t="s">
        <v>200</v>
      </c>
      <c r="R1079" s="297" t="s">
        <v>213</v>
      </c>
      <c r="S1079" s="297" t="s">
        <v>214</v>
      </c>
    </row>
    <row r="1080" spans="1:19" x14ac:dyDescent="0.4">
      <c r="A1080" s="291"/>
      <c r="B1080" s="292"/>
      <c r="C1080" s="312"/>
      <c r="D1080" s="292"/>
      <c r="E1080" s="489"/>
      <c r="F1080" s="489"/>
      <c r="G1080" s="490"/>
      <c r="H1080" s="520"/>
      <c r="I1080" s="523"/>
      <c r="J1080" s="521"/>
      <c r="K1080" s="522"/>
      <c r="M1080" s="301" t="str">
        <f>N1080&amp;AS[[#This Row],[Insurer Code]]&amp;"; "&amp;O1080&amp;AS[[#This Row],[Reporting Year]]&amp;"; "&amp;P1080&amp;AS[[#This Row],[Insurance Category Code]]&amp;"; "&amp;Q1080&amp;AS[[#This Row],[Large Provider Entity Code]]&amp;"; "&amp;R1080&amp;AS[[#This Row],[Age Band Code]]&amp;"; "&amp;S1080&amp;AS[[#This Row],[Sex Code]]</f>
        <v xml:space="preserve">Insurer Code ; Reporting Year ; Insurance Category Code ; Large Provider Entity Code ; Age Band Code ; Sex Code </v>
      </c>
      <c r="N1080" s="297" t="s">
        <v>197</v>
      </c>
      <c r="O1080" s="297" t="s">
        <v>198</v>
      </c>
      <c r="P1080" s="297" t="s">
        <v>199</v>
      </c>
      <c r="Q1080" s="297" t="s">
        <v>200</v>
      </c>
      <c r="R1080" s="297" t="s">
        <v>213</v>
      </c>
      <c r="S1080" s="297" t="s">
        <v>214</v>
      </c>
    </row>
    <row r="1081" spans="1:19" x14ac:dyDescent="0.4">
      <c r="A1081" s="291"/>
      <c r="B1081" s="292"/>
      <c r="C1081" s="312"/>
      <c r="D1081" s="292"/>
      <c r="E1081" s="489"/>
      <c r="F1081" s="489"/>
      <c r="G1081" s="490"/>
      <c r="H1081" s="520"/>
      <c r="I1081" s="523"/>
      <c r="J1081" s="521"/>
      <c r="K1081" s="522"/>
      <c r="M1081" s="301" t="str">
        <f>N1081&amp;AS[[#This Row],[Insurer Code]]&amp;"; "&amp;O1081&amp;AS[[#This Row],[Reporting Year]]&amp;"; "&amp;P1081&amp;AS[[#This Row],[Insurance Category Code]]&amp;"; "&amp;Q1081&amp;AS[[#This Row],[Large Provider Entity Code]]&amp;"; "&amp;R1081&amp;AS[[#This Row],[Age Band Code]]&amp;"; "&amp;S1081&amp;AS[[#This Row],[Sex Code]]</f>
        <v xml:space="preserve">Insurer Code ; Reporting Year ; Insurance Category Code ; Large Provider Entity Code ; Age Band Code ; Sex Code </v>
      </c>
      <c r="N1081" s="297" t="s">
        <v>197</v>
      </c>
      <c r="O1081" s="297" t="s">
        <v>198</v>
      </c>
      <c r="P1081" s="297" t="s">
        <v>199</v>
      </c>
      <c r="Q1081" s="297" t="s">
        <v>200</v>
      </c>
      <c r="R1081" s="297" t="s">
        <v>213</v>
      </c>
      <c r="S1081" s="297" t="s">
        <v>214</v>
      </c>
    </row>
    <row r="1082" spans="1:19" x14ac:dyDescent="0.4">
      <c r="A1082" s="291"/>
      <c r="B1082" s="292"/>
      <c r="C1082" s="312"/>
      <c r="D1082" s="292"/>
      <c r="E1082" s="489"/>
      <c r="F1082" s="489"/>
      <c r="G1082" s="490"/>
      <c r="H1082" s="520"/>
      <c r="I1082" s="523"/>
      <c r="J1082" s="521"/>
      <c r="K1082" s="522"/>
      <c r="M1082" s="301" t="str">
        <f>N1082&amp;AS[[#This Row],[Insurer Code]]&amp;"; "&amp;O1082&amp;AS[[#This Row],[Reporting Year]]&amp;"; "&amp;P1082&amp;AS[[#This Row],[Insurance Category Code]]&amp;"; "&amp;Q1082&amp;AS[[#This Row],[Large Provider Entity Code]]&amp;"; "&amp;R1082&amp;AS[[#This Row],[Age Band Code]]&amp;"; "&amp;S1082&amp;AS[[#This Row],[Sex Code]]</f>
        <v xml:space="preserve">Insurer Code ; Reporting Year ; Insurance Category Code ; Large Provider Entity Code ; Age Band Code ; Sex Code </v>
      </c>
      <c r="N1082" s="297" t="s">
        <v>197</v>
      </c>
      <c r="O1082" s="297" t="s">
        <v>198</v>
      </c>
      <c r="P1082" s="297" t="s">
        <v>199</v>
      </c>
      <c r="Q1082" s="297" t="s">
        <v>200</v>
      </c>
      <c r="R1082" s="297" t="s">
        <v>213</v>
      </c>
      <c r="S1082" s="297" t="s">
        <v>214</v>
      </c>
    </row>
    <row r="1083" spans="1:19" x14ac:dyDescent="0.4">
      <c r="A1083" s="291"/>
      <c r="B1083" s="292"/>
      <c r="C1083" s="312"/>
      <c r="D1083" s="292"/>
      <c r="E1083" s="489"/>
      <c r="F1083" s="489"/>
      <c r="G1083" s="490"/>
      <c r="H1083" s="520"/>
      <c r="I1083" s="523"/>
      <c r="J1083" s="521"/>
      <c r="K1083" s="522"/>
      <c r="M1083" s="301" t="str">
        <f>N1083&amp;AS[[#This Row],[Insurer Code]]&amp;"; "&amp;O1083&amp;AS[[#This Row],[Reporting Year]]&amp;"; "&amp;P1083&amp;AS[[#This Row],[Insurance Category Code]]&amp;"; "&amp;Q1083&amp;AS[[#This Row],[Large Provider Entity Code]]&amp;"; "&amp;R1083&amp;AS[[#This Row],[Age Band Code]]&amp;"; "&amp;S1083&amp;AS[[#This Row],[Sex Code]]</f>
        <v xml:space="preserve">Insurer Code ; Reporting Year ; Insurance Category Code ; Large Provider Entity Code ; Age Band Code ; Sex Code </v>
      </c>
      <c r="N1083" s="297" t="s">
        <v>197</v>
      </c>
      <c r="O1083" s="297" t="s">
        <v>198</v>
      </c>
      <c r="P1083" s="297" t="s">
        <v>199</v>
      </c>
      <c r="Q1083" s="297" t="s">
        <v>200</v>
      </c>
      <c r="R1083" s="297" t="s">
        <v>213</v>
      </c>
      <c r="S1083" s="297" t="s">
        <v>214</v>
      </c>
    </row>
    <row r="1084" spans="1:19" x14ac:dyDescent="0.4">
      <c r="A1084" s="291"/>
      <c r="B1084" s="292"/>
      <c r="C1084" s="312"/>
      <c r="D1084" s="292"/>
      <c r="E1084" s="489"/>
      <c r="F1084" s="489"/>
      <c r="G1084" s="490"/>
      <c r="H1084" s="520"/>
      <c r="I1084" s="523"/>
      <c r="J1084" s="521"/>
      <c r="K1084" s="522"/>
      <c r="M1084" s="301" t="str">
        <f>N1084&amp;AS[[#This Row],[Insurer Code]]&amp;"; "&amp;O1084&amp;AS[[#This Row],[Reporting Year]]&amp;"; "&amp;P1084&amp;AS[[#This Row],[Insurance Category Code]]&amp;"; "&amp;Q1084&amp;AS[[#This Row],[Large Provider Entity Code]]&amp;"; "&amp;R1084&amp;AS[[#This Row],[Age Band Code]]&amp;"; "&amp;S1084&amp;AS[[#This Row],[Sex Code]]</f>
        <v xml:space="preserve">Insurer Code ; Reporting Year ; Insurance Category Code ; Large Provider Entity Code ; Age Band Code ; Sex Code </v>
      </c>
      <c r="N1084" s="297" t="s">
        <v>197</v>
      </c>
      <c r="O1084" s="297" t="s">
        <v>198</v>
      </c>
      <c r="P1084" s="297" t="s">
        <v>199</v>
      </c>
      <c r="Q1084" s="297" t="s">
        <v>200</v>
      </c>
      <c r="R1084" s="297" t="s">
        <v>213</v>
      </c>
      <c r="S1084" s="297" t="s">
        <v>214</v>
      </c>
    </row>
    <row r="1085" spans="1:19" x14ac:dyDescent="0.4">
      <c r="A1085" s="291"/>
      <c r="B1085" s="292"/>
      <c r="C1085" s="312"/>
      <c r="D1085" s="292"/>
      <c r="E1085" s="489"/>
      <c r="F1085" s="489"/>
      <c r="G1085" s="490"/>
      <c r="H1085" s="520"/>
      <c r="I1085" s="523"/>
      <c r="J1085" s="521"/>
      <c r="K1085" s="522"/>
      <c r="M1085" s="301" t="str">
        <f>N1085&amp;AS[[#This Row],[Insurer Code]]&amp;"; "&amp;O1085&amp;AS[[#This Row],[Reporting Year]]&amp;"; "&amp;P1085&amp;AS[[#This Row],[Insurance Category Code]]&amp;"; "&amp;Q1085&amp;AS[[#This Row],[Large Provider Entity Code]]&amp;"; "&amp;R1085&amp;AS[[#This Row],[Age Band Code]]&amp;"; "&amp;S1085&amp;AS[[#This Row],[Sex Code]]</f>
        <v xml:space="preserve">Insurer Code ; Reporting Year ; Insurance Category Code ; Large Provider Entity Code ; Age Band Code ; Sex Code </v>
      </c>
      <c r="N1085" s="297" t="s">
        <v>197</v>
      </c>
      <c r="O1085" s="297" t="s">
        <v>198</v>
      </c>
      <c r="P1085" s="297" t="s">
        <v>199</v>
      </c>
      <c r="Q1085" s="297" t="s">
        <v>200</v>
      </c>
      <c r="R1085" s="297" t="s">
        <v>213</v>
      </c>
      <c r="S1085" s="297" t="s">
        <v>214</v>
      </c>
    </row>
    <row r="1086" spans="1:19" x14ac:dyDescent="0.4">
      <c r="A1086" s="291"/>
      <c r="B1086" s="292"/>
      <c r="C1086" s="312"/>
      <c r="D1086" s="292"/>
      <c r="E1086" s="489"/>
      <c r="F1086" s="489"/>
      <c r="G1086" s="490"/>
      <c r="H1086" s="520"/>
      <c r="I1086" s="523"/>
      <c r="J1086" s="521"/>
      <c r="K1086" s="522"/>
      <c r="M1086" s="301" t="str">
        <f>N1086&amp;AS[[#This Row],[Insurer Code]]&amp;"; "&amp;O1086&amp;AS[[#This Row],[Reporting Year]]&amp;"; "&amp;P1086&amp;AS[[#This Row],[Insurance Category Code]]&amp;"; "&amp;Q1086&amp;AS[[#This Row],[Large Provider Entity Code]]&amp;"; "&amp;R1086&amp;AS[[#This Row],[Age Band Code]]&amp;"; "&amp;S1086&amp;AS[[#This Row],[Sex Code]]</f>
        <v xml:space="preserve">Insurer Code ; Reporting Year ; Insurance Category Code ; Large Provider Entity Code ; Age Band Code ; Sex Code </v>
      </c>
      <c r="N1086" s="297" t="s">
        <v>197</v>
      </c>
      <c r="O1086" s="297" t="s">
        <v>198</v>
      </c>
      <c r="P1086" s="297" t="s">
        <v>199</v>
      </c>
      <c r="Q1086" s="297" t="s">
        <v>200</v>
      </c>
      <c r="R1086" s="297" t="s">
        <v>213</v>
      </c>
      <c r="S1086" s="297" t="s">
        <v>214</v>
      </c>
    </row>
    <row r="1087" spans="1:19" x14ac:dyDescent="0.4">
      <c r="A1087" s="291"/>
      <c r="B1087" s="292"/>
      <c r="C1087" s="312"/>
      <c r="D1087" s="292"/>
      <c r="E1087" s="489"/>
      <c r="F1087" s="489"/>
      <c r="G1087" s="490"/>
      <c r="H1087" s="520"/>
      <c r="I1087" s="523"/>
      <c r="J1087" s="521"/>
      <c r="K1087" s="522"/>
      <c r="M1087" s="301" t="str">
        <f>N1087&amp;AS[[#This Row],[Insurer Code]]&amp;"; "&amp;O1087&amp;AS[[#This Row],[Reporting Year]]&amp;"; "&amp;P1087&amp;AS[[#This Row],[Insurance Category Code]]&amp;"; "&amp;Q1087&amp;AS[[#This Row],[Large Provider Entity Code]]&amp;"; "&amp;R1087&amp;AS[[#This Row],[Age Band Code]]&amp;"; "&amp;S1087&amp;AS[[#This Row],[Sex Code]]</f>
        <v xml:space="preserve">Insurer Code ; Reporting Year ; Insurance Category Code ; Large Provider Entity Code ; Age Band Code ; Sex Code </v>
      </c>
      <c r="N1087" s="297" t="s">
        <v>197</v>
      </c>
      <c r="O1087" s="297" t="s">
        <v>198</v>
      </c>
      <c r="P1087" s="297" t="s">
        <v>199</v>
      </c>
      <c r="Q1087" s="297" t="s">
        <v>200</v>
      </c>
      <c r="R1087" s="297" t="s">
        <v>213</v>
      </c>
      <c r="S1087" s="297" t="s">
        <v>214</v>
      </c>
    </row>
    <row r="1088" spans="1:19" x14ac:dyDescent="0.4">
      <c r="A1088" s="291"/>
      <c r="B1088" s="292"/>
      <c r="C1088" s="312"/>
      <c r="D1088" s="292"/>
      <c r="E1088" s="489"/>
      <c r="F1088" s="489"/>
      <c r="G1088" s="490"/>
      <c r="H1088" s="520"/>
      <c r="I1088" s="523"/>
      <c r="J1088" s="521"/>
      <c r="K1088" s="522"/>
      <c r="M1088" s="301" t="str">
        <f>N1088&amp;AS[[#This Row],[Insurer Code]]&amp;"; "&amp;O1088&amp;AS[[#This Row],[Reporting Year]]&amp;"; "&amp;P1088&amp;AS[[#This Row],[Insurance Category Code]]&amp;"; "&amp;Q1088&amp;AS[[#This Row],[Large Provider Entity Code]]&amp;"; "&amp;R1088&amp;AS[[#This Row],[Age Band Code]]&amp;"; "&amp;S1088&amp;AS[[#This Row],[Sex Code]]</f>
        <v xml:space="preserve">Insurer Code ; Reporting Year ; Insurance Category Code ; Large Provider Entity Code ; Age Band Code ; Sex Code </v>
      </c>
      <c r="N1088" s="297" t="s">
        <v>197</v>
      </c>
      <c r="O1088" s="297" t="s">
        <v>198</v>
      </c>
      <c r="P1088" s="297" t="s">
        <v>199</v>
      </c>
      <c r="Q1088" s="297" t="s">
        <v>200</v>
      </c>
      <c r="R1088" s="297" t="s">
        <v>213</v>
      </c>
      <c r="S1088" s="297" t="s">
        <v>214</v>
      </c>
    </row>
    <row r="1089" spans="1:19" x14ac:dyDescent="0.4">
      <c r="A1089" s="291"/>
      <c r="B1089" s="292"/>
      <c r="C1089" s="312"/>
      <c r="D1089" s="292"/>
      <c r="E1089" s="489"/>
      <c r="F1089" s="489"/>
      <c r="G1089" s="490"/>
      <c r="H1089" s="520"/>
      <c r="I1089" s="523"/>
      <c r="J1089" s="521"/>
      <c r="K1089" s="522"/>
      <c r="M1089" s="301" t="str">
        <f>N1089&amp;AS[[#This Row],[Insurer Code]]&amp;"; "&amp;O1089&amp;AS[[#This Row],[Reporting Year]]&amp;"; "&amp;P1089&amp;AS[[#This Row],[Insurance Category Code]]&amp;"; "&amp;Q1089&amp;AS[[#This Row],[Large Provider Entity Code]]&amp;"; "&amp;R1089&amp;AS[[#This Row],[Age Band Code]]&amp;"; "&amp;S1089&amp;AS[[#This Row],[Sex Code]]</f>
        <v xml:space="preserve">Insurer Code ; Reporting Year ; Insurance Category Code ; Large Provider Entity Code ; Age Band Code ; Sex Code </v>
      </c>
      <c r="N1089" s="297" t="s">
        <v>197</v>
      </c>
      <c r="O1089" s="297" t="s">
        <v>198</v>
      </c>
      <c r="P1089" s="297" t="s">
        <v>199</v>
      </c>
      <c r="Q1089" s="297" t="s">
        <v>200</v>
      </c>
      <c r="R1089" s="297" t="s">
        <v>213</v>
      </c>
      <c r="S1089" s="297" t="s">
        <v>214</v>
      </c>
    </row>
    <row r="1090" spans="1:19" x14ac:dyDescent="0.4">
      <c r="A1090" s="291"/>
      <c r="B1090" s="292"/>
      <c r="C1090" s="312"/>
      <c r="D1090" s="292"/>
      <c r="E1090" s="489"/>
      <c r="F1090" s="489"/>
      <c r="G1090" s="490"/>
      <c r="H1090" s="520"/>
      <c r="I1090" s="523"/>
      <c r="J1090" s="521"/>
      <c r="K1090" s="522"/>
      <c r="M1090" s="301" t="str">
        <f>N1090&amp;AS[[#This Row],[Insurer Code]]&amp;"; "&amp;O1090&amp;AS[[#This Row],[Reporting Year]]&amp;"; "&amp;P1090&amp;AS[[#This Row],[Insurance Category Code]]&amp;"; "&amp;Q1090&amp;AS[[#This Row],[Large Provider Entity Code]]&amp;"; "&amp;R1090&amp;AS[[#This Row],[Age Band Code]]&amp;"; "&amp;S1090&amp;AS[[#This Row],[Sex Code]]</f>
        <v xml:space="preserve">Insurer Code ; Reporting Year ; Insurance Category Code ; Large Provider Entity Code ; Age Band Code ; Sex Code </v>
      </c>
      <c r="N1090" s="297" t="s">
        <v>197</v>
      </c>
      <c r="O1090" s="297" t="s">
        <v>198</v>
      </c>
      <c r="P1090" s="297" t="s">
        <v>199</v>
      </c>
      <c r="Q1090" s="297" t="s">
        <v>200</v>
      </c>
      <c r="R1090" s="297" t="s">
        <v>213</v>
      </c>
      <c r="S1090" s="297" t="s">
        <v>214</v>
      </c>
    </row>
    <row r="1091" spans="1:19" x14ac:dyDescent="0.4">
      <c r="A1091" s="291"/>
      <c r="B1091" s="292"/>
      <c r="C1091" s="312"/>
      <c r="D1091" s="292"/>
      <c r="E1091" s="489"/>
      <c r="F1091" s="489"/>
      <c r="G1091" s="490"/>
      <c r="H1091" s="520"/>
      <c r="I1091" s="523"/>
      <c r="J1091" s="521"/>
      <c r="K1091" s="522"/>
      <c r="M1091" s="301" t="str">
        <f>N1091&amp;AS[[#This Row],[Insurer Code]]&amp;"; "&amp;O1091&amp;AS[[#This Row],[Reporting Year]]&amp;"; "&amp;P1091&amp;AS[[#This Row],[Insurance Category Code]]&amp;"; "&amp;Q1091&amp;AS[[#This Row],[Large Provider Entity Code]]&amp;"; "&amp;R1091&amp;AS[[#This Row],[Age Band Code]]&amp;"; "&amp;S1091&amp;AS[[#This Row],[Sex Code]]</f>
        <v xml:space="preserve">Insurer Code ; Reporting Year ; Insurance Category Code ; Large Provider Entity Code ; Age Band Code ; Sex Code </v>
      </c>
      <c r="N1091" s="297" t="s">
        <v>197</v>
      </c>
      <c r="O1091" s="297" t="s">
        <v>198</v>
      </c>
      <c r="P1091" s="297" t="s">
        <v>199</v>
      </c>
      <c r="Q1091" s="297" t="s">
        <v>200</v>
      </c>
      <c r="R1091" s="297" t="s">
        <v>213</v>
      </c>
      <c r="S1091" s="297" t="s">
        <v>214</v>
      </c>
    </row>
    <row r="1092" spans="1:19" x14ac:dyDescent="0.4">
      <c r="A1092" s="291"/>
      <c r="B1092" s="292"/>
      <c r="C1092" s="312"/>
      <c r="D1092" s="292"/>
      <c r="E1092" s="489"/>
      <c r="F1092" s="489"/>
      <c r="G1092" s="490"/>
      <c r="H1092" s="520"/>
      <c r="I1092" s="523"/>
      <c r="J1092" s="521"/>
      <c r="K1092" s="522"/>
      <c r="M1092" s="301" t="str">
        <f>N1092&amp;AS[[#This Row],[Insurer Code]]&amp;"; "&amp;O1092&amp;AS[[#This Row],[Reporting Year]]&amp;"; "&amp;P1092&amp;AS[[#This Row],[Insurance Category Code]]&amp;"; "&amp;Q1092&amp;AS[[#This Row],[Large Provider Entity Code]]&amp;"; "&amp;R1092&amp;AS[[#This Row],[Age Band Code]]&amp;"; "&amp;S1092&amp;AS[[#This Row],[Sex Code]]</f>
        <v xml:space="preserve">Insurer Code ; Reporting Year ; Insurance Category Code ; Large Provider Entity Code ; Age Band Code ; Sex Code </v>
      </c>
      <c r="N1092" s="297" t="s">
        <v>197</v>
      </c>
      <c r="O1092" s="297" t="s">
        <v>198</v>
      </c>
      <c r="P1092" s="297" t="s">
        <v>199</v>
      </c>
      <c r="Q1092" s="297" t="s">
        <v>200</v>
      </c>
      <c r="R1092" s="297" t="s">
        <v>213</v>
      </c>
      <c r="S1092" s="297" t="s">
        <v>214</v>
      </c>
    </row>
    <row r="1093" spans="1:19" x14ac:dyDescent="0.4">
      <c r="A1093" s="291"/>
      <c r="B1093" s="292"/>
      <c r="C1093" s="312"/>
      <c r="D1093" s="292"/>
      <c r="E1093" s="489"/>
      <c r="F1093" s="489"/>
      <c r="G1093" s="490"/>
      <c r="H1093" s="520"/>
      <c r="I1093" s="523"/>
      <c r="J1093" s="521"/>
      <c r="K1093" s="522"/>
      <c r="M1093" s="301" t="str">
        <f>N1093&amp;AS[[#This Row],[Insurer Code]]&amp;"; "&amp;O1093&amp;AS[[#This Row],[Reporting Year]]&amp;"; "&amp;P1093&amp;AS[[#This Row],[Insurance Category Code]]&amp;"; "&amp;Q1093&amp;AS[[#This Row],[Large Provider Entity Code]]&amp;"; "&amp;R1093&amp;AS[[#This Row],[Age Band Code]]&amp;"; "&amp;S1093&amp;AS[[#This Row],[Sex Code]]</f>
        <v xml:space="preserve">Insurer Code ; Reporting Year ; Insurance Category Code ; Large Provider Entity Code ; Age Band Code ; Sex Code </v>
      </c>
      <c r="N1093" s="297" t="s">
        <v>197</v>
      </c>
      <c r="O1093" s="297" t="s">
        <v>198</v>
      </c>
      <c r="P1093" s="297" t="s">
        <v>199</v>
      </c>
      <c r="Q1093" s="297" t="s">
        <v>200</v>
      </c>
      <c r="R1093" s="297" t="s">
        <v>213</v>
      </c>
      <c r="S1093" s="297" t="s">
        <v>214</v>
      </c>
    </row>
    <row r="1094" spans="1:19" x14ac:dyDescent="0.4">
      <c r="A1094" s="291"/>
      <c r="B1094" s="292"/>
      <c r="C1094" s="312"/>
      <c r="D1094" s="292"/>
      <c r="E1094" s="489"/>
      <c r="F1094" s="489"/>
      <c r="G1094" s="490"/>
      <c r="H1094" s="520"/>
      <c r="I1094" s="523"/>
      <c r="J1094" s="521"/>
      <c r="K1094" s="522"/>
      <c r="M1094" s="301" t="str">
        <f>N1094&amp;AS[[#This Row],[Insurer Code]]&amp;"; "&amp;O1094&amp;AS[[#This Row],[Reporting Year]]&amp;"; "&amp;P1094&amp;AS[[#This Row],[Insurance Category Code]]&amp;"; "&amp;Q1094&amp;AS[[#This Row],[Large Provider Entity Code]]&amp;"; "&amp;R1094&amp;AS[[#This Row],[Age Band Code]]&amp;"; "&amp;S1094&amp;AS[[#This Row],[Sex Code]]</f>
        <v xml:space="preserve">Insurer Code ; Reporting Year ; Insurance Category Code ; Large Provider Entity Code ; Age Band Code ; Sex Code </v>
      </c>
      <c r="N1094" s="297" t="s">
        <v>197</v>
      </c>
      <c r="O1094" s="297" t="s">
        <v>198</v>
      </c>
      <c r="P1094" s="297" t="s">
        <v>199</v>
      </c>
      <c r="Q1094" s="297" t="s">
        <v>200</v>
      </c>
      <c r="R1094" s="297" t="s">
        <v>213</v>
      </c>
      <c r="S1094" s="297" t="s">
        <v>214</v>
      </c>
    </row>
    <row r="1095" spans="1:19" x14ac:dyDescent="0.4">
      <c r="A1095" s="291"/>
      <c r="B1095" s="292"/>
      <c r="C1095" s="312"/>
      <c r="D1095" s="292"/>
      <c r="E1095" s="489"/>
      <c r="F1095" s="489"/>
      <c r="G1095" s="490"/>
      <c r="H1095" s="520"/>
      <c r="I1095" s="523"/>
      <c r="J1095" s="521"/>
      <c r="K1095" s="522"/>
      <c r="M1095" s="301" t="str">
        <f>N1095&amp;AS[[#This Row],[Insurer Code]]&amp;"; "&amp;O1095&amp;AS[[#This Row],[Reporting Year]]&amp;"; "&amp;P1095&amp;AS[[#This Row],[Insurance Category Code]]&amp;"; "&amp;Q1095&amp;AS[[#This Row],[Large Provider Entity Code]]&amp;"; "&amp;R1095&amp;AS[[#This Row],[Age Band Code]]&amp;"; "&amp;S1095&amp;AS[[#This Row],[Sex Code]]</f>
        <v xml:space="preserve">Insurer Code ; Reporting Year ; Insurance Category Code ; Large Provider Entity Code ; Age Band Code ; Sex Code </v>
      </c>
      <c r="N1095" s="297" t="s">
        <v>197</v>
      </c>
      <c r="O1095" s="297" t="s">
        <v>198</v>
      </c>
      <c r="P1095" s="297" t="s">
        <v>199</v>
      </c>
      <c r="Q1095" s="297" t="s">
        <v>200</v>
      </c>
      <c r="R1095" s="297" t="s">
        <v>213</v>
      </c>
      <c r="S1095" s="297" t="s">
        <v>214</v>
      </c>
    </row>
    <row r="1096" spans="1:19" x14ac:dyDescent="0.4">
      <c r="A1096" s="291"/>
      <c r="B1096" s="292"/>
      <c r="C1096" s="312"/>
      <c r="D1096" s="292"/>
      <c r="E1096" s="489"/>
      <c r="F1096" s="489"/>
      <c r="G1096" s="490"/>
      <c r="H1096" s="520"/>
      <c r="I1096" s="523"/>
      <c r="J1096" s="521"/>
      <c r="K1096" s="522"/>
      <c r="M1096" s="301" t="str">
        <f>N1096&amp;AS[[#This Row],[Insurer Code]]&amp;"; "&amp;O1096&amp;AS[[#This Row],[Reporting Year]]&amp;"; "&amp;P1096&amp;AS[[#This Row],[Insurance Category Code]]&amp;"; "&amp;Q1096&amp;AS[[#This Row],[Large Provider Entity Code]]&amp;"; "&amp;R1096&amp;AS[[#This Row],[Age Band Code]]&amp;"; "&amp;S1096&amp;AS[[#This Row],[Sex Code]]</f>
        <v xml:space="preserve">Insurer Code ; Reporting Year ; Insurance Category Code ; Large Provider Entity Code ; Age Band Code ; Sex Code </v>
      </c>
      <c r="N1096" s="297" t="s">
        <v>197</v>
      </c>
      <c r="O1096" s="297" t="s">
        <v>198</v>
      </c>
      <c r="P1096" s="297" t="s">
        <v>199</v>
      </c>
      <c r="Q1096" s="297" t="s">
        <v>200</v>
      </c>
      <c r="R1096" s="297" t="s">
        <v>213</v>
      </c>
      <c r="S1096" s="297" t="s">
        <v>214</v>
      </c>
    </row>
    <row r="1097" spans="1:19" x14ac:dyDescent="0.4">
      <c r="A1097" s="291"/>
      <c r="B1097" s="292"/>
      <c r="C1097" s="312"/>
      <c r="D1097" s="292"/>
      <c r="E1097" s="489"/>
      <c r="F1097" s="489"/>
      <c r="G1097" s="490"/>
      <c r="H1097" s="520"/>
      <c r="I1097" s="523"/>
      <c r="J1097" s="521"/>
      <c r="K1097" s="522"/>
      <c r="M1097" s="301" t="str">
        <f>N1097&amp;AS[[#This Row],[Insurer Code]]&amp;"; "&amp;O1097&amp;AS[[#This Row],[Reporting Year]]&amp;"; "&amp;P1097&amp;AS[[#This Row],[Insurance Category Code]]&amp;"; "&amp;Q1097&amp;AS[[#This Row],[Large Provider Entity Code]]&amp;"; "&amp;R1097&amp;AS[[#This Row],[Age Band Code]]&amp;"; "&amp;S1097&amp;AS[[#This Row],[Sex Code]]</f>
        <v xml:space="preserve">Insurer Code ; Reporting Year ; Insurance Category Code ; Large Provider Entity Code ; Age Band Code ; Sex Code </v>
      </c>
      <c r="N1097" s="297" t="s">
        <v>197</v>
      </c>
      <c r="O1097" s="297" t="s">
        <v>198</v>
      </c>
      <c r="P1097" s="297" t="s">
        <v>199</v>
      </c>
      <c r="Q1097" s="297" t="s">
        <v>200</v>
      </c>
      <c r="R1097" s="297" t="s">
        <v>213</v>
      </c>
      <c r="S1097" s="297" t="s">
        <v>214</v>
      </c>
    </row>
    <row r="1098" spans="1:19" x14ac:dyDescent="0.4">
      <c r="A1098" s="291"/>
      <c r="B1098" s="292"/>
      <c r="C1098" s="312"/>
      <c r="D1098" s="292"/>
      <c r="E1098" s="489"/>
      <c r="F1098" s="489"/>
      <c r="G1098" s="490"/>
      <c r="H1098" s="520"/>
      <c r="I1098" s="523"/>
      <c r="J1098" s="521"/>
      <c r="K1098" s="522"/>
      <c r="M1098" s="301" t="str">
        <f>N1098&amp;AS[[#This Row],[Insurer Code]]&amp;"; "&amp;O1098&amp;AS[[#This Row],[Reporting Year]]&amp;"; "&amp;P1098&amp;AS[[#This Row],[Insurance Category Code]]&amp;"; "&amp;Q1098&amp;AS[[#This Row],[Large Provider Entity Code]]&amp;"; "&amp;R1098&amp;AS[[#This Row],[Age Band Code]]&amp;"; "&amp;S1098&amp;AS[[#This Row],[Sex Code]]</f>
        <v xml:space="preserve">Insurer Code ; Reporting Year ; Insurance Category Code ; Large Provider Entity Code ; Age Band Code ; Sex Code </v>
      </c>
      <c r="N1098" s="297" t="s">
        <v>197</v>
      </c>
      <c r="O1098" s="297" t="s">
        <v>198</v>
      </c>
      <c r="P1098" s="297" t="s">
        <v>199</v>
      </c>
      <c r="Q1098" s="297" t="s">
        <v>200</v>
      </c>
      <c r="R1098" s="297" t="s">
        <v>213</v>
      </c>
      <c r="S1098" s="297" t="s">
        <v>214</v>
      </c>
    </row>
    <row r="1099" spans="1:19" x14ac:dyDescent="0.4">
      <c r="A1099" s="291"/>
      <c r="B1099" s="292"/>
      <c r="C1099" s="312"/>
      <c r="D1099" s="292"/>
      <c r="E1099" s="489"/>
      <c r="F1099" s="489"/>
      <c r="G1099" s="490"/>
      <c r="H1099" s="520"/>
      <c r="I1099" s="523"/>
      <c r="J1099" s="521"/>
      <c r="K1099" s="522"/>
      <c r="M1099" s="301" t="str">
        <f>N1099&amp;AS[[#This Row],[Insurer Code]]&amp;"; "&amp;O1099&amp;AS[[#This Row],[Reporting Year]]&amp;"; "&amp;P1099&amp;AS[[#This Row],[Insurance Category Code]]&amp;"; "&amp;Q1099&amp;AS[[#This Row],[Large Provider Entity Code]]&amp;"; "&amp;R1099&amp;AS[[#This Row],[Age Band Code]]&amp;"; "&amp;S1099&amp;AS[[#This Row],[Sex Code]]</f>
        <v xml:space="preserve">Insurer Code ; Reporting Year ; Insurance Category Code ; Large Provider Entity Code ; Age Band Code ; Sex Code </v>
      </c>
      <c r="N1099" s="297" t="s">
        <v>197</v>
      </c>
      <c r="O1099" s="297" t="s">
        <v>198</v>
      </c>
      <c r="P1099" s="297" t="s">
        <v>199</v>
      </c>
      <c r="Q1099" s="297" t="s">
        <v>200</v>
      </c>
      <c r="R1099" s="297" t="s">
        <v>213</v>
      </c>
      <c r="S1099" s="297" t="s">
        <v>214</v>
      </c>
    </row>
    <row r="1100" spans="1:19" x14ac:dyDescent="0.4">
      <c r="A1100" s="291"/>
      <c r="B1100" s="292"/>
      <c r="C1100" s="312"/>
      <c r="D1100" s="292"/>
      <c r="E1100" s="489"/>
      <c r="F1100" s="489"/>
      <c r="G1100" s="490"/>
      <c r="H1100" s="520"/>
      <c r="I1100" s="523"/>
      <c r="J1100" s="521"/>
      <c r="K1100" s="522"/>
      <c r="M1100" s="301" t="str">
        <f>N1100&amp;AS[[#This Row],[Insurer Code]]&amp;"; "&amp;O1100&amp;AS[[#This Row],[Reporting Year]]&amp;"; "&amp;P1100&amp;AS[[#This Row],[Insurance Category Code]]&amp;"; "&amp;Q1100&amp;AS[[#This Row],[Large Provider Entity Code]]&amp;"; "&amp;R1100&amp;AS[[#This Row],[Age Band Code]]&amp;"; "&amp;S1100&amp;AS[[#This Row],[Sex Code]]</f>
        <v xml:space="preserve">Insurer Code ; Reporting Year ; Insurance Category Code ; Large Provider Entity Code ; Age Band Code ; Sex Code </v>
      </c>
      <c r="N1100" s="297" t="s">
        <v>197</v>
      </c>
      <c r="O1100" s="297" t="s">
        <v>198</v>
      </c>
      <c r="P1100" s="297" t="s">
        <v>199</v>
      </c>
      <c r="Q1100" s="297" t="s">
        <v>200</v>
      </c>
      <c r="R1100" s="297" t="s">
        <v>213</v>
      </c>
      <c r="S1100" s="297" t="s">
        <v>214</v>
      </c>
    </row>
    <row r="1101" spans="1:19" x14ac:dyDescent="0.4">
      <c r="A1101" s="291"/>
      <c r="B1101" s="292"/>
      <c r="C1101" s="312"/>
      <c r="D1101" s="292"/>
      <c r="E1101" s="489"/>
      <c r="F1101" s="489"/>
      <c r="G1101" s="490"/>
      <c r="H1101" s="520"/>
      <c r="I1101" s="523"/>
      <c r="J1101" s="521"/>
      <c r="K1101" s="522"/>
      <c r="M1101" s="301" t="str">
        <f>N1101&amp;AS[[#This Row],[Insurer Code]]&amp;"; "&amp;O1101&amp;AS[[#This Row],[Reporting Year]]&amp;"; "&amp;P1101&amp;AS[[#This Row],[Insurance Category Code]]&amp;"; "&amp;Q1101&amp;AS[[#This Row],[Large Provider Entity Code]]&amp;"; "&amp;R1101&amp;AS[[#This Row],[Age Band Code]]&amp;"; "&amp;S1101&amp;AS[[#This Row],[Sex Code]]</f>
        <v xml:space="preserve">Insurer Code ; Reporting Year ; Insurance Category Code ; Large Provider Entity Code ; Age Band Code ; Sex Code </v>
      </c>
      <c r="N1101" s="297" t="s">
        <v>197</v>
      </c>
      <c r="O1101" s="297" t="s">
        <v>198</v>
      </c>
      <c r="P1101" s="297" t="s">
        <v>199</v>
      </c>
      <c r="Q1101" s="297" t="s">
        <v>200</v>
      </c>
      <c r="R1101" s="297" t="s">
        <v>213</v>
      </c>
      <c r="S1101" s="297" t="s">
        <v>214</v>
      </c>
    </row>
    <row r="1102" spans="1:19" x14ac:dyDescent="0.4">
      <c r="A1102" s="291"/>
      <c r="B1102" s="292"/>
      <c r="C1102" s="312"/>
      <c r="D1102" s="292"/>
      <c r="E1102" s="489"/>
      <c r="F1102" s="489"/>
      <c r="G1102" s="490"/>
      <c r="H1102" s="520"/>
      <c r="I1102" s="523"/>
      <c r="J1102" s="521"/>
      <c r="K1102" s="522"/>
      <c r="M1102" s="301" t="str">
        <f>N1102&amp;AS[[#This Row],[Insurer Code]]&amp;"; "&amp;O1102&amp;AS[[#This Row],[Reporting Year]]&amp;"; "&amp;P1102&amp;AS[[#This Row],[Insurance Category Code]]&amp;"; "&amp;Q1102&amp;AS[[#This Row],[Large Provider Entity Code]]&amp;"; "&amp;R1102&amp;AS[[#This Row],[Age Band Code]]&amp;"; "&amp;S1102&amp;AS[[#This Row],[Sex Code]]</f>
        <v xml:space="preserve">Insurer Code ; Reporting Year ; Insurance Category Code ; Large Provider Entity Code ; Age Band Code ; Sex Code </v>
      </c>
      <c r="N1102" s="297" t="s">
        <v>197</v>
      </c>
      <c r="O1102" s="297" t="s">
        <v>198</v>
      </c>
      <c r="P1102" s="297" t="s">
        <v>199</v>
      </c>
      <c r="Q1102" s="297" t="s">
        <v>200</v>
      </c>
      <c r="R1102" s="297" t="s">
        <v>213</v>
      </c>
      <c r="S1102" s="297" t="s">
        <v>214</v>
      </c>
    </row>
    <row r="1103" spans="1:19" x14ac:dyDescent="0.4">
      <c r="A1103" s="291"/>
      <c r="B1103" s="292"/>
      <c r="C1103" s="312"/>
      <c r="D1103" s="292"/>
      <c r="E1103" s="489"/>
      <c r="F1103" s="489"/>
      <c r="G1103" s="490"/>
      <c r="H1103" s="520"/>
      <c r="I1103" s="523"/>
      <c r="J1103" s="521"/>
      <c r="K1103" s="522"/>
      <c r="M1103" s="301" t="str">
        <f>N1103&amp;AS[[#This Row],[Insurer Code]]&amp;"; "&amp;O1103&amp;AS[[#This Row],[Reporting Year]]&amp;"; "&amp;P1103&amp;AS[[#This Row],[Insurance Category Code]]&amp;"; "&amp;Q1103&amp;AS[[#This Row],[Large Provider Entity Code]]&amp;"; "&amp;R1103&amp;AS[[#This Row],[Age Band Code]]&amp;"; "&amp;S1103&amp;AS[[#This Row],[Sex Code]]</f>
        <v xml:space="preserve">Insurer Code ; Reporting Year ; Insurance Category Code ; Large Provider Entity Code ; Age Band Code ; Sex Code </v>
      </c>
      <c r="N1103" s="297" t="s">
        <v>197</v>
      </c>
      <c r="O1103" s="297" t="s">
        <v>198</v>
      </c>
      <c r="P1103" s="297" t="s">
        <v>199</v>
      </c>
      <c r="Q1103" s="297" t="s">
        <v>200</v>
      </c>
      <c r="R1103" s="297" t="s">
        <v>213</v>
      </c>
      <c r="S1103" s="297" t="s">
        <v>214</v>
      </c>
    </row>
    <row r="1104" spans="1:19" x14ac:dyDescent="0.4">
      <c r="A1104" s="291"/>
      <c r="B1104" s="292"/>
      <c r="C1104" s="312"/>
      <c r="D1104" s="292"/>
      <c r="E1104" s="489"/>
      <c r="F1104" s="489"/>
      <c r="G1104" s="490"/>
      <c r="H1104" s="520"/>
      <c r="I1104" s="523"/>
      <c r="J1104" s="521"/>
      <c r="K1104" s="522"/>
      <c r="M1104" s="301" t="str">
        <f>N1104&amp;AS[[#This Row],[Insurer Code]]&amp;"; "&amp;O1104&amp;AS[[#This Row],[Reporting Year]]&amp;"; "&amp;P1104&amp;AS[[#This Row],[Insurance Category Code]]&amp;"; "&amp;Q1104&amp;AS[[#This Row],[Large Provider Entity Code]]&amp;"; "&amp;R1104&amp;AS[[#This Row],[Age Band Code]]&amp;"; "&amp;S1104&amp;AS[[#This Row],[Sex Code]]</f>
        <v xml:space="preserve">Insurer Code ; Reporting Year ; Insurance Category Code ; Large Provider Entity Code ; Age Band Code ; Sex Code </v>
      </c>
      <c r="N1104" s="297" t="s">
        <v>197</v>
      </c>
      <c r="O1104" s="297" t="s">
        <v>198</v>
      </c>
      <c r="P1104" s="297" t="s">
        <v>199</v>
      </c>
      <c r="Q1104" s="297" t="s">
        <v>200</v>
      </c>
      <c r="R1104" s="297" t="s">
        <v>213</v>
      </c>
      <c r="S1104" s="297" t="s">
        <v>214</v>
      </c>
    </row>
    <row r="1105" spans="1:19" x14ac:dyDescent="0.4">
      <c r="A1105" s="291"/>
      <c r="B1105" s="292"/>
      <c r="C1105" s="312"/>
      <c r="D1105" s="292"/>
      <c r="E1105" s="489"/>
      <c r="F1105" s="489"/>
      <c r="G1105" s="490"/>
      <c r="H1105" s="520"/>
      <c r="I1105" s="523"/>
      <c r="J1105" s="521"/>
      <c r="K1105" s="522"/>
      <c r="M1105" s="301" t="str">
        <f>N1105&amp;AS[[#This Row],[Insurer Code]]&amp;"; "&amp;O1105&amp;AS[[#This Row],[Reporting Year]]&amp;"; "&amp;P1105&amp;AS[[#This Row],[Insurance Category Code]]&amp;"; "&amp;Q1105&amp;AS[[#This Row],[Large Provider Entity Code]]&amp;"; "&amp;R1105&amp;AS[[#This Row],[Age Band Code]]&amp;"; "&amp;S1105&amp;AS[[#This Row],[Sex Code]]</f>
        <v xml:space="preserve">Insurer Code ; Reporting Year ; Insurance Category Code ; Large Provider Entity Code ; Age Band Code ; Sex Code </v>
      </c>
      <c r="N1105" s="297" t="s">
        <v>197</v>
      </c>
      <c r="O1105" s="297" t="s">
        <v>198</v>
      </c>
      <c r="P1105" s="297" t="s">
        <v>199</v>
      </c>
      <c r="Q1105" s="297" t="s">
        <v>200</v>
      </c>
      <c r="R1105" s="297" t="s">
        <v>213</v>
      </c>
      <c r="S1105" s="297" t="s">
        <v>214</v>
      </c>
    </row>
    <row r="1106" spans="1:19" x14ac:dyDescent="0.4">
      <c r="A1106" s="291"/>
      <c r="B1106" s="292"/>
      <c r="C1106" s="312"/>
      <c r="D1106" s="292"/>
      <c r="E1106" s="489"/>
      <c r="F1106" s="489"/>
      <c r="G1106" s="490"/>
      <c r="H1106" s="520"/>
      <c r="I1106" s="523"/>
      <c r="J1106" s="521"/>
      <c r="K1106" s="522"/>
      <c r="M1106" s="301" t="str">
        <f>N1106&amp;AS[[#This Row],[Insurer Code]]&amp;"; "&amp;O1106&amp;AS[[#This Row],[Reporting Year]]&amp;"; "&amp;P1106&amp;AS[[#This Row],[Insurance Category Code]]&amp;"; "&amp;Q1106&amp;AS[[#This Row],[Large Provider Entity Code]]&amp;"; "&amp;R1106&amp;AS[[#This Row],[Age Band Code]]&amp;"; "&amp;S1106&amp;AS[[#This Row],[Sex Code]]</f>
        <v xml:space="preserve">Insurer Code ; Reporting Year ; Insurance Category Code ; Large Provider Entity Code ; Age Band Code ; Sex Code </v>
      </c>
      <c r="N1106" s="297" t="s">
        <v>197</v>
      </c>
      <c r="O1106" s="297" t="s">
        <v>198</v>
      </c>
      <c r="P1106" s="297" t="s">
        <v>199</v>
      </c>
      <c r="Q1106" s="297" t="s">
        <v>200</v>
      </c>
      <c r="R1106" s="297" t="s">
        <v>213</v>
      </c>
      <c r="S1106" s="297" t="s">
        <v>214</v>
      </c>
    </row>
    <row r="1107" spans="1:19" x14ac:dyDescent="0.4">
      <c r="A1107" s="291"/>
      <c r="B1107" s="292"/>
      <c r="C1107" s="312"/>
      <c r="D1107" s="292"/>
      <c r="E1107" s="489"/>
      <c r="F1107" s="489"/>
      <c r="G1107" s="490"/>
      <c r="H1107" s="520"/>
      <c r="I1107" s="523"/>
      <c r="J1107" s="521"/>
      <c r="K1107" s="522"/>
      <c r="M1107" s="301" t="str">
        <f>N1107&amp;AS[[#This Row],[Insurer Code]]&amp;"; "&amp;O1107&amp;AS[[#This Row],[Reporting Year]]&amp;"; "&amp;P1107&amp;AS[[#This Row],[Insurance Category Code]]&amp;"; "&amp;Q1107&amp;AS[[#This Row],[Large Provider Entity Code]]&amp;"; "&amp;R1107&amp;AS[[#This Row],[Age Band Code]]&amp;"; "&amp;S1107&amp;AS[[#This Row],[Sex Code]]</f>
        <v xml:space="preserve">Insurer Code ; Reporting Year ; Insurance Category Code ; Large Provider Entity Code ; Age Band Code ; Sex Code </v>
      </c>
      <c r="N1107" s="297" t="s">
        <v>197</v>
      </c>
      <c r="O1107" s="297" t="s">
        <v>198</v>
      </c>
      <c r="P1107" s="297" t="s">
        <v>199</v>
      </c>
      <c r="Q1107" s="297" t="s">
        <v>200</v>
      </c>
      <c r="R1107" s="297" t="s">
        <v>213</v>
      </c>
      <c r="S1107" s="297" t="s">
        <v>214</v>
      </c>
    </row>
    <row r="1108" spans="1:19" x14ac:dyDescent="0.4">
      <c r="A1108" s="291"/>
      <c r="B1108" s="292"/>
      <c r="C1108" s="312"/>
      <c r="D1108" s="292"/>
      <c r="E1108" s="489"/>
      <c r="F1108" s="489"/>
      <c r="G1108" s="490"/>
      <c r="H1108" s="520"/>
      <c r="I1108" s="523"/>
      <c r="J1108" s="521"/>
      <c r="K1108" s="522"/>
      <c r="M1108" s="301" t="str">
        <f>N1108&amp;AS[[#This Row],[Insurer Code]]&amp;"; "&amp;O1108&amp;AS[[#This Row],[Reporting Year]]&amp;"; "&amp;P1108&amp;AS[[#This Row],[Insurance Category Code]]&amp;"; "&amp;Q1108&amp;AS[[#This Row],[Large Provider Entity Code]]&amp;"; "&amp;R1108&amp;AS[[#This Row],[Age Band Code]]&amp;"; "&amp;S1108&amp;AS[[#This Row],[Sex Code]]</f>
        <v xml:space="preserve">Insurer Code ; Reporting Year ; Insurance Category Code ; Large Provider Entity Code ; Age Band Code ; Sex Code </v>
      </c>
      <c r="N1108" s="297" t="s">
        <v>197</v>
      </c>
      <c r="O1108" s="297" t="s">
        <v>198</v>
      </c>
      <c r="P1108" s="297" t="s">
        <v>199</v>
      </c>
      <c r="Q1108" s="297" t="s">
        <v>200</v>
      </c>
      <c r="R1108" s="297" t="s">
        <v>213</v>
      </c>
      <c r="S1108" s="297" t="s">
        <v>214</v>
      </c>
    </row>
    <row r="1109" spans="1:19" x14ac:dyDescent="0.4">
      <c r="A1109" s="291"/>
      <c r="B1109" s="292"/>
      <c r="C1109" s="312"/>
      <c r="D1109" s="292"/>
      <c r="E1109" s="489"/>
      <c r="F1109" s="489"/>
      <c r="G1109" s="490"/>
      <c r="H1109" s="520"/>
      <c r="I1109" s="523"/>
      <c r="J1109" s="521"/>
      <c r="K1109" s="522"/>
      <c r="M1109" s="301" t="str">
        <f>N1109&amp;AS[[#This Row],[Insurer Code]]&amp;"; "&amp;O1109&amp;AS[[#This Row],[Reporting Year]]&amp;"; "&amp;P1109&amp;AS[[#This Row],[Insurance Category Code]]&amp;"; "&amp;Q1109&amp;AS[[#This Row],[Large Provider Entity Code]]&amp;"; "&amp;R1109&amp;AS[[#This Row],[Age Band Code]]&amp;"; "&amp;S1109&amp;AS[[#This Row],[Sex Code]]</f>
        <v xml:space="preserve">Insurer Code ; Reporting Year ; Insurance Category Code ; Large Provider Entity Code ; Age Band Code ; Sex Code </v>
      </c>
      <c r="N1109" s="297" t="s">
        <v>197</v>
      </c>
      <c r="O1109" s="297" t="s">
        <v>198</v>
      </c>
      <c r="P1109" s="297" t="s">
        <v>199</v>
      </c>
      <c r="Q1109" s="297" t="s">
        <v>200</v>
      </c>
      <c r="R1109" s="297" t="s">
        <v>213</v>
      </c>
      <c r="S1109" s="297" t="s">
        <v>214</v>
      </c>
    </row>
    <row r="1110" spans="1:19" x14ac:dyDescent="0.4">
      <c r="A1110" s="291"/>
      <c r="B1110" s="292"/>
      <c r="C1110" s="312"/>
      <c r="D1110" s="292"/>
      <c r="E1110" s="489"/>
      <c r="F1110" s="489"/>
      <c r="G1110" s="490"/>
      <c r="H1110" s="520"/>
      <c r="I1110" s="523"/>
      <c r="J1110" s="521"/>
      <c r="K1110" s="522"/>
      <c r="M1110" s="301" t="str">
        <f>N1110&amp;AS[[#This Row],[Insurer Code]]&amp;"; "&amp;O1110&amp;AS[[#This Row],[Reporting Year]]&amp;"; "&amp;P1110&amp;AS[[#This Row],[Insurance Category Code]]&amp;"; "&amp;Q1110&amp;AS[[#This Row],[Large Provider Entity Code]]&amp;"; "&amp;R1110&amp;AS[[#This Row],[Age Band Code]]&amp;"; "&amp;S1110&amp;AS[[#This Row],[Sex Code]]</f>
        <v xml:space="preserve">Insurer Code ; Reporting Year ; Insurance Category Code ; Large Provider Entity Code ; Age Band Code ; Sex Code </v>
      </c>
      <c r="N1110" s="297" t="s">
        <v>197</v>
      </c>
      <c r="O1110" s="297" t="s">
        <v>198</v>
      </c>
      <c r="P1110" s="297" t="s">
        <v>199</v>
      </c>
      <c r="Q1110" s="297" t="s">
        <v>200</v>
      </c>
      <c r="R1110" s="297" t="s">
        <v>213</v>
      </c>
      <c r="S1110" s="297" t="s">
        <v>214</v>
      </c>
    </row>
    <row r="1111" spans="1:19" x14ac:dyDescent="0.4">
      <c r="A1111" s="291"/>
      <c r="B1111" s="292"/>
      <c r="C1111" s="312"/>
      <c r="D1111" s="292"/>
      <c r="E1111" s="489"/>
      <c r="F1111" s="489"/>
      <c r="G1111" s="490"/>
      <c r="H1111" s="520"/>
      <c r="I1111" s="523"/>
      <c r="J1111" s="521"/>
      <c r="K1111" s="522"/>
      <c r="M1111" s="301" t="str">
        <f>N1111&amp;AS[[#This Row],[Insurer Code]]&amp;"; "&amp;O1111&amp;AS[[#This Row],[Reporting Year]]&amp;"; "&amp;P1111&amp;AS[[#This Row],[Insurance Category Code]]&amp;"; "&amp;Q1111&amp;AS[[#This Row],[Large Provider Entity Code]]&amp;"; "&amp;R1111&amp;AS[[#This Row],[Age Band Code]]&amp;"; "&amp;S1111&amp;AS[[#This Row],[Sex Code]]</f>
        <v xml:space="preserve">Insurer Code ; Reporting Year ; Insurance Category Code ; Large Provider Entity Code ; Age Band Code ; Sex Code </v>
      </c>
      <c r="N1111" s="297" t="s">
        <v>197</v>
      </c>
      <c r="O1111" s="297" t="s">
        <v>198</v>
      </c>
      <c r="P1111" s="297" t="s">
        <v>199</v>
      </c>
      <c r="Q1111" s="297" t="s">
        <v>200</v>
      </c>
      <c r="R1111" s="297" t="s">
        <v>213</v>
      </c>
      <c r="S1111" s="297" t="s">
        <v>214</v>
      </c>
    </row>
    <row r="1112" spans="1:19" x14ac:dyDescent="0.4">
      <c r="A1112" s="291"/>
      <c r="B1112" s="292"/>
      <c r="C1112" s="312"/>
      <c r="D1112" s="292"/>
      <c r="E1112" s="489"/>
      <c r="F1112" s="489"/>
      <c r="G1112" s="490"/>
      <c r="H1112" s="520"/>
      <c r="I1112" s="523"/>
      <c r="J1112" s="521"/>
      <c r="K1112" s="522"/>
      <c r="M1112" s="301" t="str">
        <f>N1112&amp;AS[[#This Row],[Insurer Code]]&amp;"; "&amp;O1112&amp;AS[[#This Row],[Reporting Year]]&amp;"; "&amp;P1112&amp;AS[[#This Row],[Insurance Category Code]]&amp;"; "&amp;Q1112&amp;AS[[#This Row],[Large Provider Entity Code]]&amp;"; "&amp;R1112&amp;AS[[#This Row],[Age Band Code]]&amp;"; "&amp;S1112&amp;AS[[#This Row],[Sex Code]]</f>
        <v xml:space="preserve">Insurer Code ; Reporting Year ; Insurance Category Code ; Large Provider Entity Code ; Age Band Code ; Sex Code </v>
      </c>
      <c r="N1112" s="297" t="s">
        <v>197</v>
      </c>
      <c r="O1112" s="297" t="s">
        <v>198</v>
      </c>
      <c r="P1112" s="297" t="s">
        <v>199</v>
      </c>
      <c r="Q1112" s="297" t="s">
        <v>200</v>
      </c>
      <c r="R1112" s="297" t="s">
        <v>213</v>
      </c>
      <c r="S1112" s="297" t="s">
        <v>214</v>
      </c>
    </row>
    <row r="1113" spans="1:19" x14ac:dyDescent="0.4">
      <c r="A1113" s="291"/>
      <c r="B1113" s="292"/>
      <c r="C1113" s="312"/>
      <c r="D1113" s="292"/>
      <c r="E1113" s="489"/>
      <c r="F1113" s="489"/>
      <c r="G1113" s="490"/>
      <c r="H1113" s="520"/>
      <c r="I1113" s="523"/>
      <c r="J1113" s="521"/>
      <c r="K1113" s="522"/>
      <c r="M1113" s="301" t="str">
        <f>N1113&amp;AS[[#This Row],[Insurer Code]]&amp;"; "&amp;O1113&amp;AS[[#This Row],[Reporting Year]]&amp;"; "&amp;P1113&amp;AS[[#This Row],[Insurance Category Code]]&amp;"; "&amp;Q1113&amp;AS[[#This Row],[Large Provider Entity Code]]&amp;"; "&amp;R1113&amp;AS[[#This Row],[Age Band Code]]&amp;"; "&amp;S1113&amp;AS[[#This Row],[Sex Code]]</f>
        <v xml:space="preserve">Insurer Code ; Reporting Year ; Insurance Category Code ; Large Provider Entity Code ; Age Band Code ; Sex Code </v>
      </c>
      <c r="N1113" s="297" t="s">
        <v>197</v>
      </c>
      <c r="O1113" s="297" t="s">
        <v>198</v>
      </c>
      <c r="P1113" s="297" t="s">
        <v>199</v>
      </c>
      <c r="Q1113" s="297" t="s">
        <v>200</v>
      </c>
      <c r="R1113" s="297" t="s">
        <v>213</v>
      </c>
      <c r="S1113" s="297" t="s">
        <v>214</v>
      </c>
    </row>
    <row r="1114" spans="1:19" x14ac:dyDescent="0.4">
      <c r="A1114" s="291"/>
      <c r="B1114" s="292"/>
      <c r="C1114" s="312"/>
      <c r="D1114" s="292"/>
      <c r="E1114" s="489"/>
      <c r="F1114" s="489"/>
      <c r="G1114" s="490"/>
      <c r="H1114" s="520"/>
      <c r="I1114" s="523"/>
      <c r="J1114" s="521"/>
      <c r="K1114" s="522"/>
      <c r="M1114" s="301" t="str">
        <f>N1114&amp;AS[[#This Row],[Insurer Code]]&amp;"; "&amp;O1114&amp;AS[[#This Row],[Reporting Year]]&amp;"; "&amp;P1114&amp;AS[[#This Row],[Insurance Category Code]]&amp;"; "&amp;Q1114&amp;AS[[#This Row],[Large Provider Entity Code]]&amp;"; "&amp;R1114&amp;AS[[#This Row],[Age Band Code]]&amp;"; "&amp;S1114&amp;AS[[#This Row],[Sex Code]]</f>
        <v xml:space="preserve">Insurer Code ; Reporting Year ; Insurance Category Code ; Large Provider Entity Code ; Age Band Code ; Sex Code </v>
      </c>
      <c r="N1114" s="297" t="s">
        <v>197</v>
      </c>
      <c r="O1114" s="297" t="s">
        <v>198</v>
      </c>
      <c r="P1114" s="297" t="s">
        <v>199</v>
      </c>
      <c r="Q1114" s="297" t="s">
        <v>200</v>
      </c>
      <c r="R1114" s="297" t="s">
        <v>213</v>
      </c>
      <c r="S1114" s="297" t="s">
        <v>214</v>
      </c>
    </row>
    <row r="1115" spans="1:19" x14ac:dyDescent="0.4">
      <c r="A1115" s="291"/>
      <c r="B1115" s="292"/>
      <c r="C1115" s="312"/>
      <c r="D1115" s="292"/>
      <c r="E1115" s="489"/>
      <c r="F1115" s="489"/>
      <c r="G1115" s="490"/>
      <c r="H1115" s="520"/>
      <c r="I1115" s="523"/>
      <c r="J1115" s="521"/>
      <c r="K1115" s="522"/>
      <c r="M1115" s="301" t="str">
        <f>N1115&amp;AS[[#This Row],[Insurer Code]]&amp;"; "&amp;O1115&amp;AS[[#This Row],[Reporting Year]]&amp;"; "&amp;P1115&amp;AS[[#This Row],[Insurance Category Code]]&amp;"; "&amp;Q1115&amp;AS[[#This Row],[Large Provider Entity Code]]&amp;"; "&amp;R1115&amp;AS[[#This Row],[Age Band Code]]&amp;"; "&amp;S1115&amp;AS[[#This Row],[Sex Code]]</f>
        <v xml:space="preserve">Insurer Code ; Reporting Year ; Insurance Category Code ; Large Provider Entity Code ; Age Band Code ; Sex Code </v>
      </c>
      <c r="N1115" s="297" t="s">
        <v>197</v>
      </c>
      <c r="O1115" s="297" t="s">
        <v>198</v>
      </c>
      <c r="P1115" s="297" t="s">
        <v>199</v>
      </c>
      <c r="Q1115" s="297" t="s">
        <v>200</v>
      </c>
      <c r="R1115" s="297" t="s">
        <v>213</v>
      </c>
      <c r="S1115" s="297" t="s">
        <v>214</v>
      </c>
    </row>
    <row r="1116" spans="1:19" x14ac:dyDescent="0.4">
      <c r="A1116" s="291"/>
      <c r="B1116" s="292"/>
      <c r="C1116" s="312"/>
      <c r="D1116" s="292"/>
      <c r="E1116" s="489"/>
      <c r="F1116" s="489"/>
      <c r="G1116" s="490"/>
      <c r="H1116" s="520"/>
      <c r="I1116" s="523"/>
      <c r="J1116" s="521"/>
      <c r="K1116" s="522"/>
      <c r="M1116" s="301" t="str">
        <f>N1116&amp;AS[[#This Row],[Insurer Code]]&amp;"; "&amp;O1116&amp;AS[[#This Row],[Reporting Year]]&amp;"; "&amp;P1116&amp;AS[[#This Row],[Insurance Category Code]]&amp;"; "&amp;Q1116&amp;AS[[#This Row],[Large Provider Entity Code]]&amp;"; "&amp;R1116&amp;AS[[#This Row],[Age Band Code]]&amp;"; "&amp;S1116&amp;AS[[#This Row],[Sex Code]]</f>
        <v xml:space="preserve">Insurer Code ; Reporting Year ; Insurance Category Code ; Large Provider Entity Code ; Age Band Code ; Sex Code </v>
      </c>
      <c r="N1116" s="297" t="s">
        <v>197</v>
      </c>
      <c r="O1116" s="297" t="s">
        <v>198</v>
      </c>
      <c r="P1116" s="297" t="s">
        <v>199</v>
      </c>
      <c r="Q1116" s="297" t="s">
        <v>200</v>
      </c>
      <c r="R1116" s="297" t="s">
        <v>213</v>
      </c>
      <c r="S1116" s="297" t="s">
        <v>214</v>
      </c>
    </row>
    <row r="1117" spans="1:19" x14ac:dyDescent="0.4">
      <c r="A1117" s="291"/>
      <c r="B1117" s="292"/>
      <c r="C1117" s="312"/>
      <c r="D1117" s="292"/>
      <c r="E1117" s="489"/>
      <c r="F1117" s="489"/>
      <c r="G1117" s="490"/>
      <c r="H1117" s="520"/>
      <c r="I1117" s="523"/>
      <c r="J1117" s="521"/>
      <c r="K1117" s="522"/>
      <c r="M1117" s="301" t="str">
        <f>N1117&amp;AS[[#This Row],[Insurer Code]]&amp;"; "&amp;O1117&amp;AS[[#This Row],[Reporting Year]]&amp;"; "&amp;P1117&amp;AS[[#This Row],[Insurance Category Code]]&amp;"; "&amp;Q1117&amp;AS[[#This Row],[Large Provider Entity Code]]&amp;"; "&amp;R1117&amp;AS[[#This Row],[Age Band Code]]&amp;"; "&amp;S1117&amp;AS[[#This Row],[Sex Code]]</f>
        <v xml:space="preserve">Insurer Code ; Reporting Year ; Insurance Category Code ; Large Provider Entity Code ; Age Band Code ; Sex Code </v>
      </c>
      <c r="N1117" s="297" t="s">
        <v>197</v>
      </c>
      <c r="O1117" s="297" t="s">
        <v>198</v>
      </c>
      <c r="P1117" s="297" t="s">
        <v>199</v>
      </c>
      <c r="Q1117" s="297" t="s">
        <v>200</v>
      </c>
      <c r="R1117" s="297" t="s">
        <v>213</v>
      </c>
      <c r="S1117" s="297" t="s">
        <v>214</v>
      </c>
    </row>
    <row r="1118" spans="1:19" x14ac:dyDescent="0.4">
      <c r="A1118" s="291"/>
      <c r="B1118" s="292"/>
      <c r="C1118" s="312"/>
      <c r="D1118" s="292"/>
      <c r="E1118" s="489"/>
      <c r="F1118" s="489"/>
      <c r="G1118" s="490"/>
      <c r="H1118" s="520"/>
      <c r="I1118" s="523"/>
      <c r="J1118" s="521"/>
      <c r="K1118" s="522"/>
      <c r="M1118" s="301" t="str">
        <f>N1118&amp;AS[[#This Row],[Insurer Code]]&amp;"; "&amp;O1118&amp;AS[[#This Row],[Reporting Year]]&amp;"; "&amp;P1118&amp;AS[[#This Row],[Insurance Category Code]]&amp;"; "&amp;Q1118&amp;AS[[#This Row],[Large Provider Entity Code]]&amp;"; "&amp;R1118&amp;AS[[#This Row],[Age Band Code]]&amp;"; "&amp;S1118&amp;AS[[#This Row],[Sex Code]]</f>
        <v xml:space="preserve">Insurer Code ; Reporting Year ; Insurance Category Code ; Large Provider Entity Code ; Age Band Code ; Sex Code </v>
      </c>
      <c r="N1118" s="297" t="s">
        <v>197</v>
      </c>
      <c r="O1118" s="297" t="s">
        <v>198</v>
      </c>
      <c r="P1118" s="297" t="s">
        <v>199</v>
      </c>
      <c r="Q1118" s="297" t="s">
        <v>200</v>
      </c>
      <c r="R1118" s="297" t="s">
        <v>213</v>
      </c>
      <c r="S1118" s="297" t="s">
        <v>214</v>
      </c>
    </row>
    <row r="1119" spans="1:19" x14ac:dyDescent="0.4">
      <c r="A1119" s="291"/>
      <c r="B1119" s="292"/>
      <c r="C1119" s="312"/>
      <c r="D1119" s="292"/>
      <c r="E1119" s="489"/>
      <c r="F1119" s="489"/>
      <c r="G1119" s="490"/>
      <c r="H1119" s="520"/>
      <c r="I1119" s="523"/>
      <c r="J1119" s="521"/>
      <c r="K1119" s="522"/>
      <c r="M1119" s="301" t="str">
        <f>N1119&amp;AS[[#This Row],[Insurer Code]]&amp;"; "&amp;O1119&amp;AS[[#This Row],[Reporting Year]]&amp;"; "&amp;P1119&amp;AS[[#This Row],[Insurance Category Code]]&amp;"; "&amp;Q1119&amp;AS[[#This Row],[Large Provider Entity Code]]&amp;"; "&amp;R1119&amp;AS[[#This Row],[Age Band Code]]&amp;"; "&amp;S1119&amp;AS[[#This Row],[Sex Code]]</f>
        <v xml:space="preserve">Insurer Code ; Reporting Year ; Insurance Category Code ; Large Provider Entity Code ; Age Band Code ; Sex Code </v>
      </c>
      <c r="N1119" s="297" t="s">
        <v>197</v>
      </c>
      <c r="O1119" s="297" t="s">
        <v>198</v>
      </c>
      <c r="P1119" s="297" t="s">
        <v>199</v>
      </c>
      <c r="Q1119" s="297" t="s">
        <v>200</v>
      </c>
      <c r="R1119" s="297" t="s">
        <v>213</v>
      </c>
      <c r="S1119" s="297" t="s">
        <v>214</v>
      </c>
    </row>
    <row r="1120" spans="1:19" x14ac:dyDescent="0.4">
      <c r="A1120" s="291"/>
      <c r="B1120" s="292"/>
      <c r="C1120" s="312"/>
      <c r="D1120" s="292"/>
      <c r="E1120" s="489"/>
      <c r="F1120" s="489"/>
      <c r="G1120" s="490"/>
      <c r="H1120" s="520"/>
      <c r="I1120" s="523"/>
      <c r="J1120" s="521"/>
      <c r="K1120" s="522"/>
      <c r="M1120" s="301" t="str">
        <f>N1120&amp;AS[[#This Row],[Insurer Code]]&amp;"; "&amp;O1120&amp;AS[[#This Row],[Reporting Year]]&amp;"; "&amp;P1120&amp;AS[[#This Row],[Insurance Category Code]]&amp;"; "&amp;Q1120&amp;AS[[#This Row],[Large Provider Entity Code]]&amp;"; "&amp;R1120&amp;AS[[#This Row],[Age Band Code]]&amp;"; "&amp;S1120&amp;AS[[#This Row],[Sex Code]]</f>
        <v xml:space="preserve">Insurer Code ; Reporting Year ; Insurance Category Code ; Large Provider Entity Code ; Age Band Code ; Sex Code </v>
      </c>
      <c r="N1120" s="297" t="s">
        <v>197</v>
      </c>
      <c r="O1120" s="297" t="s">
        <v>198</v>
      </c>
      <c r="P1120" s="297" t="s">
        <v>199</v>
      </c>
      <c r="Q1120" s="297" t="s">
        <v>200</v>
      </c>
      <c r="R1120" s="297" t="s">
        <v>213</v>
      </c>
      <c r="S1120" s="297" t="s">
        <v>214</v>
      </c>
    </row>
    <row r="1121" spans="1:19" x14ac:dyDescent="0.4">
      <c r="A1121" s="291"/>
      <c r="B1121" s="292"/>
      <c r="C1121" s="312"/>
      <c r="D1121" s="292"/>
      <c r="E1121" s="489"/>
      <c r="F1121" s="489"/>
      <c r="G1121" s="490"/>
      <c r="H1121" s="520"/>
      <c r="I1121" s="523"/>
      <c r="J1121" s="521"/>
      <c r="K1121" s="522"/>
      <c r="M1121" s="301" t="str">
        <f>N1121&amp;AS[[#This Row],[Insurer Code]]&amp;"; "&amp;O1121&amp;AS[[#This Row],[Reporting Year]]&amp;"; "&amp;P1121&amp;AS[[#This Row],[Insurance Category Code]]&amp;"; "&amp;Q1121&amp;AS[[#This Row],[Large Provider Entity Code]]&amp;"; "&amp;R1121&amp;AS[[#This Row],[Age Band Code]]&amp;"; "&amp;S1121&amp;AS[[#This Row],[Sex Code]]</f>
        <v xml:space="preserve">Insurer Code ; Reporting Year ; Insurance Category Code ; Large Provider Entity Code ; Age Band Code ; Sex Code </v>
      </c>
      <c r="N1121" s="297" t="s">
        <v>197</v>
      </c>
      <c r="O1121" s="297" t="s">
        <v>198</v>
      </c>
      <c r="P1121" s="297" t="s">
        <v>199</v>
      </c>
      <c r="Q1121" s="297" t="s">
        <v>200</v>
      </c>
      <c r="R1121" s="297" t="s">
        <v>213</v>
      </c>
      <c r="S1121" s="297" t="s">
        <v>214</v>
      </c>
    </row>
    <row r="1122" spans="1:19" x14ac:dyDescent="0.4">
      <c r="A1122" s="291"/>
      <c r="B1122" s="292"/>
      <c r="C1122" s="312"/>
      <c r="D1122" s="292"/>
      <c r="E1122" s="489"/>
      <c r="F1122" s="489"/>
      <c r="G1122" s="490"/>
      <c r="H1122" s="520"/>
      <c r="I1122" s="523"/>
      <c r="J1122" s="521"/>
      <c r="K1122" s="522"/>
      <c r="M1122" s="301" t="str">
        <f>N1122&amp;AS[[#This Row],[Insurer Code]]&amp;"; "&amp;O1122&amp;AS[[#This Row],[Reporting Year]]&amp;"; "&amp;P1122&amp;AS[[#This Row],[Insurance Category Code]]&amp;"; "&amp;Q1122&amp;AS[[#This Row],[Large Provider Entity Code]]&amp;"; "&amp;R1122&amp;AS[[#This Row],[Age Band Code]]&amp;"; "&amp;S1122&amp;AS[[#This Row],[Sex Code]]</f>
        <v xml:space="preserve">Insurer Code ; Reporting Year ; Insurance Category Code ; Large Provider Entity Code ; Age Band Code ; Sex Code </v>
      </c>
      <c r="N1122" s="297" t="s">
        <v>197</v>
      </c>
      <c r="O1122" s="297" t="s">
        <v>198</v>
      </c>
      <c r="P1122" s="297" t="s">
        <v>199</v>
      </c>
      <c r="Q1122" s="297" t="s">
        <v>200</v>
      </c>
      <c r="R1122" s="297" t="s">
        <v>213</v>
      </c>
      <c r="S1122" s="297" t="s">
        <v>214</v>
      </c>
    </row>
    <row r="1123" spans="1:19" x14ac:dyDescent="0.4">
      <c r="A1123" s="291"/>
      <c r="B1123" s="292"/>
      <c r="C1123" s="312"/>
      <c r="D1123" s="292"/>
      <c r="E1123" s="489"/>
      <c r="F1123" s="489"/>
      <c r="G1123" s="490"/>
      <c r="H1123" s="520"/>
      <c r="I1123" s="523"/>
      <c r="J1123" s="521"/>
      <c r="K1123" s="522"/>
      <c r="M1123" s="301" t="str">
        <f>N1123&amp;AS[[#This Row],[Insurer Code]]&amp;"; "&amp;O1123&amp;AS[[#This Row],[Reporting Year]]&amp;"; "&amp;P1123&amp;AS[[#This Row],[Insurance Category Code]]&amp;"; "&amp;Q1123&amp;AS[[#This Row],[Large Provider Entity Code]]&amp;"; "&amp;R1123&amp;AS[[#This Row],[Age Band Code]]&amp;"; "&amp;S1123&amp;AS[[#This Row],[Sex Code]]</f>
        <v xml:space="preserve">Insurer Code ; Reporting Year ; Insurance Category Code ; Large Provider Entity Code ; Age Band Code ; Sex Code </v>
      </c>
      <c r="N1123" s="297" t="s">
        <v>197</v>
      </c>
      <c r="O1123" s="297" t="s">
        <v>198</v>
      </c>
      <c r="P1123" s="297" t="s">
        <v>199</v>
      </c>
      <c r="Q1123" s="297" t="s">
        <v>200</v>
      </c>
      <c r="R1123" s="297" t="s">
        <v>213</v>
      </c>
      <c r="S1123" s="297" t="s">
        <v>214</v>
      </c>
    </row>
    <row r="1124" spans="1:19" x14ac:dyDescent="0.4">
      <c r="A1124" s="291"/>
      <c r="B1124" s="292"/>
      <c r="C1124" s="312"/>
      <c r="D1124" s="292"/>
      <c r="E1124" s="489"/>
      <c r="F1124" s="489"/>
      <c r="G1124" s="490"/>
      <c r="H1124" s="520"/>
      <c r="I1124" s="523"/>
      <c r="J1124" s="521"/>
      <c r="K1124" s="522"/>
      <c r="M1124" s="301" t="str">
        <f>N1124&amp;AS[[#This Row],[Insurer Code]]&amp;"; "&amp;O1124&amp;AS[[#This Row],[Reporting Year]]&amp;"; "&amp;P1124&amp;AS[[#This Row],[Insurance Category Code]]&amp;"; "&amp;Q1124&amp;AS[[#This Row],[Large Provider Entity Code]]&amp;"; "&amp;R1124&amp;AS[[#This Row],[Age Band Code]]&amp;"; "&amp;S1124&amp;AS[[#This Row],[Sex Code]]</f>
        <v xml:space="preserve">Insurer Code ; Reporting Year ; Insurance Category Code ; Large Provider Entity Code ; Age Band Code ; Sex Code </v>
      </c>
      <c r="N1124" s="297" t="s">
        <v>197</v>
      </c>
      <c r="O1124" s="297" t="s">
        <v>198</v>
      </c>
      <c r="P1124" s="297" t="s">
        <v>199</v>
      </c>
      <c r="Q1124" s="297" t="s">
        <v>200</v>
      </c>
      <c r="R1124" s="297" t="s">
        <v>213</v>
      </c>
      <c r="S1124" s="297" t="s">
        <v>214</v>
      </c>
    </row>
    <row r="1125" spans="1:19" x14ac:dyDescent="0.4">
      <c r="A1125" s="291"/>
      <c r="B1125" s="292"/>
      <c r="C1125" s="312"/>
      <c r="D1125" s="292"/>
      <c r="E1125" s="489"/>
      <c r="F1125" s="489"/>
      <c r="G1125" s="490"/>
      <c r="H1125" s="520"/>
      <c r="I1125" s="523"/>
      <c r="J1125" s="521"/>
      <c r="K1125" s="522"/>
      <c r="M1125" s="301" t="str">
        <f>N1125&amp;AS[[#This Row],[Insurer Code]]&amp;"; "&amp;O1125&amp;AS[[#This Row],[Reporting Year]]&amp;"; "&amp;P1125&amp;AS[[#This Row],[Insurance Category Code]]&amp;"; "&amp;Q1125&amp;AS[[#This Row],[Large Provider Entity Code]]&amp;"; "&amp;R1125&amp;AS[[#This Row],[Age Band Code]]&amp;"; "&amp;S1125&amp;AS[[#This Row],[Sex Code]]</f>
        <v xml:space="preserve">Insurer Code ; Reporting Year ; Insurance Category Code ; Large Provider Entity Code ; Age Band Code ; Sex Code </v>
      </c>
      <c r="N1125" s="297" t="s">
        <v>197</v>
      </c>
      <c r="O1125" s="297" t="s">
        <v>198</v>
      </c>
      <c r="P1125" s="297" t="s">
        <v>199</v>
      </c>
      <c r="Q1125" s="297" t="s">
        <v>200</v>
      </c>
      <c r="R1125" s="297" t="s">
        <v>213</v>
      </c>
      <c r="S1125" s="297" t="s">
        <v>214</v>
      </c>
    </row>
    <row r="1126" spans="1:19" x14ac:dyDescent="0.4">
      <c r="A1126" s="291"/>
      <c r="B1126" s="292"/>
      <c r="C1126" s="312"/>
      <c r="D1126" s="292"/>
      <c r="E1126" s="489"/>
      <c r="F1126" s="489"/>
      <c r="G1126" s="490"/>
      <c r="H1126" s="520"/>
      <c r="I1126" s="523"/>
      <c r="J1126" s="521"/>
      <c r="K1126" s="522"/>
      <c r="M1126" s="301" t="str">
        <f>N1126&amp;AS[[#This Row],[Insurer Code]]&amp;"; "&amp;O1126&amp;AS[[#This Row],[Reporting Year]]&amp;"; "&amp;P1126&amp;AS[[#This Row],[Insurance Category Code]]&amp;"; "&amp;Q1126&amp;AS[[#This Row],[Large Provider Entity Code]]&amp;"; "&amp;R1126&amp;AS[[#This Row],[Age Band Code]]&amp;"; "&amp;S1126&amp;AS[[#This Row],[Sex Code]]</f>
        <v xml:space="preserve">Insurer Code ; Reporting Year ; Insurance Category Code ; Large Provider Entity Code ; Age Band Code ; Sex Code </v>
      </c>
      <c r="N1126" s="297" t="s">
        <v>197</v>
      </c>
      <c r="O1126" s="297" t="s">
        <v>198</v>
      </c>
      <c r="P1126" s="297" t="s">
        <v>199</v>
      </c>
      <c r="Q1126" s="297" t="s">
        <v>200</v>
      </c>
      <c r="R1126" s="297" t="s">
        <v>213</v>
      </c>
      <c r="S1126" s="297" t="s">
        <v>214</v>
      </c>
    </row>
    <row r="1127" spans="1:19" x14ac:dyDescent="0.4">
      <c r="A1127" s="291"/>
      <c r="B1127" s="292"/>
      <c r="C1127" s="312"/>
      <c r="D1127" s="292"/>
      <c r="E1127" s="489"/>
      <c r="F1127" s="489"/>
      <c r="G1127" s="490"/>
      <c r="H1127" s="520"/>
      <c r="I1127" s="523"/>
      <c r="J1127" s="521"/>
      <c r="K1127" s="522"/>
      <c r="M1127" s="301" t="str">
        <f>N1127&amp;AS[[#This Row],[Insurer Code]]&amp;"; "&amp;O1127&amp;AS[[#This Row],[Reporting Year]]&amp;"; "&amp;P1127&amp;AS[[#This Row],[Insurance Category Code]]&amp;"; "&amp;Q1127&amp;AS[[#This Row],[Large Provider Entity Code]]&amp;"; "&amp;R1127&amp;AS[[#This Row],[Age Band Code]]&amp;"; "&amp;S1127&amp;AS[[#This Row],[Sex Code]]</f>
        <v xml:space="preserve">Insurer Code ; Reporting Year ; Insurance Category Code ; Large Provider Entity Code ; Age Band Code ; Sex Code </v>
      </c>
      <c r="N1127" s="297" t="s">
        <v>197</v>
      </c>
      <c r="O1127" s="297" t="s">
        <v>198</v>
      </c>
      <c r="P1127" s="297" t="s">
        <v>199</v>
      </c>
      <c r="Q1127" s="297" t="s">
        <v>200</v>
      </c>
      <c r="R1127" s="297" t="s">
        <v>213</v>
      </c>
      <c r="S1127" s="297" t="s">
        <v>214</v>
      </c>
    </row>
    <row r="1128" spans="1:19" x14ac:dyDescent="0.4">
      <c r="A1128" s="291"/>
      <c r="B1128" s="292"/>
      <c r="C1128" s="312"/>
      <c r="D1128" s="292"/>
      <c r="E1128" s="489"/>
      <c r="F1128" s="489"/>
      <c r="G1128" s="490"/>
      <c r="H1128" s="520"/>
      <c r="I1128" s="523"/>
      <c r="J1128" s="521"/>
      <c r="K1128" s="522"/>
      <c r="M1128" s="301" t="str">
        <f>N1128&amp;AS[[#This Row],[Insurer Code]]&amp;"; "&amp;O1128&amp;AS[[#This Row],[Reporting Year]]&amp;"; "&amp;P1128&amp;AS[[#This Row],[Insurance Category Code]]&amp;"; "&amp;Q1128&amp;AS[[#This Row],[Large Provider Entity Code]]&amp;"; "&amp;R1128&amp;AS[[#This Row],[Age Band Code]]&amp;"; "&amp;S1128&amp;AS[[#This Row],[Sex Code]]</f>
        <v xml:space="preserve">Insurer Code ; Reporting Year ; Insurance Category Code ; Large Provider Entity Code ; Age Band Code ; Sex Code </v>
      </c>
      <c r="N1128" s="297" t="s">
        <v>197</v>
      </c>
      <c r="O1128" s="297" t="s">
        <v>198</v>
      </c>
      <c r="P1128" s="297" t="s">
        <v>199</v>
      </c>
      <c r="Q1128" s="297" t="s">
        <v>200</v>
      </c>
      <c r="R1128" s="297" t="s">
        <v>213</v>
      </c>
      <c r="S1128" s="297" t="s">
        <v>214</v>
      </c>
    </row>
    <row r="1129" spans="1:19" x14ac:dyDescent="0.4">
      <c r="A1129" s="291"/>
      <c r="B1129" s="292"/>
      <c r="C1129" s="312"/>
      <c r="D1129" s="292"/>
      <c r="E1129" s="489"/>
      <c r="F1129" s="489"/>
      <c r="G1129" s="490"/>
      <c r="H1129" s="520"/>
      <c r="I1129" s="523"/>
      <c r="J1129" s="521"/>
      <c r="K1129" s="522"/>
      <c r="M1129" s="301" t="str">
        <f>N1129&amp;AS[[#This Row],[Insurer Code]]&amp;"; "&amp;O1129&amp;AS[[#This Row],[Reporting Year]]&amp;"; "&amp;P1129&amp;AS[[#This Row],[Insurance Category Code]]&amp;"; "&amp;Q1129&amp;AS[[#This Row],[Large Provider Entity Code]]&amp;"; "&amp;R1129&amp;AS[[#This Row],[Age Band Code]]&amp;"; "&amp;S1129&amp;AS[[#This Row],[Sex Code]]</f>
        <v xml:space="preserve">Insurer Code ; Reporting Year ; Insurance Category Code ; Large Provider Entity Code ; Age Band Code ; Sex Code </v>
      </c>
      <c r="N1129" s="297" t="s">
        <v>197</v>
      </c>
      <c r="O1129" s="297" t="s">
        <v>198</v>
      </c>
      <c r="P1129" s="297" t="s">
        <v>199</v>
      </c>
      <c r="Q1129" s="297" t="s">
        <v>200</v>
      </c>
      <c r="R1129" s="297" t="s">
        <v>213</v>
      </c>
      <c r="S1129" s="297" t="s">
        <v>214</v>
      </c>
    </row>
    <row r="1130" spans="1:19" x14ac:dyDescent="0.4">
      <c r="A1130" s="291"/>
      <c r="B1130" s="292"/>
      <c r="C1130" s="312"/>
      <c r="D1130" s="292"/>
      <c r="E1130" s="489"/>
      <c r="F1130" s="489"/>
      <c r="G1130" s="490"/>
      <c r="H1130" s="520"/>
      <c r="I1130" s="523"/>
      <c r="J1130" s="521"/>
      <c r="K1130" s="522"/>
      <c r="M1130" s="301" t="str">
        <f>N1130&amp;AS[[#This Row],[Insurer Code]]&amp;"; "&amp;O1130&amp;AS[[#This Row],[Reporting Year]]&amp;"; "&amp;P1130&amp;AS[[#This Row],[Insurance Category Code]]&amp;"; "&amp;Q1130&amp;AS[[#This Row],[Large Provider Entity Code]]&amp;"; "&amp;R1130&amp;AS[[#This Row],[Age Band Code]]&amp;"; "&amp;S1130&amp;AS[[#This Row],[Sex Code]]</f>
        <v xml:space="preserve">Insurer Code ; Reporting Year ; Insurance Category Code ; Large Provider Entity Code ; Age Band Code ; Sex Code </v>
      </c>
      <c r="N1130" s="297" t="s">
        <v>197</v>
      </c>
      <c r="O1130" s="297" t="s">
        <v>198</v>
      </c>
      <c r="P1130" s="297" t="s">
        <v>199</v>
      </c>
      <c r="Q1130" s="297" t="s">
        <v>200</v>
      </c>
      <c r="R1130" s="297" t="s">
        <v>213</v>
      </c>
      <c r="S1130" s="297" t="s">
        <v>214</v>
      </c>
    </row>
    <row r="1131" spans="1:19" x14ac:dyDescent="0.4">
      <c r="A1131" s="291"/>
      <c r="B1131" s="292"/>
      <c r="C1131" s="312"/>
      <c r="D1131" s="292"/>
      <c r="E1131" s="489"/>
      <c r="F1131" s="489"/>
      <c r="G1131" s="490"/>
      <c r="H1131" s="520"/>
      <c r="I1131" s="523"/>
      <c r="J1131" s="521"/>
      <c r="K1131" s="522"/>
      <c r="M1131" s="301" t="str">
        <f>N1131&amp;AS[[#This Row],[Insurer Code]]&amp;"; "&amp;O1131&amp;AS[[#This Row],[Reporting Year]]&amp;"; "&amp;P1131&amp;AS[[#This Row],[Insurance Category Code]]&amp;"; "&amp;Q1131&amp;AS[[#This Row],[Large Provider Entity Code]]&amp;"; "&amp;R1131&amp;AS[[#This Row],[Age Band Code]]&amp;"; "&amp;S1131&amp;AS[[#This Row],[Sex Code]]</f>
        <v xml:space="preserve">Insurer Code ; Reporting Year ; Insurance Category Code ; Large Provider Entity Code ; Age Band Code ; Sex Code </v>
      </c>
      <c r="N1131" s="297" t="s">
        <v>197</v>
      </c>
      <c r="O1131" s="297" t="s">
        <v>198</v>
      </c>
      <c r="P1131" s="297" t="s">
        <v>199</v>
      </c>
      <c r="Q1131" s="297" t="s">
        <v>200</v>
      </c>
      <c r="R1131" s="297" t="s">
        <v>213</v>
      </c>
      <c r="S1131" s="297" t="s">
        <v>214</v>
      </c>
    </row>
    <row r="1132" spans="1:19" x14ac:dyDescent="0.4">
      <c r="A1132" s="291"/>
      <c r="B1132" s="292"/>
      <c r="C1132" s="312"/>
      <c r="D1132" s="292"/>
      <c r="E1132" s="489"/>
      <c r="F1132" s="489"/>
      <c r="G1132" s="490"/>
      <c r="H1132" s="520"/>
      <c r="I1132" s="523"/>
      <c r="J1132" s="521"/>
      <c r="K1132" s="522"/>
      <c r="M1132" s="301" t="str">
        <f>N1132&amp;AS[[#This Row],[Insurer Code]]&amp;"; "&amp;O1132&amp;AS[[#This Row],[Reporting Year]]&amp;"; "&amp;P1132&amp;AS[[#This Row],[Insurance Category Code]]&amp;"; "&amp;Q1132&amp;AS[[#This Row],[Large Provider Entity Code]]&amp;"; "&amp;R1132&amp;AS[[#This Row],[Age Band Code]]&amp;"; "&amp;S1132&amp;AS[[#This Row],[Sex Code]]</f>
        <v xml:space="preserve">Insurer Code ; Reporting Year ; Insurance Category Code ; Large Provider Entity Code ; Age Band Code ; Sex Code </v>
      </c>
      <c r="N1132" s="297" t="s">
        <v>197</v>
      </c>
      <c r="O1132" s="297" t="s">
        <v>198</v>
      </c>
      <c r="P1132" s="297" t="s">
        <v>199</v>
      </c>
      <c r="Q1132" s="297" t="s">
        <v>200</v>
      </c>
      <c r="R1132" s="297" t="s">
        <v>213</v>
      </c>
      <c r="S1132" s="297" t="s">
        <v>214</v>
      </c>
    </row>
    <row r="1133" spans="1:19" x14ac:dyDescent="0.4">
      <c r="A1133" s="291"/>
      <c r="B1133" s="292"/>
      <c r="C1133" s="312"/>
      <c r="D1133" s="292"/>
      <c r="E1133" s="489"/>
      <c r="F1133" s="489"/>
      <c r="G1133" s="490"/>
      <c r="H1133" s="520"/>
      <c r="I1133" s="523"/>
      <c r="J1133" s="521"/>
      <c r="K1133" s="522"/>
      <c r="M1133" s="301" t="str">
        <f>N1133&amp;AS[[#This Row],[Insurer Code]]&amp;"; "&amp;O1133&amp;AS[[#This Row],[Reporting Year]]&amp;"; "&amp;P1133&amp;AS[[#This Row],[Insurance Category Code]]&amp;"; "&amp;Q1133&amp;AS[[#This Row],[Large Provider Entity Code]]&amp;"; "&amp;R1133&amp;AS[[#This Row],[Age Band Code]]&amp;"; "&amp;S1133&amp;AS[[#This Row],[Sex Code]]</f>
        <v xml:space="preserve">Insurer Code ; Reporting Year ; Insurance Category Code ; Large Provider Entity Code ; Age Band Code ; Sex Code </v>
      </c>
      <c r="N1133" s="297" t="s">
        <v>197</v>
      </c>
      <c r="O1133" s="297" t="s">
        <v>198</v>
      </c>
      <c r="P1133" s="297" t="s">
        <v>199</v>
      </c>
      <c r="Q1133" s="297" t="s">
        <v>200</v>
      </c>
      <c r="R1133" s="297" t="s">
        <v>213</v>
      </c>
      <c r="S1133" s="297" t="s">
        <v>214</v>
      </c>
    </row>
    <row r="1134" spans="1:19" x14ac:dyDescent="0.4">
      <c r="A1134" s="291"/>
      <c r="B1134" s="292"/>
      <c r="C1134" s="312"/>
      <c r="D1134" s="292"/>
      <c r="E1134" s="489"/>
      <c r="F1134" s="489"/>
      <c r="G1134" s="490"/>
      <c r="H1134" s="520"/>
      <c r="I1134" s="523"/>
      <c r="J1134" s="521"/>
      <c r="K1134" s="522"/>
      <c r="M1134" s="301" t="str">
        <f>N1134&amp;AS[[#This Row],[Insurer Code]]&amp;"; "&amp;O1134&amp;AS[[#This Row],[Reporting Year]]&amp;"; "&amp;P1134&amp;AS[[#This Row],[Insurance Category Code]]&amp;"; "&amp;Q1134&amp;AS[[#This Row],[Large Provider Entity Code]]&amp;"; "&amp;R1134&amp;AS[[#This Row],[Age Band Code]]&amp;"; "&amp;S1134&amp;AS[[#This Row],[Sex Code]]</f>
        <v xml:space="preserve">Insurer Code ; Reporting Year ; Insurance Category Code ; Large Provider Entity Code ; Age Band Code ; Sex Code </v>
      </c>
      <c r="N1134" s="297" t="s">
        <v>197</v>
      </c>
      <c r="O1134" s="297" t="s">
        <v>198</v>
      </c>
      <c r="P1134" s="297" t="s">
        <v>199</v>
      </c>
      <c r="Q1134" s="297" t="s">
        <v>200</v>
      </c>
      <c r="R1134" s="297" t="s">
        <v>213</v>
      </c>
      <c r="S1134" s="297" t="s">
        <v>214</v>
      </c>
    </row>
    <row r="1135" spans="1:19" x14ac:dyDescent="0.4">
      <c r="A1135" s="291"/>
      <c r="B1135" s="292"/>
      <c r="C1135" s="312"/>
      <c r="D1135" s="292"/>
      <c r="E1135" s="489"/>
      <c r="F1135" s="489"/>
      <c r="G1135" s="490"/>
      <c r="H1135" s="520"/>
      <c r="I1135" s="523"/>
      <c r="J1135" s="521"/>
      <c r="K1135" s="522"/>
      <c r="M1135" s="301" t="str">
        <f>N1135&amp;AS[[#This Row],[Insurer Code]]&amp;"; "&amp;O1135&amp;AS[[#This Row],[Reporting Year]]&amp;"; "&amp;P1135&amp;AS[[#This Row],[Insurance Category Code]]&amp;"; "&amp;Q1135&amp;AS[[#This Row],[Large Provider Entity Code]]&amp;"; "&amp;R1135&amp;AS[[#This Row],[Age Band Code]]&amp;"; "&amp;S1135&amp;AS[[#This Row],[Sex Code]]</f>
        <v xml:space="preserve">Insurer Code ; Reporting Year ; Insurance Category Code ; Large Provider Entity Code ; Age Band Code ; Sex Code </v>
      </c>
      <c r="N1135" s="297" t="s">
        <v>197</v>
      </c>
      <c r="O1135" s="297" t="s">
        <v>198</v>
      </c>
      <c r="P1135" s="297" t="s">
        <v>199</v>
      </c>
      <c r="Q1135" s="297" t="s">
        <v>200</v>
      </c>
      <c r="R1135" s="297" t="s">
        <v>213</v>
      </c>
      <c r="S1135" s="297" t="s">
        <v>214</v>
      </c>
    </row>
    <row r="1136" spans="1:19" x14ac:dyDescent="0.4">
      <c r="A1136" s="291"/>
      <c r="B1136" s="292"/>
      <c r="C1136" s="312"/>
      <c r="D1136" s="292"/>
      <c r="E1136" s="489"/>
      <c r="F1136" s="489"/>
      <c r="G1136" s="490"/>
      <c r="H1136" s="520"/>
      <c r="I1136" s="523"/>
      <c r="J1136" s="521"/>
      <c r="K1136" s="522"/>
      <c r="M1136" s="301" t="str">
        <f>N1136&amp;AS[[#This Row],[Insurer Code]]&amp;"; "&amp;O1136&amp;AS[[#This Row],[Reporting Year]]&amp;"; "&amp;P1136&amp;AS[[#This Row],[Insurance Category Code]]&amp;"; "&amp;Q1136&amp;AS[[#This Row],[Large Provider Entity Code]]&amp;"; "&amp;R1136&amp;AS[[#This Row],[Age Band Code]]&amp;"; "&amp;S1136&amp;AS[[#This Row],[Sex Code]]</f>
        <v xml:space="preserve">Insurer Code ; Reporting Year ; Insurance Category Code ; Large Provider Entity Code ; Age Band Code ; Sex Code </v>
      </c>
      <c r="N1136" s="297" t="s">
        <v>197</v>
      </c>
      <c r="O1136" s="297" t="s">
        <v>198</v>
      </c>
      <c r="P1136" s="297" t="s">
        <v>199</v>
      </c>
      <c r="Q1136" s="297" t="s">
        <v>200</v>
      </c>
      <c r="R1136" s="297" t="s">
        <v>213</v>
      </c>
      <c r="S1136" s="297" t="s">
        <v>214</v>
      </c>
    </row>
    <row r="1137" spans="1:19" x14ac:dyDescent="0.4">
      <c r="A1137" s="291"/>
      <c r="B1137" s="292"/>
      <c r="C1137" s="312"/>
      <c r="D1137" s="292"/>
      <c r="E1137" s="489"/>
      <c r="F1137" s="489"/>
      <c r="G1137" s="490"/>
      <c r="H1137" s="520"/>
      <c r="I1137" s="523"/>
      <c r="J1137" s="521"/>
      <c r="K1137" s="522"/>
      <c r="M1137" s="301" t="str">
        <f>N1137&amp;AS[[#This Row],[Insurer Code]]&amp;"; "&amp;O1137&amp;AS[[#This Row],[Reporting Year]]&amp;"; "&amp;P1137&amp;AS[[#This Row],[Insurance Category Code]]&amp;"; "&amp;Q1137&amp;AS[[#This Row],[Large Provider Entity Code]]&amp;"; "&amp;R1137&amp;AS[[#This Row],[Age Band Code]]&amp;"; "&amp;S1137&amp;AS[[#This Row],[Sex Code]]</f>
        <v xml:space="preserve">Insurer Code ; Reporting Year ; Insurance Category Code ; Large Provider Entity Code ; Age Band Code ; Sex Code </v>
      </c>
      <c r="N1137" s="297" t="s">
        <v>197</v>
      </c>
      <c r="O1137" s="297" t="s">
        <v>198</v>
      </c>
      <c r="P1137" s="297" t="s">
        <v>199</v>
      </c>
      <c r="Q1137" s="297" t="s">
        <v>200</v>
      </c>
      <c r="R1137" s="297" t="s">
        <v>213</v>
      </c>
      <c r="S1137" s="297" t="s">
        <v>214</v>
      </c>
    </row>
    <row r="1138" spans="1:19" x14ac:dyDescent="0.4">
      <c r="A1138" s="291"/>
      <c r="B1138" s="292"/>
      <c r="C1138" s="312"/>
      <c r="D1138" s="292"/>
      <c r="E1138" s="489"/>
      <c r="F1138" s="489"/>
      <c r="G1138" s="490"/>
      <c r="H1138" s="520"/>
      <c r="I1138" s="523"/>
      <c r="J1138" s="521"/>
      <c r="K1138" s="522"/>
      <c r="M1138" s="301" t="str">
        <f>N1138&amp;AS[[#This Row],[Insurer Code]]&amp;"; "&amp;O1138&amp;AS[[#This Row],[Reporting Year]]&amp;"; "&amp;P1138&amp;AS[[#This Row],[Insurance Category Code]]&amp;"; "&amp;Q1138&amp;AS[[#This Row],[Large Provider Entity Code]]&amp;"; "&amp;R1138&amp;AS[[#This Row],[Age Band Code]]&amp;"; "&amp;S1138&amp;AS[[#This Row],[Sex Code]]</f>
        <v xml:space="preserve">Insurer Code ; Reporting Year ; Insurance Category Code ; Large Provider Entity Code ; Age Band Code ; Sex Code </v>
      </c>
      <c r="N1138" s="297" t="s">
        <v>197</v>
      </c>
      <c r="O1138" s="297" t="s">
        <v>198</v>
      </c>
      <c r="P1138" s="297" t="s">
        <v>199</v>
      </c>
      <c r="Q1138" s="297" t="s">
        <v>200</v>
      </c>
      <c r="R1138" s="297" t="s">
        <v>213</v>
      </c>
      <c r="S1138" s="297" t="s">
        <v>214</v>
      </c>
    </row>
    <row r="1139" spans="1:19" x14ac:dyDescent="0.4">
      <c r="A1139" s="291"/>
      <c r="B1139" s="292"/>
      <c r="C1139" s="312"/>
      <c r="D1139" s="292"/>
      <c r="E1139" s="489"/>
      <c r="F1139" s="489"/>
      <c r="G1139" s="490"/>
      <c r="H1139" s="520"/>
      <c r="I1139" s="523"/>
      <c r="J1139" s="521"/>
      <c r="K1139" s="522"/>
      <c r="M1139" s="301" t="str">
        <f>N1139&amp;AS[[#This Row],[Insurer Code]]&amp;"; "&amp;O1139&amp;AS[[#This Row],[Reporting Year]]&amp;"; "&amp;P1139&amp;AS[[#This Row],[Insurance Category Code]]&amp;"; "&amp;Q1139&amp;AS[[#This Row],[Large Provider Entity Code]]&amp;"; "&amp;R1139&amp;AS[[#This Row],[Age Band Code]]&amp;"; "&amp;S1139&amp;AS[[#This Row],[Sex Code]]</f>
        <v xml:space="preserve">Insurer Code ; Reporting Year ; Insurance Category Code ; Large Provider Entity Code ; Age Band Code ; Sex Code </v>
      </c>
      <c r="N1139" s="297" t="s">
        <v>197</v>
      </c>
      <c r="O1139" s="297" t="s">
        <v>198</v>
      </c>
      <c r="P1139" s="297" t="s">
        <v>199</v>
      </c>
      <c r="Q1139" s="297" t="s">
        <v>200</v>
      </c>
      <c r="R1139" s="297" t="s">
        <v>213</v>
      </c>
      <c r="S1139" s="297" t="s">
        <v>214</v>
      </c>
    </row>
    <row r="1140" spans="1:19" x14ac:dyDescent="0.4">
      <c r="A1140" s="291"/>
      <c r="B1140" s="292"/>
      <c r="C1140" s="312"/>
      <c r="D1140" s="292"/>
      <c r="E1140" s="489"/>
      <c r="F1140" s="489"/>
      <c r="G1140" s="490"/>
      <c r="H1140" s="520"/>
      <c r="I1140" s="523"/>
      <c r="J1140" s="521"/>
      <c r="K1140" s="522"/>
      <c r="M1140" s="301" t="str">
        <f>N1140&amp;AS[[#This Row],[Insurer Code]]&amp;"; "&amp;O1140&amp;AS[[#This Row],[Reporting Year]]&amp;"; "&amp;P1140&amp;AS[[#This Row],[Insurance Category Code]]&amp;"; "&amp;Q1140&amp;AS[[#This Row],[Large Provider Entity Code]]&amp;"; "&amp;R1140&amp;AS[[#This Row],[Age Band Code]]&amp;"; "&amp;S1140&amp;AS[[#This Row],[Sex Code]]</f>
        <v xml:space="preserve">Insurer Code ; Reporting Year ; Insurance Category Code ; Large Provider Entity Code ; Age Band Code ; Sex Code </v>
      </c>
      <c r="N1140" s="297" t="s">
        <v>197</v>
      </c>
      <c r="O1140" s="297" t="s">
        <v>198</v>
      </c>
      <c r="P1140" s="297" t="s">
        <v>199</v>
      </c>
      <c r="Q1140" s="297" t="s">
        <v>200</v>
      </c>
      <c r="R1140" s="297" t="s">
        <v>213</v>
      </c>
      <c r="S1140" s="297" t="s">
        <v>214</v>
      </c>
    </row>
    <row r="1141" spans="1:19" x14ac:dyDescent="0.4">
      <c r="A1141" s="291"/>
      <c r="B1141" s="292"/>
      <c r="C1141" s="312"/>
      <c r="D1141" s="292"/>
      <c r="E1141" s="489"/>
      <c r="F1141" s="489"/>
      <c r="G1141" s="490"/>
      <c r="H1141" s="520"/>
      <c r="I1141" s="523"/>
      <c r="J1141" s="521"/>
      <c r="K1141" s="522"/>
      <c r="M1141" s="301" t="str">
        <f>N1141&amp;AS[[#This Row],[Insurer Code]]&amp;"; "&amp;O1141&amp;AS[[#This Row],[Reporting Year]]&amp;"; "&amp;P1141&amp;AS[[#This Row],[Insurance Category Code]]&amp;"; "&amp;Q1141&amp;AS[[#This Row],[Large Provider Entity Code]]&amp;"; "&amp;R1141&amp;AS[[#This Row],[Age Band Code]]&amp;"; "&amp;S1141&amp;AS[[#This Row],[Sex Code]]</f>
        <v xml:space="preserve">Insurer Code ; Reporting Year ; Insurance Category Code ; Large Provider Entity Code ; Age Band Code ; Sex Code </v>
      </c>
      <c r="N1141" s="297" t="s">
        <v>197</v>
      </c>
      <c r="O1141" s="297" t="s">
        <v>198</v>
      </c>
      <c r="P1141" s="297" t="s">
        <v>199</v>
      </c>
      <c r="Q1141" s="297" t="s">
        <v>200</v>
      </c>
      <c r="R1141" s="297" t="s">
        <v>213</v>
      </c>
      <c r="S1141" s="297" t="s">
        <v>214</v>
      </c>
    </row>
    <row r="1142" spans="1:19" x14ac:dyDescent="0.4">
      <c r="A1142" s="291"/>
      <c r="B1142" s="292"/>
      <c r="C1142" s="312"/>
      <c r="D1142" s="292"/>
      <c r="E1142" s="489"/>
      <c r="F1142" s="489"/>
      <c r="G1142" s="490"/>
      <c r="H1142" s="520"/>
      <c r="I1142" s="523"/>
      <c r="J1142" s="521"/>
      <c r="K1142" s="522"/>
      <c r="M1142" s="301" t="str">
        <f>N1142&amp;AS[[#This Row],[Insurer Code]]&amp;"; "&amp;O1142&amp;AS[[#This Row],[Reporting Year]]&amp;"; "&amp;P1142&amp;AS[[#This Row],[Insurance Category Code]]&amp;"; "&amp;Q1142&amp;AS[[#This Row],[Large Provider Entity Code]]&amp;"; "&amp;R1142&amp;AS[[#This Row],[Age Band Code]]&amp;"; "&amp;S1142&amp;AS[[#This Row],[Sex Code]]</f>
        <v xml:space="preserve">Insurer Code ; Reporting Year ; Insurance Category Code ; Large Provider Entity Code ; Age Band Code ; Sex Code </v>
      </c>
      <c r="N1142" s="297" t="s">
        <v>197</v>
      </c>
      <c r="O1142" s="297" t="s">
        <v>198</v>
      </c>
      <c r="P1142" s="297" t="s">
        <v>199</v>
      </c>
      <c r="Q1142" s="297" t="s">
        <v>200</v>
      </c>
      <c r="R1142" s="297" t="s">
        <v>213</v>
      </c>
      <c r="S1142" s="297" t="s">
        <v>214</v>
      </c>
    </row>
    <row r="1143" spans="1:19" x14ac:dyDescent="0.4">
      <c r="A1143" s="291"/>
      <c r="B1143" s="292"/>
      <c r="C1143" s="312"/>
      <c r="D1143" s="292"/>
      <c r="E1143" s="489"/>
      <c r="F1143" s="489"/>
      <c r="G1143" s="490"/>
      <c r="H1143" s="520"/>
      <c r="I1143" s="523"/>
      <c r="J1143" s="521"/>
      <c r="K1143" s="522"/>
      <c r="M1143" s="301" t="str">
        <f>N1143&amp;AS[[#This Row],[Insurer Code]]&amp;"; "&amp;O1143&amp;AS[[#This Row],[Reporting Year]]&amp;"; "&amp;P1143&amp;AS[[#This Row],[Insurance Category Code]]&amp;"; "&amp;Q1143&amp;AS[[#This Row],[Large Provider Entity Code]]&amp;"; "&amp;R1143&amp;AS[[#This Row],[Age Band Code]]&amp;"; "&amp;S1143&amp;AS[[#This Row],[Sex Code]]</f>
        <v xml:space="preserve">Insurer Code ; Reporting Year ; Insurance Category Code ; Large Provider Entity Code ; Age Band Code ; Sex Code </v>
      </c>
      <c r="N1143" s="297" t="s">
        <v>197</v>
      </c>
      <c r="O1143" s="297" t="s">
        <v>198</v>
      </c>
      <c r="P1143" s="297" t="s">
        <v>199</v>
      </c>
      <c r="Q1143" s="297" t="s">
        <v>200</v>
      </c>
      <c r="R1143" s="297" t="s">
        <v>213</v>
      </c>
      <c r="S1143" s="297" t="s">
        <v>214</v>
      </c>
    </row>
    <row r="1144" spans="1:19" x14ac:dyDescent="0.4">
      <c r="A1144" s="291"/>
      <c r="B1144" s="292"/>
      <c r="C1144" s="312"/>
      <c r="D1144" s="292"/>
      <c r="E1144" s="489"/>
      <c r="F1144" s="489"/>
      <c r="G1144" s="490"/>
      <c r="H1144" s="520"/>
      <c r="I1144" s="523"/>
      <c r="J1144" s="521"/>
      <c r="K1144" s="522"/>
      <c r="M1144" s="301" t="str">
        <f>N1144&amp;AS[[#This Row],[Insurer Code]]&amp;"; "&amp;O1144&amp;AS[[#This Row],[Reporting Year]]&amp;"; "&amp;P1144&amp;AS[[#This Row],[Insurance Category Code]]&amp;"; "&amp;Q1144&amp;AS[[#This Row],[Large Provider Entity Code]]&amp;"; "&amp;R1144&amp;AS[[#This Row],[Age Band Code]]&amp;"; "&amp;S1144&amp;AS[[#This Row],[Sex Code]]</f>
        <v xml:space="preserve">Insurer Code ; Reporting Year ; Insurance Category Code ; Large Provider Entity Code ; Age Band Code ; Sex Code </v>
      </c>
      <c r="N1144" s="297" t="s">
        <v>197</v>
      </c>
      <c r="O1144" s="297" t="s">
        <v>198</v>
      </c>
      <c r="P1144" s="297" t="s">
        <v>199</v>
      </c>
      <c r="Q1144" s="297" t="s">
        <v>200</v>
      </c>
      <c r="R1144" s="297" t="s">
        <v>213</v>
      </c>
      <c r="S1144" s="297" t="s">
        <v>214</v>
      </c>
    </row>
    <row r="1145" spans="1:19" x14ac:dyDescent="0.4">
      <c r="A1145" s="291"/>
      <c r="B1145" s="292"/>
      <c r="C1145" s="312"/>
      <c r="D1145" s="292"/>
      <c r="E1145" s="489"/>
      <c r="F1145" s="489"/>
      <c r="G1145" s="490"/>
      <c r="H1145" s="520"/>
      <c r="I1145" s="523"/>
      <c r="J1145" s="521"/>
      <c r="K1145" s="522"/>
      <c r="M1145" s="301" t="str">
        <f>N1145&amp;AS[[#This Row],[Insurer Code]]&amp;"; "&amp;O1145&amp;AS[[#This Row],[Reporting Year]]&amp;"; "&amp;P1145&amp;AS[[#This Row],[Insurance Category Code]]&amp;"; "&amp;Q1145&amp;AS[[#This Row],[Large Provider Entity Code]]&amp;"; "&amp;R1145&amp;AS[[#This Row],[Age Band Code]]&amp;"; "&amp;S1145&amp;AS[[#This Row],[Sex Code]]</f>
        <v xml:space="preserve">Insurer Code ; Reporting Year ; Insurance Category Code ; Large Provider Entity Code ; Age Band Code ; Sex Code </v>
      </c>
      <c r="N1145" s="297" t="s">
        <v>197</v>
      </c>
      <c r="O1145" s="297" t="s">
        <v>198</v>
      </c>
      <c r="P1145" s="297" t="s">
        <v>199</v>
      </c>
      <c r="Q1145" s="297" t="s">
        <v>200</v>
      </c>
      <c r="R1145" s="297" t="s">
        <v>213</v>
      </c>
      <c r="S1145" s="297" t="s">
        <v>214</v>
      </c>
    </row>
    <row r="1146" spans="1:19" x14ac:dyDescent="0.4">
      <c r="A1146" s="291"/>
      <c r="B1146" s="292"/>
      <c r="C1146" s="312"/>
      <c r="D1146" s="292"/>
      <c r="E1146" s="489"/>
      <c r="F1146" s="489"/>
      <c r="G1146" s="490"/>
      <c r="H1146" s="520"/>
      <c r="I1146" s="523"/>
      <c r="J1146" s="521"/>
      <c r="K1146" s="522"/>
      <c r="M1146" s="301" t="str">
        <f>N1146&amp;AS[[#This Row],[Insurer Code]]&amp;"; "&amp;O1146&amp;AS[[#This Row],[Reporting Year]]&amp;"; "&amp;P1146&amp;AS[[#This Row],[Insurance Category Code]]&amp;"; "&amp;Q1146&amp;AS[[#This Row],[Large Provider Entity Code]]&amp;"; "&amp;R1146&amp;AS[[#This Row],[Age Band Code]]&amp;"; "&amp;S1146&amp;AS[[#This Row],[Sex Code]]</f>
        <v xml:space="preserve">Insurer Code ; Reporting Year ; Insurance Category Code ; Large Provider Entity Code ; Age Band Code ; Sex Code </v>
      </c>
      <c r="N1146" s="297" t="s">
        <v>197</v>
      </c>
      <c r="O1146" s="297" t="s">
        <v>198</v>
      </c>
      <c r="P1146" s="297" t="s">
        <v>199</v>
      </c>
      <c r="Q1146" s="297" t="s">
        <v>200</v>
      </c>
      <c r="R1146" s="297" t="s">
        <v>213</v>
      </c>
      <c r="S1146" s="297" t="s">
        <v>214</v>
      </c>
    </row>
    <row r="1147" spans="1:19" x14ac:dyDescent="0.4">
      <c r="A1147" s="291"/>
      <c r="B1147" s="292"/>
      <c r="C1147" s="312"/>
      <c r="D1147" s="292"/>
      <c r="E1147" s="489"/>
      <c r="F1147" s="489"/>
      <c r="G1147" s="490"/>
      <c r="H1147" s="520"/>
      <c r="I1147" s="523"/>
      <c r="J1147" s="521"/>
      <c r="K1147" s="522"/>
      <c r="M1147" s="301" t="str">
        <f>N1147&amp;AS[[#This Row],[Insurer Code]]&amp;"; "&amp;O1147&amp;AS[[#This Row],[Reporting Year]]&amp;"; "&amp;P1147&amp;AS[[#This Row],[Insurance Category Code]]&amp;"; "&amp;Q1147&amp;AS[[#This Row],[Large Provider Entity Code]]&amp;"; "&amp;R1147&amp;AS[[#This Row],[Age Band Code]]&amp;"; "&amp;S1147&amp;AS[[#This Row],[Sex Code]]</f>
        <v xml:space="preserve">Insurer Code ; Reporting Year ; Insurance Category Code ; Large Provider Entity Code ; Age Band Code ; Sex Code </v>
      </c>
      <c r="N1147" s="297" t="s">
        <v>197</v>
      </c>
      <c r="O1147" s="297" t="s">
        <v>198</v>
      </c>
      <c r="P1147" s="297" t="s">
        <v>199</v>
      </c>
      <c r="Q1147" s="297" t="s">
        <v>200</v>
      </c>
      <c r="R1147" s="297" t="s">
        <v>213</v>
      </c>
      <c r="S1147" s="297" t="s">
        <v>214</v>
      </c>
    </row>
    <row r="1148" spans="1:19" x14ac:dyDescent="0.4">
      <c r="A1148" s="291"/>
      <c r="B1148" s="292"/>
      <c r="C1148" s="312"/>
      <c r="D1148" s="292"/>
      <c r="E1148" s="489"/>
      <c r="F1148" s="489"/>
      <c r="G1148" s="490"/>
      <c r="H1148" s="520"/>
      <c r="I1148" s="523"/>
      <c r="J1148" s="521"/>
      <c r="K1148" s="522"/>
      <c r="M1148" s="301" t="str">
        <f>N1148&amp;AS[[#This Row],[Insurer Code]]&amp;"; "&amp;O1148&amp;AS[[#This Row],[Reporting Year]]&amp;"; "&amp;P1148&amp;AS[[#This Row],[Insurance Category Code]]&amp;"; "&amp;Q1148&amp;AS[[#This Row],[Large Provider Entity Code]]&amp;"; "&amp;R1148&amp;AS[[#This Row],[Age Band Code]]&amp;"; "&amp;S1148&amp;AS[[#This Row],[Sex Code]]</f>
        <v xml:space="preserve">Insurer Code ; Reporting Year ; Insurance Category Code ; Large Provider Entity Code ; Age Band Code ; Sex Code </v>
      </c>
      <c r="N1148" s="297" t="s">
        <v>197</v>
      </c>
      <c r="O1148" s="297" t="s">
        <v>198</v>
      </c>
      <c r="P1148" s="297" t="s">
        <v>199</v>
      </c>
      <c r="Q1148" s="297" t="s">
        <v>200</v>
      </c>
      <c r="R1148" s="297" t="s">
        <v>213</v>
      </c>
      <c r="S1148" s="297" t="s">
        <v>214</v>
      </c>
    </row>
    <row r="1149" spans="1:19" x14ac:dyDescent="0.4">
      <c r="A1149" s="291"/>
      <c r="B1149" s="292"/>
      <c r="C1149" s="312"/>
      <c r="D1149" s="292"/>
      <c r="E1149" s="489"/>
      <c r="F1149" s="489"/>
      <c r="G1149" s="490"/>
      <c r="H1149" s="520"/>
      <c r="I1149" s="523"/>
      <c r="J1149" s="521"/>
      <c r="K1149" s="522"/>
      <c r="M1149" s="301" t="str">
        <f>N1149&amp;AS[[#This Row],[Insurer Code]]&amp;"; "&amp;O1149&amp;AS[[#This Row],[Reporting Year]]&amp;"; "&amp;P1149&amp;AS[[#This Row],[Insurance Category Code]]&amp;"; "&amp;Q1149&amp;AS[[#This Row],[Large Provider Entity Code]]&amp;"; "&amp;R1149&amp;AS[[#This Row],[Age Band Code]]&amp;"; "&amp;S1149&amp;AS[[#This Row],[Sex Code]]</f>
        <v xml:space="preserve">Insurer Code ; Reporting Year ; Insurance Category Code ; Large Provider Entity Code ; Age Band Code ; Sex Code </v>
      </c>
      <c r="N1149" s="297" t="s">
        <v>197</v>
      </c>
      <c r="O1149" s="297" t="s">
        <v>198</v>
      </c>
      <c r="P1149" s="297" t="s">
        <v>199</v>
      </c>
      <c r="Q1149" s="297" t="s">
        <v>200</v>
      </c>
      <c r="R1149" s="297" t="s">
        <v>213</v>
      </c>
      <c r="S1149" s="297" t="s">
        <v>214</v>
      </c>
    </row>
    <row r="1150" spans="1:19" x14ac:dyDescent="0.4">
      <c r="A1150" s="291"/>
      <c r="B1150" s="292"/>
      <c r="C1150" s="312"/>
      <c r="D1150" s="292"/>
      <c r="E1150" s="489"/>
      <c r="F1150" s="489"/>
      <c r="G1150" s="490"/>
      <c r="H1150" s="520"/>
      <c r="I1150" s="523"/>
      <c r="J1150" s="521"/>
      <c r="K1150" s="522"/>
      <c r="M1150" s="301" t="str">
        <f>N1150&amp;AS[[#This Row],[Insurer Code]]&amp;"; "&amp;O1150&amp;AS[[#This Row],[Reporting Year]]&amp;"; "&amp;P1150&amp;AS[[#This Row],[Insurance Category Code]]&amp;"; "&amp;Q1150&amp;AS[[#This Row],[Large Provider Entity Code]]&amp;"; "&amp;R1150&amp;AS[[#This Row],[Age Band Code]]&amp;"; "&amp;S1150&amp;AS[[#This Row],[Sex Code]]</f>
        <v xml:space="preserve">Insurer Code ; Reporting Year ; Insurance Category Code ; Large Provider Entity Code ; Age Band Code ; Sex Code </v>
      </c>
      <c r="N1150" s="297" t="s">
        <v>197</v>
      </c>
      <c r="O1150" s="297" t="s">
        <v>198</v>
      </c>
      <c r="P1150" s="297" t="s">
        <v>199</v>
      </c>
      <c r="Q1150" s="297" t="s">
        <v>200</v>
      </c>
      <c r="R1150" s="297" t="s">
        <v>213</v>
      </c>
      <c r="S1150" s="297" t="s">
        <v>214</v>
      </c>
    </row>
    <row r="1151" spans="1:19" x14ac:dyDescent="0.4">
      <c r="A1151" s="291"/>
      <c r="B1151" s="292"/>
      <c r="C1151" s="312"/>
      <c r="D1151" s="292"/>
      <c r="E1151" s="489"/>
      <c r="F1151" s="489"/>
      <c r="G1151" s="490"/>
      <c r="H1151" s="520"/>
      <c r="I1151" s="523"/>
      <c r="J1151" s="521"/>
      <c r="K1151" s="522"/>
      <c r="M1151" s="301" t="str">
        <f>N1151&amp;AS[[#This Row],[Insurer Code]]&amp;"; "&amp;O1151&amp;AS[[#This Row],[Reporting Year]]&amp;"; "&amp;P1151&amp;AS[[#This Row],[Insurance Category Code]]&amp;"; "&amp;Q1151&amp;AS[[#This Row],[Large Provider Entity Code]]&amp;"; "&amp;R1151&amp;AS[[#This Row],[Age Band Code]]&amp;"; "&amp;S1151&amp;AS[[#This Row],[Sex Code]]</f>
        <v xml:space="preserve">Insurer Code ; Reporting Year ; Insurance Category Code ; Large Provider Entity Code ; Age Band Code ; Sex Code </v>
      </c>
      <c r="N1151" s="297" t="s">
        <v>197</v>
      </c>
      <c r="O1151" s="297" t="s">
        <v>198</v>
      </c>
      <c r="P1151" s="297" t="s">
        <v>199</v>
      </c>
      <c r="Q1151" s="297" t="s">
        <v>200</v>
      </c>
      <c r="R1151" s="297" t="s">
        <v>213</v>
      </c>
      <c r="S1151" s="297" t="s">
        <v>214</v>
      </c>
    </row>
    <row r="1152" spans="1:19" x14ac:dyDescent="0.4">
      <c r="A1152" s="291"/>
      <c r="B1152" s="292"/>
      <c r="C1152" s="312"/>
      <c r="D1152" s="292"/>
      <c r="E1152" s="489"/>
      <c r="F1152" s="489"/>
      <c r="G1152" s="490"/>
      <c r="H1152" s="520"/>
      <c r="I1152" s="523"/>
      <c r="J1152" s="521"/>
      <c r="K1152" s="522"/>
      <c r="M1152" s="301" t="str">
        <f>N1152&amp;AS[[#This Row],[Insurer Code]]&amp;"; "&amp;O1152&amp;AS[[#This Row],[Reporting Year]]&amp;"; "&amp;P1152&amp;AS[[#This Row],[Insurance Category Code]]&amp;"; "&amp;Q1152&amp;AS[[#This Row],[Large Provider Entity Code]]&amp;"; "&amp;R1152&amp;AS[[#This Row],[Age Band Code]]&amp;"; "&amp;S1152&amp;AS[[#This Row],[Sex Code]]</f>
        <v xml:space="preserve">Insurer Code ; Reporting Year ; Insurance Category Code ; Large Provider Entity Code ; Age Band Code ; Sex Code </v>
      </c>
      <c r="N1152" s="297" t="s">
        <v>197</v>
      </c>
      <c r="O1152" s="297" t="s">
        <v>198</v>
      </c>
      <c r="P1152" s="297" t="s">
        <v>199</v>
      </c>
      <c r="Q1152" s="297" t="s">
        <v>200</v>
      </c>
      <c r="R1152" s="297" t="s">
        <v>213</v>
      </c>
      <c r="S1152" s="297" t="s">
        <v>214</v>
      </c>
    </row>
    <row r="1153" spans="1:19" x14ac:dyDescent="0.4">
      <c r="A1153" s="291"/>
      <c r="B1153" s="292"/>
      <c r="C1153" s="312"/>
      <c r="D1153" s="292"/>
      <c r="E1153" s="489"/>
      <c r="F1153" s="489"/>
      <c r="G1153" s="490"/>
      <c r="H1153" s="520"/>
      <c r="I1153" s="523"/>
      <c r="J1153" s="521"/>
      <c r="K1153" s="522"/>
      <c r="M1153" s="301" t="str">
        <f>N1153&amp;AS[[#This Row],[Insurer Code]]&amp;"; "&amp;O1153&amp;AS[[#This Row],[Reporting Year]]&amp;"; "&amp;P1153&amp;AS[[#This Row],[Insurance Category Code]]&amp;"; "&amp;Q1153&amp;AS[[#This Row],[Large Provider Entity Code]]&amp;"; "&amp;R1153&amp;AS[[#This Row],[Age Band Code]]&amp;"; "&amp;S1153&amp;AS[[#This Row],[Sex Code]]</f>
        <v xml:space="preserve">Insurer Code ; Reporting Year ; Insurance Category Code ; Large Provider Entity Code ; Age Band Code ; Sex Code </v>
      </c>
      <c r="N1153" s="297" t="s">
        <v>197</v>
      </c>
      <c r="O1153" s="297" t="s">
        <v>198</v>
      </c>
      <c r="P1153" s="297" t="s">
        <v>199</v>
      </c>
      <c r="Q1153" s="297" t="s">
        <v>200</v>
      </c>
      <c r="R1153" s="297" t="s">
        <v>213</v>
      </c>
      <c r="S1153" s="297" t="s">
        <v>214</v>
      </c>
    </row>
    <row r="1154" spans="1:19" x14ac:dyDescent="0.4">
      <c r="A1154" s="291"/>
      <c r="B1154" s="292"/>
      <c r="C1154" s="312"/>
      <c r="D1154" s="292"/>
      <c r="E1154" s="489"/>
      <c r="F1154" s="489"/>
      <c r="G1154" s="490"/>
      <c r="H1154" s="520"/>
      <c r="I1154" s="523"/>
      <c r="J1154" s="521"/>
      <c r="K1154" s="522"/>
      <c r="M1154" s="301" t="str">
        <f>N1154&amp;AS[[#This Row],[Insurer Code]]&amp;"; "&amp;O1154&amp;AS[[#This Row],[Reporting Year]]&amp;"; "&amp;P1154&amp;AS[[#This Row],[Insurance Category Code]]&amp;"; "&amp;Q1154&amp;AS[[#This Row],[Large Provider Entity Code]]&amp;"; "&amp;R1154&amp;AS[[#This Row],[Age Band Code]]&amp;"; "&amp;S1154&amp;AS[[#This Row],[Sex Code]]</f>
        <v xml:space="preserve">Insurer Code ; Reporting Year ; Insurance Category Code ; Large Provider Entity Code ; Age Band Code ; Sex Code </v>
      </c>
      <c r="N1154" s="297" t="s">
        <v>197</v>
      </c>
      <c r="O1154" s="297" t="s">
        <v>198</v>
      </c>
      <c r="P1154" s="297" t="s">
        <v>199</v>
      </c>
      <c r="Q1154" s="297" t="s">
        <v>200</v>
      </c>
      <c r="R1154" s="297" t="s">
        <v>213</v>
      </c>
      <c r="S1154" s="297" t="s">
        <v>214</v>
      </c>
    </row>
    <row r="1155" spans="1:19" x14ac:dyDescent="0.4">
      <c r="A1155" s="291"/>
      <c r="B1155" s="292"/>
      <c r="C1155" s="312"/>
      <c r="D1155" s="292"/>
      <c r="E1155" s="489"/>
      <c r="F1155" s="489"/>
      <c r="G1155" s="490"/>
      <c r="H1155" s="520"/>
      <c r="I1155" s="523"/>
      <c r="J1155" s="521"/>
      <c r="K1155" s="522"/>
      <c r="M1155" s="301" t="str">
        <f>N1155&amp;AS[[#This Row],[Insurer Code]]&amp;"; "&amp;O1155&amp;AS[[#This Row],[Reporting Year]]&amp;"; "&amp;P1155&amp;AS[[#This Row],[Insurance Category Code]]&amp;"; "&amp;Q1155&amp;AS[[#This Row],[Large Provider Entity Code]]&amp;"; "&amp;R1155&amp;AS[[#This Row],[Age Band Code]]&amp;"; "&amp;S1155&amp;AS[[#This Row],[Sex Code]]</f>
        <v xml:space="preserve">Insurer Code ; Reporting Year ; Insurance Category Code ; Large Provider Entity Code ; Age Band Code ; Sex Code </v>
      </c>
      <c r="N1155" s="297" t="s">
        <v>197</v>
      </c>
      <c r="O1155" s="297" t="s">
        <v>198</v>
      </c>
      <c r="P1155" s="297" t="s">
        <v>199</v>
      </c>
      <c r="Q1155" s="297" t="s">
        <v>200</v>
      </c>
      <c r="R1155" s="297" t="s">
        <v>213</v>
      </c>
      <c r="S1155" s="297" t="s">
        <v>214</v>
      </c>
    </row>
    <row r="1156" spans="1:19" x14ac:dyDescent="0.4">
      <c r="A1156" s="291"/>
      <c r="B1156" s="292"/>
      <c r="C1156" s="312"/>
      <c r="D1156" s="292"/>
      <c r="E1156" s="489"/>
      <c r="F1156" s="489"/>
      <c r="G1156" s="490"/>
      <c r="H1156" s="520"/>
      <c r="I1156" s="523"/>
      <c r="J1156" s="521"/>
      <c r="K1156" s="522"/>
      <c r="M1156" s="301" t="str">
        <f>N1156&amp;AS[[#This Row],[Insurer Code]]&amp;"; "&amp;O1156&amp;AS[[#This Row],[Reporting Year]]&amp;"; "&amp;P1156&amp;AS[[#This Row],[Insurance Category Code]]&amp;"; "&amp;Q1156&amp;AS[[#This Row],[Large Provider Entity Code]]&amp;"; "&amp;R1156&amp;AS[[#This Row],[Age Band Code]]&amp;"; "&amp;S1156&amp;AS[[#This Row],[Sex Code]]</f>
        <v xml:space="preserve">Insurer Code ; Reporting Year ; Insurance Category Code ; Large Provider Entity Code ; Age Band Code ; Sex Code </v>
      </c>
      <c r="N1156" s="297" t="s">
        <v>197</v>
      </c>
      <c r="O1156" s="297" t="s">
        <v>198</v>
      </c>
      <c r="P1156" s="297" t="s">
        <v>199</v>
      </c>
      <c r="Q1156" s="297" t="s">
        <v>200</v>
      </c>
      <c r="R1156" s="297" t="s">
        <v>213</v>
      </c>
      <c r="S1156" s="297" t="s">
        <v>214</v>
      </c>
    </row>
    <row r="1157" spans="1:19" x14ac:dyDescent="0.4">
      <c r="A1157" s="291"/>
      <c r="B1157" s="292"/>
      <c r="C1157" s="312"/>
      <c r="D1157" s="292"/>
      <c r="E1157" s="489"/>
      <c r="F1157" s="489"/>
      <c r="G1157" s="490"/>
      <c r="H1157" s="520"/>
      <c r="I1157" s="523"/>
      <c r="J1157" s="521"/>
      <c r="K1157" s="522"/>
      <c r="M1157" s="301" t="str">
        <f>N1157&amp;AS[[#This Row],[Insurer Code]]&amp;"; "&amp;O1157&amp;AS[[#This Row],[Reporting Year]]&amp;"; "&amp;P1157&amp;AS[[#This Row],[Insurance Category Code]]&amp;"; "&amp;Q1157&amp;AS[[#This Row],[Large Provider Entity Code]]&amp;"; "&amp;R1157&amp;AS[[#This Row],[Age Band Code]]&amp;"; "&amp;S1157&amp;AS[[#This Row],[Sex Code]]</f>
        <v xml:space="preserve">Insurer Code ; Reporting Year ; Insurance Category Code ; Large Provider Entity Code ; Age Band Code ; Sex Code </v>
      </c>
      <c r="N1157" s="297" t="s">
        <v>197</v>
      </c>
      <c r="O1157" s="297" t="s">
        <v>198</v>
      </c>
      <c r="P1157" s="297" t="s">
        <v>199</v>
      </c>
      <c r="Q1157" s="297" t="s">
        <v>200</v>
      </c>
      <c r="R1157" s="297" t="s">
        <v>213</v>
      </c>
      <c r="S1157" s="297" t="s">
        <v>214</v>
      </c>
    </row>
    <row r="1158" spans="1:19" x14ac:dyDescent="0.4">
      <c r="A1158" s="291"/>
      <c r="B1158" s="292"/>
      <c r="C1158" s="312"/>
      <c r="D1158" s="292"/>
      <c r="E1158" s="489"/>
      <c r="F1158" s="489"/>
      <c r="G1158" s="490"/>
      <c r="H1158" s="520"/>
      <c r="I1158" s="523"/>
      <c r="J1158" s="521"/>
      <c r="K1158" s="522"/>
      <c r="M1158" s="301" t="str">
        <f>N1158&amp;AS[[#This Row],[Insurer Code]]&amp;"; "&amp;O1158&amp;AS[[#This Row],[Reporting Year]]&amp;"; "&amp;P1158&amp;AS[[#This Row],[Insurance Category Code]]&amp;"; "&amp;Q1158&amp;AS[[#This Row],[Large Provider Entity Code]]&amp;"; "&amp;R1158&amp;AS[[#This Row],[Age Band Code]]&amp;"; "&amp;S1158&amp;AS[[#This Row],[Sex Code]]</f>
        <v xml:space="preserve">Insurer Code ; Reporting Year ; Insurance Category Code ; Large Provider Entity Code ; Age Band Code ; Sex Code </v>
      </c>
      <c r="N1158" s="297" t="s">
        <v>197</v>
      </c>
      <c r="O1158" s="297" t="s">
        <v>198</v>
      </c>
      <c r="P1158" s="297" t="s">
        <v>199</v>
      </c>
      <c r="Q1158" s="297" t="s">
        <v>200</v>
      </c>
      <c r="R1158" s="297" t="s">
        <v>213</v>
      </c>
      <c r="S1158" s="297" t="s">
        <v>214</v>
      </c>
    </row>
    <row r="1159" spans="1:19" x14ac:dyDescent="0.4">
      <c r="A1159" s="291"/>
      <c r="B1159" s="292"/>
      <c r="C1159" s="312"/>
      <c r="D1159" s="292"/>
      <c r="E1159" s="489"/>
      <c r="F1159" s="489"/>
      <c r="G1159" s="490"/>
      <c r="H1159" s="520"/>
      <c r="I1159" s="523"/>
      <c r="J1159" s="521"/>
      <c r="K1159" s="522"/>
      <c r="M1159" s="301" t="str">
        <f>N1159&amp;AS[[#This Row],[Insurer Code]]&amp;"; "&amp;O1159&amp;AS[[#This Row],[Reporting Year]]&amp;"; "&amp;P1159&amp;AS[[#This Row],[Insurance Category Code]]&amp;"; "&amp;Q1159&amp;AS[[#This Row],[Large Provider Entity Code]]&amp;"; "&amp;R1159&amp;AS[[#This Row],[Age Band Code]]&amp;"; "&amp;S1159&amp;AS[[#This Row],[Sex Code]]</f>
        <v xml:space="preserve">Insurer Code ; Reporting Year ; Insurance Category Code ; Large Provider Entity Code ; Age Band Code ; Sex Code </v>
      </c>
      <c r="N1159" s="297" t="s">
        <v>197</v>
      </c>
      <c r="O1159" s="297" t="s">
        <v>198</v>
      </c>
      <c r="P1159" s="297" t="s">
        <v>199</v>
      </c>
      <c r="Q1159" s="297" t="s">
        <v>200</v>
      </c>
      <c r="R1159" s="297" t="s">
        <v>213</v>
      </c>
      <c r="S1159" s="297" t="s">
        <v>214</v>
      </c>
    </row>
    <row r="1160" spans="1:19" x14ac:dyDescent="0.4">
      <c r="A1160" s="291"/>
      <c r="B1160" s="292"/>
      <c r="C1160" s="312"/>
      <c r="D1160" s="292"/>
      <c r="E1160" s="489"/>
      <c r="F1160" s="489"/>
      <c r="G1160" s="490"/>
      <c r="H1160" s="520"/>
      <c r="I1160" s="523"/>
      <c r="J1160" s="521"/>
      <c r="K1160" s="522"/>
      <c r="M1160" s="301" t="str">
        <f>N1160&amp;AS[[#This Row],[Insurer Code]]&amp;"; "&amp;O1160&amp;AS[[#This Row],[Reporting Year]]&amp;"; "&amp;P1160&amp;AS[[#This Row],[Insurance Category Code]]&amp;"; "&amp;Q1160&amp;AS[[#This Row],[Large Provider Entity Code]]&amp;"; "&amp;R1160&amp;AS[[#This Row],[Age Band Code]]&amp;"; "&amp;S1160&amp;AS[[#This Row],[Sex Code]]</f>
        <v xml:space="preserve">Insurer Code ; Reporting Year ; Insurance Category Code ; Large Provider Entity Code ; Age Band Code ; Sex Code </v>
      </c>
      <c r="N1160" s="297" t="s">
        <v>197</v>
      </c>
      <c r="O1160" s="297" t="s">
        <v>198</v>
      </c>
      <c r="P1160" s="297" t="s">
        <v>199</v>
      </c>
      <c r="Q1160" s="297" t="s">
        <v>200</v>
      </c>
      <c r="R1160" s="297" t="s">
        <v>213</v>
      </c>
      <c r="S1160" s="297" t="s">
        <v>214</v>
      </c>
    </row>
    <row r="1161" spans="1:19" x14ac:dyDescent="0.4">
      <c r="A1161" s="291"/>
      <c r="B1161" s="292"/>
      <c r="C1161" s="312"/>
      <c r="D1161" s="292"/>
      <c r="E1161" s="489"/>
      <c r="F1161" s="489"/>
      <c r="G1161" s="490"/>
      <c r="H1161" s="520"/>
      <c r="I1161" s="523"/>
      <c r="J1161" s="521"/>
      <c r="K1161" s="522"/>
      <c r="M1161" s="301" t="str">
        <f>N1161&amp;AS[[#This Row],[Insurer Code]]&amp;"; "&amp;O1161&amp;AS[[#This Row],[Reporting Year]]&amp;"; "&amp;P1161&amp;AS[[#This Row],[Insurance Category Code]]&amp;"; "&amp;Q1161&amp;AS[[#This Row],[Large Provider Entity Code]]&amp;"; "&amp;R1161&amp;AS[[#This Row],[Age Band Code]]&amp;"; "&amp;S1161&amp;AS[[#This Row],[Sex Code]]</f>
        <v xml:space="preserve">Insurer Code ; Reporting Year ; Insurance Category Code ; Large Provider Entity Code ; Age Band Code ; Sex Code </v>
      </c>
      <c r="N1161" s="297" t="s">
        <v>197</v>
      </c>
      <c r="O1161" s="297" t="s">
        <v>198</v>
      </c>
      <c r="P1161" s="297" t="s">
        <v>199</v>
      </c>
      <c r="Q1161" s="297" t="s">
        <v>200</v>
      </c>
      <c r="R1161" s="297" t="s">
        <v>213</v>
      </c>
      <c r="S1161" s="297" t="s">
        <v>214</v>
      </c>
    </row>
    <row r="1162" spans="1:19" x14ac:dyDescent="0.4">
      <c r="A1162" s="291"/>
      <c r="B1162" s="292"/>
      <c r="C1162" s="312"/>
      <c r="D1162" s="292"/>
      <c r="E1162" s="489"/>
      <c r="F1162" s="489"/>
      <c r="G1162" s="490"/>
      <c r="H1162" s="520"/>
      <c r="I1162" s="523"/>
      <c r="J1162" s="521"/>
      <c r="K1162" s="522"/>
      <c r="M1162" s="301" t="str">
        <f>N1162&amp;AS[[#This Row],[Insurer Code]]&amp;"; "&amp;O1162&amp;AS[[#This Row],[Reporting Year]]&amp;"; "&amp;P1162&amp;AS[[#This Row],[Insurance Category Code]]&amp;"; "&amp;Q1162&amp;AS[[#This Row],[Large Provider Entity Code]]&amp;"; "&amp;R1162&amp;AS[[#This Row],[Age Band Code]]&amp;"; "&amp;S1162&amp;AS[[#This Row],[Sex Code]]</f>
        <v xml:space="preserve">Insurer Code ; Reporting Year ; Insurance Category Code ; Large Provider Entity Code ; Age Band Code ; Sex Code </v>
      </c>
      <c r="N1162" s="297" t="s">
        <v>197</v>
      </c>
      <c r="O1162" s="297" t="s">
        <v>198</v>
      </c>
      <c r="P1162" s="297" t="s">
        <v>199</v>
      </c>
      <c r="Q1162" s="297" t="s">
        <v>200</v>
      </c>
      <c r="R1162" s="297" t="s">
        <v>213</v>
      </c>
      <c r="S1162" s="297" t="s">
        <v>214</v>
      </c>
    </row>
    <row r="1163" spans="1:19" x14ac:dyDescent="0.4">
      <c r="A1163" s="291"/>
      <c r="B1163" s="292"/>
      <c r="C1163" s="312"/>
      <c r="D1163" s="292"/>
      <c r="E1163" s="489"/>
      <c r="F1163" s="489"/>
      <c r="G1163" s="490"/>
      <c r="H1163" s="520"/>
      <c r="I1163" s="523"/>
      <c r="J1163" s="521"/>
      <c r="K1163" s="522"/>
      <c r="M1163" s="301" t="str">
        <f>N1163&amp;AS[[#This Row],[Insurer Code]]&amp;"; "&amp;O1163&amp;AS[[#This Row],[Reporting Year]]&amp;"; "&amp;P1163&amp;AS[[#This Row],[Insurance Category Code]]&amp;"; "&amp;Q1163&amp;AS[[#This Row],[Large Provider Entity Code]]&amp;"; "&amp;R1163&amp;AS[[#This Row],[Age Band Code]]&amp;"; "&amp;S1163&amp;AS[[#This Row],[Sex Code]]</f>
        <v xml:space="preserve">Insurer Code ; Reporting Year ; Insurance Category Code ; Large Provider Entity Code ; Age Band Code ; Sex Code </v>
      </c>
      <c r="N1163" s="297" t="s">
        <v>197</v>
      </c>
      <c r="O1163" s="297" t="s">
        <v>198</v>
      </c>
      <c r="P1163" s="297" t="s">
        <v>199</v>
      </c>
      <c r="Q1163" s="297" t="s">
        <v>200</v>
      </c>
      <c r="R1163" s="297" t="s">
        <v>213</v>
      </c>
      <c r="S1163" s="297" t="s">
        <v>214</v>
      </c>
    </row>
    <row r="1164" spans="1:19" x14ac:dyDescent="0.4">
      <c r="A1164" s="291"/>
      <c r="B1164" s="292"/>
      <c r="C1164" s="312"/>
      <c r="D1164" s="292"/>
      <c r="E1164" s="489"/>
      <c r="F1164" s="489"/>
      <c r="G1164" s="490"/>
      <c r="H1164" s="520"/>
      <c r="I1164" s="523"/>
      <c r="J1164" s="521"/>
      <c r="K1164" s="522"/>
      <c r="M1164" s="301" t="str">
        <f>N1164&amp;AS[[#This Row],[Insurer Code]]&amp;"; "&amp;O1164&amp;AS[[#This Row],[Reporting Year]]&amp;"; "&amp;P1164&amp;AS[[#This Row],[Insurance Category Code]]&amp;"; "&amp;Q1164&amp;AS[[#This Row],[Large Provider Entity Code]]&amp;"; "&amp;R1164&amp;AS[[#This Row],[Age Band Code]]&amp;"; "&amp;S1164&amp;AS[[#This Row],[Sex Code]]</f>
        <v xml:space="preserve">Insurer Code ; Reporting Year ; Insurance Category Code ; Large Provider Entity Code ; Age Band Code ; Sex Code </v>
      </c>
      <c r="N1164" s="297" t="s">
        <v>197</v>
      </c>
      <c r="O1164" s="297" t="s">
        <v>198</v>
      </c>
      <c r="P1164" s="297" t="s">
        <v>199</v>
      </c>
      <c r="Q1164" s="297" t="s">
        <v>200</v>
      </c>
      <c r="R1164" s="297" t="s">
        <v>213</v>
      </c>
      <c r="S1164" s="297" t="s">
        <v>214</v>
      </c>
    </row>
    <row r="1165" spans="1:19" x14ac:dyDescent="0.4">
      <c r="A1165" s="291"/>
      <c r="B1165" s="292"/>
      <c r="C1165" s="312"/>
      <c r="D1165" s="292"/>
      <c r="E1165" s="489"/>
      <c r="F1165" s="489"/>
      <c r="G1165" s="490"/>
      <c r="H1165" s="520"/>
      <c r="I1165" s="523"/>
      <c r="J1165" s="521"/>
      <c r="K1165" s="522"/>
      <c r="M1165" s="301" t="str">
        <f>N1165&amp;AS[[#This Row],[Insurer Code]]&amp;"; "&amp;O1165&amp;AS[[#This Row],[Reporting Year]]&amp;"; "&amp;P1165&amp;AS[[#This Row],[Insurance Category Code]]&amp;"; "&amp;Q1165&amp;AS[[#This Row],[Large Provider Entity Code]]&amp;"; "&amp;R1165&amp;AS[[#This Row],[Age Band Code]]&amp;"; "&amp;S1165&amp;AS[[#This Row],[Sex Code]]</f>
        <v xml:space="preserve">Insurer Code ; Reporting Year ; Insurance Category Code ; Large Provider Entity Code ; Age Band Code ; Sex Code </v>
      </c>
      <c r="N1165" s="297" t="s">
        <v>197</v>
      </c>
      <c r="O1165" s="297" t="s">
        <v>198</v>
      </c>
      <c r="P1165" s="297" t="s">
        <v>199</v>
      </c>
      <c r="Q1165" s="297" t="s">
        <v>200</v>
      </c>
      <c r="R1165" s="297" t="s">
        <v>213</v>
      </c>
      <c r="S1165" s="297" t="s">
        <v>214</v>
      </c>
    </row>
    <row r="1166" spans="1:19" x14ac:dyDescent="0.4">
      <c r="A1166" s="291"/>
      <c r="B1166" s="292"/>
      <c r="C1166" s="312"/>
      <c r="D1166" s="292"/>
      <c r="E1166" s="489"/>
      <c r="F1166" s="489"/>
      <c r="G1166" s="490"/>
      <c r="H1166" s="520"/>
      <c r="I1166" s="523"/>
      <c r="J1166" s="521"/>
      <c r="K1166" s="522"/>
      <c r="M1166" s="301" t="str">
        <f>N1166&amp;AS[[#This Row],[Insurer Code]]&amp;"; "&amp;O1166&amp;AS[[#This Row],[Reporting Year]]&amp;"; "&amp;P1166&amp;AS[[#This Row],[Insurance Category Code]]&amp;"; "&amp;Q1166&amp;AS[[#This Row],[Large Provider Entity Code]]&amp;"; "&amp;R1166&amp;AS[[#This Row],[Age Band Code]]&amp;"; "&amp;S1166&amp;AS[[#This Row],[Sex Code]]</f>
        <v xml:space="preserve">Insurer Code ; Reporting Year ; Insurance Category Code ; Large Provider Entity Code ; Age Band Code ; Sex Code </v>
      </c>
      <c r="N1166" s="297" t="s">
        <v>197</v>
      </c>
      <c r="O1166" s="297" t="s">
        <v>198</v>
      </c>
      <c r="P1166" s="297" t="s">
        <v>199</v>
      </c>
      <c r="Q1166" s="297" t="s">
        <v>200</v>
      </c>
      <c r="R1166" s="297" t="s">
        <v>213</v>
      </c>
      <c r="S1166" s="297" t="s">
        <v>214</v>
      </c>
    </row>
    <row r="1167" spans="1:19" x14ac:dyDescent="0.4">
      <c r="A1167" s="291"/>
      <c r="B1167" s="292"/>
      <c r="C1167" s="312"/>
      <c r="D1167" s="292"/>
      <c r="E1167" s="489"/>
      <c r="F1167" s="489"/>
      <c r="G1167" s="490"/>
      <c r="H1167" s="520"/>
      <c r="I1167" s="523"/>
      <c r="J1167" s="521"/>
      <c r="K1167" s="522"/>
      <c r="M1167" s="301" t="str">
        <f>N1167&amp;AS[[#This Row],[Insurer Code]]&amp;"; "&amp;O1167&amp;AS[[#This Row],[Reporting Year]]&amp;"; "&amp;P1167&amp;AS[[#This Row],[Insurance Category Code]]&amp;"; "&amp;Q1167&amp;AS[[#This Row],[Large Provider Entity Code]]&amp;"; "&amp;R1167&amp;AS[[#This Row],[Age Band Code]]&amp;"; "&amp;S1167&amp;AS[[#This Row],[Sex Code]]</f>
        <v xml:space="preserve">Insurer Code ; Reporting Year ; Insurance Category Code ; Large Provider Entity Code ; Age Band Code ; Sex Code </v>
      </c>
      <c r="N1167" s="297" t="s">
        <v>197</v>
      </c>
      <c r="O1167" s="297" t="s">
        <v>198</v>
      </c>
      <c r="P1167" s="297" t="s">
        <v>199</v>
      </c>
      <c r="Q1167" s="297" t="s">
        <v>200</v>
      </c>
      <c r="R1167" s="297" t="s">
        <v>213</v>
      </c>
      <c r="S1167" s="297" t="s">
        <v>214</v>
      </c>
    </row>
    <row r="1168" spans="1:19" x14ac:dyDescent="0.4">
      <c r="A1168" s="291"/>
      <c r="B1168" s="292"/>
      <c r="C1168" s="312"/>
      <c r="D1168" s="292"/>
      <c r="E1168" s="489"/>
      <c r="F1168" s="489"/>
      <c r="G1168" s="490"/>
      <c r="H1168" s="520"/>
      <c r="I1168" s="523"/>
      <c r="J1168" s="521"/>
      <c r="K1168" s="522"/>
      <c r="M1168" s="301" t="str">
        <f>N1168&amp;AS[[#This Row],[Insurer Code]]&amp;"; "&amp;O1168&amp;AS[[#This Row],[Reporting Year]]&amp;"; "&amp;P1168&amp;AS[[#This Row],[Insurance Category Code]]&amp;"; "&amp;Q1168&amp;AS[[#This Row],[Large Provider Entity Code]]&amp;"; "&amp;R1168&amp;AS[[#This Row],[Age Band Code]]&amp;"; "&amp;S1168&amp;AS[[#This Row],[Sex Code]]</f>
        <v xml:space="preserve">Insurer Code ; Reporting Year ; Insurance Category Code ; Large Provider Entity Code ; Age Band Code ; Sex Code </v>
      </c>
      <c r="N1168" s="297" t="s">
        <v>197</v>
      </c>
      <c r="O1168" s="297" t="s">
        <v>198</v>
      </c>
      <c r="P1168" s="297" t="s">
        <v>199</v>
      </c>
      <c r="Q1168" s="297" t="s">
        <v>200</v>
      </c>
      <c r="R1168" s="297" t="s">
        <v>213</v>
      </c>
      <c r="S1168" s="297" t="s">
        <v>214</v>
      </c>
    </row>
    <row r="1169" spans="1:19" x14ac:dyDescent="0.4">
      <c r="A1169" s="291"/>
      <c r="B1169" s="292"/>
      <c r="C1169" s="312"/>
      <c r="D1169" s="292"/>
      <c r="E1169" s="489"/>
      <c r="F1169" s="489"/>
      <c r="G1169" s="490"/>
      <c r="H1169" s="520"/>
      <c r="I1169" s="523"/>
      <c r="J1169" s="521"/>
      <c r="K1169" s="522"/>
      <c r="M1169" s="301" t="str">
        <f>N1169&amp;AS[[#This Row],[Insurer Code]]&amp;"; "&amp;O1169&amp;AS[[#This Row],[Reporting Year]]&amp;"; "&amp;P1169&amp;AS[[#This Row],[Insurance Category Code]]&amp;"; "&amp;Q1169&amp;AS[[#This Row],[Large Provider Entity Code]]&amp;"; "&amp;R1169&amp;AS[[#This Row],[Age Band Code]]&amp;"; "&amp;S1169&amp;AS[[#This Row],[Sex Code]]</f>
        <v xml:space="preserve">Insurer Code ; Reporting Year ; Insurance Category Code ; Large Provider Entity Code ; Age Band Code ; Sex Code </v>
      </c>
      <c r="N1169" s="297" t="s">
        <v>197</v>
      </c>
      <c r="O1169" s="297" t="s">
        <v>198</v>
      </c>
      <c r="P1169" s="297" t="s">
        <v>199</v>
      </c>
      <c r="Q1169" s="297" t="s">
        <v>200</v>
      </c>
      <c r="R1169" s="297" t="s">
        <v>213</v>
      </c>
      <c r="S1169" s="297" t="s">
        <v>214</v>
      </c>
    </row>
    <row r="1170" spans="1:19" x14ac:dyDescent="0.4">
      <c r="A1170" s="291"/>
      <c r="B1170" s="292"/>
      <c r="C1170" s="312"/>
      <c r="D1170" s="292"/>
      <c r="E1170" s="489"/>
      <c r="F1170" s="489"/>
      <c r="G1170" s="490"/>
      <c r="H1170" s="520"/>
      <c r="I1170" s="523"/>
      <c r="J1170" s="521"/>
      <c r="K1170" s="522"/>
      <c r="M1170" s="301" t="str">
        <f>N1170&amp;AS[[#This Row],[Insurer Code]]&amp;"; "&amp;O1170&amp;AS[[#This Row],[Reporting Year]]&amp;"; "&amp;P1170&amp;AS[[#This Row],[Insurance Category Code]]&amp;"; "&amp;Q1170&amp;AS[[#This Row],[Large Provider Entity Code]]&amp;"; "&amp;R1170&amp;AS[[#This Row],[Age Band Code]]&amp;"; "&amp;S1170&amp;AS[[#This Row],[Sex Code]]</f>
        <v xml:space="preserve">Insurer Code ; Reporting Year ; Insurance Category Code ; Large Provider Entity Code ; Age Band Code ; Sex Code </v>
      </c>
      <c r="N1170" s="297" t="s">
        <v>197</v>
      </c>
      <c r="O1170" s="297" t="s">
        <v>198</v>
      </c>
      <c r="P1170" s="297" t="s">
        <v>199</v>
      </c>
      <c r="Q1170" s="297" t="s">
        <v>200</v>
      </c>
      <c r="R1170" s="297" t="s">
        <v>213</v>
      </c>
      <c r="S1170" s="297" t="s">
        <v>214</v>
      </c>
    </row>
    <row r="1171" spans="1:19" x14ac:dyDescent="0.4">
      <c r="A1171" s="291"/>
      <c r="B1171" s="292"/>
      <c r="C1171" s="312"/>
      <c r="D1171" s="292"/>
      <c r="E1171" s="489"/>
      <c r="F1171" s="489"/>
      <c r="G1171" s="490"/>
      <c r="H1171" s="520"/>
      <c r="I1171" s="523"/>
      <c r="J1171" s="521"/>
      <c r="K1171" s="522"/>
      <c r="M1171" s="301" t="str">
        <f>N1171&amp;AS[[#This Row],[Insurer Code]]&amp;"; "&amp;O1171&amp;AS[[#This Row],[Reporting Year]]&amp;"; "&amp;P1171&amp;AS[[#This Row],[Insurance Category Code]]&amp;"; "&amp;Q1171&amp;AS[[#This Row],[Large Provider Entity Code]]&amp;"; "&amp;R1171&amp;AS[[#This Row],[Age Band Code]]&amp;"; "&amp;S1171&amp;AS[[#This Row],[Sex Code]]</f>
        <v xml:space="preserve">Insurer Code ; Reporting Year ; Insurance Category Code ; Large Provider Entity Code ; Age Band Code ; Sex Code </v>
      </c>
      <c r="N1171" s="297" t="s">
        <v>197</v>
      </c>
      <c r="O1171" s="297" t="s">
        <v>198</v>
      </c>
      <c r="P1171" s="297" t="s">
        <v>199</v>
      </c>
      <c r="Q1171" s="297" t="s">
        <v>200</v>
      </c>
      <c r="R1171" s="297" t="s">
        <v>213</v>
      </c>
      <c r="S1171" s="297" t="s">
        <v>214</v>
      </c>
    </row>
    <row r="1172" spans="1:19" x14ac:dyDescent="0.4">
      <c r="A1172" s="291"/>
      <c r="B1172" s="292"/>
      <c r="C1172" s="312"/>
      <c r="D1172" s="292"/>
      <c r="E1172" s="489"/>
      <c r="F1172" s="489"/>
      <c r="G1172" s="490"/>
      <c r="H1172" s="520"/>
      <c r="I1172" s="523"/>
      <c r="J1172" s="521"/>
      <c r="K1172" s="522"/>
      <c r="M1172" s="301" t="str">
        <f>N1172&amp;AS[[#This Row],[Insurer Code]]&amp;"; "&amp;O1172&amp;AS[[#This Row],[Reporting Year]]&amp;"; "&amp;P1172&amp;AS[[#This Row],[Insurance Category Code]]&amp;"; "&amp;Q1172&amp;AS[[#This Row],[Large Provider Entity Code]]&amp;"; "&amp;R1172&amp;AS[[#This Row],[Age Band Code]]&amp;"; "&amp;S1172&amp;AS[[#This Row],[Sex Code]]</f>
        <v xml:space="preserve">Insurer Code ; Reporting Year ; Insurance Category Code ; Large Provider Entity Code ; Age Band Code ; Sex Code </v>
      </c>
      <c r="N1172" s="297" t="s">
        <v>197</v>
      </c>
      <c r="O1172" s="297" t="s">
        <v>198</v>
      </c>
      <c r="P1172" s="297" t="s">
        <v>199</v>
      </c>
      <c r="Q1172" s="297" t="s">
        <v>200</v>
      </c>
      <c r="R1172" s="297" t="s">
        <v>213</v>
      </c>
      <c r="S1172" s="297" t="s">
        <v>214</v>
      </c>
    </row>
    <row r="1173" spans="1:19" x14ac:dyDescent="0.4">
      <c r="A1173" s="291"/>
      <c r="B1173" s="292"/>
      <c r="C1173" s="312"/>
      <c r="D1173" s="292"/>
      <c r="E1173" s="489"/>
      <c r="F1173" s="489"/>
      <c r="G1173" s="490"/>
      <c r="H1173" s="520"/>
      <c r="I1173" s="523"/>
      <c r="J1173" s="521"/>
      <c r="K1173" s="522"/>
      <c r="M1173" s="301" t="str">
        <f>N1173&amp;AS[[#This Row],[Insurer Code]]&amp;"; "&amp;O1173&amp;AS[[#This Row],[Reporting Year]]&amp;"; "&amp;P1173&amp;AS[[#This Row],[Insurance Category Code]]&amp;"; "&amp;Q1173&amp;AS[[#This Row],[Large Provider Entity Code]]&amp;"; "&amp;R1173&amp;AS[[#This Row],[Age Band Code]]&amp;"; "&amp;S1173&amp;AS[[#This Row],[Sex Code]]</f>
        <v xml:space="preserve">Insurer Code ; Reporting Year ; Insurance Category Code ; Large Provider Entity Code ; Age Band Code ; Sex Code </v>
      </c>
      <c r="N1173" s="297" t="s">
        <v>197</v>
      </c>
      <c r="O1173" s="297" t="s">
        <v>198</v>
      </c>
      <c r="P1173" s="297" t="s">
        <v>199</v>
      </c>
      <c r="Q1173" s="297" t="s">
        <v>200</v>
      </c>
      <c r="R1173" s="297" t="s">
        <v>213</v>
      </c>
      <c r="S1173" s="297" t="s">
        <v>214</v>
      </c>
    </row>
    <row r="1174" spans="1:19" x14ac:dyDescent="0.4">
      <c r="A1174" s="291"/>
      <c r="B1174" s="292"/>
      <c r="C1174" s="312"/>
      <c r="D1174" s="292"/>
      <c r="E1174" s="489"/>
      <c r="F1174" s="489"/>
      <c r="G1174" s="490"/>
      <c r="H1174" s="520"/>
      <c r="I1174" s="523"/>
      <c r="J1174" s="521"/>
      <c r="K1174" s="522"/>
      <c r="M1174" s="301" t="str">
        <f>N1174&amp;AS[[#This Row],[Insurer Code]]&amp;"; "&amp;O1174&amp;AS[[#This Row],[Reporting Year]]&amp;"; "&amp;P1174&amp;AS[[#This Row],[Insurance Category Code]]&amp;"; "&amp;Q1174&amp;AS[[#This Row],[Large Provider Entity Code]]&amp;"; "&amp;R1174&amp;AS[[#This Row],[Age Band Code]]&amp;"; "&amp;S1174&amp;AS[[#This Row],[Sex Code]]</f>
        <v xml:space="preserve">Insurer Code ; Reporting Year ; Insurance Category Code ; Large Provider Entity Code ; Age Band Code ; Sex Code </v>
      </c>
      <c r="N1174" s="297" t="s">
        <v>197</v>
      </c>
      <c r="O1174" s="297" t="s">
        <v>198</v>
      </c>
      <c r="P1174" s="297" t="s">
        <v>199</v>
      </c>
      <c r="Q1174" s="297" t="s">
        <v>200</v>
      </c>
      <c r="R1174" s="297" t="s">
        <v>213</v>
      </c>
      <c r="S1174" s="297" t="s">
        <v>214</v>
      </c>
    </row>
    <row r="1175" spans="1:19" x14ac:dyDescent="0.4">
      <c r="A1175" s="291"/>
      <c r="B1175" s="292"/>
      <c r="C1175" s="312"/>
      <c r="D1175" s="292"/>
      <c r="E1175" s="489"/>
      <c r="F1175" s="489"/>
      <c r="G1175" s="490"/>
      <c r="H1175" s="520"/>
      <c r="I1175" s="523"/>
      <c r="J1175" s="521"/>
      <c r="K1175" s="522"/>
      <c r="M1175" s="301" t="str">
        <f>N1175&amp;AS[[#This Row],[Insurer Code]]&amp;"; "&amp;O1175&amp;AS[[#This Row],[Reporting Year]]&amp;"; "&amp;P1175&amp;AS[[#This Row],[Insurance Category Code]]&amp;"; "&amp;Q1175&amp;AS[[#This Row],[Large Provider Entity Code]]&amp;"; "&amp;R1175&amp;AS[[#This Row],[Age Band Code]]&amp;"; "&amp;S1175&amp;AS[[#This Row],[Sex Code]]</f>
        <v xml:space="preserve">Insurer Code ; Reporting Year ; Insurance Category Code ; Large Provider Entity Code ; Age Band Code ; Sex Code </v>
      </c>
      <c r="N1175" s="297" t="s">
        <v>197</v>
      </c>
      <c r="O1175" s="297" t="s">
        <v>198</v>
      </c>
      <c r="P1175" s="297" t="s">
        <v>199</v>
      </c>
      <c r="Q1175" s="297" t="s">
        <v>200</v>
      </c>
      <c r="R1175" s="297" t="s">
        <v>213</v>
      </c>
      <c r="S1175" s="297" t="s">
        <v>214</v>
      </c>
    </row>
    <row r="1176" spans="1:19" x14ac:dyDescent="0.4">
      <c r="A1176" s="291"/>
      <c r="B1176" s="292"/>
      <c r="C1176" s="312"/>
      <c r="D1176" s="292"/>
      <c r="E1176" s="489"/>
      <c r="F1176" s="489"/>
      <c r="G1176" s="490"/>
      <c r="H1176" s="520"/>
      <c r="I1176" s="523"/>
      <c r="J1176" s="521"/>
      <c r="K1176" s="522"/>
      <c r="M1176" s="301" t="str">
        <f>N1176&amp;AS[[#This Row],[Insurer Code]]&amp;"; "&amp;O1176&amp;AS[[#This Row],[Reporting Year]]&amp;"; "&amp;P1176&amp;AS[[#This Row],[Insurance Category Code]]&amp;"; "&amp;Q1176&amp;AS[[#This Row],[Large Provider Entity Code]]&amp;"; "&amp;R1176&amp;AS[[#This Row],[Age Band Code]]&amp;"; "&amp;S1176&amp;AS[[#This Row],[Sex Code]]</f>
        <v xml:space="preserve">Insurer Code ; Reporting Year ; Insurance Category Code ; Large Provider Entity Code ; Age Band Code ; Sex Code </v>
      </c>
      <c r="N1176" s="297" t="s">
        <v>197</v>
      </c>
      <c r="O1176" s="297" t="s">
        <v>198</v>
      </c>
      <c r="P1176" s="297" t="s">
        <v>199</v>
      </c>
      <c r="Q1176" s="297" t="s">
        <v>200</v>
      </c>
      <c r="R1176" s="297" t="s">
        <v>213</v>
      </c>
      <c r="S1176" s="297" t="s">
        <v>214</v>
      </c>
    </row>
    <row r="1177" spans="1:19" x14ac:dyDescent="0.4">
      <c r="A1177" s="291"/>
      <c r="B1177" s="292"/>
      <c r="C1177" s="312"/>
      <c r="D1177" s="292"/>
      <c r="E1177" s="489"/>
      <c r="F1177" s="489"/>
      <c r="G1177" s="490"/>
      <c r="H1177" s="520"/>
      <c r="I1177" s="523"/>
      <c r="J1177" s="521"/>
      <c r="K1177" s="522"/>
      <c r="M1177" s="301" t="str">
        <f>N1177&amp;AS[[#This Row],[Insurer Code]]&amp;"; "&amp;O1177&amp;AS[[#This Row],[Reporting Year]]&amp;"; "&amp;P1177&amp;AS[[#This Row],[Insurance Category Code]]&amp;"; "&amp;Q1177&amp;AS[[#This Row],[Large Provider Entity Code]]&amp;"; "&amp;R1177&amp;AS[[#This Row],[Age Band Code]]&amp;"; "&amp;S1177&amp;AS[[#This Row],[Sex Code]]</f>
        <v xml:space="preserve">Insurer Code ; Reporting Year ; Insurance Category Code ; Large Provider Entity Code ; Age Band Code ; Sex Code </v>
      </c>
      <c r="N1177" s="297" t="s">
        <v>197</v>
      </c>
      <c r="O1177" s="297" t="s">
        <v>198</v>
      </c>
      <c r="P1177" s="297" t="s">
        <v>199</v>
      </c>
      <c r="Q1177" s="297" t="s">
        <v>200</v>
      </c>
      <c r="R1177" s="297" t="s">
        <v>213</v>
      </c>
      <c r="S1177" s="297" t="s">
        <v>214</v>
      </c>
    </row>
    <row r="1178" spans="1:19" x14ac:dyDescent="0.4">
      <c r="A1178" s="291"/>
      <c r="B1178" s="292"/>
      <c r="C1178" s="312"/>
      <c r="D1178" s="292"/>
      <c r="E1178" s="489"/>
      <c r="F1178" s="489"/>
      <c r="G1178" s="490"/>
      <c r="H1178" s="520"/>
      <c r="I1178" s="523"/>
      <c r="J1178" s="521"/>
      <c r="K1178" s="522"/>
      <c r="M1178" s="301" t="str">
        <f>N1178&amp;AS[[#This Row],[Insurer Code]]&amp;"; "&amp;O1178&amp;AS[[#This Row],[Reporting Year]]&amp;"; "&amp;P1178&amp;AS[[#This Row],[Insurance Category Code]]&amp;"; "&amp;Q1178&amp;AS[[#This Row],[Large Provider Entity Code]]&amp;"; "&amp;R1178&amp;AS[[#This Row],[Age Band Code]]&amp;"; "&amp;S1178&amp;AS[[#This Row],[Sex Code]]</f>
        <v xml:space="preserve">Insurer Code ; Reporting Year ; Insurance Category Code ; Large Provider Entity Code ; Age Band Code ; Sex Code </v>
      </c>
      <c r="N1178" s="297" t="s">
        <v>197</v>
      </c>
      <c r="O1178" s="297" t="s">
        <v>198</v>
      </c>
      <c r="P1178" s="297" t="s">
        <v>199</v>
      </c>
      <c r="Q1178" s="297" t="s">
        <v>200</v>
      </c>
      <c r="R1178" s="297" t="s">
        <v>213</v>
      </c>
      <c r="S1178" s="297" t="s">
        <v>214</v>
      </c>
    </row>
    <row r="1179" spans="1:19" x14ac:dyDescent="0.4">
      <c r="A1179" s="291"/>
      <c r="B1179" s="292"/>
      <c r="C1179" s="312"/>
      <c r="D1179" s="292"/>
      <c r="E1179" s="489"/>
      <c r="F1179" s="489"/>
      <c r="G1179" s="490"/>
      <c r="H1179" s="520"/>
      <c r="I1179" s="523"/>
      <c r="J1179" s="521"/>
      <c r="K1179" s="522"/>
      <c r="M1179" s="301" t="str">
        <f>N1179&amp;AS[[#This Row],[Insurer Code]]&amp;"; "&amp;O1179&amp;AS[[#This Row],[Reporting Year]]&amp;"; "&amp;P1179&amp;AS[[#This Row],[Insurance Category Code]]&amp;"; "&amp;Q1179&amp;AS[[#This Row],[Large Provider Entity Code]]&amp;"; "&amp;R1179&amp;AS[[#This Row],[Age Band Code]]&amp;"; "&amp;S1179&amp;AS[[#This Row],[Sex Code]]</f>
        <v xml:space="preserve">Insurer Code ; Reporting Year ; Insurance Category Code ; Large Provider Entity Code ; Age Band Code ; Sex Code </v>
      </c>
      <c r="N1179" s="297" t="s">
        <v>197</v>
      </c>
      <c r="O1179" s="297" t="s">
        <v>198</v>
      </c>
      <c r="P1179" s="297" t="s">
        <v>199</v>
      </c>
      <c r="Q1179" s="297" t="s">
        <v>200</v>
      </c>
      <c r="R1179" s="297" t="s">
        <v>213</v>
      </c>
      <c r="S1179" s="297" t="s">
        <v>214</v>
      </c>
    </row>
    <row r="1180" spans="1:19" x14ac:dyDescent="0.4">
      <c r="A1180" s="291"/>
      <c r="B1180" s="292"/>
      <c r="C1180" s="312"/>
      <c r="D1180" s="292"/>
      <c r="E1180" s="489"/>
      <c r="F1180" s="489"/>
      <c r="G1180" s="490"/>
      <c r="H1180" s="520"/>
      <c r="I1180" s="523"/>
      <c r="J1180" s="521"/>
      <c r="K1180" s="522"/>
      <c r="M1180" s="301" t="str">
        <f>N1180&amp;AS[[#This Row],[Insurer Code]]&amp;"; "&amp;O1180&amp;AS[[#This Row],[Reporting Year]]&amp;"; "&amp;P1180&amp;AS[[#This Row],[Insurance Category Code]]&amp;"; "&amp;Q1180&amp;AS[[#This Row],[Large Provider Entity Code]]&amp;"; "&amp;R1180&amp;AS[[#This Row],[Age Band Code]]&amp;"; "&amp;S1180&amp;AS[[#This Row],[Sex Code]]</f>
        <v xml:space="preserve">Insurer Code ; Reporting Year ; Insurance Category Code ; Large Provider Entity Code ; Age Band Code ; Sex Code </v>
      </c>
      <c r="N1180" s="297" t="s">
        <v>197</v>
      </c>
      <c r="O1180" s="297" t="s">
        <v>198</v>
      </c>
      <c r="P1180" s="297" t="s">
        <v>199</v>
      </c>
      <c r="Q1180" s="297" t="s">
        <v>200</v>
      </c>
      <c r="R1180" s="297" t="s">
        <v>213</v>
      </c>
      <c r="S1180" s="297" t="s">
        <v>214</v>
      </c>
    </row>
    <row r="1181" spans="1:19" x14ac:dyDescent="0.4">
      <c r="A1181" s="291"/>
      <c r="B1181" s="292"/>
      <c r="C1181" s="312"/>
      <c r="D1181" s="292"/>
      <c r="E1181" s="489"/>
      <c r="F1181" s="489"/>
      <c r="G1181" s="490"/>
      <c r="H1181" s="520"/>
      <c r="I1181" s="523"/>
      <c r="J1181" s="521"/>
      <c r="K1181" s="522"/>
      <c r="M1181" s="301" t="str">
        <f>N1181&amp;AS[[#This Row],[Insurer Code]]&amp;"; "&amp;O1181&amp;AS[[#This Row],[Reporting Year]]&amp;"; "&amp;P1181&amp;AS[[#This Row],[Insurance Category Code]]&amp;"; "&amp;Q1181&amp;AS[[#This Row],[Large Provider Entity Code]]&amp;"; "&amp;R1181&amp;AS[[#This Row],[Age Band Code]]&amp;"; "&amp;S1181&amp;AS[[#This Row],[Sex Code]]</f>
        <v xml:space="preserve">Insurer Code ; Reporting Year ; Insurance Category Code ; Large Provider Entity Code ; Age Band Code ; Sex Code </v>
      </c>
      <c r="N1181" s="297" t="s">
        <v>197</v>
      </c>
      <c r="O1181" s="297" t="s">
        <v>198</v>
      </c>
      <c r="P1181" s="297" t="s">
        <v>199</v>
      </c>
      <c r="Q1181" s="297" t="s">
        <v>200</v>
      </c>
      <c r="R1181" s="297" t="s">
        <v>213</v>
      </c>
      <c r="S1181" s="297" t="s">
        <v>214</v>
      </c>
    </row>
    <row r="1182" spans="1:19" x14ac:dyDescent="0.4">
      <c r="A1182" s="291"/>
      <c r="B1182" s="292"/>
      <c r="C1182" s="312"/>
      <c r="D1182" s="292"/>
      <c r="E1182" s="489"/>
      <c r="F1182" s="489"/>
      <c r="G1182" s="490"/>
      <c r="H1182" s="520"/>
      <c r="I1182" s="523"/>
      <c r="J1182" s="521"/>
      <c r="K1182" s="522"/>
      <c r="M1182" s="301" t="str">
        <f>N1182&amp;AS[[#This Row],[Insurer Code]]&amp;"; "&amp;O1182&amp;AS[[#This Row],[Reporting Year]]&amp;"; "&amp;P1182&amp;AS[[#This Row],[Insurance Category Code]]&amp;"; "&amp;Q1182&amp;AS[[#This Row],[Large Provider Entity Code]]&amp;"; "&amp;R1182&amp;AS[[#This Row],[Age Band Code]]&amp;"; "&amp;S1182&amp;AS[[#This Row],[Sex Code]]</f>
        <v xml:space="preserve">Insurer Code ; Reporting Year ; Insurance Category Code ; Large Provider Entity Code ; Age Band Code ; Sex Code </v>
      </c>
      <c r="N1182" s="297" t="s">
        <v>197</v>
      </c>
      <c r="O1182" s="297" t="s">
        <v>198</v>
      </c>
      <c r="P1182" s="297" t="s">
        <v>199</v>
      </c>
      <c r="Q1182" s="297" t="s">
        <v>200</v>
      </c>
      <c r="R1182" s="297" t="s">
        <v>213</v>
      </c>
      <c r="S1182" s="297" t="s">
        <v>214</v>
      </c>
    </row>
    <row r="1183" spans="1:19" x14ac:dyDescent="0.4">
      <c r="A1183" s="291"/>
      <c r="B1183" s="292"/>
      <c r="C1183" s="312"/>
      <c r="D1183" s="292"/>
      <c r="E1183" s="489"/>
      <c r="F1183" s="489"/>
      <c r="G1183" s="490"/>
      <c r="H1183" s="520"/>
      <c r="I1183" s="523"/>
      <c r="J1183" s="521"/>
      <c r="K1183" s="522"/>
      <c r="M1183" s="301" t="str">
        <f>N1183&amp;AS[[#This Row],[Insurer Code]]&amp;"; "&amp;O1183&amp;AS[[#This Row],[Reporting Year]]&amp;"; "&amp;P1183&amp;AS[[#This Row],[Insurance Category Code]]&amp;"; "&amp;Q1183&amp;AS[[#This Row],[Large Provider Entity Code]]&amp;"; "&amp;R1183&amp;AS[[#This Row],[Age Band Code]]&amp;"; "&amp;S1183&amp;AS[[#This Row],[Sex Code]]</f>
        <v xml:space="preserve">Insurer Code ; Reporting Year ; Insurance Category Code ; Large Provider Entity Code ; Age Band Code ; Sex Code </v>
      </c>
      <c r="N1183" s="297" t="s">
        <v>197</v>
      </c>
      <c r="O1183" s="297" t="s">
        <v>198</v>
      </c>
      <c r="P1183" s="297" t="s">
        <v>199</v>
      </c>
      <c r="Q1183" s="297" t="s">
        <v>200</v>
      </c>
      <c r="R1183" s="297" t="s">
        <v>213</v>
      </c>
      <c r="S1183" s="297" t="s">
        <v>214</v>
      </c>
    </row>
    <row r="1184" spans="1:19" x14ac:dyDescent="0.4">
      <c r="A1184" s="291"/>
      <c r="B1184" s="292"/>
      <c r="C1184" s="312"/>
      <c r="D1184" s="292"/>
      <c r="E1184" s="489"/>
      <c r="F1184" s="489"/>
      <c r="G1184" s="490"/>
      <c r="H1184" s="520"/>
      <c r="I1184" s="523"/>
      <c r="J1184" s="521"/>
      <c r="K1184" s="522"/>
      <c r="M1184" s="301" t="str">
        <f>N1184&amp;AS[[#This Row],[Insurer Code]]&amp;"; "&amp;O1184&amp;AS[[#This Row],[Reporting Year]]&amp;"; "&amp;P1184&amp;AS[[#This Row],[Insurance Category Code]]&amp;"; "&amp;Q1184&amp;AS[[#This Row],[Large Provider Entity Code]]&amp;"; "&amp;R1184&amp;AS[[#This Row],[Age Band Code]]&amp;"; "&amp;S1184&amp;AS[[#This Row],[Sex Code]]</f>
        <v xml:space="preserve">Insurer Code ; Reporting Year ; Insurance Category Code ; Large Provider Entity Code ; Age Band Code ; Sex Code </v>
      </c>
      <c r="N1184" s="297" t="s">
        <v>197</v>
      </c>
      <c r="O1184" s="297" t="s">
        <v>198</v>
      </c>
      <c r="P1184" s="297" t="s">
        <v>199</v>
      </c>
      <c r="Q1184" s="297" t="s">
        <v>200</v>
      </c>
      <c r="R1184" s="297" t="s">
        <v>213</v>
      </c>
      <c r="S1184" s="297" t="s">
        <v>214</v>
      </c>
    </row>
    <row r="1185" spans="1:19" x14ac:dyDescent="0.4">
      <c r="A1185" s="291"/>
      <c r="B1185" s="292"/>
      <c r="C1185" s="312"/>
      <c r="D1185" s="292"/>
      <c r="E1185" s="489"/>
      <c r="F1185" s="489"/>
      <c r="G1185" s="490"/>
      <c r="H1185" s="520"/>
      <c r="I1185" s="523"/>
      <c r="J1185" s="521"/>
      <c r="K1185" s="522"/>
      <c r="M1185" s="301" t="str">
        <f>N1185&amp;AS[[#This Row],[Insurer Code]]&amp;"; "&amp;O1185&amp;AS[[#This Row],[Reporting Year]]&amp;"; "&amp;P1185&amp;AS[[#This Row],[Insurance Category Code]]&amp;"; "&amp;Q1185&amp;AS[[#This Row],[Large Provider Entity Code]]&amp;"; "&amp;R1185&amp;AS[[#This Row],[Age Band Code]]&amp;"; "&amp;S1185&amp;AS[[#This Row],[Sex Code]]</f>
        <v xml:space="preserve">Insurer Code ; Reporting Year ; Insurance Category Code ; Large Provider Entity Code ; Age Band Code ; Sex Code </v>
      </c>
      <c r="N1185" s="297" t="s">
        <v>197</v>
      </c>
      <c r="O1185" s="297" t="s">
        <v>198</v>
      </c>
      <c r="P1185" s="297" t="s">
        <v>199</v>
      </c>
      <c r="Q1185" s="297" t="s">
        <v>200</v>
      </c>
      <c r="R1185" s="297" t="s">
        <v>213</v>
      </c>
      <c r="S1185" s="297" t="s">
        <v>214</v>
      </c>
    </row>
    <row r="1186" spans="1:19" x14ac:dyDescent="0.4">
      <c r="A1186" s="291"/>
      <c r="B1186" s="292"/>
      <c r="C1186" s="312"/>
      <c r="D1186" s="292"/>
      <c r="E1186" s="489"/>
      <c r="F1186" s="489"/>
      <c r="G1186" s="490"/>
      <c r="H1186" s="520"/>
      <c r="I1186" s="523"/>
      <c r="J1186" s="521"/>
      <c r="K1186" s="522"/>
      <c r="M1186" s="301" t="str">
        <f>N1186&amp;AS[[#This Row],[Insurer Code]]&amp;"; "&amp;O1186&amp;AS[[#This Row],[Reporting Year]]&amp;"; "&amp;P1186&amp;AS[[#This Row],[Insurance Category Code]]&amp;"; "&amp;Q1186&amp;AS[[#This Row],[Large Provider Entity Code]]&amp;"; "&amp;R1186&amp;AS[[#This Row],[Age Band Code]]&amp;"; "&amp;S1186&amp;AS[[#This Row],[Sex Code]]</f>
        <v xml:space="preserve">Insurer Code ; Reporting Year ; Insurance Category Code ; Large Provider Entity Code ; Age Band Code ; Sex Code </v>
      </c>
      <c r="N1186" s="297" t="s">
        <v>197</v>
      </c>
      <c r="O1186" s="297" t="s">
        <v>198</v>
      </c>
      <c r="P1186" s="297" t="s">
        <v>199</v>
      </c>
      <c r="Q1186" s="297" t="s">
        <v>200</v>
      </c>
      <c r="R1186" s="297" t="s">
        <v>213</v>
      </c>
      <c r="S1186" s="297" t="s">
        <v>214</v>
      </c>
    </row>
    <row r="1187" spans="1:19" x14ac:dyDescent="0.4">
      <c r="A1187" s="291"/>
      <c r="B1187" s="292"/>
      <c r="C1187" s="312"/>
      <c r="D1187" s="292"/>
      <c r="E1187" s="489"/>
      <c r="F1187" s="489"/>
      <c r="G1187" s="490"/>
      <c r="H1187" s="520"/>
      <c r="I1187" s="523"/>
      <c r="J1187" s="521"/>
      <c r="K1187" s="522"/>
      <c r="M1187" s="301" t="str">
        <f>N1187&amp;AS[[#This Row],[Insurer Code]]&amp;"; "&amp;O1187&amp;AS[[#This Row],[Reporting Year]]&amp;"; "&amp;P1187&amp;AS[[#This Row],[Insurance Category Code]]&amp;"; "&amp;Q1187&amp;AS[[#This Row],[Large Provider Entity Code]]&amp;"; "&amp;R1187&amp;AS[[#This Row],[Age Band Code]]&amp;"; "&amp;S1187&amp;AS[[#This Row],[Sex Code]]</f>
        <v xml:space="preserve">Insurer Code ; Reporting Year ; Insurance Category Code ; Large Provider Entity Code ; Age Band Code ; Sex Code </v>
      </c>
      <c r="N1187" s="297" t="s">
        <v>197</v>
      </c>
      <c r="O1187" s="297" t="s">
        <v>198</v>
      </c>
      <c r="P1187" s="297" t="s">
        <v>199</v>
      </c>
      <c r="Q1187" s="297" t="s">
        <v>200</v>
      </c>
      <c r="R1187" s="297" t="s">
        <v>213</v>
      </c>
      <c r="S1187" s="297" t="s">
        <v>214</v>
      </c>
    </row>
    <row r="1188" spans="1:19" x14ac:dyDescent="0.4">
      <c r="A1188" s="291"/>
      <c r="B1188" s="292"/>
      <c r="C1188" s="312"/>
      <c r="D1188" s="292"/>
      <c r="E1188" s="489"/>
      <c r="F1188" s="489"/>
      <c r="G1188" s="490"/>
      <c r="H1188" s="520"/>
      <c r="I1188" s="523"/>
      <c r="J1188" s="521"/>
      <c r="K1188" s="522"/>
      <c r="M1188" s="301" t="str">
        <f>N1188&amp;AS[[#This Row],[Insurer Code]]&amp;"; "&amp;O1188&amp;AS[[#This Row],[Reporting Year]]&amp;"; "&amp;P1188&amp;AS[[#This Row],[Insurance Category Code]]&amp;"; "&amp;Q1188&amp;AS[[#This Row],[Large Provider Entity Code]]&amp;"; "&amp;R1188&amp;AS[[#This Row],[Age Band Code]]&amp;"; "&amp;S1188&amp;AS[[#This Row],[Sex Code]]</f>
        <v xml:space="preserve">Insurer Code ; Reporting Year ; Insurance Category Code ; Large Provider Entity Code ; Age Band Code ; Sex Code </v>
      </c>
      <c r="N1188" s="297" t="s">
        <v>197</v>
      </c>
      <c r="O1188" s="297" t="s">
        <v>198</v>
      </c>
      <c r="P1188" s="297" t="s">
        <v>199</v>
      </c>
      <c r="Q1188" s="297" t="s">
        <v>200</v>
      </c>
      <c r="R1188" s="297" t="s">
        <v>213</v>
      </c>
      <c r="S1188" s="297" t="s">
        <v>214</v>
      </c>
    </row>
    <row r="1189" spans="1:19" x14ac:dyDescent="0.4">
      <c r="A1189" s="291"/>
      <c r="B1189" s="292"/>
      <c r="C1189" s="312"/>
      <c r="D1189" s="292"/>
      <c r="E1189" s="489"/>
      <c r="F1189" s="489"/>
      <c r="G1189" s="490"/>
      <c r="H1189" s="520"/>
      <c r="I1189" s="523"/>
      <c r="J1189" s="521"/>
      <c r="K1189" s="522"/>
      <c r="M1189" s="301" t="str">
        <f>N1189&amp;AS[[#This Row],[Insurer Code]]&amp;"; "&amp;O1189&amp;AS[[#This Row],[Reporting Year]]&amp;"; "&amp;P1189&amp;AS[[#This Row],[Insurance Category Code]]&amp;"; "&amp;Q1189&amp;AS[[#This Row],[Large Provider Entity Code]]&amp;"; "&amp;R1189&amp;AS[[#This Row],[Age Band Code]]&amp;"; "&amp;S1189&amp;AS[[#This Row],[Sex Code]]</f>
        <v xml:space="preserve">Insurer Code ; Reporting Year ; Insurance Category Code ; Large Provider Entity Code ; Age Band Code ; Sex Code </v>
      </c>
      <c r="N1189" s="297" t="s">
        <v>197</v>
      </c>
      <c r="O1189" s="297" t="s">
        <v>198</v>
      </c>
      <c r="P1189" s="297" t="s">
        <v>199</v>
      </c>
      <c r="Q1189" s="297" t="s">
        <v>200</v>
      </c>
      <c r="R1189" s="297" t="s">
        <v>213</v>
      </c>
      <c r="S1189" s="297" t="s">
        <v>214</v>
      </c>
    </row>
    <row r="1190" spans="1:19" x14ac:dyDescent="0.4">
      <c r="A1190" s="291"/>
      <c r="B1190" s="292"/>
      <c r="C1190" s="312"/>
      <c r="D1190" s="292"/>
      <c r="E1190" s="489"/>
      <c r="F1190" s="489"/>
      <c r="G1190" s="490"/>
      <c r="H1190" s="520"/>
      <c r="I1190" s="523"/>
      <c r="J1190" s="521"/>
      <c r="K1190" s="522"/>
      <c r="M1190" s="301" t="str">
        <f>N1190&amp;AS[[#This Row],[Insurer Code]]&amp;"; "&amp;O1190&amp;AS[[#This Row],[Reporting Year]]&amp;"; "&amp;P1190&amp;AS[[#This Row],[Insurance Category Code]]&amp;"; "&amp;Q1190&amp;AS[[#This Row],[Large Provider Entity Code]]&amp;"; "&amp;R1190&amp;AS[[#This Row],[Age Band Code]]&amp;"; "&amp;S1190&amp;AS[[#This Row],[Sex Code]]</f>
        <v xml:space="preserve">Insurer Code ; Reporting Year ; Insurance Category Code ; Large Provider Entity Code ; Age Band Code ; Sex Code </v>
      </c>
      <c r="N1190" s="297" t="s">
        <v>197</v>
      </c>
      <c r="O1190" s="297" t="s">
        <v>198</v>
      </c>
      <c r="P1190" s="297" t="s">
        <v>199</v>
      </c>
      <c r="Q1190" s="297" t="s">
        <v>200</v>
      </c>
      <c r="R1190" s="297" t="s">
        <v>213</v>
      </c>
      <c r="S1190" s="297" t="s">
        <v>214</v>
      </c>
    </row>
    <row r="1191" spans="1:19" x14ac:dyDescent="0.4">
      <c r="A1191" s="291"/>
      <c r="B1191" s="292"/>
      <c r="C1191" s="312"/>
      <c r="D1191" s="292"/>
      <c r="E1191" s="489"/>
      <c r="F1191" s="489"/>
      <c r="G1191" s="490"/>
      <c r="H1191" s="520"/>
      <c r="I1191" s="523"/>
      <c r="J1191" s="521"/>
      <c r="K1191" s="522"/>
      <c r="M1191" s="301" t="str">
        <f>N1191&amp;AS[[#This Row],[Insurer Code]]&amp;"; "&amp;O1191&amp;AS[[#This Row],[Reporting Year]]&amp;"; "&amp;P1191&amp;AS[[#This Row],[Insurance Category Code]]&amp;"; "&amp;Q1191&amp;AS[[#This Row],[Large Provider Entity Code]]&amp;"; "&amp;R1191&amp;AS[[#This Row],[Age Band Code]]&amp;"; "&amp;S1191&amp;AS[[#This Row],[Sex Code]]</f>
        <v xml:space="preserve">Insurer Code ; Reporting Year ; Insurance Category Code ; Large Provider Entity Code ; Age Band Code ; Sex Code </v>
      </c>
      <c r="N1191" s="297" t="s">
        <v>197</v>
      </c>
      <c r="O1191" s="297" t="s">
        <v>198</v>
      </c>
      <c r="P1191" s="297" t="s">
        <v>199</v>
      </c>
      <c r="Q1191" s="297" t="s">
        <v>200</v>
      </c>
      <c r="R1191" s="297" t="s">
        <v>213</v>
      </c>
      <c r="S1191" s="297" t="s">
        <v>214</v>
      </c>
    </row>
    <row r="1192" spans="1:19" x14ac:dyDescent="0.4">
      <c r="A1192" s="291"/>
      <c r="B1192" s="292"/>
      <c r="C1192" s="312"/>
      <c r="D1192" s="292"/>
      <c r="E1192" s="489"/>
      <c r="F1192" s="489"/>
      <c r="G1192" s="490"/>
      <c r="H1192" s="520"/>
      <c r="I1192" s="523"/>
      <c r="J1192" s="521"/>
      <c r="K1192" s="522"/>
      <c r="M1192" s="301" t="str">
        <f>N1192&amp;AS[[#This Row],[Insurer Code]]&amp;"; "&amp;O1192&amp;AS[[#This Row],[Reporting Year]]&amp;"; "&amp;P1192&amp;AS[[#This Row],[Insurance Category Code]]&amp;"; "&amp;Q1192&amp;AS[[#This Row],[Large Provider Entity Code]]&amp;"; "&amp;R1192&amp;AS[[#This Row],[Age Band Code]]&amp;"; "&amp;S1192&amp;AS[[#This Row],[Sex Code]]</f>
        <v xml:space="preserve">Insurer Code ; Reporting Year ; Insurance Category Code ; Large Provider Entity Code ; Age Band Code ; Sex Code </v>
      </c>
      <c r="N1192" s="297" t="s">
        <v>197</v>
      </c>
      <c r="O1192" s="297" t="s">
        <v>198</v>
      </c>
      <c r="P1192" s="297" t="s">
        <v>199</v>
      </c>
      <c r="Q1192" s="297" t="s">
        <v>200</v>
      </c>
      <c r="R1192" s="297" t="s">
        <v>213</v>
      </c>
      <c r="S1192" s="297" t="s">
        <v>214</v>
      </c>
    </row>
    <row r="1193" spans="1:19" x14ac:dyDescent="0.4">
      <c r="A1193" s="291"/>
      <c r="B1193" s="292"/>
      <c r="C1193" s="312"/>
      <c r="D1193" s="292"/>
      <c r="E1193" s="489"/>
      <c r="F1193" s="489"/>
      <c r="G1193" s="490"/>
      <c r="H1193" s="520"/>
      <c r="I1193" s="523"/>
      <c r="J1193" s="521"/>
      <c r="K1193" s="522"/>
      <c r="M1193" s="301" t="str">
        <f>N1193&amp;AS[[#This Row],[Insurer Code]]&amp;"; "&amp;O1193&amp;AS[[#This Row],[Reporting Year]]&amp;"; "&amp;P1193&amp;AS[[#This Row],[Insurance Category Code]]&amp;"; "&amp;Q1193&amp;AS[[#This Row],[Large Provider Entity Code]]&amp;"; "&amp;R1193&amp;AS[[#This Row],[Age Band Code]]&amp;"; "&amp;S1193&amp;AS[[#This Row],[Sex Code]]</f>
        <v xml:space="preserve">Insurer Code ; Reporting Year ; Insurance Category Code ; Large Provider Entity Code ; Age Band Code ; Sex Code </v>
      </c>
      <c r="N1193" s="297" t="s">
        <v>197</v>
      </c>
      <c r="O1193" s="297" t="s">
        <v>198</v>
      </c>
      <c r="P1193" s="297" t="s">
        <v>199</v>
      </c>
      <c r="Q1193" s="297" t="s">
        <v>200</v>
      </c>
      <c r="R1193" s="297" t="s">
        <v>213</v>
      </c>
      <c r="S1193" s="297" t="s">
        <v>214</v>
      </c>
    </row>
    <row r="1194" spans="1:19" x14ac:dyDescent="0.4">
      <c r="A1194" s="291"/>
      <c r="B1194" s="292"/>
      <c r="C1194" s="312"/>
      <c r="D1194" s="292"/>
      <c r="E1194" s="489"/>
      <c r="F1194" s="489"/>
      <c r="G1194" s="490"/>
      <c r="H1194" s="520"/>
      <c r="I1194" s="523"/>
      <c r="J1194" s="521"/>
      <c r="K1194" s="522"/>
      <c r="M1194" s="301" t="str">
        <f>N1194&amp;AS[[#This Row],[Insurer Code]]&amp;"; "&amp;O1194&amp;AS[[#This Row],[Reporting Year]]&amp;"; "&amp;P1194&amp;AS[[#This Row],[Insurance Category Code]]&amp;"; "&amp;Q1194&amp;AS[[#This Row],[Large Provider Entity Code]]&amp;"; "&amp;R1194&amp;AS[[#This Row],[Age Band Code]]&amp;"; "&amp;S1194&amp;AS[[#This Row],[Sex Code]]</f>
        <v xml:space="preserve">Insurer Code ; Reporting Year ; Insurance Category Code ; Large Provider Entity Code ; Age Band Code ; Sex Code </v>
      </c>
      <c r="N1194" s="297" t="s">
        <v>197</v>
      </c>
      <c r="O1194" s="297" t="s">
        <v>198</v>
      </c>
      <c r="P1194" s="297" t="s">
        <v>199</v>
      </c>
      <c r="Q1194" s="297" t="s">
        <v>200</v>
      </c>
      <c r="R1194" s="297" t="s">
        <v>213</v>
      </c>
      <c r="S1194" s="297" t="s">
        <v>214</v>
      </c>
    </row>
    <row r="1195" spans="1:19" x14ac:dyDescent="0.4">
      <c r="A1195" s="291"/>
      <c r="B1195" s="292"/>
      <c r="C1195" s="312"/>
      <c r="D1195" s="292"/>
      <c r="E1195" s="489"/>
      <c r="F1195" s="489"/>
      <c r="G1195" s="490"/>
      <c r="H1195" s="520"/>
      <c r="I1195" s="523"/>
      <c r="J1195" s="521"/>
      <c r="K1195" s="522"/>
      <c r="M1195" s="301" t="str">
        <f>N1195&amp;AS[[#This Row],[Insurer Code]]&amp;"; "&amp;O1195&amp;AS[[#This Row],[Reporting Year]]&amp;"; "&amp;P1195&amp;AS[[#This Row],[Insurance Category Code]]&amp;"; "&amp;Q1195&amp;AS[[#This Row],[Large Provider Entity Code]]&amp;"; "&amp;R1195&amp;AS[[#This Row],[Age Band Code]]&amp;"; "&amp;S1195&amp;AS[[#This Row],[Sex Code]]</f>
        <v xml:space="preserve">Insurer Code ; Reporting Year ; Insurance Category Code ; Large Provider Entity Code ; Age Band Code ; Sex Code </v>
      </c>
      <c r="N1195" s="297" t="s">
        <v>197</v>
      </c>
      <c r="O1195" s="297" t="s">
        <v>198</v>
      </c>
      <c r="P1195" s="297" t="s">
        <v>199</v>
      </c>
      <c r="Q1195" s="297" t="s">
        <v>200</v>
      </c>
      <c r="R1195" s="297" t="s">
        <v>213</v>
      </c>
      <c r="S1195" s="297" t="s">
        <v>214</v>
      </c>
    </row>
    <row r="1196" spans="1:19" x14ac:dyDescent="0.4">
      <c r="A1196" s="291"/>
      <c r="B1196" s="292"/>
      <c r="C1196" s="312"/>
      <c r="D1196" s="292"/>
      <c r="E1196" s="489"/>
      <c r="F1196" s="489"/>
      <c r="G1196" s="490"/>
      <c r="H1196" s="520"/>
      <c r="I1196" s="523"/>
      <c r="J1196" s="521"/>
      <c r="K1196" s="522"/>
      <c r="M1196" s="301" t="str">
        <f>N1196&amp;AS[[#This Row],[Insurer Code]]&amp;"; "&amp;O1196&amp;AS[[#This Row],[Reporting Year]]&amp;"; "&amp;P1196&amp;AS[[#This Row],[Insurance Category Code]]&amp;"; "&amp;Q1196&amp;AS[[#This Row],[Large Provider Entity Code]]&amp;"; "&amp;R1196&amp;AS[[#This Row],[Age Band Code]]&amp;"; "&amp;S1196&amp;AS[[#This Row],[Sex Code]]</f>
        <v xml:space="preserve">Insurer Code ; Reporting Year ; Insurance Category Code ; Large Provider Entity Code ; Age Band Code ; Sex Code </v>
      </c>
      <c r="N1196" s="297" t="s">
        <v>197</v>
      </c>
      <c r="O1196" s="297" t="s">
        <v>198</v>
      </c>
      <c r="P1196" s="297" t="s">
        <v>199</v>
      </c>
      <c r="Q1196" s="297" t="s">
        <v>200</v>
      </c>
      <c r="R1196" s="297" t="s">
        <v>213</v>
      </c>
      <c r="S1196" s="297" t="s">
        <v>214</v>
      </c>
    </row>
    <row r="1197" spans="1:19" x14ac:dyDescent="0.4">
      <c r="A1197" s="291"/>
      <c r="B1197" s="292"/>
      <c r="C1197" s="312"/>
      <c r="D1197" s="292"/>
      <c r="E1197" s="489"/>
      <c r="F1197" s="489"/>
      <c r="G1197" s="490"/>
      <c r="H1197" s="520"/>
      <c r="I1197" s="523"/>
      <c r="J1197" s="521"/>
      <c r="K1197" s="522"/>
      <c r="M1197" s="301" t="str">
        <f>N1197&amp;AS[[#This Row],[Insurer Code]]&amp;"; "&amp;O1197&amp;AS[[#This Row],[Reporting Year]]&amp;"; "&amp;P1197&amp;AS[[#This Row],[Insurance Category Code]]&amp;"; "&amp;Q1197&amp;AS[[#This Row],[Large Provider Entity Code]]&amp;"; "&amp;R1197&amp;AS[[#This Row],[Age Band Code]]&amp;"; "&amp;S1197&amp;AS[[#This Row],[Sex Code]]</f>
        <v xml:space="preserve">Insurer Code ; Reporting Year ; Insurance Category Code ; Large Provider Entity Code ; Age Band Code ; Sex Code </v>
      </c>
      <c r="N1197" s="297" t="s">
        <v>197</v>
      </c>
      <c r="O1197" s="297" t="s">
        <v>198</v>
      </c>
      <c r="P1197" s="297" t="s">
        <v>199</v>
      </c>
      <c r="Q1197" s="297" t="s">
        <v>200</v>
      </c>
      <c r="R1197" s="297" t="s">
        <v>213</v>
      </c>
      <c r="S1197" s="297" t="s">
        <v>214</v>
      </c>
    </row>
    <row r="1198" spans="1:19" x14ac:dyDescent="0.4">
      <c r="A1198" s="291"/>
      <c r="B1198" s="292"/>
      <c r="C1198" s="312"/>
      <c r="D1198" s="292"/>
      <c r="E1198" s="489"/>
      <c r="F1198" s="489"/>
      <c r="G1198" s="490"/>
      <c r="H1198" s="520"/>
      <c r="I1198" s="523"/>
      <c r="J1198" s="521"/>
      <c r="K1198" s="522"/>
      <c r="M1198" s="301" t="str">
        <f>N1198&amp;AS[[#This Row],[Insurer Code]]&amp;"; "&amp;O1198&amp;AS[[#This Row],[Reporting Year]]&amp;"; "&amp;P1198&amp;AS[[#This Row],[Insurance Category Code]]&amp;"; "&amp;Q1198&amp;AS[[#This Row],[Large Provider Entity Code]]&amp;"; "&amp;R1198&amp;AS[[#This Row],[Age Band Code]]&amp;"; "&amp;S1198&amp;AS[[#This Row],[Sex Code]]</f>
        <v xml:space="preserve">Insurer Code ; Reporting Year ; Insurance Category Code ; Large Provider Entity Code ; Age Band Code ; Sex Code </v>
      </c>
      <c r="N1198" s="297" t="s">
        <v>197</v>
      </c>
      <c r="O1198" s="297" t="s">
        <v>198</v>
      </c>
      <c r="P1198" s="297" t="s">
        <v>199</v>
      </c>
      <c r="Q1198" s="297" t="s">
        <v>200</v>
      </c>
      <c r="R1198" s="297" t="s">
        <v>213</v>
      </c>
      <c r="S1198" s="297" t="s">
        <v>214</v>
      </c>
    </row>
    <row r="1199" spans="1:19" x14ac:dyDescent="0.4">
      <c r="A1199" s="291"/>
      <c r="B1199" s="292"/>
      <c r="C1199" s="312"/>
      <c r="D1199" s="292"/>
      <c r="E1199" s="489"/>
      <c r="F1199" s="489"/>
      <c r="G1199" s="490"/>
      <c r="H1199" s="520"/>
      <c r="I1199" s="523"/>
      <c r="J1199" s="521"/>
      <c r="K1199" s="522"/>
      <c r="M1199" s="301" t="str">
        <f>N1199&amp;AS[[#This Row],[Insurer Code]]&amp;"; "&amp;O1199&amp;AS[[#This Row],[Reporting Year]]&amp;"; "&amp;P1199&amp;AS[[#This Row],[Insurance Category Code]]&amp;"; "&amp;Q1199&amp;AS[[#This Row],[Large Provider Entity Code]]&amp;"; "&amp;R1199&amp;AS[[#This Row],[Age Band Code]]&amp;"; "&amp;S1199&amp;AS[[#This Row],[Sex Code]]</f>
        <v xml:space="preserve">Insurer Code ; Reporting Year ; Insurance Category Code ; Large Provider Entity Code ; Age Band Code ; Sex Code </v>
      </c>
      <c r="N1199" s="297" t="s">
        <v>197</v>
      </c>
      <c r="O1199" s="297" t="s">
        <v>198</v>
      </c>
      <c r="P1199" s="297" t="s">
        <v>199</v>
      </c>
      <c r="Q1199" s="297" t="s">
        <v>200</v>
      </c>
      <c r="R1199" s="297" t="s">
        <v>213</v>
      </c>
      <c r="S1199" s="297" t="s">
        <v>214</v>
      </c>
    </row>
    <row r="1200" spans="1:19" x14ac:dyDescent="0.4">
      <c r="A1200" s="291"/>
      <c r="B1200" s="292"/>
      <c r="C1200" s="312"/>
      <c r="D1200" s="292"/>
      <c r="E1200" s="489"/>
      <c r="F1200" s="489"/>
      <c r="G1200" s="490"/>
      <c r="H1200" s="520"/>
      <c r="I1200" s="523"/>
      <c r="J1200" s="521"/>
      <c r="K1200" s="522"/>
      <c r="M1200" s="301" t="str">
        <f>N1200&amp;AS[[#This Row],[Insurer Code]]&amp;"; "&amp;O1200&amp;AS[[#This Row],[Reporting Year]]&amp;"; "&amp;P1200&amp;AS[[#This Row],[Insurance Category Code]]&amp;"; "&amp;Q1200&amp;AS[[#This Row],[Large Provider Entity Code]]&amp;"; "&amp;R1200&amp;AS[[#This Row],[Age Band Code]]&amp;"; "&amp;S1200&amp;AS[[#This Row],[Sex Code]]</f>
        <v xml:space="preserve">Insurer Code ; Reporting Year ; Insurance Category Code ; Large Provider Entity Code ; Age Band Code ; Sex Code </v>
      </c>
      <c r="N1200" s="297" t="s">
        <v>197</v>
      </c>
      <c r="O1200" s="297" t="s">
        <v>198</v>
      </c>
      <c r="P1200" s="297" t="s">
        <v>199</v>
      </c>
      <c r="Q1200" s="297" t="s">
        <v>200</v>
      </c>
      <c r="R1200" s="297" t="s">
        <v>213</v>
      </c>
      <c r="S1200" s="297" t="s">
        <v>214</v>
      </c>
    </row>
    <row r="1201" spans="1:19" x14ac:dyDescent="0.4">
      <c r="A1201" s="291"/>
      <c r="B1201" s="292"/>
      <c r="C1201" s="312"/>
      <c r="D1201" s="292"/>
      <c r="E1201" s="489"/>
      <c r="F1201" s="489"/>
      <c r="G1201" s="490"/>
      <c r="H1201" s="520"/>
      <c r="I1201" s="523"/>
      <c r="J1201" s="521"/>
      <c r="K1201" s="522"/>
      <c r="M1201" s="301" t="str">
        <f>N1201&amp;AS[[#This Row],[Insurer Code]]&amp;"; "&amp;O1201&amp;AS[[#This Row],[Reporting Year]]&amp;"; "&amp;P1201&amp;AS[[#This Row],[Insurance Category Code]]&amp;"; "&amp;Q1201&amp;AS[[#This Row],[Large Provider Entity Code]]&amp;"; "&amp;R1201&amp;AS[[#This Row],[Age Band Code]]&amp;"; "&amp;S1201&amp;AS[[#This Row],[Sex Code]]</f>
        <v xml:space="preserve">Insurer Code ; Reporting Year ; Insurance Category Code ; Large Provider Entity Code ; Age Band Code ; Sex Code </v>
      </c>
      <c r="N1201" s="297" t="s">
        <v>197</v>
      </c>
      <c r="O1201" s="297" t="s">
        <v>198</v>
      </c>
      <c r="P1201" s="297" t="s">
        <v>199</v>
      </c>
      <c r="Q1201" s="297" t="s">
        <v>200</v>
      </c>
      <c r="R1201" s="297" t="s">
        <v>213</v>
      </c>
      <c r="S1201" s="297" t="s">
        <v>214</v>
      </c>
    </row>
    <row r="1202" spans="1:19" x14ac:dyDescent="0.4">
      <c r="A1202" s="291"/>
      <c r="B1202" s="292"/>
      <c r="C1202" s="312"/>
      <c r="D1202" s="292"/>
      <c r="E1202" s="489"/>
      <c r="F1202" s="489"/>
      <c r="G1202" s="490"/>
      <c r="H1202" s="520"/>
      <c r="I1202" s="523"/>
      <c r="J1202" s="521"/>
      <c r="K1202" s="522"/>
      <c r="M1202" s="301" t="str">
        <f>N1202&amp;AS[[#This Row],[Insurer Code]]&amp;"; "&amp;O1202&amp;AS[[#This Row],[Reporting Year]]&amp;"; "&amp;P1202&amp;AS[[#This Row],[Insurance Category Code]]&amp;"; "&amp;Q1202&amp;AS[[#This Row],[Large Provider Entity Code]]&amp;"; "&amp;R1202&amp;AS[[#This Row],[Age Band Code]]&amp;"; "&amp;S1202&amp;AS[[#This Row],[Sex Code]]</f>
        <v xml:space="preserve">Insurer Code ; Reporting Year ; Insurance Category Code ; Large Provider Entity Code ; Age Band Code ; Sex Code </v>
      </c>
      <c r="N1202" s="297" t="s">
        <v>197</v>
      </c>
      <c r="O1202" s="297" t="s">
        <v>198</v>
      </c>
      <c r="P1202" s="297" t="s">
        <v>199</v>
      </c>
      <c r="Q1202" s="297" t="s">
        <v>200</v>
      </c>
      <c r="R1202" s="297" t="s">
        <v>213</v>
      </c>
      <c r="S1202" s="297" t="s">
        <v>214</v>
      </c>
    </row>
    <row r="1203" spans="1:19" x14ac:dyDescent="0.4">
      <c r="A1203" s="291"/>
      <c r="B1203" s="292"/>
      <c r="C1203" s="312"/>
      <c r="D1203" s="292"/>
      <c r="E1203" s="489"/>
      <c r="F1203" s="489"/>
      <c r="G1203" s="490"/>
      <c r="H1203" s="520"/>
      <c r="I1203" s="523"/>
      <c r="J1203" s="521"/>
      <c r="K1203" s="522"/>
      <c r="M1203" s="301" t="str">
        <f>N1203&amp;AS[[#This Row],[Insurer Code]]&amp;"; "&amp;O1203&amp;AS[[#This Row],[Reporting Year]]&amp;"; "&amp;P1203&amp;AS[[#This Row],[Insurance Category Code]]&amp;"; "&amp;Q1203&amp;AS[[#This Row],[Large Provider Entity Code]]&amp;"; "&amp;R1203&amp;AS[[#This Row],[Age Band Code]]&amp;"; "&amp;S1203&amp;AS[[#This Row],[Sex Code]]</f>
        <v xml:space="preserve">Insurer Code ; Reporting Year ; Insurance Category Code ; Large Provider Entity Code ; Age Band Code ; Sex Code </v>
      </c>
      <c r="N1203" s="297" t="s">
        <v>197</v>
      </c>
      <c r="O1203" s="297" t="s">
        <v>198</v>
      </c>
      <c r="P1203" s="297" t="s">
        <v>199</v>
      </c>
      <c r="Q1203" s="297" t="s">
        <v>200</v>
      </c>
      <c r="R1203" s="297" t="s">
        <v>213</v>
      </c>
      <c r="S1203" s="297" t="s">
        <v>214</v>
      </c>
    </row>
    <row r="1204" spans="1:19" x14ac:dyDescent="0.4">
      <c r="A1204" s="291"/>
      <c r="B1204" s="292"/>
      <c r="C1204" s="312"/>
      <c r="D1204" s="292"/>
      <c r="E1204" s="489"/>
      <c r="F1204" s="489"/>
      <c r="G1204" s="490"/>
      <c r="H1204" s="520"/>
      <c r="I1204" s="523"/>
      <c r="J1204" s="521"/>
      <c r="K1204" s="522"/>
      <c r="M1204" s="301" t="str">
        <f>N1204&amp;AS[[#This Row],[Insurer Code]]&amp;"; "&amp;O1204&amp;AS[[#This Row],[Reporting Year]]&amp;"; "&amp;P1204&amp;AS[[#This Row],[Insurance Category Code]]&amp;"; "&amp;Q1204&amp;AS[[#This Row],[Large Provider Entity Code]]&amp;"; "&amp;R1204&amp;AS[[#This Row],[Age Band Code]]&amp;"; "&amp;S1204&amp;AS[[#This Row],[Sex Code]]</f>
        <v xml:space="preserve">Insurer Code ; Reporting Year ; Insurance Category Code ; Large Provider Entity Code ; Age Band Code ; Sex Code </v>
      </c>
      <c r="N1204" s="297" t="s">
        <v>197</v>
      </c>
      <c r="O1204" s="297" t="s">
        <v>198</v>
      </c>
      <c r="P1204" s="297" t="s">
        <v>199</v>
      </c>
      <c r="Q1204" s="297" t="s">
        <v>200</v>
      </c>
      <c r="R1204" s="297" t="s">
        <v>213</v>
      </c>
      <c r="S1204" s="297" t="s">
        <v>214</v>
      </c>
    </row>
    <row r="1205" spans="1:19" x14ac:dyDescent="0.4">
      <c r="A1205" s="291"/>
      <c r="B1205" s="292"/>
      <c r="C1205" s="312"/>
      <c r="D1205" s="292"/>
      <c r="E1205" s="489"/>
      <c r="F1205" s="489"/>
      <c r="G1205" s="490"/>
      <c r="H1205" s="520"/>
      <c r="I1205" s="523"/>
      <c r="J1205" s="521"/>
      <c r="K1205" s="522"/>
      <c r="M1205" s="301" t="str">
        <f>N1205&amp;AS[[#This Row],[Insurer Code]]&amp;"; "&amp;O1205&amp;AS[[#This Row],[Reporting Year]]&amp;"; "&amp;P1205&amp;AS[[#This Row],[Insurance Category Code]]&amp;"; "&amp;Q1205&amp;AS[[#This Row],[Large Provider Entity Code]]&amp;"; "&amp;R1205&amp;AS[[#This Row],[Age Band Code]]&amp;"; "&amp;S1205&amp;AS[[#This Row],[Sex Code]]</f>
        <v xml:space="preserve">Insurer Code ; Reporting Year ; Insurance Category Code ; Large Provider Entity Code ; Age Band Code ; Sex Code </v>
      </c>
      <c r="N1205" s="297" t="s">
        <v>197</v>
      </c>
      <c r="O1205" s="297" t="s">
        <v>198</v>
      </c>
      <c r="P1205" s="297" t="s">
        <v>199</v>
      </c>
      <c r="Q1205" s="297" t="s">
        <v>200</v>
      </c>
      <c r="R1205" s="297" t="s">
        <v>213</v>
      </c>
      <c r="S1205" s="297" t="s">
        <v>214</v>
      </c>
    </row>
    <row r="1206" spans="1:19" x14ac:dyDescent="0.4">
      <c r="A1206" s="291"/>
      <c r="B1206" s="292"/>
      <c r="C1206" s="312"/>
      <c r="D1206" s="292"/>
      <c r="E1206" s="489"/>
      <c r="F1206" s="489"/>
      <c r="G1206" s="490"/>
      <c r="H1206" s="520"/>
      <c r="I1206" s="523"/>
      <c r="J1206" s="521"/>
      <c r="K1206" s="522"/>
      <c r="M1206" s="301" t="str">
        <f>N1206&amp;AS[[#This Row],[Insurer Code]]&amp;"; "&amp;O1206&amp;AS[[#This Row],[Reporting Year]]&amp;"; "&amp;P1206&amp;AS[[#This Row],[Insurance Category Code]]&amp;"; "&amp;Q1206&amp;AS[[#This Row],[Large Provider Entity Code]]&amp;"; "&amp;R1206&amp;AS[[#This Row],[Age Band Code]]&amp;"; "&amp;S1206&amp;AS[[#This Row],[Sex Code]]</f>
        <v xml:space="preserve">Insurer Code ; Reporting Year ; Insurance Category Code ; Large Provider Entity Code ; Age Band Code ; Sex Code </v>
      </c>
      <c r="N1206" s="297" t="s">
        <v>197</v>
      </c>
      <c r="O1206" s="297" t="s">
        <v>198</v>
      </c>
      <c r="P1206" s="297" t="s">
        <v>199</v>
      </c>
      <c r="Q1206" s="297" t="s">
        <v>200</v>
      </c>
      <c r="R1206" s="297" t="s">
        <v>213</v>
      </c>
      <c r="S1206" s="297" t="s">
        <v>214</v>
      </c>
    </row>
    <row r="1207" spans="1:19" x14ac:dyDescent="0.4">
      <c r="A1207" s="291"/>
      <c r="B1207" s="292"/>
      <c r="C1207" s="312"/>
      <c r="D1207" s="292"/>
      <c r="E1207" s="489"/>
      <c r="F1207" s="489"/>
      <c r="G1207" s="490"/>
      <c r="H1207" s="520"/>
      <c r="I1207" s="523"/>
      <c r="J1207" s="521"/>
      <c r="K1207" s="522"/>
      <c r="M1207" s="301" t="str">
        <f>N1207&amp;AS[[#This Row],[Insurer Code]]&amp;"; "&amp;O1207&amp;AS[[#This Row],[Reporting Year]]&amp;"; "&amp;P1207&amp;AS[[#This Row],[Insurance Category Code]]&amp;"; "&amp;Q1207&amp;AS[[#This Row],[Large Provider Entity Code]]&amp;"; "&amp;R1207&amp;AS[[#This Row],[Age Band Code]]&amp;"; "&amp;S1207&amp;AS[[#This Row],[Sex Code]]</f>
        <v xml:space="preserve">Insurer Code ; Reporting Year ; Insurance Category Code ; Large Provider Entity Code ; Age Band Code ; Sex Code </v>
      </c>
      <c r="N1207" s="297" t="s">
        <v>197</v>
      </c>
      <c r="O1207" s="297" t="s">
        <v>198</v>
      </c>
      <c r="P1207" s="297" t="s">
        <v>199</v>
      </c>
      <c r="Q1207" s="297" t="s">
        <v>200</v>
      </c>
      <c r="R1207" s="297" t="s">
        <v>213</v>
      </c>
      <c r="S1207" s="297" t="s">
        <v>214</v>
      </c>
    </row>
    <row r="1208" spans="1:19" x14ac:dyDescent="0.4">
      <c r="A1208" s="291"/>
      <c r="B1208" s="292"/>
      <c r="C1208" s="312"/>
      <c r="D1208" s="292"/>
      <c r="E1208" s="489"/>
      <c r="F1208" s="489"/>
      <c r="G1208" s="490"/>
      <c r="H1208" s="520"/>
      <c r="I1208" s="523"/>
      <c r="J1208" s="521"/>
      <c r="K1208" s="522"/>
      <c r="M1208" s="301" t="str">
        <f>N1208&amp;AS[[#This Row],[Insurer Code]]&amp;"; "&amp;O1208&amp;AS[[#This Row],[Reporting Year]]&amp;"; "&amp;P1208&amp;AS[[#This Row],[Insurance Category Code]]&amp;"; "&amp;Q1208&amp;AS[[#This Row],[Large Provider Entity Code]]&amp;"; "&amp;R1208&amp;AS[[#This Row],[Age Band Code]]&amp;"; "&amp;S1208&amp;AS[[#This Row],[Sex Code]]</f>
        <v xml:space="preserve">Insurer Code ; Reporting Year ; Insurance Category Code ; Large Provider Entity Code ; Age Band Code ; Sex Code </v>
      </c>
      <c r="N1208" s="297" t="s">
        <v>197</v>
      </c>
      <c r="O1208" s="297" t="s">
        <v>198</v>
      </c>
      <c r="P1208" s="297" t="s">
        <v>199</v>
      </c>
      <c r="Q1208" s="297" t="s">
        <v>200</v>
      </c>
      <c r="R1208" s="297" t="s">
        <v>213</v>
      </c>
      <c r="S1208" s="297" t="s">
        <v>214</v>
      </c>
    </row>
    <row r="1209" spans="1:19" x14ac:dyDescent="0.4">
      <c r="A1209" s="291"/>
      <c r="B1209" s="292"/>
      <c r="C1209" s="312"/>
      <c r="D1209" s="292"/>
      <c r="E1209" s="489"/>
      <c r="F1209" s="489"/>
      <c r="G1209" s="490"/>
      <c r="H1209" s="520"/>
      <c r="I1209" s="523"/>
      <c r="J1209" s="521"/>
      <c r="K1209" s="522"/>
      <c r="M1209" s="301" t="str">
        <f>N1209&amp;AS[[#This Row],[Insurer Code]]&amp;"; "&amp;O1209&amp;AS[[#This Row],[Reporting Year]]&amp;"; "&amp;P1209&amp;AS[[#This Row],[Insurance Category Code]]&amp;"; "&amp;Q1209&amp;AS[[#This Row],[Large Provider Entity Code]]&amp;"; "&amp;R1209&amp;AS[[#This Row],[Age Band Code]]&amp;"; "&amp;S1209&amp;AS[[#This Row],[Sex Code]]</f>
        <v xml:space="preserve">Insurer Code ; Reporting Year ; Insurance Category Code ; Large Provider Entity Code ; Age Band Code ; Sex Code </v>
      </c>
      <c r="N1209" s="297" t="s">
        <v>197</v>
      </c>
      <c r="O1209" s="297" t="s">
        <v>198</v>
      </c>
      <c r="P1209" s="297" t="s">
        <v>199</v>
      </c>
      <c r="Q1209" s="297" t="s">
        <v>200</v>
      </c>
      <c r="R1209" s="297" t="s">
        <v>213</v>
      </c>
      <c r="S1209" s="297" t="s">
        <v>214</v>
      </c>
    </row>
    <row r="1210" spans="1:19" x14ac:dyDescent="0.4">
      <c r="A1210" s="291"/>
      <c r="B1210" s="292"/>
      <c r="C1210" s="312"/>
      <c r="D1210" s="292"/>
      <c r="E1210" s="489"/>
      <c r="F1210" s="489"/>
      <c r="G1210" s="490"/>
      <c r="H1210" s="520"/>
      <c r="I1210" s="523"/>
      <c r="J1210" s="521"/>
      <c r="K1210" s="522"/>
      <c r="M1210" s="301" t="str">
        <f>N1210&amp;AS[[#This Row],[Insurer Code]]&amp;"; "&amp;O1210&amp;AS[[#This Row],[Reporting Year]]&amp;"; "&amp;P1210&amp;AS[[#This Row],[Insurance Category Code]]&amp;"; "&amp;Q1210&amp;AS[[#This Row],[Large Provider Entity Code]]&amp;"; "&amp;R1210&amp;AS[[#This Row],[Age Band Code]]&amp;"; "&amp;S1210&amp;AS[[#This Row],[Sex Code]]</f>
        <v xml:space="preserve">Insurer Code ; Reporting Year ; Insurance Category Code ; Large Provider Entity Code ; Age Band Code ; Sex Code </v>
      </c>
      <c r="N1210" s="297" t="s">
        <v>197</v>
      </c>
      <c r="O1210" s="297" t="s">
        <v>198</v>
      </c>
      <c r="P1210" s="297" t="s">
        <v>199</v>
      </c>
      <c r="Q1210" s="297" t="s">
        <v>200</v>
      </c>
      <c r="R1210" s="297" t="s">
        <v>213</v>
      </c>
      <c r="S1210" s="297" t="s">
        <v>214</v>
      </c>
    </row>
    <row r="1211" spans="1:19" x14ac:dyDescent="0.4">
      <c r="A1211" s="291"/>
      <c r="B1211" s="292"/>
      <c r="C1211" s="312"/>
      <c r="D1211" s="292"/>
      <c r="E1211" s="489"/>
      <c r="F1211" s="489"/>
      <c r="G1211" s="490"/>
      <c r="H1211" s="520"/>
      <c r="I1211" s="523"/>
      <c r="J1211" s="521"/>
      <c r="K1211" s="522"/>
      <c r="M1211" s="301" t="str">
        <f>N1211&amp;AS[[#This Row],[Insurer Code]]&amp;"; "&amp;O1211&amp;AS[[#This Row],[Reporting Year]]&amp;"; "&amp;P1211&amp;AS[[#This Row],[Insurance Category Code]]&amp;"; "&amp;Q1211&amp;AS[[#This Row],[Large Provider Entity Code]]&amp;"; "&amp;R1211&amp;AS[[#This Row],[Age Band Code]]&amp;"; "&amp;S1211&amp;AS[[#This Row],[Sex Code]]</f>
        <v xml:space="preserve">Insurer Code ; Reporting Year ; Insurance Category Code ; Large Provider Entity Code ; Age Band Code ; Sex Code </v>
      </c>
      <c r="N1211" s="297" t="s">
        <v>197</v>
      </c>
      <c r="O1211" s="297" t="s">
        <v>198</v>
      </c>
      <c r="P1211" s="297" t="s">
        <v>199</v>
      </c>
      <c r="Q1211" s="297" t="s">
        <v>200</v>
      </c>
      <c r="R1211" s="297" t="s">
        <v>213</v>
      </c>
      <c r="S1211" s="297" t="s">
        <v>214</v>
      </c>
    </row>
    <row r="1212" spans="1:19" x14ac:dyDescent="0.4">
      <c r="A1212" s="291"/>
      <c r="B1212" s="292"/>
      <c r="C1212" s="312"/>
      <c r="D1212" s="292"/>
      <c r="E1212" s="489"/>
      <c r="F1212" s="489"/>
      <c r="G1212" s="490"/>
      <c r="H1212" s="520"/>
      <c r="I1212" s="523"/>
      <c r="J1212" s="521"/>
      <c r="K1212" s="522"/>
      <c r="M1212" s="301" t="str">
        <f>N1212&amp;AS[[#This Row],[Insurer Code]]&amp;"; "&amp;O1212&amp;AS[[#This Row],[Reporting Year]]&amp;"; "&amp;P1212&amp;AS[[#This Row],[Insurance Category Code]]&amp;"; "&amp;Q1212&amp;AS[[#This Row],[Large Provider Entity Code]]&amp;"; "&amp;R1212&amp;AS[[#This Row],[Age Band Code]]&amp;"; "&amp;S1212&amp;AS[[#This Row],[Sex Code]]</f>
        <v xml:space="preserve">Insurer Code ; Reporting Year ; Insurance Category Code ; Large Provider Entity Code ; Age Band Code ; Sex Code </v>
      </c>
      <c r="N1212" s="297" t="s">
        <v>197</v>
      </c>
      <c r="O1212" s="297" t="s">
        <v>198</v>
      </c>
      <c r="P1212" s="297" t="s">
        <v>199</v>
      </c>
      <c r="Q1212" s="297" t="s">
        <v>200</v>
      </c>
      <c r="R1212" s="297" t="s">
        <v>213</v>
      </c>
      <c r="S1212" s="297" t="s">
        <v>214</v>
      </c>
    </row>
    <row r="1213" spans="1:19" x14ac:dyDescent="0.4">
      <c r="A1213" s="291"/>
      <c r="B1213" s="292"/>
      <c r="C1213" s="312"/>
      <c r="D1213" s="292"/>
      <c r="E1213" s="489"/>
      <c r="F1213" s="489"/>
      <c r="G1213" s="490"/>
      <c r="H1213" s="520"/>
      <c r="I1213" s="523"/>
      <c r="J1213" s="521"/>
      <c r="K1213" s="522"/>
      <c r="M1213" s="301" t="str">
        <f>N1213&amp;AS[[#This Row],[Insurer Code]]&amp;"; "&amp;O1213&amp;AS[[#This Row],[Reporting Year]]&amp;"; "&amp;P1213&amp;AS[[#This Row],[Insurance Category Code]]&amp;"; "&amp;Q1213&amp;AS[[#This Row],[Large Provider Entity Code]]&amp;"; "&amp;R1213&amp;AS[[#This Row],[Age Band Code]]&amp;"; "&amp;S1213&amp;AS[[#This Row],[Sex Code]]</f>
        <v xml:space="preserve">Insurer Code ; Reporting Year ; Insurance Category Code ; Large Provider Entity Code ; Age Band Code ; Sex Code </v>
      </c>
      <c r="N1213" s="297" t="s">
        <v>197</v>
      </c>
      <c r="O1213" s="297" t="s">
        <v>198</v>
      </c>
      <c r="P1213" s="297" t="s">
        <v>199</v>
      </c>
      <c r="Q1213" s="297" t="s">
        <v>200</v>
      </c>
      <c r="R1213" s="297" t="s">
        <v>213</v>
      </c>
      <c r="S1213" s="297" t="s">
        <v>214</v>
      </c>
    </row>
    <row r="1214" spans="1:19" x14ac:dyDescent="0.4">
      <c r="A1214" s="291"/>
      <c r="B1214" s="292"/>
      <c r="C1214" s="312"/>
      <c r="D1214" s="292"/>
      <c r="E1214" s="489"/>
      <c r="F1214" s="489"/>
      <c r="G1214" s="490"/>
      <c r="H1214" s="520"/>
      <c r="I1214" s="523"/>
      <c r="J1214" s="521"/>
      <c r="K1214" s="522"/>
      <c r="M1214" s="301" t="str">
        <f>N1214&amp;AS[[#This Row],[Insurer Code]]&amp;"; "&amp;O1214&amp;AS[[#This Row],[Reporting Year]]&amp;"; "&amp;P1214&amp;AS[[#This Row],[Insurance Category Code]]&amp;"; "&amp;Q1214&amp;AS[[#This Row],[Large Provider Entity Code]]&amp;"; "&amp;R1214&amp;AS[[#This Row],[Age Band Code]]&amp;"; "&amp;S1214&amp;AS[[#This Row],[Sex Code]]</f>
        <v xml:space="preserve">Insurer Code ; Reporting Year ; Insurance Category Code ; Large Provider Entity Code ; Age Band Code ; Sex Code </v>
      </c>
      <c r="N1214" s="297" t="s">
        <v>197</v>
      </c>
      <c r="O1214" s="297" t="s">
        <v>198</v>
      </c>
      <c r="P1214" s="297" t="s">
        <v>199</v>
      </c>
      <c r="Q1214" s="297" t="s">
        <v>200</v>
      </c>
      <c r="R1214" s="297" t="s">
        <v>213</v>
      </c>
      <c r="S1214" s="297" t="s">
        <v>214</v>
      </c>
    </row>
    <row r="1215" spans="1:19" x14ac:dyDescent="0.4">
      <c r="A1215" s="291"/>
      <c r="B1215" s="292"/>
      <c r="C1215" s="312"/>
      <c r="D1215" s="292"/>
      <c r="E1215" s="489"/>
      <c r="F1215" s="489"/>
      <c r="G1215" s="490"/>
      <c r="H1215" s="520"/>
      <c r="I1215" s="523"/>
      <c r="J1215" s="521"/>
      <c r="K1215" s="522"/>
      <c r="M1215" s="301" t="str">
        <f>N1215&amp;AS[[#This Row],[Insurer Code]]&amp;"; "&amp;O1215&amp;AS[[#This Row],[Reporting Year]]&amp;"; "&amp;P1215&amp;AS[[#This Row],[Insurance Category Code]]&amp;"; "&amp;Q1215&amp;AS[[#This Row],[Large Provider Entity Code]]&amp;"; "&amp;R1215&amp;AS[[#This Row],[Age Band Code]]&amp;"; "&amp;S1215&amp;AS[[#This Row],[Sex Code]]</f>
        <v xml:space="preserve">Insurer Code ; Reporting Year ; Insurance Category Code ; Large Provider Entity Code ; Age Band Code ; Sex Code </v>
      </c>
      <c r="N1215" s="297" t="s">
        <v>197</v>
      </c>
      <c r="O1215" s="297" t="s">
        <v>198</v>
      </c>
      <c r="P1215" s="297" t="s">
        <v>199</v>
      </c>
      <c r="Q1215" s="297" t="s">
        <v>200</v>
      </c>
      <c r="R1215" s="297" t="s">
        <v>213</v>
      </c>
      <c r="S1215" s="297" t="s">
        <v>214</v>
      </c>
    </row>
    <row r="1216" spans="1:19" x14ac:dyDescent="0.4">
      <c r="A1216" s="291"/>
      <c r="B1216" s="292"/>
      <c r="C1216" s="312"/>
      <c r="D1216" s="292"/>
      <c r="E1216" s="489"/>
      <c r="F1216" s="489"/>
      <c r="G1216" s="490"/>
      <c r="H1216" s="520"/>
      <c r="I1216" s="523"/>
      <c r="J1216" s="521"/>
      <c r="K1216" s="522"/>
      <c r="M1216" s="301" t="str">
        <f>N1216&amp;AS[[#This Row],[Insurer Code]]&amp;"; "&amp;O1216&amp;AS[[#This Row],[Reporting Year]]&amp;"; "&amp;P1216&amp;AS[[#This Row],[Insurance Category Code]]&amp;"; "&amp;Q1216&amp;AS[[#This Row],[Large Provider Entity Code]]&amp;"; "&amp;R1216&amp;AS[[#This Row],[Age Band Code]]&amp;"; "&amp;S1216&amp;AS[[#This Row],[Sex Code]]</f>
        <v xml:space="preserve">Insurer Code ; Reporting Year ; Insurance Category Code ; Large Provider Entity Code ; Age Band Code ; Sex Code </v>
      </c>
      <c r="N1216" s="297" t="s">
        <v>197</v>
      </c>
      <c r="O1216" s="297" t="s">
        <v>198</v>
      </c>
      <c r="P1216" s="297" t="s">
        <v>199</v>
      </c>
      <c r="Q1216" s="297" t="s">
        <v>200</v>
      </c>
      <c r="R1216" s="297" t="s">
        <v>213</v>
      </c>
      <c r="S1216" s="297" t="s">
        <v>214</v>
      </c>
    </row>
    <row r="1217" spans="1:19" x14ac:dyDescent="0.4">
      <c r="A1217" s="291"/>
      <c r="B1217" s="292"/>
      <c r="C1217" s="312"/>
      <c r="D1217" s="292"/>
      <c r="E1217" s="489"/>
      <c r="F1217" s="489"/>
      <c r="G1217" s="490"/>
      <c r="H1217" s="520"/>
      <c r="I1217" s="523"/>
      <c r="J1217" s="521"/>
      <c r="K1217" s="522"/>
      <c r="M1217" s="301" t="str">
        <f>N1217&amp;AS[[#This Row],[Insurer Code]]&amp;"; "&amp;O1217&amp;AS[[#This Row],[Reporting Year]]&amp;"; "&amp;P1217&amp;AS[[#This Row],[Insurance Category Code]]&amp;"; "&amp;Q1217&amp;AS[[#This Row],[Large Provider Entity Code]]&amp;"; "&amp;R1217&amp;AS[[#This Row],[Age Band Code]]&amp;"; "&amp;S1217&amp;AS[[#This Row],[Sex Code]]</f>
        <v xml:space="preserve">Insurer Code ; Reporting Year ; Insurance Category Code ; Large Provider Entity Code ; Age Band Code ; Sex Code </v>
      </c>
      <c r="N1217" s="297" t="s">
        <v>197</v>
      </c>
      <c r="O1217" s="297" t="s">
        <v>198</v>
      </c>
      <c r="P1217" s="297" t="s">
        <v>199</v>
      </c>
      <c r="Q1217" s="297" t="s">
        <v>200</v>
      </c>
      <c r="R1217" s="297" t="s">
        <v>213</v>
      </c>
      <c r="S1217" s="297" t="s">
        <v>214</v>
      </c>
    </row>
    <row r="1218" spans="1:19" x14ac:dyDescent="0.4">
      <c r="A1218" s="291"/>
      <c r="B1218" s="292"/>
      <c r="C1218" s="312"/>
      <c r="D1218" s="292"/>
      <c r="E1218" s="489"/>
      <c r="F1218" s="489"/>
      <c r="G1218" s="490"/>
      <c r="H1218" s="520"/>
      <c r="I1218" s="523"/>
      <c r="J1218" s="521"/>
      <c r="K1218" s="522"/>
      <c r="M1218" s="301" t="str">
        <f>N1218&amp;AS[[#This Row],[Insurer Code]]&amp;"; "&amp;O1218&amp;AS[[#This Row],[Reporting Year]]&amp;"; "&amp;P1218&amp;AS[[#This Row],[Insurance Category Code]]&amp;"; "&amp;Q1218&amp;AS[[#This Row],[Large Provider Entity Code]]&amp;"; "&amp;R1218&amp;AS[[#This Row],[Age Band Code]]&amp;"; "&amp;S1218&amp;AS[[#This Row],[Sex Code]]</f>
        <v xml:space="preserve">Insurer Code ; Reporting Year ; Insurance Category Code ; Large Provider Entity Code ; Age Band Code ; Sex Code </v>
      </c>
      <c r="N1218" s="297" t="s">
        <v>197</v>
      </c>
      <c r="O1218" s="297" t="s">
        <v>198</v>
      </c>
      <c r="P1218" s="297" t="s">
        <v>199</v>
      </c>
      <c r="Q1218" s="297" t="s">
        <v>200</v>
      </c>
      <c r="R1218" s="297" t="s">
        <v>213</v>
      </c>
      <c r="S1218" s="297" t="s">
        <v>214</v>
      </c>
    </row>
    <row r="1219" spans="1:19" x14ac:dyDescent="0.4">
      <c r="A1219" s="291"/>
      <c r="B1219" s="292"/>
      <c r="C1219" s="312"/>
      <c r="D1219" s="292"/>
      <c r="E1219" s="489"/>
      <c r="F1219" s="489"/>
      <c r="G1219" s="490"/>
      <c r="H1219" s="520"/>
      <c r="I1219" s="523"/>
      <c r="J1219" s="521"/>
      <c r="K1219" s="522"/>
      <c r="M1219" s="301" t="str">
        <f>N1219&amp;AS[[#This Row],[Insurer Code]]&amp;"; "&amp;O1219&amp;AS[[#This Row],[Reporting Year]]&amp;"; "&amp;P1219&amp;AS[[#This Row],[Insurance Category Code]]&amp;"; "&amp;Q1219&amp;AS[[#This Row],[Large Provider Entity Code]]&amp;"; "&amp;R1219&amp;AS[[#This Row],[Age Band Code]]&amp;"; "&amp;S1219&amp;AS[[#This Row],[Sex Code]]</f>
        <v xml:space="preserve">Insurer Code ; Reporting Year ; Insurance Category Code ; Large Provider Entity Code ; Age Band Code ; Sex Code </v>
      </c>
      <c r="N1219" s="297" t="s">
        <v>197</v>
      </c>
      <c r="O1219" s="297" t="s">
        <v>198</v>
      </c>
      <c r="P1219" s="297" t="s">
        <v>199</v>
      </c>
      <c r="Q1219" s="297" t="s">
        <v>200</v>
      </c>
      <c r="R1219" s="297" t="s">
        <v>213</v>
      </c>
      <c r="S1219" s="297" t="s">
        <v>214</v>
      </c>
    </row>
    <row r="1220" spans="1:19" x14ac:dyDescent="0.4">
      <c r="A1220" s="291"/>
      <c r="B1220" s="292"/>
      <c r="C1220" s="312"/>
      <c r="D1220" s="292"/>
      <c r="E1220" s="489"/>
      <c r="F1220" s="489"/>
      <c r="G1220" s="490"/>
      <c r="H1220" s="520"/>
      <c r="I1220" s="523"/>
      <c r="J1220" s="521"/>
      <c r="K1220" s="522"/>
      <c r="M1220" s="301" t="str">
        <f>N1220&amp;AS[[#This Row],[Insurer Code]]&amp;"; "&amp;O1220&amp;AS[[#This Row],[Reporting Year]]&amp;"; "&amp;P1220&amp;AS[[#This Row],[Insurance Category Code]]&amp;"; "&amp;Q1220&amp;AS[[#This Row],[Large Provider Entity Code]]&amp;"; "&amp;R1220&amp;AS[[#This Row],[Age Band Code]]&amp;"; "&amp;S1220&amp;AS[[#This Row],[Sex Code]]</f>
        <v xml:space="preserve">Insurer Code ; Reporting Year ; Insurance Category Code ; Large Provider Entity Code ; Age Band Code ; Sex Code </v>
      </c>
      <c r="N1220" s="297" t="s">
        <v>197</v>
      </c>
      <c r="O1220" s="297" t="s">
        <v>198</v>
      </c>
      <c r="P1220" s="297" t="s">
        <v>199</v>
      </c>
      <c r="Q1220" s="297" t="s">
        <v>200</v>
      </c>
      <c r="R1220" s="297" t="s">
        <v>213</v>
      </c>
      <c r="S1220" s="297" t="s">
        <v>214</v>
      </c>
    </row>
    <row r="1221" spans="1:19" x14ac:dyDescent="0.4">
      <c r="A1221" s="291"/>
      <c r="B1221" s="292"/>
      <c r="C1221" s="312"/>
      <c r="D1221" s="292"/>
      <c r="E1221" s="489"/>
      <c r="F1221" s="489"/>
      <c r="G1221" s="490"/>
      <c r="H1221" s="520"/>
      <c r="I1221" s="523"/>
      <c r="J1221" s="521"/>
      <c r="K1221" s="522"/>
      <c r="M1221" s="301" t="str">
        <f>N1221&amp;AS[[#This Row],[Insurer Code]]&amp;"; "&amp;O1221&amp;AS[[#This Row],[Reporting Year]]&amp;"; "&amp;P1221&amp;AS[[#This Row],[Insurance Category Code]]&amp;"; "&amp;Q1221&amp;AS[[#This Row],[Large Provider Entity Code]]&amp;"; "&amp;R1221&amp;AS[[#This Row],[Age Band Code]]&amp;"; "&amp;S1221&amp;AS[[#This Row],[Sex Code]]</f>
        <v xml:space="preserve">Insurer Code ; Reporting Year ; Insurance Category Code ; Large Provider Entity Code ; Age Band Code ; Sex Code </v>
      </c>
      <c r="N1221" s="297" t="s">
        <v>197</v>
      </c>
      <c r="O1221" s="297" t="s">
        <v>198</v>
      </c>
      <c r="P1221" s="297" t="s">
        <v>199</v>
      </c>
      <c r="Q1221" s="297" t="s">
        <v>200</v>
      </c>
      <c r="R1221" s="297" t="s">
        <v>213</v>
      </c>
      <c r="S1221" s="297" t="s">
        <v>214</v>
      </c>
    </row>
    <row r="1222" spans="1:19" x14ac:dyDescent="0.4">
      <c r="A1222" s="291"/>
      <c r="B1222" s="292"/>
      <c r="C1222" s="312"/>
      <c r="D1222" s="292"/>
      <c r="E1222" s="489"/>
      <c r="F1222" s="489"/>
      <c r="G1222" s="490"/>
      <c r="H1222" s="520"/>
      <c r="I1222" s="523"/>
      <c r="J1222" s="521"/>
      <c r="K1222" s="522"/>
      <c r="M1222" s="301" t="str">
        <f>N1222&amp;AS[[#This Row],[Insurer Code]]&amp;"; "&amp;O1222&amp;AS[[#This Row],[Reporting Year]]&amp;"; "&amp;P1222&amp;AS[[#This Row],[Insurance Category Code]]&amp;"; "&amp;Q1222&amp;AS[[#This Row],[Large Provider Entity Code]]&amp;"; "&amp;R1222&amp;AS[[#This Row],[Age Band Code]]&amp;"; "&amp;S1222&amp;AS[[#This Row],[Sex Code]]</f>
        <v xml:space="preserve">Insurer Code ; Reporting Year ; Insurance Category Code ; Large Provider Entity Code ; Age Band Code ; Sex Code </v>
      </c>
      <c r="N1222" s="297" t="s">
        <v>197</v>
      </c>
      <c r="O1222" s="297" t="s">
        <v>198</v>
      </c>
      <c r="P1222" s="297" t="s">
        <v>199</v>
      </c>
      <c r="Q1222" s="297" t="s">
        <v>200</v>
      </c>
      <c r="R1222" s="297" t="s">
        <v>213</v>
      </c>
      <c r="S1222" s="297" t="s">
        <v>214</v>
      </c>
    </row>
    <row r="1223" spans="1:19" x14ac:dyDescent="0.4">
      <c r="A1223" s="291"/>
      <c r="B1223" s="292"/>
      <c r="C1223" s="312"/>
      <c r="D1223" s="292"/>
      <c r="E1223" s="489"/>
      <c r="F1223" s="489"/>
      <c r="G1223" s="490"/>
      <c r="H1223" s="520"/>
      <c r="I1223" s="523"/>
      <c r="J1223" s="521"/>
      <c r="K1223" s="522"/>
      <c r="M1223" s="301" t="str">
        <f>N1223&amp;AS[[#This Row],[Insurer Code]]&amp;"; "&amp;O1223&amp;AS[[#This Row],[Reporting Year]]&amp;"; "&amp;P1223&amp;AS[[#This Row],[Insurance Category Code]]&amp;"; "&amp;Q1223&amp;AS[[#This Row],[Large Provider Entity Code]]&amp;"; "&amp;R1223&amp;AS[[#This Row],[Age Band Code]]&amp;"; "&amp;S1223&amp;AS[[#This Row],[Sex Code]]</f>
        <v xml:space="preserve">Insurer Code ; Reporting Year ; Insurance Category Code ; Large Provider Entity Code ; Age Band Code ; Sex Code </v>
      </c>
      <c r="N1223" s="297" t="s">
        <v>197</v>
      </c>
      <c r="O1223" s="297" t="s">
        <v>198</v>
      </c>
      <c r="P1223" s="297" t="s">
        <v>199</v>
      </c>
      <c r="Q1223" s="297" t="s">
        <v>200</v>
      </c>
      <c r="R1223" s="297" t="s">
        <v>213</v>
      </c>
      <c r="S1223" s="297" t="s">
        <v>214</v>
      </c>
    </row>
    <row r="1224" spans="1:19" x14ac:dyDescent="0.4">
      <c r="A1224" s="291"/>
      <c r="B1224" s="292"/>
      <c r="C1224" s="312"/>
      <c r="D1224" s="292"/>
      <c r="E1224" s="489"/>
      <c r="F1224" s="489"/>
      <c r="G1224" s="490"/>
      <c r="H1224" s="520"/>
      <c r="I1224" s="523"/>
      <c r="J1224" s="521"/>
      <c r="K1224" s="522"/>
      <c r="M1224" s="301" t="str">
        <f>N1224&amp;AS[[#This Row],[Insurer Code]]&amp;"; "&amp;O1224&amp;AS[[#This Row],[Reporting Year]]&amp;"; "&amp;P1224&amp;AS[[#This Row],[Insurance Category Code]]&amp;"; "&amp;Q1224&amp;AS[[#This Row],[Large Provider Entity Code]]&amp;"; "&amp;R1224&amp;AS[[#This Row],[Age Band Code]]&amp;"; "&amp;S1224&amp;AS[[#This Row],[Sex Code]]</f>
        <v xml:space="preserve">Insurer Code ; Reporting Year ; Insurance Category Code ; Large Provider Entity Code ; Age Band Code ; Sex Code </v>
      </c>
      <c r="N1224" s="297" t="s">
        <v>197</v>
      </c>
      <c r="O1224" s="297" t="s">
        <v>198</v>
      </c>
      <c r="P1224" s="297" t="s">
        <v>199</v>
      </c>
      <c r="Q1224" s="297" t="s">
        <v>200</v>
      </c>
      <c r="R1224" s="297" t="s">
        <v>213</v>
      </c>
      <c r="S1224" s="297" t="s">
        <v>214</v>
      </c>
    </row>
    <row r="1225" spans="1:19" x14ac:dyDescent="0.4">
      <c r="A1225" s="291"/>
      <c r="B1225" s="292"/>
      <c r="C1225" s="312"/>
      <c r="D1225" s="292"/>
      <c r="E1225" s="489"/>
      <c r="F1225" s="489"/>
      <c r="G1225" s="490"/>
      <c r="H1225" s="520"/>
      <c r="I1225" s="523"/>
      <c r="J1225" s="521"/>
      <c r="K1225" s="522"/>
      <c r="M1225" s="301" t="str">
        <f>N1225&amp;AS[[#This Row],[Insurer Code]]&amp;"; "&amp;O1225&amp;AS[[#This Row],[Reporting Year]]&amp;"; "&amp;P1225&amp;AS[[#This Row],[Insurance Category Code]]&amp;"; "&amp;Q1225&amp;AS[[#This Row],[Large Provider Entity Code]]&amp;"; "&amp;R1225&amp;AS[[#This Row],[Age Band Code]]&amp;"; "&amp;S1225&amp;AS[[#This Row],[Sex Code]]</f>
        <v xml:space="preserve">Insurer Code ; Reporting Year ; Insurance Category Code ; Large Provider Entity Code ; Age Band Code ; Sex Code </v>
      </c>
      <c r="N1225" s="297" t="s">
        <v>197</v>
      </c>
      <c r="O1225" s="297" t="s">
        <v>198</v>
      </c>
      <c r="P1225" s="297" t="s">
        <v>199</v>
      </c>
      <c r="Q1225" s="297" t="s">
        <v>200</v>
      </c>
      <c r="R1225" s="297" t="s">
        <v>213</v>
      </c>
      <c r="S1225" s="297" t="s">
        <v>214</v>
      </c>
    </row>
    <row r="1226" spans="1:19" x14ac:dyDescent="0.4">
      <c r="A1226" s="291"/>
      <c r="B1226" s="292"/>
      <c r="C1226" s="312"/>
      <c r="D1226" s="292"/>
      <c r="E1226" s="489"/>
      <c r="F1226" s="489"/>
      <c r="G1226" s="490"/>
      <c r="H1226" s="520"/>
      <c r="I1226" s="523"/>
      <c r="J1226" s="521"/>
      <c r="K1226" s="522"/>
      <c r="M1226" s="301" t="str">
        <f>N1226&amp;AS[[#This Row],[Insurer Code]]&amp;"; "&amp;O1226&amp;AS[[#This Row],[Reporting Year]]&amp;"; "&amp;P1226&amp;AS[[#This Row],[Insurance Category Code]]&amp;"; "&amp;Q1226&amp;AS[[#This Row],[Large Provider Entity Code]]&amp;"; "&amp;R1226&amp;AS[[#This Row],[Age Band Code]]&amp;"; "&amp;S1226&amp;AS[[#This Row],[Sex Code]]</f>
        <v xml:space="preserve">Insurer Code ; Reporting Year ; Insurance Category Code ; Large Provider Entity Code ; Age Band Code ; Sex Code </v>
      </c>
      <c r="N1226" s="297" t="s">
        <v>197</v>
      </c>
      <c r="O1226" s="297" t="s">
        <v>198</v>
      </c>
      <c r="P1226" s="297" t="s">
        <v>199</v>
      </c>
      <c r="Q1226" s="297" t="s">
        <v>200</v>
      </c>
      <c r="R1226" s="297" t="s">
        <v>213</v>
      </c>
      <c r="S1226" s="297" t="s">
        <v>214</v>
      </c>
    </row>
    <row r="1227" spans="1:19" x14ac:dyDescent="0.4">
      <c r="A1227" s="291"/>
      <c r="B1227" s="292"/>
      <c r="C1227" s="312"/>
      <c r="D1227" s="292"/>
      <c r="E1227" s="489"/>
      <c r="F1227" s="489"/>
      <c r="G1227" s="490"/>
      <c r="H1227" s="520"/>
      <c r="I1227" s="523"/>
      <c r="J1227" s="521"/>
      <c r="K1227" s="522"/>
      <c r="M1227" s="301" t="str">
        <f>N1227&amp;AS[[#This Row],[Insurer Code]]&amp;"; "&amp;O1227&amp;AS[[#This Row],[Reporting Year]]&amp;"; "&amp;P1227&amp;AS[[#This Row],[Insurance Category Code]]&amp;"; "&amp;Q1227&amp;AS[[#This Row],[Large Provider Entity Code]]&amp;"; "&amp;R1227&amp;AS[[#This Row],[Age Band Code]]&amp;"; "&amp;S1227&amp;AS[[#This Row],[Sex Code]]</f>
        <v xml:space="preserve">Insurer Code ; Reporting Year ; Insurance Category Code ; Large Provider Entity Code ; Age Band Code ; Sex Code </v>
      </c>
      <c r="N1227" s="297" t="s">
        <v>197</v>
      </c>
      <c r="O1227" s="297" t="s">
        <v>198</v>
      </c>
      <c r="P1227" s="297" t="s">
        <v>199</v>
      </c>
      <c r="Q1227" s="297" t="s">
        <v>200</v>
      </c>
      <c r="R1227" s="297" t="s">
        <v>213</v>
      </c>
      <c r="S1227" s="297" t="s">
        <v>214</v>
      </c>
    </row>
    <row r="1228" spans="1:19" x14ac:dyDescent="0.4">
      <c r="A1228" s="291"/>
      <c r="B1228" s="292"/>
      <c r="C1228" s="312"/>
      <c r="D1228" s="292"/>
      <c r="E1228" s="489"/>
      <c r="F1228" s="489"/>
      <c r="G1228" s="490"/>
      <c r="H1228" s="520"/>
      <c r="I1228" s="523"/>
      <c r="J1228" s="521"/>
      <c r="K1228" s="522"/>
      <c r="M1228" s="301" t="str">
        <f>N1228&amp;AS[[#This Row],[Insurer Code]]&amp;"; "&amp;O1228&amp;AS[[#This Row],[Reporting Year]]&amp;"; "&amp;P1228&amp;AS[[#This Row],[Insurance Category Code]]&amp;"; "&amp;Q1228&amp;AS[[#This Row],[Large Provider Entity Code]]&amp;"; "&amp;R1228&amp;AS[[#This Row],[Age Band Code]]&amp;"; "&amp;S1228&amp;AS[[#This Row],[Sex Code]]</f>
        <v xml:space="preserve">Insurer Code ; Reporting Year ; Insurance Category Code ; Large Provider Entity Code ; Age Band Code ; Sex Code </v>
      </c>
      <c r="N1228" s="297" t="s">
        <v>197</v>
      </c>
      <c r="O1228" s="297" t="s">
        <v>198</v>
      </c>
      <c r="P1228" s="297" t="s">
        <v>199</v>
      </c>
      <c r="Q1228" s="297" t="s">
        <v>200</v>
      </c>
      <c r="R1228" s="297" t="s">
        <v>213</v>
      </c>
      <c r="S1228" s="297" t="s">
        <v>214</v>
      </c>
    </row>
    <row r="1229" spans="1:19" x14ac:dyDescent="0.4">
      <c r="A1229" s="291"/>
      <c r="B1229" s="292"/>
      <c r="C1229" s="312"/>
      <c r="D1229" s="292"/>
      <c r="E1229" s="489"/>
      <c r="F1229" s="489"/>
      <c r="G1229" s="490"/>
      <c r="H1229" s="520"/>
      <c r="I1229" s="523"/>
      <c r="J1229" s="521"/>
      <c r="K1229" s="522"/>
      <c r="M1229" s="301" t="str">
        <f>N1229&amp;AS[[#This Row],[Insurer Code]]&amp;"; "&amp;O1229&amp;AS[[#This Row],[Reporting Year]]&amp;"; "&amp;P1229&amp;AS[[#This Row],[Insurance Category Code]]&amp;"; "&amp;Q1229&amp;AS[[#This Row],[Large Provider Entity Code]]&amp;"; "&amp;R1229&amp;AS[[#This Row],[Age Band Code]]&amp;"; "&amp;S1229&amp;AS[[#This Row],[Sex Code]]</f>
        <v xml:space="preserve">Insurer Code ; Reporting Year ; Insurance Category Code ; Large Provider Entity Code ; Age Band Code ; Sex Code </v>
      </c>
      <c r="N1229" s="297" t="s">
        <v>197</v>
      </c>
      <c r="O1229" s="297" t="s">
        <v>198</v>
      </c>
      <c r="P1229" s="297" t="s">
        <v>199</v>
      </c>
      <c r="Q1229" s="297" t="s">
        <v>200</v>
      </c>
      <c r="R1229" s="297" t="s">
        <v>213</v>
      </c>
      <c r="S1229" s="297" t="s">
        <v>214</v>
      </c>
    </row>
    <row r="1230" spans="1:19" x14ac:dyDescent="0.4">
      <c r="A1230" s="291"/>
      <c r="B1230" s="292"/>
      <c r="C1230" s="312"/>
      <c r="D1230" s="292"/>
      <c r="E1230" s="489"/>
      <c r="F1230" s="489"/>
      <c r="G1230" s="490"/>
      <c r="H1230" s="520"/>
      <c r="I1230" s="523"/>
      <c r="J1230" s="521"/>
      <c r="K1230" s="522"/>
      <c r="M1230" s="301" t="str">
        <f>N1230&amp;AS[[#This Row],[Insurer Code]]&amp;"; "&amp;O1230&amp;AS[[#This Row],[Reporting Year]]&amp;"; "&amp;P1230&amp;AS[[#This Row],[Insurance Category Code]]&amp;"; "&amp;Q1230&amp;AS[[#This Row],[Large Provider Entity Code]]&amp;"; "&amp;R1230&amp;AS[[#This Row],[Age Band Code]]&amp;"; "&amp;S1230&amp;AS[[#This Row],[Sex Code]]</f>
        <v xml:space="preserve">Insurer Code ; Reporting Year ; Insurance Category Code ; Large Provider Entity Code ; Age Band Code ; Sex Code </v>
      </c>
      <c r="N1230" s="297" t="s">
        <v>197</v>
      </c>
      <c r="O1230" s="297" t="s">
        <v>198</v>
      </c>
      <c r="P1230" s="297" t="s">
        <v>199</v>
      </c>
      <c r="Q1230" s="297" t="s">
        <v>200</v>
      </c>
      <c r="R1230" s="297" t="s">
        <v>213</v>
      </c>
      <c r="S1230" s="297" t="s">
        <v>214</v>
      </c>
    </row>
    <row r="1231" spans="1:19" x14ac:dyDescent="0.4">
      <c r="A1231" s="291"/>
      <c r="B1231" s="292"/>
      <c r="C1231" s="312"/>
      <c r="D1231" s="292"/>
      <c r="E1231" s="489"/>
      <c r="F1231" s="489"/>
      <c r="G1231" s="490"/>
      <c r="H1231" s="520"/>
      <c r="I1231" s="523"/>
      <c r="J1231" s="521"/>
      <c r="K1231" s="522"/>
      <c r="M1231" s="301" t="str">
        <f>N1231&amp;AS[[#This Row],[Insurer Code]]&amp;"; "&amp;O1231&amp;AS[[#This Row],[Reporting Year]]&amp;"; "&amp;P1231&amp;AS[[#This Row],[Insurance Category Code]]&amp;"; "&amp;Q1231&amp;AS[[#This Row],[Large Provider Entity Code]]&amp;"; "&amp;R1231&amp;AS[[#This Row],[Age Band Code]]&amp;"; "&amp;S1231&amp;AS[[#This Row],[Sex Code]]</f>
        <v xml:space="preserve">Insurer Code ; Reporting Year ; Insurance Category Code ; Large Provider Entity Code ; Age Band Code ; Sex Code </v>
      </c>
      <c r="N1231" s="297" t="s">
        <v>197</v>
      </c>
      <c r="O1231" s="297" t="s">
        <v>198</v>
      </c>
      <c r="P1231" s="297" t="s">
        <v>199</v>
      </c>
      <c r="Q1231" s="297" t="s">
        <v>200</v>
      </c>
      <c r="R1231" s="297" t="s">
        <v>213</v>
      </c>
      <c r="S1231" s="297" t="s">
        <v>214</v>
      </c>
    </row>
    <row r="1232" spans="1:19" x14ac:dyDescent="0.4">
      <c r="A1232" s="291"/>
      <c r="B1232" s="292"/>
      <c r="C1232" s="312"/>
      <c r="D1232" s="292"/>
      <c r="E1232" s="489"/>
      <c r="F1232" s="489"/>
      <c r="G1232" s="490"/>
      <c r="H1232" s="520"/>
      <c r="I1232" s="523"/>
      <c r="J1232" s="521"/>
      <c r="K1232" s="522"/>
      <c r="M1232" s="301" t="str">
        <f>N1232&amp;AS[[#This Row],[Insurer Code]]&amp;"; "&amp;O1232&amp;AS[[#This Row],[Reporting Year]]&amp;"; "&amp;P1232&amp;AS[[#This Row],[Insurance Category Code]]&amp;"; "&amp;Q1232&amp;AS[[#This Row],[Large Provider Entity Code]]&amp;"; "&amp;R1232&amp;AS[[#This Row],[Age Band Code]]&amp;"; "&amp;S1232&amp;AS[[#This Row],[Sex Code]]</f>
        <v xml:space="preserve">Insurer Code ; Reporting Year ; Insurance Category Code ; Large Provider Entity Code ; Age Band Code ; Sex Code </v>
      </c>
      <c r="N1232" s="297" t="s">
        <v>197</v>
      </c>
      <c r="O1232" s="297" t="s">
        <v>198</v>
      </c>
      <c r="P1232" s="297" t="s">
        <v>199</v>
      </c>
      <c r="Q1232" s="297" t="s">
        <v>200</v>
      </c>
      <c r="R1232" s="297" t="s">
        <v>213</v>
      </c>
      <c r="S1232" s="297" t="s">
        <v>214</v>
      </c>
    </row>
    <row r="1233" spans="1:19" x14ac:dyDescent="0.4">
      <c r="A1233" s="291"/>
      <c r="B1233" s="292"/>
      <c r="C1233" s="312"/>
      <c r="D1233" s="292"/>
      <c r="E1233" s="489"/>
      <c r="F1233" s="489"/>
      <c r="G1233" s="490"/>
      <c r="H1233" s="520"/>
      <c r="I1233" s="523"/>
      <c r="J1233" s="521"/>
      <c r="K1233" s="522"/>
      <c r="M1233" s="301" t="str">
        <f>N1233&amp;AS[[#This Row],[Insurer Code]]&amp;"; "&amp;O1233&amp;AS[[#This Row],[Reporting Year]]&amp;"; "&amp;P1233&amp;AS[[#This Row],[Insurance Category Code]]&amp;"; "&amp;Q1233&amp;AS[[#This Row],[Large Provider Entity Code]]&amp;"; "&amp;R1233&amp;AS[[#This Row],[Age Band Code]]&amp;"; "&amp;S1233&amp;AS[[#This Row],[Sex Code]]</f>
        <v xml:space="preserve">Insurer Code ; Reporting Year ; Insurance Category Code ; Large Provider Entity Code ; Age Band Code ; Sex Code </v>
      </c>
      <c r="N1233" s="297" t="s">
        <v>197</v>
      </c>
      <c r="O1233" s="297" t="s">
        <v>198</v>
      </c>
      <c r="P1233" s="297" t="s">
        <v>199</v>
      </c>
      <c r="Q1233" s="297" t="s">
        <v>200</v>
      </c>
      <c r="R1233" s="297" t="s">
        <v>213</v>
      </c>
      <c r="S1233" s="297" t="s">
        <v>214</v>
      </c>
    </row>
    <row r="1234" spans="1:19" x14ac:dyDescent="0.4">
      <c r="A1234" s="291"/>
      <c r="B1234" s="292"/>
      <c r="C1234" s="312"/>
      <c r="D1234" s="292"/>
      <c r="E1234" s="489"/>
      <c r="F1234" s="489"/>
      <c r="G1234" s="490"/>
      <c r="H1234" s="520"/>
      <c r="I1234" s="523"/>
      <c r="J1234" s="521"/>
      <c r="K1234" s="522"/>
      <c r="M1234" s="301" t="str">
        <f>N1234&amp;AS[[#This Row],[Insurer Code]]&amp;"; "&amp;O1234&amp;AS[[#This Row],[Reporting Year]]&amp;"; "&amp;P1234&amp;AS[[#This Row],[Insurance Category Code]]&amp;"; "&amp;Q1234&amp;AS[[#This Row],[Large Provider Entity Code]]&amp;"; "&amp;R1234&amp;AS[[#This Row],[Age Band Code]]&amp;"; "&amp;S1234&amp;AS[[#This Row],[Sex Code]]</f>
        <v xml:space="preserve">Insurer Code ; Reporting Year ; Insurance Category Code ; Large Provider Entity Code ; Age Band Code ; Sex Code </v>
      </c>
      <c r="N1234" s="297" t="s">
        <v>197</v>
      </c>
      <c r="O1234" s="297" t="s">
        <v>198</v>
      </c>
      <c r="P1234" s="297" t="s">
        <v>199</v>
      </c>
      <c r="Q1234" s="297" t="s">
        <v>200</v>
      </c>
      <c r="R1234" s="297" t="s">
        <v>213</v>
      </c>
      <c r="S1234" s="297" t="s">
        <v>214</v>
      </c>
    </row>
    <row r="1235" spans="1:19" x14ac:dyDescent="0.4">
      <c r="A1235" s="291"/>
      <c r="B1235" s="292"/>
      <c r="C1235" s="312"/>
      <c r="D1235" s="292"/>
      <c r="E1235" s="489"/>
      <c r="F1235" s="489"/>
      <c r="G1235" s="490"/>
      <c r="H1235" s="520"/>
      <c r="I1235" s="523"/>
      <c r="J1235" s="521"/>
      <c r="K1235" s="522"/>
      <c r="M1235" s="301" t="str">
        <f>N1235&amp;AS[[#This Row],[Insurer Code]]&amp;"; "&amp;O1235&amp;AS[[#This Row],[Reporting Year]]&amp;"; "&amp;P1235&amp;AS[[#This Row],[Insurance Category Code]]&amp;"; "&amp;Q1235&amp;AS[[#This Row],[Large Provider Entity Code]]&amp;"; "&amp;R1235&amp;AS[[#This Row],[Age Band Code]]&amp;"; "&amp;S1235&amp;AS[[#This Row],[Sex Code]]</f>
        <v xml:space="preserve">Insurer Code ; Reporting Year ; Insurance Category Code ; Large Provider Entity Code ; Age Band Code ; Sex Code </v>
      </c>
      <c r="N1235" s="297" t="s">
        <v>197</v>
      </c>
      <c r="O1235" s="297" t="s">
        <v>198</v>
      </c>
      <c r="P1235" s="297" t="s">
        <v>199</v>
      </c>
      <c r="Q1235" s="297" t="s">
        <v>200</v>
      </c>
      <c r="R1235" s="297" t="s">
        <v>213</v>
      </c>
      <c r="S1235" s="297" t="s">
        <v>214</v>
      </c>
    </row>
    <row r="1236" spans="1:19" x14ac:dyDescent="0.4">
      <c r="A1236" s="291"/>
      <c r="B1236" s="292"/>
      <c r="C1236" s="312"/>
      <c r="D1236" s="292"/>
      <c r="E1236" s="489"/>
      <c r="F1236" s="489"/>
      <c r="G1236" s="490"/>
      <c r="H1236" s="520"/>
      <c r="I1236" s="523"/>
      <c r="J1236" s="521"/>
      <c r="K1236" s="522"/>
      <c r="M1236" s="301" t="str">
        <f>N1236&amp;AS[[#This Row],[Insurer Code]]&amp;"; "&amp;O1236&amp;AS[[#This Row],[Reporting Year]]&amp;"; "&amp;P1236&amp;AS[[#This Row],[Insurance Category Code]]&amp;"; "&amp;Q1236&amp;AS[[#This Row],[Large Provider Entity Code]]&amp;"; "&amp;R1236&amp;AS[[#This Row],[Age Band Code]]&amp;"; "&amp;S1236&amp;AS[[#This Row],[Sex Code]]</f>
        <v xml:space="preserve">Insurer Code ; Reporting Year ; Insurance Category Code ; Large Provider Entity Code ; Age Band Code ; Sex Code </v>
      </c>
      <c r="N1236" s="297" t="s">
        <v>197</v>
      </c>
      <c r="O1236" s="297" t="s">
        <v>198</v>
      </c>
      <c r="P1236" s="297" t="s">
        <v>199</v>
      </c>
      <c r="Q1236" s="297" t="s">
        <v>200</v>
      </c>
      <c r="R1236" s="297" t="s">
        <v>213</v>
      </c>
      <c r="S1236" s="297" t="s">
        <v>214</v>
      </c>
    </row>
    <row r="1237" spans="1:19" x14ac:dyDescent="0.4">
      <c r="A1237" s="291"/>
      <c r="B1237" s="292"/>
      <c r="C1237" s="312"/>
      <c r="D1237" s="292"/>
      <c r="E1237" s="489"/>
      <c r="F1237" s="489"/>
      <c r="G1237" s="490"/>
      <c r="H1237" s="520"/>
      <c r="I1237" s="523"/>
      <c r="J1237" s="521"/>
      <c r="K1237" s="522"/>
      <c r="M1237" s="301" t="str">
        <f>N1237&amp;AS[[#This Row],[Insurer Code]]&amp;"; "&amp;O1237&amp;AS[[#This Row],[Reporting Year]]&amp;"; "&amp;P1237&amp;AS[[#This Row],[Insurance Category Code]]&amp;"; "&amp;Q1237&amp;AS[[#This Row],[Large Provider Entity Code]]&amp;"; "&amp;R1237&amp;AS[[#This Row],[Age Band Code]]&amp;"; "&amp;S1237&amp;AS[[#This Row],[Sex Code]]</f>
        <v xml:space="preserve">Insurer Code ; Reporting Year ; Insurance Category Code ; Large Provider Entity Code ; Age Band Code ; Sex Code </v>
      </c>
      <c r="N1237" s="297" t="s">
        <v>197</v>
      </c>
      <c r="O1237" s="297" t="s">
        <v>198</v>
      </c>
      <c r="P1237" s="297" t="s">
        <v>199</v>
      </c>
      <c r="Q1237" s="297" t="s">
        <v>200</v>
      </c>
      <c r="R1237" s="297" t="s">
        <v>213</v>
      </c>
      <c r="S1237" s="297" t="s">
        <v>214</v>
      </c>
    </row>
    <row r="1238" spans="1:19" x14ac:dyDescent="0.4">
      <c r="A1238" s="291"/>
      <c r="B1238" s="292"/>
      <c r="C1238" s="312"/>
      <c r="D1238" s="292"/>
      <c r="E1238" s="489"/>
      <c r="F1238" s="489"/>
      <c r="G1238" s="490"/>
      <c r="H1238" s="520"/>
      <c r="I1238" s="523"/>
      <c r="J1238" s="521"/>
      <c r="K1238" s="522"/>
      <c r="M1238" s="301" t="str">
        <f>N1238&amp;AS[[#This Row],[Insurer Code]]&amp;"; "&amp;O1238&amp;AS[[#This Row],[Reporting Year]]&amp;"; "&amp;P1238&amp;AS[[#This Row],[Insurance Category Code]]&amp;"; "&amp;Q1238&amp;AS[[#This Row],[Large Provider Entity Code]]&amp;"; "&amp;R1238&amp;AS[[#This Row],[Age Band Code]]&amp;"; "&amp;S1238&amp;AS[[#This Row],[Sex Code]]</f>
        <v xml:space="preserve">Insurer Code ; Reporting Year ; Insurance Category Code ; Large Provider Entity Code ; Age Band Code ; Sex Code </v>
      </c>
      <c r="N1238" s="297" t="s">
        <v>197</v>
      </c>
      <c r="O1238" s="297" t="s">
        <v>198</v>
      </c>
      <c r="P1238" s="297" t="s">
        <v>199</v>
      </c>
      <c r="Q1238" s="297" t="s">
        <v>200</v>
      </c>
      <c r="R1238" s="297" t="s">
        <v>213</v>
      </c>
      <c r="S1238" s="297" t="s">
        <v>214</v>
      </c>
    </row>
    <row r="1239" spans="1:19" x14ac:dyDescent="0.4">
      <c r="A1239" s="291"/>
      <c r="B1239" s="292"/>
      <c r="C1239" s="312"/>
      <c r="D1239" s="292"/>
      <c r="E1239" s="489"/>
      <c r="F1239" s="489"/>
      <c r="G1239" s="490"/>
      <c r="H1239" s="520"/>
      <c r="I1239" s="523"/>
      <c r="J1239" s="521"/>
      <c r="K1239" s="522"/>
      <c r="M1239" s="301" t="str">
        <f>N1239&amp;AS[[#This Row],[Insurer Code]]&amp;"; "&amp;O1239&amp;AS[[#This Row],[Reporting Year]]&amp;"; "&amp;P1239&amp;AS[[#This Row],[Insurance Category Code]]&amp;"; "&amp;Q1239&amp;AS[[#This Row],[Large Provider Entity Code]]&amp;"; "&amp;R1239&amp;AS[[#This Row],[Age Band Code]]&amp;"; "&amp;S1239&amp;AS[[#This Row],[Sex Code]]</f>
        <v xml:space="preserve">Insurer Code ; Reporting Year ; Insurance Category Code ; Large Provider Entity Code ; Age Band Code ; Sex Code </v>
      </c>
      <c r="N1239" s="297" t="s">
        <v>197</v>
      </c>
      <c r="O1239" s="297" t="s">
        <v>198</v>
      </c>
      <c r="P1239" s="297" t="s">
        <v>199</v>
      </c>
      <c r="Q1239" s="297" t="s">
        <v>200</v>
      </c>
      <c r="R1239" s="297" t="s">
        <v>213</v>
      </c>
      <c r="S1239" s="297" t="s">
        <v>214</v>
      </c>
    </row>
    <row r="1240" spans="1:19" x14ac:dyDescent="0.4">
      <c r="A1240" s="291"/>
      <c r="B1240" s="292"/>
      <c r="C1240" s="312"/>
      <c r="D1240" s="292"/>
      <c r="E1240" s="489"/>
      <c r="F1240" s="489"/>
      <c r="G1240" s="490"/>
      <c r="H1240" s="520"/>
      <c r="I1240" s="523"/>
      <c r="J1240" s="521"/>
      <c r="K1240" s="522"/>
      <c r="M1240" s="301" t="str">
        <f>N1240&amp;AS[[#This Row],[Insurer Code]]&amp;"; "&amp;O1240&amp;AS[[#This Row],[Reporting Year]]&amp;"; "&amp;P1240&amp;AS[[#This Row],[Insurance Category Code]]&amp;"; "&amp;Q1240&amp;AS[[#This Row],[Large Provider Entity Code]]&amp;"; "&amp;R1240&amp;AS[[#This Row],[Age Band Code]]&amp;"; "&amp;S1240&amp;AS[[#This Row],[Sex Code]]</f>
        <v xml:space="preserve">Insurer Code ; Reporting Year ; Insurance Category Code ; Large Provider Entity Code ; Age Band Code ; Sex Code </v>
      </c>
      <c r="N1240" s="297" t="s">
        <v>197</v>
      </c>
      <c r="O1240" s="297" t="s">
        <v>198</v>
      </c>
      <c r="P1240" s="297" t="s">
        <v>199</v>
      </c>
      <c r="Q1240" s="297" t="s">
        <v>200</v>
      </c>
      <c r="R1240" s="297" t="s">
        <v>213</v>
      </c>
      <c r="S1240" s="297" t="s">
        <v>214</v>
      </c>
    </row>
    <row r="1241" spans="1:19" x14ac:dyDescent="0.4">
      <c r="A1241" s="291"/>
      <c r="B1241" s="292"/>
      <c r="C1241" s="312"/>
      <c r="D1241" s="292"/>
      <c r="E1241" s="489"/>
      <c r="F1241" s="489"/>
      <c r="G1241" s="490"/>
      <c r="H1241" s="520"/>
      <c r="I1241" s="523"/>
      <c r="J1241" s="521"/>
      <c r="K1241" s="522"/>
      <c r="M1241" s="301" t="str">
        <f>N1241&amp;AS[[#This Row],[Insurer Code]]&amp;"; "&amp;O1241&amp;AS[[#This Row],[Reporting Year]]&amp;"; "&amp;P1241&amp;AS[[#This Row],[Insurance Category Code]]&amp;"; "&amp;Q1241&amp;AS[[#This Row],[Large Provider Entity Code]]&amp;"; "&amp;R1241&amp;AS[[#This Row],[Age Band Code]]&amp;"; "&amp;S1241&amp;AS[[#This Row],[Sex Code]]</f>
        <v xml:space="preserve">Insurer Code ; Reporting Year ; Insurance Category Code ; Large Provider Entity Code ; Age Band Code ; Sex Code </v>
      </c>
      <c r="N1241" s="297" t="s">
        <v>197</v>
      </c>
      <c r="O1241" s="297" t="s">
        <v>198</v>
      </c>
      <c r="P1241" s="297" t="s">
        <v>199</v>
      </c>
      <c r="Q1241" s="297" t="s">
        <v>200</v>
      </c>
      <c r="R1241" s="297" t="s">
        <v>213</v>
      </c>
      <c r="S1241" s="297" t="s">
        <v>214</v>
      </c>
    </row>
    <row r="1242" spans="1:19" x14ac:dyDescent="0.4">
      <c r="A1242" s="291"/>
      <c r="B1242" s="292"/>
      <c r="C1242" s="312"/>
      <c r="D1242" s="292"/>
      <c r="E1242" s="489"/>
      <c r="F1242" s="489"/>
      <c r="G1242" s="490"/>
      <c r="H1242" s="520"/>
      <c r="I1242" s="523"/>
      <c r="J1242" s="521"/>
      <c r="K1242" s="522"/>
      <c r="M1242" s="301" t="str">
        <f>N1242&amp;AS[[#This Row],[Insurer Code]]&amp;"; "&amp;O1242&amp;AS[[#This Row],[Reporting Year]]&amp;"; "&amp;P1242&amp;AS[[#This Row],[Insurance Category Code]]&amp;"; "&amp;Q1242&amp;AS[[#This Row],[Large Provider Entity Code]]&amp;"; "&amp;R1242&amp;AS[[#This Row],[Age Band Code]]&amp;"; "&amp;S1242&amp;AS[[#This Row],[Sex Code]]</f>
        <v xml:space="preserve">Insurer Code ; Reporting Year ; Insurance Category Code ; Large Provider Entity Code ; Age Band Code ; Sex Code </v>
      </c>
      <c r="N1242" s="297" t="s">
        <v>197</v>
      </c>
      <c r="O1242" s="297" t="s">
        <v>198</v>
      </c>
      <c r="P1242" s="297" t="s">
        <v>199</v>
      </c>
      <c r="Q1242" s="297" t="s">
        <v>200</v>
      </c>
      <c r="R1242" s="297" t="s">
        <v>213</v>
      </c>
      <c r="S1242" s="297" t="s">
        <v>214</v>
      </c>
    </row>
    <row r="1243" spans="1:19" x14ac:dyDescent="0.4">
      <c r="A1243" s="291"/>
      <c r="B1243" s="292"/>
      <c r="C1243" s="312"/>
      <c r="D1243" s="292"/>
      <c r="E1243" s="489"/>
      <c r="F1243" s="489"/>
      <c r="G1243" s="490"/>
      <c r="H1243" s="520"/>
      <c r="I1243" s="523"/>
      <c r="J1243" s="521"/>
      <c r="K1243" s="522"/>
      <c r="M1243" s="301" t="str">
        <f>N1243&amp;AS[[#This Row],[Insurer Code]]&amp;"; "&amp;O1243&amp;AS[[#This Row],[Reporting Year]]&amp;"; "&amp;P1243&amp;AS[[#This Row],[Insurance Category Code]]&amp;"; "&amp;Q1243&amp;AS[[#This Row],[Large Provider Entity Code]]&amp;"; "&amp;R1243&amp;AS[[#This Row],[Age Band Code]]&amp;"; "&amp;S1243&amp;AS[[#This Row],[Sex Code]]</f>
        <v xml:space="preserve">Insurer Code ; Reporting Year ; Insurance Category Code ; Large Provider Entity Code ; Age Band Code ; Sex Code </v>
      </c>
      <c r="N1243" s="297" t="s">
        <v>197</v>
      </c>
      <c r="O1243" s="297" t="s">
        <v>198</v>
      </c>
      <c r="P1243" s="297" t="s">
        <v>199</v>
      </c>
      <c r="Q1243" s="297" t="s">
        <v>200</v>
      </c>
      <c r="R1243" s="297" t="s">
        <v>213</v>
      </c>
      <c r="S1243" s="297" t="s">
        <v>214</v>
      </c>
    </row>
    <row r="1244" spans="1:19" x14ac:dyDescent="0.4">
      <c r="A1244" s="291"/>
      <c r="B1244" s="292"/>
      <c r="C1244" s="312"/>
      <c r="D1244" s="292"/>
      <c r="E1244" s="489"/>
      <c r="F1244" s="489"/>
      <c r="G1244" s="490"/>
      <c r="H1244" s="520"/>
      <c r="I1244" s="523"/>
      <c r="J1244" s="521"/>
      <c r="K1244" s="522"/>
      <c r="M1244" s="301" t="str">
        <f>N1244&amp;AS[[#This Row],[Insurer Code]]&amp;"; "&amp;O1244&amp;AS[[#This Row],[Reporting Year]]&amp;"; "&amp;P1244&amp;AS[[#This Row],[Insurance Category Code]]&amp;"; "&amp;Q1244&amp;AS[[#This Row],[Large Provider Entity Code]]&amp;"; "&amp;R1244&amp;AS[[#This Row],[Age Band Code]]&amp;"; "&amp;S1244&amp;AS[[#This Row],[Sex Code]]</f>
        <v xml:space="preserve">Insurer Code ; Reporting Year ; Insurance Category Code ; Large Provider Entity Code ; Age Band Code ; Sex Code </v>
      </c>
      <c r="N1244" s="297" t="s">
        <v>197</v>
      </c>
      <c r="O1244" s="297" t="s">
        <v>198</v>
      </c>
      <c r="P1244" s="297" t="s">
        <v>199</v>
      </c>
      <c r="Q1244" s="297" t="s">
        <v>200</v>
      </c>
      <c r="R1244" s="297" t="s">
        <v>213</v>
      </c>
      <c r="S1244" s="297" t="s">
        <v>214</v>
      </c>
    </row>
    <row r="1245" spans="1:19" x14ac:dyDescent="0.4">
      <c r="A1245" s="291"/>
      <c r="B1245" s="292"/>
      <c r="C1245" s="312"/>
      <c r="D1245" s="292"/>
      <c r="E1245" s="489"/>
      <c r="F1245" s="489"/>
      <c r="G1245" s="490"/>
      <c r="H1245" s="520"/>
      <c r="I1245" s="523"/>
      <c r="J1245" s="521"/>
      <c r="K1245" s="522"/>
      <c r="M1245" s="301" t="str">
        <f>N1245&amp;AS[[#This Row],[Insurer Code]]&amp;"; "&amp;O1245&amp;AS[[#This Row],[Reporting Year]]&amp;"; "&amp;P1245&amp;AS[[#This Row],[Insurance Category Code]]&amp;"; "&amp;Q1245&amp;AS[[#This Row],[Large Provider Entity Code]]&amp;"; "&amp;R1245&amp;AS[[#This Row],[Age Band Code]]&amp;"; "&amp;S1245&amp;AS[[#This Row],[Sex Code]]</f>
        <v xml:space="preserve">Insurer Code ; Reporting Year ; Insurance Category Code ; Large Provider Entity Code ; Age Band Code ; Sex Code </v>
      </c>
      <c r="N1245" s="297" t="s">
        <v>197</v>
      </c>
      <c r="O1245" s="297" t="s">
        <v>198</v>
      </c>
      <c r="P1245" s="297" t="s">
        <v>199</v>
      </c>
      <c r="Q1245" s="297" t="s">
        <v>200</v>
      </c>
      <c r="R1245" s="297" t="s">
        <v>213</v>
      </c>
      <c r="S1245" s="297" t="s">
        <v>214</v>
      </c>
    </row>
    <row r="1246" spans="1:19" x14ac:dyDescent="0.4">
      <c r="A1246" s="291"/>
      <c r="B1246" s="292"/>
      <c r="C1246" s="312"/>
      <c r="D1246" s="292"/>
      <c r="E1246" s="489"/>
      <c r="F1246" s="489"/>
      <c r="G1246" s="490"/>
      <c r="H1246" s="520"/>
      <c r="I1246" s="523"/>
      <c r="J1246" s="521"/>
      <c r="K1246" s="522"/>
      <c r="M1246" s="301" t="str">
        <f>N1246&amp;AS[[#This Row],[Insurer Code]]&amp;"; "&amp;O1246&amp;AS[[#This Row],[Reporting Year]]&amp;"; "&amp;P1246&amp;AS[[#This Row],[Insurance Category Code]]&amp;"; "&amp;Q1246&amp;AS[[#This Row],[Large Provider Entity Code]]&amp;"; "&amp;R1246&amp;AS[[#This Row],[Age Band Code]]&amp;"; "&amp;S1246&amp;AS[[#This Row],[Sex Code]]</f>
        <v xml:space="preserve">Insurer Code ; Reporting Year ; Insurance Category Code ; Large Provider Entity Code ; Age Band Code ; Sex Code </v>
      </c>
      <c r="N1246" s="297" t="s">
        <v>197</v>
      </c>
      <c r="O1246" s="297" t="s">
        <v>198</v>
      </c>
      <c r="P1246" s="297" t="s">
        <v>199</v>
      </c>
      <c r="Q1246" s="297" t="s">
        <v>200</v>
      </c>
      <c r="R1246" s="297" t="s">
        <v>213</v>
      </c>
      <c r="S1246" s="297" t="s">
        <v>214</v>
      </c>
    </row>
    <row r="1247" spans="1:19" x14ac:dyDescent="0.4">
      <c r="A1247" s="291"/>
      <c r="B1247" s="292"/>
      <c r="C1247" s="312"/>
      <c r="D1247" s="292"/>
      <c r="E1247" s="489"/>
      <c r="F1247" s="489"/>
      <c r="G1247" s="490"/>
      <c r="H1247" s="520"/>
      <c r="I1247" s="523"/>
      <c r="J1247" s="521"/>
      <c r="K1247" s="522"/>
      <c r="M1247" s="301" t="str">
        <f>N1247&amp;AS[[#This Row],[Insurer Code]]&amp;"; "&amp;O1247&amp;AS[[#This Row],[Reporting Year]]&amp;"; "&amp;P1247&amp;AS[[#This Row],[Insurance Category Code]]&amp;"; "&amp;Q1247&amp;AS[[#This Row],[Large Provider Entity Code]]&amp;"; "&amp;R1247&amp;AS[[#This Row],[Age Band Code]]&amp;"; "&amp;S1247&amp;AS[[#This Row],[Sex Code]]</f>
        <v xml:space="preserve">Insurer Code ; Reporting Year ; Insurance Category Code ; Large Provider Entity Code ; Age Band Code ; Sex Code </v>
      </c>
      <c r="N1247" s="297" t="s">
        <v>197</v>
      </c>
      <c r="O1247" s="297" t="s">
        <v>198</v>
      </c>
      <c r="P1247" s="297" t="s">
        <v>199</v>
      </c>
      <c r="Q1247" s="297" t="s">
        <v>200</v>
      </c>
      <c r="R1247" s="297" t="s">
        <v>213</v>
      </c>
      <c r="S1247" s="297" t="s">
        <v>214</v>
      </c>
    </row>
    <row r="1248" spans="1:19" x14ac:dyDescent="0.4">
      <c r="A1248" s="291"/>
      <c r="B1248" s="292"/>
      <c r="C1248" s="312"/>
      <c r="D1248" s="292"/>
      <c r="E1248" s="489"/>
      <c r="F1248" s="489"/>
      <c r="G1248" s="490"/>
      <c r="H1248" s="520"/>
      <c r="I1248" s="523"/>
      <c r="J1248" s="521"/>
      <c r="K1248" s="522"/>
      <c r="M1248" s="301" t="str">
        <f>N1248&amp;AS[[#This Row],[Insurer Code]]&amp;"; "&amp;O1248&amp;AS[[#This Row],[Reporting Year]]&amp;"; "&amp;P1248&amp;AS[[#This Row],[Insurance Category Code]]&amp;"; "&amp;Q1248&amp;AS[[#This Row],[Large Provider Entity Code]]&amp;"; "&amp;R1248&amp;AS[[#This Row],[Age Band Code]]&amp;"; "&amp;S1248&amp;AS[[#This Row],[Sex Code]]</f>
        <v xml:space="preserve">Insurer Code ; Reporting Year ; Insurance Category Code ; Large Provider Entity Code ; Age Band Code ; Sex Code </v>
      </c>
      <c r="N1248" s="297" t="s">
        <v>197</v>
      </c>
      <c r="O1248" s="297" t="s">
        <v>198</v>
      </c>
      <c r="P1248" s="297" t="s">
        <v>199</v>
      </c>
      <c r="Q1248" s="297" t="s">
        <v>200</v>
      </c>
      <c r="R1248" s="297" t="s">
        <v>213</v>
      </c>
      <c r="S1248" s="297" t="s">
        <v>214</v>
      </c>
    </row>
    <row r="1249" spans="1:19" x14ac:dyDescent="0.4">
      <c r="A1249" s="291"/>
      <c r="B1249" s="292"/>
      <c r="C1249" s="312"/>
      <c r="D1249" s="292"/>
      <c r="E1249" s="489"/>
      <c r="F1249" s="489"/>
      <c r="G1249" s="490"/>
      <c r="H1249" s="520"/>
      <c r="I1249" s="523"/>
      <c r="J1249" s="521"/>
      <c r="K1249" s="522"/>
      <c r="M1249" s="301" t="str">
        <f>N1249&amp;AS[[#This Row],[Insurer Code]]&amp;"; "&amp;O1249&amp;AS[[#This Row],[Reporting Year]]&amp;"; "&amp;P1249&amp;AS[[#This Row],[Insurance Category Code]]&amp;"; "&amp;Q1249&amp;AS[[#This Row],[Large Provider Entity Code]]&amp;"; "&amp;R1249&amp;AS[[#This Row],[Age Band Code]]&amp;"; "&amp;S1249&amp;AS[[#This Row],[Sex Code]]</f>
        <v xml:space="preserve">Insurer Code ; Reporting Year ; Insurance Category Code ; Large Provider Entity Code ; Age Band Code ; Sex Code </v>
      </c>
      <c r="N1249" s="297" t="s">
        <v>197</v>
      </c>
      <c r="O1249" s="297" t="s">
        <v>198</v>
      </c>
      <c r="P1249" s="297" t="s">
        <v>199</v>
      </c>
      <c r="Q1249" s="297" t="s">
        <v>200</v>
      </c>
      <c r="R1249" s="297" t="s">
        <v>213</v>
      </c>
      <c r="S1249" s="297" t="s">
        <v>214</v>
      </c>
    </row>
    <row r="1250" spans="1:19" x14ac:dyDescent="0.4">
      <c r="A1250" s="291"/>
      <c r="B1250" s="292"/>
      <c r="C1250" s="312"/>
      <c r="D1250" s="292"/>
      <c r="E1250" s="489"/>
      <c r="F1250" s="489"/>
      <c r="G1250" s="490"/>
      <c r="H1250" s="520"/>
      <c r="I1250" s="523"/>
      <c r="J1250" s="521"/>
      <c r="K1250" s="522"/>
      <c r="M1250" s="301" t="str">
        <f>N1250&amp;AS[[#This Row],[Insurer Code]]&amp;"; "&amp;O1250&amp;AS[[#This Row],[Reporting Year]]&amp;"; "&amp;P1250&amp;AS[[#This Row],[Insurance Category Code]]&amp;"; "&amp;Q1250&amp;AS[[#This Row],[Large Provider Entity Code]]&amp;"; "&amp;R1250&amp;AS[[#This Row],[Age Band Code]]&amp;"; "&amp;S1250&amp;AS[[#This Row],[Sex Code]]</f>
        <v xml:space="preserve">Insurer Code ; Reporting Year ; Insurance Category Code ; Large Provider Entity Code ; Age Band Code ; Sex Code </v>
      </c>
      <c r="N1250" s="297" t="s">
        <v>197</v>
      </c>
      <c r="O1250" s="297" t="s">
        <v>198</v>
      </c>
      <c r="P1250" s="297" t="s">
        <v>199</v>
      </c>
      <c r="Q1250" s="297" t="s">
        <v>200</v>
      </c>
      <c r="R1250" s="297" t="s">
        <v>213</v>
      </c>
      <c r="S1250" s="297" t="s">
        <v>214</v>
      </c>
    </row>
    <row r="1251" spans="1:19" x14ac:dyDescent="0.4">
      <c r="A1251" s="291"/>
      <c r="B1251" s="292"/>
      <c r="C1251" s="312"/>
      <c r="D1251" s="292"/>
      <c r="E1251" s="489"/>
      <c r="F1251" s="489"/>
      <c r="G1251" s="490"/>
      <c r="H1251" s="520"/>
      <c r="I1251" s="523"/>
      <c r="J1251" s="521"/>
      <c r="K1251" s="522"/>
      <c r="M1251" s="301" t="str">
        <f>N1251&amp;AS[[#This Row],[Insurer Code]]&amp;"; "&amp;O1251&amp;AS[[#This Row],[Reporting Year]]&amp;"; "&amp;P1251&amp;AS[[#This Row],[Insurance Category Code]]&amp;"; "&amp;Q1251&amp;AS[[#This Row],[Large Provider Entity Code]]&amp;"; "&amp;R1251&amp;AS[[#This Row],[Age Band Code]]&amp;"; "&amp;S1251&amp;AS[[#This Row],[Sex Code]]</f>
        <v xml:space="preserve">Insurer Code ; Reporting Year ; Insurance Category Code ; Large Provider Entity Code ; Age Band Code ; Sex Code </v>
      </c>
      <c r="N1251" s="297" t="s">
        <v>197</v>
      </c>
      <c r="O1251" s="297" t="s">
        <v>198</v>
      </c>
      <c r="P1251" s="297" t="s">
        <v>199</v>
      </c>
      <c r="Q1251" s="297" t="s">
        <v>200</v>
      </c>
      <c r="R1251" s="297" t="s">
        <v>213</v>
      </c>
      <c r="S1251" s="297" t="s">
        <v>214</v>
      </c>
    </row>
    <row r="1252" spans="1:19" x14ac:dyDescent="0.4">
      <c r="A1252" s="291"/>
      <c r="B1252" s="292"/>
      <c r="C1252" s="312"/>
      <c r="D1252" s="292"/>
      <c r="E1252" s="489"/>
      <c r="F1252" s="489"/>
      <c r="G1252" s="490"/>
      <c r="H1252" s="520"/>
      <c r="I1252" s="523"/>
      <c r="J1252" s="521"/>
      <c r="K1252" s="522"/>
      <c r="M1252" s="301" t="str">
        <f>N1252&amp;AS[[#This Row],[Insurer Code]]&amp;"; "&amp;O1252&amp;AS[[#This Row],[Reporting Year]]&amp;"; "&amp;P1252&amp;AS[[#This Row],[Insurance Category Code]]&amp;"; "&amp;Q1252&amp;AS[[#This Row],[Large Provider Entity Code]]&amp;"; "&amp;R1252&amp;AS[[#This Row],[Age Band Code]]&amp;"; "&amp;S1252&amp;AS[[#This Row],[Sex Code]]</f>
        <v xml:space="preserve">Insurer Code ; Reporting Year ; Insurance Category Code ; Large Provider Entity Code ; Age Band Code ; Sex Code </v>
      </c>
      <c r="N1252" s="297" t="s">
        <v>197</v>
      </c>
      <c r="O1252" s="297" t="s">
        <v>198</v>
      </c>
      <c r="P1252" s="297" t="s">
        <v>199</v>
      </c>
      <c r="Q1252" s="297" t="s">
        <v>200</v>
      </c>
      <c r="R1252" s="297" t="s">
        <v>213</v>
      </c>
      <c r="S1252" s="297" t="s">
        <v>214</v>
      </c>
    </row>
    <row r="1253" spans="1:19" x14ac:dyDescent="0.4">
      <c r="A1253" s="291"/>
      <c r="B1253" s="292"/>
      <c r="C1253" s="312"/>
      <c r="D1253" s="292"/>
      <c r="E1253" s="489"/>
      <c r="F1253" s="489"/>
      <c r="G1253" s="490"/>
      <c r="H1253" s="520"/>
      <c r="I1253" s="523"/>
      <c r="J1253" s="521"/>
      <c r="K1253" s="522"/>
      <c r="M1253" s="301" t="str">
        <f>N1253&amp;AS[[#This Row],[Insurer Code]]&amp;"; "&amp;O1253&amp;AS[[#This Row],[Reporting Year]]&amp;"; "&amp;P1253&amp;AS[[#This Row],[Insurance Category Code]]&amp;"; "&amp;Q1253&amp;AS[[#This Row],[Large Provider Entity Code]]&amp;"; "&amp;R1253&amp;AS[[#This Row],[Age Band Code]]&amp;"; "&amp;S1253&amp;AS[[#This Row],[Sex Code]]</f>
        <v xml:space="preserve">Insurer Code ; Reporting Year ; Insurance Category Code ; Large Provider Entity Code ; Age Band Code ; Sex Code </v>
      </c>
      <c r="N1253" s="297" t="s">
        <v>197</v>
      </c>
      <c r="O1253" s="297" t="s">
        <v>198</v>
      </c>
      <c r="P1253" s="297" t="s">
        <v>199</v>
      </c>
      <c r="Q1253" s="297" t="s">
        <v>200</v>
      </c>
      <c r="R1253" s="297" t="s">
        <v>213</v>
      </c>
      <c r="S1253" s="297" t="s">
        <v>214</v>
      </c>
    </row>
    <row r="1254" spans="1:19" x14ac:dyDescent="0.4">
      <c r="A1254" s="291"/>
      <c r="B1254" s="292"/>
      <c r="C1254" s="312"/>
      <c r="D1254" s="292"/>
      <c r="E1254" s="489"/>
      <c r="F1254" s="489"/>
      <c r="G1254" s="490"/>
      <c r="H1254" s="520"/>
      <c r="I1254" s="523"/>
      <c r="J1254" s="521"/>
      <c r="K1254" s="522"/>
      <c r="M1254" s="301" t="str">
        <f>N1254&amp;AS[[#This Row],[Insurer Code]]&amp;"; "&amp;O1254&amp;AS[[#This Row],[Reporting Year]]&amp;"; "&amp;P1254&amp;AS[[#This Row],[Insurance Category Code]]&amp;"; "&amp;Q1254&amp;AS[[#This Row],[Large Provider Entity Code]]&amp;"; "&amp;R1254&amp;AS[[#This Row],[Age Band Code]]&amp;"; "&amp;S1254&amp;AS[[#This Row],[Sex Code]]</f>
        <v xml:space="preserve">Insurer Code ; Reporting Year ; Insurance Category Code ; Large Provider Entity Code ; Age Band Code ; Sex Code </v>
      </c>
      <c r="N1254" s="297" t="s">
        <v>197</v>
      </c>
      <c r="O1254" s="297" t="s">
        <v>198</v>
      </c>
      <c r="P1254" s="297" t="s">
        <v>199</v>
      </c>
      <c r="Q1254" s="297" t="s">
        <v>200</v>
      </c>
      <c r="R1254" s="297" t="s">
        <v>213</v>
      </c>
      <c r="S1254" s="297" t="s">
        <v>214</v>
      </c>
    </row>
    <row r="1255" spans="1:19" x14ac:dyDescent="0.4">
      <c r="A1255" s="291"/>
      <c r="B1255" s="292"/>
      <c r="C1255" s="312"/>
      <c r="D1255" s="292"/>
      <c r="E1255" s="489"/>
      <c r="F1255" s="489"/>
      <c r="G1255" s="490"/>
      <c r="H1255" s="520"/>
      <c r="I1255" s="523"/>
      <c r="J1255" s="521"/>
      <c r="K1255" s="522"/>
      <c r="M1255" s="301" t="str">
        <f>N1255&amp;AS[[#This Row],[Insurer Code]]&amp;"; "&amp;O1255&amp;AS[[#This Row],[Reporting Year]]&amp;"; "&amp;P1255&amp;AS[[#This Row],[Insurance Category Code]]&amp;"; "&amp;Q1255&amp;AS[[#This Row],[Large Provider Entity Code]]&amp;"; "&amp;R1255&amp;AS[[#This Row],[Age Band Code]]&amp;"; "&amp;S1255&amp;AS[[#This Row],[Sex Code]]</f>
        <v xml:space="preserve">Insurer Code ; Reporting Year ; Insurance Category Code ; Large Provider Entity Code ; Age Band Code ; Sex Code </v>
      </c>
      <c r="N1255" s="297" t="s">
        <v>197</v>
      </c>
      <c r="O1255" s="297" t="s">
        <v>198</v>
      </c>
      <c r="P1255" s="297" t="s">
        <v>199</v>
      </c>
      <c r="Q1255" s="297" t="s">
        <v>200</v>
      </c>
      <c r="R1255" s="297" t="s">
        <v>213</v>
      </c>
      <c r="S1255" s="297" t="s">
        <v>214</v>
      </c>
    </row>
    <row r="1256" spans="1:19" x14ac:dyDescent="0.4">
      <c r="A1256" s="291"/>
      <c r="B1256" s="292"/>
      <c r="C1256" s="312"/>
      <c r="D1256" s="292"/>
      <c r="E1256" s="489"/>
      <c r="F1256" s="489"/>
      <c r="G1256" s="490"/>
      <c r="H1256" s="520"/>
      <c r="I1256" s="523"/>
      <c r="J1256" s="521"/>
      <c r="K1256" s="522"/>
      <c r="M1256" s="301" t="str">
        <f>N1256&amp;AS[[#This Row],[Insurer Code]]&amp;"; "&amp;O1256&amp;AS[[#This Row],[Reporting Year]]&amp;"; "&amp;P1256&amp;AS[[#This Row],[Insurance Category Code]]&amp;"; "&amp;Q1256&amp;AS[[#This Row],[Large Provider Entity Code]]&amp;"; "&amp;R1256&amp;AS[[#This Row],[Age Band Code]]&amp;"; "&amp;S1256&amp;AS[[#This Row],[Sex Code]]</f>
        <v xml:space="preserve">Insurer Code ; Reporting Year ; Insurance Category Code ; Large Provider Entity Code ; Age Band Code ; Sex Code </v>
      </c>
      <c r="N1256" s="297" t="s">
        <v>197</v>
      </c>
      <c r="O1256" s="297" t="s">
        <v>198</v>
      </c>
      <c r="P1256" s="297" t="s">
        <v>199</v>
      </c>
      <c r="Q1256" s="297" t="s">
        <v>200</v>
      </c>
      <c r="R1256" s="297" t="s">
        <v>213</v>
      </c>
      <c r="S1256" s="297" t="s">
        <v>214</v>
      </c>
    </row>
    <row r="1257" spans="1:19" x14ac:dyDescent="0.4">
      <c r="A1257" s="291"/>
      <c r="B1257" s="292"/>
      <c r="C1257" s="312"/>
      <c r="D1257" s="292"/>
      <c r="E1257" s="489"/>
      <c r="F1257" s="489"/>
      <c r="G1257" s="490"/>
      <c r="H1257" s="520"/>
      <c r="I1257" s="523"/>
      <c r="J1257" s="521"/>
      <c r="K1257" s="522"/>
      <c r="M1257" s="301" t="str">
        <f>N1257&amp;AS[[#This Row],[Insurer Code]]&amp;"; "&amp;O1257&amp;AS[[#This Row],[Reporting Year]]&amp;"; "&amp;P1257&amp;AS[[#This Row],[Insurance Category Code]]&amp;"; "&amp;Q1257&amp;AS[[#This Row],[Large Provider Entity Code]]&amp;"; "&amp;R1257&amp;AS[[#This Row],[Age Band Code]]&amp;"; "&amp;S1257&amp;AS[[#This Row],[Sex Code]]</f>
        <v xml:space="preserve">Insurer Code ; Reporting Year ; Insurance Category Code ; Large Provider Entity Code ; Age Band Code ; Sex Code </v>
      </c>
      <c r="N1257" s="297" t="s">
        <v>197</v>
      </c>
      <c r="O1257" s="297" t="s">
        <v>198</v>
      </c>
      <c r="P1257" s="297" t="s">
        <v>199</v>
      </c>
      <c r="Q1257" s="297" t="s">
        <v>200</v>
      </c>
      <c r="R1257" s="297" t="s">
        <v>213</v>
      </c>
      <c r="S1257" s="297" t="s">
        <v>214</v>
      </c>
    </row>
    <row r="1258" spans="1:19" x14ac:dyDescent="0.4">
      <c r="A1258" s="291"/>
      <c r="B1258" s="292"/>
      <c r="C1258" s="312"/>
      <c r="D1258" s="292"/>
      <c r="E1258" s="489"/>
      <c r="F1258" s="489"/>
      <c r="G1258" s="490"/>
      <c r="H1258" s="520"/>
      <c r="I1258" s="523"/>
      <c r="J1258" s="521"/>
      <c r="K1258" s="522"/>
      <c r="M1258" s="301" t="str">
        <f>N1258&amp;AS[[#This Row],[Insurer Code]]&amp;"; "&amp;O1258&amp;AS[[#This Row],[Reporting Year]]&amp;"; "&amp;P1258&amp;AS[[#This Row],[Insurance Category Code]]&amp;"; "&amp;Q1258&amp;AS[[#This Row],[Large Provider Entity Code]]&amp;"; "&amp;R1258&amp;AS[[#This Row],[Age Band Code]]&amp;"; "&amp;S1258&amp;AS[[#This Row],[Sex Code]]</f>
        <v xml:space="preserve">Insurer Code ; Reporting Year ; Insurance Category Code ; Large Provider Entity Code ; Age Band Code ; Sex Code </v>
      </c>
      <c r="N1258" s="297" t="s">
        <v>197</v>
      </c>
      <c r="O1258" s="297" t="s">
        <v>198</v>
      </c>
      <c r="P1258" s="297" t="s">
        <v>199</v>
      </c>
      <c r="Q1258" s="297" t="s">
        <v>200</v>
      </c>
      <c r="R1258" s="297" t="s">
        <v>213</v>
      </c>
      <c r="S1258" s="297" t="s">
        <v>214</v>
      </c>
    </row>
    <row r="1259" spans="1:19" x14ac:dyDescent="0.4">
      <c r="A1259" s="291"/>
      <c r="B1259" s="292"/>
      <c r="C1259" s="312"/>
      <c r="D1259" s="292"/>
      <c r="E1259" s="489"/>
      <c r="F1259" s="489"/>
      <c r="G1259" s="490"/>
      <c r="H1259" s="520"/>
      <c r="I1259" s="523"/>
      <c r="J1259" s="521"/>
      <c r="K1259" s="522"/>
      <c r="M1259" s="301" t="str">
        <f>N1259&amp;AS[[#This Row],[Insurer Code]]&amp;"; "&amp;O1259&amp;AS[[#This Row],[Reporting Year]]&amp;"; "&amp;P1259&amp;AS[[#This Row],[Insurance Category Code]]&amp;"; "&amp;Q1259&amp;AS[[#This Row],[Large Provider Entity Code]]&amp;"; "&amp;R1259&amp;AS[[#This Row],[Age Band Code]]&amp;"; "&amp;S1259&amp;AS[[#This Row],[Sex Code]]</f>
        <v xml:space="preserve">Insurer Code ; Reporting Year ; Insurance Category Code ; Large Provider Entity Code ; Age Band Code ; Sex Code </v>
      </c>
      <c r="N1259" s="297" t="s">
        <v>197</v>
      </c>
      <c r="O1259" s="297" t="s">
        <v>198</v>
      </c>
      <c r="P1259" s="297" t="s">
        <v>199</v>
      </c>
      <c r="Q1259" s="297" t="s">
        <v>200</v>
      </c>
      <c r="R1259" s="297" t="s">
        <v>213</v>
      </c>
      <c r="S1259" s="297" t="s">
        <v>214</v>
      </c>
    </row>
    <row r="1260" spans="1:19" x14ac:dyDescent="0.4">
      <c r="A1260" s="291"/>
      <c r="B1260" s="292"/>
      <c r="C1260" s="312"/>
      <c r="D1260" s="292"/>
      <c r="E1260" s="489"/>
      <c r="F1260" s="489"/>
      <c r="G1260" s="490"/>
      <c r="H1260" s="520"/>
      <c r="I1260" s="523"/>
      <c r="J1260" s="521"/>
      <c r="K1260" s="522"/>
      <c r="M1260" s="301" t="str">
        <f>N1260&amp;AS[[#This Row],[Insurer Code]]&amp;"; "&amp;O1260&amp;AS[[#This Row],[Reporting Year]]&amp;"; "&amp;P1260&amp;AS[[#This Row],[Insurance Category Code]]&amp;"; "&amp;Q1260&amp;AS[[#This Row],[Large Provider Entity Code]]&amp;"; "&amp;R1260&amp;AS[[#This Row],[Age Band Code]]&amp;"; "&amp;S1260&amp;AS[[#This Row],[Sex Code]]</f>
        <v xml:space="preserve">Insurer Code ; Reporting Year ; Insurance Category Code ; Large Provider Entity Code ; Age Band Code ; Sex Code </v>
      </c>
      <c r="N1260" s="297" t="s">
        <v>197</v>
      </c>
      <c r="O1260" s="297" t="s">
        <v>198</v>
      </c>
      <c r="P1260" s="297" t="s">
        <v>199</v>
      </c>
      <c r="Q1260" s="297" t="s">
        <v>200</v>
      </c>
      <c r="R1260" s="297" t="s">
        <v>213</v>
      </c>
      <c r="S1260" s="297" t="s">
        <v>214</v>
      </c>
    </row>
    <row r="1261" spans="1:19" x14ac:dyDescent="0.4">
      <c r="A1261" s="291"/>
      <c r="B1261" s="292"/>
      <c r="C1261" s="312"/>
      <c r="D1261" s="292"/>
      <c r="E1261" s="489"/>
      <c r="F1261" s="489"/>
      <c r="G1261" s="490"/>
      <c r="H1261" s="520"/>
      <c r="I1261" s="523"/>
      <c r="J1261" s="521"/>
      <c r="K1261" s="522"/>
      <c r="M1261" s="301" t="str">
        <f>N1261&amp;AS[[#This Row],[Insurer Code]]&amp;"; "&amp;O1261&amp;AS[[#This Row],[Reporting Year]]&amp;"; "&amp;P1261&amp;AS[[#This Row],[Insurance Category Code]]&amp;"; "&amp;Q1261&amp;AS[[#This Row],[Large Provider Entity Code]]&amp;"; "&amp;R1261&amp;AS[[#This Row],[Age Band Code]]&amp;"; "&amp;S1261&amp;AS[[#This Row],[Sex Code]]</f>
        <v xml:space="preserve">Insurer Code ; Reporting Year ; Insurance Category Code ; Large Provider Entity Code ; Age Band Code ; Sex Code </v>
      </c>
      <c r="N1261" s="297" t="s">
        <v>197</v>
      </c>
      <c r="O1261" s="297" t="s">
        <v>198</v>
      </c>
      <c r="P1261" s="297" t="s">
        <v>199</v>
      </c>
      <c r="Q1261" s="297" t="s">
        <v>200</v>
      </c>
      <c r="R1261" s="297" t="s">
        <v>213</v>
      </c>
      <c r="S1261" s="297" t="s">
        <v>214</v>
      </c>
    </row>
    <row r="1262" spans="1:19" x14ac:dyDescent="0.4">
      <c r="A1262" s="291"/>
      <c r="B1262" s="292"/>
      <c r="C1262" s="312"/>
      <c r="D1262" s="292"/>
      <c r="E1262" s="489"/>
      <c r="F1262" s="489"/>
      <c r="G1262" s="490"/>
      <c r="H1262" s="520"/>
      <c r="I1262" s="523"/>
      <c r="J1262" s="521"/>
      <c r="K1262" s="522"/>
      <c r="M1262" s="301" t="str">
        <f>N1262&amp;AS[[#This Row],[Insurer Code]]&amp;"; "&amp;O1262&amp;AS[[#This Row],[Reporting Year]]&amp;"; "&amp;P1262&amp;AS[[#This Row],[Insurance Category Code]]&amp;"; "&amp;Q1262&amp;AS[[#This Row],[Large Provider Entity Code]]&amp;"; "&amp;R1262&amp;AS[[#This Row],[Age Band Code]]&amp;"; "&amp;S1262&amp;AS[[#This Row],[Sex Code]]</f>
        <v xml:space="preserve">Insurer Code ; Reporting Year ; Insurance Category Code ; Large Provider Entity Code ; Age Band Code ; Sex Code </v>
      </c>
      <c r="N1262" s="297" t="s">
        <v>197</v>
      </c>
      <c r="O1262" s="297" t="s">
        <v>198</v>
      </c>
      <c r="P1262" s="297" t="s">
        <v>199</v>
      </c>
      <c r="Q1262" s="297" t="s">
        <v>200</v>
      </c>
      <c r="R1262" s="297" t="s">
        <v>213</v>
      </c>
      <c r="S1262" s="297" t="s">
        <v>214</v>
      </c>
    </row>
    <row r="1263" spans="1:19" x14ac:dyDescent="0.4">
      <c r="A1263" s="291"/>
      <c r="B1263" s="292"/>
      <c r="C1263" s="312"/>
      <c r="D1263" s="292"/>
      <c r="E1263" s="489"/>
      <c r="F1263" s="489"/>
      <c r="G1263" s="490"/>
      <c r="H1263" s="520"/>
      <c r="I1263" s="523"/>
      <c r="J1263" s="521"/>
      <c r="K1263" s="522"/>
      <c r="M1263" s="301" t="str">
        <f>N1263&amp;AS[[#This Row],[Insurer Code]]&amp;"; "&amp;O1263&amp;AS[[#This Row],[Reporting Year]]&amp;"; "&amp;P1263&amp;AS[[#This Row],[Insurance Category Code]]&amp;"; "&amp;Q1263&amp;AS[[#This Row],[Large Provider Entity Code]]&amp;"; "&amp;R1263&amp;AS[[#This Row],[Age Band Code]]&amp;"; "&amp;S1263&amp;AS[[#This Row],[Sex Code]]</f>
        <v xml:space="preserve">Insurer Code ; Reporting Year ; Insurance Category Code ; Large Provider Entity Code ; Age Band Code ; Sex Code </v>
      </c>
      <c r="N1263" s="297" t="s">
        <v>197</v>
      </c>
      <c r="O1263" s="297" t="s">
        <v>198</v>
      </c>
      <c r="P1263" s="297" t="s">
        <v>199</v>
      </c>
      <c r="Q1263" s="297" t="s">
        <v>200</v>
      </c>
      <c r="R1263" s="297" t="s">
        <v>213</v>
      </c>
      <c r="S1263" s="297" t="s">
        <v>214</v>
      </c>
    </row>
    <row r="1264" spans="1:19" x14ac:dyDescent="0.4">
      <c r="A1264" s="291"/>
      <c r="B1264" s="292"/>
      <c r="C1264" s="312"/>
      <c r="D1264" s="292"/>
      <c r="E1264" s="489"/>
      <c r="F1264" s="489"/>
      <c r="G1264" s="490"/>
      <c r="H1264" s="520"/>
      <c r="I1264" s="523"/>
      <c r="J1264" s="521"/>
      <c r="K1264" s="522"/>
      <c r="M1264" s="301" t="str">
        <f>N1264&amp;AS[[#This Row],[Insurer Code]]&amp;"; "&amp;O1264&amp;AS[[#This Row],[Reporting Year]]&amp;"; "&amp;P1264&amp;AS[[#This Row],[Insurance Category Code]]&amp;"; "&amp;Q1264&amp;AS[[#This Row],[Large Provider Entity Code]]&amp;"; "&amp;R1264&amp;AS[[#This Row],[Age Band Code]]&amp;"; "&amp;S1264&amp;AS[[#This Row],[Sex Code]]</f>
        <v xml:space="preserve">Insurer Code ; Reporting Year ; Insurance Category Code ; Large Provider Entity Code ; Age Band Code ; Sex Code </v>
      </c>
      <c r="N1264" s="297" t="s">
        <v>197</v>
      </c>
      <c r="O1264" s="297" t="s">
        <v>198</v>
      </c>
      <c r="P1264" s="297" t="s">
        <v>199</v>
      </c>
      <c r="Q1264" s="297" t="s">
        <v>200</v>
      </c>
      <c r="R1264" s="297" t="s">
        <v>213</v>
      </c>
      <c r="S1264" s="297" t="s">
        <v>214</v>
      </c>
    </row>
    <row r="1265" spans="1:19" x14ac:dyDescent="0.4">
      <c r="A1265" s="291"/>
      <c r="B1265" s="292"/>
      <c r="C1265" s="312"/>
      <c r="D1265" s="292"/>
      <c r="E1265" s="489"/>
      <c r="F1265" s="489"/>
      <c r="G1265" s="490"/>
      <c r="H1265" s="520"/>
      <c r="I1265" s="523"/>
      <c r="J1265" s="521"/>
      <c r="K1265" s="522"/>
      <c r="M1265" s="301" t="str">
        <f>N1265&amp;AS[[#This Row],[Insurer Code]]&amp;"; "&amp;O1265&amp;AS[[#This Row],[Reporting Year]]&amp;"; "&amp;P1265&amp;AS[[#This Row],[Insurance Category Code]]&amp;"; "&amp;Q1265&amp;AS[[#This Row],[Large Provider Entity Code]]&amp;"; "&amp;R1265&amp;AS[[#This Row],[Age Band Code]]&amp;"; "&amp;S1265&amp;AS[[#This Row],[Sex Code]]</f>
        <v xml:space="preserve">Insurer Code ; Reporting Year ; Insurance Category Code ; Large Provider Entity Code ; Age Band Code ; Sex Code </v>
      </c>
      <c r="N1265" s="297" t="s">
        <v>197</v>
      </c>
      <c r="O1265" s="297" t="s">
        <v>198</v>
      </c>
      <c r="P1265" s="297" t="s">
        <v>199</v>
      </c>
      <c r="Q1265" s="297" t="s">
        <v>200</v>
      </c>
      <c r="R1265" s="297" t="s">
        <v>213</v>
      </c>
      <c r="S1265" s="297" t="s">
        <v>214</v>
      </c>
    </row>
    <row r="1266" spans="1:19" x14ac:dyDescent="0.4">
      <c r="A1266" s="291"/>
      <c r="B1266" s="292"/>
      <c r="C1266" s="312"/>
      <c r="D1266" s="292"/>
      <c r="E1266" s="489"/>
      <c r="F1266" s="489"/>
      <c r="G1266" s="490"/>
      <c r="H1266" s="520"/>
      <c r="I1266" s="523"/>
      <c r="J1266" s="521"/>
      <c r="K1266" s="522"/>
      <c r="M1266" s="301" t="str">
        <f>N1266&amp;AS[[#This Row],[Insurer Code]]&amp;"; "&amp;O1266&amp;AS[[#This Row],[Reporting Year]]&amp;"; "&amp;P1266&amp;AS[[#This Row],[Insurance Category Code]]&amp;"; "&amp;Q1266&amp;AS[[#This Row],[Large Provider Entity Code]]&amp;"; "&amp;R1266&amp;AS[[#This Row],[Age Band Code]]&amp;"; "&amp;S1266&amp;AS[[#This Row],[Sex Code]]</f>
        <v xml:space="preserve">Insurer Code ; Reporting Year ; Insurance Category Code ; Large Provider Entity Code ; Age Band Code ; Sex Code </v>
      </c>
      <c r="N1266" s="297" t="s">
        <v>197</v>
      </c>
      <c r="O1266" s="297" t="s">
        <v>198</v>
      </c>
      <c r="P1266" s="297" t="s">
        <v>199</v>
      </c>
      <c r="Q1266" s="297" t="s">
        <v>200</v>
      </c>
      <c r="R1266" s="297" t="s">
        <v>213</v>
      </c>
      <c r="S1266" s="297" t="s">
        <v>214</v>
      </c>
    </row>
    <row r="1267" spans="1:19" x14ac:dyDescent="0.4">
      <c r="A1267" s="291"/>
      <c r="B1267" s="292"/>
      <c r="C1267" s="312"/>
      <c r="D1267" s="292"/>
      <c r="E1267" s="489"/>
      <c r="F1267" s="489"/>
      <c r="G1267" s="490"/>
      <c r="H1267" s="520"/>
      <c r="I1267" s="523"/>
      <c r="J1267" s="521"/>
      <c r="K1267" s="522"/>
      <c r="M1267" s="301" t="str">
        <f>N1267&amp;AS[[#This Row],[Insurer Code]]&amp;"; "&amp;O1267&amp;AS[[#This Row],[Reporting Year]]&amp;"; "&amp;P1267&amp;AS[[#This Row],[Insurance Category Code]]&amp;"; "&amp;Q1267&amp;AS[[#This Row],[Large Provider Entity Code]]&amp;"; "&amp;R1267&amp;AS[[#This Row],[Age Band Code]]&amp;"; "&amp;S1267&amp;AS[[#This Row],[Sex Code]]</f>
        <v xml:space="preserve">Insurer Code ; Reporting Year ; Insurance Category Code ; Large Provider Entity Code ; Age Band Code ; Sex Code </v>
      </c>
      <c r="N1267" s="297" t="s">
        <v>197</v>
      </c>
      <c r="O1267" s="297" t="s">
        <v>198</v>
      </c>
      <c r="P1267" s="297" t="s">
        <v>199</v>
      </c>
      <c r="Q1267" s="297" t="s">
        <v>200</v>
      </c>
      <c r="R1267" s="297" t="s">
        <v>213</v>
      </c>
      <c r="S1267" s="297" t="s">
        <v>214</v>
      </c>
    </row>
    <row r="1268" spans="1:19" x14ac:dyDescent="0.4">
      <c r="A1268" s="291"/>
      <c r="B1268" s="292"/>
      <c r="C1268" s="312"/>
      <c r="D1268" s="292"/>
      <c r="E1268" s="489"/>
      <c r="F1268" s="489"/>
      <c r="G1268" s="490"/>
      <c r="H1268" s="520"/>
      <c r="I1268" s="523"/>
      <c r="J1268" s="521"/>
      <c r="K1268" s="522"/>
      <c r="M1268" s="301" t="str">
        <f>N1268&amp;AS[[#This Row],[Insurer Code]]&amp;"; "&amp;O1268&amp;AS[[#This Row],[Reporting Year]]&amp;"; "&amp;P1268&amp;AS[[#This Row],[Insurance Category Code]]&amp;"; "&amp;Q1268&amp;AS[[#This Row],[Large Provider Entity Code]]&amp;"; "&amp;R1268&amp;AS[[#This Row],[Age Band Code]]&amp;"; "&amp;S1268&amp;AS[[#This Row],[Sex Code]]</f>
        <v xml:space="preserve">Insurer Code ; Reporting Year ; Insurance Category Code ; Large Provider Entity Code ; Age Band Code ; Sex Code </v>
      </c>
      <c r="N1268" s="297" t="s">
        <v>197</v>
      </c>
      <c r="O1268" s="297" t="s">
        <v>198</v>
      </c>
      <c r="P1268" s="297" t="s">
        <v>199</v>
      </c>
      <c r="Q1268" s="297" t="s">
        <v>200</v>
      </c>
      <c r="R1268" s="297" t="s">
        <v>213</v>
      </c>
      <c r="S1268" s="297" t="s">
        <v>214</v>
      </c>
    </row>
    <row r="1269" spans="1:19" x14ac:dyDescent="0.4">
      <c r="A1269" s="291"/>
      <c r="B1269" s="292"/>
      <c r="C1269" s="312"/>
      <c r="D1269" s="292"/>
      <c r="E1269" s="489"/>
      <c r="F1269" s="489"/>
      <c r="G1269" s="490"/>
      <c r="H1269" s="520"/>
      <c r="I1269" s="523"/>
      <c r="J1269" s="521"/>
      <c r="K1269" s="522"/>
      <c r="M1269" s="301" t="str">
        <f>N1269&amp;AS[[#This Row],[Insurer Code]]&amp;"; "&amp;O1269&amp;AS[[#This Row],[Reporting Year]]&amp;"; "&amp;P1269&amp;AS[[#This Row],[Insurance Category Code]]&amp;"; "&amp;Q1269&amp;AS[[#This Row],[Large Provider Entity Code]]&amp;"; "&amp;R1269&amp;AS[[#This Row],[Age Band Code]]&amp;"; "&amp;S1269&amp;AS[[#This Row],[Sex Code]]</f>
        <v xml:space="preserve">Insurer Code ; Reporting Year ; Insurance Category Code ; Large Provider Entity Code ; Age Band Code ; Sex Code </v>
      </c>
      <c r="N1269" s="297" t="s">
        <v>197</v>
      </c>
      <c r="O1269" s="297" t="s">
        <v>198</v>
      </c>
      <c r="P1269" s="297" t="s">
        <v>199</v>
      </c>
      <c r="Q1269" s="297" t="s">
        <v>200</v>
      </c>
      <c r="R1269" s="297" t="s">
        <v>213</v>
      </c>
      <c r="S1269" s="297" t="s">
        <v>214</v>
      </c>
    </row>
    <row r="1270" spans="1:19" x14ac:dyDescent="0.4">
      <c r="A1270" s="291"/>
      <c r="B1270" s="292"/>
      <c r="C1270" s="312"/>
      <c r="D1270" s="292"/>
      <c r="E1270" s="489"/>
      <c r="F1270" s="489"/>
      <c r="G1270" s="490"/>
      <c r="H1270" s="520"/>
      <c r="I1270" s="523"/>
      <c r="J1270" s="521"/>
      <c r="K1270" s="522"/>
      <c r="M1270" s="301" t="str">
        <f>N1270&amp;AS[[#This Row],[Insurer Code]]&amp;"; "&amp;O1270&amp;AS[[#This Row],[Reporting Year]]&amp;"; "&amp;P1270&amp;AS[[#This Row],[Insurance Category Code]]&amp;"; "&amp;Q1270&amp;AS[[#This Row],[Large Provider Entity Code]]&amp;"; "&amp;R1270&amp;AS[[#This Row],[Age Band Code]]&amp;"; "&amp;S1270&amp;AS[[#This Row],[Sex Code]]</f>
        <v xml:space="preserve">Insurer Code ; Reporting Year ; Insurance Category Code ; Large Provider Entity Code ; Age Band Code ; Sex Code </v>
      </c>
      <c r="N1270" s="297" t="s">
        <v>197</v>
      </c>
      <c r="O1270" s="297" t="s">
        <v>198</v>
      </c>
      <c r="P1270" s="297" t="s">
        <v>199</v>
      </c>
      <c r="Q1270" s="297" t="s">
        <v>200</v>
      </c>
      <c r="R1270" s="297" t="s">
        <v>213</v>
      </c>
      <c r="S1270" s="297" t="s">
        <v>214</v>
      </c>
    </row>
    <row r="1271" spans="1:19" x14ac:dyDescent="0.4">
      <c r="A1271" s="291"/>
      <c r="B1271" s="292"/>
      <c r="C1271" s="312"/>
      <c r="D1271" s="292"/>
      <c r="E1271" s="489"/>
      <c r="F1271" s="489"/>
      <c r="G1271" s="490"/>
      <c r="H1271" s="520"/>
      <c r="I1271" s="523"/>
      <c r="J1271" s="521"/>
      <c r="K1271" s="522"/>
      <c r="M1271" s="301" t="str">
        <f>N1271&amp;AS[[#This Row],[Insurer Code]]&amp;"; "&amp;O1271&amp;AS[[#This Row],[Reporting Year]]&amp;"; "&amp;P1271&amp;AS[[#This Row],[Insurance Category Code]]&amp;"; "&amp;Q1271&amp;AS[[#This Row],[Large Provider Entity Code]]&amp;"; "&amp;R1271&amp;AS[[#This Row],[Age Band Code]]&amp;"; "&amp;S1271&amp;AS[[#This Row],[Sex Code]]</f>
        <v xml:space="preserve">Insurer Code ; Reporting Year ; Insurance Category Code ; Large Provider Entity Code ; Age Band Code ; Sex Code </v>
      </c>
      <c r="N1271" s="297" t="s">
        <v>197</v>
      </c>
      <c r="O1271" s="297" t="s">
        <v>198</v>
      </c>
      <c r="P1271" s="297" t="s">
        <v>199</v>
      </c>
      <c r="Q1271" s="297" t="s">
        <v>200</v>
      </c>
      <c r="R1271" s="297" t="s">
        <v>213</v>
      </c>
      <c r="S1271" s="297" t="s">
        <v>214</v>
      </c>
    </row>
    <row r="1272" spans="1:19" x14ac:dyDescent="0.4">
      <c r="A1272" s="291"/>
      <c r="B1272" s="292"/>
      <c r="C1272" s="312"/>
      <c r="D1272" s="292"/>
      <c r="E1272" s="489"/>
      <c r="F1272" s="489"/>
      <c r="G1272" s="490"/>
      <c r="H1272" s="520"/>
      <c r="I1272" s="523"/>
      <c r="J1272" s="521"/>
      <c r="K1272" s="522"/>
      <c r="M1272" s="301" t="str">
        <f>N1272&amp;AS[[#This Row],[Insurer Code]]&amp;"; "&amp;O1272&amp;AS[[#This Row],[Reporting Year]]&amp;"; "&amp;P1272&amp;AS[[#This Row],[Insurance Category Code]]&amp;"; "&amp;Q1272&amp;AS[[#This Row],[Large Provider Entity Code]]&amp;"; "&amp;R1272&amp;AS[[#This Row],[Age Band Code]]&amp;"; "&amp;S1272&amp;AS[[#This Row],[Sex Code]]</f>
        <v xml:space="preserve">Insurer Code ; Reporting Year ; Insurance Category Code ; Large Provider Entity Code ; Age Band Code ; Sex Code </v>
      </c>
      <c r="N1272" s="297" t="s">
        <v>197</v>
      </c>
      <c r="O1272" s="297" t="s">
        <v>198</v>
      </c>
      <c r="P1272" s="297" t="s">
        <v>199</v>
      </c>
      <c r="Q1272" s="297" t="s">
        <v>200</v>
      </c>
      <c r="R1272" s="297" t="s">
        <v>213</v>
      </c>
      <c r="S1272" s="297" t="s">
        <v>214</v>
      </c>
    </row>
    <row r="1273" spans="1:19" x14ac:dyDescent="0.4">
      <c r="A1273" s="291"/>
      <c r="B1273" s="292"/>
      <c r="C1273" s="312"/>
      <c r="D1273" s="292"/>
      <c r="E1273" s="489"/>
      <c r="F1273" s="489"/>
      <c r="G1273" s="490"/>
      <c r="H1273" s="520"/>
      <c r="I1273" s="523"/>
      <c r="J1273" s="521"/>
      <c r="K1273" s="522"/>
      <c r="M1273" s="301" t="str">
        <f>N1273&amp;AS[[#This Row],[Insurer Code]]&amp;"; "&amp;O1273&amp;AS[[#This Row],[Reporting Year]]&amp;"; "&amp;P1273&amp;AS[[#This Row],[Insurance Category Code]]&amp;"; "&amp;Q1273&amp;AS[[#This Row],[Large Provider Entity Code]]&amp;"; "&amp;R1273&amp;AS[[#This Row],[Age Band Code]]&amp;"; "&amp;S1273&amp;AS[[#This Row],[Sex Code]]</f>
        <v xml:space="preserve">Insurer Code ; Reporting Year ; Insurance Category Code ; Large Provider Entity Code ; Age Band Code ; Sex Code </v>
      </c>
      <c r="N1273" s="297" t="s">
        <v>197</v>
      </c>
      <c r="O1273" s="297" t="s">
        <v>198</v>
      </c>
      <c r="P1273" s="297" t="s">
        <v>199</v>
      </c>
      <c r="Q1273" s="297" t="s">
        <v>200</v>
      </c>
      <c r="R1273" s="297" t="s">
        <v>213</v>
      </c>
      <c r="S1273" s="297" t="s">
        <v>214</v>
      </c>
    </row>
    <row r="1274" spans="1:19" x14ac:dyDescent="0.4">
      <c r="A1274" s="291"/>
      <c r="B1274" s="292"/>
      <c r="C1274" s="312"/>
      <c r="D1274" s="292"/>
      <c r="E1274" s="489"/>
      <c r="F1274" s="489"/>
      <c r="G1274" s="490"/>
      <c r="H1274" s="520"/>
      <c r="I1274" s="523"/>
      <c r="J1274" s="521"/>
      <c r="K1274" s="522"/>
      <c r="M1274" s="301" t="str">
        <f>N1274&amp;AS[[#This Row],[Insurer Code]]&amp;"; "&amp;O1274&amp;AS[[#This Row],[Reporting Year]]&amp;"; "&amp;P1274&amp;AS[[#This Row],[Insurance Category Code]]&amp;"; "&amp;Q1274&amp;AS[[#This Row],[Large Provider Entity Code]]&amp;"; "&amp;R1274&amp;AS[[#This Row],[Age Band Code]]&amp;"; "&amp;S1274&amp;AS[[#This Row],[Sex Code]]</f>
        <v xml:space="preserve">Insurer Code ; Reporting Year ; Insurance Category Code ; Large Provider Entity Code ; Age Band Code ; Sex Code </v>
      </c>
      <c r="N1274" s="297" t="s">
        <v>197</v>
      </c>
      <c r="O1274" s="297" t="s">
        <v>198</v>
      </c>
      <c r="P1274" s="297" t="s">
        <v>199</v>
      </c>
      <c r="Q1274" s="297" t="s">
        <v>200</v>
      </c>
      <c r="R1274" s="297" t="s">
        <v>213</v>
      </c>
      <c r="S1274" s="297" t="s">
        <v>214</v>
      </c>
    </row>
    <row r="1275" spans="1:19" x14ac:dyDescent="0.4">
      <c r="A1275" s="291"/>
      <c r="B1275" s="292"/>
      <c r="C1275" s="312"/>
      <c r="D1275" s="292"/>
      <c r="E1275" s="489"/>
      <c r="F1275" s="489"/>
      <c r="G1275" s="490"/>
      <c r="H1275" s="520"/>
      <c r="I1275" s="523"/>
      <c r="J1275" s="521"/>
      <c r="K1275" s="522"/>
      <c r="M1275" s="301" t="str">
        <f>N1275&amp;AS[[#This Row],[Insurer Code]]&amp;"; "&amp;O1275&amp;AS[[#This Row],[Reporting Year]]&amp;"; "&amp;P1275&amp;AS[[#This Row],[Insurance Category Code]]&amp;"; "&amp;Q1275&amp;AS[[#This Row],[Large Provider Entity Code]]&amp;"; "&amp;R1275&amp;AS[[#This Row],[Age Band Code]]&amp;"; "&amp;S1275&amp;AS[[#This Row],[Sex Code]]</f>
        <v xml:space="preserve">Insurer Code ; Reporting Year ; Insurance Category Code ; Large Provider Entity Code ; Age Band Code ; Sex Code </v>
      </c>
      <c r="N1275" s="297" t="s">
        <v>197</v>
      </c>
      <c r="O1275" s="297" t="s">
        <v>198</v>
      </c>
      <c r="P1275" s="297" t="s">
        <v>199</v>
      </c>
      <c r="Q1275" s="297" t="s">
        <v>200</v>
      </c>
      <c r="R1275" s="297" t="s">
        <v>213</v>
      </c>
      <c r="S1275" s="297" t="s">
        <v>214</v>
      </c>
    </row>
    <row r="1276" spans="1:19" x14ac:dyDescent="0.4">
      <c r="A1276" s="291"/>
      <c r="B1276" s="292"/>
      <c r="C1276" s="312"/>
      <c r="D1276" s="292"/>
      <c r="E1276" s="489"/>
      <c r="F1276" s="489"/>
      <c r="G1276" s="490"/>
      <c r="H1276" s="520"/>
      <c r="I1276" s="523"/>
      <c r="J1276" s="521"/>
      <c r="K1276" s="522"/>
      <c r="M1276" s="301" t="str">
        <f>N1276&amp;AS[[#This Row],[Insurer Code]]&amp;"; "&amp;O1276&amp;AS[[#This Row],[Reporting Year]]&amp;"; "&amp;P1276&amp;AS[[#This Row],[Insurance Category Code]]&amp;"; "&amp;Q1276&amp;AS[[#This Row],[Large Provider Entity Code]]&amp;"; "&amp;R1276&amp;AS[[#This Row],[Age Band Code]]&amp;"; "&amp;S1276&amp;AS[[#This Row],[Sex Code]]</f>
        <v xml:space="preserve">Insurer Code ; Reporting Year ; Insurance Category Code ; Large Provider Entity Code ; Age Band Code ; Sex Code </v>
      </c>
      <c r="N1276" s="297" t="s">
        <v>197</v>
      </c>
      <c r="O1276" s="297" t="s">
        <v>198</v>
      </c>
      <c r="P1276" s="297" t="s">
        <v>199</v>
      </c>
      <c r="Q1276" s="297" t="s">
        <v>200</v>
      </c>
      <c r="R1276" s="297" t="s">
        <v>213</v>
      </c>
      <c r="S1276" s="297" t="s">
        <v>214</v>
      </c>
    </row>
    <row r="1277" spans="1:19" x14ac:dyDescent="0.4">
      <c r="A1277" s="291"/>
      <c r="B1277" s="292"/>
      <c r="C1277" s="312"/>
      <c r="D1277" s="292"/>
      <c r="E1277" s="489"/>
      <c r="F1277" s="489"/>
      <c r="G1277" s="490"/>
      <c r="H1277" s="520"/>
      <c r="I1277" s="523"/>
      <c r="J1277" s="521"/>
      <c r="K1277" s="522"/>
      <c r="M1277" s="301" t="str">
        <f>N1277&amp;AS[[#This Row],[Insurer Code]]&amp;"; "&amp;O1277&amp;AS[[#This Row],[Reporting Year]]&amp;"; "&amp;P1277&amp;AS[[#This Row],[Insurance Category Code]]&amp;"; "&amp;Q1277&amp;AS[[#This Row],[Large Provider Entity Code]]&amp;"; "&amp;R1277&amp;AS[[#This Row],[Age Band Code]]&amp;"; "&amp;S1277&amp;AS[[#This Row],[Sex Code]]</f>
        <v xml:space="preserve">Insurer Code ; Reporting Year ; Insurance Category Code ; Large Provider Entity Code ; Age Band Code ; Sex Code </v>
      </c>
      <c r="N1277" s="297" t="s">
        <v>197</v>
      </c>
      <c r="O1277" s="297" t="s">
        <v>198</v>
      </c>
      <c r="P1277" s="297" t="s">
        <v>199</v>
      </c>
      <c r="Q1277" s="297" t="s">
        <v>200</v>
      </c>
      <c r="R1277" s="297" t="s">
        <v>213</v>
      </c>
      <c r="S1277" s="297" t="s">
        <v>214</v>
      </c>
    </row>
    <row r="1278" spans="1:19" x14ac:dyDescent="0.4">
      <c r="A1278" s="291"/>
      <c r="B1278" s="292"/>
      <c r="C1278" s="312"/>
      <c r="D1278" s="292"/>
      <c r="E1278" s="489"/>
      <c r="F1278" s="489"/>
      <c r="G1278" s="490"/>
      <c r="H1278" s="520"/>
      <c r="I1278" s="523"/>
      <c r="J1278" s="521"/>
      <c r="K1278" s="522"/>
      <c r="M1278" s="301" t="str">
        <f>N1278&amp;AS[[#This Row],[Insurer Code]]&amp;"; "&amp;O1278&amp;AS[[#This Row],[Reporting Year]]&amp;"; "&amp;P1278&amp;AS[[#This Row],[Insurance Category Code]]&amp;"; "&amp;Q1278&amp;AS[[#This Row],[Large Provider Entity Code]]&amp;"; "&amp;R1278&amp;AS[[#This Row],[Age Band Code]]&amp;"; "&amp;S1278&amp;AS[[#This Row],[Sex Code]]</f>
        <v xml:space="preserve">Insurer Code ; Reporting Year ; Insurance Category Code ; Large Provider Entity Code ; Age Band Code ; Sex Code </v>
      </c>
      <c r="N1278" s="297" t="s">
        <v>197</v>
      </c>
      <c r="O1278" s="297" t="s">
        <v>198</v>
      </c>
      <c r="P1278" s="297" t="s">
        <v>199</v>
      </c>
      <c r="Q1278" s="297" t="s">
        <v>200</v>
      </c>
      <c r="R1278" s="297" t="s">
        <v>213</v>
      </c>
      <c r="S1278" s="297" t="s">
        <v>214</v>
      </c>
    </row>
    <row r="1279" spans="1:19" x14ac:dyDescent="0.4">
      <c r="A1279" s="291"/>
      <c r="B1279" s="292"/>
      <c r="C1279" s="312"/>
      <c r="D1279" s="292"/>
      <c r="E1279" s="489"/>
      <c r="F1279" s="489"/>
      <c r="G1279" s="490"/>
      <c r="H1279" s="520"/>
      <c r="I1279" s="523"/>
      <c r="J1279" s="521"/>
      <c r="K1279" s="522"/>
      <c r="M1279" s="301" t="str">
        <f>N1279&amp;AS[[#This Row],[Insurer Code]]&amp;"; "&amp;O1279&amp;AS[[#This Row],[Reporting Year]]&amp;"; "&amp;P1279&amp;AS[[#This Row],[Insurance Category Code]]&amp;"; "&amp;Q1279&amp;AS[[#This Row],[Large Provider Entity Code]]&amp;"; "&amp;R1279&amp;AS[[#This Row],[Age Band Code]]&amp;"; "&amp;S1279&amp;AS[[#This Row],[Sex Code]]</f>
        <v xml:space="preserve">Insurer Code ; Reporting Year ; Insurance Category Code ; Large Provider Entity Code ; Age Band Code ; Sex Code </v>
      </c>
      <c r="N1279" s="297" t="s">
        <v>197</v>
      </c>
      <c r="O1279" s="297" t="s">
        <v>198</v>
      </c>
      <c r="P1279" s="297" t="s">
        <v>199</v>
      </c>
      <c r="Q1279" s="297" t="s">
        <v>200</v>
      </c>
      <c r="R1279" s="297" t="s">
        <v>213</v>
      </c>
      <c r="S1279" s="297" t="s">
        <v>214</v>
      </c>
    </row>
    <row r="1280" spans="1:19" x14ac:dyDescent="0.4">
      <c r="A1280" s="291"/>
      <c r="B1280" s="292"/>
      <c r="C1280" s="312"/>
      <c r="D1280" s="292"/>
      <c r="E1280" s="489"/>
      <c r="F1280" s="489"/>
      <c r="G1280" s="490"/>
      <c r="H1280" s="520"/>
      <c r="I1280" s="523"/>
      <c r="J1280" s="521"/>
      <c r="K1280" s="522"/>
      <c r="M1280" s="301" t="str">
        <f>N1280&amp;AS[[#This Row],[Insurer Code]]&amp;"; "&amp;O1280&amp;AS[[#This Row],[Reporting Year]]&amp;"; "&amp;P1280&amp;AS[[#This Row],[Insurance Category Code]]&amp;"; "&amp;Q1280&amp;AS[[#This Row],[Large Provider Entity Code]]&amp;"; "&amp;R1280&amp;AS[[#This Row],[Age Band Code]]&amp;"; "&amp;S1280&amp;AS[[#This Row],[Sex Code]]</f>
        <v xml:space="preserve">Insurer Code ; Reporting Year ; Insurance Category Code ; Large Provider Entity Code ; Age Band Code ; Sex Code </v>
      </c>
      <c r="N1280" s="297" t="s">
        <v>197</v>
      </c>
      <c r="O1280" s="297" t="s">
        <v>198</v>
      </c>
      <c r="P1280" s="297" t="s">
        <v>199</v>
      </c>
      <c r="Q1280" s="297" t="s">
        <v>200</v>
      </c>
      <c r="R1280" s="297" t="s">
        <v>213</v>
      </c>
      <c r="S1280" s="297" t="s">
        <v>214</v>
      </c>
    </row>
    <row r="1281" spans="1:19" x14ac:dyDescent="0.4">
      <c r="A1281" s="291"/>
      <c r="B1281" s="292"/>
      <c r="C1281" s="312"/>
      <c r="D1281" s="292"/>
      <c r="E1281" s="489"/>
      <c r="F1281" s="489"/>
      <c r="G1281" s="490"/>
      <c r="H1281" s="520"/>
      <c r="I1281" s="523"/>
      <c r="J1281" s="521"/>
      <c r="K1281" s="522"/>
      <c r="M1281" s="301" t="str">
        <f>N1281&amp;AS[[#This Row],[Insurer Code]]&amp;"; "&amp;O1281&amp;AS[[#This Row],[Reporting Year]]&amp;"; "&amp;P1281&amp;AS[[#This Row],[Insurance Category Code]]&amp;"; "&amp;Q1281&amp;AS[[#This Row],[Large Provider Entity Code]]&amp;"; "&amp;R1281&amp;AS[[#This Row],[Age Band Code]]&amp;"; "&amp;S1281&amp;AS[[#This Row],[Sex Code]]</f>
        <v xml:space="preserve">Insurer Code ; Reporting Year ; Insurance Category Code ; Large Provider Entity Code ; Age Band Code ; Sex Code </v>
      </c>
      <c r="N1281" s="297" t="s">
        <v>197</v>
      </c>
      <c r="O1281" s="297" t="s">
        <v>198</v>
      </c>
      <c r="P1281" s="297" t="s">
        <v>199</v>
      </c>
      <c r="Q1281" s="297" t="s">
        <v>200</v>
      </c>
      <c r="R1281" s="297" t="s">
        <v>213</v>
      </c>
      <c r="S1281" s="297" t="s">
        <v>214</v>
      </c>
    </row>
    <row r="1282" spans="1:19" x14ac:dyDescent="0.4">
      <c r="A1282" s="291"/>
      <c r="B1282" s="292"/>
      <c r="C1282" s="312"/>
      <c r="D1282" s="292"/>
      <c r="E1282" s="489"/>
      <c r="F1282" s="489"/>
      <c r="G1282" s="490"/>
      <c r="H1282" s="520"/>
      <c r="I1282" s="523"/>
      <c r="J1282" s="521"/>
      <c r="K1282" s="522"/>
      <c r="M1282" s="301" t="str">
        <f>N1282&amp;AS[[#This Row],[Insurer Code]]&amp;"; "&amp;O1282&amp;AS[[#This Row],[Reporting Year]]&amp;"; "&amp;P1282&amp;AS[[#This Row],[Insurance Category Code]]&amp;"; "&amp;Q1282&amp;AS[[#This Row],[Large Provider Entity Code]]&amp;"; "&amp;R1282&amp;AS[[#This Row],[Age Band Code]]&amp;"; "&amp;S1282&amp;AS[[#This Row],[Sex Code]]</f>
        <v xml:space="preserve">Insurer Code ; Reporting Year ; Insurance Category Code ; Large Provider Entity Code ; Age Band Code ; Sex Code </v>
      </c>
      <c r="N1282" s="297" t="s">
        <v>197</v>
      </c>
      <c r="O1282" s="297" t="s">
        <v>198</v>
      </c>
      <c r="P1282" s="297" t="s">
        <v>199</v>
      </c>
      <c r="Q1282" s="297" t="s">
        <v>200</v>
      </c>
      <c r="R1282" s="297" t="s">
        <v>213</v>
      </c>
      <c r="S1282" s="297" t="s">
        <v>214</v>
      </c>
    </row>
    <row r="1283" spans="1:19" x14ac:dyDescent="0.4">
      <c r="A1283" s="291"/>
      <c r="B1283" s="292"/>
      <c r="C1283" s="312"/>
      <c r="D1283" s="292"/>
      <c r="E1283" s="489"/>
      <c r="F1283" s="489"/>
      <c r="G1283" s="490"/>
      <c r="H1283" s="520"/>
      <c r="I1283" s="523"/>
      <c r="J1283" s="521"/>
      <c r="K1283" s="522"/>
      <c r="M1283" s="301" t="str">
        <f>N1283&amp;AS[[#This Row],[Insurer Code]]&amp;"; "&amp;O1283&amp;AS[[#This Row],[Reporting Year]]&amp;"; "&amp;P1283&amp;AS[[#This Row],[Insurance Category Code]]&amp;"; "&amp;Q1283&amp;AS[[#This Row],[Large Provider Entity Code]]&amp;"; "&amp;R1283&amp;AS[[#This Row],[Age Band Code]]&amp;"; "&amp;S1283&amp;AS[[#This Row],[Sex Code]]</f>
        <v xml:space="preserve">Insurer Code ; Reporting Year ; Insurance Category Code ; Large Provider Entity Code ; Age Band Code ; Sex Code </v>
      </c>
      <c r="N1283" s="297" t="s">
        <v>197</v>
      </c>
      <c r="O1283" s="297" t="s">
        <v>198</v>
      </c>
      <c r="P1283" s="297" t="s">
        <v>199</v>
      </c>
      <c r="Q1283" s="297" t="s">
        <v>200</v>
      </c>
      <c r="R1283" s="297" t="s">
        <v>213</v>
      </c>
      <c r="S1283" s="297" t="s">
        <v>214</v>
      </c>
    </row>
    <row r="1284" spans="1:19" x14ac:dyDescent="0.4">
      <c r="A1284" s="291"/>
      <c r="B1284" s="292"/>
      <c r="C1284" s="312"/>
      <c r="D1284" s="292"/>
      <c r="E1284" s="489"/>
      <c r="F1284" s="489"/>
      <c r="G1284" s="490"/>
      <c r="H1284" s="520"/>
      <c r="I1284" s="523"/>
      <c r="J1284" s="521"/>
      <c r="K1284" s="522"/>
      <c r="M1284" s="301" t="str">
        <f>N1284&amp;AS[[#This Row],[Insurer Code]]&amp;"; "&amp;O1284&amp;AS[[#This Row],[Reporting Year]]&amp;"; "&amp;P1284&amp;AS[[#This Row],[Insurance Category Code]]&amp;"; "&amp;Q1284&amp;AS[[#This Row],[Large Provider Entity Code]]&amp;"; "&amp;R1284&amp;AS[[#This Row],[Age Band Code]]&amp;"; "&amp;S1284&amp;AS[[#This Row],[Sex Code]]</f>
        <v xml:space="preserve">Insurer Code ; Reporting Year ; Insurance Category Code ; Large Provider Entity Code ; Age Band Code ; Sex Code </v>
      </c>
      <c r="N1284" s="297" t="s">
        <v>197</v>
      </c>
      <c r="O1284" s="297" t="s">
        <v>198</v>
      </c>
      <c r="P1284" s="297" t="s">
        <v>199</v>
      </c>
      <c r="Q1284" s="297" t="s">
        <v>200</v>
      </c>
      <c r="R1284" s="297" t="s">
        <v>213</v>
      </c>
      <c r="S1284" s="297" t="s">
        <v>214</v>
      </c>
    </row>
    <row r="1285" spans="1:19" x14ac:dyDescent="0.4">
      <c r="A1285" s="291"/>
      <c r="B1285" s="292"/>
      <c r="C1285" s="312"/>
      <c r="D1285" s="292"/>
      <c r="E1285" s="489"/>
      <c r="F1285" s="489"/>
      <c r="G1285" s="490"/>
      <c r="H1285" s="520"/>
      <c r="I1285" s="523"/>
      <c r="J1285" s="521"/>
      <c r="K1285" s="522"/>
      <c r="M1285" s="301" t="str">
        <f>N1285&amp;AS[[#This Row],[Insurer Code]]&amp;"; "&amp;O1285&amp;AS[[#This Row],[Reporting Year]]&amp;"; "&amp;P1285&amp;AS[[#This Row],[Insurance Category Code]]&amp;"; "&amp;Q1285&amp;AS[[#This Row],[Large Provider Entity Code]]&amp;"; "&amp;R1285&amp;AS[[#This Row],[Age Band Code]]&amp;"; "&amp;S1285&amp;AS[[#This Row],[Sex Code]]</f>
        <v xml:space="preserve">Insurer Code ; Reporting Year ; Insurance Category Code ; Large Provider Entity Code ; Age Band Code ; Sex Code </v>
      </c>
      <c r="N1285" s="297" t="s">
        <v>197</v>
      </c>
      <c r="O1285" s="297" t="s">
        <v>198</v>
      </c>
      <c r="P1285" s="297" t="s">
        <v>199</v>
      </c>
      <c r="Q1285" s="297" t="s">
        <v>200</v>
      </c>
      <c r="R1285" s="297" t="s">
        <v>213</v>
      </c>
      <c r="S1285" s="297" t="s">
        <v>214</v>
      </c>
    </row>
    <row r="1286" spans="1:19" x14ac:dyDescent="0.4">
      <c r="A1286" s="291"/>
      <c r="B1286" s="292"/>
      <c r="C1286" s="312"/>
      <c r="D1286" s="292"/>
      <c r="E1286" s="489"/>
      <c r="F1286" s="489"/>
      <c r="G1286" s="490"/>
      <c r="H1286" s="520"/>
      <c r="I1286" s="523"/>
      <c r="J1286" s="521"/>
      <c r="K1286" s="522"/>
      <c r="M1286" s="301" t="str">
        <f>N1286&amp;AS[[#This Row],[Insurer Code]]&amp;"; "&amp;O1286&amp;AS[[#This Row],[Reporting Year]]&amp;"; "&amp;P1286&amp;AS[[#This Row],[Insurance Category Code]]&amp;"; "&amp;Q1286&amp;AS[[#This Row],[Large Provider Entity Code]]&amp;"; "&amp;R1286&amp;AS[[#This Row],[Age Band Code]]&amp;"; "&amp;S1286&amp;AS[[#This Row],[Sex Code]]</f>
        <v xml:space="preserve">Insurer Code ; Reporting Year ; Insurance Category Code ; Large Provider Entity Code ; Age Band Code ; Sex Code </v>
      </c>
      <c r="N1286" s="297" t="s">
        <v>197</v>
      </c>
      <c r="O1286" s="297" t="s">
        <v>198</v>
      </c>
      <c r="P1286" s="297" t="s">
        <v>199</v>
      </c>
      <c r="Q1286" s="297" t="s">
        <v>200</v>
      </c>
      <c r="R1286" s="297" t="s">
        <v>213</v>
      </c>
      <c r="S1286" s="297" t="s">
        <v>214</v>
      </c>
    </row>
    <row r="1287" spans="1:19" x14ac:dyDescent="0.4">
      <c r="A1287" s="291"/>
      <c r="B1287" s="292"/>
      <c r="C1287" s="312"/>
      <c r="D1287" s="292"/>
      <c r="E1287" s="489"/>
      <c r="F1287" s="489"/>
      <c r="G1287" s="490"/>
      <c r="H1287" s="520"/>
      <c r="I1287" s="523"/>
      <c r="J1287" s="521"/>
      <c r="K1287" s="522"/>
      <c r="M1287" s="301" t="str">
        <f>N1287&amp;AS[[#This Row],[Insurer Code]]&amp;"; "&amp;O1287&amp;AS[[#This Row],[Reporting Year]]&amp;"; "&amp;P1287&amp;AS[[#This Row],[Insurance Category Code]]&amp;"; "&amp;Q1287&amp;AS[[#This Row],[Large Provider Entity Code]]&amp;"; "&amp;R1287&amp;AS[[#This Row],[Age Band Code]]&amp;"; "&amp;S1287&amp;AS[[#This Row],[Sex Code]]</f>
        <v xml:space="preserve">Insurer Code ; Reporting Year ; Insurance Category Code ; Large Provider Entity Code ; Age Band Code ; Sex Code </v>
      </c>
      <c r="N1287" s="297" t="s">
        <v>197</v>
      </c>
      <c r="O1287" s="297" t="s">
        <v>198</v>
      </c>
      <c r="P1287" s="297" t="s">
        <v>199</v>
      </c>
      <c r="Q1287" s="297" t="s">
        <v>200</v>
      </c>
      <c r="R1287" s="297" t="s">
        <v>213</v>
      </c>
      <c r="S1287" s="297" t="s">
        <v>214</v>
      </c>
    </row>
    <row r="1288" spans="1:19" x14ac:dyDescent="0.4">
      <c r="A1288" s="291"/>
      <c r="B1288" s="292"/>
      <c r="C1288" s="312"/>
      <c r="D1288" s="292"/>
      <c r="E1288" s="489"/>
      <c r="F1288" s="489"/>
      <c r="G1288" s="490"/>
      <c r="H1288" s="520"/>
      <c r="I1288" s="523"/>
      <c r="J1288" s="521"/>
      <c r="K1288" s="522"/>
      <c r="M1288" s="301" t="str">
        <f>N1288&amp;AS[[#This Row],[Insurer Code]]&amp;"; "&amp;O1288&amp;AS[[#This Row],[Reporting Year]]&amp;"; "&amp;P1288&amp;AS[[#This Row],[Insurance Category Code]]&amp;"; "&amp;Q1288&amp;AS[[#This Row],[Large Provider Entity Code]]&amp;"; "&amp;R1288&amp;AS[[#This Row],[Age Band Code]]&amp;"; "&amp;S1288&amp;AS[[#This Row],[Sex Code]]</f>
        <v xml:space="preserve">Insurer Code ; Reporting Year ; Insurance Category Code ; Large Provider Entity Code ; Age Band Code ; Sex Code </v>
      </c>
      <c r="N1288" s="297" t="s">
        <v>197</v>
      </c>
      <c r="O1288" s="297" t="s">
        <v>198</v>
      </c>
      <c r="P1288" s="297" t="s">
        <v>199</v>
      </c>
      <c r="Q1288" s="297" t="s">
        <v>200</v>
      </c>
      <c r="R1288" s="297" t="s">
        <v>213</v>
      </c>
      <c r="S1288" s="297" t="s">
        <v>214</v>
      </c>
    </row>
    <row r="1289" spans="1:19" x14ac:dyDescent="0.4">
      <c r="A1289" s="291"/>
      <c r="B1289" s="292"/>
      <c r="C1289" s="312"/>
      <c r="D1289" s="292"/>
      <c r="E1289" s="489"/>
      <c r="F1289" s="489"/>
      <c r="G1289" s="490"/>
      <c r="H1289" s="520"/>
      <c r="I1289" s="523"/>
      <c r="J1289" s="521"/>
      <c r="K1289" s="522"/>
      <c r="M1289" s="301" t="str">
        <f>N1289&amp;AS[[#This Row],[Insurer Code]]&amp;"; "&amp;O1289&amp;AS[[#This Row],[Reporting Year]]&amp;"; "&amp;P1289&amp;AS[[#This Row],[Insurance Category Code]]&amp;"; "&amp;Q1289&amp;AS[[#This Row],[Large Provider Entity Code]]&amp;"; "&amp;R1289&amp;AS[[#This Row],[Age Band Code]]&amp;"; "&amp;S1289&amp;AS[[#This Row],[Sex Code]]</f>
        <v xml:space="preserve">Insurer Code ; Reporting Year ; Insurance Category Code ; Large Provider Entity Code ; Age Band Code ; Sex Code </v>
      </c>
      <c r="N1289" s="297" t="s">
        <v>197</v>
      </c>
      <c r="O1289" s="297" t="s">
        <v>198</v>
      </c>
      <c r="P1289" s="297" t="s">
        <v>199</v>
      </c>
      <c r="Q1289" s="297" t="s">
        <v>200</v>
      </c>
      <c r="R1289" s="297" t="s">
        <v>213</v>
      </c>
      <c r="S1289" s="297" t="s">
        <v>214</v>
      </c>
    </row>
    <row r="1290" spans="1:19" x14ac:dyDescent="0.4">
      <c r="A1290" s="291"/>
      <c r="B1290" s="292"/>
      <c r="C1290" s="312"/>
      <c r="D1290" s="292"/>
      <c r="E1290" s="489"/>
      <c r="F1290" s="489"/>
      <c r="G1290" s="490"/>
      <c r="H1290" s="520"/>
      <c r="I1290" s="523"/>
      <c r="J1290" s="521"/>
      <c r="K1290" s="522"/>
      <c r="M1290" s="301" t="str">
        <f>N1290&amp;AS[[#This Row],[Insurer Code]]&amp;"; "&amp;O1290&amp;AS[[#This Row],[Reporting Year]]&amp;"; "&amp;P1290&amp;AS[[#This Row],[Insurance Category Code]]&amp;"; "&amp;Q1290&amp;AS[[#This Row],[Large Provider Entity Code]]&amp;"; "&amp;R1290&amp;AS[[#This Row],[Age Band Code]]&amp;"; "&amp;S1290&amp;AS[[#This Row],[Sex Code]]</f>
        <v xml:space="preserve">Insurer Code ; Reporting Year ; Insurance Category Code ; Large Provider Entity Code ; Age Band Code ; Sex Code </v>
      </c>
      <c r="N1290" s="297" t="s">
        <v>197</v>
      </c>
      <c r="O1290" s="297" t="s">
        <v>198</v>
      </c>
      <c r="P1290" s="297" t="s">
        <v>199</v>
      </c>
      <c r="Q1290" s="297" t="s">
        <v>200</v>
      </c>
      <c r="R1290" s="297" t="s">
        <v>213</v>
      </c>
      <c r="S1290" s="297" t="s">
        <v>214</v>
      </c>
    </row>
    <row r="1291" spans="1:19" x14ac:dyDescent="0.4">
      <c r="A1291" s="291"/>
      <c r="B1291" s="292"/>
      <c r="C1291" s="312"/>
      <c r="D1291" s="292"/>
      <c r="E1291" s="489"/>
      <c r="F1291" s="489"/>
      <c r="G1291" s="490"/>
      <c r="H1291" s="520"/>
      <c r="I1291" s="523"/>
      <c r="J1291" s="521"/>
      <c r="K1291" s="522"/>
      <c r="M1291" s="301" t="str">
        <f>N1291&amp;AS[[#This Row],[Insurer Code]]&amp;"; "&amp;O1291&amp;AS[[#This Row],[Reporting Year]]&amp;"; "&amp;P1291&amp;AS[[#This Row],[Insurance Category Code]]&amp;"; "&amp;Q1291&amp;AS[[#This Row],[Large Provider Entity Code]]&amp;"; "&amp;R1291&amp;AS[[#This Row],[Age Band Code]]&amp;"; "&amp;S1291&amp;AS[[#This Row],[Sex Code]]</f>
        <v xml:space="preserve">Insurer Code ; Reporting Year ; Insurance Category Code ; Large Provider Entity Code ; Age Band Code ; Sex Code </v>
      </c>
      <c r="N1291" s="297" t="s">
        <v>197</v>
      </c>
      <c r="O1291" s="297" t="s">
        <v>198</v>
      </c>
      <c r="P1291" s="297" t="s">
        <v>199</v>
      </c>
      <c r="Q1291" s="297" t="s">
        <v>200</v>
      </c>
      <c r="R1291" s="297" t="s">
        <v>213</v>
      </c>
      <c r="S1291" s="297" t="s">
        <v>214</v>
      </c>
    </row>
    <row r="1292" spans="1:19" x14ac:dyDescent="0.4">
      <c r="A1292" s="291"/>
      <c r="B1292" s="292"/>
      <c r="C1292" s="312"/>
      <c r="D1292" s="292"/>
      <c r="E1292" s="489"/>
      <c r="F1292" s="489"/>
      <c r="G1292" s="490"/>
      <c r="H1292" s="520"/>
      <c r="I1292" s="523"/>
      <c r="J1292" s="521"/>
      <c r="K1292" s="522"/>
      <c r="M1292" s="301" t="str">
        <f>N1292&amp;AS[[#This Row],[Insurer Code]]&amp;"; "&amp;O1292&amp;AS[[#This Row],[Reporting Year]]&amp;"; "&amp;P1292&amp;AS[[#This Row],[Insurance Category Code]]&amp;"; "&amp;Q1292&amp;AS[[#This Row],[Large Provider Entity Code]]&amp;"; "&amp;R1292&amp;AS[[#This Row],[Age Band Code]]&amp;"; "&amp;S1292&amp;AS[[#This Row],[Sex Code]]</f>
        <v xml:space="preserve">Insurer Code ; Reporting Year ; Insurance Category Code ; Large Provider Entity Code ; Age Band Code ; Sex Code </v>
      </c>
      <c r="N1292" s="297" t="s">
        <v>197</v>
      </c>
      <c r="O1292" s="297" t="s">
        <v>198</v>
      </c>
      <c r="P1292" s="297" t="s">
        <v>199</v>
      </c>
      <c r="Q1292" s="297" t="s">
        <v>200</v>
      </c>
      <c r="R1292" s="297" t="s">
        <v>213</v>
      </c>
      <c r="S1292" s="297" t="s">
        <v>214</v>
      </c>
    </row>
    <row r="1293" spans="1:19" x14ac:dyDescent="0.4">
      <c r="A1293" s="291"/>
      <c r="B1293" s="292"/>
      <c r="C1293" s="312"/>
      <c r="D1293" s="292"/>
      <c r="E1293" s="489"/>
      <c r="F1293" s="489"/>
      <c r="G1293" s="490"/>
      <c r="H1293" s="520"/>
      <c r="I1293" s="523"/>
      <c r="J1293" s="521"/>
      <c r="K1293" s="522"/>
      <c r="M1293" s="301" t="str">
        <f>N1293&amp;AS[[#This Row],[Insurer Code]]&amp;"; "&amp;O1293&amp;AS[[#This Row],[Reporting Year]]&amp;"; "&amp;P1293&amp;AS[[#This Row],[Insurance Category Code]]&amp;"; "&amp;Q1293&amp;AS[[#This Row],[Large Provider Entity Code]]&amp;"; "&amp;R1293&amp;AS[[#This Row],[Age Band Code]]&amp;"; "&amp;S1293&amp;AS[[#This Row],[Sex Code]]</f>
        <v xml:space="preserve">Insurer Code ; Reporting Year ; Insurance Category Code ; Large Provider Entity Code ; Age Band Code ; Sex Code </v>
      </c>
      <c r="N1293" s="297" t="s">
        <v>197</v>
      </c>
      <c r="O1293" s="297" t="s">
        <v>198</v>
      </c>
      <c r="P1293" s="297" t="s">
        <v>199</v>
      </c>
      <c r="Q1293" s="297" t="s">
        <v>200</v>
      </c>
      <c r="R1293" s="297" t="s">
        <v>213</v>
      </c>
      <c r="S1293" s="297" t="s">
        <v>214</v>
      </c>
    </row>
    <row r="1294" spans="1:19" x14ac:dyDescent="0.4">
      <c r="A1294" s="291"/>
      <c r="B1294" s="292"/>
      <c r="C1294" s="312"/>
      <c r="D1294" s="292"/>
      <c r="E1294" s="489"/>
      <c r="F1294" s="489"/>
      <c r="G1294" s="490"/>
      <c r="H1294" s="520"/>
      <c r="I1294" s="523"/>
      <c r="J1294" s="521"/>
      <c r="K1294" s="522"/>
      <c r="M1294" s="301" t="str">
        <f>N1294&amp;AS[[#This Row],[Insurer Code]]&amp;"; "&amp;O1294&amp;AS[[#This Row],[Reporting Year]]&amp;"; "&amp;P1294&amp;AS[[#This Row],[Insurance Category Code]]&amp;"; "&amp;Q1294&amp;AS[[#This Row],[Large Provider Entity Code]]&amp;"; "&amp;R1294&amp;AS[[#This Row],[Age Band Code]]&amp;"; "&amp;S1294&amp;AS[[#This Row],[Sex Code]]</f>
        <v xml:space="preserve">Insurer Code ; Reporting Year ; Insurance Category Code ; Large Provider Entity Code ; Age Band Code ; Sex Code </v>
      </c>
      <c r="N1294" s="297" t="s">
        <v>197</v>
      </c>
      <c r="O1294" s="297" t="s">
        <v>198</v>
      </c>
      <c r="P1294" s="297" t="s">
        <v>199</v>
      </c>
      <c r="Q1294" s="297" t="s">
        <v>200</v>
      </c>
      <c r="R1294" s="297" t="s">
        <v>213</v>
      </c>
      <c r="S1294" s="297" t="s">
        <v>214</v>
      </c>
    </row>
    <row r="1295" spans="1:19" x14ac:dyDescent="0.4">
      <c r="A1295" s="291"/>
      <c r="B1295" s="292"/>
      <c r="C1295" s="312"/>
      <c r="D1295" s="292"/>
      <c r="E1295" s="489"/>
      <c r="F1295" s="489"/>
      <c r="G1295" s="490"/>
      <c r="H1295" s="520"/>
      <c r="I1295" s="523"/>
      <c r="J1295" s="521"/>
      <c r="K1295" s="522"/>
      <c r="M1295" s="301" t="str">
        <f>N1295&amp;AS[[#This Row],[Insurer Code]]&amp;"; "&amp;O1295&amp;AS[[#This Row],[Reporting Year]]&amp;"; "&amp;P1295&amp;AS[[#This Row],[Insurance Category Code]]&amp;"; "&amp;Q1295&amp;AS[[#This Row],[Large Provider Entity Code]]&amp;"; "&amp;R1295&amp;AS[[#This Row],[Age Band Code]]&amp;"; "&amp;S1295&amp;AS[[#This Row],[Sex Code]]</f>
        <v xml:space="preserve">Insurer Code ; Reporting Year ; Insurance Category Code ; Large Provider Entity Code ; Age Band Code ; Sex Code </v>
      </c>
      <c r="N1295" s="297" t="s">
        <v>197</v>
      </c>
      <c r="O1295" s="297" t="s">
        <v>198</v>
      </c>
      <c r="P1295" s="297" t="s">
        <v>199</v>
      </c>
      <c r="Q1295" s="297" t="s">
        <v>200</v>
      </c>
      <c r="R1295" s="297" t="s">
        <v>213</v>
      </c>
      <c r="S1295" s="297" t="s">
        <v>214</v>
      </c>
    </row>
    <row r="1296" spans="1:19" x14ac:dyDescent="0.4">
      <c r="A1296" s="291"/>
      <c r="B1296" s="292"/>
      <c r="C1296" s="312"/>
      <c r="D1296" s="292"/>
      <c r="E1296" s="489"/>
      <c r="F1296" s="489"/>
      <c r="G1296" s="490"/>
      <c r="H1296" s="520"/>
      <c r="I1296" s="523"/>
      <c r="J1296" s="521"/>
      <c r="K1296" s="522"/>
      <c r="M1296" s="301" t="str">
        <f>N1296&amp;AS[[#This Row],[Insurer Code]]&amp;"; "&amp;O1296&amp;AS[[#This Row],[Reporting Year]]&amp;"; "&amp;P1296&amp;AS[[#This Row],[Insurance Category Code]]&amp;"; "&amp;Q1296&amp;AS[[#This Row],[Large Provider Entity Code]]&amp;"; "&amp;R1296&amp;AS[[#This Row],[Age Band Code]]&amp;"; "&amp;S1296&amp;AS[[#This Row],[Sex Code]]</f>
        <v xml:space="preserve">Insurer Code ; Reporting Year ; Insurance Category Code ; Large Provider Entity Code ; Age Band Code ; Sex Code </v>
      </c>
      <c r="N1296" s="297" t="s">
        <v>197</v>
      </c>
      <c r="O1296" s="297" t="s">
        <v>198</v>
      </c>
      <c r="P1296" s="297" t="s">
        <v>199</v>
      </c>
      <c r="Q1296" s="297" t="s">
        <v>200</v>
      </c>
      <c r="R1296" s="297" t="s">
        <v>213</v>
      </c>
      <c r="S1296" s="297" t="s">
        <v>214</v>
      </c>
    </row>
    <row r="1297" spans="1:19" x14ac:dyDescent="0.4">
      <c r="A1297" s="291"/>
      <c r="B1297" s="292"/>
      <c r="C1297" s="312"/>
      <c r="D1297" s="292"/>
      <c r="E1297" s="489"/>
      <c r="F1297" s="489"/>
      <c r="G1297" s="490"/>
      <c r="H1297" s="520"/>
      <c r="I1297" s="523"/>
      <c r="J1297" s="521"/>
      <c r="K1297" s="522"/>
      <c r="M1297" s="301" t="str">
        <f>N1297&amp;AS[[#This Row],[Insurer Code]]&amp;"; "&amp;O1297&amp;AS[[#This Row],[Reporting Year]]&amp;"; "&amp;P1297&amp;AS[[#This Row],[Insurance Category Code]]&amp;"; "&amp;Q1297&amp;AS[[#This Row],[Large Provider Entity Code]]&amp;"; "&amp;R1297&amp;AS[[#This Row],[Age Band Code]]&amp;"; "&amp;S1297&amp;AS[[#This Row],[Sex Code]]</f>
        <v xml:space="preserve">Insurer Code ; Reporting Year ; Insurance Category Code ; Large Provider Entity Code ; Age Band Code ; Sex Code </v>
      </c>
      <c r="N1297" s="297" t="s">
        <v>197</v>
      </c>
      <c r="O1297" s="297" t="s">
        <v>198</v>
      </c>
      <c r="P1297" s="297" t="s">
        <v>199</v>
      </c>
      <c r="Q1297" s="297" t="s">
        <v>200</v>
      </c>
      <c r="R1297" s="297" t="s">
        <v>213</v>
      </c>
      <c r="S1297" s="297" t="s">
        <v>214</v>
      </c>
    </row>
    <row r="1298" spans="1:19" x14ac:dyDescent="0.4">
      <c r="A1298" s="291"/>
      <c r="B1298" s="292"/>
      <c r="C1298" s="312"/>
      <c r="D1298" s="292"/>
      <c r="E1298" s="489"/>
      <c r="F1298" s="489"/>
      <c r="G1298" s="490"/>
      <c r="H1298" s="520"/>
      <c r="I1298" s="523"/>
      <c r="J1298" s="521"/>
      <c r="K1298" s="522"/>
      <c r="M1298" s="301" t="str">
        <f>N1298&amp;AS[[#This Row],[Insurer Code]]&amp;"; "&amp;O1298&amp;AS[[#This Row],[Reporting Year]]&amp;"; "&amp;P1298&amp;AS[[#This Row],[Insurance Category Code]]&amp;"; "&amp;Q1298&amp;AS[[#This Row],[Large Provider Entity Code]]&amp;"; "&amp;R1298&amp;AS[[#This Row],[Age Band Code]]&amp;"; "&amp;S1298&amp;AS[[#This Row],[Sex Code]]</f>
        <v xml:space="preserve">Insurer Code ; Reporting Year ; Insurance Category Code ; Large Provider Entity Code ; Age Band Code ; Sex Code </v>
      </c>
      <c r="N1298" s="297" t="s">
        <v>197</v>
      </c>
      <c r="O1298" s="297" t="s">
        <v>198</v>
      </c>
      <c r="P1298" s="297" t="s">
        <v>199</v>
      </c>
      <c r="Q1298" s="297" t="s">
        <v>200</v>
      </c>
      <c r="R1298" s="297" t="s">
        <v>213</v>
      </c>
      <c r="S1298" s="297" t="s">
        <v>214</v>
      </c>
    </row>
    <row r="1299" spans="1:19" x14ac:dyDescent="0.4">
      <c r="A1299" s="291"/>
      <c r="B1299" s="292"/>
      <c r="C1299" s="312"/>
      <c r="D1299" s="292"/>
      <c r="E1299" s="489"/>
      <c r="F1299" s="489"/>
      <c r="G1299" s="490"/>
      <c r="H1299" s="520"/>
      <c r="I1299" s="523"/>
      <c r="J1299" s="521"/>
      <c r="K1299" s="522"/>
      <c r="M1299" s="301" t="str">
        <f>N1299&amp;AS[[#This Row],[Insurer Code]]&amp;"; "&amp;O1299&amp;AS[[#This Row],[Reporting Year]]&amp;"; "&amp;P1299&amp;AS[[#This Row],[Insurance Category Code]]&amp;"; "&amp;Q1299&amp;AS[[#This Row],[Large Provider Entity Code]]&amp;"; "&amp;R1299&amp;AS[[#This Row],[Age Band Code]]&amp;"; "&amp;S1299&amp;AS[[#This Row],[Sex Code]]</f>
        <v xml:space="preserve">Insurer Code ; Reporting Year ; Insurance Category Code ; Large Provider Entity Code ; Age Band Code ; Sex Code </v>
      </c>
      <c r="N1299" s="297" t="s">
        <v>197</v>
      </c>
      <c r="O1299" s="297" t="s">
        <v>198</v>
      </c>
      <c r="P1299" s="297" t="s">
        <v>199</v>
      </c>
      <c r="Q1299" s="297" t="s">
        <v>200</v>
      </c>
      <c r="R1299" s="297" t="s">
        <v>213</v>
      </c>
      <c r="S1299" s="297" t="s">
        <v>214</v>
      </c>
    </row>
    <row r="1300" spans="1:19" x14ac:dyDescent="0.4">
      <c r="A1300" s="291"/>
      <c r="B1300" s="292"/>
      <c r="C1300" s="312"/>
      <c r="D1300" s="292"/>
      <c r="E1300" s="489"/>
      <c r="F1300" s="489"/>
      <c r="G1300" s="490"/>
      <c r="H1300" s="520"/>
      <c r="I1300" s="523"/>
      <c r="J1300" s="521"/>
      <c r="K1300" s="522"/>
      <c r="M1300" s="301" t="str">
        <f>N1300&amp;AS[[#This Row],[Insurer Code]]&amp;"; "&amp;O1300&amp;AS[[#This Row],[Reporting Year]]&amp;"; "&amp;P1300&amp;AS[[#This Row],[Insurance Category Code]]&amp;"; "&amp;Q1300&amp;AS[[#This Row],[Large Provider Entity Code]]&amp;"; "&amp;R1300&amp;AS[[#This Row],[Age Band Code]]&amp;"; "&amp;S1300&amp;AS[[#This Row],[Sex Code]]</f>
        <v xml:space="preserve">Insurer Code ; Reporting Year ; Insurance Category Code ; Large Provider Entity Code ; Age Band Code ; Sex Code </v>
      </c>
      <c r="N1300" s="297" t="s">
        <v>197</v>
      </c>
      <c r="O1300" s="297" t="s">
        <v>198</v>
      </c>
      <c r="P1300" s="297" t="s">
        <v>199</v>
      </c>
      <c r="Q1300" s="297" t="s">
        <v>200</v>
      </c>
      <c r="R1300" s="297" t="s">
        <v>213</v>
      </c>
      <c r="S1300" s="297" t="s">
        <v>214</v>
      </c>
    </row>
    <row r="1301" spans="1:19" x14ac:dyDescent="0.4">
      <c r="A1301" s="291"/>
      <c r="B1301" s="292"/>
      <c r="C1301" s="312"/>
      <c r="D1301" s="292"/>
      <c r="E1301" s="489"/>
      <c r="F1301" s="489"/>
      <c r="G1301" s="490"/>
      <c r="H1301" s="520"/>
      <c r="I1301" s="523"/>
      <c r="J1301" s="521"/>
      <c r="K1301" s="522"/>
      <c r="M1301" s="301" t="str">
        <f>N1301&amp;AS[[#This Row],[Insurer Code]]&amp;"; "&amp;O1301&amp;AS[[#This Row],[Reporting Year]]&amp;"; "&amp;P1301&amp;AS[[#This Row],[Insurance Category Code]]&amp;"; "&amp;Q1301&amp;AS[[#This Row],[Large Provider Entity Code]]&amp;"; "&amp;R1301&amp;AS[[#This Row],[Age Band Code]]&amp;"; "&amp;S1301&amp;AS[[#This Row],[Sex Code]]</f>
        <v xml:space="preserve">Insurer Code ; Reporting Year ; Insurance Category Code ; Large Provider Entity Code ; Age Band Code ; Sex Code </v>
      </c>
      <c r="N1301" s="297" t="s">
        <v>197</v>
      </c>
      <c r="O1301" s="297" t="s">
        <v>198</v>
      </c>
      <c r="P1301" s="297" t="s">
        <v>199</v>
      </c>
      <c r="Q1301" s="297" t="s">
        <v>200</v>
      </c>
      <c r="R1301" s="297" t="s">
        <v>213</v>
      </c>
      <c r="S1301" s="297" t="s">
        <v>214</v>
      </c>
    </row>
    <row r="1302" spans="1:19" x14ac:dyDescent="0.4">
      <c r="A1302" s="291"/>
      <c r="B1302" s="292"/>
      <c r="C1302" s="312"/>
      <c r="D1302" s="292"/>
      <c r="E1302" s="489"/>
      <c r="F1302" s="489"/>
      <c r="G1302" s="490"/>
      <c r="H1302" s="520"/>
      <c r="I1302" s="523"/>
      <c r="J1302" s="521"/>
      <c r="K1302" s="522"/>
      <c r="M1302" s="301" t="str">
        <f>N1302&amp;AS[[#This Row],[Insurer Code]]&amp;"; "&amp;O1302&amp;AS[[#This Row],[Reporting Year]]&amp;"; "&amp;P1302&amp;AS[[#This Row],[Insurance Category Code]]&amp;"; "&amp;Q1302&amp;AS[[#This Row],[Large Provider Entity Code]]&amp;"; "&amp;R1302&amp;AS[[#This Row],[Age Band Code]]&amp;"; "&amp;S1302&amp;AS[[#This Row],[Sex Code]]</f>
        <v xml:space="preserve">Insurer Code ; Reporting Year ; Insurance Category Code ; Large Provider Entity Code ; Age Band Code ; Sex Code </v>
      </c>
      <c r="N1302" s="297" t="s">
        <v>197</v>
      </c>
      <c r="O1302" s="297" t="s">
        <v>198</v>
      </c>
      <c r="P1302" s="297" t="s">
        <v>199</v>
      </c>
      <c r="Q1302" s="297" t="s">
        <v>200</v>
      </c>
      <c r="R1302" s="297" t="s">
        <v>213</v>
      </c>
      <c r="S1302" s="297" t="s">
        <v>214</v>
      </c>
    </row>
    <row r="1303" spans="1:19" x14ac:dyDescent="0.4">
      <c r="A1303" s="291"/>
      <c r="B1303" s="292"/>
      <c r="C1303" s="312"/>
      <c r="D1303" s="292"/>
      <c r="E1303" s="489"/>
      <c r="F1303" s="489"/>
      <c r="G1303" s="490"/>
      <c r="H1303" s="520"/>
      <c r="I1303" s="523"/>
      <c r="J1303" s="521"/>
      <c r="K1303" s="522"/>
      <c r="M1303" s="301" t="str">
        <f>N1303&amp;AS[[#This Row],[Insurer Code]]&amp;"; "&amp;O1303&amp;AS[[#This Row],[Reporting Year]]&amp;"; "&amp;P1303&amp;AS[[#This Row],[Insurance Category Code]]&amp;"; "&amp;Q1303&amp;AS[[#This Row],[Large Provider Entity Code]]&amp;"; "&amp;R1303&amp;AS[[#This Row],[Age Band Code]]&amp;"; "&amp;S1303&amp;AS[[#This Row],[Sex Code]]</f>
        <v xml:space="preserve">Insurer Code ; Reporting Year ; Insurance Category Code ; Large Provider Entity Code ; Age Band Code ; Sex Code </v>
      </c>
      <c r="N1303" s="297" t="s">
        <v>197</v>
      </c>
      <c r="O1303" s="297" t="s">
        <v>198</v>
      </c>
      <c r="P1303" s="297" t="s">
        <v>199</v>
      </c>
      <c r="Q1303" s="297" t="s">
        <v>200</v>
      </c>
      <c r="R1303" s="297" t="s">
        <v>213</v>
      </c>
      <c r="S1303" s="297" t="s">
        <v>214</v>
      </c>
    </row>
    <row r="1304" spans="1:19" x14ac:dyDescent="0.4">
      <c r="A1304" s="291"/>
      <c r="B1304" s="292"/>
      <c r="C1304" s="312"/>
      <c r="D1304" s="292"/>
      <c r="E1304" s="489"/>
      <c r="F1304" s="489"/>
      <c r="G1304" s="490"/>
      <c r="H1304" s="520"/>
      <c r="I1304" s="523"/>
      <c r="J1304" s="521"/>
      <c r="K1304" s="522"/>
      <c r="M1304" s="301" t="str">
        <f>N1304&amp;AS[[#This Row],[Insurer Code]]&amp;"; "&amp;O1304&amp;AS[[#This Row],[Reporting Year]]&amp;"; "&amp;P1304&amp;AS[[#This Row],[Insurance Category Code]]&amp;"; "&amp;Q1304&amp;AS[[#This Row],[Large Provider Entity Code]]&amp;"; "&amp;R1304&amp;AS[[#This Row],[Age Band Code]]&amp;"; "&amp;S1304&amp;AS[[#This Row],[Sex Code]]</f>
        <v xml:space="preserve">Insurer Code ; Reporting Year ; Insurance Category Code ; Large Provider Entity Code ; Age Band Code ; Sex Code </v>
      </c>
      <c r="N1304" s="297" t="s">
        <v>197</v>
      </c>
      <c r="O1304" s="297" t="s">
        <v>198</v>
      </c>
      <c r="P1304" s="297" t="s">
        <v>199</v>
      </c>
      <c r="Q1304" s="297" t="s">
        <v>200</v>
      </c>
      <c r="R1304" s="297" t="s">
        <v>213</v>
      </c>
      <c r="S1304" s="297" t="s">
        <v>214</v>
      </c>
    </row>
    <row r="1305" spans="1:19" x14ac:dyDescent="0.4">
      <c r="A1305" s="291"/>
      <c r="B1305" s="292"/>
      <c r="C1305" s="312"/>
      <c r="D1305" s="292"/>
      <c r="E1305" s="489"/>
      <c r="F1305" s="489"/>
      <c r="G1305" s="490"/>
      <c r="H1305" s="520"/>
      <c r="I1305" s="523"/>
      <c r="J1305" s="521"/>
      <c r="K1305" s="522"/>
      <c r="M1305" s="301" t="str">
        <f>N1305&amp;AS[[#This Row],[Insurer Code]]&amp;"; "&amp;O1305&amp;AS[[#This Row],[Reporting Year]]&amp;"; "&amp;P1305&amp;AS[[#This Row],[Insurance Category Code]]&amp;"; "&amp;Q1305&amp;AS[[#This Row],[Large Provider Entity Code]]&amp;"; "&amp;R1305&amp;AS[[#This Row],[Age Band Code]]&amp;"; "&amp;S1305&amp;AS[[#This Row],[Sex Code]]</f>
        <v xml:space="preserve">Insurer Code ; Reporting Year ; Insurance Category Code ; Large Provider Entity Code ; Age Band Code ; Sex Code </v>
      </c>
      <c r="N1305" s="297" t="s">
        <v>197</v>
      </c>
      <c r="O1305" s="297" t="s">
        <v>198</v>
      </c>
      <c r="P1305" s="297" t="s">
        <v>199</v>
      </c>
      <c r="Q1305" s="297" t="s">
        <v>200</v>
      </c>
      <c r="R1305" s="297" t="s">
        <v>213</v>
      </c>
      <c r="S1305" s="297" t="s">
        <v>214</v>
      </c>
    </row>
    <row r="1306" spans="1:19" x14ac:dyDescent="0.4">
      <c r="A1306" s="291"/>
      <c r="B1306" s="292"/>
      <c r="C1306" s="312"/>
      <c r="D1306" s="292"/>
      <c r="E1306" s="489"/>
      <c r="F1306" s="489"/>
      <c r="G1306" s="490"/>
      <c r="H1306" s="520"/>
      <c r="I1306" s="523"/>
      <c r="J1306" s="521"/>
      <c r="K1306" s="522"/>
      <c r="M1306" s="301" t="str">
        <f>N1306&amp;AS[[#This Row],[Insurer Code]]&amp;"; "&amp;O1306&amp;AS[[#This Row],[Reporting Year]]&amp;"; "&amp;P1306&amp;AS[[#This Row],[Insurance Category Code]]&amp;"; "&amp;Q1306&amp;AS[[#This Row],[Large Provider Entity Code]]&amp;"; "&amp;R1306&amp;AS[[#This Row],[Age Band Code]]&amp;"; "&amp;S1306&amp;AS[[#This Row],[Sex Code]]</f>
        <v xml:space="preserve">Insurer Code ; Reporting Year ; Insurance Category Code ; Large Provider Entity Code ; Age Band Code ; Sex Code </v>
      </c>
      <c r="N1306" s="297" t="s">
        <v>197</v>
      </c>
      <c r="O1306" s="297" t="s">
        <v>198</v>
      </c>
      <c r="P1306" s="297" t="s">
        <v>199</v>
      </c>
      <c r="Q1306" s="297" t="s">
        <v>200</v>
      </c>
      <c r="R1306" s="297" t="s">
        <v>213</v>
      </c>
      <c r="S1306" s="297" t="s">
        <v>214</v>
      </c>
    </row>
    <row r="1307" spans="1:19" x14ac:dyDescent="0.4">
      <c r="A1307" s="291"/>
      <c r="B1307" s="292"/>
      <c r="C1307" s="312"/>
      <c r="D1307" s="292"/>
      <c r="E1307" s="489"/>
      <c r="F1307" s="489"/>
      <c r="G1307" s="490"/>
      <c r="H1307" s="520"/>
      <c r="I1307" s="523"/>
      <c r="J1307" s="521"/>
      <c r="K1307" s="522"/>
      <c r="M1307" s="301" t="str">
        <f>N1307&amp;AS[[#This Row],[Insurer Code]]&amp;"; "&amp;O1307&amp;AS[[#This Row],[Reporting Year]]&amp;"; "&amp;P1307&amp;AS[[#This Row],[Insurance Category Code]]&amp;"; "&amp;Q1307&amp;AS[[#This Row],[Large Provider Entity Code]]&amp;"; "&amp;R1307&amp;AS[[#This Row],[Age Band Code]]&amp;"; "&amp;S1307&amp;AS[[#This Row],[Sex Code]]</f>
        <v xml:space="preserve">Insurer Code ; Reporting Year ; Insurance Category Code ; Large Provider Entity Code ; Age Band Code ; Sex Code </v>
      </c>
      <c r="N1307" s="297" t="s">
        <v>197</v>
      </c>
      <c r="O1307" s="297" t="s">
        <v>198</v>
      </c>
      <c r="P1307" s="297" t="s">
        <v>199</v>
      </c>
      <c r="Q1307" s="297" t="s">
        <v>200</v>
      </c>
      <c r="R1307" s="297" t="s">
        <v>213</v>
      </c>
      <c r="S1307" s="297" t="s">
        <v>214</v>
      </c>
    </row>
    <row r="1308" spans="1:19" x14ac:dyDescent="0.4">
      <c r="A1308" s="291"/>
      <c r="B1308" s="292"/>
      <c r="C1308" s="312"/>
      <c r="D1308" s="292"/>
      <c r="E1308" s="489"/>
      <c r="F1308" s="489"/>
      <c r="G1308" s="490"/>
      <c r="H1308" s="520"/>
      <c r="I1308" s="523"/>
      <c r="J1308" s="521"/>
      <c r="K1308" s="522"/>
      <c r="M1308" s="301" t="str">
        <f>N1308&amp;AS[[#This Row],[Insurer Code]]&amp;"; "&amp;O1308&amp;AS[[#This Row],[Reporting Year]]&amp;"; "&amp;P1308&amp;AS[[#This Row],[Insurance Category Code]]&amp;"; "&amp;Q1308&amp;AS[[#This Row],[Large Provider Entity Code]]&amp;"; "&amp;R1308&amp;AS[[#This Row],[Age Band Code]]&amp;"; "&amp;S1308&amp;AS[[#This Row],[Sex Code]]</f>
        <v xml:space="preserve">Insurer Code ; Reporting Year ; Insurance Category Code ; Large Provider Entity Code ; Age Band Code ; Sex Code </v>
      </c>
      <c r="N1308" s="297" t="s">
        <v>197</v>
      </c>
      <c r="O1308" s="297" t="s">
        <v>198</v>
      </c>
      <c r="P1308" s="297" t="s">
        <v>199</v>
      </c>
      <c r="Q1308" s="297" t="s">
        <v>200</v>
      </c>
      <c r="R1308" s="297" t="s">
        <v>213</v>
      </c>
      <c r="S1308" s="297" t="s">
        <v>214</v>
      </c>
    </row>
    <row r="1309" spans="1:19" x14ac:dyDescent="0.4">
      <c r="A1309" s="291"/>
      <c r="B1309" s="292"/>
      <c r="C1309" s="312"/>
      <c r="D1309" s="292"/>
      <c r="E1309" s="489"/>
      <c r="F1309" s="489"/>
      <c r="G1309" s="490"/>
      <c r="H1309" s="520"/>
      <c r="I1309" s="523"/>
      <c r="J1309" s="521"/>
      <c r="K1309" s="522"/>
      <c r="M1309" s="301" t="str">
        <f>N1309&amp;AS[[#This Row],[Insurer Code]]&amp;"; "&amp;O1309&amp;AS[[#This Row],[Reporting Year]]&amp;"; "&amp;P1309&amp;AS[[#This Row],[Insurance Category Code]]&amp;"; "&amp;Q1309&amp;AS[[#This Row],[Large Provider Entity Code]]&amp;"; "&amp;R1309&amp;AS[[#This Row],[Age Band Code]]&amp;"; "&amp;S1309&amp;AS[[#This Row],[Sex Code]]</f>
        <v xml:space="preserve">Insurer Code ; Reporting Year ; Insurance Category Code ; Large Provider Entity Code ; Age Band Code ; Sex Code </v>
      </c>
      <c r="N1309" s="297" t="s">
        <v>197</v>
      </c>
      <c r="O1309" s="297" t="s">
        <v>198</v>
      </c>
      <c r="P1309" s="297" t="s">
        <v>199</v>
      </c>
      <c r="Q1309" s="297" t="s">
        <v>200</v>
      </c>
      <c r="R1309" s="297" t="s">
        <v>213</v>
      </c>
      <c r="S1309" s="297" t="s">
        <v>214</v>
      </c>
    </row>
    <row r="1310" spans="1:19" x14ac:dyDescent="0.4">
      <c r="A1310" s="291"/>
      <c r="B1310" s="292"/>
      <c r="C1310" s="312"/>
      <c r="D1310" s="292"/>
      <c r="E1310" s="489"/>
      <c r="F1310" s="489"/>
      <c r="G1310" s="490"/>
      <c r="H1310" s="520"/>
      <c r="I1310" s="523"/>
      <c r="J1310" s="521"/>
      <c r="K1310" s="522"/>
      <c r="M1310" s="301" t="str">
        <f>N1310&amp;AS[[#This Row],[Insurer Code]]&amp;"; "&amp;O1310&amp;AS[[#This Row],[Reporting Year]]&amp;"; "&amp;P1310&amp;AS[[#This Row],[Insurance Category Code]]&amp;"; "&amp;Q1310&amp;AS[[#This Row],[Large Provider Entity Code]]&amp;"; "&amp;R1310&amp;AS[[#This Row],[Age Band Code]]&amp;"; "&amp;S1310&amp;AS[[#This Row],[Sex Code]]</f>
        <v xml:space="preserve">Insurer Code ; Reporting Year ; Insurance Category Code ; Large Provider Entity Code ; Age Band Code ; Sex Code </v>
      </c>
      <c r="N1310" s="297" t="s">
        <v>197</v>
      </c>
      <c r="O1310" s="297" t="s">
        <v>198</v>
      </c>
      <c r="P1310" s="297" t="s">
        <v>199</v>
      </c>
      <c r="Q1310" s="297" t="s">
        <v>200</v>
      </c>
      <c r="R1310" s="297" t="s">
        <v>213</v>
      </c>
      <c r="S1310" s="297" t="s">
        <v>214</v>
      </c>
    </row>
    <row r="1311" spans="1:19" x14ac:dyDescent="0.4">
      <c r="A1311" s="291"/>
      <c r="B1311" s="292"/>
      <c r="C1311" s="312"/>
      <c r="D1311" s="292"/>
      <c r="E1311" s="489"/>
      <c r="F1311" s="489"/>
      <c r="G1311" s="490"/>
      <c r="H1311" s="520"/>
      <c r="I1311" s="523"/>
      <c r="J1311" s="521"/>
      <c r="K1311" s="522"/>
      <c r="M1311" s="301" t="str">
        <f>N1311&amp;AS[[#This Row],[Insurer Code]]&amp;"; "&amp;O1311&amp;AS[[#This Row],[Reporting Year]]&amp;"; "&amp;P1311&amp;AS[[#This Row],[Insurance Category Code]]&amp;"; "&amp;Q1311&amp;AS[[#This Row],[Large Provider Entity Code]]&amp;"; "&amp;R1311&amp;AS[[#This Row],[Age Band Code]]&amp;"; "&amp;S1311&amp;AS[[#This Row],[Sex Code]]</f>
        <v xml:space="preserve">Insurer Code ; Reporting Year ; Insurance Category Code ; Large Provider Entity Code ; Age Band Code ; Sex Code </v>
      </c>
      <c r="N1311" s="297" t="s">
        <v>197</v>
      </c>
      <c r="O1311" s="297" t="s">
        <v>198</v>
      </c>
      <c r="P1311" s="297" t="s">
        <v>199</v>
      </c>
      <c r="Q1311" s="297" t="s">
        <v>200</v>
      </c>
      <c r="R1311" s="297" t="s">
        <v>213</v>
      </c>
      <c r="S1311" s="297" t="s">
        <v>214</v>
      </c>
    </row>
    <row r="1312" spans="1:19" x14ac:dyDescent="0.4">
      <c r="A1312" s="291"/>
      <c r="B1312" s="292"/>
      <c r="C1312" s="312"/>
      <c r="D1312" s="292"/>
      <c r="E1312" s="489"/>
      <c r="F1312" s="489"/>
      <c r="G1312" s="490"/>
      <c r="H1312" s="520"/>
      <c r="I1312" s="523"/>
      <c r="J1312" s="521"/>
      <c r="K1312" s="522"/>
      <c r="M1312" s="301" t="str">
        <f>N1312&amp;AS[[#This Row],[Insurer Code]]&amp;"; "&amp;O1312&amp;AS[[#This Row],[Reporting Year]]&amp;"; "&amp;P1312&amp;AS[[#This Row],[Insurance Category Code]]&amp;"; "&amp;Q1312&amp;AS[[#This Row],[Large Provider Entity Code]]&amp;"; "&amp;R1312&amp;AS[[#This Row],[Age Band Code]]&amp;"; "&amp;S1312&amp;AS[[#This Row],[Sex Code]]</f>
        <v xml:space="preserve">Insurer Code ; Reporting Year ; Insurance Category Code ; Large Provider Entity Code ; Age Band Code ; Sex Code </v>
      </c>
      <c r="N1312" s="297" t="s">
        <v>197</v>
      </c>
      <c r="O1312" s="297" t="s">
        <v>198</v>
      </c>
      <c r="P1312" s="297" t="s">
        <v>199</v>
      </c>
      <c r="Q1312" s="297" t="s">
        <v>200</v>
      </c>
      <c r="R1312" s="297" t="s">
        <v>213</v>
      </c>
      <c r="S1312" s="297" t="s">
        <v>214</v>
      </c>
    </row>
    <row r="1313" spans="1:19" x14ac:dyDescent="0.4">
      <c r="A1313" s="291"/>
      <c r="B1313" s="292"/>
      <c r="C1313" s="312"/>
      <c r="D1313" s="292"/>
      <c r="E1313" s="489"/>
      <c r="F1313" s="489"/>
      <c r="G1313" s="490"/>
      <c r="H1313" s="520"/>
      <c r="I1313" s="523"/>
      <c r="J1313" s="521"/>
      <c r="K1313" s="522"/>
      <c r="M1313" s="301" t="str">
        <f>N1313&amp;AS[[#This Row],[Insurer Code]]&amp;"; "&amp;O1313&amp;AS[[#This Row],[Reporting Year]]&amp;"; "&amp;P1313&amp;AS[[#This Row],[Insurance Category Code]]&amp;"; "&amp;Q1313&amp;AS[[#This Row],[Large Provider Entity Code]]&amp;"; "&amp;R1313&amp;AS[[#This Row],[Age Band Code]]&amp;"; "&amp;S1313&amp;AS[[#This Row],[Sex Code]]</f>
        <v xml:space="preserve">Insurer Code ; Reporting Year ; Insurance Category Code ; Large Provider Entity Code ; Age Band Code ; Sex Code </v>
      </c>
      <c r="N1313" s="297" t="s">
        <v>197</v>
      </c>
      <c r="O1313" s="297" t="s">
        <v>198</v>
      </c>
      <c r="P1313" s="297" t="s">
        <v>199</v>
      </c>
      <c r="Q1313" s="297" t="s">
        <v>200</v>
      </c>
      <c r="R1313" s="297" t="s">
        <v>213</v>
      </c>
      <c r="S1313" s="297" t="s">
        <v>214</v>
      </c>
    </row>
    <row r="1314" spans="1:19" x14ac:dyDescent="0.4">
      <c r="A1314" s="291"/>
      <c r="B1314" s="292"/>
      <c r="C1314" s="312"/>
      <c r="D1314" s="292"/>
      <c r="E1314" s="489"/>
      <c r="F1314" s="489"/>
      <c r="G1314" s="490"/>
      <c r="H1314" s="520"/>
      <c r="I1314" s="523"/>
      <c r="J1314" s="521"/>
      <c r="K1314" s="522"/>
      <c r="M1314" s="301" t="str">
        <f>N1314&amp;AS[[#This Row],[Insurer Code]]&amp;"; "&amp;O1314&amp;AS[[#This Row],[Reporting Year]]&amp;"; "&amp;P1314&amp;AS[[#This Row],[Insurance Category Code]]&amp;"; "&amp;Q1314&amp;AS[[#This Row],[Large Provider Entity Code]]&amp;"; "&amp;R1314&amp;AS[[#This Row],[Age Band Code]]&amp;"; "&amp;S1314&amp;AS[[#This Row],[Sex Code]]</f>
        <v xml:space="preserve">Insurer Code ; Reporting Year ; Insurance Category Code ; Large Provider Entity Code ; Age Band Code ; Sex Code </v>
      </c>
      <c r="N1314" s="297" t="s">
        <v>197</v>
      </c>
      <c r="O1314" s="297" t="s">
        <v>198</v>
      </c>
      <c r="P1314" s="297" t="s">
        <v>199</v>
      </c>
      <c r="Q1314" s="297" t="s">
        <v>200</v>
      </c>
      <c r="R1314" s="297" t="s">
        <v>213</v>
      </c>
      <c r="S1314" s="297" t="s">
        <v>214</v>
      </c>
    </row>
    <row r="1315" spans="1:19" x14ac:dyDescent="0.4">
      <c r="A1315" s="291"/>
      <c r="B1315" s="292"/>
      <c r="C1315" s="312"/>
      <c r="D1315" s="292"/>
      <c r="E1315" s="489"/>
      <c r="F1315" s="489"/>
      <c r="G1315" s="490"/>
      <c r="H1315" s="520"/>
      <c r="I1315" s="523"/>
      <c r="J1315" s="521"/>
      <c r="K1315" s="522"/>
      <c r="M1315" s="301" t="str">
        <f>N1315&amp;AS[[#This Row],[Insurer Code]]&amp;"; "&amp;O1315&amp;AS[[#This Row],[Reporting Year]]&amp;"; "&amp;P1315&amp;AS[[#This Row],[Insurance Category Code]]&amp;"; "&amp;Q1315&amp;AS[[#This Row],[Large Provider Entity Code]]&amp;"; "&amp;R1315&amp;AS[[#This Row],[Age Band Code]]&amp;"; "&amp;S1315&amp;AS[[#This Row],[Sex Code]]</f>
        <v xml:space="preserve">Insurer Code ; Reporting Year ; Insurance Category Code ; Large Provider Entity Code ; Age Band Code ; Sex Code </v>
      </c>
      <c r="N1315" s="297" t="s">
        <v>197</v>
      </c>
      <c r="O1315" s="297" t="s">
        <v>198</v>
      </c>
      <c r="P1315" s="297" t="s">
        <v>199</v>
      </c>
      <c r="Q1315" s="297" t="s">
        <v>200</v>
      </c>
      <c r="R1315" s="297" t="s">
        <v>213</v>
      </c>
      <c r="S1315" s="297" t="s">
        <v>214</v>
      </c>
    </row>
    <row r="1316" spans="1:19" x14ac:dyDescent="0.4">
      <c r="A1316" s="291"/>
      <c r="B1316" s="292"/>
      <c r="C1316" s="312"/>
      <c r="D1316" s="292"/>
      <c r="E1316" s="489"/>
      <c r="F1316" s="489"/>
      <c r="G1316" s="490"/>
      <c r="H1316" s="520"/>
      <c r="I1316" s="523"/>
      <c r="J1316" s="521"/>
      <c r="K1316" s="522"/>
      <c r="M1316" s="301" t="str">
        <f>N1316&amp;AS[[#This Row],[Insurer Code]]&amp;"; "&amp;O1316&amp;AS[[#This Row],[Reporting Year]]&amp;"; "&amp;P1316&amp;AS[[#This Row],[Insurance Category Code]]&amp;"; "&amp;Q1316&amp;AS[[#This Row],[Large Provider Entity Code]]&amp;"; "&amp;R1316&amp;AS[[#This Row],[Age Band Code]]&amp;"; "&amp;S1316&amp;AS[[#This Row],[Sex Code]]</f>
        <v xml:space="preserve">Insurer Code ; Reporting Year ; Insurance Category Code ; Large Provider Entity Code ; Age Band Code ; Sex Code </v>
      </c>
      <c r="N1316" s="297" t="s">
        <v>197</v>
      </c>
      <c r="O1316" s="297" t="s">
        <v>198</v>
      </c>
      <c r="P1316" s="297" t="s">
        <v>199</v>
      </c>
      <c r="Q1316" s="297" t="s">
        <v>200</v>
      </c>
      <c r="R1316" s="297" t="s">
        <v>213</v>
      </c>
      <c r="S1316" s="297" t="s">
        <v>214</v>
      </c>
    </row>
    <row r="1317" spans="1:19" x14ac:dyDescent="0.4">
      <c r="A1317" s="291"/>
      <c r="B1317" s="292"/>
      <c r="C1317" s="312"/>
      <c r="D1317" s="292"/>
      <c r="E1317" s="489"/>
      <c r="F1317" s="489"/>
      <c r="G1317" s="490"/>
      <c r="H1317" s="520"/>
      <c r="I1317" s="523"/>
      <c r="J1317" s="521"/>
      <c r="K1317" s="522"/>
      <c r="M1317" s="301" t="str">
        <f>N1317&amp;AS[[#This Row],[Insurer Code]]&amp;"; "&amp;O1317&amp;AS[[#This Row],[Reporting Year]]&amp;"; "&amp;P1317&amp;AS[[#This Row],[Insurance Category Code]]&amp;"; "&amp;Q1317&amp;AS[[#This Row],[Large Provider Entity Code]]&amp;"; "&amp;R1317&amp;AS[[#This Row],[Age Band Code]]&amp;"; "&amp;S1317&amp;AS[[#This Row],[Sex Code]]</f>
        <v xml:space="preserve">Insurer Code ; Reporting Year ; Insurance Category Code ; Large Provider Entity Code ; Age Band Code ; Sex Code </v>
      </c>
      <c r="N1317" s="297" t="s">
        <v>197</v>
      </c>
      <c r="O1317" s="297" t="s">
        <v>198</v>
      </c>
      <c r="P1317" s="297" t="s">
        <v>199</v>
      </c>
      <c r="Q1317" s="297" t="s">
        <v>200</v>
      </c>
      <c r="R1317" s="297" t="s">
        <v>213</v>
      </c>
      <c r="S1317" s="297" t="s">
        <v>214</v>
      </c>
    </row>
    <row r="1318" spans="1:19" x14ac:dyDescent="0.4">
      <c r="A1318" s="291"/>
      <c r="B1318" s="292"/>
      <c r="C1318" s="312"/>
      <c r="D1318" s="292"/>
      <c r="E1318" s="489"/>
      <c r="F1318" s="489"/>
      <c r="G1318" s="490"/>
      <c r="H1318" s="520"/>
      <c r="I1318" s="523"/>
      <c r="J1318" s="521"/>
      <c r="K1318" s="522"/>
      <c r="M1318" s="301" t="str">
        <f>N1318&amp;AS[[#This Row],[Insurer Code]]&amp;"; "&amp;O1318&amp;AS[[#This Row],[Reporting Year]]&amp;"; "&amp;P1318&amp;AS[[#This Row],[Insurance Category Code]]&amp;"; "&amp;Q1318&amp;AS[[#This Row],[Large Provider Entity Code]]&amp;"; "&amp;R1318&amp;AS[[#This Row],[Age Band Code]]&amp;"; "&amp;S1318&amp;AS[[#This Row],[Sex Code]]</f>
        <v xml:space="preserve">Insurer Code ; Reporting Year ; Insurance Category Code ; Large Provider Entity Code ; Age Band Code ; Sex Code </v>
      </c>
      <c r="N1318" s="297" t="s">
        <v>197</v>
      </c>
      <c r="O1318" s="297" t="s">
        <v>198</v>
      </c>
      <c r="P1318" s="297" t="s">
        <v>199</v>
      </c>
      <c r="Q1318" s="297" t="s">
        <v>200</v>
      </c>
      <c r="R1318" s="297" t="s">
        <v>213</v>
      </c>
      <c r="S1318" s="297" t="s">
        <v>214</v>
      </c>
    </row>
    <row r="1319" spans="1:19" x14ac:dyDescent="0.4">
      <c r="A1319" s="291"/>
      <c r="B1319" s="292"/>
      <c r="C1319" s="312"/>
      <c r="D1319" s="292"/>
      <c r="E1319" s="489"/>
      <c r="F1319" s="489"/>
      <c r="G1319" s="490"/>
      <c r="H1319" s="520"/>
      <c r="I1319" s="523"/>
      <c r="J1319" s="521"/>
      <c r="K1319" s="522"/>
      <c r="M1319" s="301" t="str">
        <f>N1319&amp;AS[[#This Row],[Insurer Code]]&amp;"; "&amp;O1319&amp;AS[[#This Row],[Reporting Year]]&amp;"; "&amp;P1319&amp;AS[[#This Row],[Insurance Category Code]]&amp;"; "&amp;Q1319&amp;AS[[#This Row],[Large Provider Entity Code]]&amp;"; "&amp;R1319&amp;AS[[#This Row],[Age Band Code]]&amp;"; "&amp;S1319&amp;AS[[#This Row],[Sex Code]]</f>
        <v xml:space="preserve">Insurer Code ; Reporting Year ; Insurance Category Code ; Large Provider Entity Code ; Age Band Code ; Sex Code </v>
      </c>
      <c r="N1319" s="297" t="s">
        <v>197</v>
      </c>
      <c r="O1319" s="297" t="s">
        <v>198</v>
      </c>
      <c r="P1319" s="297" t="s">
        <v>199</v>
      </c>
      <c r="Q1319" s="297" t="s">
        <v>200</v>
      </c>
      <c r="R1319" s="297" t="s">
        <v>213</v>
      </c>
      <c r="S1319" s="297" t="s">
        <v>214</v>
      </c>
    </row>
    <row r="1320" spans="1:19" x14ac:dyDescent="0.4">
      <c r="A1320" s="291"/>
      <c r="B1320" s="292"/>
      <c r="C1320" s="312"/>
      <c r="D1320" s="292"/>
      <c r="E1320" s="489"/>
      <c r="F1320" s="489"/>
      <c r="G1320" s="490"/>
      <c r="H1320" s="520"/>
      <c r="I1320" s="523"/>
      <c r="J1320" s="521"/>
      <c r="K1320" s="522"/>
      <c r="M1320" s="301" t="str">
        <f>N1320&amp;AS[[#This Row],[Insurer Code]]&amp;"; "&amp;O1320&amp;AS[[#This Row],[Reporting Year]]&amp;"; "&amp;P1320&amp;AS[[#This Row],[Insurance Category Code]]&amp;"; "&amp;Q1320&amp;AS[[#This Row],[Large Provider Entity Code]]&amp;"; "&amp;R1320&amp;AS[[#This Row],[Age Band Code]]&amp;"; "&amp;S1320&amp;AS[[#This Row],[Sex Code]]</f>
        <v xml:space="preserve">Insurer Code ; Reporting Year ; Insurance Category Code ; Large Provider Entity Code ; Age Band Code ; Sex Code </v>
      </c>
      <c r="N1320" s="297" t="s">
        <v>197</v>
      </c>
      <c r="O1320" s="297" t="s">
        <v>198</v>
      </c>
      <c r="P1320" s="297" t="s">
        <v>199</v>
      </c>
      <c r="Q1320" s="297" t="s">
        <v>200</v>
      </c>
      <c r="R1320" s="297" t="s">
        <v>213</v>
      </c>
      <c r="S1320" s="297" t="s">
        <v>214</v>
      </c>
    </row>
    <row r="1321" spans="1:19" x14ac:dyDescent="0.4">
      <c r="A1321" s="291"/>
      <c r="B1321" s="292"/>
      <c r="C1321" s="312"/>
      <c r="D1321" s="292"/>
      <c r="E1321" s="489"/>
      <c r="F1321" s="489"/>
      <c r="G1321" s="490"/>
      <c r="H1321" s="520"/>
      <c r="I1321" s="523"/>
      <c r="J1321" s="521"/>
      <c r="K1321" s="522"/>
      <c r="M1321" s="301" t="str">
        <f>N1321&amp;AS[[#This Row],[Insurer Code]]&amp;"; "&amp;O1321&amp;AS[[#This Row],[Reporting Year]]&amp;"; "&amp;P1321&amp;AS[[#This Row],[Insurance Category Code]]&amp;"; "&amp;Q1321&amp;AS[[#This Row],[Large Provider Entity Code]]&amp;"; "&amp;R1321&amp;AS[[#This Row],[Age Band Code]]&amp;"; "&amp;S1321&amp;AS[[#This Row],[Sex Code]]</f>
        <v xml:space="preserve">Insurer Code ; Reporting Year ; Insurance Category Code ; Large Provider Entity Code ; Age Band Code ; Sex Code </v>
      </c>
      <c r="N1321" s="297" t="s">
        <v>197</v>
      </c>
      <c r="O1321" s="297" t="s">
        <v>198</v>
      </c>
      <c r="P1321" s="297" t="s">
        <v>199</v>
      </c>
      <c r="Q1321" s="297" t="s">
        <v>200</v>
      </c>
      <c r="R1321" s="297" t="s">
        <v>213</v>
      </c>
      <c r="S1321" s="297" t="s">
        <v>214</v>
      </c>
    </row>
    <row r="1322" spans="1:19" x14ac:dyDescent="0.4">
      <c r="A1322" s="291"/>
      <c r="B1322" s="292"/>
      <c r="C1322" s="312"/>
      <c r="D1322" s="292"/>
      <c r="E1322" s="489"/>
      <c r="F1322" s="489"/>
      <c r="G1322" s="490"/>
      <c r="H1322" s="520"/>
      <c r="I1322" s="523"/>
      <c r="J1322" s="521"/>
      <c r="K1322" s="522"/>
      <c r="M1322" s="301" t="str">
        <f>N1322&amp;AS[[#This Row],[Insurer Code]]&amp;"; "&amp;O1322&amp;AS[[#This Row],[Reporting Year]]&amp;"; "&amp;P1322&amp;AS[[#This Row],[Insurance Category Code]]&amp;"; "&amp;Q1322&amp;AS[[#This Row],[Large Provider Entity Code]]&amp;"; "&amp;R1322&amp;AS[[#This Row],[Age Band Code]]&amp;"; "&amp;S1322&amp;AS[[#This Row],[Sex Code]]</f>
        <v xml:space="preserve">Insurer Code ; Reporting Year ; Insurance Category Code ; Large Provider Entity Code ; Age Band Code ; Sex Code </v>
      </c>
      <c r="N1322" s="297" t="s">
        <v>197</v>
      </c>
      <c r="O1322" s="297" t="s">
        <v>198</v>
      </c>
      <c r="P1322" s="297" t="s">
        <v>199</v>
      </c>
      <c r="Q1322" s="297" t="s">
        <v>200</v>
      </c>
      <c r="R1322" s="297" t="s">
        <v>213</v>
      </c>
      <c r="S1322" s="297" t="s">
        <v>214</v>
      </c>
    </row>
    <row r="1323" spans="1:19" x14ac:dyDescent="0.4">
      <c r="A1323" s="291"/>
      <c r="B1323" s="292"/>
      <c r="C1323" s="312"/>
      <c r="D1323" s="292"/>
      <c r="E1323" s="489"/>
      <c r="F1323" s="489"/>
      <c r="G1323" s="490"/>
      <c r="H1323" s="520"/>
      <c r="I1323" s="523"/>
      <c r="J1323" s="521"/>
      <c r="K1323" s="522"/>
      <c r="M1323" s="301" t="str">
        <f>N1323&amp;AS[[#This Row],[Insurer Code]]&amp;"; "&amp;O1323&amp;AS[[#This Row],[Reporting Year]]&amp;"; "&amp;P1323&amp;AS[[#This Row],[Insurance Category Code]]&amp;"; "&amp;Q1323&amp;AS[[#This Row],[Large Provider Entity Code]]&amp;"; "&amp;R1323&amp;AS[[#This Row],[Age Band Code]]&amp;"; "&amp;S1323&amp;AS[[#This Row],[Sex Code]]</f>
        <v xml:space="preserve">Insurer Code ; Reporting Year ; Insurance Category Code ; Large Provider Entity Code ; Age Band Code ; Sex Code </v>
      </c>
      <c r="N1323" s="297" t="s">
        <v>197</v>
      </c>
      <c r="O1323" s="297" t="s">
        <v>198</v>
      </c>
      <c r="P1323" s="297" t="s">
        <v>199</v>
      </c>
      <c r="Q1323" s="297" t="s">
        <v>200</v>
      </c>
      <c r="R1323" s="297" t="s">
        <v>213</v>
      </c>
      <c r="S1323" s="297" t="s">
        <v>214</v>
      </c>
    </row>
    <row r="1324" spans="1:19" x14ac:dyDescent="0.4">
      <c r="A1324" s="291"/>
      <c r="B1324" s="292"/>
      <c r="C1324" s="312"/>
      <c r="D1324" s="292"/>
      <c r="E1324" s="489"/>
      <c r="F1324" s="489"/>
      <c r="G1324" s="490"/>
      <c r="H1324" s="520"/>
      <c r="I1324" s="523"/>
      <c r="J1324" s="521"/>
      <c r="K1324" s="522"/>
      <c r="M1324" s="301" t="str">
        <f>N1324&amp;AS[[#This Row],[Insurer Code]]&amp;"; "&amp;O1324&amp;AS[[#This Row],[Reporting Year]]&amp;"; "&amp;P1324&amp;AS[[#This Row],[Insurance Category Code]]&amp;"; "&amp;Q1324&amp;AS[[#This Row],[Large Provider Entity Code]]&amp;"; "&amp;R1324&amp;AS[[#This Row],[Age Band Code]]&amp;"; "&amp;S1324&amp;AS[[#This Row],[Sex Code]]</f>
        <v xml:space="preserve">Insurer Code ; Reporting Year ; Insurance Category Code ; Large Provider Entity Code ; Age Band Code ; Sex Code </v>
      </c>
      <c r="N1324" s="297" t="s">
        <v>197</v>
      </c>
      <c r="O1324" s="297" t="s">
        <v>198</v>
      </c>
      <c r="P1324" s="297" t="s">
        <v>199</v>
      </c>
      <c r="Q1324" s="297" t="s">
        <v>200</v>
      </c>
      <c r="R1324" s="297" t="s">
        <v>213</v>
      </c>
      <c r="S1324" s="297" t="s">
        <v>214</v>
      </c>
    </row>
    <row r="1325" spans="1:19" x14ac:dyDescent="0.4">
      <c r="A1325" s="291"/>
      <c r="B1325" s="292"/>
      <c r="C1325" s="312"/>
      <c r="D1325" s="292"/>
      <c r="E1325" s="489"/>
      <c r="F1325" s="489"/>
      <c r="G1325" s="490"/>
      <c r="H1325" s="520"/>
      <c r="I1325" s="523"/>
      <c r="J1325" s="521"/>
      <c r="K1325" s="522"/>
      <c r="M1325" s="301" t="str">
        <f>N1325&amp;AS[[#This Row],[Insurer Code]]&amp;"; "&amp;O1325&amp;AS[[#This Row],[Reporting Year]]&amp;"; "&amp;P1325&amp;AS[[#This Row],[Insurance Category Code]]&amp;"; "&amp;Q1325&amp;AS[[#This Row],[Large Provider Entity Code]]&amp;"; "&amp;R1325&amp;AS[[#This Row],[Age Band Code]]&amp;"; "&amp;S1325&amp;AS[[#This Row],[Sex Code]]</f>
        <v xml:space="preserve">Insurer Code ; Reporting Year ; Insurance Category Code ; Large Provider Entity Code ; Age Band Code ; Sex Code </v>
      </c>
      <c r="N1325" s="297" t="s">
        <v>197</v>
      </c>
      <c r="O1325" s="297" t="s">
        <v>198</v>
      </c>
      <c r="P1325" s="297" t="s">
        <v>199</v>
      </c>
      <c r="Q1325" s="297" t="s">
        <v>200</v>
      </c>
      <c r="R1325" s="297" t="s">
        <v>213</v>
      </c>
      <c r="S1325" s="297" t="s">
        <v>214</v>
      </c>
    </row>
    <row r="1326" spans="1:19" x14ac:dyDescent="0.4">
      <c r="A1326" s="291"/>
      <c r="B1326" s="292"/>
      <c r="C1326" s="312"/>
      <c r="D1326" s="292"/>
      <c r="E1326" s="489"/>
      <c r="F1326" s="489"/>
      <c r="G1326" s="490"/>
      <c r="H1326" s="520"/>
      <c r="I1326" s="523"/>
      <c r="J1326" s="521"/>
      <c r="K1326" s="522"/>
      <c r="M1326" s="301" t="str">
        <f>N1326&amp;AS[[#This Row],[Insurer Code]]&amp;"; "&amp;O1326&amp;AS[[#This Row],[Reporting Year]]&amp;"; "&amp;P1326&amp;AS[[#This Row],[Insurance Category Code]]&amp;"; "&amp;Q1326&amp;AS[[#This Row],[Large Provider Entity Code]]&amp;"; "&amp;R1326&amp;AS[[#This Row],[Age Band Code]]&amp;"; "&amp;S1326&amp;AS[[#This Row],[Sex Code]]</f>
        <v xml:space="preserve">Insurer Code ; Reporting Year ; Insurance Category Code ; Large Provider Entity Code ; Age Band Code ; Sex Code </v>
      </c>
      <c r="N1326" s="297" t="s">
        <v>197</v>
      </c>
      <c r="O1326" s="297" t="s">
        <v>198</v>
      </c>
      <c r="P1326" s="297" t="s">
        <v>199</v>
      </c>
      <c r="Q1326" s="297" t="s">
        <v>200</v>
      </c>
      <c r="R1326" s="297" t="s">
        <v>213</v>
      </c>
      <c r="S1326" s="297" t="s">
        <v>214</v>
      </c>
    </row>
    <row r="1327" spans="1:19" x14ac:dyDescent="0.4">
      <c r="A1327" s="291"/>
      <c r="B1327" s="292"/>
      <c r="C1327" s="312"/>
      <c r="D1327" s="292"/>
      <c r="E1327" s="489"/>
      <c r="F1327" s="489"/>
      <c r="G1327" s="490"/>
      <c r="H1327" s="520"/>
      <c r="I1327" s="523"/>
      <c r="J1327" s="521"/>
      <c r="K1327" s="522"/>
      <c r="M1327" s="301" t="str">
        <f>N1327&amp;AS[[#This Row],[Insurer Code]]&amp;"; "&amp;O1327&amp;AS[[#This Row],[Reporting Year]]&amp;"; "&amp;P1327&amp;AS[[#This Row],[Insurance Category Code]]&amp;"; "&amp;Q1327&amp;AS[[#This Row],[Large Provider Entity Code]]&amp;"; "&amp;R1327&amp;AS[[#This Row],[Age Band Code]]&amp;"; "&amp;S1327&amp;AS[[#This Row],[Sex Code]]</f>
        <v xml:space="preserve">Insurer Code ; Reporting Year ; Insurance Category Code ; Large Provider Entity Code ; Age Band Code ; Sex Code </v>
      </c>
      <c r="N1327" s="297" t="s">
        <v>197</v>
      </c>
      <c r="O1327" s="297" t="s">
        <v>198</v>
      </c>
      <c r="P1327" s="297" t="s">
        <v>199</v>
      </c>
      <c r="Q1327" s="297" t="s">
        <v>200</v>
      </c>
      <c r="R1327" s="297" t="s">
        <v>213</v>
      </c>
      <c r="S1327" s="297" t="s">
        <v>214</v>
      </c>
    </row>
    <row r="1328" spans="1:19" x14ac:dyDescent="0.4">
      <c r="A1328" s="291"/>
      <c r="B1328" s="292"/>
      <c r="C1328" s="312"/>
      <c r="D1328" s="292"/>
      <c r="E1328" s="489"/>
      <c r="F1328" s="489"/>
      <c r="G1328" s="490"/>
      <c r="H1328" s="520"/>
      <c r="I1328" s="523"/>
      <c r="J1328" s="521"/>
      <c r="K1328" s="522"/>
      <c r="M1328" s="301" t="str">
        <f>N1328&amp;AS[[#This Row],[Insurer Code]]&amp;"; "&amp;O1328&amp;AS[[#This Row],[Reporting Year]]&amp;"; "&amp;P1328&amp;AS[[#This Row],[Insurance Category Code]]&amp;"; "&amp;Q1328&amp;AS[[#This Row],[Large Provider Entity Code]]&amp;"; "&amp;R1328&amp;AS[[#This Row],[Age Band Code]]&amp;"; "&amp;S1328&amp;AS[[#This Row],[Sex Code]]</f>
        <v xml:space="preserve">Insurer Code ; Reporting Year ; Insurance Category Code ; Large Provider Entity Code ; Age Band Code ; Sex Code </v>
      </c>
      <c r="N1328" s="297" t="s">
        <v>197</v>
      </c>
      <c r="O1328" s="297" t="s">
        <v>198</v>
      </c>
      <c r="P1328" s="297" t="s">
        <v>199</v>
      </c>
      <c r="Q1328" s="297" t="s">
        <v>200</v>
      </c>
      <c r="R1328" s="297" t="s">
        <v>213</v>
      </c>
      <c r="S1328" s="297" t="s">
        <v>214</v>
      </c>
    </row>
    <row r="1329" spans="1:19" x14ac:dyDescent="0.4">
      <c r="A1329" s="291"/>
      <c r="B1329" s="292"/>
      <c r="C1329" s="312"/>
      <c r="D1329" s="292"/>
      <c r="E1329" s="489"/>
      <c r="F1329" s="489"/>
      <c r="G1329" s="490"/>
      <c r="H1329" s="520"/>
      <c r="I1329" s="523"/>
      <c r="J1329" s="521"/>
      <c r="K1329" s="522"/>
      <c r="M1329" s="301" t="str">
        <f>N1329&amp;AS[[#This Row],[Insurer Code]]&amp;"; "&amp;O1329&amp;AS[[#This Row],[Reporting Year]]&amp;"; "&amp;P1329&amp;AS[[#This Row],[Insurance Category Code]]&amp;"; "&amp;Q1329&amp;AS[[#This Row],[Large Provider Entity Code]]&amp;"; "&amp;R1329&amp;AS[[#This Row],[Age Band Code]]&amp;"; "&amp;S1329&amp;AS[[#This Row],[Sex Code]]</f>
        <v xml:space="preserve">Insurer Code ; Reporting Year ; Insurance Category Code ; Large Provider Entity Code ; Age Band Code ; Sex Code </v>
      </c>
      <c r="N1329" s="297" t="s">
        <v>197</v>
      </c>
      <c r="O1329" s="297" t="s">
        <v>198</v>
      </c>
      <c r="P1329" s="297" t="s">
        <v>199</v>
      </c>
      <c r="Q1329" s="297" t="s">
        <v>200</v>
      </c>
      <c r="R1329" s="297" t="s">
        <v>213</v>
      </c>
      <c r="S1329" s="297" t="s">
        <v>214</v>
      </c>
    </row>
    <row r="1330" spans="1:19" x14ac:dyDescent="0.4">
      <c r="A1330" s="291"/>
      <c r="B1330" s="292"/>
      <c r="C1330" s="312"/>
      <c r="D1330" s="292"/>
      <c r="E1330" s="489"/>
      <c r="F1330" s="489"/>
      <c r="G1330" s="490"/>
      <c r="H1330" s="520"/>
      <c r="I1330" s="523"/>
      <c r="J1330" s="521"/>
      <c r="K1330" s="522"/>
      <c r="M1330" s="301" t="str">
        <f>N1330&amp;AS[[#This Row],[Insurer Code]]&amp;"; "&amp;O1330&amp;AS[[#This Row],[Reporting Year]]&amp;"; "&amp;P1330&amp;AS[[#This Row],[Insurance Category Code]]&amp;"; "&amp;Q1330&amp;AS[[#This Row],[Large Provider Entity Code]]&amp;"; "&amp;R1330&amp;AS[[#This Row],[Age Band Code]]&amp;"; "&amp;S1330&amp;AS[[#This Row],[Sex Code]]</f>
        <v xml:space="preserve">Insurer Code ; Reporting Year ; Insurance Category Code ; Large Provider Entity Code ; Age Band Code ; Sex Code </v>
      </c>
      <c r="N1330" s="297" t="s">
        <v>197</v>
      </c>
      <c r="O1330" s="297" t="s">
        <v>198</v>
      </c>
      <c r="P1330" s="297" t="s">
        <v>199</v>
      </c>
      <c r="Q1330" s="297" t="s">
        <v>200</v>
      </c>
      <c r="R1330" s="297" t="s">
        <v>213</v>
      </c>
      <c r="S1330" s="297" t="s">
        <v>214</v>
      </c>
    </row>
    <row r="1331" spans="1:19" x14ac:dyDescent="0.4">
      <c r="A1331" s="291"/>
      <c r="B1331" s="292"/>
      <c r="C1331" s="312"/>
      <c r="D1331" s="292"/>
      <c r="E1331" s="489"/>
      <c r="F1331" s="489"/>
      <c r="G1331" s="490"/>
      <c r="H1331" s="520"/>
      <c r="I1331" s="523"/>
      <c r="J1331" s="521"/>
      <c r="K1331" s="522"/>
      <c r="M1331" s="301" t="str">
        <f>N1331&amp;AS[[#This Row],[Insurer Code]]&amp;"; "&amp;O1331&amp;AS[[#This Row],[Reporting Year]]&amp;"; "&amp;P1331&amp;AS[[#This Row],[Insurance Category Code]]&amp;"; "&amp;Q1331&amp;AS[[#This Row],[Large Provider Entity Code]]&amp;"; "&amp;R1331&amp;AS[[#This Row],[Age Band Code]]&amp;"; "&amp;S1331&amp;AS[[#This Row],[Sex Code]]</f>
        <v xml:space="preserve">Insurer Code ; Reporting Year ; Insurance Category Code ; Large Provider Entity Code ; Age Band Code ; Sex Code </v>
      </c>
      <c r="N1331" s="297" t="s">
        <v>197</v>
      </c>
      <c r="O1331" s="297" t="s">
        <v>198</v>
      </c>
      <c r="P1331" s="297" t="s">
        <v>199</v>
      </c>
      <c r="Q1331" s="297" t="s">
        <v>200</v>
      </c>
      <c r="R1331" s="297" t="s">
        <v>213</v>
      </c>
      <c r="S1331" s="297" t="s">
        <v>214</v>
      </c>
    </row>
    <row r="1332" spans="1:19" x14ac:dyDescent="0.4">
      <c r="A1332" s="291"/>
      <c r="B1332" s="292"/>
      <c r="C1332" s="312"/>
      <c r="D1332" s="292"/>
      <c r="E1332" s="489"/>
      <c r="F1332" s="489"/>
      <c r="G1332" s="490"/>
      <c r="H1332" s="520"/>
      <c r="I1332" s="523"/>
      <c r="J1332" s="521"/>
      <c r="K1332" s="522"/>
      <c r="M1332" s="301" t="str">
        <f>N1332&amp;AS[[#This Row],[Insurer Code]]&amp;"; "&amp;O1332&amp;AS[[#This Row],[Reporting Year]]&amp;"; "&amp;P1332&amp;AS[[#This Row],[Insurance Category Code]]&amp;"; "&amp;Q1332&amp;AS[[#This Row],[Large Provider Entity Code]]&amp;"; "&amp;R1332&amp;AS[[#This Row],[Age Band Code]]&amp;"; "&amp;S1332&amp;AS[[#This Row],[Sex Code]]</f>
        <v xml:space="preserve">Insurer Code ; Reporting Year ; Insurance Category Code ; Large Provider Entity Code ; Age Band Code ; Sex Code </v>
      </c>
      <c r="N1332" s="297" t="s">
        <v>197</v>
      </c>
      <c r="O1332" s="297" t="s">
        <v>198</v>
      </c>
      <c r="P1332" s="297" t="s">
        <v>199</v>
      </c>
      <c r="Q1332" s="297" t="s">
        <v>200</v>
      </c>
      <c r="R1332" s="297" t="s">
        <v>213</v>
      </c>
      <c r="S1332" s="297" t="s">
        <v>214</v>
      </c>
    </row>
    <row r="1333" spans="1:19" x14ac:dyDescent="0.4">
      <c r="A1333" s="291"/>
      <c r="B1333" s="292"/>
      <c r="C1333" s="312"/>
      <c r="D1333" s="292"/>
      <c r="E1333" s="489"/>
      <c r="F1333" s="489"/>
      <c r="G1333" s="490"/>
      <c r="H1333" s="520"/>
      <c r="I1333" s="523"/>
      <c r="J1333" s="521"/>
      <c r="K1333" s="522"/>
      <c r="M1333" s="301" t="str">
        <f>N1333&amp;AS[[#This Row],[Insurer Code]]&amp;"; "&amp;O1333&amp;AS[[#This Row],[Reporting Year]]&amp;"; "&amp;P1333&amp;AS[[#This Row],[Insurance Category Code]]&amp;"; "&amp;Q1333&amp;AS[[#This Row],[Large Provider Entity Code]]&amp;"; "&amp;R1333&amp;AS[[#This Row],[Age Band Code]]&amp;"; "&amp;S1333&amp;AS[[#This Row],[Sex Code]]</f>
        <v xml:space="preserve">Insurer Code ; Reporting Year ; Insurance Category Code ; Large Provider Entity Code ; Age Band Code ; Sex Code </v>
      </c>
      <c r="N1333" s="297" t="s">
        <v>197</v>
      </c>
      <c r="O1333" s="297" t="s">
        <v>198</v>
      </c>
      <c r="P1333" s="297" t="s">
        <v>199</v>
      </c>
      <c r="Q1333" s="297" t="s">
        <v>200</v>
      </c>
      <c r="R1333" s="297" t="s">
        <v>213</v>
      </c>
      <c r="S1333" s="297" t="s">
        <v>214</v>
      </c>
    </row>
    <row r="1334" spans="1:19" x14ac:dyDescent="0.4">
      <c r="A1334" s="291"/>
      <c r="B1334" s="292"/>
      <c r="C1334" s="312"/>
      <c r="D1334" s="292"/>
      <c r="E1334" s="489"/>
      <c r="F1334" s="489"/>
      <c r="G1334" s="490"/>
      <c r="H1334" s="520"/>
      <c r="I1334" s="523"/>
      <c r="J1334" s="521"/>
      <c r="K1334" s="522"/>
      <c r="M1334" s="301" t="str">
        <f>N1334&amp;AS[[#This Row],[Insurer Code]]&amp;"; "&amp;O1334&amp;AS[[#This Row],[Reporting Year]]&amp;"; "&amp;P1334&amp;AS[[#This Row],[Insurance Category Code]]&amp;"; "&amp;Q1334&amp;AS[[#This Row],[Large Provider Entity Code]]&amp;"; "&amp;R1334&amp;AS[[#This Row],[Age Band Code]]&amp;"; "&amp;S1334&amp;AS[[#This Row],[Sex Code]]</f>
        <v xml:space="preserve">Insurer Code ; Reporting Year ; Insurance Category Code ; Large Provider Entity Code ; Age Band Code ; Sex Code </v>
      </c>
      <c r="N1334" s="297" t="s">
        <v>197</v>
      </c>
      <c r="O1334" s="297" t="s">
        <v>198</v>
      </c>
      <c r="P1334" s="297" t="s">
        <v>199</v>
      </c>
      <c r="Q1334" s="297" t="s">
        <v>200</v>
      </c>
      <c r="R1334" s="297" t="s">
        <v>213</v>
      </c>
      <c r="S1334" s="297" t="s">
        <v>214</v>
      </c>
    </row>
    <row r="1335" spans="1:19" x14ac:dyDescent="0.4">
      <c r="A1335" s="291"/>
      <c r="B1335" s="292"/>
      <c r="C1335" s="312"/>
      <c r="D1335" s="292"/>
      <c r="E1335" s="489"/>
      <c r="F1335" s="489"/>
      <c r="G1335" s="490"/>
      <c r="H1335" s="520"/>
      <c r="I1335" s="523"/>
      <c r="J1335" s="521"/>
      <c r="K1335" s="522"/>
      <c r="M1335" s="301" t="str">
        <f>N1335&amp;AS[[#This Row],[Insurer Code]]&amp;"; "&amp;O1335&amp;AS[[#This Row],[Reporting Year]]&amp;"; "&amp;P1335&amp;AS[[#This Row],[Insurance Category Code]]&amp;"; "&amp;Q1335&amp;AS[[#This Row],[Large Provider Entity Code]]&amp;"; "&amp;R1335&amp;AS[[#This Row],[Age Band Code]]&amp;"; "&amp;S1335&amp;AS[[#This Row],[Sex Code]]</f>
        <v xml:space="preserve">Insurer Code ; Reporting Year ; Insurance Category Code ; Large Provider Entity Code ; Age Band Code ; Sex Code </v>
      </c>
      <c r="N1335" s="297" t="s">
        <v>197</v>
      </c>
      <c r="O1335" s="297" t="s">
        <v>198</v>
      </c>
      <c r="P1335" s="297" t="s">
        <v>199</v>
      </c>
      <c r="Q1335" s="297" t="s">
        <v>200</v>
      </c>
      <c r="R1335" s="297" t="s">
        <v>213</v>
      </c>
      <c r="S1335" s="297" t="s">
        <v>214</v>
      </c>
    </row>
    <row r="1336" spans="1:19" x14ac:dyDescent="0.4">
      <c r="A1336" s="291"/>
      <c r="B1336" s="292"/>
      <c r="C1336" s="312"/>
      <c r="D1336" s="292"/>
      <c r="E1336" s="489"/>
      <c r="F1336" s="489"/>
      <c r="G1336" s="490"/>
      <c r="H1336" s="520"/>
      <c r="I1336" s="523"/>
      <c r="J1336" s="521"/>
      <c r="K1336" s="522"/>
      <c r="M1336" s="301" t="str">
        <f>N1336&amp;AS[[#This Row],[Insurer Code]]&amp;"; "&amp;O1336&amp;AS[[#This Row],[Reporting Year]]&amp;"; "&amp;P1336&amp;AS[[#This Row],[Insurance Category Code]]&amp;"; "&amp;Q1336&amp;AS[[#This Row],[Large Provider Entity Code]]&amp;"; "&amp;R1336&amp;AS[[#This Row],[Age Band Code]]&amp;"; "&amp;S1336&amp;AS[[#This Row],[Sex Code]]</f>
        <v xml:space="preserve">Insurer Code ; Reporting Year ; Insurance Category Code ; Large Provider Entity Code ; Age Band Code ; Sex Code </v>
      </c>
      <c r="N1336" s="297" t="s">
        <v>197</v>
      </c>
      <c r="O1336" s="297" t="s">
        <v>198</v>
      </c>
      <c r="P1336" s="297" t="s">
        <v>199</v>
      </c>
      <c r="Q1336" s="297" t="s">
        <v>200</v>
      </c>
      <c r="R1336" s="297" t="s">
        <v>213</v>
      </c>
      <c r="S1336" s="297" t="s">
        <v>214</v>
      </c>
    </row>
    <row r="1337" spans="1:19" x14ac:dyDescent="0.4">
      <c r="A1337" s="291"/>
      <c r="B1337" s="292"/>
      <c r="C1337" s="312"/>
      <c r="D1337" s="292"/>
      <c r="E1337" s="489"/>
      <c r="F1337" s="489"/>
      <c r="G1337" s="490"/>
      <c r="H1337" s="520"/>
      <c r="I1337" s="523"/>
      <c r="J1337" s="521"/>
      <c r="K1337" s="522"/>
      <c r="M1337" s="301" t="str">
        <f>N1337&amp;AS[[#This Row],[Insurer Code]]&amp;"; "&amp;O1337&amp;AS[[#This Row],[Reporting Year]]&amp;"; "&amp;P1337&amp;AS[[#This Row],[Insurance Category Code]]&amp;"; "&amp;Q1337&amp;AS[[#This Row],[Large Provider Entity Code]]&amp;"; "&amp;R1337&amp;AS[[#This Row],[Age Band Code]]&amp;"; "&amp;S1337&amp;AS[[#This Row],[Sex Code]]</f>
        <v xml:space="preserve">Insurer Code ; Reporting Year ; Insurance Category Code ; Large Provider Entity Code ; Age Band Code ; Sex Code </v>
      </c>
      <c r="N1337" s="297" t="s">
        <v>197</v>
      </c>
      <c r="O1337" s="297" t="s">
        <v>198</v>
      </c>
      <c r="P1337" s="297" t="s">
        <v>199</v>
      </c>
      <c r="Q1337" s="297" t="s">
        <v>200</v>
      </c>
      <c r="R1337" s="297" t="s">
        <v>213</v>
      </c>
      <c r="S1337" s="297" t="s">
        <v>214</v>
      </c>
    </row>
    <row r="1338" spans="1:19" x14ac:dyDescent="0.4">
      <c r="A1338" s="291"/>
      <c r="B1338" s="292"/>
      <c r="C1338" s="312"/>
      <c r="D1338" s="292"/>
      <c r="E1338" s="489"/>
      <c r="F1338" s="489"/>
      <c r="G1338" s="490"/>
      <c r="H1338" s="520"/>
      <c r="I1338" s="523"/>
      <c r="J1338" s="521"/>
      <c r="K1338" s="522"/>
      <c r="M1338" s="301" t="str">
        <f>N1338&amp;AS[[#This Row],[Insurer Code]]&amp;"; "&amp;O1338&amp;AS[[#This Row],[Reporting Year]]&amp;"; "&amp;P1338&amp;AS[[#This Row],[Insurance Category Code]]&amp;"; "&amp;Q1338&amp;AS[[#This Row],[Large Provider Entity Code]]&amp;"; "&amp;R1338&amp;AS[[#This Row],[Age Band Code]]&amp;"; "&amp;S1338&amp;AS[[#This Row],[Sex Code]]</f>
        <v xml:space="preserve">Insurer Code ; Reporting Year ; Insurance Category Code ; Large Provider Entity Code ; Age Band Code ; Sex Code </v>
      </c>
      <c r="N1338" s="297" t="s">
        <v>197</v>
      </c>
      <c r="O1338" s="297" t="s">
        <v>198</v>
      </c>
      <c r="P1338" s="297" t="s">
        <v>199</v>
      </c>
      <c r="Q1338" s="297" t="s">
        <v>200</v>
      </c>
      <c r="R1338" s="297" t="s">
        <v>213</v>
      </c>
      <c r="S1338" s="297" t="s">
        <v>214</v>
      </c>
    </row>
    <row r="1339" spans="1:19" x14ac:dyDescent="0.4">
      <c r="A1339" s="291"/>
      <c r="B1339" s="292"/>
      <c r="C1339" s="312"/>
      <c r="D1339" s="292"/>
      <c r="E1339" s="489"/>
      <c r="F1339" s="489"/>
      <c r="G1339" s="490"/>
      <c r="H1339" s="520"/>
      <c r="I1339" s="523"/>
      <c r="J1339" s="521"/>
      <c r="K1339" s="522"/>
      <c r="M1339" s="301" t="str">
        <f>N1339&amp;AS[[#This Row],[Insurer Code]]&amp;"; "&amp;O1339&amp;AS[[#This Row],[Reporting Year]]&amp;"; "&amp;P1339&amp;AS[[#This Row],[Insurance Category Code]]&amp;"; "&amp;Q1339&amp;AS[[#This Row],[Large Provider Entity Code]]&amp;"; "&amp;R1339&amp;AS[[#This Row],[Age Band Code]]&amp;"; "&amp;S1339&amp;AS[[#This Row],[Sex Code]]</f>
        <v xml:space="preserve">Insurer Code ; Reporting Year ; Insurance Category Code ; Large Provider Entity Code ; Age Band Code ; Sex Code </v>
      </c>
      <c r="N1339" s="297" t="s">
        <v>197</v>
      </c>
      <c r="O1339" s="297" t="s">
        <v>198</v>
      </c>
      <c r="P1339" s="297" t="s">
        <v>199</v>
      </c>
      <c r="Q1339" s="297" t="s">
        <v>200</v>
      </c>
      <c r="R1339" s="297" t="s">
        <v>213</v>
      </c>
      <c r="S1339" s="297" t="s">
        <v>214</v>
      </c>
    </row>
    <row r="1340" spans="1:19" x14ac:dyDescent="0.4">
      <c r="A1340" s="291"/>
      <c r="B1340" s="292"/>
      <c r="C1340" s="312"/>
      <c r="D1340" s="292"/>
      <c r="E1340" s="489"/>
      <c r="F1340" s="489"/>
      <c r="G1340" s="490"/>
      <c r="H1340" s="520"/>
      <c r="I1340" s="523"/>
      <c r="J1340" s="521"/>
      <c r="K1340" s="522"/>
      <c r="M1340" s="301" t="str">
        <f>N1340&amp;AS[[#This Row],[Insurer Code]]&amp;"; "&amp;O1340&amp;AS[[#This Row],[Reporting Year]]&amp;"; "&amp;P1340&amp;AS[[#This Row],[Insurance Category Code]]&amp;"; "&amp;Q1340&amp;AS[[#This Row],[Large Provider Entity Code]]&amp;"; "&amp;R1340&amp;AS[[#This Row],[Age Band Code]]&amp;"; "&amp;S1340&amp;AS[[#This Row],[Sex Code]]</f>
        <v xml:space="preserve">Insurer Code ; Reporting Year ; Insurance Category Code ; Large Provider Entity Code ; Age Band Code ; Sex Code </v>
      </c>
      <c r="N1340" s="297" t="s">
        <v>197</v>
      </c>
      <c r="O1340" s="297" t="s">
        <v>198</v>
      </c>
      <c r="P1340" s="297" t="s">
        <v>199</v>
      </c>
      <c r="Q1340" s="297" t="s">
        <v>200</v>
      </c>
      <c r="R1340" s="297" t="s">
        <v>213</v>
      </c>
      <c r="S1340" s="297" t="s">
        <v>214</v>
      </c>
    </row>
    <row r="1341" spans="1:19" x14ac:dyDescent="0.4">
      <c r="A1341" s="291"/>
      <c r="B1341" s="292"/>
      <c r="C1341" s="312"/>
      <c r="D1341" s="292"/>
      <c r="E1341" s="489"/>
      <c r="F1341" s="489"/>
      <c r="G1341" s="490"/>
      <c r="H1341" s="520"/>
      <c r="I1341" s="523"/>
      <c r="J1341" s="521"/>
      <c r="K1341" s="522"/>
      <c r="M1341" s="301" t="str">
        <f>N1341&amp;AS[[#This Row],[Insurer Code]]&amp;"; "&amp;O1341&amp;AS[[#This Row],[Reporting Year]]&amp;"; "&amp;P1341&amp;AS[[#This Row],[Insurance Category Code]]&amp;"; "&amp;Q1341&amp;AS[[#This Row],[Large Provider Entity Code]]&amp;"; "&amp;R1341&amp;AS[[#This Row],[Age Band Code]]&amp;"; "&amp;S1341&amp;AS[[#This Row],[Sex Code]]</f>
        <v xml:space="preserve">Insurer Code ; Reporting Year ; Insurance Category Code ; Large Provider Entity Code ; Age Band Code ; Sex Code </v>
      </c>
      <c r="N1341" s="297" t="s">
        <v>197</v>
      </c>
      <c r="O1341" s="297" t="s">
        <v>198</v>
      </c>
      <c r="P1341" s="297" t="s">
        <v>199</v>
      </c>
      <c r="Q1341" s="297" t="s">
        <v>200</v>
      </c>
      <c r="R1341" s="297" t="s">
        <v>213</v>
      </c>
      <c r="S1341" s="297" t="s">
        <v>214</v>
      </c>
    </row>
    <row r="1342" spans="1:19" x14ac:dyDescent="0.4">
      <c r="A1342" s="291"/>
      <c r="B1342" s="292"/>
      <c r="C1342" s="312"/>
      <c r="D1342" s="292"/>
      <c r="E1342" s="489"/>
      <c r="F1342" s="489"/>
      <c r="G1342" s="490"/>
      <c r="H1342" s="520"/>
      <c r="I1342" s="523"/>
      <c r="J1342" s="521"/>
      <c r="K1342" s="522"/>
      <c r="M1342" s="301" t="str">
        <f>N1342&amp;AS[[#This Row],[Insurer Code]]&amp;"; "&amp;O1342&amp;AS[[#This Row],[Reporting Year]]&amp;"; "&amp;P1342&amp;AS[[#This Row],[Insurance Category Code]]&amp;"; "&amp;Q1342&amp;AS[[#This Row],[Large Provider Entity Code]]&amp;"; "&amp;R1342&amp;AS[[#This Row],[Age Band Code]]&amp;"; "&amp;S1342&amp;AS[[#This Row],[Sex Code]]</f>
        <v xml:space="preserve">Insurer Code ; Reporting Year ; Insurance Category Code ; Large Provider Entity Code ; Age Band Code ; Sex Code </v>
      </c>
      <c r="N1342" s="297" t="s">
        <v>197</v>
      </c>
      <c r="O1342" s="297" t="s">
        <v>198</v>
      </c>
      <c r="P1342" s="297" t="s">
        <v>199</v>
      </c>
      <c r="Q1342" s="297" t="s">
        <v>200</v>
      </c>
      <c r="R1342" s="297" t="s">
        <v>213</v>
      </c>
      <c r="S1342" s="297" t="s">
        <v>214</v>
      </c>
    </row>
    <row r="1343" spans="1:19" x14ac:dyDescent="0.4">
      <c r="A1343" s="291"/>
      <c r="B1343" s="292"/>
      <c r="C1343" s="312"/>
      <c r="D1343" s="292"/>
      <c r="E1343" s="489"/>
      <c r="F1343" s="489"/>
      <c r="G1343" s="490"/>
      <c r="H1343" s="520"/>
      <c r="I1343" s="523"/>
      <c r="J1343" s="521"/>
      <c r="K1343" s="522"/>
      <c r="M1343" s="301" t="str">
        <f>N1343&amp;AS[[#This Row],[Insurer Code]]&amp;"; "&amp;O1343&amp;AS[[#This Row],[Reporting Year]]&amp;"; "&amp;P1343&amp;AS[[#This Row],[Insurance Category Code]]&amp;"; "&amp;Q1343&amp;AS[[#This Row],[Large Provider Entity Code]]&amp;"; "&amp;R1343&amp;AS[[#This Row],[Age Band Code]]&amp;"; "&amp;S1343&amp;AS[[#This Row],[Sex Code]]</f>
        <v xml:space="preserve">Insurer Code ; Reporting Year ; Insurance Category Code ; Large Provider Entity Code ; Age Band Code ; Sex Code </v>
      </c>
      <c r="N1343" s="297" t="s">
        <v>197</v>
      </c>
      <c r="O1343" s="297" t="s">
        <v>198</v>
      </c>
      <c r="P1343" s="297" t="s">
        <v>199</v>
      </c>
      <c r="Q1343" s="297" t="s">
        <v>200</v>
      </c>
      <c r="R1343" s="297" t="s">
        <v>213</v>
      </c>
      <c r="S1343" s="297" t="s">
        <v>214</v>
      </c>
    </row>
    <row r="1344" spans="1:19" x14ac:dyDescent="0.4">
      <c r="A1344" s="291"/>
      <c r="B1344" s="292"/>
      <c r="C1344" s="312"/>
      <c r="D1344" s="292"/>
      <c r="E1344" s="489"/>
      <c r="F1344" s="489"/>
      <c r="G1344" s="490"/>
      <c r="H1344" s="520"/>
      <c r="I1344" s="523"/>
      <c r="J1344" s="521"/>
      <c r="K1344" s="522"/>
      <c r="M1344" s="301" t="str">
        <f>N1344&amp;AS[[#This Row],[Insurer Code]]&amp;"; "&amp;O1344&amp;AS[[#This Row],[Reporting Year]]&amp;"; "&amp;P1344&amp;AS[[#This Row],[Insurance Category Code]]&amp;"; "&amp;Q1344&amp;AS[[#This Row],[Large Provider Entity Code]]&amp;"; "&amp;R1344&amp;AS[[#This Row],[Age Band Code]]&amp;"; "&amp;S1344&amp;AS[[#This Row],[Sex Code]]</f>
        <v xml:space="preserve">Insurer Code ; Reporting Year ; Insurance Category Code ; Large Provider Entity Code ; Age Band Code ; Sex Code </v>
      </c>
      <c r="N1344" s="297" t="s">
        <v>197</v>
      </c>
      <c r="O1344" s="297" t="s">
        <v>198</v>
      </c>
      <c r="P1344" s="297" t="s">
        <v>199</v>
      </c>
      <c r="Q1344" s="297" t="s">
        <v>200</v>
      </c>
      <c r="R1344" s="297" t="s">
        <v>213</v>
      </c>
      <c r="S1344" s="297" t="s">
        <v>214</v>
      </c>
    </row>
    <row r="1345" spans="1:19" x14ac:dyDescent="0.4">
      <c r="A1345" s="291"/>
      <c r="B1345" s="292"/>
      <c r="C1345" s="312"/>
      <c r="D1345" s="292"/>
      <c r="E1345" s="489"/>
      <c r="F1345" s="489"/>
      <c r="G1345" s="490"/>
      <c r="H1345" s="520"/>
      <c r="I1345" s="523"/>
      <c r="J1345" s="521"/>
      <c r="K1345" s="522"/>
      <c r="M1345" s="301" t="str">
        <f>N1345&amp;AS[[#This Row],[Insurer Code]]&amp;"; "&amp;O1345&amp;AS[[#This Row],[Reporting Year]]&amp;"; "&amp;P1345&amp;AS[[#This Row],[Insurance Category Code]]&amp;"; "&amp;Q1345&amp;AS[[#This Row],[Large Provider Entity Code]]&amp;"; "&amp;R1345&amp;AS[[#This Row],[Age Band Code]]&amp;"; "&amp;S1345&amp;AS[[#This Row],[Sex Code]]</f>
        <v xml:space="preserve">Insurer Code ; Reporting Year ; Insurance Category Code ; Large Provider Entity Code ; Age Band Code ; Sex Code </v>
      </c>
      <c r="N1345" s="297" t="s">
        <v>197</v>
      </c>
      <c r="O1345" s="297" t="s">
        <v>198</v>
      </c>
      <c r="P1345" s="297" t="s">
        <v>199</v>
      </c>
      <c r="Q1345" s="297" t="s">
        <v>200</v>
      </c>
      <c r="R1345" s="297" t="s">
        <v>213</v>
      </c>
      <c r="S1345" s="297" t="s">
        <v>214</v>
      </c>
    </row>
    <row r="1346" spans="1:19" x14ac:dyDescent="0.4">
      <c r="A1346" s="291"/>
      <c r="B1346" s="292"/>
      <c r="C1346" s="312"/>
      <c r="D1346" s="292"/>
      <c r="E1346" s="489"/>
      <c r="F1346" s="489"/>
      <c r="G1346" s="490"/>
      <c r="H1346" s="520"/>
      <c r="I1346" s="523"/>
      <c r="J1346" s="521"/>
      <c r="K1346" s="522"/>
      <c r="M1346" s="301" t="str">
        <f>N1346&amp;AS[[#This Row],[Insurer Code]]&amp;"; "&amp;O1346&amp;AS[[#This Row],[Reporting Year]]&amp;"; "&amp;P1346&amp;AS[[#This Row],[Insurance Category Code]]&amp;"; "&amp;Q1346&amp;AS[[#This Row],[Large Provider Entity Code]]&amp;"; "&amp;R1346&amp;AS[[#This Row],[Age Band Code]]&amp;"; "&amp;S1346&amp;AS[[#This Row],[Sex Code]]</f>
        <v xml:space="preserve">Insurer Code ; Reporting Year ; Insurance Category Code ; Large Provider Entity Code ; Age Band Code ; Sex Code </v>
      </c>
      <c r="N1346" s="297" t="s">
        <v>197</v>
      </c>
      <c r="O1346" s="297" t="s">
        <v>198</v>
      </c>
      <c r="P1346" s="297" t="s">
        <v>199</v>
      </c>
      <c r="Q1346" s="297" t="s">
        <v>200</v>
      </c>
      <c r="R1346" s="297" t="s">
        <v>213</v>
      </c>
      <c r="S1346" s="297" t="s">
        <v>214</v>
      </c>
    </row>
    <row r="1347" spans="1:19" x14ac:dyDescent="0.4">
      <c r="A1347" s="291"/>
      <c r="B1347" s="292"/>
      <c r="C1347" s="312"/>
      <c r="D1347" s="292"/>
      <c r="E1347" s="489"/>
      <c r="F1347" s="489"/>
      <c r="G1347" s="490"/>
      <c r="H1347" s="520"/>
      <c r="I1347" s="523"/>
      <c r="J1347" s="521"/>
      <c r="K1347" s="522"/>
      <c r="M1347" s="301" t="str">
        <f>N1347&amp;AS[[#This Row],[Insurer Code]]&amp;"; "&amp;O1347&amp;AS[[#This Row],[Reporting Year]]&amp;"; "&amp;P1347&amp;AS[[#This Row],[Insurance Category Code]]&amp;"; "&amp;Q1347&amp;AS[[#This Row],[Large Provider Entity Code]]&amp;"; "&amp;R1347&amp;AS[[#This Row],[Age Band Code]]&amp;"; "&amp;S1347&amp;AS[[#This Row],[Sex Code]]</f>
        <v xml:space="preserve">Insurer Code ; Reporting Year ; Insurance Category Code ; Large Provider Entity Code ; Age Band Code ; Sex Code </v>
      </c>
      <c r="N1347" s="297" t="s">
        <v>197</v>
      </c>
      <c r="O1347" s="297" t="s">
        <v>198</v>
      </c>
      <c r="P1347" s="297" t="s">
        <v>199</v>
      </c>
      <c r="Q1347" s="297" t="s">
        <v>200</v>
      </c>
      <c r="R1347" s="297" t="s">
        <v>213</v>
      </c>
      <c r="S1347" s="297" t="s">
        <v>214</v>
      </c>
    </row>
    <row r="1348" spans="1:19" x14ac:dyDescent="0.4">
      <c r="A1348" s="291"/>
      <c r="B1348" s="292"/>
      <c r="C1348" s="312"/>
      <c r="D1348" s="292"/>
      <c r="E1348" s="489"/>
      <c r="F1348" s="489"/>
      <c r="G1348" s="490"/>
      <c r="H1348" s="520"/>
      <c r="I1348" s="523"/>
      <c r="J1348" s="521"/>
      <c r="K1348" s="522"/>
      <c r="M1348" s="301" t="str">
        <f>N1348&amp;AS[[#This Row],[Insurer Code]]&amp;"; "&amp;O1348&amp;AS[[#This Row],[Reporting Year]]&amp;"; "&amp;P1348&amp;AS[[#This Row],[Insurance Category Code]]&amp;"; "&amp;Q1348&amp;AS[[#This Row],[Large Provider Entity Code]]&amp;"; "&amp;R1348&amp;AS[[#This Row],[Age Band Code]]&amp;"; "&amp;S1348&amp;AS[[#This Row],[Sex Code]]</f>
        <v xml:space="preserve">Insurer Code ; Reporting Year ; Insurance Category Code ; Large Provider Entity Code ; Age Band Code ; Sex Code </v>
      </c>
      <c r="N1348" s="297" t="s">
        <v>197</v>
      </c>
      <c r="O1348" s="297" t="s">
        <v>198</v>
      </c>
      <c r="P1348" s="297" t="s">
        <v>199</v>
      </c>
      <c r="Q1348" s="297" t="s">
        <v>200</v>
      </c>
      <c r="R1348" s="297" t="s">
        <v>213</v>
      </c>
      <c r="S1348" s="297" t="s">
        <v>214</v>
      </c>
    </row>
    <row r="1349" spans="1:19" x14ac:dyDescent="0.4">
      <c r="A1349" s="291"/>
      <c r="B1349" s="292"/>
      <c r="C1349" s="312"/>
      <c r="D1349" s="292"/>
      <c r="E1349" s="489"/>
      <c r="F1349" s="489"/>
      <c r="G1349" s="490"/>
      <c r="H1349" s="520"/>
      <c r="I1349" s="523"/>
      <c r="J1349" s="521"/>
      <c r="K1349" s="522"/>
      <c r="M1349" s="301" t="str">
        <f>N1349&amp;AS[[#This Row],[Insurer Code]]&amp;"; "&amp;O1349&amp;AS[[#This Row],[Reporting Year]]&amp;"; "&amp;P1349&amp;AS[[#This Row],[Insurance Category Code]]&amp;"; "&amp;Q1349&amp;AS[[#This Row],[Large Provider Entity Code]]&amp;"; "&amp;R1349&amp;AS[[#This Row],[Age Band Code]]&amp;"; "&amp;S1349&amp;AS[[#This Row],[Sex Code]]</f>
        <v xml:space="preserve">Insurer Code ; Reporting Year ; Insurance Category Code ; Large Provider Entity Code ; Age Band Code ; Sex Code </v>
      </c>
      <c r="N1349" s="297" t="s">
        <v>197</v>
      </c>
      <c r="O1349" s="297" t="s">
        <v>198</v>
      </c>
      <c r="P1349" s="297" t="s">
        <v>199</v>
      </c>
      <c r="Q1349" s="297" t="s">
        <v>200</v>
      </c>
      <c r="R1349" s="297" t="s">
        <v>213</v>
      </c>
      <c r="S1349" s="297" t="s">
        <v>214</v>
      </c>
    </row>
    <row r="1350" spans="1:19" x14ac:dyDescent="0.4">
      <c r="A1350" s="291"/>
      <c r="B1350" s="292"/>
      <c r="C1350" s="312"/>
      <c r="D1350" s="292"/>
      <c r="E1350" s="489"/>
      <c r="F1350" s="489"/>
      <c r="G1350" s="490"/>
      <c r="H1350" s="520"/>
      <c r="I1350" s="523"/>
      <c r="J1350" s="521"/>
      <c r="K1350" s="522"/>
      <c r="M1350" s="301" t="str">
        <f>N1350&amp;AS[[#This Row],[Insurer Code]]&amp;"; "&amp;O1350&amp;AS[[#This Row],[Reporting Year]]&amp;"; "&amp;P1350&amp;AS[[#This Row],[Insurance Category Code]]&amp;"; "&amp;Q1350&amp;AS[[#This Row],[Large Provider Entity Code]]&amp;"; "&amp;R1350&amp;AS[[#This Row],[Age Band Code]]&amp;"; "&amp;S1350&amp;AS[[#This Row],[Sex Code]]</f>
        <v xml:space="preserve">Insurer Code ; Reporting Year ; Insurance Category Code ; Large Provider Entity Code ; Age Band Code ; Sex Code </v>
      </c>
      <c r="N1350" s="297" t="s">
        <v>197</v>
      </c>
      <c r="O1350" s="297" t="s">
        <v>198</v>
      </c>
      <c r="P1350" s="297" t="s">
        <v>199</v>
      </c>
      <c r="Q1350" s="297" t="s">
        <v>200</v>
      </c>
      <c r="R1350" s="297" t="s">
        <v>213</v>
      </c>
      <c r="S1350" s="297" t="s">
        <v>214</v>
      </c>
    </row>
    <row r="1351" spans="1:19" x14ac:dyDescent="0.4">
      <c r="A1351" s="291"/>
      <c r="B1351" s="292"/>
      <c r="C1351" s="312"/>
      <c r="D1351" s="292"/>
      <c r="E1351" s="489"/>
      <c r="F1351" s="489"/>
      <c r="G1351" s="490"/>
      <c r="H1351" s="520"/>
      <c r="I1351" s="523"/>
      <c r="J1351" s="521"/>
      <c r="K1351" s="522"/>
      <c r="M1351" s="301" t="str">
        <f>N1351&amp;AS[[#This Row],[Insurer Code]]&amp;"; "&amp;O1351&amp;AS[[#This Row],[Reporting Year]]&amp;"; "&amp;P1351&amp;AS[[#This Row],[Insurance Category Code]]&amp;"; "&amp;Q1351&amp;AS[[#This Row],[Large Provider Entity Code]]&amp;"; "&amp;R1351&amp;AS[[#This Row],[Age Band Code]]&amp;"; "&amp;S1351&amp;AS[[#This Row],[Sex Code]]</f>
        <v xml:space="preserve">Insurer Code ; Reporting Year ; Insurance Category Code ; Large Provider Entity Code ; Age Band Code ; Sex Code </v>
      </c>
      <c r="N1351" s="297" t="s">
        <v>197</v>
      </c>
      <c r="O1351" s="297" t="s">
        <v>198</v>
      </c>
      <c r="P1351" s="297" t="s">
        <v>199</v>
      </c>
      <c r="Q1351" s="297" t="s">
        <v>200</v>
      </c>
      <c r="R1351" s="297" t="s">
        <v>213</v>
      </c>
      <c r="S1351" s="297" t="s">
        <v>214</v>
      </c>
    </row>
    <row r="1352" spans="1:19" x14ac:dyDescent="0.4">
      <c r="A1352" s="291"/>
      <c r="B1352" s="292"/>
      <c r="C1352" s="312"/>
      <c r="D1352" s="292"/>
      <c r="E1352" s="489"/>
      <c r="F1352" s="489"/>
      <c r="G1352" s="490"/>
      <c r="H1352" s="520"/>
      <c r="I1352" s="523"/>
      <c r="J1352" s="521"/>
      <c r="K1352" s="522"/>
      <c r="M1352" s="301" t="str">
        <f>N1352&amp;AS[[#This Row],[Insurer Code]]&amp;"; "&amp;O1352&amp;AS[[#This Row],[Reporting Year]]&amp;"; "&amp;P1352&amp;AS[[#This Row],[Insurance Category Code]]&amp;"; "&amp;Q1352&amp;AS[[#This Row],[Large Provider Entity Code]]&amp;"; "&amp;R1352&amp;AS[[#This Row],[Age Band Code]]&amp;"; "&amp;S1352&amp;AS[[#This Row],[Sex Code]]</f>
        <v xml:space="preserve">Insurer Code ; Reporting Year ; Insurance Category Code ; Large Provider Entity Code ; Age Band Code ; Sex Code </v>
      </c>
      <c r="N1352" s="297" t="s">
        <v>197</v>
      </c>
      <c r="O1352" s="297" t="s">
        <v>198</v>
      </c>
      <c r="P1352" s="297" t="s">
        <v>199</v>
      </c>
      <c r="Q1352" s="297" t="s">
        <v>200</v>
      </c>
      <c r="R1352" s="297" t="s">
        <v>213</v>
      </c>
      <c r="S1352" s="297" t="s">
        <v>214</v>
      </c>
    </row>
    <row r="1353" spans="1:19" x14ac:dyDescent="0.4">
      <c r="A1353" s="291"/>
      <c r="B1353" s="292"/>
      <c r="C1353" s="312"/>
      <c r="D1353" s="292"/>
      <c r="E1353" s="489"/>
      <c r="F1353" s="489"/>
      <c r="G1353" s="490"/>
      <c r="H1353" s="520"/>
      <c r="I1353" s="523"/>
      <c r="J1353" s="521"/>
      <c r="K1353" s="522"/>
      <c r="M1353" s="301" t="str">
        <f>N1353&amp;AS[[#This Row],[Insurer Code]]&amp;"; "&amp;O1353&amp;AS[[#This Row],[Reporting Year]]&amp;"; "&amp;P1353&amp;AS[[#This Row],[Insurance Category Code]]&amp;"; "&amp;Q1353&amp;AS[[#This Row],[Large Provider Entity Code]]&amp;"; "&amp;R1353&amp;AS[[#This Row],[Age Band Code]]&amp;"; "&amp;S1353&amp;AS[[#This Row],[Sex Code]]</f>
        <v xml:space="preserve">Insurer Code ; Reporting Year ; Insurance Category Code ; Large Provider Entity Code ; Age Band Code ; Sex Code </v>
      </c>
      <c r="N1353" s="297" t="s">
        <v>197</v>
      </c>
      <c r="O1353" s="297" t="s">
        <v>198</v>
      </c>
      <c r="P1353" s="297" t="s">
        <v>199</v>
      </c>
      <c r="Q1353" s="297" t="s">
        <v>200</v>
      </c>
      <c r="R1353" s="297" t="s">
        <v>213</v>
      </c>
      <c r="S1353" s="297" t="s">
        <v>214</v>
      </c>
    </row>
    <row r="1354" spans="1:19" x14ac:dyDescent="0.4">
      <c r="A1354" s="291"/>
      <c r="B1354" s="292"/>
      <c r="C1354" s="312"/>
      <c r="D1354" s="292"/>
      <c r="E1354" s="489"/>
      <c r="F1354" s="489"/>
      <c r="G1354" s="490"/>
      <c r="H1354" s="520"/>
      <c r="I1354" s="523"/>
      <c r="J1354" s="521"/>
      <c r="K1354" s="522"/>
      <c r="M1354" s="301" t="str">
        <f>N1354&amp;AS[[#This Row],[Insurer Code]]&amp;"; "&amp;O1354&amp;AS[[#This Row],[Reporting Year]]&amp;"; "&amp;P1354&amp;AS[[#This Row],[Insurance Category Code]]&amp;"; "&amp;Q1354&amp;AS[[#This Row],[Large Provider Entity Code]]&amp;"; "&amp;R1354&amp;AS[[#This Row],[Age Band Code]]&amp;"; "&amp;S1354&amp;AS[[#This Row],[Sex Code]]</f>
        <v xml:space="preserve">Insurer Code ; Reporting Year ; Insurance Category Code ; Large Provider Entity Code ; Age Band Code ; Sex Code </v>
      </c>
      <c r="N1354" s="297" t="s">
        <v>197</v>
      </c>
      <c r="O1354" s="297" t="s">
        <v>198</v>
      </c>
      <c r="P1354" s="297" t="s">
        <v>199</v>
      </c>
      <c r="Q1354" s="297" t="s">
        <v>200</v>
      </c>
      <c r="R1354" s="297" t="s">
        <v>213</v>
      </c>
      <c r="S1354" s="297" t="s">
        <v>214</v>
      </c>
    </row>
    <row r="1355" spans="1:19" x14ac:dyDescent="0.4">
      <c r="A1355" s="291"/>
      <c r="B1355" s="292"/>
      <c r="C1355" s="312"/>
      <c r="D1355" s="292"/>
      <c r="E1355" s="489"/>
      <c r="F1355" s="489"/>
      <c r="G1355" s="490"/>
      <c r="H1355" s="520"/>
      <c r="I1355" s="523"/>
      <c r="J1355" s="521"/>
      <c r="K1355" s="522"/>
      <c r="M1355" s="301" t="str">
        <f>N1355&amp;AS[[#This Row],[Insurer Code]]&amp;"; "&amp;O1355&amp;AS[[#This Row],[Reporting Year]]&amp;"; "&amp;P1355&amp;AS[[#This Row],[Insurance Category Code]]&amp;"; "&amp;Q1355&amp;AS[[#This Row],[Large Provider Entity Code]]&amp;"; "&amp;R1355&amp;AS[[#This Row],[Age Band Code]]&amp;"; "&amp;S1355&amp;AS[[#This Row],[Sex Code]]</f>
        <v xml:space="preserve">Insurer Code ; Reporting Year ; Insurance Category Code ; Large Provider Entity Code ; Age Band Code ; Sex Code </v>
      </c>
      <c r="N1355" s="297" t="s">
        <v>197</v>
      </c>
      <c r="O1355" s="297" t="s">
        <v>198</v>
      </c>
      <c r="P1355" s="297" t="s">
        <v>199</v>
      </c>
      <c r="Q1355" s="297" t="s">
        <v>200</v>
      </c>
      <c r="R1355" s="297" t="s">
        <v>213</v>
      </c>
      <c r="S1355" s="297" t="s">
        <v>214</v>
      </c>
    </row>
    <row r="1356" spans="1:19" x14ac:dyDescent="0.4">
      <c r="A1356" s="291"/>
      <c r="B1356" s="292"/>
      <c r="C1356" s="312"/>
      <c r="D1356" s="292"/>
      <c r="E1356" s="489"/>
      <c r="F1356" s="489"/>
      <c r="G1356" s="490"/>
      <c r="H1356" s="520"/>
      <c r="I1356" s="523"/>
      <c r="J1356" s="521"/>
      <c r="K1356" s="522"/>
      <c r="M1356" s="301" t="str">
        <f>N1356&amp;AS[[#This Row],[Insurer Code]]&amp;"; "&amp;O1356&amp;AS[[#This Row],[Reporting Year]]&amp;"; "&amp;P1356&amp;AS[[#This Row],[Insurance Category Code]]&amp;"; "&amp;Q1356&amp;AS[[#This Row],[Large Provider Entity Code]]&amp;"; "&amp;R1356&amp;AS[[#This Row],[Age Band Code]]&amp;"; "&amp;S1356&amp;AS[[#This Row],[Sex Code]]</f>
        <v xml:space="preserve">Insurer Code ; Reporting Year ; Insurance Category Code ; Large Provider Entity Code ; Age Band Code ; Sex Code </v>
      </c>
      <c r="N1356" s="297" t="s">
        <v>197</v>
      </c>
      <c r="O1356" s="297" t="s">
        <v>198</v>
      </c>
      <c r="P1356" s="297" t="s">
        <v>199</v>
      </c>
      <c r="Q1356" s="297" t="s">
        <v>200</v>
      </c>
      <c r="R1356" s="297" t="s">
        <v>213</v>
      </c>
      <c r="S1356" s="297" t="s">
        <v>214</v>
      </c>
    </row>
    <row r="1357" spans="1:19" x14ac:dyDescent="0.4">
      <c r="A1357" s="291"/>
      <c r="B1357" s="292"/>
      <c r="C1357" s="312"/>
      <c r="D1357" s="292"/>
      <c r="E1357" s="489"/>
      <c r="F1357" s="489"/>
      <c r="G1357" s="490"/>
      <c r="H1357" s="520"/>
      <c r="I1357" s="523"/>
      <c r="J1357" s="521"/>
      <c r="K1357" s="522"/>
      <c r="M1357" s="301" t="str">
        <f>N1357&amp;AS[[#This Row],[Insurer Code]]&amp;"; "&amp;O1357&amp;AS[[#This Row],[Reporting Year]]&amp;"; "&amp;P1357&amp;AS[[#This Row],[Insurance Category Code]]&amp;"; "&amp;Q1357&amp;AS[[#This Row],[Large Provider Entity Code]]&amp;"; "&amp;R1357&amp;AS[[#This Row],[Age Band Code]]&amp;"; "&amp;S1357&amp;AS[[#This Row],[Sex Code]]</f>
        <v xml:space="preserve">Insurer Code ; Reporting Year ; Insurance Category Code ; Large Provider Entity Code ; Age Band Code ; Sex Code </v>
      </c>
      <c r="N1357" s="297" t="s">
        <v>197</v>
      </c>
      <c r="O1357" s="297" t="s">
        <v>198</v>
      </c>
      <c r="P1357" s="297" t="s">
        <v>199</v>
      </c>
      <c r="Q1357" s="297" t="s">
        <v>200</v>
      </c>
      <c r="R1357" s="297" t="s">
        <v>213</v>
      </c>
      <c r="S1357" s="297" t="s">
        <v>214</v>
      </c>
    </row>
    <row r="1358" spans="1:19" x14ac:dyDescent="0.4">
      <c r="A1358" s="291"/>
      <c r="B1358" s="292"/>
      <c r="C1358" s="312"/>
      <c r="D1358" s="292"/>
      <c r="E1358" s="489"/>
      <c r="F1358" s="489"/>
      <c r="G1358" s="490"/>
      <c r="H1358" s="520"/>
      <c r="I1358" s="523"/>
      <c r="J1358" s="521"/>
      <c r="K1358" s="522"/>
      <c r="M1358" s="301" t="str">
        <f>N1358&amp;AS[[#This Row],[Insurer Code]]&amp;"; "&amp;O1358&amp;AS[[#This Row],[Reporting Year]]&amp;"; "&amp;P1358&amp;AS[[#This Row],[Insurance Category Code]]&amp;"; "&amp;Q1358&amp;AS[[#This Row],[Large Provider Entity Code]]&amp;"; "&amp;R1358&amp;AS[[#This Row],[Age Band Code]]&amp;"; "&amp;S1358&amp;AS[[#This Row],[Sex Code]]</f>
        <v xml:space="preserve">Insurer Code ; Reporting Year ; Insurance Category Code ; Large Provider Entity Code ; Age Band Code ; Sex Code </v>
      </c>
      <c r="N1358" s="297" t="s">
        <v>197</v>
      </c>
      <c r="O1358" s="297" t="s">
        <v>198</v>
      </c>
      <c r="P1358" s="297" t="s">
        <v>199</v>
      </c>
      <c r="Q1358" s="297" t="s">
        <v>200</v>
      </c>
      <c r="R1358" s="297" t="s">
        <v>213</v>
      </c>
      <c r="S1358" s="297" t="s">
        <v>214</v>
      </c>
    </row>
    <row r="1359" spans="1:19" x14ac:dyDescent="0.4">
      <c r="A1359" s="291"/>
      <c r="B1359" s="292"/>
      <c r="C1359" s="312"/>
      <c r="D1359" s="292"/>
      <c r="E1359" s="489"/>
      <c r="F1359" s="489"/>
      <c r="G1359" s="490"/>
      <c r="H1359" s="520"/>
      <c r="I1359" s="523"/>
      <c r="J1359" s="521"/>
      <c r="K1359" s="522"/>
      <c r="M1359" s="301" t="str">
        <f>N1359&amp;AS[[#This Row],[Insurer Code]]&amp;"; "&amp;O1359&amp;AS[[#This Row],[Reporting Year]]&amp;"; "&amp;P1359&amp;AS[[#This Row],[Insurance Category Code]]&amp;"; "&amp;Q1359&amp;AS[[#This Row],[Large Provider Entity Code]]&amp;"; "&amp;R1359&amp;AS[[#This Row],[Age Band Code]]&amp;"; "&amp;S1359&amp;AS[[#This Row],[Sex Code]]</f>
        <v xml:space="preserve">Insurer Code ; Reporting Year ; Insurance Category Code ; Large Provider Entity Code ; Age Band Code ; Sex Code </v>
      </c>
      <c r="N1359" s="297" t="s">
        <v>197</v>
      </c>
      <c r="O1359" s="297" t="s">
        <v>198</v>
      </c>
      <c r="P1359" s="297" t="s">
        <v>199</v>
      </c>
      <c r="Q1359" s="297" t="s">
        <v>200</v>
      </c>
      <c r="R1359" s="297" t="s">
        <v>213</v>
      </c>
      <c r="S1359" s="297" t="s">
        <v>214</v>
      </c>
    </row>
    <row r="1360" spans="1:19" x14ac:dyDescent="0.4">
      <c r="A1360" s="291"/>
      <c r="B1360" s="292"/>
      <c r="C1360" s="312"/>
      <c r="D1360" s="292"/>
      <c r="E1360" s="489"/>
      <c r="F1360" s="489"/>
      <c r="G1360" s="490"/>
      <c r="H1360" s="520"/>
      <c r="I1360" s="523"/>
      <c r="J1360" s="521"/>
      <c r="K1360" s="522"/>
      <c r="M1360" s="301" t="str">
        <f>N1360&amp;AS[[#This Row],[Insurer Code]]&amp;"; "&amp;O1360&amp;AS[[#This Row],[Reporting Year]]&amp;"; "&amp;P1360&amp;AS[[#This Row],[Insurance Category Code]]&amp;"; "&amp;Q1360&amp;AS[[#This Row],[Large Provider Entity Code]]&amp;"; "&amp;R1360&amp;AS[[#This Row],[Age Band Code]]&amp;"; "&amp;S1360&amp;AS[[#This Row],[Sex Code]]</f>
        <v xml:space="preserve">Insurer Code ; Reporting Year ; Insurance Category Code ; Large Provider Entity Code ; Age Band Code ; Sex Code </v>
      </c>
      <c r="N1360" s="297" t="s">
        <v>197</v>
      </c>
      <c r="O1360" s="297" t="s">
        <v>198</v>
      </c>
      <c r="P1360" s="297" t="s">
        <v>199</v>
      </c>
      <c r="Q1360" s="297" t="s">
        <v>200</v>
      </c>
      <c r="R1360" s="297" t="s">
        <v>213</v>
      </c>
      <c r="S1360" s="297" t="s">
        <v>214</v>
      </c>
    </row>
    <row r="1361" spans="1:19" x14ac:dyDescent="0.4">
      <c r="A1361" s="291"/>
      <c r="B1361" s="292"/>
      <c r="C1361" s="312"/>
      <c r="D1361" s="292"/>
      <c r="E1361" s="489"/>
      <c r="F1361" s="489"/>
      <c r="G1361" s="490"/>
      <c r="H1361" s="520"/>
      <c r="I1361" s="523"/>
      <c r="J1361" s="521"/>
      <c r="K1361" s="522"/>
      <c r="M1361" s="301" t="str">
        <f>N1361&amp;AS[[#This Row],[Insurer Code]]&amp;"; "&amp;O1361&amp;AS[[#This Row],[Reporting Year]]&amp;"; "&amp;P1361&amp;AS[[#This Row],[Insurance Category Code]]&amp;"; "&amp;Q1361&amp;AS[[#This Row],[Large Provider Entity Code]]&amp;"; "&amp;R1361&amp;AS[[#This Row],[Age Band Code]]&amp;"; "&amp;S1361&amp;AS[[#This Row],[Sex Code]]</f>
        <v xml:space="preserve">Insurer Code ; Reporting Year ; Insurance Category Code ; Large Provider Entity Code ; Age Band Code ; Sex Code </v>
      </c>
      <c r="N1361" s="297" t="s">
        <v>197</v>
      </c>
      <c r="O1361" s="297" t="s">
        <v>198</v>
      </c>
      <c r="P1361" s="297" t="s">
        <v>199</v>
      </c>
      <c r="Q1361" s="297" t="s">
        <v>200</v>
      </c>
      <c r="R1361" s="297" t="s">
        <v>213</v>
      </c>
      <c r="S1361" s="297" t="s">
        <v>214</v>
      </c>
    </row>
    <row r="1362" spans="1:19" x14ac:dyDescent="0.4">
      <c r="A1362" s="291"/>
      <c r="B1362" s="292"/>
      <c r="C1362" s="312"/>
      <c r="D1362" s="292"/>
      <c r="E1362" s="489"/>
      <c r="F1362" s="489"/>
      <c r="G1362" s="490"/>
      <c r="H1362" s="520"/>
      <c r="I1362" s="523"/>
      <c r="J1362" s="521"/>
      <c r="K1362" s="522"/>
      <c r="M1362" s="301" t="str">
        <f>N1362&amp;AS[[#This Row],[Insurer Code]]&amp;"; "&amp;O1362&amp;AS[[#This Row],[Reporting Year]]&amp;"; "&amp;P1362&amp;AS[[#This Row],[Insurance Category Code]]&amp;"; "&amp;Q1362&amp;AS[[#This Row],[Large Provider Entity Code]]&amp;"; "&amp;R1362&amp;AS[[#This Row],[Age Band Code]]&amp;"; "&amp;S1362&amp;AS[[#This Row],[Sex Code]]</f>
        <v xml:space="preserve">Insurer Code ; Reporting Year ; Insurance Category Code ; Large Provider Entity Code ; Age Band Code ; Sex Code </v>
      </c>
      <c r="N1362" s="297" t="s">
        <v>197</v>
      </c>
      <c r="O1362" s="297" t="s">
        <v>198</v>
      </c>
      <c r="P1362" s="297" t="s">
        <v>199</v>
      </c>
      <c r="Q1362" s="297" t="s">
        <v>200</v>
      </c>
      <c r="R1362" s="297" t="s">
        <v>213</v>
      </c>
      <c r="S1362" s="297" t="s">
        <v>214</v>
      </c>
    </row>
    <row r="1363" spans="1:19" x14ac:dyDescent="0.4">
      <c r="A1363" s="291"/>
      <c r="B1363" s="292"/>
      <c r="C1363" s="312"/>
      <c r="D1363" s="292"/>
      <c r="E1363" s="489"/>
      <c r="F1363" s="489"/>
      <c r="G1363" s="490"/>
      <c r="H1363" s="520"/>
      <c r="I1363" s="523"/>
      <c r="J1363" s="521"/>
      <c r="K1363" s="522"/>
      <c r="M1363" s="301" t="str">
        <f>N1363&amp;AS[[#This Row],[Insurer Code]]&amp;"; "&amp;O1363&amp;AS[[#This Row],[Reporting Year]]&amp;"; "&amp;P1363&amp;AS[[#This Row],[Insurance Category Code]]&amp;"; "&amp;Q1363&amp;AS[[#This Row],[Large Provider Entity Code]]&amp;"; "&amp;R1363&amp;AS[[#This Row],[Age Band Code]]&amp;"; "&amp;S1363&amp;AS[[#This Row],[Sex Code]]</f>
        <v xml:space="preserve">Insurer Code ; Reporting Year ; Insurance Category Code ; Large Provider Entity Code ; Age Band Code ; Sex Code </v>
      </c>
      <c r="N1363" s="297" t="s">
        <v>197</v>
      </c>
      <c r="O1363" s="297" t="s">
        <v>198</v>
      </c>
      <c r="P1363" s="297" t="s">
        <v>199</v>
      </c>
      <c r="Q1363" s="297" t="s">
        <v>200</v>
      </c>
      <c r="R1363" s="297" t="s">
        <v>213</v>
      </c>
      <c r="S1363" s="297" t="s">
        <v>214</v>
      </c>
    </row>
    <row r="1364" spans="1:19" x14ac:dyDescent="0.4">
      <c r="A1364" s="291"/>
      <c r="B1364" s="292"/>
      <c r="C1364" s="312"/>
      <c r="D1364" s="292"/>
      <c r="E1364" s="489"/>
      <c r="F1364" s="489"/>
      <c r="G1364" s="490"/>
      <c r="H1364" s="520"/>
      <c r="I1364" s="523"/>
      <c r="J1364" s="521"/>
      <c r="K1364" s="522"/>
      <c r="M1364" s="301" t="str">
        <f>N1364&amp;AS[[#This Row],[Insurer Code]]&amp;"; "&amp;O1364&amp;AS[[#This Row],[Reporting Year]]&amp;"; "&amp;P1364&amp;AS[[#This Row],[Insurance Category Code]]&amp;"; "&amp;Q1364&amp;AS[[#This Row],[Large Provider Entity Code]]&amp;"; "&amp;R1364&amp;AS[[#This Row],[Age Band Code]]&amp;"; "&amp;S1364&amp;AS[[#This Row],[Sex Code]]</f>
        <v xml:space="preserve">Insurer Code ; Reporting Year ; Insurance Category Code ; Large Provider Entity Code ; Age Band Code ; Sex Code </v>
      </c>
      <c r="N1364" s="297" t="s">
        <v>197</v>
      </c>
      <c r="O1364" s="297" t="s">
        <v>198</v>
      </c>
      <c r="P1364" s="297" t="s">
        <v>199</v>
      </c>
      <c r="Q1364" s="297" t="s">
        <v>200</v>
      </c>
      <c r="R1364" s="297" t="s">
        <v>213</v>
      </c>
      <c r="S1364" s="297" t="s">
        <v>214</v>
      </c>
    </row>
    <row r="1365" spans="1:19" x14ac:dyDescent="0.4">
      <c r="A1365" s="291"/>
      <c r="B1365" s="292"/>
      <c r="C1365" s="312"/>
      <c r="D1365" s="292"/>
      <c r="E1365" s="489"/>
      <c r="F1365" s="489"/>
      <c r="G1365" s="490"/>
      <c r="H1365" s="520"/>
      <c r="I1365" s="523"/>
      <c r="J1365" s="521"/>
      <c r="K1365" s="522"/>
      <c r="M1365" s="301" t="str">
        <f>N1365&amp;AS[[#This Row],[Insurer Code]]&amp;"; "&amp;O1365&amp;AS[[#This Row],[Reporting Year]]&amp;"; "&amp;P1365&amp;AS[[#This Row],[Insurance Category Code]]&amp;"; "&amp;Q1365&amp;AS[[#This Row],[Large Provider Entity Code]]&amp;"; "&amp;R1365&amp;AS[[#This Row],[Age Band Code]]&amp;"; "&amp;S1365&amp;AS[[#This Row],[Sex Code]]</f>
        <v xml:space="preserve">Insurer Code ; Reporting Year ; Insurance Category Code ; Large Provider Entity Code ; Age Band Code ; Sex Code </v>
      </c>
      <c r="N1365" s="297" t="s">
        <v>197</v>
      </c>
      <c r="O1365" s="297" t="s">
        <v>198</v>
      </c>
      <c r="P1365" s="297" t="s">
        <v>199</v>
      </c>
      <c r="Q1365" s="297" t="s">
        <v>200</v>
      </c>
      <c r="R1365" s="297" t="s">
        <v>213</v>
      </c>
      <c r="S1365" s="297" t="s">
        <v>214</v>
      </c>
    </row>
    <row r="1366" spans="1:19" x14ac:dyDescent="0.4">
      <c r="A1366" s="291"/>
      <c r="B1366" s="292"/>
      <c r="C1366" s="312"/>
      <c r="D1366" s="292"/>
      <c r="E1366" s="489"/>
      <c r="F1366" s="489"/>
      <c r="G1366" s="490"/>
      <c r="H1366" s="520"/>
      <c r="I1366" s="523"/>
      <c r="J1366" s="521"/>
      <c r="K1366" s="522"/>
      <c r="M1366" s="301" t="str">
        <f>N1366&amp;AS[[#This Row],[Insurer Code]]&amp;"; "&amp;O1366&amp;AS[[#This Row],[Reporting Year]]&amp;"; "&amp;P1366&amp;AS[[#This Row],[Insurance Category Code]]&amp;"; "&amp;Q1366&amp;AS[[#This Row],[Large Provider Entity Code]]&amp;"; "&amp;R1366&amp;AS[[#This Row],[Age Band Code]]&amp;"; "&amp;S1366&amp;AS[[#This Row],[Sex Code]]</f>
        <v xml:space="preserve">Insurer Code ; Reporting Year ; Insurance Category Code ; Large Provider Entity Code ; Age Band Code ; Sex Code </v>
      </c>
      <c r="N1366" s="297" t="s">
        <v>197</v>
      </c>
      <c r="O1366" s="297" t="s">
        <v>198</v>
      </c>
      <c r="P1366" s="297" t="s">
        <v>199</v>
      </c>
      <c r="Q1366" s="297" t="s">
        <v>200</v>
      </c>
      <c r="R1366" s="297" t="s">
        <v>213</v>
      </c>
      <c r="S1366" s="297" t="s">
        <v>214</v>
      </c>
    </row>
    <row r="1367" spans="1:19" x14ac:dyDescent="0.4">
      <c r="A1367" s="291"/>
      <c r="B1367" s="292"/>
      <c r="C1367" s="312"/>
      <c r="D1367" s="292"/>
      <c r="E1367" s="489"/>
      <c r="F1367" s="489"/>
      <c r="G1367" s="490"/>
      <c r="H1367" s="520"/>
      <c r="I1367" s="523"/>
      <c r="J1367" s="521"/>
      <c r="K1367" s="522"/>
      <c r="M1367" s="301" t="str">
        <f>N1367&amp;AS[[#This Row],[Insurer Code]]&amp;"; "&amp;O1367&amp;AS[[#This Row],[Reporting Year]]&amp;"; "&amp;P1367&amp;AS[[#This Row],[Insurance Category Code]]&amp;"; "&amp;Q1367&amp;AS[[#This Row],[Large Provider Entity Code]]&amp;"; "&amp;R1367&amp;AS[[#This Row],[Age Band Code]]&amp;"; "&amp;S1367&amp;AS[[#This Row],[Sex Code]]</f>
        <v xml:space="preserve">Insurer Code ; Reporting Year ; Insurance Category Code ; Large Provider Entity Code ; Age Band Code ; Sex Code </v>
      </c>
      <c r="N1367" s="297" t="s">
        <v>197</v>
      </c>
      <c r="O1367" s="297" t="s">
        <v>198</v>
      </c>
      <c r="P1367" s="297" t="s">
        <v>199</v>
      </c>
      <c r="Q1367" s="297" t="s">
        <v>200</v>
      </c>
      <c r="R1367" s="297" t="s">
        <v>213</v>
      </c>
      <c r="S1367" s="297" t="s">
        <v>214</v>
      </c>
    </row>
    <row r="1368" spans="1:19" x14ac:dyDescent="0.4">
      <c r="A1368" s="291"/>
      <c r="B1368" s="292"/>
      <c r="C1368" s="312"/>
      <c r="D1368" s="292"/>
      <c r="E1368" s="489"/>
      <c r="F1368" s="489"/>
      <c r="G1368" s="490"/>
      <c r="H1368" s="520"/>
      <c r="I1368" s="523"/>
      <c r="J1368" s="521"/>
      <c r="K1368" s="522"/>
      <c r="M1368" s="301" t="str">
        <f>N1368&amp;AS[[#This Row],[Insurer Code]]&amp;"; "&amp;O1368&amp;AS[[#This Row],[Reporting Year]]&amp;"; "&amp;P1368&amp;AS[[#This Row],[Insurance Category Code]]&amp;"; "&amp;Q1368&amp;AS[[#This Row],[Large Provider Entity Code]]&amp;"; "&amp;R1368&amp;AS[[#This Row],[Age Band Code]]&amp;"; "&amp;S1368&amp;AS[[#This Row],[Sex Code]]</f>
        <v xml:space="preserve">Insurer Code ; Reporting Year ; Insurance Category Code ; Large Provider Entity Code ; Age Band Code ; Sex Code </v>
      </c>
      <c r="N1368" s="297" t="s">
        <v>197</v>
      </c>
      <c r="O1368" s="297" t="s">
        <v>198</v>
      </c>
      <c r="P1368" s="297" t="s">
        <v>199</v>
      </c>
      <c r="Q1368" s="297" t="s">
        <v>200</v>
      </c>
      <c r="R1368" s="297" t="s">
        <v>213</v>
      </c>
      <c r="S1368" s="297" t="s">
        <v>214</v>
      </c>
    </row>
    <row r="1369" spans="1:19" x14ac:dyDescent="0.4">
      <c r="A1369" s="291"/>
      <c r="B1369" s="292"/>
      <c r="C1369" s="312"/>
      <c r="D1369" s="292"/>
      <c r="E1369" s="489"/>
      <c r="F1369" s="489"/>
      <c r="G1369" s="490"/>
      <c r="H1369" s="520"/>
      <c r="I1369" s="523"/>
      <c r="J1369" s="521"/>
      <c r="K1369" s="522"/>
      <c r="M1369" s="301" t="str">
        <f>N1369&amp;AS[[#This Row],[Insurer Code]]&amp;"; "&amp;O1369&amp;AS[[#This Row],[Reporting Year]]&amp;"; "&amp;P1369&amp;AS[[#This Row],[Insurance Category Code]]&amp;"; "&amp;Q1369&amp;AS[[#This Row],[Large Provider Entity Code]]&amp;"; "&amp;R1369&amp;AS[[#This Row],[Age Band Code]]&amp;"; "&amp;S1369&amp;AS[[#This Row],[Sex Code]]</f>
        <v xml:space="preserve">Insurer Code ; Reporting Year ; Insurance Category Code ; Large Provider Entity Code ; Age Band Code ; Sex Code </v>
      </c>
      <c r="N1369" s="297" t="s">
        <v>197</v>
      </c>
      <c r="O1369" s="297" t="s">
        <v>198</v>
      </c>
      <c r="P1369" s="297" t="s">
        <v>199</v>
      </c>
      <c r="Q1369" s="297" t="s">
        <v>200</v>
      </c>
      <c r="R1369" s="297" t="s">
        <v>213</v>
      </c>
      <c r="S1369" s="297" t="s">
        <v>214</v>
      </c>
    </row>
    <row r="1370" spans="1:19" x14ac:dyDescent="0.4">
      <c r="A1370" s="291"/>
      <c r="B1370" s="292"/>
      <c r="C1370" s="312"/>
      <c r="D1370" s="292"/>
      <c r="E1370" s="489"/>
      <c r="F1370" s="489"/>
      <c r="G1370" s="490"/>
      <c r="H1370" s="520"/>
      <c r="I1370" s="523"/>
      <c r="J1370" s="521"/>
      <c r="K1370" s="522"/>
      <c r="M1370" s="301" t="str">
        <f>N1370&amp;AS[[#This Row],[Insurer Code]]&amp;"; "&amp;O1370&amp;AS[[#This Row],[Reporting Year]]&amp;"; "&amp;P1370&amp;AS[[#This Row],[Insurance Category Code]]&amp;"; "&amp;Q1370&amp;AS[[#This Row],[Large Provider Entity Code]]&amp;"; "&amp;R1370&amp;AS[[#This Row],[Age Band Code]]&amp;"; "&amp;S1370&amp;AS[[#This Row],[Sex Code]]</f>
        <v xml:space="preserve">Insurer Code ; Reporting Year ; Insurance Category Code ; Large Provider Entity Code ; Age Band Code ; Sex Code </v>
      </c>
      <c r="N1370" s="297" t="s">
        <v>197</v>
      </c>
      <c r="O1370" s="297" t="s">
        <v>198</v>
      </c>
      <c r="P1370" s="297" t="s">
        <v>199</v>
      </c>
      <c r="Q1370" s="297" t="s">
        <v>200</v>
      </c>
      <c r="R1370" s="297" t="s">
        <v>213</v>
      </c>
      <c r="S1370" s="297" t="s">
        <v>214</v>
      </c>
    </row>
    <row r="1371" spans="1:19" x14ac:dyDescent="0.4">
      <c r="A1371" s="291"/>
      <c r="B1371" s="292"/>
      <c r="C1371" s="312"/>
      <c r="D1371" s="292"/>
      <c r="E1371" s="489"/>
      <c r="F1371" s="489"/>
      <c r="G1371" s="490"/>
      <c r="H1371" s="520"/>
      <c r="I1371" s="523"/>
      <c r="J1371" s="521"/>
      <c r="K1371" s="522"/>
      <c r="M1371" s="301" t="str">
        <f>N1371&amp;AS[[#This Row],[Insurer Code]]&amp;"; "&amp;O1371&amp;AS[[#This Row],[Reporting Year]]&amp;"; "&amp;P1371&amp;AS[[#This Row],[Insurance Category Code]]&amp;"; "&amp;Q1371&amp;AS[[#This Row],[Large Provider Entity Code]]&amp;"; "&amp;R1371&amp;AS[[#This Row],[Age Band Code]]&amp;"; "&amp;S1371&amp;AS[[#This Row],[Sex Code]]</f>
        <v xml:space="preserve">Insurer Code ; Reporting Year ; Insurance Category Code ; Large Provider Entity Code ; Age Band Code ; Sex Code </v>
      </c>
      <c r="N1371" s="297" t="s">
        <v>197</v>
      </c>
      <c r="O1371" s="297" t="s">
        <v>198</v>
      </c>
      <c r="P1371" s="297" t="s">
        <v>199</v>
      </c>
      <c r="Q1371" s="297" t="s">
        <v>200</v>
      </c>
      <c r="R1371" s="297" t="s">
        <v>213</v>
      </c>
      <c r="S1371" s="297" t="s">
        <v>214</v>
      </c>
    </row>
    <row r="1372" spans="1:19" x14ac:dyDescent="0.4">
      <c r="A1372" s="291"/>
      <c r="B1372" s="292"/>
      <c r="C1372" s="312"/>
      <c r="D1372" s="292"/>
      <c r="E1372" s="489"/>
      <c r="F1372" s="489"/>
      <c r="G1372" s="490"/>
      <c r="H1372" s="520"/>
      <c r="I1372" s="523"/>
      <c r="J1372" s="521"/>
      <c r="K1372" s="522"/>
      <c r="M1372" s="301" t="str">
        <f>N1372&amp;AS[[#This Row],[Insurer Code]]&amp;"; "&amp;O1372&amp;AS[[#This Row],[Reporting Year]]&amp;"; "&amp;P1372&amp;AS[[#This Row],[Insurance Category Code]]&amp;"; "&amp;Q1372&amp;AS[[#This Row],[Large Provider Entity Code]]&amp;"; "&amp;R1372&amp;AS[[#This Row],[Age Band Code]]&amp;"; "&amp;S1372&amp;AS[[#This Row],[Sex Code]]</f>
        <v xml:space="preserve">Insurer Code ; Reporting Year ; Insurance Category Code ; Large Provider Entity Code ; Age Band Code ; Sex Code </v>
      </c>
      <c r="N1372" s="297" t="s">
        <v>197</v>
      </c>
      <c r="O1372" s="297" t="s">
        <v>198</v>
      </c>
      <c r="P1372" s="297" t="s">
        <v>199</v>
      </c>
      <c r="Q1372" s="297" t="s">
        <v>200</v>
      </c>
      <c r="R1372" s="297" t="s">
        <v>213</v>
      </c>
      <c r="S1372" s="297" t="s">
        <v>214</v>
      </c>
    </row>
    <row r="1373" spans="1:19" x14ac:dyDescent="0.4">
      <c r="A1373" s="291"/>
      <c r="B1373" s="292"/>
      <c r="C1373" s="312"/>
      <c r="D1373" s="292"/>
      <c r="E1373" s="489"/>
      <c r="F1373" s="489"/>
      <c r="G1373" s="490"/>
      <c r="H1373" s="520"/>
      <c r="I1373" s="523"/>
      <c r="J1373" s="521"/>
      <c r="K1373" s="522"/>
      <c r="M1373" s="301" t="str">
        <f>N1373&amp;AS[[#This Row],[Insurer Code]]&amp;"; "&amp;O1373&amp;AS[[#This Row],[Reporting Year]]&amp;"; "&amp;P1373&amp;AS[[#This Row],[Insurance Category Code]]&amp;"; "&amp;Q1373&amp;AS[[#This Row],[Large Provider Entity Code]]&amp;"; "&amp;R1373&amp;AS[[#This Row],[Age Band Code]]&amp;"; "&amp;S1373&amp;AS[[#This Row],[Sex Code]]</f>
        <v xml:space="preserve">Insurer Code ; Reporting Year ; Insurance Category Code ; Large Provider Entity Code ; Age Band Code ; Sex Code </v>
      </c>
      <c r="N1373" s="297" t="s">
        <v>197</v>
      </c>
      <c r="O1373" s="297" t="s">
        <v>198</v>
      </c>
      <c r="P1373" s="297" t="s">
        <v>199</v>
      </c>
      <c r="Q1373" s="297" t="s">
        <v>200</v>
      </c>
      <c r="R1373" s="297" t="s">
        <v>213</v>
      </c>
      <c r="S1373" s="297" t="s">
        <v>214</v>
      </c>
    </row>
    <row r="1374" spans="1:19" x14ac:dyDescent="0.4">
      <c r="A1374" s="291"/>
      <c r="B1374" s="292"/>
      <c r="C1374" s="312"/>
      <c r="D1374" s="292"/>
      <c r="E1374" s="489"/>
      <c r="F1374" s="489"/>
      <c r="G1374" s="490"/>
      <c r="H1374" s="520"/>
      <c r="I1374" s="523"/>
      <c r="J1374" s="521"/>
      <c r="K1374" s="522"/>
      <c r="M1374" s="301" t="str">
        <f>N1374&amp;AS[[#This Row],[Insurer Code]]&amp;"; "&amp;O1374&amp;AS[[#This Row],[Reporting Year]]&amp;"; "&amp;P1374&amp;AS[[#This Row],[Insurance Category Code]]&amp;"; "&amp;Q1374&amp;AS[[#This Row],[Large Provider Entity Code]]&amp;"; "&amp;R1374&amp;AS[[#This Row],[Age Band Code]]&amp;"; "&amp;S1374&amp;AS[[#This Row],[Sex Code]]</f>
        <v xml:space="preserve">Insurer Code ; Reporting Year ; Insurance Category Code ; Large Provider Entity Code ; Age Band Code ; Sex Code </v>
      </c>
      <c r="N1374" s="297" t="s">
        <v>197</v>
      </c>
      <c r="O1374" s="297" t="s">
        <v>198</v>
      </c>
      <c r="P1374" s="297" t="s">
        <v>199</v>
      </c>
      <c r="Q1374" s="297" t="s">
        <v>200</v>
      </c>
      <c r="R1374" s="297" t="s">
        <v>213</v>
      </c>
      <c r="S1374" s="297" t="s">
        <v>214</v>
      </c>
    </row>
    <row r="1375" spans="1:19" x14ac:dyDescent="0.4">
      <c r="A1375" s="291"/>
      <c r="B1375" s="292"/>
      <c r="C1375" s="312"/>
      <c r="D1375" s="292"/>
      <c r="E1375" s="489"/>
      <c r="F1375" s="489"/>
      <c r="G1375" s="490"/>
      <c r="H1375" s="520"/>
      <c r="I1375" s="523"/>
      <c r="J1375" s="521"/>
      <c r="K1375" s="522"/>
      <c r="M1375" s="301" t="str">
        <f>N1375&amp;AS[[#This Row],[Insurer Code]]&amp;"; "&amp;O1375&amp;AS[[#This Row],[Reporting Year]]&amp;"; "&amp;P1375&amp;AS[[#This Row],[Insurance Category Code]]&amp;"; "&amp;Q1375&amp;AS[[#This Row],[Large Provider Entity Code]]&amp;"; "&amp;R1375&amp;AS[[#This Row],[Age Band Code]]&amp;"; "&amp;S1375&amp;AS[[#This Row],[Sex Code]]</f>
        <v xml:space="preserve">Insurer Code ; Reporting Year ; Insurance Category Code ; Large Provider Entity Code ; Age Band Code ; Sex Code </v>
      </c>
      <c r="N1375" s="297" t="s">
        <v>197</v>
      </c>
      <c r="O1375" s="297" t="s">
        <v>198</v>
      </c>
      <c r="P1375" s="297" t="s">
        <v>199</v>
      </c>
      <c r="Q1375" s="297" t="s">
        <v>200</v>
      </c>
      <c r="R1375" s="297" t="s">
        <v>213</v>
      </c>
      <c r="S1375" s="297" t="s">
        <v>214</v>
      </c>
    </row>
    <row r="1376" spans="1:19" x14ac:dyDescent="0.4">
      <c r="A1376" s="291"/>
      <c r="B1376" s="292"/>
      <c r="C1376" s="312"/>
      <c r="D1376" s="292"/>
      <c r="E1376" s="489"/>
      <c r="F1376" s="489"/>
      <c r="G1376" s="490"/>
      <c r="H1376" s="520"/>
      <c r="I1376" s="523"/>
      <c r="J1376" s="521"/>
      <c r="K1376" s="522"/>
      <c r="M1376" s="301" t="str">
        <f>N1376&amp;AS[[#This Row],[Insurer Code]]&amp;"; "&amp;O1376&amp;AS[[#This Row],[Reporting Year]]&amp;"; "&amp;P1376&amp;AS[[#This Row],[Insurance Category Code]]&amp;"; "&amp;Q1376&amp;AS[[#This Row],[Large Provider Entity Code]]&amp;"; "&amp;R1376&amp;AS[[#This Row],[Age Band Code]]&amp;"; "&amp;S1376&amp;AS[[#This Row],[Sex Code]]</f>
        <v xml:space="preserve">Insurer Code ; Reporting Year ; Insurance Category Code ; Large Provider Entity Code ; Age Band Code ; Sex Code </v>
      </c>
      <c r="N1376" s="297" t="s">
        <v>197</v>
      </c>
      <c r="O1376" s="297" t="s">
        <v>198</v>
      </c>
      <c r="P1376" s="297" t="s">
        <v>199</v>
      </c>
      <c r="Q1376" s="297" t="s">
        <v>200</v>
      </c>
      <c r="R1376" s="297" t="s">
        <v>213</v>
      </c>
      <c r="S1376" s="297" t="s">
        <v>214</v>
      </c>
    </row>
    <row r="1377" spans="1:19" x14ac:dyDescent="0.4">
      <c r="A1377" s="291"/>
      <c r="B1377" s="292"/>
      <c r="C1377" s="312"/>
      <c r="D1377" s="292"/>
      <c r="E1377" s="489"/>
      <c r="F1377" s="489"/>
      <c r="G1377" s="490"/>
      <c r="H1377" s="520"/>
      <c r="I1377" s="523"/>
      <c r="J1377" s="521"/>
      <c r="K1377" s="522"/>
      <c r="M1377" s="301" t="str">
        <f>N1377&amp;AS[[#This Row],[Insurer Code]]&amp;"; "&amp;O1377&amp;AS[[#This Row],[Reporting Year]]&amp;"; "&amp;P1377&amp;AS[[#This Row],[Insurance Category Code]]&amp;"; "&amp;Q1377&amp;AS[[#This Row],[Large Provider Entity Code]]&amp;"; "&amp;R1377&amp;AS[[#This Row],[Age Band Code]]&amp;"; "&amp;S1377&amp;AS[[#This Row],[Sex Code]]</f>
        <v xml:space="preserve">Insurer Code ; Reporting Year ; Insurance Category Code ; Large Provider Entity Code ; Age Band Code ; Sex Code </v>
      </c>
      <c r="N1377" s="297" t="s">
        <v>197</v>
      </c>
      <c r="O1377" s="297" t="s">
        <v>198</v>
      </c>
      <c r="P1377" s="297" t="s">
        <v>199</v>
      </c>
      <c r="Q1377" s="297" t="s">
        <v>200</v>
      </c>
      <c r="R1377" s="297" t="s">
        <v>213</v>
      </c>
      <c r="S1377" s="297" t="s">
        <v>214</v>
      </c>
    </row>
    <row r="1378" spans="1:19" x14ac:dyDescent="0.4">
      <c r="A1378" s="291"/>
      <c r="B1378" s="292"/>
      <c r="C1378" s="312"/>
      <c r="D1378" s="292"/>
      <c r="E1378" s="489"/>
      <c r="F1378" s="489"/>
      <c r="G1378" s="490"/>
      <c r="H1378" s="520"/>
      <c r="I1378" s="523"/>
      <c r="J1378" s="521"/>
      <c r="K1378" s="522"/>
      <c r="M1378" s="301" t="str">
        <f>N1378&amp;AS[[#This Row],[Insurer Code]]&amp;"; "&amp;O1378&amp;AS[[#This Row],[Reporting Year]]&amp;"; "&amp;P1378&amp;AS[[#This Row],[Insurance Category Code]]&amp;"; "&amp;Q1378&amp;AS[[#This Row],[Large Provider Entity Code]]&amp;"; "&amp;R1378&amp;AS[[#This Row],[Age Band Code]]&amp;"; "&amp;S1378&amp;AS[[#This Row],[Sex Code]]</f>
        <v xml:space="preserve">Insurer Code ; Reporting Year ; Insurance Category Code ; Large Provider Entity Code ; Age Band Code ; Sex Code </v>
      </c>
      <c r="N1378" s="297" t="s">
        <v>197</v>
      </c>
      <c r="O1378" s="297" t="s">
        <v>198</v>
      </c>
      <c r="P1378" s="297" t="s">
        <v>199</v>
      </c>
      <c r="Q1378" s="297" t="s">
        <v>200</v>
      </c>
      <c r="R1378" s="297" t="s">
        <v>213</v>
      </c>
      <c r="S1378" s="297" t="s">
        <v>214</v>
      </c>
    </row>
    <row r="1379" spans="1:19" x14ac:dyDescent="0.4">
      <c r="A1379" s="291"/>
      <c r="B1379" s="292"/>
      <c r="C1379" s="312"/>
      <c r="D1379" s="292"/>
      <c r="E1379" s="489"/>
      <c r="F1379" s="489"/>
      <c r="G1379" s="490"/>
      <c r="H1379" s="520"/>
      <c r="I1379" s="523"/>
      <c r="J1379" s="521"/>
      <c r="K1379" s="522"/>
      <c r="M1379" s="301" t="str">
        <f>N1379&amp;AS[[#This Row],[Insurer Code]]&amp;"; "&amp;O1379&amp;AS[[#This Row],[Reporting Year]]&amp;"; "&amp;P1379&amp;AS[[#This Row],[Insurance Category Code]]&amp;"; "&amp;Q1379&amp;AS[[#This Row],[Large Provider Entity Code]]&amp;"; "&amp;R1379&amp;AS[[#This Row],[Age Band Code]]&amp;"; "&amp;S1379&amp;AS[[#This Row],[Sex Code]]</f>
        <v xml:space="preserve">Insurer Code ; Reporting Year ; Insurance Category Code ; Large Provider Entity Code ; Age Band Code ; Sex Code </v>
      </c>
      <c r="N1379" s="297" t="s">
        <v>197</v>
      </c>
      <c r="O1379" s="297" t="s">
        <v>198</v>
      </c>
      <c r="P1379" s="297" t="s">
        <v>199</v>
      </c>
      <c r="Q1379" s="297" t="s">
        <v>200</v>
      </c>
      <c r="R1379" s="297" t="s">
        <v>213</v>
      </c>
      <c r="S1379" s="297" t="s">
        <v>214</v>
      </c>
    </row>
    <row r="1380" spans="1:19" x14ac:dyDescent="0.4">
      <c r="A1380" s="291"/>
      <c r="B1380" s="292"/>
      <c r="C1380" s="312"/>
      <c r="D1380" s="292"/>
      <c r="E1380" s="489"/>
      <c r="F1380" s="489"/>
      <c r="G1380" s="490"/>
      <c r="H1380" s="520"/>
      <c r="I1380" s="523"/>
      <c r="J1380" s="521"/>
      <c r="K1380" s="522"/>
      <c r="M1380" s="301" t="str">
        <f>N1380&amp;AS[[#This Row],[Insurer Code]]&amp;"; "&amp;O1380&amp;AS[[#This Row],[Reporting Year]]&amp;"; "&amp;P1380&amp;AS[[#This Row],[Insurance Category Code]]&amp;"; "&amp;Q1380&amp;AS[[#This Row],[Large Provider Entity Code]]&amp;"; "&amp;R1380&amp;AS[[#This Row],[Age Band Code]]&amp;"; "&amp;S1380&amp;AS[[#This Row],[Sex Code]]</f>
        <v xml:space="preserve">Insurer Code ; Reporting Year ; Insurance Category Code ; Large Provider Entity Code ; Age Band Code ; Sex Code </v>
      </c>
      <c r="N1380" s="297" t="s">
        <v>197</v>
      </c>
      <c r="O1380" s="297" t="s">
        <v>198</v>
      </c>
      <c r="P1380" s="297" t="s">
        <v>199</v>
      </c>
      <c r="Q1380" s="297" t="s">
        <v>200</v>
      </c>
      <c r="R1380" s="297" t="s">
        <v>213</v>
      </c>
      <c r="S1380" s="297" t="s">
        <v>214</v>
      </c>
    </row>
    <row r="1381" spans="1:19" x14ac:dyDescent="0.4">
      <c r="A1381" s="291"/>
      <c r="B1381" s="292"/>
      <c r="C1381" s="312"/>
      <c r="D1381" s="292"/>
      <c r="E1381" s="489"/>
      <c r="F1381" s="489"/>
      <c r="G1381" s="490"/>
      <c r="H1381" s="520"/>
      <c r="I1381" s="523"/>
      <c r="J1381" s="521"/>
      <c r="K1381" s="522"/>
      <c r="M1381" s="301" t="str">
        <f>N1381&amp;AS[[#This Row],[Insurer Code]]&amp;"; "&amp;O1381&amp;AS[[#This Row],[Reporting Year]]&amp;"; "&amp;P1381&amp;AS[[#This Row],[Insurance Category Code]]&amp;"; "&amp;Q1381&amp;AS[[#This Row],[Large Provider Entity Code]]&amp;"; "&amp;R1381&amp;AS[[#This Row],[Age Band Code]]&amp;"; "&amp;S1381&amp;AS[[#This Row],[Sex Code]]</f>
        <v xml:space="preserve">Insurer Code ; Reporting Year ; Insurance Category Code ; Large Provider Entity Code ; Age Band Code ; Sex Code </v>
      </c>
      <c r="N1381" s="297" t="s">
        <v>197</v>
      </c>
      <c r="O1381" s="297" t="s">
        <v>198</v>
      </c>
      <c r="P1381" s="297" t="s">
        <v>199</v>
      </c>
      <c r="Q1381" s="297" t="s">
        <v>200</v>
      </c>
      <c r="R1381" s="297" t="s">
        <v>213</v>
      </c>
      <c r="S1381" s="297" t="s">
        <v>214</v>
      </c>
    </row>
    <row r="1382" spans="1:19" x14ac:dyDescent="0.4">
      <c r="A1382" s="291"/>
      <c r="B1382" s="292"/>
      <c r="C1382" s="312"/>
      <c r="D1382" s="292"/>
      <c r="E1382" s="489"/>
      <c r="F1382" s="489"/>
      <c r="G1382" s="490"/>
      <c r="H1382" s="520"/>
      <c r="I1382" s="523"/>
      <c r="J1382" s="521"/>
      <c r="K1382" s="522"/>
      <c r="M1382" s="301" t="str">
        <f>N1382&amp;AS[[#This Row],[Insurer Code]]&amp;"; "&amp;O1382&amp;AS[[#This Row],[Reporting Year]]&amp;"; "&amp;P1382&amp;AS[[#This Row],[Insurance Category Code]]&amp;"; "&amp;Q1382&amp;AS[[#This Row],[Large Provider Entity Code]]&amp;"; "&amp;R1382&amp;AS[[#This Row],[Age Band Code]]&amp;"; "&amp;S1382&amp;AS[[#This Row],[Sex Code]]</f>
        <v xml:space="preserve">Insurer Code ; Reporting Year ; Insurance Category Code ; Large Provider Entity Code ; Age Band Code ; Sex Code </v>
      </c>
      <c r="N1382" s="297" t="s">
        <v>197</v>
      </c>
      <c r="O1382" s="297" t="s">
        <v>198</v>
      </c>
      <c r="P1382" s="297" t="s">
        <v>199</v>
      </c>
      <c r="Q1382" s="297" t="s">
        <v>200</v>
      </c>
      <c r="R1382" s="297" t="s">
        <v>213</v>
      </c>
      <c r="S1382" s="297" t="s">
        <v>214</v>
      </c>
    </row>
    <row r="1383" spans="1:19" x14ac:dyDescent="0.4">
      <c r="A1383" s="291"/>
      <c r="B1383" s="292"/>
      <c r="C1383" s="312"/>
      <c r="D1383" s="292"/>
      <c r="E1383" s="489"/>
      <c r="F1383" s="489"/>
      <c r="G1383" s="490"/>
      <c r="H1383" s="520"/>
      <c r="I1383" s="523"/>
      <c r="J1383" s="521"/>
      <c r="K1383" s="522"/>
      <c r="M1383" s="301" t="str">
        <f>N1383&amp;AS[[#This Row],[Insurer Code]]&amp;"; "&amp;O1383&amp;AS[[#This Row],[Reporting Year]]&amp;"; "&amp;P1383&amp;AS[[#This Row],[Insurance Category Code]]&amp;"; "&amp;Q1383&amp;AS[[#This Row],[Large Provider Entity Code]]&amp;"; "&amp;R1383&amp;AS[[#This Row],[Age Band Code]]&amp;"; "&amp;S1383&amp;AS[[#This Row],[Sex Code]]</f>
        <v xml:space="preserve">Insurer Code ; Reporting Year ; Insurance Category Code ; Large Provider Entity Code ; Age Band Code ; Sex Code </v>
      </c>
      <c r="N1383" s="297" t="s">
        <v>197</v>
      </c>
      <c r="O1383" s="297" t="s">
        <v>198</v>
      </c>
      <c r="P1383" s="297" t="s">
        <v>199</v>
      </c>
      <c r="Q1383" s="297" t="s">
        <v>200</v>
      </c>
      <c r="R1383" s="297" t="s">
        <v>213</v>
      </c>
      <c r="S1383" s="297" t="s">
        <v>214</v>
      </c>
    </row>
    <row r="1384" spans="1:19" x14ac:dyDescent="0.4">
      <c r="A1384" s="291"/>
      <c r="B1384" s="292"/>
      <c r="C1384" s="312"/>
      <c r="D1384" s="292"/>
      <c r="E1384" s="489"/>
      <c r="F1384" s="489"/>
      <c r="G1384" s="490"/>
      <c r="H1384" s="520"/>
      <c r="I1384" s="523"/>
      <c r="J1384" s="521"/>
      <c r="K1384" s="522"/>
      <c r="M1384" s="301" t="str">
        <f>N1384&amp;AS[[#This Row],[Insurer Code]]&amp;"; "&amp;O1384&amp;AS[[#This Row],[Reporting Year]]&amp;"; "&amp;P1384&amp;AS[[#This Row],[Insurance Category Code]]&amp;"; "&amp;Q1384&amp;AS[[#This Row],[Large Provider Entity Code]]&amp;"; "&amp;R1384&amp;AS[[#This Row],[Age Band Code]]&amp;"; "&amp;S1384&amp;AS[[#This Row],[Sex Code]]</f>
        <v xml:space="preserve">Insurer Code ; Reporting Year ; Insurance Category Code ; Large Provider Entity Code ; Age Band Code ; Sex Code </v>
      </c>
      <c r="N1384" s="297" t="s">
        <v>197</v>
      </c>
      <c r="O1384" s="297" t="s">
        <v>198</v>
      </c>
      <c r="P1384" s="297" t="s">
        <v>199</v>
      </c>
      <c r="Q1384" s="297" t="s">
        <v>200</v>
      </c>
      <c r="R1384" s="297" t="s">
        <v>213</v>
      </c>
      <c r="S1384" s="297" t="s">
        <v>214</v>
      </c>
    </row>
    <row r="1385" spans="1:19" x14ac:dyDescent="0.4">
      <c r="A1385" s="291"/>
      <c r="B1385" s="292"/>
      <c r="C1385" s="312"/>
      <c r="D1385" s="292"/>
      <c r="E1385" s="489"/>
      <c r="F1385" s="489"/>
      <c r="G1385" s="490"/>
      <c r="H1385" s="520"/>
      <c r="I1385" s="523"/>
      <c r="J1385" s="521"/>
      <c r="K1385" s="522"/>
      <c r="M1385" s="301" t="str">
        <f>N1385&amp;AS[[#This Row],[Insurer Code]]&amp;"; "&amp;O1385&amp;AS[[#This Row],[Reporting Year]]&amp;"; "&amp;P1385&amp;AS[[#This Row],[Insurance Category Code]]&amp;"; "&amp;Q1385&amp;AS[[#This Row],[Large Provider Entity Code]]&amp;"; "&amp;R1385&amp;AS[[#This Row],[Age Band Code]]&amp;"; "&amp;S1385&amp;AS[[#This Row],[Sex Code]]</f>
        <v xml:space="preserve">Insurer Code ; Reporting Year ; Insurance Category Code ; Large Provider Entity Code ; Age Band Code ; Sex Code </v>
      </c>
      <c r="N1385" s="297" t="s">
        <v>197</v>
      </c>
      <c r="O1385" s="297" t="s">
        <v>198</v>
      </c>
      <c r="P1385" s="297" t="s">
        <v>199</v>
      </c>
      <c r="Q1385" s="297" t="s">
        <v>200</v>
      </c>
      <c r="R1385" s="297" t="s">
        <v>213</v>
      </c>
      <c r="S1385" s="297" t="s">
        <v>214</v>
      </c>
    </row>
    <row r="1386" spans="1:19" x14ac:dyDescent="0.4">
      <c r="A1386" s="291"/>
      <c r="B1386" s="292"/>
      <c r="C1386" s="312"/>
      <c r="D1386" s="292"/>
      <c r="E1386" s="489"/>
      <c r="F1386" s="489"/>
      <c r="G1386" s="490"/>
      <c r="H1386" s="520"/>
      <c r="I1386" s="523"/>
      <c r="J1386" s="521"/>
      <c r="K1386" s="522"/>
      <c r="M1386" s="301" t="str">
        <f>N1386&amp;AS[[#This Row],[Insurer Code]]&amp;"; "&amp;O1386&amp;AS[[#This Row],[Reporting Year]]&amp;"; "&amp;P1386&amp;AS[[#This Row],[Insurance Category Code]]&amp;"; "&amp;Q1386&amp;AS[[#This Row],[Large Provider Entity Code]]&amp;"; "&amp;R1386&amp;AS[[#This Row],[Age Band Code]]&amp;"; "&amp;S1386&amp;AS[[#This Row],[Sex Code]]</f>
        <v xml:space="preserve">Insurer Code ; Reporting Year ; Insurance Category Code ; Large Provider Entity Code ; Age Band Code ; Sex Code </v>
      </c>
      <c r="N1386" s="297" t="s">
        <v>197</v>
      </c>
      <c r="O1386" s="297" t="s">
        <v>198</v>
      </c>
      <c r="P1386" s="297" t="s">
        <v>199</v>
      </c>
      <c r="Q1386" s="297" t="s">
        <v>200</v>
      </c>
      <c r="R1386" s="297" t="s">
        <v>213</v>
      </c>
      <c r="S1386" s="297" t="s">
        <v>214</v>
      </c>
    </row>
    <row r="1387" spans="1:19" x14ac:dyDescent="0.4">
      <c r="A1387" s="291"/>
      <c r="B1387" s="292"/>
      <c r="C1387" s="312"/>
      <c r="D1387" s="292"/>
      <c r="E1387" s="489"/>
      <c r="F1387" s="489"/>
      <c r="G1387" s="490"/>
      <c r="H1387" s="520"/>
      <c r="I1387" s="523"/>
      <c r="J1387" s="521"/>
      <c r="K1387" s="522"/>
      <c r="M1387" s="301" t="str">
        <f>N1387&amp;AS[[#This Row],[Insurer Code]]&amp;"; "&amp;O1387&amp;AS[[#This Row],[Reporting Year]]&amp;"; "&amp;P1387&amp;AS[[#This Row],[Insurance Category Code]]&amp;"; "&amp;Q1387&amp;AS[[#This Row],[Large Provider Entity Code]]&amp;"; "&amp;R1387&amp;AS[[#This Row],[Age Band Code]]&amp;"; "&amp;S1387&amp;AS[[#This Row],[Sex Code]]</f>
        <v xml:space="preserve">Insurer Code ; Reporting Year ; Insurance Category Code ; Large Provider Entity Code ; Age Band Code ; Sex Code </v>
      </c>
      <c r="N1387" s="297" t="s">
        <v>197</v>
      </c>
      <c r="O1387" s="297" t="s">
        <v>198</v>
      </c>
      <c r="P1387" s="297" t="s">
        <v>199</v>
      </c>
      <c r="Q1387" s="297" t="s">
        <v>200</v>
      </c>
      <c r="R1387" s="297" t="s">
        <v>213</v>
      </c>
      <c r="S1387" s="297" t="s">
        <v>214</v>
      </c>
    </row>
    <row r="1388" spans="1:19" x14ac:dyDescent="0.4">
      <c r="A1388" s="291"/>
      <c r="B1388" s="292"/>
      <c r="C1388" s="312"/>
      <c r="D1388" s="292"/>
      <c r="E1388" s="489"/>
      <c r="F1388" s="489"/>
      <c r="G1388" s="490"/>
      <c r="H1388" s="520"/>
      <c r="I1388" s="523"/>
      <c r="J1388" s="521"/>
      <c r="K1388" s="522"/>
      <c r="M1388" s="301" t="str">
        <f>N1388&amp;AS[[#This Row],[Insurer Code]]&amp;"; "&amp;O1388&amp;AS[[#This Row],[Reporting Year]]&amp;"; "&amp;P1388&amp;AS[[#This Row],[Insurance Category Code]]&amp;"; "&amp;Q1388&amp;AS[[#This Row],[Large Provider Entity Code]]&amp;"; "&amp;R1388&amp;AS[[#This Row],[Age Band Code]]&amp;"; "&amp;S1388&amp;AS[[#This Row],[Sex Code]]</f>
        <v xml:space="preserve">Insurer Code ; Reporting Year ; Insurance Category Code ; Large Provider Entity Code ; Age Band Code ; Sex Code </v>
      </c>
      <c r="N1388" s="297" t="s">
        <v>197</v>
      </c>
      <c r="O1388" s="297" t="s">
        <v>198</v>
      </c>
      <c r="P1388" s="297" t="s">
        <v>199</v>
      </c>
      <c r="Q1388" s="297" t="s">
        <v>200</v>
      </c>
      <c r="R1388" s="297" t="s">
        <v>213</v>
      </c>
      <c r="S1388" s="297" t="s">
        <v>214</v>
      </c>
    </row>
    <row r="1389" spans="1:19" x14ac:dyDescent="0.4">
      <c r="A1389" s="291"/>
      <c r="B1389" s="292"/>
      <c r="C1389" s="312"/>
      <c r="D1389" s="292"/>
      <c r="E1389" s="489"/>
      <c r="F1389" s="489"/>
      <c r="G1389" s="490"/>
      <c r="H1389" s="520"/>
      <c r="I1389" s="523"/>
      <c r="J1389" s="521"/>
      <c r="K1389" s="522"/>
      <c r="M1389" s="301" t="str">
        <f>N1389&amp;AS[[#This Row],[Insurer Code]]&amp;"; "&amp;O1389&amp;AS[[#This Row],[Reporting Year]]&amp;"; "&amp;P1389&amp;AS[[#This Row],[Insurance Category Code]]&amp;"; "&amp;Q1389&amp;AS[[#This Row],[Large Provider Entity Code]]&amp;"; "&amp;R1389&amp;AS[[#This Row],[Age Band Code]]&amp;"; "&amp;S1389&amp;AS[[#This Row],[Sex Code]]</f>
        <v xml:space="preserve">Insurer Code ; Reporting Year ; Insurance Category Code ; Large Provider Entity Code ; Age Band Code ; Sex Code </v>
      </c>
      <c r="N1389" s="297" t="s">
        <v>197</v>
      </c>
      <c r="O1389" s="297" t="s">
        <v>198</v>
      </c>
      <c r="P1389" s="297" t="s">
        <v>199</v>
      </c>
      <c r="Q1389" s="297" t="s">
        <v>200</v>
      </c>
      <c r="R1389" s="297" t="s">
        <v>213</v>
      </c>
      <c r="S1389" s="297" t="s">
        <v>214</v>
      </c>
    </row>
    <row r="1390" spans="1:19" x14ac:dyDescent="0.4">
      <c r="A1390" s="291"/>
      <c r="B1390" s="292"/>
      <c r="C1390" s="312"/>
      <c r="D1390" s="292"/>
      <c r="E1390" s="489"/>
      <c r="F1390" s="489"/>
      <c r="G1390" s="490"/>
      <c r="H1390" s="520"/>
      <c r="I1390" s="523"/>
      <c r="J1390" s="521"/>
      <c r="K1390" s="522"/>
      <c r="M1390" s="301" t="str">
        <f>N1390&amp;AS[[#This Row],[Insurer Code]]&amp;"; "&amp;O1390&amp;AS[[#This Row],[Reporting Year]]&amp;"; "&amp;P1390&amp;AS[[#This Row],[Insurance Category Code]]&amp;"; "&amp;Q1390&amp;AS[[#This Row],[Large Provider Entity Code]]&amp;"; "&amp;R1390&amp;AS[[#This Row],[Age Band Code]]&amp;"; "&amp;S1390&amp;AS[[#This Row],[Sex Code]]</f>
        <v xml:space="preserve">Insurer Code ; Reporting Year ; Insurance Category Code ; Large Provider Entity Code ; Age Band Code ; Sex Code </v>
      </c>
      <c r="N1390" s="297" t="s">
        <v>197</v>
      </c>
      <c r="O1390" s="297" t="s">
        <v>198</v>
      </c>
      <c r="P1390" s="297" t="s">
        <v>199</v>
      </c>
      <c r="Q1390" s="297" t="s">
        <v>200</v>
      </c>
      <c r="R1390" s="297" t="s">
        <v>213</v>
      </c>
      <c r="S1390" s="297" t="s">
        <v>214</v>
      </c>
    </row>
    <row r="1391" spans="1:19" x14ac:dyDescent="0.4">
      <c r="A1391" s="291"/>
      <c r="B1391" s="292"/>
      <c r="C1391" s="312"/>
      <c r="D1391" s="292"/>
      <c r="E1391" s="489"/>
      <c r="F1391" s="489"/>
      <c r="G1391" s="490"/>
      <c r="H1391" s="520"/>
      <c r="I1391" s="523"/>
      <c r="J1391" s="521"/>
      <c r="K1391" s="522"/>
      <c r="M1391" s="301" t="str">
        <f>N1391&amp;AS[[#This Row],[Insurer Code]]&amp;"; "&amp;O1391&amp;AS[[#This Row],[Reporting Year]]&amp;"; "&amp;P1391&amp;AS[[#This Row],[Insurance Category Code]]&amp;"; "&amp;Q1391&amp;AS[[#This Row],[Large Provider Entity Code]]&amp;"; "&amp;R1391&amp;AS[[#This Row],[Age Band Code]]&amp;"; "&amp;S1391&amp;AS[[#This Row],[Sex Code]]</f>
        <v xml:space="preserve">Insurer Code ; Reporting Year ; Insurance Category Code ; Large Provider Entity Code ; Age Band Code ; Sex Code </v>
      </c>
      <c r="N1391" s="297" t="s">
        <v>197</v>
      </c>
      <c r="O1391" s="297" t="s">
        <v>198</v>
      </c>
      <c r="P1391" s="297" t="s">
        <v>199</v>
      </c>
      <c r="Q1391" s="297" t="s">
        <v>200</v>
      </c>
      <c r="R1391" s="297" t="s">
        <v>213</v>
      </c>
      <c r="S1391" s="297" t="s">
        <v>214</v>
      </c>
    </row>
    <row r="1392" spans="1:19" x14ac:dyDescent="0.4">
      <c r="A1392" s="291"/>
      <c r="B1392" s="292"/>
      <c r="C1392" s="312"/>
      <c r="D1392" s="292"/>
      <c r="E1392" s="489"/>
      <c r="F1392" s="489"/>
      <c r="G1392" s="490"/>
      <c r="H1392" s="520"/>
      <c r="I1392" s="523"/>
      <c r="J1392" s="521"/>
      <c r="K1392" s="522"/>
      <c r="M1392" s="301" t="str">
        <f>N1392&amp;AS[[#This Row],[Insurer Code]]&amp;"; "&amp;O1392&amp;AS[[#This Row],[Reporting Year]]&amp;"; "&amp;P1392&amp;AS[[#This Row],[Insurance Category Code]]&amp;"; "&amp;Q1392&amp;AS[[#This Row],[Large Provider Entity Code]]&amp;"; "&amp;R1392&amp;AS[[#This Row],[Age Band Code]]&amp;"; "&amp;S1392&amp;AS[[#This Row],[Sex Code]]</f>
        <v xml:space="preserve">Insurer Code ; Reporting Year ; Insurance Category Code ; Large Provider Entity Code ; Age Band Code ; Sex Code </v>
      </c>
      <c r="N1392" s="297" t="s">
        <v>197</v>
      </c>
      <c r="O1392" s="297" t="s">
        <v>198</v>
      </c>
      <c r="P1392" s="297" t="s">
        <v>199</v>
      </c>
      <c r="Q1392" s="297" t="s">
        <v>200</v>
      </c>
      <c r="R1392" s="297" t="s">
        <v>213</v>
      </c>
      <c r="S1392" s="297" t="s">
        <v>214</v>
      </c>
    </row>
    <row r="1393" spans="1:19" x14ac:dyDescent="0.4">
      <c r="A1393" s="291"/>
      <c r="B1393" s="292"/>
      <c r="C1393" s="312"/>
      <c r="D1393" s="292"/>
      <c r="E1393" s="489"/>
      <c r="F1393" s="489"/>
      <c r="G1393" s="490"/>
      <c r="H1393" s="520"/>
      <c r="I1393" s="523"/>
      <c r="J1393" s="521"/>
      <c r="K1393" s="522"/>
      <c r="M1393" s="301" t="str">
        <f>N1393&amp;AS[[#This Row],[Insurer Code]]&amp;"; "&amp;O1393&amp;AS[[#This Row],[Reporting Year]]&amp;"; "&amp;P1393&amp;AS[[#This Row],[Insurance Category Code]]&amp;"; "&amp;Q1393&amp;AS[[#This Row],[Large Provider Entity Code]]&amp;"; "&amp;R1393&amp;AS[[#This Row],[Age Band Code]]&amp;"; "&amp;S1393&amp;AS[[#This Row],[Sex Code]]</f>
        <v xml:space="preserve">Insurer Code ; Reporting Year ; Insurance Category Code ; Large Provider Entity Code ; Age Band Code ; Sex Code </v>
      </c>
      <c r="N1393" s="297" t="s">
        <v>197</v>
      </c>
      <c r="O1393" s="297" t="s">
        <v>198</v>
      </c>
      <c r="P1393" s="297" t="s">
        <v>199</v>
      </c>
      <c r="Q1393" s="297" t="s">
        <v>200</v>
      </c>
      <c r="R1393" s="297" t="s">
        <v>213</v>
      </c>
      <c r="S1393" s="297" t="s">
        <v>214</v>
      </c>
    </row>
    <row r="1394" spans="1:19" x14ac:dyDescent="0.4">
      <c r="A1394" s="291"/>
      <c r="B1394" s="292"/>
      <c r="C1394" s="312"/>
      <c r="D1394" s="292"/>
      <c r="E1394" s="489"/>
      <c r="F1394" s="489"/>
      <c r="G1394" s="490"/>
      <c r="H1394" s="520"/>
      <c r="I1394" s="523"/>
      <c r="J1394" s="521"/>
      <c r="K1394" s="522"/>
      <c r="M1394" s="301" t="str">
        <f>N1394&amp;AS[[#This Row],[Insurer Code]]&amp;"; "&amp;O1394&amp;AS[[#This Row],[Reporting Year]]&amp;"; "&amp;P1394&amp;AS[[#This Row],[Insurance Category Code]]&amp;"; "&amp;Q1394&amp;AS[[#This Row],[Large Provider Entity Code]]&amp;"; "&amp;R1394&amp;AS[[#This Row],[Age Band Code]]&amp;"; "&amp;S1394&amp;AS[[#This Row],[Sex Code]]</f>
        <v xml:space="preserve">Insurer Code ; Reporting Year ; Insurance Category Code ; Large Provider Entity Code ; Age Band Code ; Sex Code </v>
      </c>
      <c r="N1394" s="297" t="s">
        <v>197</v>
      </c>
      <c r="O1394" s="297" t="s">
        <v>198</v>
      </c>
      <c r="P1394" s="297" t="s">
        <v>199</v>
      </c>
      <c r="Q1394" s="297" t="s">
        <v>200</v>
      </c>
      <c r="R1394" s="297" t="s">
        <v>213</v>
      </c>
      <c r="S1394" s="297" t="s">
        <v>214</v>
      </c>
    </row>
    <row r="1395" spans="1:19" x14ac:dyDescent="0.4">
      <c r="A1395" s="291"/>
      <c r="B1395" s="292"/>
      <c r="C1395" s="312"/>
      <c r="D1395" s="292"/>
      <c r="E1395" s="489"/>
      <c r="F1395" s="489"/>
      <c r="G1395" s="490"/>
      <c r="H1395" s="520"/>
      <c r="I1395" s="523"/>
      <c r="J1395" s="521"/>
      <c r="K1395" s="522"/>
      <c r="M1395" s="301" t="str">
        <f>N1395&amp;AS[[#This Row],[Insurer Code]]&amp;"; "&amp;O1395&amp;AS[[#This Row],[Reporting Year]]&amp;"; "&amp;P1395&amp;AS[[#This Row],[Insurance Category Code]]&amp;"; "&amp;Q1395&amp;AS[[#This Row],[Large Provider Entity Code]]&amp;"; "&amp;R1395&amp;AS[[#This Row],[Age Band Code]]&amp;"; "&amp;S1395&amp;AS[[#This Row],[Sex Code]]</f>
        <v xml:space="preserve">Insurer Code ; Reporting Year ; Insurance Category Code ; Large Provider Entity Code ; Age Band Code ; Sex Code </v>
      </c>
      <c r="N1395" s="297" t="s">
        <v>197</v>
      </c>
      <c r="O1395" s="297" t="s">
        <v>198</v>
      </c>
      <c r="P1395" s="297" t="s">
        <v>199</v>
      </c>
      <c r="Q1395" s="297" t="s">
        <v>200</v>
      </c>
      <c r="R1395" s="297" t="s">
        <v>213</v>
      </c>
      <c r="S1395" s="297" t="s">
        <v>214</v>
      </c>
    </row>
    <row r="1396" spans="1:19" x14ac:dyDescent="0.4">
      <c r="A1396" s="291"/>
      <c r="B1396" s="292"/>
      <c r="C1396" s="312"/>
      <c r="D1396" s="292"/>
      <c r="E1396" s="489"/>
      <c r="F1396" s="489"/>
      <c r="G1396" s="490"/>
      <c r="H1396" s="520"/>
      <c r="I1396" s="523"/>
      <c r="J1396" s="521"/>
      <c r="K1396" s="522"/>
      <c r="M1396" s="301" t="str">
        <f>N1396&amp;AS[[#This Row],[Insurer Code]]&amp;"; "&amp;O1396&amp;AS[[#This Row],[Reporting Year]]&amp;"; "&amp;P1396&amp;AS[[#This Row],[Insurance Category Code]]&amp;"; "&amp;Q1396&amp;AS[[#This Row],[Large Provider Entity Code]]&amp;"; "&amp;R1396&amp;AS[[#This Row],[Age Band Code]]&amp;"; "&amp;S1396&amp;AS[[#This Row],[Sex Code]]</f>
        <v xml:space="preserve">Insurer Code ; Reporting Year ; Insurance Category Code ; Large Provider Entity Code ; Age Band Code ; Sex Code </v>
      </c>
      <c r="N1396" s="297" t="s">
        <v>197</v>
      </c>
      <c r="O1396" s="297" t="s">
        <v>198</v>
      </c>
      <c r="P1396" s="297" t="s">
        <v>199</v>
      </c>
      <c r="Q1396" s="297" t="s">
        <v>200</v>
      </c>
      <c r="R1396" s="297" t="s">
        <v>213</v>
      </c>
      <c r="S1396" s="297" t="s">
        <v>214</v>
      </c>
    </row>
    <row r="1397" spans="1:19" x14ac:dyDescent="0.4">
      <c r="A1397" s="291"/>
      <c r="B1397" s="292"/>
      <c r="C1397" s="312"/>
      <c r="D1397" s="292"/>
      <c r="E1397" s="489"/>
      <c r="F1397" s="489"/>
      <c r="G1397" s="490"/>
      <c r="H1397" s="520"/>
      <c r="I1397" s="523"/>
      <c r="J1397" s="521"/>
      <c r="K1397" s="522"/>
      <c r="M1397" s="301" t="str">
        <f>N1397&amp;AS[[#This Row],[Insurer Code]]&amp;"; "&amp;O1397&amp;AS[[#This Row],[Reporting Year]]&amp;"; "&amp;P1397&amp;AS[[#This Row],[Insurance Category Code]]&amp;"; "&amp;Q1397&amp;AS[[#This Row],[Large Provider Entity Code]]&amp;"; "&amp;R1397&amp;AS[[#This Row],[Age Band Code]]&amp;"; "&amp;S1397&amp;AS[[#This Row],[Sex Code]]</f>
        <v xml:space="preserve">Insurer Code ; Reporting Year ; Insurance Category Code ; Large Provider Entity Code ; Age Band Code ; Sex Code </v>
      </c>
      <c r="N1397" s="297" t="s">
        <v>197</v>
      </c>
      <c r="O1397" s="297" t="s">
        <v>198</v>
      </c>
      <c r="P1397" s="297" t="s">
        <v>199</v>
      </c>
      <c r="Q1397" s="297" t="s">
        <v>200</v>
      </c>
      <c r="R1397" s="297" t="s">
        <v>213</v>
      </c>
      <c r="S1397" s="297" t="s">
        <v>214</v>
      </c>
    </row>
    <row r="1398" spans="1:19" x14ac:dyDescent="0.4">
      <c r="A1398" s="291"/>
      <c r="B1398" s="292"/>
      <c r="C1398" s="312"/>
      <c r="D1398" s="292"/>
      <c r="E1398" s="489"/>
      <c r="F1398" s="489"/>
      <c r="G1398" s="490"/>
      <c r="H1398" s="520"/>
      <c r="I1398" s="523"/>
      <c r="J1398" s="521"/>
      <c r="K1398" s="522"/>
      <c r="M1398" s="301" t="str">
        <f>N1398&amp;AS[[#This Row],[Insurer Code]]&amp;"; "&amp;O1398&amp;AS[[#This Row],[Reporting Year]]&amp;"; "&amp;P1398&amp;AS[[#This Row],[Insurance Category Code]]&amp;"; "&amp;Q1398&amp;AS[[#This Row],[Large Provider Entity Code]]&amp;"; "&amp;R1398&amp;AS[[#This Row],[Age Band Code]]&amp;"; "&amp;S1398&amp;AS[[#This Row],[Sex Code]]</f>
        <v xml:space="preserve">Insurer Code ; Reporting Year ; Insurance Category Code ; Large Provider Entity Code ; Age Band Code ; Sex Code </v>
      </c>
      <c r="N1398" s="297" t="s">
        <v>197</v>
      </c>
      <c r="O1398" s="297" t="s">
        <v>198</v>
      </c>
      <c r="P1398" s="297" t="s">
        <v>199</v>
      </c>
      <c r="Q1398" s="297" t="s">
        <v>200</v>
      </c>
      <c r="R1398" s="297" t="s">
        <v>213</v>
      </c>
      <c r="S1398" s="297" t="s">
        <v>214</v>
      </c>
    </row>
    <row r="1399" spans="1:19" x14ac:dyDescent="0.4">
      <c r="A1399" s="291"/>
      <c r="B1399" s="292"/>
      <c r="C1399" s="312"/>
      <c r="D1399" s="292"/>
      <c r="E1399" s="489"/>
      <c r="F1399" s="489"/>
      <c r="G1399" s="490"/>
      <c r="H1399" s="520"/>
      <c r="I1399" s="523"/>
      <c r="J1399" s="521"/>
      <c r="K1399" s="522"/>
      <c r="M1399" s="301" t="str">
        <f>N1399&amp;AS[[#This Row],[Insurer Code]]&amp;"; "&amp;O1399&amp;AS[[#This Row],[Reporting Year]]&amp;"; "&amp;P1399&amp;AS[[#This Row],[Insurance Category Code]]&amp;"; "&amp;Q1399&amp;AS[[#This Row],[Large Provider Entity Code]]&amp;"; "&amp;R1399&amp;AS[[#This Row],[Age Band Code]]&amp;"; "&amp;S1399&amp;AS[[#This Row],[Sex Code]]</f>
        <v xml:space="preserve">Insurer Code ; Reporting Year ; Insurance Category Code ; Large Provider Entity Code ; Age Band Code ; Sex Code </v>
      </c>
      <c r="N1399" s="297" t="s">
        <v>197</v>
      </c>
      <c r="O1399" s="297" t="s">
        <v>198</v>
      </c>
      <c r="P1399" s="297" t="s">
        <v>199</v>
      </c>
      <c r="Q1399" s="297" t="s">
        <v>200</v>
      </c>
      <c r="R1399" s="297" t="s">
        <v>213</v>
      </c>
      <c r="S1399" s="297" t="s">
        <v>214</v>
      </c>
    </row>
    <row r="1400" spans="1:19" x14ac:dyDescent="0.4">
      <c r="A1400" s="291"/>
      <c r="B1400" s="292"/>
      <c r="C1400" s="312"/>
      <c r="D1400" s="292"/>
      <c r="E1400" s="489"/>
      <c r="F1400" s="489"/>
      <c r="G1400" s="490"/>
      <c r="H1400" s="520"/>
      <c r="I1400" s="523"/>
      <c r="J1400" s="521"/>
      <c r="K1400" s="522"/>
      <c r="M1400" s="301" t="str">
        <f>N1400&amp;AS[[#This Row],[Insurer Code]]&amp;"; "&amp;O1400&amp;AS[[#This Row],[Reporting Year]]&amp;"; "&amp;P1400&amp;AS[[#This Row],[Insurance Category Code]]&amp;"; "&amp;Q1400&amp;AS[[#This Row],[Large Provider Entity Code]]&amp;"; "&amp;R1400&amp;AS[[#This Row],[Age Band Code]]&amp;"; "&amp;S1400&amp;AS[[#This Row],[Sex Code]]</f>
        <v xml:space="preserve">Insurer Code ; Reporting Year ; Insurance Category Code ; Large Provider Entity Code ; Age Band Code ; Sex Code </v>
      </c>
      <c r="N1400" s="297" t="s">
        <v>197</v>
      </c>
      <c r="O1400" s="297" t="s">
        <v>198</v>
      </c>
      <c r="P1400" s="297" t="s">
        <v>199</v>
      </c>
      <c r="Q1400" s="297" t="s">
        <v>200</v>
      </c>
      <c r="R1400" s="297" t="s">
        <v>213</v>
      </c>
      <c r="S1400" s="297" t="s">
        <v>214</v>
      </c>
    </row>
    <row r="1401" spans="1:19" x14ac:dyDescent="0.4">
      <c r="A1401" s="291"/>
      <c r="B1401" s="292"/>
      <c r="C1401" s="312"/>
      <c r="D1401" s="292"/>
      <c r="E1401" s="489"/>
      <c r="F1401" s="489"/>
      <c r="G1401" s="490"/>
      <c r="H1401" s="520"/>
      <c r="I1401" s="523"/>
      <c r="J1401" s="521"/>
      <c r="K1401" s="522"/>
      <c r="M1401" s="301" t="str">
        <f>N1401&amp;AS[[#This Row],[Insurer Code]]&amp;"; "&amp;O1401&amp;AS[[#This Row],[Reporting Year]]&amp;"; "&amp;P1401&amp;AS[[#This Row],[Insurance Category Code]]&amp;"; "&amp;Q1401&amp;AS[[#This Row],[Large Provider Entity Code]]&amp;"; "&amp;R1401&amp;AS[[#This Row],[Age Band Code]]&amp;"; "&amp;S1401&amp;AS[[#This Row],[Sex Code]]</f>
        <v xml:space="preserve">Insurer Code ; Reporting Year ; Insurance Category Code ; Large Provider Entity Code ; Age Band Code ; Sex Code </v>
      </c>
      <c r="N1401" s="297" t="s">
        <v>197</v>
      </c>
      <c r="O1401" s="297" t="s">
        <v>198</v>
      </c>
      <c r="P1401" s="297" t="s">
        <v>199</v>
      </c>
      <c r="Q1401" s="297" t="s">
        <v>200</v>
      </c>
      <c r="R1401" s="297" t="s">
        <v>213</v>
      </c>
      <c r="S1401" s="297" t="s">
        <v>214</v>
      </c>
    </row>
    <row r="1402" spans="1:19" x14ac:dyDescent="0.4">
      <c r="A1402" s="291"/>
      <c r="B1402" s="292"/>
      <c r="C1402" s="312"/>
      <c r="D1402" s="292"/>
      <c r="E1402" s="489"/>
      <c r="F1402" s="489"/>
      <c r="G1402" s="490"/>
      <c r="H1402" s="520"/>
      <c r="I1402" s="523"/>
      <c r="J1402" s="521"/>
      <c r="K1402" s="522"/>
      <c r="M1402" s="301" t="str">
        <f>N1402&amp;AS[[#This Row],[Insurer Code]]&amp;"; "&amp;O1402&amp;AS[[#This Row],[Reporting Year]]&amp;"; "&amp;P1402&amp;AS[[#This Row],[Insurance Category Code]]&amp;"; "&amp;Q1402&amp;AS[[#This Row],[Large Provider Entity Code]]&amp;"; "&amp;R1402&amp;AS[[#This Row],[Age Band Code]]&amp;"; "&amp;S1402&amp;AS[[#This Row],[Sex Code]]</f>
        <v xml:space="preserve">Insurer Code ; Reporting Year ; Insurance Category Code ; Large Provider Entity Code ; Age Band Code ; Sex Code </v>
      </c>
      <c r="N1402" s="297" t="s">
        <v>197</v>
      </c>
      <c r="O1402" s="297" t="s">
        <v>198</v>
      </c>
      <c r="P1402" s="297" t="s">
        <v>199</v>
      </c>
      <c r="Q1402" s="297" t="s">
        <v>200</v>
      </c>
      <c r="R1402" s="297" t="s">
        <v>213</v>
      </c>
      <c r="S1402" s="297" t="s">
        <v>214</v>
      </c>
    </row>
    <row r="1403" spans="1:19" x14ac:dyDescent="0.4">
      <c r="A1403" s="291"/>
      <c r="B1403" s="292"/>
      <c r="C1403" s="312"/>
      <c r="D1403" s="292"/>
      <c r="E1403" s="489"/>
      <c r="F1403" s="489"/>
      <c r="G1403" s="490"/>
      <c r="H1403" s="520"/>
      <c r="I1403" s="523"/>
      <c r="J1403" s="521"/>
      <c r="K1403" s="522"/>
      <c r="M1403" s="301" t="str">
        <f>N1403&amp;AS[[#This Row],[Insurer Code]]&amp;"; "&amp;O1403&amp;AS[[#This Row],[Reporting Year]]&amp;"; "&amp;P1403&amp;AS[[#This Row],[Insurance Category Code]]&amp;"; "&amp;Q1403&amp;AS[[#This Row],[Large Provider Entity Code]]&amp;"; "&amp;R1403&amp;AS[[#This Row],[Age Band Code]]&amp;"; "&amp;S1403&amp;AS[[#This Row],[Sex Code]]</f>
        <v xml:space="preserve">Insurer Code ; Reporting Year ; Insurance Category Code ; Large Provider Entity Code ; Age Band Code ; Sex Code </v>
      </c>
      <c r="N1403" s="297" t="s">
        <v>197</v>
      </c>
      <c r="O1403" s="297" t="s">
        <v>198</v>
      </c>
      <c r="P1403" s="297" t="s">
        <v>199</v>
      </c>
      <c r="Q1403" s="297" t="s">
        <v>200</v>
      </c>
      <c r="R1403" s="297" t="s">
        <v>213</v>
      </c>
      <c r="S1403" s="297" t="s">
        <v>214</v>
      </c>
    </row>
    <row r="1404" spans="1:19" x14ac:dyDescent="0.4">
      <c r="A1404" s="291"/>
      <c r="B1404" s="292"/>
      <c r="C1404" s="312"/>
      <c r="D1404" s="292"/>
      <c r="E1404" s="489"/>
      <c r="F1404" s="489"/>
      <c r="G1404" s="490"/>
      <c r="H1404" s="520"/>
      <c r="I1404" s="523"/>
      <c r="J1404" s="521"/>
      <c r="K1404" s="522"/>
      <c r="M1404" s="301" t="str">
        <f>N1404&amp;AS[[#This Row],[Insurer Code]]&amp;"; "&amp;O1404&amp;AS[[#This Row],[Reporting Year]]&amp;"; "&amp;P1404&amp;AS[[#This Row],[Insurance Category Code]]&amp;"; "&amp;Q1404&amp;AS[[#This Row],[Large Provider Entity Code]]&amp;"; "&amp;R1404&amp;AS[[#This Row],[Age Band Code]]&amp;"; "&amp;S1404&amp;AS[[#This Row],[Sex Code]]</f>
        <v xml:space="preserve">Insurer Code ; Reporting Year ; Insurance Category Code ; Large Provider Entity Code ; Age Band Code ; Sex Code </v>
      </c>
      <c r="N1404" s="297" t="s">
        <v>197</v>
      </c>
      <c r="O1404" s="297" t="s">
        <v>198</v>
      </c>
      <c r="P1404" s="297" t="s">
        <v>199</v>
      </c>
      <c r="Q1404" s="297" t="s">
        <v>200</v>
      </c>
      <c r="R1404" s="297" t="s">
        <v>213</v>
      </c>
      <c r="S1404" s="297" t="s">
        <v>214</v>
      </c>
    </row>
    <row r="1405" spans="1:19" x14ac:dyDescent="0.4">
      <c r="A1405" s="291"/>
      <c r="B1405" s="292"/>
      <c r="C1405" s="312"/>
      <c r="D1405" s="292"/>
      <c r="E1405" s="489"/>
      <c r="F1405" s="489"/>
      <c r="G1405" s="490"/>
      <c r="H1405" s="520"/>
      <c r="I1405" s="523"/>
      <c r="J1405" s="521"/>
      <c r="K1405" s="522"/>
      <c r="M1405" s="301" t="str">
        <f>N1405&amp;AS[[#This Row],[Insurer Code]]&amp;"; "&amp;O1405&amp;AS[[#This Row],[Reporting Year]]&amp;"; "&amp;P1405&amp;AS[[#This Row],[Insurance Category Code]]&amp;"; "&amp;Q1405&amp;AS[[#This Row],[Large Provider Entity Code]]&amp;"; "&amp;R1405&amp;AS[[#This Row],[Age Band Code]]&amp;"; "&amp;S1405&amp;AS[[#This Row],[Sex Code]]</f>
        <v xml:space="preserve">Insurer Code ; Reporting Year ; Insurance Category Code ; Large Provider Entity Code ; Age Band Code ; Sex Code </v>
      </c>
      <c r="N1405" s="297" t="s">
        <v>197</v>
      </c>
      <c r="O1405" s="297" t="s">
        <v>198</v>
      </c>
      <c r="P1405" s="297" t="s">
        <v>199</v>
      </c>
      <c r="Q1405" s="297" t="s">
        <v>200</v>
      </c>
      <c r="R1405" s="297" t="s">
        <v>213</v>
      </c>
      <c r="S1405" s="297" t="s">
        <v>214</v>
      </c>
    </row>
    <row r="1406" spans="1:19" x14ac:dyDescent="0.4">
      <c r="A1406" s="291"/>
      <c r="B1406" s="292"/>
      <c r="C1406" s="312"/>
      <c r="D1406" s="292"/>
      <c r="E1406" s="489"/>
      <c r="F1406" s="489"/>
      <c r="G1406" s="490"/>
      <c r="H1406" s="520"/>
      <c r="I1406" s="523"/>
      <c r="J1406" s="521"/>
      <c r="K1406" s="522"/>
      <c r="M1406" s="301" t="str">
        <f>N1406&amp;AS[[#This Row],[Insurer Code]]&amp;"; "&amp;O1406&amp;AS[[#This Row],[Reporting Year]]&amp;"; "&amp;P1406&amp;AS[[#This Row],[Insurance Category Code]]&amp;"; "&amp;Q1406&amp;AS[[#This Row],[Large Provider Entity Code]]&amp;"; "&amp;R1406&amp;AS[[#This Row],[Age Band Code]]&amp;"; "&amp;S1406&amp;AS[[#This Row],[Sex Code]]</f>
        <v xml:space="preserve">Insurer Code ; Reporting Year ; Insurance Category Code ; Large Provider Entity Code ; Age Band Code ; Sex Code </v>
      </c>
      <c r="N1406" s="297" t="s">
        <v>197</v>
      </c>
      <c r="O1406" s="297" t="s">
        <v>198</v>
      </c>
      <c r="P1406" s="297" t="s">
        <v>199</v>
      </c>
      <c r="Q1406" s="297" t="s">
        <v>200</v>
      </c>
      <c r="R1406" s="297" t="s">
        <v>213</v>
      </c>
      <c r="S1406" s="297" t="s">
        <v>214</v>
      </c>
    </row>
    <row r="1407" spans="1:19" x14ac:dyDescent="0.4">
      <c r="A1407" s="291"/>
      <c r="B1407" s="292"/>
      <c r="C1407" s="312"/>
      <c r="D1407" s="292"/>
      <c r="E1407" s="489"/>
      <c r="F1407" s="489"/>
      <c r="G1407" s="490"/>
      <c r="H1407" s="520"/>
      <c r="I1407" s="523"/>
      <c r="J1407" s="521"/>
      <c r="K1407" s="522"/>
      <c r="M1407" s="301" t="str">
        <f>N1407&amp;AS[[#This Row],[Insurer Code]]&amp;"; "&amp;O1407&amp;AS[[#This Row],[Reporting Year]]&amp;"; "&amp;P1407&amp;AS[[#This Row],[Insurance Category Code]]&amp;"; "&amp;Q1407&amp;AS[[#This Row],[Large Provider Entity Code]]&amp;"; "&amp;R1407&amp;AS[[#This Row],[Age Band Code]]&amp;"; "&amp;S1407&amp;AS[[#This Row],[Sex Code]]</f>
        <v xml:space="preserve">Insurer Code ; Reporting Year ; Insurance Category Code ; Large Provider Entity Code ; Age Band Code ; Sex Code </v>
      </c>
      <c r="N1407" s="297" t="s">
        <v>197</v>
      </c>
      <c r="O1407" s="297" t="s">
        <v>198</v>
      </c>
      <c r="P1407" s="297" t="s">
        <v>199</v>
      </c>
      <c r="Q1407" s="297" t="s">
        <v>200</v>
      </c>
      <c r="R1407" s="297" t="s">
        <v>213</v>
      </c>
      <c r="S1407" s="297" t="s">
        <v>214</v>
      </c>
    </row>
    <row r="1408" spans="1:19" x14ac:dyDescent="0.4">
      <c r="A1408" s="291"/>
      <c r="B1408" s="292"/>
      <c r="C1408" s="312"/>
      <c r="D1408" s="292"/>
      <c r="E1408" s="489"/>
      <c r="F1408" s="489"/>
      <c r="G1408" s="490"/>
      <c r="H1408" s="520"/>
      <c r="I1408" s="523"/>
      <c r="J1408" s="521"/>
      <c r="K1408" s="522"/>
      <c r="M1408" s="301" t="str">
        <f>N1408&amp;AS[[#This Row],[Insurer Code]]&amp;"; "&amp;O1408&amp;AS[[#This Row],[Reporting Year]]&amp;"; "&amp;P1408&amp;AS[[#This Row],[Insurance Category Code]]&amp;"; "&amp;Q1408&amp;AS[[#This Row],[Large Provider Entity Code]]&amp;"; "&amp;R1408&amp;AS[[#This Row],[Age Band Code]]&amp;"; "&amp;S1408&amp;AS[[#This Row],[Sex Code]]</f>
        <v xml:space="preserve">Insurer Code ; Reporting Year ; Insurance Category Code ; Large Provider Entity Code ; Age Band Code ; Sex Code </v>
      </c>
      <c r="N1408" s="297" t="s">
        <v>197</v>
      </c>
      <c r="O1408" s="297" t="s">
        <v>198</v>
      </c>
      <c r="P1408" s="297" t="s">
        <v>199</v>
      </c>
      <c r="Q1408" s="297" t="s">
        <v>200</v>
      </c>
      <c r="R1408" s="297" t="s">
        <v>213</v>
      </c>
      <c r="S1408" s="297" t="s">
        <v>214</v>
      </c>
    </row>
    <row r="1409" spans="1:19" x14ac:dyDescent="0.4">
      <c r="A1409" s="291"/>
      <c r="B1409" s="292"/>
      <c r="C1409" s="312"/>
      <c r="D1409" s="292"/>
      <c r="E1409" s="489"/>
      <c r="F1409" s="489"/>
      <c r="G1409" s="490"/>
      <c r="H1409" s="520"/>
      <c r="I1409" s="523"/>
      <c r="J1409" s="521"/>
      <c r="K1409" s="522"/>
      <c r="M1409" s="301" t="str">
        <f>N1409&amp;AS[[#This Row],[Insurer Code]]&amp;"; "&amp;O1409&amp;AS[[#This Row],[Reporting Year]]&amp;"; "&amp;P1409&amp;AS[[#This Row],[Insurance Category Code]]&amp;"; "&amp;Q1409&amp;AS[[#This Row],[Large Provider Entity Code]]&amp;"; "&amp;R1409&amp;AS[[#This Row],[Age Band Code]]&amp;"; "&amp;S1409&amp;AS[[#This Row],[Sex Code]]</f>
        <v xml:space="preserve">Insurer Code ; Reporting Year ; Insurance Category Code ; Large Provider Entity Code ; Age Band Code ; Sex Code </v>
      </c>
      <c r="N1409" s="297" t="s">
        <v>197</v>
      </c>
      <c r="O1409" s="297" t="s">
        <v>198</v>
      </c>
      <c r="P1409" s="297" t="s">
        <v>199</v>
      </c>
      <c r="Q1409" s="297" t="s">
        <v>200</v>
      </c>
      <c r="R1409" s="297" t="s">
        <v>213</v>
      </c>
      <c r="S1409" s="297" t="s">
        <v>214</v>
      </c>
    </row>
    <row r="1410" spans="1:19" x14ac:dyDescent="0.4">
      <c r="A1410" s="291"/>
      <c r="B1410" s="292"/>
      <c r="C1410" s="312"/>
      <c r="D1410" s="292"/>
      <c r="E1410" s="489"/>
      <c r="F1410" s="489"/>
      <c r="G1410" s="490"/>
      <c r="H1410" s="520"/>
      <c r="I1410" s="523"/>
      <c r="J1410" s="521"/>
      <c r="K1410" s="522"/>
      <c r="M1410" s="301" t="str">
        <f>N1410&amp;AS[[#This Row],[Insurer Code]]&amp;"; "&amp;O1410&amp;AS[[#This Row],[Reporting Year]]&amp;"; "&amp;P1410&amp;AS[[#This Row],[Insurance Category Code]]&amp;"; "&amp;Q1410&amp;AS[[#This Row],[Large Provider Entity Code]]&amp;"; "&amp;R1410&amp;AS[[#This Row],[Age Band Code]]&amp;"; "&amp;S1410&amp;AS[[#This Row],[Sex Code]]</f>
        <v xml:space="preserve">Insurer Code ; Reporting Year ; Insurance Category Code ; Large Provider Entity Code ; Age Band Code ; Sex Code </v>
      </c>
      <c r="N1410" s="297" t="s">
        <v>197</v>
      </c>
      <c r="O1410" s="297" t="s">
        <v>198</v>
      </c>
      <c r="P1410" s="297" t="s">
        <v>199</v>
      </c>
      <c r="Q1410" s="297" t="s">
        <v>200</v>
      </c>
      <c r="R1410" s="297" t="s">
        <v>213</v>
      </c>
      <c r="S1410" s="297" t="s">
        <v>214</v>
      </c>
    </row>
    <row r="1411" spans="1:19" x14ac:dyDescent="0.4">
      <c r="A1411" s="291"/>
      <c r="B1411" s="292"/>
      <c r="C1411" s="312"/>
      <c r="D1411" s="292"/>
      <c r="E1411" s="489"/>
      <c r="F1411" s="489"/>
      <c r="G1411" s="490"/>
      <c r="H1411" s="520"/>
      <c r="I1411" s="523"/>
      <c r="J1411" s="521"/>
      <c r="K1411" s="522"/>
      <c r="M1411" s="301" t="str">
        <f>N1411&amp;AS[[#This Row],[Insurer Code]]&amp;"; "&amp;O1411&amp;AS[[#This Row],[Reporting Year]]&amp;"; "&amp;P1411&amp;AS[[#This Row],[Insurance Category Code]]&amp;"; "&amp;Q1411&amp;AS[[#This Row],[Large Provider Entity Code]]&amp;"; "&amp;R1411&amp;AS[[#This Row],[Age Band Code]]&amp;"; "&amp;S1411&amp;AS[[#This Row],[Sex Code]]</f>
        <v xml:space="preserve">Insurer Code ; Reporting Year ; Insurance Category Code ; Large Provider Entity Code ; Age Band Code ; Sex Code </v>
      </c>
      <c r="N1411" s="297" t="s">
        <v>197</v>
      </c>
      <c r="O1411" s="297" t="s">
        <v>198</v>
      </c>
      <c r="P1411" s="297" t="s">
        <v>199</v>
      </c>
      <c r="Q1411" s="297" t="s">
        <v>200</v>
      </c>
      <c r="R1411" s="297" t="s">
        <v>213</v>
      </c>
      <c r="S1411" s="297" t="s">
        <v>214</v>
      </c>
    </row>
    <row r="1412" spans="1:19" x14ac:dyDescent="0.4">
      <c r="A1412" s="291"/>
      <c r="B1412" s="292"/>
      <c r="C1412" s="312"/>
      <c r="D1412" s="292"/>
      <c r="E1412" s="489"/>
      <c r="F1412" s="489"/>
      <c r="G1412" s="490"/>
      <c r="H1412" s="520"/>
      <c r="I1412" s="523"/>
      <c r="J1412" s="521"/>
      <c r="K1412" s="522"/>
      <c r="M1412" s="301" t="str">
        <f>N1412&amp;AS[[#This Row],[Insurer Code]]&amp;"; "&amp;O1412&amp;AS[[#This Row],[Reporting Year]]&amp;"; "&amp;P1412&amp;AS[[#This Row],[Insurance Category Code]]&amp;"; "&amp;Q1412&amp;AS[[#This Row],[Large Provider Entity Code]]&amp;"; "&amp;R1412&amp;AS[[#This Row],[Age Band Code]]&amp;"; "&amp;S1412&amp;AS[[#This Row],[Sex Code]]</f>
        <v xml:space="preserve">Insurer Code ; Reporting Year ; Insurance Category Code ; Large Provider Entity Code ; Age Band Code ; Sex Code </v>
      </c>
      <c r="N1412" s="297" t="s">
        <v>197</v>
      </c>
      <c r="O1412" s="297" t="s">
        <v>198</v>
      </c>
      <c r="P1412" s="297" t="s">
        <v>199</v>
      </c>
      <c r="Q1412" s="297" t="s">
        <v>200</v>
      </c>
      <c r="R1412" s="297" t="s">
        <v>213</v>
      </c>
      <c r="S1412" s="297" t="s">
        <v>214</v>
      </c>
    </row>
    <row r="1413" spans="1:19" x14ac:dyDescent="0.4">
      <c r="A1413" s="291"/>
      <c r="B1413" s="292"/>
      <c r="C1413" s="312"/>
      <c r="D1413" s="292"/>
      <c r="E1413" s="489"/>
      <c r="F1413" s="489"/>
      <c r="G1413" s="490"/>
      <c r="H1413" s="520"/>
      <c r="I1413" s="523"/>
      <c r="J1413" s="521"/>
      <c r="K1413" s="522"/>
      <c r="M1413" s="301" t="str">
        <f>N1413&amp;AS[[#This Row],[Insurer Code]]&amp;"; "&amp;O1413&amp;AS[[#This Row],[Reporting Year]]&amp;"; "&amp;P1413&amp;AS[[#This Row],[Insurance Category Code]]&amp;"; "&amp;Q1413&amp;AS[[#This Row],[Large Provider Entity Code]]&amp;"; "&amp;R1413&amp;AS[[#This Row],[Age Band Code]]&amp;"; "&amp;S1413&amp;AS[[#This Row],[Sex Code]]</f>
        <v xml:space="preserve">Insurer Code ; Reporting Year ; Insurance Category Code ; Large Provider Entity Code ; Age Band Code ; Sex Code </v>
      </c>
      <c r="N1413" s="297" t="s">
        <v>197</v>
      </c>
      <c r="O1413" s="297" t="s">
        <v>198</v>
      </c>
      <c r="P1413" s="297" t="s">
        <v>199</v>
      </c>
      <c r="Q1413" s="297" t="s">
        <v>200</v>
      </c>
      <c r="R1413" s="297" t="s">
        <v>213</v>
      </c>
      <c r="S1413" s="297" t="s">
        <v>214</v>
      </c>
    </row>
    <row r="1414" spans="1:19" x14ac:dyDescent="0.4">
      <c r="A1414" s="291"/>
      <c r="B1414" s="292"/>
      <c r="C1414" s="312"/>
      <c r="D1414" s="292"/>
      <c r="E1414" s="489"/>
      <c r="F1414" s="489"/>
      <c r="G1414" s="490"/>
      <c r="H1414" s="520"/>
      <c r="I1414" s="523"/>
      <c r="J1414" s="521"/>
      <c r="K1414" s="522"/>
      <c r="M1414" s="301" t="str">
        <f>N1414&amp;AS[[#This Row],[Insurer Code]]&amp;"; "&amp;O1414&amp;AS[[#This Row],[Reporting Year]]&amp;"; "&amp;P1414&amp;AS[[#This Row],[Insurance Category Code]]&amp;"; "&amp;Q1414&amp;AS[[#This Row],[Large Provider Entity Code]]&amp;"; "&amp;R1414&amp;AS[[#This Row],[Age Band Code]]&amp;"; "&amp;S1414&amp;AS[[#This Row],[Sex Code]]</f>
        <v xml:space="preserve">Insurer Code ; Reporting Year ; Insurance Category Code ; Large Provider Entity Code ; Age Band Code ; Sex Code </v>
      </c>
      <c r="N1414" s="297" t="s">
        <v>197</v>
      </c>
      <c r="O1414" s="297" t="s">
        <v>198</v>
      </c>
      <c r="P1414" s="297" t="s">
        <v>199</v>
      </c>
      <c r="Q1414" s="297" t="s">
        <v>200</v>
      </c>
      <c r="R1414" s="297" t="s">
        <v>213</v>
      </c>
      <c r="S1414" s="297" t="s">
        <v>214</v>
      </c>
    </row>
    <row r="1415" spans="1:19" x14ac:dyDescent="0.4">
      <c r="A1415" s="291"/>
      <c r="B1415" s="292"/>
      <c r="C1415" s="312"/>
      <c r="D1415" s="292"/>
      <c r="E1415" s="489"/>
      <c r="F1415" s="489"/>
      <c r="G1415" s="490"/>
      <c r="H1415" s="520"/>
      <c r="I1415" s="523"/>
      <c r="J1415" s="521"/>
      <c r="K1415" s="522"/>
      <c r="M1415" s="301" t="str">
        <f>N1415&amp;AS[[#This Row],[Insurer Code]]&amp;"; "&amp;O1415&amp;AS[[#This Row],[Reporting Year]]&amp;"; "&amp;P1415&amp;AS[[#This Row],[Insurance Category Code]]&amp;"; "&amp;Q1415&amp;AS[[#This Row],[Large Provider Entity Code]]&amp;"; "&amp;R1415&amp;AS[[#This Row],[Age Band Code]]&amp;"; "&amp;S1415&amp;AS[[#This Row],[Sex Code]]</f>
        <v xml:space="preserve">Insurer Code ; Reporting Year ; Insurance Category Code ; Large Provider Entity Code ; Age Band Code ; Sex Code </v>
      </c>
      <c r="N1415" s="297" t="s">
        <v>197</v>
      </c>
      <c r="O1415" s="297" t="s">
        <v>198</v>
      </c>
      <c r="P1415" s="297" t="s">
        <v>199</v>
      </c>
      <c r="Q1415" s="297" t="s">
        <v>200</v>
      </c>
      <c r="R1415" s="297" t="s">
        <v>213</v>
      </c>
      <c r="S1415" s="297" t="s">
        <v>214</v>
      </c>
    </row>
    <row r="1416" spans="1:19" x14ac:dyDescent="0.4">
      <c r="A1416" s="291"/>
      <c r="B1416" s="292"/>
      <c r="C1416" s="312"/>
      <c r="D1416" s="292"/>
      <c r="E1416" s="489"/>
      <c r="F1416" s="489"/>
      <c r="G1416" s="490"/>
      <c r="H1416" s="520"/>
      <c r="I1416" s="523"/>
      <c r="J1416" s="521"/>
      <c r="K1416" s="522"/>
      <c r="M1416" s="301" t="str">
        <f>N1416&amp;AS[[#This Row],[Insurer Code]]&amp;"; "&amp;O1416&amp;AS[[#This Row],[Reporting Year]]&amp;"; "&amp;P1416&amp;AS[[#This Row],[Insurance Category Code]]&amp;"; "&amp;Q1416&amp;AS[[#This Row],[Large Provider Entity Code]]&amp;"; "&amp;R1416&amp;AS[[#This Row],[Age Band Code]]&amp;"; "&amp;S1416&amp;AS[[#This Row],[Sex Code]]</f>
        <v xml:space="preserve">Insurer Code ; Reporting Year ; Insurance Category Code ; Large Provider Entity Code ; Age Band Code ; Sex Code </v>
      </c>
      <c r="N1416" s="297" t="s">
        <v>197</v>
      </c>
      <c r="O1416" s="297" t="s">
        <v>198</v>
      </c>
      <c r="P1416" s="297" t="s">
        <v>199</v>
      </c>
      <c r="Q1416" s="297" t="s">
        <v>200</v>
      </c>
      <c r="R1416" s="297" t="s">
        <v>213</v>
      </c>
      <c r="S1416" s="297" t="s">
        <v>214</v>
      </c>
    </row>
    <row r="1417" spans="1:19" x14ac:dyDescent="0.4">
      <c r="A1417" s="291"/>
      <c r="B1417" s="292"/>
      <c r="C1417" s="312"/>
      <c r="D1417" s="292"/>
      <c r="E1417" s="489"/>
      <c r="F1417" s="489"/>
      <c r="G1417" s="490"/>
      <c r="H1417" s="520"/>
      <c r="I1417" s="523"/>
      <c r="J1417" s="521"/>
      <c r="K1417" s="522"/>
      <c r="M1417" s="301" t="str">
        <f>N1417&amp;AS[[#This Row],[Insurer Code]]&amp;"; "&amp;O1417&amp;AS[[#This Row],[Reporting Year]]&amp;"; "&amp;P1417&amp;AS[[#This Row],[Insurance Category Code]]&amp;"; "&amp;Q1417&amp;AS[[#This Row],[Large Provider Entity Code]]&amp;"; "&amp;R1417&amp;AS[[#This Row],[Age Band Code]]&amp;"; "&amp;S1417&amp;AS[[#This Row],[Sex Code]]</f>
        <v xml:space="preserve">Insurer Code ; Reporting Year ; Insurance Category Code ; Large Provider Entity Code ; Age Band Code ; Sex Code </v>
      </c>
      <c r="N1417" s="297" t="s">
        <v>197</v>
      </c>
      <c r="O1417" s="297" t="s">
        <v>198</v>
      </c>
      <c r="P1417" s="297" t="s">
        <v>199</v>
      </c>
      <c r="Q1417" s="297" t="s">
        <v>200</v>
      </c>
      <c r="R1417" s="297" t="s">
        <v>213</v>
      </c>
      <c r="S1417" s="297" t="s">
        <v>214</v>
      </c>
    </row>
    <row r="1418" spans="1:19" x14ac:dyDescent="0.4">
      <c r="A1418" s="291"/>
      <c r="B1418" s="292"/>
      <c r="C1418" s="312"/>
      <c r="D1418" s="292"/>
      <c r="E1418" s="489"/>
      <c r="F1418" s="489"/>
      <c r="G1418" s="490"/>
      <c r="H1418" s="520"/>
      <c r="I1418" s="523"/>
      <c r="J1418" s="521"/>
      <c r="K1418" s="522"/>
      <c r="M1418" s="301" t="str">
        <f>N1418&amp;AS[[#This Row],[Insurer Code]]&amp;"; "&amp;O1418&amp;AS[[#This Row],[Reporting Year]]&amp;"; "&amp;P1418&amp;AS[[#This Row],[Insurance Category Code]]&amp;"; "&amp;Q1418&amp;AS[[#This Row],[Large Provider Entity Code]]&amp;"; "&amp;R1418&amp;AS[[#This Row],[Age Band Code]]&amp;"; "&amp;S1418&amp;AS[[#This Row],[Sex Code]]</f>
        <v xml:space="preserve">Insurer Code ; Reporting Year ; Insurance Category Code ; Large Provider Entity Code ; Age Band Code ; Sex Code </v>
      </c>
      <c r="N1418" s="297" t="s">
        <v>197</v>
      </c>
      <c r="O1418" s="297" t="s">
        <v>198</v>
      </c>
      <c r="P1418" s="297" t="s">
        <v>199</v>
      </c>
      <c r="Q1418" s="297" t="s">
        <v>200</v>
      </c>
      <c r="R1418" s="297" t="s">
        <v>213</v>
      </c>
      <c r="S1418" s="297" t="s">
        <v>214</v>
      </c>
    </row>
    <row r="1419" spans="1:19" x14ac:dyDescent="0.4">
      <c r="A1419" s="291"/>
      <c r="B1419" s="292"/>
      <c r="C1419" s="312"/>
      <c r="D1419" s="292"/>
      <c r="E1419" s="489"/>
      <c r="F1419" s="489"/>
      <c r="G1419" s="490"/>
      <c r="H1419" s="520"/>
      <c r="I1419" s="523"/>
      <c r="J1419" s="521"/>
      <c r="K1419" s="522"/>
      <c r="M1419" s="301" t="str">
        <f>N1419&amp;AS[[#This Row],[Insurer Code]]&amp;"; "&amp;O1419&amp;AS[[#This Row],[Reporting Year]]&amp;"; "&amp;P1419&amp;AS[[#This Row],[Insurance Category Code]]&amp;"; "&amp;Q1419&amp;AS[[#This Row],[Large Provider Entity Code]]&amp;"; "&amp;R1419&amp;AS[[#This Row],[Age Band Code]]&amp;"; "&amp;S1419&amp;AS[[#This Row],[Sex Code]]</f>
        <v xml:space="preserve">Insurer Code ; Reporting Year ; Insurance Category Code ; Large Provider Entity Code ; Age Band Code ; Sex Code </v>
      </c>
      <c r="N1419" s="297" t="s">
        <v>197</v>
      </c>
      <c r="O1419" s="297" t="s">
        <v>198</v>
      </c>
      <c r="P1419" s="297" t="s">
        <v>199</v>
      </c>
      <c r="Q1419" s="297" t="s">
        <v>200</v>
      </c>
      <c r="R1419" s="297" t="s">
        <v>213</v>
      </c>
      <c r="S1419" s="297" t="s">
        <v>214</v>
      </c>
    </row>
    <row r="1420" spans="1:19" x14ac:dyDescent="0.4">
      <c r="A1420" s="291"/>
      <c r="B1420" s="292"/>
      <c r="C1420" s="312"/>
      <c r="D1420" s="292"/>
      <c r="E1420" s="489"/>
      <c r="F1420" s="489"/>
      <c r="G1420" s="490"/>
      <c r="H1420" s="520"/>
      <c r="I1420" s="523"/>
      <c r="J1420" s="521"/>
      <c r="K1420" s="522"/>
      <c r="M1420" s="301" t="str">
        <f>N1420&amp;AS[[#This Row],[Insurer Code]]&amp;"; "&amp;O1420&amp;AS[[#This Row],[Reporting Year]]&amp;"; "&amp;P1420&amp;AS[[#This Row],[Insurance Category Code]]&amp;"; "&amp;Q1420&amp;AS[[#This Row],[Large Provider Entity Code]]&amp;"; "&amp;R1420&amp;AS[[#This Row],[Age Band Code]]&amp;"; "&amp;S1420&amp;AS[[#This Row],[Sex Code]]</f>
        <v xml:space="preserve">Insurer Code ; Reporting Year ; Insurance Category Code ; Large Provider Entity Code ; Age Band Code ; Sex Code </v>
      </c>
      <c r="N1420" s="297" t="s">
        <v>197</v>
      </c>
      <c r="O1420" s="297" t="s">
        <v>198</v>
      </c>
      <c r="P1420" s="297" t="s">
        <v>199</v>
      </c>
      <c r="Q1420" s="297" t="s">
        <v>200</v>
      </c>
      <c r="R1420" s="297" t="s">
        <v>213</v>
      </c>
      <c r="S1420" s="297" t="s">
        <v>214</v>
      </c>
    </row>
    <row r="1421" spans="1:19" x14ac:dyDescent="0.4">
      <c r="A1421" s="291"/>
      <c r="B1421" s="292"/>
      <c r="C1421" s="312"/>
      <c r="D1421" s="292"/>
      <c r="E1421" s="489"/>
      <c r="F1421" s="489"/>
      <c r="G1421" s="490"/>
      <c r="H1421" s="520"/>
      <c r="I1421" s="523"/>
      <c r="J1421" s="521"/>
      <c r="K1421" s="522"/>
      <c r="M1421" s="301" t="str">
        <f>N1421&amp;AS[[#This Row],[Insurer Code]]&amp;"; "&amp;O1421&amp;AS[[#This Row],[Reporting Year]]&amp;"; "&amp;P1421&amp;AS[[#This Row],[Insurance Category Code]]&amp;"; "&amp;Q1421&amp;AS[[#This Row],[Large Provider Entity Code]]&amp;"; "&amp;R1421&amp;AS[[#This Row],[Age Band Code]]&amp;"; "&amp;S1421&amp;AS[[#This Row],[Sex Code]]</f>
        <v xml:space="preserve">Insurer Code ; Reporting Year ; Insurance Category Code ; Large Provider Entity Code ; Age Band Code ; Sex Code </v>
      </c>
      <c r="N1421" s="297" t="s">
        <v>197</v>
      </c>
      <c r="O1421" s="297" t="s">
        <v>198</v>
      </c>
      <c r="P1421" s="297" t="s">
        <v>199</v>
      </c>
      <c r="Q1421" s="297" t="s">
        <v>200</v>
      </c>
      <c r="R1421" s="297" t="s">
        <v>213</v>
      </c>
      <c r="S1421" s="297" t="s">
        <v>214</v>
      </c>
    </row>
    <row r="1422" spans="1:19" x14ac:dyDescent="0.4">
      <c r="A1422" s="291"/>
      <c r="B1422" s="292"/>
      <c r="C1422" s="312"/>
      <c r="D1422" s="292"/>
      <c r="E1422" s="489"/>
      <c r="F1422" s="489"/>
      <c r="G1422" s="490"/>
      <c r="H1422" s="520"/>
      <c r="I1422" s="523"/>
      <c r="J1422" s="521"/>
      <c r="K1422" s="522"/>
      <c r="M1422" s="301" t="str">
        <f>N1422&amp;AS[[#This Row],[Insurer Code]]&amp;"; "&amp;O1422&amp;AS[[#This Row],[Reporting Year]]&amp;"; "&amp;P1422&amp;AS[[#This Row],[Insurance Category Code]]&amp;"; "&amp;Q1422&amp;AS[[#This Row],[Large Provider Entity Code]]&amp;"; "&amp;R1422&amp;AS[[#This Row],[Age Band Code]]&amp;"; "&amp;S1422&amp;AS[[#This Row],[Sex Code]]</f>
        <v xml:space="preserve">Insurer Code ; Reporting Year ; Insurance Category Code ; Large Provider Entity Code ; Age Band Code ; Sex Code </v>
      </c>
      <c r="N1422" s="297" t="s">
        <v>197</v>
      </c>
      <c r="O1422" s="297" t="s">
        <v>198</v>
      </c>
      <c r="P1422" s="297" t="s">
        <v>199</v>
      </c>
      <c r="Q1422" s="297" t="s">
        <v>200</v>
      </c>
      <c r="R1422" s="297" t="s">
        <v>213</v>
      </c>
      <c r="S1422" s="297" t="s">
        <v>214</v>
      </c>
    </row>
    <row r="1423" spans="1:19" x14ac:dyDescent="0.4">
      <c r="A1423" s="291"/>
      <c r="B1423" s="292"/>
      <c r="C1423" s="312"/>
      <c r="D1423" s="292"/>
      <c r="E1423" s="489"/>
      <c r="F1423" s="489"/>
      <c r="G1423" s="490"/>
      <c r="H1423" s="520"/>
      <c r="I1423" s="523"/>
      <c r="J1423" s="521"/>
      <c r="K1423" s="522"/>
      <c r="M1423" s="301" t="str">
        <f>N1423&amp;AS[[#This Row],[Insurer Code]]&amp;"; "&amp;O1423&amp;AS[[#This Row],[Reporting Year]]&amp;"; "&amp;P1423&amp;AS[[#This Row],[Insurance Category Code]]&amp;"; "&amp;Q1423&amp;AS[[#This Row],[Large Provider Entity Code]]&amp;"; "&amp;R1423&amp;AS[[#This Row],[Age Band Code]]&amp;"; "&amp;S1423&amp;AS[[#This Row],[Sex Code]]</f>
        <v xml:space="preserve">Insurer Code ; Reporting Year ; Insurance Category Code ; Large Provider Entity Code ; Age Band Code ; Sex Code </v>
      </c>
      <c r="N1423" s="297" t="s">
        <v>197</v>
      </c>
      <c r="O1423" s="297" t="s">
        <v>198</v>
      </c>
      <c r="P1423" s="297" t="s">
        <v>199</v>
      </c>
      <c r="Q1423" s="297" t="s">
        <v>200</v>
      </c>
      <c r="R1423" s="297" t="s">
        <v>213</v>
      </c>
      <c r="S1423" s="297" t="s">
        <v>214</v>
      </c>
    </row>
    <row r="1424" spans="1:19" x14ac:dyDescent="0.4">
      <c r="A1424" s="291"/>
      <c r="B1424" s="292"/>
      <c r="C1424" s="312"/>
      <c r="D1424" s="292"/>
      <c r="E1424" s="489"/>
      <c r="F1424" s="489"/>
      <c r="G1424" s="490"/>
      <c r="H1424" s="520"/>
      <c r="I1424" s="523"/>
      <c r="J1424" s="521"/>
      <c r="K1424" s="522"/>
      <c r="M1424" s="301" t="str">
        <f>N1424&amp;AS[[#This Row],[Insurer Code]]&amp;"; "&amp;O1424&amp;AS[[#This Row],[Reporting Year]]&amp;"; "&amp;P1424&amp;AS[[#This Row],[Insurance Category Code]]&amp;"; "&amp;Q1424&amp;AS[[#This Row],[Large Provider Entity Code]]&amp;"; "&amp;R1424&amp;AS[[#This Row],[Age Band Code]]&amp;"; "&amp;S1424&amp;AS[[#This Row],[Sex Code]]</f>
        <v xml:space="preserve">Insurer Code ; Reporting Year ; Insurance Category Code ; Large Provider Entity Code ; Age Band Code ; Sex Code </v>
      </c>
      <c r="N1424" s="297" t="s">
        <v>197</v>
      </c>
      <c r="O1424" s="297" t="s">
        <v>198</v>
      </c>
      <c r="P1424" s="297" t="s">
        <v>199</v>
      </c>
      <c r="Q1424" s="297" t="s">
        <v>200</v>
      </c>
      <c r="R1424" s="297" t="s">
        <v>213</v>
      </c>
      <c r="S1424" s="297" t="s">
        <v>214</v>
      </c>
    </row>
    <row r="1425" spans="1:19" x14ac:dyDescent="0.4">
      <c r="A1425" s="291"/>
      <c r="B1425" s="292"/>
      <c r="C1425" s="312"/>
      <c r="D1425" s="292"/>
      <c r="E1425" s="489"/>
      <c r="F1425" s="489"/>
      <c r="G1425" s="490"/>
      <c r="H1425" s="520"/>
      <c r="I1425" s="523"/>
      <c r="J1425" s="521"/>
      <c r="K1425" s="522"/>
      <c r="M1425" s="301" t="str">
        <f>N1425&amp;AS[[#This Row],[Insurer Code]]&amp;"; "&amp;O1425&amp;AS[[#This Row],[Reporting Year]]&amp;"; "&amp;P1425&amp;AS[[#This Row],[Insurance Category Code]]&amp;"; "&amp;Q1425&amp;AS[[#This Row],[Large Provider Entity Code]]&amp;"; "&amp;R1425&amp;AS[[#This Row],[Age Band Code]]&amp;"; "&amp;S1425&amp;AS[[#This Row],[Sex Code]]</f>
        <v xml:space="preserve">Insurer Code ; Reporting Year ; Insurance Category Code ; Large Provider Entity Code ; Age Band Code ; Sex Code </v>
      </c>
      <c r="N1425" s="297" t="s">
        <v>197</v>
      </c>
      <c r="O1425" s="297" t="s">
        <v>198</v>
      </c>
      <c r="P1425" s="297" t="s">
        <v>199</v>
      </c>
      <c r="Q1425" s="297" t="s">
        <v>200</v>
      </c>
      <c r="R1425" s="297" t="s">
        <v>213</v>
      </c>
      <c r="S1425" s="297" t="s">
        <v>214</v>
      </c>
    </row>
    <row r="1426" spans="1:19" x14ac:dyDescent="0.4">
      <c r="A1426" s="291"/>
      <c r="B1426" s="292"/>
      <c r="C1426" s="312"/>
      <c r="D1426" s="292"/>
      <c r="E1426" s="489"/>
      <c r="F1426" s="489"/>
      <c r="G1426" s="490"/>
      <c r="H1426" s="520"/>
      <c r="I1426" s="523"/>
      <c r="J1426" s="521"/>
      <c r="K1426" s="522"/>
      <c r="M1426" s="301" t="str">
        <f>N1426&amp;AS[[#This Row],[Insurer Code]]&amp;"; "&amp;O1426&amp;AS[[#This Row],[Reporting Year]]&amp;"; "&amp;P1426&amp;AS[[#This Row],[Insurance Category Code]]&amp;"; "&amp;Q1426&amp;AS[[#This Row],[Large Provider Entity Code]]&amp;"; "&amp;R1426&amp;AS[[#This Row],[Age Band Code]]&amp;"; "&amp;S1426&amp;AS[[#This Row],[Sex Code]]</f>
        <v xml:space="preserve">Insurer Code ; Reporting Year ; Insurance Category Code ; Large Provider Entity Code ; Age Band Code ; Sex Code </v>
      </c>
      <c r="N1426" s="297" t="s">
        <v>197</v>
      </c>
      <c r="O1426" s="297" t="s">
        <v>198</v>
      </c>
      <c r="P1426" s="297" t="s">
        <v>199</v>
      </c>
      <c r="Q1426" s="297" t="s">
        <v>200</v>
      </c>
      <c r="R1426" s="297" t="s">
        <v>213</v>
      </c>
      <c r="S1426" s="297" t="s">
        <v>214</v>
      </c>
    </row>
    <row r="1427" spans="1:19" x14ac:dyDescent="0.4">
      <c r="A1427" s="291"/>
      <c r="B1427" s="292"/>
      <c r="C1427" s="312"/>
      <c r="D1427" s="292"/>
      <c r="E1427" s="489"/>
      <c r="F1427" s="489"/>
      <c r="G1427" s="490"/>
      <c r="H1427" s="520"/>
      <c r="I1427" s="523"/>
      <c r="J1427" s="521"/>
      <c r="K1427" s="522"/>
      <c r="M1427" s="301" t="str">
        <f>N1427&amp;AS[[#This Row],[Insurer Code]]&amp;"; "&amp;O1427&amp;AS[[#This Row],[Reporting Year]]&amp;"; "&amp;P1427&amp;AS[[#This Row],[Insurance Category Code]]&amp;"; "&amp;Q1427&amp;AS[[#This Row],[Large Provider Entity Code]]&amp;"; "&amp;R1427&amp;AS[[#This Row],[Age Band Code]]&amp;"; "&amp;S1427&amp;AS[[#This Row],[Sex Code]]</f>
        <v xml:space="preserve">Insurer Code ; Reporting Year ; Insurance Category Code ; Large Provider Entity Code ; Age Band Code ; Sex Code </v>
      </c>
      <c r="N1427" s="297" t="s">
        <v>197</v>
      </c>
      <c r="O1427" s="297" t="s">
        <v>198</v>
      </c>
      <c r="P1427" s="297" t="s">
        <v>199</v>
      </c>
      <c r="Q1427" s="297" t="s">
        <v>200</v>
      </c>
      <c r="R1427" s="297" t="s">
        <v>213</v>
      </c>
      <c r="S1427" s="297" t="s">
        <v>214</v>
      </c>
    </row>
    <row r="1428" spans="1:19" x14ac:dyDescent="0.4">
      <c r="A1428" s="291"/>
      <c r="B1428" s="292"/>
      <c r="C1428" s="312"/>
      <c r="D1428" s="292"/>
      <c r="E1428" s="489"/>
      <c r="F1428" s="489"/>
      <c r="G1428" s="490"/>
      <c r="H1428" s="520"/>
      <c r="I1428" s="523"/>
      <c r="J1428" s="521"/>
      <c r="K1428" s="522"/>
      <c r="M1428" s="301" t="str">
        <f>N1428&amp;AS[[#This Row],[Insurer Code]]&amp;"; "&amp;O1428&amp;AS[[#This Row],[Reporting Year]]&amp;"; "&amp;P1428&amp;AS[[#This Row],[Insurance Category Code]]&amp;"; "&amp;Q1428&amp;AS[[#This Row],[Large Provider Entity Code]]&amp;"; "&amp;R1428&amp;AS[[#This Row],[Age Band Code]]&amp;"; "&amp;S1428&amp;AS[[#This Row],[Sex Code]]</f>
        <v xml:space="preserve">Insurer Code ; Reporting Year ; Insurance Category Code ; Large Provider Entity Code ; Age Band Code ; Sex Code </v>
      </c>
      <c r="N1428" s="297" t="s">
        <v>197</v>
      </c>
      <c r="O1428" s="297" t="s">
        <v>198</v>
      </c>
      <c r="P1428" s="297" t="s">
        <v>199</v>
      </c>
      <c r="Q1428" s="297" t="s">
        <v>200</v>
      </c>
      <c r="R1428" s="297" t="s">
        <v>213</v>
      </c>
      <c r="S1428" s="297" t="s">
        <v>214</v>
      </c>
    </row>
    <row r="1429" spans="1:19" x14ac:dyDescent="0.4">
      <c r="A1429" s="291"/>
      <c r="B1429" s="292"/>
      <c r="C1429" s="312"/>
      <c r="D1429" s="292"/>
      <c r="E1429" s="489"/>
      <c r="F1429" s="489"/>
      <c r="G1429" s="490"/>
      <c r="H1429" s="520"/>
      <c r="I1429" s="523"/>
      <c r="J1429" s="521"/>
      <c r="K1429" s="522"/>
      <c r="M1429" s="301" t="str">
        <f>N1429&amp;AS[[#This Row],[Insurer Code]]&amp;"; "&amp;O1429&amp;AS[[#This Row],[Reporting Year]]&amp;"; "&amp;P1429&amp;AS[[#This Row],[Insurance Category Code]]&amp;"; "&amp;Q1429&amp;AS[[#This Row],[Large Provider Entity Code]]&amp;"; "&amp;R1429&amp;AS[[#This Row],[Age Band Code]]&amp;"; "&amp;S1429&amp;AS[[#This Row],[Sex Code]]</f>
        <v xml:space="preserve">Insurer Code ; Reporting Year ; Insurance Category Code ; Large Provider Entity Code ; Age Band Code ; Sex Code </v>
      </c>
      <c r="N1429" s="297" t="s">
        <v>197</v>
      </c>
      <c r="O1429" s="297" t="s">
        <v>198</v>
      </c>
      <c r="P1429" s="297" t="s">
        <v>199</v>
      </c>
      <c r="Q1429" s="297" t="s">
        <v>200</v>
      </c>
      <c r="R1429" s="297" t="s">
        <v>213</v>
      </c>
      <c r="S1429" s="297" t="s">
        <v>214</v>
      </c>
    </row>
    <row r="1430" spans="1:19" x14ac:dyDescent="0.4">
      <c r="A1430" s="291"/>
      <c r="B1430" s="292"/>
      <c r="C1430" s="312"/>
      <c r="D1430" s="292"/>
      <c r="E1430" s="489"/>
      <c r="F1430" s="489"/>
      <c r="G1430" s="490"/>
      <c r="H1430" s="520"/>
      <c r="I1430" s="523"/>
      <c r="J1430" s="521"/>
      <c r="K1430" s="522"/>
      <c r="M1430" s="301" t="str">
        <f>N1430&amp;AS[[#This Row],[Insurer Code]]&amp;"; "&amp;O1430&amp;AS[[#This Row],[Reporting Year]]&amp;"; "&amp;P1430&amp;AS[[#This Row],[Insurance Category Code]]&amp;"; "&amp;Q1430&amp;AS[[#This Row],[Large Provider Entity Code]]&amp;"; "&amp;R1430&amp;AS[[#This Row],[Age Band Code]]&amp;"; "&amp;S1430&amp;AS[[#This Row],[Sex Code]]</f>
        <v xml:space="preserve">Insurer Code ; Reporting Year ; Insurance Category Code ; Large Provider Entity Code ; Age Band Code ; Sex Code </v>
      </c>
      <c r="N1430" s="297" t="s">
        <v>197</v>
      </c>
      <c r="O1430" s="297" t="s">
        <v>198</v>
      </c>
      <c r="P1430" s="297" t="s">
        <v>199</v>
      </c>
      <c r="Q1430" s="297" t="s">
        <v>200</v>
      </c>
      <c r="R1430" s="297" t="s">
        <v>213</v>
      </c>
      <c r="S1430" s="297" t="s">
        <v>214</v>
      </c>
    </row>
    <row r="1431" spans="1:19" x14ac:dyDescent="0.4">
      <c r="A1431" s="291"/>
      <c r="B1431" s="292"/>
      <c r="C1431" s="312"/>
      <c r="D1431" s="292"/>
      <c r="E1431" s="489"/>
      <c r="F1431" s="489"/>
      <c r="G1431" s="490"/>
      <c r="H1431" s="520"/>
      <c r="I1431" s="523"/>
      <c r="J1431" s="521"/>
      <c r="K1431" s="522"/>
      <c r="M1431" s="301" t="str">
        <f>N1431&amp;AS[[#This Row],[Insurer Code]]&amp;"; "&amp;O1431&amp;AS[[#This Row],[Reporting Year]]&amp;"; "&amp;P1431&amp;AS[[#This Row],[Insurance Category Code]]&amp;"; "&amp;Q1431&amp;AS[[#This Row],[Large Provider Entity Code]]&amp;"; "&amp;R1431&amp;AS[[#This Row],[Age Band Code]]&amp;"; "&amp;S1431&amp;AS[[#This Row],[Sex Code]]</f>
        <v xml:space="preserve">Insurer Code ; Reporting Year ; Insurance Category Code ; Large Provider Entity Code ; Age Band Code ; Sex Code </v>
      </c>
      <c r="N1431" s="297" t="s">
        <v>197</v>
      </c>
      <c r="O1431" s="297" t="s">
        <v>198</v>
      </c>
      <c r="P1431" s="297" t="s">
        <v>199</v>
      </c>
      <c r="Q1431" s="297" t="s">
        <v>200</v>
      </c>
      <c r="R1431" s="297" t="s">
        <v>213</v>
      </c>
      <c r="S1431" s="297" t="s">
        <v>214</v>
      </c>
    </row>
    <row r="1432" spans="1:19" x14ac:dyDescent="0.4">
      <c r="A1432" s="291"/>
      <c r="B1432" s="292"/>
      <c r="C1432" s="312"/>
      <c r="D1432" s="292"/>
      <c r="E1432" s="489"/>
      <c r="F1432" s="489"/>
      <c r="G1432" s="490"/>
      <c r="H1432" s="520"/>
      <c r="I1432" s="523"/>
      <c r="J1432" s="521"/>
      <c r="K1432" s="522"/>
      <c r="M1432" s="301" t="str">
        <f>N1432&amp;AS[[#This Row],[Insurer Code]]&amp;"; "&amp;O1432&amp;AS[[#This Row],[Reporting Year]]&amp;"; "&amp;P1432&amp;AS[[#This Row],[Insurance Category Code]]&amp;"; "&amp;Q1432&amp;AS[[#This Row],[Large Provider Entity Code]]&amp;"; "&amp;R1432&amp;AS[[#This Row],[Age Band Code]]&amp;"; "&amp;S1432&amp;AS[[#This Row],[Sex Code]]</f>
        <v xml:space="preserve">Insurer Code ; Reporting Year ; Insurance Category Code ; Large Provider Entity Code ; Age Band Code ; Sex Code </v>
      </c>
      <c r="N1432" s="297" t="s">
        <v>197</v>
      </c>
      <c r="O1432" s="297" t="s">
        <v>198</v>
      </c>
      <c r="P1432" s="297" t="s">
        <v>199</v>
      </c>
      <c r="Q1432" s="297" t="s">
        <v>200</v>
      </c>
      <c r="R1432" s="297" t="s">
        <v>213</v>
      </c>
      <c r="S1432" s="297" t="s">
        <v>214</v>
      </c>
    </row>
    <row r="1433" spans="1:19" x14ac:dyDescent="0.4">
      <c r="A1433" s="291"/>
      <c r="B1433" s="292"/>
      <c r="C1433" s="312"/>
      <c r="D1433" s="292"/>
      <c r="E1433" s="489"/>
      <c r="F1433" s="489"/>
      <c r="G1433" s="490"/>
      <c r="H1433" s="520"/>
      <c r="I1433" s="523"/>
      <c r="J1433" s="521"/>
      <c r="K1433" s="522"/>
      <c r="M1433" s="301" t="str">
        <f>N1433&amp;AS[[#This Row],[Insurer Code]]&amp;"; "&amp;O1433&amp;AS[[#This Row],[Reporting Year]]&amp;"; "&amp;P1433&amp;AS[[#This Row],[Insurance Category Code]]&amp;"; "&amp;Q1433&amp;AS[[#This Row],[Large Provider Entity Code]]&amp;"; "&amp;R1433&amp;AS[[#This Row],[Age Band Code]]&amp;"; "&amp;S1433&amp;AS[[#This Row],[Sex Code]]</f>
        <v xml:space="preserve">Insurer Code ; Reporting Year ; Insurance Category Code ; Large Provider Entity Code ; Age Band Code ; Sex Code </v>
      </c>
      <c r="N1433" s="297" t="s">
        <v>197</v>
      </c>
      <c r="O1433" s="297" t="s">
        <v>198</v>
      </c>
      <c r="P1433" s="297" t="s">
        <v>199</v>
      </c>
      <c r="Q1433" s="297" t="s">
        <v>200</v>
      </c>
      <c r="R1433" s="297" t="s">
        <v>213</v>
      </c>
      <c r="S1433" s="297" t="s">
        <v>214</v>
      </c>
    </row>
    <row r="1434" spans="1:19" x14ac:dyDescent="0.4">
      <c r="A1434" s="291"/>
      <c r="B1434" s="292"/>
      <c r="C1434" s="312"/>
      <c r="D1434" s="292"/>
      <c r="E1434" s="489"/>
      <c r="F1434" s="489"/>
      <c r="G1434" s="490"/>
      <c r="H1434" s="520"/>
      <c r="I1434" s="523"/>
      <c r="J1434" s="521"/>
      <c r="K1434" s="522"/>
      <c r="M1434" s="301" t="str">
        <f>N1434&amp;AS[[#This Row],[Insurer Code]]&amp;"; "&amp;O1434&amp;AS[[#This Row],[Reporting Year]]&amp;"; "&amp;P1434&amp;AS[[#This Row],[Insurance Category Code]]&amp;"; "&amp;Q1434&amp;AS[[#This Row],[Large Provider Entity Code]]&amp;"; "&amp;R1434&amp;AS[[#This Row],[Age Band Code]]&amp;"; "&amp;S1434&amp;AS[[#This Row],[Sex Code]]</f>
        <v xml:space="preserve">Insurer Code ; Reporting Year ; Insurance Category Code ; Large Provider Entity Code ; Age Band Code ; Sex Code </v>
      </c>
      <c r="N1434" s="297" t="s">
        <v>197</v>
      </c>
      <c r="O1434" s="297" t="s">
        <v>198</v>
      </c>
      <c r="P1434" s="297" t="s">
        <v>199</v>
      </c>
      <c r="Q1434" s="297" t="s">
        <v>200</v>
      </c>
      <c r="R1434" s="297" t="s">
        <v>213</v>
      </c>
      <c r="S1434" s="297" t="s">
        <v>214</v>
      </c>
    </row>
    <row r="1435" spans="1:19" x14ac:dyDescent="0.4">
      <c r="A1435" s="291"/>
      <c r="B1435" s="292"/>
      <c r="C1435" s="312"/>
      <c r="D1435" s="292"/>
      <c r="E1435" s="489"/>
      <c r="F1435" s="489"/>
      <c r="G1435" s="490"/>
      <c r="H1435" s="520"/>
      <c r="I1435" s="523"/>
      <c r="J1435" s="521"/>
      <c r="K1435" s="522"/>
      <c r="M1435" s="301" t="str">
        <f>N1435&amp;AS[[#This Row],[Insurer Code]]&amp;"; "&amp;O1435&amp;AS[[#This Row],[Reporting Year]]&amp;"; "&amp;P1435&amp;AS[[#This Row],[Insurance Category Code]]&amp;"; "&amp;Q1435&amp;AS[[#This Row],[Large Provider Entity Code]]&amp;"; "&amp;R1435&amp;AS[[#This Row],[Age Band Code]]&amp;"; "&amp;S1435&amp;AS[[#This Row],[Sex Code]]</f>
        <v xml:space="preserve">Insurer Code ; Reporting Year ; Insurance Category Code ; Large Provider Entity Code ; Age Band Code ; Sex Code </v>
      </c>
      <c r="N1435" s="297" t="s">
        <v>197</v>
      </c>
      <c r="O1435" s="297" t="s">
        <v>198</v>
      </c>
      <c r="P1435" s="297" t="s">
        <v>199</v>
      </c>
      <c r="Q1435" s="297" t="s">
        <v>200</v>
      </c>
      <c r="R1435" s="297" t="s">
        <v>213</v>
      </c>
      <c r="S1435" s="297" t="s">
        <v>214</v>
      </c>
    </row>
    <row r="1436" spans="1:19" x14ac:dyDescent="0.4">
      <c r="A1436" s="291"/>
      <c r="B1436" s="292"/>
      <c r="C1436" s="312"/>
      <c r="D1436" s="292"/>
      <c r="E1436" s="489"/>
      <c r="F1436" s="489"/>
      <c r="G1436" s="490"/>
      <c r="H1436" s="520"/>
      <c r="I1436" s="523"/>
      <c r="J1436" s="521"/>
      <c r="K1436" s="522"/>
      <c r="M1436" s="301" t="str">
        <f>N1436&amp;AS[[#This Row],[Insurer Code]]&amp;"; "&amp;O1436&amp;AS[[#This Row],[Reporting Year]]&amp;"; "&amp;P1436&amp;AS[[#This Row],[Insurance Category Code]]&amp;"; "&amp;Q1436&amp;AS[[#This Row],[Large Provider Entity Code]]&amp;"; "&amp;R1436&amp;AS[[#This Row],[Age Band Code]]&amp;"; "&amp;S1436&amp;AS[[#This Row],[Sex Code]]</f>
        <v xml:space="preserve">Insurer Code ; Reporting Year ; Insurance Category Code ; Large Provider Entity Code ; Age Band Code ; Sex Code </v>
      </c>
      <c r="N1436" s="297" t="s">
        <v>197</v>
      </c>
      <c r="O1436" s="297" t="s">
        <v>198</v>
      </c>
      <c r="P1436" s="297" t="s">
        <v>199</v>
      </c>
      <c r="Q1436" s="297" t="s">
        <v>200</v>
      </c>
      <c r="R1436" s="297" t="s">
        <v>213</v>
      </c>
      <c r="S1436" s="297" t="s">
        <v>214</v>
      </c>
    </row>
    <row r="1437" spans="1:19" x14ac:dyDescent="0.4">
      <c r="A1437" s="291"/>
      <c r="B1437" s="292"/>
      <c r="C1437" s="312"/>
      <c r="D1437" s="292"/>
      <c r="E1437" s="489"/>
      <c r="F1437" s="489"/>
      <c r="G1437" s="490"/>
      <c r="H1437" s="520"/>
      <c r="I1437" s="523"/>
      <c r="J1437" s="521"/>
      <c r="K1437" s="522"/>
      <c r="M1437" s="301" t="str">
        <f>N1437&amp;AS[[#This Row],[Insurer Code]]&amp;"; "&amp;O1437&amp;AS[[#This Row],[Reporting Year]]&amp;"; "&amp;P1437&amp;AS[[#This Row],[Insurance Category Code]]&amp;"; "&amp;Q1437&amp;AS[[#This Row],[Large Provider Entity Code]]&amp;"; "&amp;R1437&amp;AS[[#This Row],[Age Band Code]]&amp;"; "&amp;S1437&amp;AS[[#This Row],[Sex Code]]</f>
        <v xml:space="preserve">Insurer Code ; Reporting Year ; Insurance Category Code ; Large Provider Entity Code ; Age Band Code ; Sex Code </v>
      </c>
      <c r="N1437" s="297" t="s">
        <v>197</v>
      </c>
      <c r="O1437" s="297" t="s">
        <v>198</v>
      </c>
      <c r="P1437" s="297" t="s">
        <v>199</v>
      </c>
      <c r="Q1437" s="297" t="s">
        <v>200</v>
      </c>
      <c r="R1437" s="297" t="s">
        <v>213</v>
      </c>
      <c r="S1437" s="297" t="s">
        <v>214</v>
      </c>
    </row>
    <row r="1438" spans="1:19" x14ac:dyDescent="0.4">
      <c r="A1438" s="291"/>
      <c r="B1438" s="292"/>
      <c r="C1438" s="312"/>
      <c r="D1438" s="292"/>
      <c r="E1438" s="489"/>
      <c r="F1438" s="489"/>
      <c r="G1438" s="490"/>
      <c r="H1438" s="520"/>
      <c r="I1438" s="523"/>
      <c r="J1438" s="521"/>
      <c r="K1438" s="522"/>
      <c r="M1438" s="301" t="str">
        <f>N1438&amp;AS[[#This Row],[Insurer Code]]&amp;"; "&amp;O1438&amp;AS[[#This Row],[Reporting Year]]&amp;"; "&amp;P1438&amp;AS[[#This Row],[Insurance Category Code]]&amp;"; "&amp;Q1438&amp;AS[[#This Row],[Large Provider Entity Code]]&amp;"; "&amp;R1438&amp;AS[[#This Row],[Age Band Code]]&amp;"; "&amp;S1438&amp;AS[[#This Row],[Sex Code]]</f>
        <v xml:space="preserve">Insurer Code ; Reporting Year ; Insurance Category Code ; Large Provider Entity Code ; Age Band Code ; Sex Code </v>
      </c>
      <c r="N1438" s="297" t="s">
        <v>197</v>
      </c>
      <c r="O1438" s="297" t="s">
        <v>198</v>
      </c>
      <c r="P1438" s="297" t="s">
        <v>199</v>
      </c>
      <c r="Q1438" s="297" t="s">
        <v>200</v>
      </c>
      <c r="R1438" s="297" t="s">
        <v>213</v>
      </c>
      <c r="S1438" s="297" t="s">
        <v>214</v>
      </c>
    </row>
    <row r="1439" spans="1:19" x14ac:dyDescent="0.4">
      <c r="A1439" s="291"/>
      <c r="B1439" s="292"/>
      <c r="C1439" s="312"/>
      <c r="D1439" s="292"/>
      <c r="E1439" s="489"/>
      <c r="F1439" s="489"/>
      <c r="G1439" s="490"/>
      <c r="H1439" s="520"/>
      <c r="I1439" s="523"/>
      <c r="J1439" s="521"/>
      <c r="K1439" s="522"/>
      <c r="M1439" s="301" t="str">
        <f>N1439&amp;AS[[#This Row],[Insurer Code]]&amp;"; "&amp;O1439&amp;AS[[#This Row],[Reporting Year]]&amp;"; "&amp;P1439&amp;AS[[#This Row],[Insurance Category Code]]&amp;"; "&amp;Q1439&amp;AS[[#This Row],[Large Provider Entity Code]]&amp;"; "&amp;R1439&amp;AS[[#This Row],[Age Band Code]]&amp;"; "&amp;S1439&amp;AS[[#This Row],[Sex Code]]</f>
        <v xml:space="preserve">Insurer Code ; Reporting Year ; Insurance Category Code ; Large Provider Entity Code ; Age Band Code ; Sex Code </v>
      </c>
      <c r="N1439" s="297" t="s">
        <v>197</v>
      </c>
      <c r="O1439" s="297" t="s">
        <v>198</v>
      </c>
      <c r="P1439" s="297" t="s">
        <v>199</v>
      </c>
      <c r="Q1439" s="297" t="s">
        <v>200</v>
      </c>
      <c r="R1439" s="297" t="s">
        <v>213</v>
      </c>
      <c r="S1439" s="297" t="s">
        <v>214</v>
      </c>
    </row>
    <row r="1440" spans="1:19" x14ac:dyDescent="0.4">
      <c r="A1440" s="291"/>
      <c r="B1440" s="292"/>
      <c r="C1440" s="312"/>
      <c r="D1440" s="292"/>
      <c r="E1440" s="489"/>
      <c r="F1440" s="489"/>
      <c r="G1440" s="490"/>
      <c r="H1440" s="520"/>
      <c r="I1440" s="523"/>
      <c r="J1440" s="521"/>
      <c r="K1440" s="522"/>
      <c r="M1440" s="301" t="str">
        <f>N1440&amp;AS[[#This Row],[Insurer Code]]&amp;"; "&amp;O1440&amp;AS[[#This Row],[Reporting Year]]&amp;"; "&amp;P1440&amp;AS[[#This Row],[Insurance Category Code]]&amp;"; "&amp;Q1440&amp;AS[[#This Row],[Large Provider Entity Code]]&amp;"; "&amp;R1440&amp;AS[[#This Row],[Age Band Code]]&amp;"; "&amp;S1440&amp;AS[[#This Row],[Sex Code]]</f>
        <v xml:space="preserve">Insurer Code ; Reporting Year ; Insurance Category Code ; Large Provider Entity Code ; Age Band Code ; Sex Code </v>
      </c>
      <c r="N1440" s="297" t="s">
        <v>197</v>
      </c>
      <c r="O1440" s="297" t="s">
        <v>198</v>
      </c>
      <c r="P1440" s="297" t="s">
        <v>199</v>
      </c>
      <c r="Q1440" s="297" t="s">
        <v>200</v>
      </c>
      <c r="R1440" s="297" t="s">
        <v>213</v>
      </c>
      <c r="S1440" s="297" t="s">
        <v>214</v>
      </c>
    </row>
    <row r="1441" spans="1:19" x14ac:dyDescent="0.4">
      <c r="A1441" s="291"/>
      <c r="B1441" s="292"/>
      <c r="C1441" s="312"/>
      <c r="D1441" s="292"/>
      <c r="E1441" s="489"/>
      <c r="F1441" s="489"/>
      <c r="G1441" s="490"/>
      <c r="H1441" s="520"/>
      <c r="I1441" s="523"/>
      <c r="J1441" s="521"/>
      <c r="K1441" s="522"/>
      <c r="M1441" s="301" t="str">
        <f>N1441&amp;AS[[#This Row],[Insurer Code]]&amp;"; "&amp;O1441&amp;AS[[#This Row],[Reporting Year]]&amp;"; "&amp;P1441&amp;AS[[#This Row],[Insurance Category Code]]&amp;"; "&amp;Q1441&amp;AS[[#This Row],[Large Provider Entity Code]]&amp;"; "&amp;R1441&amp;AS[[#This Row],[Age Band Code]]&amp;"; "&amp;S1441&amp;AS[[#This Row],[Sex Code]]</f>
        <v xml:space="preserve">Insurer Code ; Reporting Year ; Insurance Category Code ; Large Provider Entity Code ; Age Band Code ; Sex Code </v>
      </c>
      <c r="N1441" s="297" t="s">
        <v>197</v>
      </c>
      <c r="O1441" s="297" t="s">
        <v>198</v>
      </c>
      <c r="P1441" s="297" t="s">
        <v>199</v>
      </c>
      <c r="Q1441" s="297" t="s">
        <v>200</v>
      </c>
      <c r="R1441" s="297" t="s">
        <v>213</v>
      </c>
      <c r="S1441" s="297" t="s">
        <v>214</v>
      </c>
    </row>
    <row r="1442" spans="1:19" x14ac:dyDescent="0.4">
      <c r="A1442" s="291"/>
      <c r="B1442" s="292"/>
      <c r="C1442" s="312"/>
      <c r="D1442" s="292"/>
      <c r="E1442" s="489"/>
      <c r="F1442" s="489"/>
      <c r="G1442" s="490"/>
      <c r="H1442" s="520"/>
      <c r="I1442" s="523"/>
      <c r="J1442" s="521"/>
      <c r="K1442" s="522"/>
      <c r="M1442" s="301" t="str">
        <f>N1442&amp;AS[[#This Row],[Insurer Code]]&amp;"; "&amp;O1442&amp;AS[[#This Row],[Reporting Year]]&amp;"; "&amp;P1442&amp;AS[[#This Row],[Insurance Category Code]]&amp;"; "&amp;Q1442&amp;AS[[#This Row],[Large Provider Entity Code]]&amp;"; "&amp;R1442&amp;AS[[#This Row],[Age Band Code]]&amp;"; "&amp;S1442&amp;AS[[#This Row],[Sex Code]]</f>
        <v xml:space="preserve">Insurer Code ; Reporting Year ; Insurance Category Code ; Large Provider Entity Code ; Age Band Code ; Sex Code </v>
      </c>
      <c r="N1442" s="297" t="s">
        <v>197</v>
      </c>
      <c r="O1442" s="297" t="s">
        <v>198</v>
      </c>
      <c r="P1442" s="297" t="s">
        <v>199</v>
      </c>
      <c r="Q1442" s="297" t="s">
        <v>200</v>
      </c>
      <c r="R1442" s="297" t="s">
        <v>213</v>
      </c>
      <c r="S1442" s="297" t="s">
        <v>214</v>
      </c>
    </row>
    <row r="1443" spans="1:19" x14ac:dyDescent="0.4">
      <c r="A1443" s="291"/>
      <c r="B1443" s="292"/>
      <c r="C1443" s="312"/>
      <c r="D1443" s="292"/>
      <c r="E1443" s="489"/>
      <c r="F1443" s="489"/>
      <c r="G1443" s="490"/>
      <c r="H1443" s="520"/>
      <c r="I1443" s="523"/>
      <c r="J1443" s="521"/>
      <c r="K1443" s="522"/>
      <c r="M1443" s="301" t="str">
        <f>N1443&amp;AS[[#This Row],[Insurer Code]]&amp;"; "&amp;O1443&amp;AS[[#This Row],[Reporting Year]]&amp;"; "&amp;P1443&amp;AS[[#This Row],[Insurance Category Code]]&amp;"; "&amp;Q1443&amp;AS[[#This Row],[Large Provider Entity Code]]&amp;"; "&amp;R1443&amp;AS[[#This Row],[Age Band Code]]&amp;"; "&amp;S1443&amp;AS[[#This Row],[Sex Code]]</f>
        <v xml:space="preserve">Insurer Code ; Reporting Year ; Insurance Category Code ; Large Provider Entity Code ; Age Band Code ; Sex Code </v>
      </c>
      <c r="N1443" s="297" t="s">
        <v>197</v>
      </c>
      <c r="O1443" s="297" t="s">
        <v>198</v>
      </c>
      <c r="P1443" s="297" t="s">
        <v>199</v>
      </c>
      <c r="Q1443" s="297" t="s">
        <v>200</v>
      </c>
      <c r="R1443" s="297" t="s">
        <v>213</v>
      </c>
      <c r="S1443" s="297" t="s">
        <v>214</v>
      </c>
    </row>
    <row r="1444" spans="1:19" x14ac:dyDescent="0.4">
      <c r="A1444" s="291"/>
      <c r="B1444" s="292"/>
      <c r="C1444" s="312"/>
      <c r="D1444" s="292"/>
      <c r="E1444" s="489"/>
      <c r="F1444" s="489"/>
      <c r="G1444" s="490"/>
      <c r="H1444" s="520"/>
      <c r="I1444" s="523"/>
      <c r="J1444" s="521"/>
      <c r="K1444" s="522"/>
      <c r="M1444" s="301" t="str">
        <f>N1444&amp;AS[[#This Row],[Insurer Code]]&amp;"; "&amp;O1444&amp;AS[[#This Row],[Reporting Year]]&amp;"; "&amp;P1444&amp;AS[[#This Row],[Insurance Category Code]]&amp;"; "&amp;Q1444&amp;AS[[#This Row],[Large Provider Entity Code]]&amp;"; "&amp;R1444&amp;AS[[#This Row],[Age Band Code]]&amp;"; "&amp;S1444&amp;AS[[#This Row],[Sex Code]]</f>
        <v xml:space="preserve">Insurer Code ; Reporting Year ; Insurance Category Code ; Large Provider Entity Code ; Age Band Code ; Sex Code </v>
      </c>
      <c r="N1444" s="297" t="s">
        <v>197</v>
      </c>
      <c r="O1444" s="297" t="s">
        <v>198</v>
      </c>
      <c r="P1444" s="297" t="s">
        <v>199</v>
      </c>
      <c r="Q1444" s="297" t="s">
        <v>200</v>
      </c>
      <c r="R1444" s="297" t="s">
        <v>213</v>
      </c>
      <c r="S1444" s="297" t="s">
        <v>214</v>
      </c>
    </row>
    <row r="1445" spans="1:19" x14ac:dyDescent="0.4">
      <c r="A1445" s="291"/>
      <c r="B1445" s="292"/>
      <c r="C1445" s="312"/>
      <c r="D1445" s="292"/>
      <c r="E1445" s="489"/>
      <c r="F1445" s="489"/>
      <c r="G1445" s="490"/>
      <c r="H1445" s="520"/>
      <c r="I1445" s="523"/>
      <c r="J1445" s="521"/>
      <c r="K1445" s="522"/>
      <c r="M1445" s="301" t="str">
        <f>N1445&amp;AS[[#This Row],[Insurer Code]]&amp;"; "&amp;O1445&amp;AS[[#This Row],[Reporting Year]]&amp;"; "&amp;P1445&amp;AS[[#This Row],[Insurance Category Code]]&amp;"; "&amp;Q1445&amp;AS[[#This Row],[Large Provider Entity Code]]&amp;"; "&amp;R1445&amp;AS[[#This Row],[Age Band Code]]&amp;"; "&amp;S1445&amp;AS[[#This Row],[Sex Code]]</f>
        <v xml:space="preserve">Insurer Code ; Reporting Year ; Insurance Category Code ; Large Provider Entity Code ; Age Band Code ; Sex Code </v>
      </c>
      <c r="N1445" s="297" t="s">
        <v>197</v>
      </c>
      <c r="O1445" s="297" t="s">
        <v>198</v>
      </c>
      <c r="P1445" s="297" t="s">
        <v>199</v>
      </c>
      <c r="Q1445" s="297" t="s">
        <v>200</v>
      </c>
      <c r="R1445" s="297" t="s">
        <v>213</v>
      </c>
      <c r="S1445" s="297" t="s">
        <v>214</v>
      </c>
    </row>
    <row r="1446" spans="1:19" x14ac:dyDescent="0.4">
      <c r="A1446" s="291"/>
      <c r="B1446" s="292"/>
      <c r="C1446" s="312"/>
      <c r="D1446" s="292"/>
      <c r="E1446" s="489"/>
      <c r="F1446" s="489"/>
      <c r="G1446" s="490"/>
      <c r="H1446" s="520"/>
      <c r="I1446" s="523"/>
      <c r="J1446" s="521"/>
      <c r="K1446" s="522"/>
      <c r="M1446" s="301" t="str">
        <f>N1446&amp;AS[[#This Row],[Insurer Code]]&amp;"; "&amp;O1446&amp;AS[[#This Row],[Reporting Year]]&amp;"; "&amp;P1446&amp;AS[[#This Row],[Insurance Category Code]]&amp;"; "&amp;Q1446&amp;AS[[#This Row],[Large Provider Entity Code]]&amp;"; "&amp;R1446&amp;AS[[#This Row],[Age Band Code]]&amp;"; "&amp;S1446&amp;AS[[#This Row],[Sex Code]]</f>
        <v xml:space="preserve">Insurer Code ; Reporting Year ; Insurance Category Code ; Large Provider Entity Code ; Age Band Code ; Sex Code </v>
      </c>
      <c r="N1446" s="297" t="s">
        <v>197</v>
      </c>
      <c r="O1446" s="297" t="s">
        <v>198</v>
      </c>
      <c r="P1446" s="297" t="s">
        <v>199</v>
      </c>
      <c r="Q1446" s="297" t="s">
        <v>200</v>
      </c>
      <c r="R1446" s="297" t="s">
        <v>213</v>
      </c>
      <c r="S1446" s="297" t="s">
        <v>214</v>
      </c>
    </row>
    <row r="1447" spans="1:19" x14ac:dyDescent="0.4">
      <c r="A1447" s="291"/>
      <c r="B1447" s="292"/>
      <c r="C1447" s="312"/>
      <c r="D1447" s="292"/>
      <c r="E1447" s="489"/>
      <c r="F1447" s="489"/>
      <c r="G1447" s="490"/>
      <c r="H1447" s="520"/>
      <c r="I1447" s="523"/>
      <c r="J1447" s="521"/>
      <c r="K1447" s="522"/>
      <c r="M1447" s="301" t="str">
        <f>N1447&amp;AS[[#This Row],[Insurer Code]]&amp;"; "&amp;O1447&amp;AS[[#This Row],[Reporting Year]]&amp;"; "&amp;P1447&amp;AS[[#This Row],[Insurance Category Code]]&amp;"; "&amp;Q1447&amp;AS[[#This Row],[Large Provider Entity Code]]&amp;"; "&amp;R1447&amp;AS[[#This Row],[Age Band Code]]&amp;"; "&amp;S1447&amp;AS[[#This Row],[Sex Code]]</f>
        <v xml:space="preserve">Insurer Code ; Reporting Year ; Insurance Category Code ; Large Provider Entity Code ; Age Band Code ; Sex Code </v>
      </c>
      <c r="N1447" s="297" t="s">
        <v>197</v>
      </c>
      <c r="O1447" s="297" t="s">
        <v>198</v>
      </c>
      <c r="P1447" s="297" t="s">
        <v>199</v>
      </c>
      <c r="Q1447" s="297" t="s">
        <v>200</v>
      </c>
      <c r="R1447" s="297" t="s">
        <v>213</v>
      </c>
      <c r="S1447" s="297" t="s">
        <v>214</v>
      </c>
    </row>
    <row r="1448" spans="1:19" x14ac:dyDescent="0.4">
      <c r="A1448" s="291"/>
      <c r="B1448" s="292"/>
      <c r="C1448" s="312"/>
      <c r="D1448" s="292"/>
      <c r="E1448" s="489"/>
      <c r="F1448" s="489"/>
      <c r="G1448" s="490"/>
      <c r="H1448" s="520"/>
      <c r="I1448" s="523"/>
      <c r="J1448" s="521"/>
      <c r="K1448" s="522"/>
      <c r="M1448" s="301" t="str">
        <f>N1448&amp;AS[[#This Row],[Insurer Code]]&amp;"; "&amp;O1448&amp;AS[[#This Row],[Reporting Year]]&amp;"; "&amp;P1448&amp;AS[[#This Row],[Insurance Category Code]]&amp;"; "&amp;Q1448&amp;AS[[#This Row],[Large Provider Entity Code]]&amp;"; "&amp;R1448&amp;AS[[#This Row],[Age Band Code]]&amp;"; "&amp;S1448&amp;AS[[#This Row],[Sex Code]]</f>
        <v xml:space="preserve">Insurer Code ; Reporting Year ; Insurance Category Code ; Large Provider Entity Code ; Age Band Code ; Sex Code </v>
      </c>
      <c r="N1448" s="297" t="s">
        <v>197</v>
      </c>
      <c r="O1448" s="297" t="s">
        <v>198</v>
      </c>
      <c r="P1448" s="297" t="s">
        <v>199</v>
      </c>
      <c r="Q1448" s="297" t="s">
        <v>200</v>
      </c>
      <c r="R1448" s="297" t="s">
        <v>213</v>
      </c>
      <c r="S1448" s="297" t="s">
        <v>214</v>
      </c>
    </row>
    <row r="1449" spans="1:19" x14ac:dyDescent="0.4">
      <c r="A1449" s="291"/>
      <c r="B1449" s="292"/>
      <c r="C1449" s="312"/>
      <c r="D1449" s="292"/>
      <c r="E1449" s="489"/>
      <c r="F1449" s="489"/>
      <c r="G1449" s="490"/>
      <c r="H1449" s="520"/>
      <c r="I1449" s="523"/>
      <c r="J1449" s="521"/>
      <c r="K1449" s="522"/>
      <c r="M1449" s="301" t="str">
        <f>N1449&amp;AS[[#This Row],[Insurer Code]]&amp;"; "&amp;O1449&amp;AS[[#This Row],[Reporting Year]]&amp;"; "&amp;P1449&amp;AS[[#This Row],[Insurance Category Code]]&amp;"; "&amp;Q1449&amp;AS[[#This Row],[Large Provider Entity Code]]&amp;"; "&amp;R1449&amp;AS[[#This Row],[Age Band Code]]&amp;"; "&amp;S1449&amp;AS[[#This Row],[Sex Code]]</f>
        <v xml:space="preserve">Insurer Code ; Reporting Year ; Insurance Category Code ; Large Provider Entity Code ; Age Band Code ; Sex Code </v>
      </c>
      <c r="N1449" s="297" t="s">
        <v>197</v>
      </c>
      <c r="O1449" s="297" t="s">
        <v>198</v>
      </c>
      <c r="P1449" s="297" t="s">
        <v>199</v>
      </c>
      <c r="Q1449" s="297" t="s">
        <v>200</v>
      </c>
      <c r="R1449" s="297" t="s">
        <v>213</v>
      </c>
      <c r="S1449" s="297" t="s">
        <v>214</v>
      </c>
    </row>
    <row r="1450" spans="1:19" x14ac:dyDescent="0.4">
      <c r="A1450" s="291"/>
      <c r="B1450" s="292"/>
      <c r="C1450" s="312"/>
      <c r="D1450" s="292"/>
      <c r="E1450" s="489"/>
      <c r="F1450" s="489"/>
      <c r="G1450" s="490"/>
      <c r="H1450" s="520"/>
      <c r="I1450" s="523"/>
      <c r="J1450" s="521"/>
      <c r="K1450" s="522"/>
      <c r="M1450" s="301" t="str">
        <f>N1450&amp;AS[[#This Row],[Insurer Code]]&amp;"; "&amp;O1450&amp;AS[[#This Row],[Reporting Year]]&amp;"; "&amp;P1450&amp;AS[[#This Row],[Insurance Category Code]]&amp;"; "&amp;Q1450&amp;AS[[#This Row],[Large Provider Entity Code]]&amp;"; "&amp;R1450&amp;AS[[#This Row],[Age Band Code]]&amp;"; "&amp;S1450&amp;AS[[#This Row],[Sex Code]]</f>
        <v xml:space="preserve">Insurer Code ; Reporting Year ; Insurance Category Code ; Large Provider Entity Code ; Age Band Code ; Sex Code </v>
      </c>
      <c r="N1450" s="297" t="s">
        <v>197</v>
      </c>
      <c r="O1450" s="297" t="s">
        <v>198</v>
      </c>
      <c r="P1450" s="297" t="s">
        <v>199</v>
      </c>
      <c r="Q1450" s="297" t="s">
        <v>200</v>
      </c>
      <c r="R1450" s="297" t="s">
        <v>213</v>
      </c>
      <c r="S1450" s="297" t="s">
        <v>214</v>
      </c>
    </row>
    <row r="1451" spans="1:19" x14ac:dyDescent="0.4">
      <c r="A1451" s="291"/>
      <c r="B1451" s="292"/>
      <c r="C1451" s="312"/>
      <c r="D1451" s="292"/>
      <c r="E1451" s="489"/>
      <c r="F1451" s="489"/>
      <c r="G1451" s="490"/>
      <c r="H1451" s="520"/>
      <c r="I1451" s="523"/>
      <c r="J1451" s="521"/>
      <c r="K1451" s="522"/>
      <c r="M1451" s="301" t="str">
        <f>N1451&amp;AS[[#This Row],[Insurer Code]]&amp;"; "&amp;O1451&amp;AS[[#This Row],[Reporting Year]]&amp;"; "&amp;P1451&amp;AS[[#This Row],[Insurance Category Code]]&amp;"; "&amp;Q1451&amp;AS[[#This Row],[Large Provider Entity Code]]&amp;"; "&amp;R1451&amp;AS[[#This Row],[Age Band Code]]&amp;"; "&amp;S1451&amp;AS[[#This Row],[Sex Code]]</f>
        <v xml:space="preserve">Insurer Code ; Reporting Year ; Insurance Category Code ; Large Provider Entity Code ; Age Band Code ; Sex Code </v>
      </c>
      <c r="N1451" s="297" t="s">
        <v>197</v>
      </c>
      <c r="O1451" s="297" t="s">
        <v>198</v>
      </c>
      <c r="P1451" s="297" t="s">
        <v>199</v>
      </c>
      <c r="Q1451" s="297" t="s">
        <v>200</v>
      </c>
      <c r="R1451" s="297" t="s">
        <v>213</v>
      </c>
      <c r="S1451" s="297" t="s">
        <v>214</v>
      </c>
    </row>
    <row r="1452" spans="1:19" x14ac:dyDescent="0.4">
      <c r="A1452" s="291"/>
      <c r="B1452" s="292"/>
      <c r="C1452" s="312"/>
      <c r="D1452" s="292"/>
      <c r="E1452" s="489"/>
      <c r="F1452" s="489"/>
      <c r="G1452" s="490"/>
      <c r="H1452" s="520"/>
      <c r="I1452" s="523"/>
      <c r="J1452" s="521"/>
      <c r="K1452" s="522"/>
      <c r="M1452" s="301" t="str">
        <f>N1452&amp;AS[[#This Row],[Insurer Code]]&amp;"; "&amp;O1452&amp;AS[[#This Row],[Reporting Year]]&amp;"; "&amp;P1452&amp;AS[[#This Row],[Insurance Category Code]]&amp;"; "&amp;Q1452&amp;AS[[#This Row],[Large Provider Entity Code]]&amp;"; "&amp;R1452&amp;AS[[#This Row],[Age Band Code]]&amp;"; "&amp;S1452&amp;AS[[#This Row],[Sex Code]]</f>
        <v xml:space="preserve">Insurer Code ; Reporting Year ; Insurance Category Code ; Large Provider Entity Code ; Age Band Code ; Sex Code </v>
      </c>
      <c r="N1452" s="297" t="s">
        <v>197</v>
      </c>
      <c r="O1452" s="297" t="s">
        <v>198</v>
      </c>
      <c r="P1452" s="297" t="s">
        <v>199</v>
      </c>
      <c r="Q1452" s="297" t="s">
        <v>200</v>
      </c>
      <c r="R1452" s="297" t="s">
        <v>213</v>
      </c>
      <c r="S1452" s="297" t="s">
        <v>214</v>
      </c>
    </row>
    <row r="1453" spans="1:19" x14ac:dyDescent="0.4">
      <c r="A1453" s="291"/>
      <c r="B1453" s="292"/>
      <c r="C1453" s="312"/>
      <c r="D1453" s="292"/>
      <c r="E1453" s="489"/>
      <c r="F1453" s="489"/>
      <c r="G1453" s="490"/>
      <c r="H1453" s="520"/>
      <c r="I1453" s="523"/>
      <c r="J1453" s="521"/>
      <c r="K1453" s="522"/>
      <c r="M1453" s="301" t="str">
        <f>N1453&amp;AS[[#This Row],[Insurer Code]]&amp;"; "&amp;O1453&amp;AS[[#This Row],[Reporting Year]]&amp;"; "&amp;P1453&amp;AS[[#This Row],[Insurance Category Code]]&amp;"; "&amp;Q1453&amp;AS[[#This Row],[Large Provider Entity Code]]&amp;"; "&amp;R1453&amp;AS[[#This Row],[Age Band Code]]&amp;"; "&amp;S1453&amp;AS[[#This Row],[Sex Code]]</f>
        <v xml:space="preserve">Insurer Code ; Reporting Year ; Insurance Category Code ; Large Provider Entity Code ; Age Band Code ; Sex Code </v>
      </c>
      <c r="N1453" s="297" t="s">
        <v>197</v>
      </c>
      <c r="O1453" s="297" t="s">
        <v>198</v>
      </c>
      <c r="P1453" s="297" t="s">
        <v>199</v>
      </c>
      <c r="Q1453" s="297" t="s">
        <v>200</v>
      </c>
      <c r="R1453" s="297" t="s">
        <v>213</v>
      </c>
      <c r="S1453" s="297" t="s">
        <v>214</v>
      </c>
    </row>
    <row r="1454" spans="1:19" x14ac:dyDescent="0.4">
      <c r="A1454" s="291"/>
      <c r="B1454" s="292"/>
      <c r="C1454" s="312"/>
      <c r="D1454" s="292"/>
      <c r="E1454" s="489"/>
      <c r="F1454" s="489"/>
      <c r="G1454" s="490"/>
      <c r="H1454" s="520"/>
      <c r="I1454" s="523"/>
      <c r="J1454" s="521"/>
      <c r="K1454" s="522"/>
      <c r="M1454" s="301" t="str">
        <f>N1454&amp;AS[[#This Row],[Insurer Code]]&amp;"; "&amp;O1454&amp;AS[[#This Row],[Reporting Year]]&amp;"; "&amp;P1454&amp;AS[[#This Row],[Insurance Category Code]]&amp;"; "&amp;Q1454&amp;AS[[#This Row],[Large Provider Entity Code]]&amp;"; "&amp;R1454&amp;AS[[#This Row],[Age Band Code]]&amp;"; "&amp;S1454&amp;AS[[#This Row],[Sex Code]]</f>
        <v xml:space="preserve">Insurer Code ; Reporting Year ; Insurance Category Code ; Large Provider Entity Code ; Age Band Code ; Sex Code </v>
      </c>
      <c r="N1454" s="297" t="s">
        <v>197</v>
      </c>
      <c r="O1454" s="297" t="s">
        <v>198</v>
      </c>
      <c r="P1454" s="297" t="s">
        <v>199</v>
      </c>
      <c r="Q1454" s="297" t="s">
        <v>200</v>
      </c>
      <c r="R1454" s="297" t="s">
        <v>213</v>
      </c>
      <c r="S1454" s="297" t="s">
        <v>214</v>
      </c>
    </row>
    <row r="1455" spans="1:19" x14ac:dyDescent="0.4">
      <c r="A1455" s="291"/>
      <c r="B1455" s="292"/>
      <c r="C1455" s="312"/>
      <c r="D1455" s="292"/>
      <c r="E1455" s="489"/>
      <c r="F1455" s="489"/>
      <c r="G1455" s="490"/>
      <c r="H1455" s="520"/>
      <c r="I1455" s="523"/>
      <c r="J1455" s="521"/>
      <c r="K1455" s="522"/>
      <c r="M1455" s="301" t="str">
        <f>N1455&amp;AS[[#This Row],[Insurer Code]]&amp;"; "&amp;O1455&amp;AS[[#This Row],[Reporting Year]]&amp;"; "&amp;P1455&amp;AS[[#This Row],[Insurance Category Code]]&amp;"; "&amp;Q1455&amp;AS[[#This Row],[Large Provider Entity Code]]&amp;"; "&amp;R1455&amp;AS[[#This Row],[Age Band Code]]&amp;"; "&amp;S1455&amp;AS[[#This Row],[Sex Code]]</f>
        <v xml:space="preserve">Insurer Code ; Reporting Year ; Insurance Category Code ; Large Provider Entity Code ; Age Band Code ; Sex Code </v>
      </c>
      <c r="N1455" s="297" t="s">
        <v>197</v>
      </c>
      <c r="O1455" s="297" t="s">
        <v>198</v>
      </c>
      <c r="P1455" s="297" t="s">
        <v>199</v>
      </c>
      <c r="Q1455" s="297" t="s">
        <v>200</v>
      </c>
      <c r="R1455" s="297" t="s">
        <v>213</v>
      </c>
      <c r="S1455" s="297" t="s">
        <v>214</v>
      </c>
    </row>
    <row r="1456" spans="1:19" x14ac:dyDescent="0.4">
      <c r="A1456" s="291"/>
      <c r="B1456" s="292"/>
      <c r="C1456" s="312"/>
      <c r="D1456" s="292"/>
      <c r="E1456" s="489"/>
      <c r="F1456" s="489"/>
      <c r="G1456" s="490"/>
      <c r="H1456" s="520"/>
      <c r="I1456" s="523"/>
      <c r="J1456" s="521"/>
      <c r="K1456" s="522"/>
      <c r="M1456" s="301" t="str">
        <f>N1456&amp;AS[[#This Row],[Insurer Code]]&amp;"; "&amp;O1456&amp;AS[[#This Row],[Reporting Year]]&amp;"; "&amp;P1456&amp;AS[[#This Row],[Insurance Category Code]]&amp;"; "&amp;Q1456&amp;AS[[#This Row],[Large Provider Entity Code]]&amp;"; "&amp;R1456&amp;AS[[#This Row],[Age Band Code]]&amp;"; "&amp;S1456&amp;AS[[#This Row],[Sex Code]]</f>
        <v xml:space="preserve">Insurer Code ; Reporting Year ; Insurance Category Code ; Large Provider Entity Code ; Age Band Code ; Sex Code </v>
      </c>
      <c r="N1456" s="297" t="s">
        <v>197</v>
      </c>
      <c r="O1456" s="297" t="s">
        <v>198</v>
      </c>
      <c r="P1456" s="297" t="s">
        <v>199</v>
      </c>
      <c r="Q1456" s="297" t="s">
        <v>200</v>
      </c>
      <c r="R1456" s="297" t="s">
        <v>213</v>
      </c>
      <c r="S1456" s="297" t="s">
        <v>214</v>
      </c>
    </row>
    <row r="1457" spans="1:19" x14ac:dyDescent="0.4">
      <c r="A1457" s="291"/>
      <c r="B1457" s="292"/>
      <c r="C1457" s="312"/>
      <c r="D1457" s="292"/>
      <c r="E1457" s="489"/>
      <c r="F1457" s="489"/>
      <c r="G1457" s="490"/>
      <c r="H1457" s="520"/>
      <c r="I1457" s="523"/>
      <c r="J1457" s="521"/>
      <c r="K1457" s="522"/>
      <c r="M1457" s="301" t="str">
        <f>N1457&amp;AS[[#This Row],[Insurer Code]]&amp;"; "&amp;O1457&amp;AS[[#This Row],[Reporting Year]]&amp;"; "&amp;P1457&amp;AS[[#This Row],[Insurance Category Code]]&amp;"; "&amp;Q1457&amp;AS[[#This Row],[Large Provider Entity Code]]&amp;"; "&amp;R1457&amp;AS[[#This Row],[Age Band Code]]&amp;"; "&amp;S1457&amp;AS[[#This Row],[Sex Code]]</f>
        <v xml:space="preserve">Insurer Code ; Reporting Year ; Insurance Category Code ; Large Provider Entity Code ; Age Band Code ; Sex Code </v>
      </c>
      <c r="N1457" s="297" t="s">
        <v>197</v>
      </c>
      <c r="O1457" s="297" t="s">
        <v>198</v>
      </c>
      <c r="P1457" s="297" t="s">
        <v>199</v>
      </c>
      <c r="Q1457" s="297" t="s">
        <v>200</v>
      </c>
      <c r="R1457" s="297" t="s">
        <v>213</v>
      </c>
      <c r="S1457" s="297" t="s">
        <v>214</v>
      </c>
    </row>
    <row r="1458" spans="1:19" x14ac:dyDescent="0.4">
      <c r="A1458" s="291"/>
      <c r="B1458" s="292"/>
      <c r="C1458" s="312"/>
      <c r="D1458" s="292"/>
      <c r="E1458" s="489"/>
      <c r="F1458" s="489"/>
      <c r="G1458" s="490"/>
      <c r="H1458" s="520"/>
      <c r="I1458" s="523"/>
      <c r="J1458" s="521"/>
      <c r="K1458" s="522"/>
      <c r="M1458" s="301" t="str">
        <f>N1458&amp;AS[[#This Row],[Insurer Code]]&amp;"; "&amp;O1458&amp;AS[[#This Row],[Reporting Year]]&amp;"; "&amp;P1458&amp;AS[[#This Row],[Insurance Category Code]]&amp;"; "&amp;Q1458&amp;AS[[#This Row],[Large Provider Entity Code]]&amp;"; "&amp;R1458&amp;AS[[#This Row],[Age Band Code]]&amp;"; "&amp;S1458&amp;AS[[#This Row],[Sex Code]]</f>
        <v xml:space="preserve">Insurer Code ; Reporting Year ; Insurance Category Code ; Large Provider Entity Code ; Age Band Code ; Sex Code </v>
      </c>
      <c r="N1458" s="297" t="s">
        <v>197</v>
      </c>
      <c r="O1458" s="297" t="s">
        <v>198</v>
      </c>
      <c r="P1458" s="297" t="s">
        <v>199</v>
      </c>
      <c r="Q1458" s="297" t="s">
        <v>200</v>
      </c>
      <c r="R1458" s="297" t="s">
        <v>213</v>
      </c>
      <c r="S1458" s="297" t="s">
        <v>214</v>
      </c>
    </row>
    <row r="1459" spans="1:19" x14ac:dyDescent="0.4">
      <c r="A1459" s="291"/>
      <c r="B1459" s="292"/>
      <c r="C1459" s="312"/>
      <c r="D1459" s="292"/>
      <c r="E1459" s="489"/>
      <c r="F1459" s="489"/>
      <c r="G1459" s="490"/>
      <c r="H1459" s="520"/>
      <c r="I1459" s="523"/>
      <c r="J1459" s="521"/>
      <c r="K1459" s="522"/>
      <c r="M1459" s="301" t="str">
        <f>N1459&amp;AS[[#This Row],[Insurer Code]]&amp;"; "&amp;O1459&amp;AS[[#This Row],[Reporting Year]]&amp;"; "&amp;P1459&amp;AS[[#This Row],[Insurance Category Code]]&amp;"; "&amp;Q1459&amp;AS[[#This Row],[Large Provider Entity Code]]&amp;"; "&amp;R1459&amp;AS[[#This Row],[Age Band Code]]&amp;"; "&amp;S1459&amp;AS[[#This Row],[Sex Code]]</f>
        <v xml:space="preserve">Insurer Code ; Reporting Year ; Insurance Category Code ; Large Provider Entity Code ; Age Band Code ; Sex Code </v>
      </c>
      <c r="N1459" s="297" t="s">
        <v>197</v>
      </c>
      <c r="O1459" s="297" t="s">
        <v>198</v>
      </c>
      <c r="P1459" s="297" t="s">
        <v>199</v>
      </c>
      <c r="Q1459" s="297" t="s">
        <v>200</v>
      </c>
      <c r="R1459" s="297" t="s">
        <v>213</v>
      </c>
      <c r="S1459" s="297" t="s">
        <v>214</v>
      </c>
    </row>
    <row r="1460" spans="1:19" x14ac:dyDescent="0.4">
      <c r="A1460" s="291"/>
      <c r="B1460" s="292"/>
      <c r="C1460" s="312"/>
      <c r="D1460" s="292"/>
      <c r="E1460" s="489"/>
      <c r="F1460" s="489"/>
      <c r="G1460" s="490"/>
      <c r="H1460" s="520"/>
      <c r="I1460" s="523"/>
      <c r="J1460" s="521"/>
      <c r="K1460" s="522"/>
      <c r="M1460" s="301" t="str">
        <f>N1460&amp;AS[[#This Row],[Insurer Code]]&amp;"; "&amp;O1460&amp;AS[[#This Row],[Reporting Year]]&amp;"; "&amp;P1460&amp;AS[[#This Row],[Insurance Category Code]]&amp;"; "&amp;Q1460&amp;AS[[#This Row],[Large Provider Entity Code]]&amp;"; "&amp;R1460&amp;AS[[#This Row],[Age Band Code]]&amp;"; "&amp;S1460&amp;AS[[#This Row],[Sex Code]]</f>
        <v xml:space="preserve">Insurer Code ; Reporting Year ; Insurance Category Code ; Large Provider Entity Code ; Age Band Code ; Sex Code </v>
      </c>
      <c r="N1460" s="297" t="s">
        <v>197</v>
      </c>
      <c r="O1460" s="297" t="s">
        <v>198</v>
      </c>
      <c r="P1460" s="297" t="s">
        <v>199</v>
      </c>
      <c r="Q1460" s="297" t="s">
        <v>200</v>
      </c>
      <c r="R1460" s="297" t="s">
        <v>213</v>
      </c>
      <c r="S1460" s="297" t="s">
        <v>214</v>
      </c>
    </row>
    <row r="1461" spans="1:19" x14ac:dyDescent="0.4">
      <c r="A1461" s="291"/>
      <c r="B1461" s="292"/>
      <c r="C1461" s="312"/>
      <c r="D1461" s="292"/>
      <c r="E1461" s="489"/>
      <c r="F1461" s="489"/>
      <c r="G1461" s="490"/>
      <c r="H1461" s="520"/>
      <c r="I1461" s="523"/>
      <c r="J1461" s="521"/>
      <c r="K1461" s="522"/>
      <c r="M1461" s="301" t="str">
        <f>N1461&amp;AS[[#This Row],[Insurer Code]]&amp;"; "&amp;O1461&amp;AS[[#This Row],[Reporting Year]]&amp;"; "&amp;P1461&amp;AS[[#This Row],[Insurance Category Code]]&amp;"; "&amp;Q1461&amp;AS[[#This Row],[Large Provider Entity Code]]&amp;"; "&amp;R1461&amp;AS[[#This Row],[Age Band Code]]&amp;"; "&amp;S1461&amp;AS[[#This Row],[Sex Code]]</f>
        <v xml:space="preserve">Insurer Code ; Reporting Year ; Insurance Category Code ; Large Provider Entity Code ; Age Band Code ; Sex Code </v>
      </c>
      <c r="N1461" s="297" t="s">
        <v>197</v>
      </c>
      <c r="O1461" s="297" t="s">
        <v>198</v>
      </c>
      <c r="P1461" s="297" t="s">
        <v>199</v>
      </c>
      <c r="Q1461" s="297" t="s">
        <v>200</v>
      </c>
      <c r="R1461" s="297" t="s">
        <v>213</v>
      </c>
      <c r="S1461" s="297" t="s">
        <v>214</v>
      </c>
    </row>
    <row r="1462" spans="1:19" x14ac:dyDescent="0.4">
      <c r="A1462" s="291"/>
      <c r="B1462" s="292"/>
      <c r="C1462" s="312"/>
      <c r="D1462" s="292"/>
      <c r="E1462" s="489"/>
      <c r="F1462" s="489"/>
      <c r="G1462" s="490"/>
      <c r="H1462" s="520"/>
      <c r="I1462" s="523"/>
      <c r="J1462" s="521"/>
      <c r="K1462" s="522"/>
      <c r="M1462" s="301" t="str">
        <f>N1462&amp;AS[[#This Row],[Insurer Code]]&amp;"; "&amp;O1462&amp;AS[[#This Row],[Reporting Year]]&amp;"; "&amp;P1462&amp;AS[[#This Row],[Insurance Category Code]]&amp;"; "&amp;Q1462&amp;AS[[#This Row],[Large Provider Entity Code]]&amp;"; "&amp;R1462&amp;AS[[#This Row],[Age Band Code]]&amp;"; "&amp;S1462&amp;AS[[#This Row],[Sex Code]]</f>
        <v xml:space="preserve">Insurer Code ; Reporting Year ; Insurance Category Code ; Large Provider Entity Code ; Age Band Code ; Sex Code </v>
      </c>
      <c r="N1462" s="297" t="s">
        <v>197</v>
      </c>
      <c r="O1462" s="297" t="s">
        <v>198</v>
      </c>
      <c r="P1462" s="297" t="s">
        <v>199</v>
      </c>
      <c r="Q1462" s="297" t="s">
        <v>200</v>
      </c>
      <c r="R1462" s="297" t="s">
        <v>213</v>
      </c>
      <c r="S1462" s="297" t="s">
        <v>214</v>
      </c>
    </row>
    <row r="1463" spans="1:19" x14ac:dyDescent="0.4">
      <c r="A1463" s="291"/>
      <c r="B1463" s="292"/>
      <c r="C1463" s="312"/>
      <c r="D1463" s="292"/>
      <c r="E1463" s="489"/>
      <c r="F1463" s="489"/>
      <c r="G1463" s="490"/>
      <c r="H1463" s="520"/>
      <c r="I1463" s="523"/>
      <c r="J1463" s="521"/>
      <c r="K1463" s="522"/>
      <c r="M1463" s="301" t="str">
        <f>N1463&amp;AS[[#This Row],[Insurer Code]]&amp;"; "&amp;O1463&amp;AS[[#This Row],[Reporting Year]]&amp;"; "&amp;P1463&amp;AS[[#This Row],[Insurance Category Code]]&amp;"; "&amp;Q1463&amp;AS[[#This Row],[Large Provider Entity Code]]&amp;"; "&amp;R1463&amp;AS[[#This Row],[Age Band Code]]&amp;"; "&amp;S1463&amp;AS[[#This Row],[Sex Code]]</f>
        <v xml:space="preserve">Insurer Code ; Reporting Year ; Insurance Category Code ; Large Provider Entity Code ; Age Band Code ; Sex Code </v>
      </c>
      <c r="N1463" s="297" t="s">
        <v>197</v>
      </c>
      <c r="O1463" s="297" t="s">
        <v>198</v>
      </c>
      <c r="P1463" s="297" t="s">
        <v>199</v>
      </c>
      <c r="Q1463" s="297" t="s">
        <v>200</v>
      </c>
      <c r="R1463" s="297" t="s">
        <v>213</v>
      </c>
      <c r="S1463" s="297" t="s">
        <v>214</v>
      </c>
    </row>
    <row r="1464" spans="1:19" x14ac:dyDescent="0.4">
      <c r="A1464" s="291"/>
      <c r="B1464" s="292"/>
      <c r="C1464" s="312"/>
      <c r="D1464" s="292"/>
      <c r="E1464" s="489"/>
      <c r="F1464" s="489"/>
      <c r="G1464" s="490"/>
      <c r="H1464" s="520"/>
      <c r="I1464" s="523"/>
      <c r="J1464" s="521"/>
      <c r="K1464" s="522"/>
      <c r="M1464" s="301" t="str">
        <f>N1464&amp;AS[[#This Row],[Insurer Code]]&amp;"; "&amp;O1464&amp;AS[[#This Row],[Reporting Year]]&amp;"; "&amp;P1464&amp;AS[[#This Row],[Insurance Category Code]]&amp;"; "&amp;Q1464&amp;AS[[#This Row],[Large Provider Entity Code]]&amp;"; "&amp;R1464&amp;AS[[#This Row],[Age Band Code]]&amp;"; "&amp;S1464&amp;AS[[#This Row],[Sex Code]]</f>
        <v xml:space="preserve">Insurer Code ; Reporting Year ; Insurance Category Code ; Large Provider Entity Code ; Age Band Code ; Sex Code </v>
      </c>
      <c r="N1464" s="297" t="s">
        <v>197</v>
      </c>
      <c r="O1464" s="297" t="s">
        <v>198</v>
      </c>
      <c r="P1464" s="297" t="s">
        <v>199</v>
      </c>
      <c r="Q1464" s="297" t="s">
        <v>200</v>
      </c>
      <c r="R1464" s="297" t="s">
        <v>213</v>
      </c>
      <c r="S1464" s="297" t="s">
        <v>214</v>
      </c>
    </row>
    <row r="1465" spans="1:19" x14ac:dyDescent="0.4">
      <c r="A1465" s="291"/>
      <c r="B1465" s="292"/>
      <c r="C1465" s="312"/>
      <c r="D1465" s="292"/>
      <c r="E1465" s="489"/>
      <c r="F1465" s="489"/>
      <c r="G1465" s="490"/>
      <c r="H1465" s="520"/>
      <c r="I1465" s="523"/>
      <c r="J1465" s="521"/>
      <c r="K1465" s="522"/>
      <c r="M1465" s="301" t="str">
        <f>N1465&amp;AS[[#This Row],[Insurer Code]]&amp;"; "&amp;O1465&amp;AS[[#This Row],[Reporting Year]]&amp;"; "&amp;P1465&amp;AS[[#This Row],[Insurance Category Code]]&amp;"; "&amp;Q1465&amp;AS[[#This Row],[Large Provider Entity Code]]&amp;"; "&amp;R1465&amp;AS[[#This Row],[Age Band Code]]&amp;"; "&amp;S1465&amp;AS[[#This Row],[Sex Code]]</f>
        <v xml:space="preserve">Insurer Code ; Reporting Year ; Insurance Category Code ; Large Provider Entity Code ; Age Band Code ; Sex Code </v>
      </c>
      <c r="N1465" s="297" t="s">
        <v>197</v>
      </c>
      <c r="O1465" s="297" t="s">
        <v>198</v>
      </c>
      <c r="P1465" s="297" t="s">
        <v>199</v>
      </c>
      <c r="Q1465" s="297" t="s">
        <v>200</v>
      </c>
      <c r="R1465" s="297" t="s">
        <v>213</v>
      </c>
      <c r="S1465" s="297" t="s">
        <v>214</v>
      </c>
    </row>
    <row r="1466" spans="1:19" x14ac:dyDescent="0.4">
      <c r="A1466" s="291"/>
      <c r="B1466" s="292"/>
      <c r="C1466" s="312"/>
      <c r="D1466" s="292"/>
      <c r="E1466" s="489"/>
      <c r="F1466" s="489"/>
      <c r="G1466" s="490"/>
      <c r="H1466" s="520"/>
      <c r="I1466" s="523"/>
      <c r="J1466" s="521"/>
      <c r="K1466" s="522"/>
      <c r="M1466" s="301" t="str">
        <f>N1466&amp;AS[[#This Row],[Insurer Code]]&amp;"; "&amp;O1466&amp;AS[[#This Row],[Reporting Year]]&amp;"; "&amp;P1466&amp;AS[[#This Row],[Insurance Category Code]]&amp;"; "&amp;Q1466&amp;AS[[#This Row],[Large Provider Entity Code]]&amp;"; "&amp;R1466&amp;AS[[#This Row],[Age Band Code]]&amp;"; "&amp;S1466&amp;AS[[#This Row],[Sex Code]]</f>
        <v xml:space="preserve">Insurer Code ; Reporting Year ; Insurance Category Code ; Large Provider Entity Code ; Age Band Code ; Sex Code </v>
      </c>
      <c r="N1466" s="297" t="s">
        <v>197</v>
      </c>
      <c r="O1466" s="297" t="s">
        <v>198</v>
      </c>
      <c r="P1466" s="297" t="s">
        <v>199</v>
      </c>
      <c r="Q1466" s="297" t="s">
        <v>200</v>
      </c>
      <c r="R1466" s="297" t="s">
        <v>213</v>
      </c>
      <c r="S1466" s="297" t="s">
        <v>214</v>
      </c>
    </row>
    <row r="1467" spans="1:19" x14ac:dyDescent="0.4">
      <c r="A1467" s="291"/>
      <c r="B1467" s="292"/>
      <c r="C1467" s="312"/>
      <c r="D1467" s="292"/>
      <c r="E1467" s="489"/>
      <c r="F1467" s="489"/>
      <c r="G1467" s="490"/>
      <c r="H1467" s="520"/>
      <c r="I1467" s="523"/>
      <c r="J1467" s="521"/>
      <c r="K1467" s="522"/>
      <c r="M1467" s="301" t="str">
        <f>N1467&amp;AS[[#This Row],[Insurer Code]]&amp;"; "&amp;O1467&amp;AS[[#This Row],[Reporting Year]]&amp;"; "&amp;P1467&amp;AS[[#This Row],[Insurance Category Code]]&amp;"; "&amp;Q1467&amp;AS[[#This Row],[Large Provider Entity Code]]&amp;"; "&amp;R1467&amp;AS[[#This Row],[Age Band Code]]&amp;"; "&amp;S1467&amp;AS[[#This Row],[Sex Code]]</f>
        <v xml:space="preserve">Insurer Code ; Reporting Year ; Insurance Category Code ; Large Provider Entity Code ; Age Band Code ; Sex Code </v>
      </c>
      <c r="N1467" s="297" t="s">
        <v>197</v>
      </c>
      <c r="O1467" s="297" t="s">
        <v>198</v>
      </c>
      <c r="P1467" s="297" t="s">
        <v>199</v>
      </c>
      <c r="Q1467" s="297" t="s">
        <v>200</v>
      </c>
      <c r="R1467" s="297" t="s">
        <v>213</v>
      </c>
      <c r="S1467" s="297" t="s">
        <v>214</v>
      </c>
    </row>
    <row r="1468" spans="1:19" x14ac:dyDescent="0.4">
      <c r="A1468" s="291"/>
      <c r="B1468" s="292"/>
      <c r="C1468" s="312"/>
      <c r="D1468" s="292"/>
      <c r="E1468" s="489"/>
      <c r="F1468" s="489"/>
      <c r="G1468" s="490"/>
      <c r="H1468" s="520"/>
      <c r="I1468" s="523"/>
      <c r="J1468" s="521"/>
      <c r="K1468" s="522"/>
      <c r="M1468" s="301" t="str">
        <f>N1468&amp;AS[[#This Row],[Insurer Code]]&amp;"; "&amp;O1468&amp;AS[[#This Row],[Reporting Year]]&amp;"; "&amp;P1468&amp;AS[[#This Row],[Insurance Category Code]]&amp;"; "&amp;Q1468&amp;AS[[#This Row],[Large Provider Entity Code]]&amp;"; "&amp;R1468&amp;AS[[#This Row],[Age Band Code]]&amp;"; "&amp;S1468&amp;AS[[#This Row],[Sex Code]]</f>
        <v xml:space="preserve">Insurer Code ; Reporting Year ; Insurance Category Code ; Large Provider Entity Code ; Age Band Code ; Sex Code </v>
      </c>
      <c r="N1468" s="297" t="s">
        <v>197</v>
      </c>
      <c r="O1468" s="297" t="s">
        <v>198</v>
      </c>
      <c r="P1468" s="297" t="s">
        <v>199</v>
      </c>
      <c r="Q1468" s="297" t="s">
        <v>200</v>
      </c>
      <c r="R1468" s="297" t="s">
        <v>213</v>
      </c>
      <c r="S1468" s="297" t="s">
        <v>214</v>
      </c>
    </row>
    <row r="1469" spans="1:19" x14ac:dyDescent="0.4">
      <c r="A1469" s="291"/>
      <c r="B1469" s="292"/>
      <c r="C1469" s="312"/>
      <c r="D1469" s="292"/>
      <c r="E1469" s="489"/>
      <c r="F1469" s="489"/>
      <c r="G1469" s="490"/>
      <c r="H1469" s="520"/>
      <c r="I1469" s="523"/>
      <c r="J1469" s="521"/>
      <c r="K1469" s="522"/>
      <c r="M1469" s="301" t="str">
        <f>N1469&amp;AS[[#This Row],[Insurer Code]]&amp;"; "&amp;O1469&amp;AS[[#This Row],[Reporting Year]]&amp;"; "&amp;P1469&amp;AS[[#This Row],[Insurance Category Code]]&amp;"; "&amp;Q1469&amp;AS[[#This Row],[Large Provider Entity Code]]&amp;"; "&amp;R1469&amp;AS[[#This Row],[Age Band Code]]&amp;"; "&amp;S1469&amp;AS[[#This Row],[Sex Code]]</f>
        <v xml:space="preserve">Insurer Code ; Reporting Year ; Insurance Category Code ; Large Provider Entity Code ; Age Band Code ; Sex Code </v>
      </c>
      <c r="N1469" s="297" t="s">
        <v>197</v>
      </c>
      <c r="O1469" s="297" t="s">
        <v>198</v>
      </c>
      <c r="P1469" s="297" t="s">
        <v>199</v>
      </c>
      <c r="Q1469" s="297" t="s">
        <v>200</v>
      </c>
      <c r="R1469" s="297" t="s">
        <v>213</v>
      </c>
      <c r="S1469" s="297" t="s">
        <v>214</v>
      </c>
    </row>
    <row r="1470" spans="1:19" x14ac:dyDescent="0.4">
      <c r="A1470" s="291"/>
      <c r="B1470" s="292"/>
      <c r="C1470" s="312"/>
      <c r="D1470" s="292"/>
      <c r="E1470" s="489"/>
      <c r="F1470" s="489"/>
      <c r="G1470" s="490"/>
      <c r="H1470" s="520"/>
      <c r="I1470" s="523"/>
      <c r="J1470" s="521"/>
      <c r="K1470" s="522"/>
      <c r="M1470" s="301" t="str">
        <f>N1470&amp;AS[[#This Row],[Insurer Code]]&amp;"; "&amp;O1470&amp;AS[[#This Row],[Reporting Year]]&amp;"; "&amp;P1470&amp;AS[[#This Row],[Insurance Category Code]]&amp;"; "&amp;Q1470&amp;AS[[#This Row],[Large Provider Entity Code]]&amp;"; "&amp;R1470&amp;AS[[#This Row],[Age Band Code]]&amp;"; "&amp;S1470&amp;AS[[#This Row],[Sex Code]]</f>
        <v xml:space="preserve">Insurer Code ; Reporting Year ; Insurance Category Code ; Large Provider Entity Code ; Age Band Code ; Sex Code </v>
      </c>
      <c r="N1470" s="297" t="s">
        <v>197</v>
      </c>
      <c r="O1470" s="297" t="s">
        <v>198</v>
      </c>
      <c r="P1470" s="297" t="s">
        <v>199</v>
      </c>
      <c r="Q1470" s="297" t="s">
        <v>200</v>
      </c>
      <c r="R1470" s="297" t="s">
        <v>213</v>
      </c>
      <c r="S1470" s="297" t="s">
        <v>214</v>
      </c>
    </row>
    <row r="1471" spans="1:19" x14ac:dyDescent="0.4">
      <c r="A1471" s="291"/>
      <c r="B1471" s="292"/>
      <c r="C1471" s="312"/>
      <c r="D1471" s="292"/>
      <c r="E1471" s="489"/>
      <c r="F1471" s="489"/>
      <c r="G1471" s="490"/>
      <c r="H1471" s="520"/>
      <c r="I1471" s="523"/>
      <c r="J1471" s="521"/>
      <c r="K1471" s="522"/>
      <c r="M1471" s="301" t="str">
        <f>N1471&amp;AS[[#This Row],[Insurer Code]]&amp;"; "&amp;O1471&amp;AS[[#This Row],[Reporting Year]]&amp;"; "&amp;P1471&amp;AS[[#This Row],[Insurance Category Code]]&amp;"; "&amp;Q1471&amp;AS[[#This Row],[Large Provider Entity Code]]&amp;"; "&amp;R1471&amp;AS[[#This Row],[Age Band Code]]&amp;"; "&amp;S1471&amp;AS[[#This Row],[Sex Code]]</f>
        <v xml:space="preserve">Insurer Code ; Reporting Year ; Insurance Category Code ; Large Provider Entity Code ; Age Band Code ; Sex Code </v>
      </c>
      <c r="N1471" s="297" t="s">
        <v>197</v>
      </c>
      <c r="O1471" s="297" t="s">
        <v>198</v>
      </c>
      <c r="P1471" s="297" t="s">
        <v>199</v>
      </c>
      <c r="Q1471" s="297" t="s">
        <v>200</v>
      </c>
      <c r="R1471" s="297" t="s">
        <v>213</v>
      </c>
      <c r="S1471" s="297" t="s">
        <v>214</v>
      </c>
    </row>
    <row r="1472" spans="1:19" x14ac:dyDescent="0.4">
      <c r="A1472" s="291"/>
      <c r="B1472" s="292"/>
      <c r="C1472" s="312"/>
      <c r="D1472" s="292"/>
      <c r="E1472" s="489"/>
      <c r="F1472" s="489"/>
      <c r="G1472" s="490"/>
      <c r="H1472" s="520"/>
      <c r="I1472" s="523"/>
      <c r="J1472" s="521"/>
      <c r="K1472" s="522"/>
      <c r="M1472" s="301" t="str">
        <f>N1472&amp;AS[[#This Row],[Insurer Code]]&amp;"; "&amp;O1472&amp;AS[[#This Row],[Reporting Year]]&amp;"; "&amp;P1472&amp;AS[[#This Row],[Insurance Category Code]]&amp;"; "&amp;Q1472&amp;AS[[#This Row],[Large Provider Entity Code]]&amp;"; "&amp;R1472&amp;AS[[#This Row],[Age Band Code]]&amp;"; "&amp;S1472&amp;AS[[#This Row],[Sex Code]]</f>
        <v xml:space="preserve">Insurer Code ; Reporting Year ; Insurance Category Code ; Large Provider Entity Code ; Age Band Code ; Sex Code </v>
      </c>
      <c r="N1472" s="297" t="s">
        <v>197</v>
      </c>
      <c r="O1472" s="297" t="s">
        <v>198</v>
      </c>
      <c r="P1472" s="297" t="s">
        <v>199</v>
      </c>
      <c r="Q1472" s="297" t="s">
        <v>200</v>
      </c>
      <c r="R1472" s="297" t="s">
        <v>213</v>
      </c>
      <c r="S1472" s="297" t="s">
        <v>214</v>
      </c>
    </row>
    <row r="1473" spans="1:19" x14ac:dyDescent="0.4">
      <c r="A1473" s="291"/>
      <c r="B1473" s="292"/>
      <c r="C1473" s="312"/>
      <c r="D1473" s="292"/>
      <c r="E1473" s="489"/>
      <c r="F1473" s="489"/>
      <c r="G1473" s="490"/>
      <c r="H1473" s="520"/>
      <c r="I1473" s="523"/>
      <c r="J1473" s="521"/>
      <c r="K1473" s="522"/>
      <c r="M1473" s="301" t="str">
        <f>N1473&amp;AS[[#This Row],[Insurer Code]]&amp;"; "&amp;O1473&amp;AS[[#This Row],[Reporting Year]]&amp;"; "&amp;P1473&amp;AS[[#This Row],[Insurance Category Code]]&amp;"; "&amp;Q1473&amp;AS[[#This Row],[Large Provider Entity Code]]&amp;"; "&amp;R1473&amp;AS[[#This Row],[Age Band Code]]&amp;"; "&amp;S1473&amp;AS[[#This Row],[Sex Code]]</f>
        <v xml:space="preserve">Insurer Code ; Reporting Year ; Insurance Category Code ; Large Provider Entity Code ; Age Band Code ; Sex Code </v>
      </c>
      <c r="N1473" s="297" t="s">
        <v>197</v>
      </c>
      <c r="O1473" s="297" t="s">
        <v>198</v>
      </c>
      <c r="P1473" s="297" t="s">
        <v>199</v>
      </c>
      <c r="Q1473" s="297" t="s">
        <v>200</v>
      </c>
      <c r="R1473" s="297" t="s">
        <v>213</v>
      </c>
      <c r="S1473" s="297" t="s">
        <v>214</v>
      </c>
    </row>
    <row r="1474" spans="1:19" x14ac:dyDescent="0.4">
      <c r="A1474" s="291"/>
      <c r="B1474" s="292"/>
      <c r="C1474" s="312"/>
      <c r="D1474" s="292"/>
      <c r="E1474" s="489"/>
      <c r="F1474" s="489"/>
      <c r="G1474" s="490"/>
      <c r="H1474" s="520"/>
      <c r="I1474" s="523"/>
      <c r="J1474" s="521"/>
      <c r="K1474" s="522"/>
      <c r="M1474" s="301" t="str">
        <f>N1474&amp;AS[[#This Row],[Insurer Code]]&amp;"; "&amp;O1474&amp;AS[[#This Row],[Reporting Year]]&amp;"; "&amp;P1474&amp;AS[[#This Row],[Insurance Category Code]]&amp;"; "&amp;Q1474&amp;AS[[#This Row],[Large Provider Entity Code]]&amp;"; "&amp;R1474&amp;AS[[#This Row],[Age Band Code]]&amp;"; "&amp;S1474&amp;AS[[#This Row],[Sex Code]]</f>
        <v xml:space="preserve">Insurer Code ; Reporting Year ; Insurance Category Code ; Large Provider Entity Code ; Age Band Code ; Sex Code </v>
      </c>
      <c r="N1474" s="297" t="s">
        <v>197</v>
      </c>
      <c r="O1474" s="297" t="s">
        <v>198</v>
      </c>
      <c r="P1474" s="297" t="s">
        <v>199</v>
      </c>
      <c r="Q1474" s="297" t="s">
        <v>200</v>
      </c>
      <c r="R1474" s="297" t="s">
        <v>213</v>
      </c>
      <c r="S1474" s="297" t="s">
        <v>214</v>
      </c>
    </row>
    <row r="1475" spans="1:19" x14ac:dyDescent="0.4">
      <c r="A1475" s="291"/>
      <c r="B1475" s="292"/>
      <c r="C1475" s="312"/>
      <c r="D1475" s="292"/>
      <c r="E1475" s="489"/>
      <c r="F1475" s="489"/>
      <c r="G1475" s="490"/>
      <c r="H1475" s="520"/>
      <c r="I1475" s="523"/>
      <c r="J1475" s="521"/>
      <c r="K1475" s="522"/>
      <c r="M1475" s="301" t="str">
        <f>N1475&amp;AS[[#This Row],[Insurer Code]]&amp;"; "&amp;O1475&amp;AS[[#This Row],[Reporting Year]]&amp;"; "&amp;P1475&amp;AS[[#This Row],[Insurance Category Code]]&amp;"; "&amp;Q1475&amp;AS[[#This Row],[Large Provider Entity Code]]&amp;"; "&amp;R1475&amp;AS[[#This Row],[Age Band Code]]&amp;"; "&amp;S1475&amp;AS[[#This Row],[Sex Code]]</f>
        <v xml:space="preserve">Insurer Code ; Reporting Year ; Insurance Category Code ; Large Provider Entity Code ; Age Band Code ; Sex Code </v>
      </c>
      <c r="N1475" s="297" t="s">
        <v>197</v>
      </c>
      <c r="O1475" s="297" t="s">
        <v>198</v>
      </c>
      <c r="P1475" s="297" t="s">
        <v>199</v>
      </c>
      <c r="Q1475" s="297" t="s">
        <v>200</v>
      </c>
      <c r="R1475" s="297" t="s">
        <v>213</v>
      </c>
      <c r="S1475" s="297" t="s">
        <v>214</v>
      </c>
    </row>
    <row r="1476" spans="1:19" x14ac:dyDescent="0.4">
      <c r="A1476" s="291"/>
      <c r="B1476" s="292"/>
      <c r="C1476" s="312"/>
      <c r="D1476" s="292"/>
      <c r="E1476" s="489"/>
      <c r="F1476" s="489"/>
      <c r="G1476" s="490"/>
      <c r="H1476" s="520"/>
      <c r="I1476" s="523"/>
      <c r="J1476" s="521"/>
      <c r="K1476" s="522"/>
      <c r="M1476" s="301" t="str">
        <f>N1476&amp;AS[[#This Row],[Insurer Code]]&amp;"; "&amp;O1476&amp;AS[[#This Row],[Reporting Year]]&amp;"; "&amp;P1476&amp;AS[[#This Row],[Insurance Category Code]]&amp;"; "&amp;Q1476&amp;AS[[#This Row],[Large Provider Entity Code]]&amp;"; "&amp;R1476&amp;AS[[#This Row],[Age Band Code]]&amp;"; "&amp;S1476&amp;AS[[#This Row],[Sex Code]]</f>
        <v xml:space="preserve">Insurer Code ; Reporting Year ; Insurance Category Code ; Large Provider Entity Code ; Age Band Code ; Sex Code </v>
      </c>
      <c r="N1476" s="297" t="s">
        <v>197</v>
      </c>
      <c r="O1476" s="297" t="s">
        <v>198</v>
      </c>
      <c r="P1476" s="297" t="s">
        <v>199</v>
      </c>
      <c r="Q1476" s="297" t="s">
        <v>200</v>
      </c>
      <c r="R1476" s="297" t="s">
        <v>213</v>
      </c>
      <c r="S1476" s="297" t="s">
        <v>214</v>
      </c>
    </row>
    <row r="1477" spans="1:19" x14ac:dyDescent="0.4">
      <c r="A1477" s="291"/>
      <c r="B1477" s="292"/>
      <c r="C1477" s="312"/>
      <c r="D1477" s="292"/>
      <c r="E1477" s="489"/>
      <c r="F1477" s="489"/>
      <c r="G1477" s="490"/>
      <c r="H1477" s="520"/>
      <c r="I1477" s="523"/>
      <c r="J1477" s="521"/>
      <c r="K1477" s="522"/>
      <c r="M1477" s="301" t="str">
        <f>N1477&amp;AS[[#This Row],[Insurer Code]]&amp;"; "&amp;O1477&amp;AS[[#This Row],[Reporting Year]]&amp;"; "&amp;P1477&amp;AS[[#This Row],[Insurance Category Code]]&amp;"; "&amp;Q1477&amp;AS[[#This Row],[Large Provider Entity Code]]&amp;"; "&amp;R1477&amp;AS[[#This Row],[Age Band Code]]&amp;"; "&amp;S1477&amp;AS[[#This Row],[Sex Code]]</f>
        <v xml:space="preserve">Insurer Code ; Reporting Year ; Insurance Category Code ; Large Provider Entity Code ; Age Band Code ; Sex Code </v>
      </c>
      <c r="N1477" s="297" t="s">
        <v>197</v>
      </c>
      <c r="O1477" s="297" t="s">
        <v>198</v>
      </c>
      <c r="P1477" s="297" t="s">
        <v>199</v>
      </c>
      <c r="Q1477" s="297" t="s">
        <v>200</v>
      </c>
      <c r="R1477" s="297" t="s">
        <v>213</v>
      </c>
      <c r="S1477" s="297" t="s">
        <v>214</v>
      </c>
    </row>
    <row r="1478" spans="1:19" x14ac:dyDescent="0.4">
      <c r="A1478" s="291"/>
      <c r="B1478" s="292"/>
      <c r="C1478" s="312"/>
      <c r="D1478" s="292"/>
      <c r="E1478" s="489"/>
      <c r="F1478" s="489"/>
      <c r="G1478" s="490"/>
      <c r="H1478" s="520"/>
      <c r="I1478" s="523"/>
      <c r="J1478" s="521"/>
      <c r="K1478" s="522"/>
      <c r="M1478" s="301" t="str">
        <f>N1478&amp;AS[[#This Row],[Insurer Code]]&amp;"; "&amp;O1478&amp;AS[[#This Row],[Reporting Year]]&amp;"; "&amp;P1478&amp;AS[[#This Row],[Insurance Category Code]]&amp;"; "&amp;Q1478&amp;AS[[#This Row],[Large Provider Entity Code]]&amp;"; "&amp;R1478&amp;AS[[#This Row],[Age Band Code]]&amp;"; "&amp;S1478&amp;AS[[#This Row],[Sex Code]]</f>
        <v xml:space="preserve">Insurer Code ; Reporting Year ; Insurance Category Code ; Large Provider Entity Code ; Age Band Code ; Sex Code </v>
      </c>
      <c r="N1478" s="297" t="s">
        <v>197</v>
      </c>
      <c r="O1478" s="297" t="s">
        <v>198</v>
      </c>
      <c r="P1478" s="297" t="s">
        <v>199</v>
      </c>
      <c r="Q1478" s="297" t="s">
        <v>200</v>
      </c>
      <c r="R1478" s="297" t="s">
        <v>213</v>
      </c>
      <c r="S1478" s="297" t="s">
        <v>214</v>
      </c>
    </row>
    <row r="1479" spans="1:19" x14ac:dyDescent="0.4">
      <c r="A1479" s="291"/>
      <c r="B1479" s="292"/>
      <c r="C1479" s="312"/>
      <c r="D1479" s="292"/>
      <c r="E1479" s="489"/>
      <c r="F1479" s="489"/>
      <c r="G1479" s="490"/>
      <c r="H1479" s="520"/>
      <c r="I1479" s="523"/>
      <c r="J1479" s="521"/>
      <c r="K1479" s="522"/>
      <c r="M1479" s="301" t="str">
        <f>N1479&amp;AS[[#This Row],[Insurer Code]]&amp;"; "&amp;O1479&amp;AS[[#This Row],[Reporting Year]]&amp;"; "&amp;P1479&amp;AS[[#This Row],[Insurance Category Code]]&amp;"; "&amp;Q1479&amp;AS[[#This Row],[Large Provider Entity Code]]&amp;"; "&amp;R1479&amp;AS[[#This Row],[Age Band Code]]&amp;"; "&amp;S1479&amp;AS[[#This Row],[Sex Code]]</f>
        <v xml:space="preserve">Insurer Code ; Reporting Year ; Insurance Category Code ; Large Provider Entity Code ; Age Band Code ; Sex Code </v>
      </c>
      <c r="N1479" s="297" t="s">
        <v>197</v>
      </c>
      <c r="O1479" s="297" t="s">
        <v>198</v>
      </c>
      <c r="P1479" s="297" t="s">
        <v>199</v>
      </c>
      <c r="Q1479" s="297" t="s">
        <v>200</v>
      </c>
      <c r="R1479" s="297" t="s">
        <v>213</v>
      </c>
      <c r="S1479" s="297" t="s">
        <v>214</v>
      </c>
    </row>
    <row r="1480" spans="1:19" x14ac:dyDescent="0.4">
      <c r="A1480" s="291"/>
      <c r="B1480" s="292"/>
      <c r="C1480" s="312"/>
      <c r="D1480" s="292"/>
      <c r="E1480" s="489"/>
      <c r="F1480" s="489"/>
      <c r="G1480" s="490"/>
      <c r="H1480" s="520"/>
      <c r="I1480" s="523"/>
      <c r="J1480" s="521"/>
      <c r="K1480" s="522"/>
      <c r="M1480" s="301" t="str">
        <f>N1480&amp;AS[[#This Row],[Insurer Code]]&amp;"; "&amp;O1480&amp;AS[[#This Row],[Reporting Year]]&amp;"; "&amp;P1480&amp;AS[[#This Row],[Insurance Category Code]]&amp;"; "&amp;Q1480&amp;AS[[#This Row],[Large Provider Entity Code]]&amp;"; "&amp;R1480&amp;AS[[#This Row],[Age Band Code]]&amp;"; "&amp;S1480&amp;AS[[#This Row],[Sex Code]]</f>
        <v xml:space="preserve">Insurer Code ; Reporting Year ; Insurance Category Code ; Large Provider Entity Code ; Age Band Code ; Sex Code </v>
      </c>
      <c r="N1480" s="297" t="s">
        <v>197</v>
      </c>
      <c r="O1480" s="297" t="s">
        <v>198</v>
      </c>
      <c r="P1480" s="297" t="s">
        <v>199</v>
      </c>
      <c r="Q1480" s="297" t="s">
        <v>200</v>
      </c>
      <c r="R1480" s="297" t="s">
        <v>213</v>
      </c>
      <c r="S1480" s="297" t="s">
        <v>214</v>
      </c>
    </row>
    <row r="1481" spans="1:19" x14ac:dyDescent="0.4">
      <c r="A1481" s="291"/>
      <c r="B1481" s="292"/>
      <c r="C1481" s="312"/>
      <c r="D1481" s="292"/>
      <c r="E1481" s="489"/>
      <c r="F1481" s="489"/>
      <c r="G1481" s="490"/>
      <c r="H1481" s="520"/>
      <c r="I1481" s="523"/>
      <c r="J1481" s="521"/>
      <c r="K1481" s="522"/>
      <c r="M1481" s="301" t="str">
        <f>N1481&amp;AS[[#This Row],[Insurer Code]]&amp;"; "&amp;O1481&amp;AS[[#This Row],[Reporting Year]]&amp;"; "&amp;P1481&amp;AS[[#This Row],[Insurance Category Code]]&amp;"; "&amp;Q1481&amp;AS[[#This Row],[Large Provider Entity Code]]&amp;"; "&amp;R1481&amp;AS[[#This Row],[Age Band Code]]&amp;"; "&amp;S1481&amp;AS[[#This Row],[Sex Code]]</f>
        <v xml:space="preserve">Insurer Code ; Reporting Year ; Insurance Category Code ; Large Provider Entity Code ; Age Band Code ; Sex Code </v>
      </c>
      <c r="N1481" s="297" t="s">
        <v>197</v>
      </c>
      <c r="O1481" s="297" t="s">
        <v>198</v>
      </c>
      <c r="P1481" s="297" t="s">
        <v>199</v>
      </c>
      <c r="Q1481" s="297" t="s">
        <v>200</v>
      </c>
      <c r="R1481" s="297" t="s">
        <v>213</v>
      </c>
      <c r="S1481" s="297" t="s">
        <v>214</v>
      </c>
    </row>
    <row r="1482" spans="1:19" x14ac:dyDescent="0.4">
      <c r="A1482" s="291"/>
      <c r="B1482" s="292"/>
      <c r="C1482" s="312"/>
      <c r="D1482" s="292"/>
      <c r="E1482" s="489"/>
      <c r="F1482" s="489"/>
      <c r="G1482" s="490"/>
      <c r="H1482" s="520"/>
      <c r="I1482" s="523"/>
      <c r="J1482" s="521"/>
      <c r="K1482" s="522"/>
      <c r="M1482" s="301" t="str">
        <f>N1482&amp;AS[[#This Row],[Insurer Code]]&amp;"; "&amp;O1482&amp;AS[[#This Row],[Reporting Year]]&amp;"; "&amp;P1482&amp;AS[[#This Row],[Insurance Category Code]]&amp;"; "&amp;Q1482&amp;AS[[#This Row],[Large Provider Entity Code]]&amp;"; "&amp;R1482&amp;AS[[#This Row],[Age Band Code]]&amp;"; "&amp;S1482&amp;AS[[#This Row],[Sex Code]]</f>
        <v xml:space="preserve">Insurer Code ; Reporting Year ; Insurance Category Code ; Large Provider Entity Code ; Age Band Code ; Sex Code </v>
      </c>
      <c r="N1482" s="297" t="s">
        <v>197</v>
      </c>
      <c r="O1482" s="297" t="s">
        <v>198</v>
      </c>
      <c r="P1482" s="297" t="s">
        <v>199</v>
      </c>
      <c r="Q1482" s="297" t="s">
        <v>200</v>
      </c>
      <c r="R1482" s="297" t="s">
        <v>213</v>
      </c>
      <c r="S1482" s="297" t="s">
        <v>214</v>
      </c>
    </row>
    <row r="1483" spans="1:19" x14ac:dyDescent="0.4">
      <c r="A1483" s="291"/>
      <c r="B1483" s="292"/>
      <c r="C1483" s="312"/>
      <c r="D1483" s="292"/>
      <c r="E1483" s="489"/>
      <c r="F1483" s="489"/>
      <c r="G1483" s="490"/>
      <c r="H1483" s="520"/>
      <c r="I1483" s="523"/>
      <c r="J1483" s="521"/>
      <c r="K1483" s="522"/>
      <c r="M1483" s="301" t="str">
        <f>N1483&amp;AS[[#This Row],[Insurer Code]]&amp;"; "&amp;O1483&amp;AS[[#This Row],[Reporting Year]]&amp;"; "&amp;P1483&amp;AS[[#This Row],[Insurance Category Code]]&amp;"; "&amp;Q1483&amp;AS[[#This Row],[Large Provider Entity Code]]&amp;"; "&amp;R1483&amp;AS[[#This Row],[Age Band Code]]&amp;"; "&amp;S1483&amp;AS[[#This Row],[Sex Code]]</f>
        <v xml:space="preserve">Insurer Code ; Reporting Year ; Insurance Category Code ; Large Provider Entity Code ; Age Band Code ; Sex Code </v>
      </c>
      <c r="N1483" s="297" t="s">
        <v>197</v>
      </c>
      <c r="O1483" s="297" t="s">
        <v>198</v>
      </c>
      <c r="P1483" s="297" t="s">
        <v>199</v>
      </c>
      <c r="Q1483" s="297" t="s">
        <v>200</v>
      </c>
      <c r="R1483" s="297" t="s">
        <v>213</v>
      </c>
      <c r="S1483" s="297" t="s">
        <v>214</v>
      </c>
    </row>
    <row r="1484" spans="1:19" x14ac:dyDescent="0.4">
      <c r="A1484" s="291"/>
      <c r="B1484" s="292"/>
      <c r="C1484" s="312"/>
      <c r="D1484" s="292"/>
      <c r="E1484" s="489"/>
      <c r="F1484" s="489"/>
      <c r="G1484" s="490"/>
      <c r="H1484" s="520"/>
      <c r="I1484" s="523"/>
      <c r="J1484" s="521"/>
      <c r="K1484" s="522"/>
      <c r="M1484" s="301" t="str">
        <f>N1484&amp;AS[[#This Row],[Insurer Code]]&amp;"; "&amp;O1484&amp;AS[[#This Row],[Reporting Year]]&amp;"; "&amp;P1484&amp;AS[[#This Row],[Insurance Category Code]]&amp;"; "&amp;Q1484&amp;AS[[#This Row],[Large Provider Entity Code]]&amp;"; "&amp;R1484&amp;AS[[#This Row],[Age Band Code]]&amp;"; "&amp;S1484&amp;AS[[#This Row],[Sex Code]]</f>
        <v xml:space="preserve">Insurer Code ; Reporting Year ; Insurance Category Code ; Large Provider Entity Code ; Age Band Code ; Sex Code </v>
      </c>
      <c r="N1484" s="297" t="s">
        <v>197</v>
      </c>
      <c r="O1484" s="297" t="s">
        <v>198</v>
      </c>
      <c r="P1484" s="297" t="s">
        <v>199</v>
      </c>
      <c r="Q1484" s="297" t="s">
        <v>200</v>
      </c>
      <c r="R1484" s="297" t="s">
        <v>213</v>
      </c>
      <c r="S1484" s="297" t="s">
        <v>214</v>
      </c>
    </row>
    <row r="1485" spans="1:19" x14ac:dyDescent="0.4">
      <c r="A1485" s="291"/>
      <c r="B1485" s="292"/>
      <c r="C1485" s="312"/>
      <c r="D1485" s="292"/>
      <c r="E1485" s="489"/>
      <c r="F1485" s="489"/>
      <c r="G1485" s="490"/>
      <c r="H1485" s="520"/>
      <c r="I1485" s="523"/>
      <c r="J1485" s="521"/>
      <c r="K1485" s="522"/>
      <c r="M1485" s="301" t="str">
        <f>N1485&amp;AS[[#This Row],[Insurer Code]]&amp;"; "&amp;O1485&amp;AS[[#This Row],[Reporting Year]]&amp;"; "&amp;P1485&amp;AS[[#This Row],[Insurance Category Code]]&amp;"; "&amp;Q1485&amp;AS[[#This Row],[Large Provider Entity Code]]&amp;"; "&amp;R1485&amp;AS[[#This Row],[Age Band Code]]&amp;"; "&amp;S1485&amp;AS[[#This Row],[Sex Code]]</f>
        <v xml:space="preserve">Insurer Code ; Reporting Year ; Insurance Category Code ; Large Provider Entity Code ; Age Band Code ; Sex Code </v>
      </c>
      <c r="N1485" s="297" t="s">
        <v>197</v>
      </c>
      <c r="O1485" s="297" t="s">
        <v>198</v>
      </c>
      <c r="P1485" s="297" t="s">
        <v>199</v>
      </c>
      <c r="Q1485" s="297" t="s">
        <v>200</v>
      </c>
      <c r="R1485" s="297" t="s">
        <v>213</v>
      </c>
      <c r="S1485" s="297" t="s">
        <v>214</v>
      </c>
    </row>
    <row r="1486" spans="1:19" x14ac:dyDescent="0.4">
      <c r="A1486" s="291"/>
      <c r="B1486" s="292"/>
      <c r="C1486" s="312"/>
      <c r="D1486" s="292"/>
      <c r="E1486" s="489"/>
      <c r="F1486" s="489"/>
      <c r="G1486" s="490"/>
      <c r="H1486" s="520"/>
      <c r="I1486" s="523"/>
      <c r="J1486" s="521"/>
      <c r="K1486" s="522"/>
      <c r="M1486" s="301" t="str">
        <f>N1486&amp;AS[[#This Row],[Insurer Code]]&amp;"; "&amp;O1486&amp;AS[[#This Row],[Reporting Year]]&amp;"; "&amp;P1486&amp;AS[[#This Row],[Insurance Category Code]]&amp;"; "&amp;Q1486&amp;AS[[#This Row],[Large Provider Entity Code]]&amp;"; "&amp;R1486&amp;AS[[#This Row],[Age Band Code]]&amp;"; "&amp;S1486&amp;AS[[#This Row],[Sex Code]]</f>
        <v xml:space="preserve">Insurer Code ; Reporting Year ; Insurance Category Code ; Large Provider Entity Code ; Age Band Code ; Sex Code </v>
      </c>
      <c r="N1486" s="297" t="s">
        <v>197</v>
      </c>
      <c r="O1486" s="297" t="s">
        <v>198</v>
      </c>
      <c r="P1486" s="297" t="s">
        <v>199</v>
      </c>
      <c r="Q1486" s="297" t="s">
        <v>200</v>
      </c>
      <c r="R1486" s="297" t="s">
        <v>213</v>
      </c>
      <c r="S1486" s="297" t="s">
        <v>214</v>
      </c>
    </row>
    <row r="1487" spans="1:19" x14ac:dyDescent="0.4">
      <c r="A1487" s="291"/>
      <c r="B1487" s="292"/>
      <c r="C1487" s="312"/>
      <c r="D1487" s="292"/>
      <c r="E1487" s="489"/>
      <c r="F1487" s="489"/>
      <c r="G1487" s="490"/>
      <c r="H1487" s="520"/>
      <c r="I1487" s="523"/>
      <c r="J1487" s="521"/>
      <c r="K1487" s="522"/>
      <c r="M1487" s="301" t="str">
        <f>N1487&amp;AS[[#This Row],[Insurer Code]]&amp;"; "&amp;O1487&amp;AS[[#This Row],[Reporting Year]]&amp;"; "&amp;P1487&amp;AS[[#This Row],[Insurance Category Code]]&amp;"; "&amp;Q1487&amp;AS[[#This Row],[Large Provider Entity Code]]&amp;"; "&amp;R1487&amp;AS[[#This Row],[Age Band Code]]&amp;"; "&amp;S1487&amp;AS[[#This Row],[Sex Code]]</f>
        <v xml:space="preserve">Insurer Code ; Reporting Year ; Insurance Category Code ; Large Provider Entity Code ; Age Band Code ; Sex Code </v>
      </c>
      <c r="N1487" s="297" t="s">
        <v>197</v>
      </c>
      <c r="O1487" s="297" t="s">
        <v>198</v>
      </c>
      <c r="P1487" s="297" t="s">
        <v>199</v>
      </c>
      <c r="Q1487" s="297" t="s">
        <v>200</v>
      </c>
      <c r="R1487" s="297" t="s">
        <v>213</v>
      </c>
      <c r="S1487" s="297" t="s">
        <v>214</v>
      </c>
    </row>
    <row r="1488" spans="1:19" x14ac:dyDescent="0.4">
      <c r="A1488" s="291"/>
      <c r="B1488" s="292"/>
      <c r="C1488" s="312"/>
      <c r="D1488" s="292"/>
      <c r="E1488" s="489"/>
      <c r="F1488" s="489"/>
      <c r="G1488" s="490"/>
      <c r="H1488" s="520"/>
      <c r="I1488" s="523"/>
      <c r="J1488" s="521"/>
      <c r="K1488" s="522"/>
      <c r="M1488" s="301" t="str">
        <f>N1488&amp;AS[[#This Row],[Insurer Code]]&amp;"; "&amp;O1488&amp;AS[[#This Row],[Reporting Year]]&amp;"; "&amp;P1488&amp;AS[[#This Row],[Insurance Category Code]]&amp;"; "&amp;Q1488&amp;AS[[#This Row],[Large Provider Entity Code]]&amp;"; "&amp;R1488&amp;AS[[#This Row],[Age Band Code]]&amp;"; "&amp;S1488&amp;AS[[#This Row],[Sex Code]]</f>
        <v xml:space="preserve">Insurer Code ; Reporting Year ; Insurance Category Code ; Large Provider Entity Code ; Age Band Code ; Sex Code </v>
      </c>
      <c r="N1488" s="297" t="s">
        <v>197</v>
      </c>
      <c r="O1488" s="297" t="s">
        <v>198</v>
      </c>
      <c r="P1488" s="297" t="s">
        <v>199</v>
      </c>
      <c r="Q1488" s="297" t="s">
        <v>200</v>
      </c>
      <c r="R1488" s="297" t="s">
        <v>213</v>
      </c>
      <c r="S1488" s="297" t="s">
        <v>214</v>
      </c>
    </row>
    <row r="1489" spans="1:19" x14ac:dyDescent="0.4">
      <c r="A1489" s="291"/>
      <c r="B1489" s="292"/>
      <c r="C1489" s="312"/>
      <c r="D1489" s="292"/>
      <c r="E1489" s="489"/>
      <c r="F1489" s="489"/>
      <c r="G1489" s="490"/>
      <c r="H1489" s="520"/>
      <c r="I1489" s="523"/>
      <c r="J1489" s="521"/>
      <c r="K1489" s="522"/>
      <c r="M1489" s="301" t="str">
        <f>N1489&amp;AS[[#This Row],[Insurer Code]]&amp;"; "&amp;O1489&amp;AS[[#This Row],[Reporting Year]]&amp;"; "&amp;P1489&amp;AS[[#This Row],[Insurance Category Code]]&amp;"; "&amp;Q1489&amp;AS[[#This Row],[Large Provider Entity Code]]&amp;"; "&amp;R1489&amp;AS[[#This Row],[Age Band Code]]&amp;"; "&amp;S1489&amp;AS[[#This Row],[Sex Code]]</f>
        <v xml:space="preserve">Insurer Code ; Reporting Year ; Insurance Category Code ; Large Provider Entity Code ; Age Band Code ; Sex Code </v>
      </c>
      <c r="N1489" s="297" t="s">
        <v>197</v>
      </c>
      <c r="O1489" s="297" t="s">
        <v>198</v>
      </c>
      <c r="P1489" s="297" t="s">
        <v>199</v>
      </c>
      <c r="Q1489" s="297" t="s">
        <v>200</v>
      </c>
      <c r="R1489" s="297" t="s">
        <v>213</v>
      </c>
      <c r="S1489" s="297" t="s">
        <v>214</v>
      </c>
    </row>
    <row r="1490" spans="1:19" x14ac:dyDescent="0.4">
      <c r="A1490" s="291"/>
      <c r="B1490" s="292"/>
      <c r="C1490" s="312"/>
      <c r="D1490" s="292"/>
      <c r="E1490" s="489"/>
      <c r="F1490" s="489"/>
      <c r="G1490" s="490"/>
      <c r="H1490" s="520"/>
      <c r="I1490" s="523"/>
      <c r="J1490" s="521"/>
      <c r="K1490" s="522"/>
      <c r="M1490" s="301" t="str">
        <f>N1490&amp;AS[[#This Row],[Insurer Code]]&amp;"; "&amp;O1490&amp;AS[[#This Row],[Reporting Year]]&amp;"; "&amp;P1490&amp;AS[[#This Row],[Insurance Category Code]]&amp;"; "&amp;Q1490&amp;AS[[#This Row],[Large Provider Entity Code]]&amp;"; "&amp;R1490&amp;AS[[#This Row],[Age Band Code]]&amp;"; "&amp;S1490&amp;AS[[#This Row],[Sex Code]]</f>
        <v xml:space="preserve">Insurer Code ; Reporting Year ; Insurance Category Code ; Large Provider Entity Code ; Age Band Code ; Sex Code </v>
      </c>
      <c r="N1490" s="297" t="s">
        <v>197</v>
      </c>
      <c r="O1490" s="297" t="s">
        <v>198</v>
      </c>
      <c r="P1490" s="297" t="s">
        <v>199</v>
      </c>
      <c r="Q1490" s="297" t="s">
        <v>200</v>
      </c>
      <c r="R1490" s="297" t="s">
        <v>213</v>
      </c>
      <c r="S1490" s="297" t="s">
        <v>214</v>
      </c>
    </row>
    <row r="1491" spans="1:19" x14ac:dyDescent="0.4">
      <c r="A1491" s="291"/>
      <c r="B1491" s="292"/>
      <c r="C1491" s="312"/>
      <c r="D1491" s="292"/>
      <c r="E1491" s="489"/>
      <c r="F1491" s="489"/>
      <c r="G1491" s="490"/>
      <c r="H1491" s="520"/>
      <c r="I1491" s="523"/>
      <c r="J1491" s="521"/>
      <c r="K1491" s="522"/>
      <c r="M1491" s="301" t="str">
        <f>N1491&amp;AS[[#This Row],[Insurer Code]]&amp;"; "&amp;O1491&amp;AS[[#This Row],[Reporting Year]]&amp;"; "&amp;P1491&amp;AS[[#This Row],[Insurance Category Code]]&amp;"; "&amp;Q1491&amp;AS[[#This Row],[Large Provider Entity Code]]&amp;"; "&amp;R1491&amp;AS[[#This Row],[Age Band Code]]&amp;"; "&amp;S1491&amp;AS[[#This Row],[Sex Code]]</f>
        <v xml:space="preserve">Insurer Code ; Reporting Year ; Insurance Category Code ; Large Provider Entity Code ; Age Band Code ; Sex Code </v>
      </c>
      <c r="N1491" s="297" t="s">
        <v>197</v>
      </c>
      <c r="O1491" s="297" t="s">
        <v>198</v>
      </c>
      <c r="P1491" s="297" t="s">
        <v>199</v>
      </c>
      <c r="Q1491" s="297" t="s">
        <v>200</v>
      </c>
      <c r="R1491" s="297" t="s">
        <v>213</v>
      </c>
      <c r="S1491" s="297" t="s">
        <v>214</v>
      </c>
    </row>
    <row r="1492" spans="1:19" x14ac:dyDescent="0.4">
      <c r="A1492" s="291"/>
      <c r="B1492" s="292"/>
      <c r="C1492" s="312"/>
      <c r="D1492" s="292"/>
      <c r="E1492" s="489"/>
      <c r="F1492" s="489"/>
      <c r="G1492" s="490"/>
      <c r="H1492" s="520"/>
      <c r="I1492" s="523"/>
      <c r="J1492" s="521"/>
      <c r="K1492" s="522"/>
      <c r="M1492" s="301" t="str">
        <f>N1492&amp;AS[[#This Row],[Insurer Code]]&amp;"; "&amp;O1492&amp;AS[[#This Row],[Reporting Year]]&amp;"; "&amp;P1492&amp;AS[[#This Row],[Insurance Category Code]]&amp;"; "&amp;Q1492&amp;AS[[#This Row],[Large Provider Entity Code]]&amp;"; "&amp;R1492&amp;AS[[#This Row],[Age Band Code]]&amp;"; "&amp;S1492&amp;AS[[#This Row],[Sex Code]]</f>
        <v xml:space="preserve">Insurer Code ; Reporting Year ; Insurance Category Code ; Large Provider Entity Code ; Age Band Code ; Sex Code </v>
      </c>
      <c r="N1492" s="297" t="s">
        <v>197</v>
      </c>
      <c r="O1492" s="297" t="s">
        <v>198</v>
      </c>
      <c r="P1492" s="297" t="s">
        <v>199</v>
      </c>
      <c r="Q1492" s="297" t="s">
        <v>200</v>
      </c>
      <c r="R1492" s="297" t="s">
        <v>213</v>
      </c>
      <c r="S1492" s="297" t="s">
        <v>214</v>
      </c>
    </row>
    <row r="1493" spans="1:19" x14ac:dyDescent="0.4">
      <c r="A1493" s="291"/>
      <c r="B1493" s="292"/>
      <c r="C1493" s="312"/>
      <c r="D1493" s="292"/>
      <c r="E1493" s="489"/>
      <c r="F1493" s="489"/>
      <c r="G1493" s="490"/>
      <c r="H1493" s="520"/>
      <c r="I1493" s="523"/>
      <c r="J1493" s="521"/>
      <c r="K1493" s="522"/>
      <c r="M1493" s="301" t="str">
        <f>N1493&amp;AS[[#This Row],[Insurer Code]]&amp;"; "&amp;O1493&amp;AS[[#This Row],[Reporting Year]]&amp;"; "&amp;P1493&amp;AS[[#This Row],[Insurance Category Code]]&amp;"; "&amp;Q1493&amp;AS[[#This Row],[Large Provider Entity Code]]&amp;"; "&amp;R1493&amp;AS[[#This Row],[Age Band Code]]&amp;"; "&amp;S1493&amp;AS[[#This Row],[Sex Code]]</f>
        <v xml:space="preserve">Insurer Code ; Reporting Year ; Insurance Category Code ; Large Provider Entity Code ; Age Band Code ; Sex Code </v>
      </c>
      <c r="N1493" s="297" t="s">
        <v>197</v>
      </c>
      <c r="O1493" s="297" t="s">
        <v>198</v>
      </c>
      <c r="P1493" s="297" t="s">
        <v>199</v>
      </c>
      <c r="Q1493" s="297" t="s">
        <v>200</v>
      </c>
      <c r="R1493" s="297" t="s">
        <v>213</v>
      </c>
      <c r="S1493" s="297" t="s">
        <v>214</v>
      </c>
    </row>
    <row r="1494" spans="1:19" x14ac:dyDescent="0.4">
      <c r="A1494" s="291"/>
      <c r="B1494" s="292"/>
      <c r="C1494" s="312"/>
      <c r="D1494" s="292"/>
      <c r="E1494" s="489"/>
      <c r="F1494" s="489"/>
      <c r="G1494" s="490"/>
      <c r="H1494" s="520"/>
      <c r="I1494" s="523"/>
      <c r="J1494" s="521"/>
      <c r="K1494" s="522"/>
      <c r="M1494" s="301" t="str">
        <f>N1494&amp;AS[[#This Row],[Insurer Code]]&amp;"; "&amp;O1494&amp;AS[[#This Row],[Reporting Year]]&amp;"; "&amp;P1494&amp;AS[[#This Row],[Insurance Category Code]]&amp;"; "&amp;Q1494&amp;AS[[#This Row],[Large Provider Entity Code]]&amp;"; "&amp;R1494&amp;AS[[#This Row],[Age Band Code]]&amp;"; "&amp;S1494&amp;AS[[#This Row],[Sex Code]]</f>
        <v xml:space="preserve">Insurer Code ; Reporting Year ; Insurance Category Code ; Large Provider Entity Code ; Age Band Code ; Sex Code </v>
      </c>
      <c r="N1494" s="297" t="s">
        <v>197</v>
      </c>
      <c r="O1494" s="297" t="s">
        <v>198</v>
      </c>
      <c r="P1494" s="297" t="s">
        <v>199</v>
      </c>
      <c r="Q1494" s="297" t="s">
        <v>200</v>
      </c>
      <c r="R1494" s="297" t="s">
        <v>213</v>
      </c>
      <c r="S1494" s="297" t="s">
        <v>214</v>
      </c>
    </row>
    <row r="1495" spans="1:19" x14ac:dyDescent="0.4">
      <c r="A1495" s="291"/>
      <c r="B1495" s="292"/>
      <c r="C1495" s="312"/>
      <c r="D1495" s="292"/>
      <c r="E1495" s="489"/>
      <c r="F1495" s="489"/>
      <c r="G1495" s="490"/>
      <c r="H1495" s="520"/>
      <c r="I1495" s="523"/>
      <c r="J1495" s="521"/>
      <c r="K1495" s="522"/>
      <c r="M1495" s="301" t="str">
        <f>N1495&amp;AS[[#This Row],[Insurer Code]]&amp;"; "&amp;O1495&amp;AS[[#This Row],[Reporting Year]]&amp;"; "&amp;P1495&amp;AS[[#This Row],[Insurance Category Code]]&amp;"; "&amp;Q1495&amp;AS[[#This Row],[Large Provider Entity Code]]&amp;"; "&amp;R1495&amp;AS[[#This Row],[Age Band Code]]&amp;"; "&amp;S1495&amp;AS[[#This Row],[Sex Code]]</f>
        <v xml:space="preserve">Insurer Code ; Reporting Year ; Insurance Category Code ; Large Provider Entity Code ; Age Band Code ; Sex Code </v>
      </c>
      <c r="N1495" s="297" t="s">
        <v>197</v>
      </c>
      <c r="O1495" s="297" t="s">
        <v>198</v>
      </c>
      <c r="P1495" s="297" t="s">
        <v>199</v>
      </c>
      <c r="Q1495" s="297" t="s">
        <v>200</v>
      </c>
      <c r="R1495" s="297" t="s">
        <v>213</v>
      </c>
      <c r="S1495" s="297" t="s">
        <v>214</v>
      </c>
    </row>
    <row r="1496" spans="1:19" x14ac:dyDescent="0.4">
      <c r="A1496" s="291"/>
      <c r="B1496" s="292"/>
      <c r="C1496" s="312"/>
      <c r="D1496" s="292"/>
      <c r="E1496" s="489"/>
      <c r="F1496" s="489"/>
      <c r="G1496" s="490"/>
      <c r="H1496" s="520"/>
      <c r="I1496" s="523"/>
      <c r="J1496" s="521"/>
      <c r="K1496" s="522"/>
      <c r="M1496" s="301" t="str">
        <f>N1496&amp;AS[[#This Row],[Insurer Code]]&amp;"; "&amp;O1496&amp;AS[[#This Row],[Reporting Year]]&amp;"; "&amp;P1496&amp;AS[[#This Row],[Insurance Category Code]]&amp;"; "&amp;Q1496&amp;AS[[#This Row],[Large Provider Entity Code]]&amp;"; "&amp;R1496&amp;AS[[#This Row],[Age Band Code]]&amp;"; "&amp;S1496&amp;AS[[#This Row],[Sex Code]]</f>
        <v xml:space="preserve">Insurer Code ; Reporting Year ; Insurance Category Code ; Large Provider Entity Code ; Age Band Code ; Sex Code </v>
      </c>
      <c r="N1496" s="297" t="s">
        <v>197</v>
      </c>
      <c r="O1496" s="297" t="s">
        <v>198</v>
      </c>
      <c r="P1496" s="297" t="s">
        <v>199</v>
      </c>
      <c r="Q1496" s="297" t="s">
        <v>200</v>
      </c>
      <c r="R1496" s="297" t="s">
        <v>213</v>
      </c>
      <c r="S1496" s="297" t="s">
        <v>214</v>
      </c>
    </row>
    <row r="1497" spans="1:19" x14ac:dyDescent="0.4">
      <c r="A1497" s="291"/>
      <c r="B1497" s="292"/>
      <c r="C1497" s="312"/>
      <c r="D1497" s="292"/>
      <c r="E1497" s="489"/>
      <c r="F1497" s="489"/>
      <c r="G1497" s="490"/>
      <c r="H1497" s="520"/>
      <c r="I1497" s="523"/>
      <c r="J1497" s="521"/>
      <c r="K1497" s="522"/>
      <c r="M1497" s="301" t="str">
        <f>N1497&amp;AS[[#This Row],[Insurer Code]]&amp;"; "&amp;O1497&amp;AS[[#This Row],[Reporting Year]]&amp;"; "&amp;P1497&amp;AS[[#This Row],[Insurance Category Code]]&amp;"; "&amp;Q1497&amp;AS[[#This Row],[Large Provider Entity Code]]&amp;"; "&amp;R1497&amp;AS[[#This Row],[Age Band Code]]&amp;"; "&amp;S1497&amp;AS[[#This Row],[Sex Code]]</f>
        <v xml:space="preserve">Insurer Code ; Reporting Year ; Insurance Category Code ; Large Provider Entity Code ; Age Band Code ; Sex Code </v>
      </c>
      <c r="N1497" s="297" t="s">
        <v>197</v>
      </c>
      <c r="O1497" s="297" t="s">
        <v>198</v>
      </c>
      <c r="P1497" s="297" t="s">
        <v>199</v>
      </c>
      <c r="Q1497" s="297" t="s">
        <v>200</v>
      </c>
      <c r="R1497" s="297" t="s">
        <v>213</v>
      </c>
      <c r="S1497" s="297" t="s">
        <v>214</v>
      </c>
    </row>
    <row r="1498" spans="1:19" x14ac:dyDescent="0.4">
      <c r="A1498" s="291"/>
      <c r="B1498" s="292"/>
      <c r="C1498" s="312"/>
      <c r="D1498" s="292"/>
      <c r="E1498" s="489"/>
      <c r="F1498" s="489"/>
      <c r="G1498" s="490"/>
      <c r="H1498" s="520"/>
      <c r="I1498" s="523"/>
      <c r="J1498" s="521"/>
      <c r="K1498" s="522"/>
      <c r="M1498" s="301" t="str">
        <f>N1498&amp;AS[[#This Row],[Insurer Code]]&amp;"; "&amp;O1498&amp;AS[[#This Row],[Reporting Year]]&amp;"; "&amp;P1498&amp;AS[[#This Row],[Insurance Category Code]]&amp;"; "&amp;Q1498&amp;AS[[#This Row],[Large Provider Entity Code]]&amp;"; "&amp;R1498&amp;AS[[#This Row],[Age Band Code]]&amp;"; "&amp;S1498&amp;AS[[#This Row],[Sex Code]]</f>
        <v xml:space="preserve">Insurer Code ; Reporting Year ; Insurance Category Code ; Large Provider Entity Code ; Age Band Code ; Sex Code </v>
      </c>
      <c r="N1498" s="297" t="s">
        <v>197</v>
      </c>
      <c r="O1498" s="297" t="s">
        <v>198</v>
      </c>
      <c r="P1498" s="297" t="s">
        <v>199</v>
      </c>
      <c r="Q1498" s="297" t="s">
        <v>200</v>
      </c>
      <c r="R1498" s="297" t="s">
        <v>213</v>
      </c>
      <c r="S1498" s="297" t="s">
        <v>214</v>
      </c>
    </row>
    <row r="1499" spans="1:19" x14ac:dyDescent="0.4">
      <c r="A1499" s="291"/>
      <c r="B1499" s="292"/>
      <c r="C1499" s="312"/>
      <c r="D1499" s="292"/>
      <c r="E1499" s="489"/>
      <c r="F1499" s="489"/>
      <c r="G1499" s="490"/>
      <c r="H1499" s="520"/>
      <c r="I1499" s="523"/>
      <c r="J1499" s="521"/>
      <c r="K1499" s="522"/>
      <c r="M1499" s="301" t="str">
        <f>N1499&amp;AS[[#This Row],[Insurer Code]]&amp;"; "&amp;O1499&amp;AS[[#This Row],[Reporting Year]]&amp;"; "&amp;P1499&amp;AS[[#This Row],[Insurance Category Code]]&amp;"; "&amp;Q1499&amp;AS[[#This Row],[Large Provider Entity Code]]&amp;"; "&amp;R1499&amp;AS[[#This Row],[Age Band Code]]&amp;"; "&amp;S1499&amp;AS[[#This Row],[Sex Code]]</f>
        <v xml:space="preserve">Insurer Code ; Reporting Year ; Insurance Category Code ; Large Provider Entity Code ; Age Band Code ; Sex Code </v>
      </c>
      <c r="N1499" s="297" t="s">
        <v>197</v>
      </c>
      <c r="O1499" s="297" t="s">
        <v>198</v>
      </c>
      <c r="P1499" s="297" t="s">
        <v>199</v>
      </c>
      <c r="Q1499" s="297" t="s">
        <v>200</v>
      </c>
      <c r="R1499" s="297" t="s">
        <v>213</v>
      </c>
      <c r="S1499" s="297" t="s">
        <v>214</v>
      </c>
    </row>
    <row r="1500" spans="1:19" x14ac:dyDescent="0.4">
      <c r="A1500" s="291"/>
      <c r="B1500" s="292"/>
      <c r="C1500" s="312"/>
      <c r="D1500" s="292"/>
      <c r="E1500" s="489"/>
      <c r="F1500" s="489"/>
      <c r="G1500" s="490"/>
      <c r="H1500" s="520"/>
      <c r="I1500" s="523"/>
      <c r="J1500" s="521"/>
      <c r="K1500" s="522"/>
      <c r="M1500" s="301" t="str">
        <f>N1500&amp;AS[[#This Row],[Insurer Code]]&amp;"; "&amp;O1500&amp;AS[[#This Row],[Reporting Year]]&amp;"; "&amp;P1500&amp;AS[[#This Row],[Insurance Category Code]]&amp;"; "&amp;Q1500&amp;AS[[#This Row],[Large Provider Entity Code]]&amp;"; "&amp;R1500&amp;AS[[#This Row],[Age Band Code]]&amp;"; "&amp;S1500&amp;AS[[#This Row],[Sex Code]]</f>
        <v xml:space="preserve">Insurer Code ; Reporting Year ; Insurance Category Code ; Large Provider Entity Code ; Age Band Code ; Sex Code </v>
      </c>
      <c r="N1500" s="297" t="s">
        <v>197</v>
      </c>
      <c r="O1500" s="297" t="s">
        <v>198</v>
      </c>
      <c r="P1500" s="297" t="s">
        <v>199</v>
      </c>
      <c r="Q1500" s="297" t="s">
        <v>200</v>
      </c>
      <c r="R1500" s="297" t="s">
        <v>213</v>
      </c>
      <c r="S1500" s="297" t="s">
        <v>214</v>
      </c>
    </row>
    <row r="1501" spans="1:19" x14ac:dyDescent="0.4">
      <c r="A1501" s="291"/>
      <c r="B1501" s="292"/>
      <c r="C1501" s="312"/>
      <c r="D1501" s="292"/>
      <c r="E1501" s="489"/>
      <c r="F1501" s="489"/>
      <c r="G1501" s="490"/>
      <c r="H1501" s="520"/>
      <c r="I1501" s="523"/>
      <c r="J1501" s="521"/>
      <c r="K1501" s="522"/>
      <c r="M1501" s="301" t="str">
        <f>N1501&amp;AS[[#This Row],[Insurer Code]]&amp;"; "&amp;O1501&amp;AS[[#This Row],[Reporting Year]]&amp;"; "&amp;P1501&amp;AS[[#This Row],[Insurance Category Code]]&amp;"; "&amp;Q1501&amp;AS[[#This Row],[Large Provider Entity Code]]&amp;"; "&amp;R1501&amp;AS[[#This Row],[Age Band Code]]&amp;"; "&amp;S1501&amp;AS[[#This Row],[Sex Code]]</f>
        <v xml:space="preserve">Insurer Code ; Reporting Year ; Insurance Category Code ; Large Provider Entity Code ; Age Band Code ; Sex Code </v>
      </c>
      <c r="N1501" s="297" t="s">
        <v>197</v>
      </c>
      <c r="O1501" s="297" t="s">
        <v>198</v>
      </c>
      <c r="P1501" s="297" t="s">
        <v>199</v>
      </c>
      <c r="Q1501" s="297" t="s">
        <v>200</v>
      </c>
      <c r="R1501" s="297" t="s">
        <v>213</v>
      </c>
      <c r="S1501" s="297" t="s">
        <v>214</v>
      </c>
    </row>
    <row r="1502" spans="1:19" x14ac:dyDescent="0.4">
      <c r="A1502" s="291"/>
      <c r="B1502" s="292"/>
      <c r="C1502" s="312"/>
      <c r="D1502" s="292"/>
      <c r="E1502" s="489"/>
      <c r="F1502" s="489"/>
      <c r="G1502" s="490"/>
      <c r="H1502" s="520"/>
      <c r="I1502" s="523"/>
      <c r="J1502" s="521"/>
      <c r="K1502" s="522"/>
      <c r="M1502" s="301" t="str">
        <f>N1502&amp;AS[[#This Row],[Insurer Code]]&amp;"; "&amp;O1502&amp;AS[[#This Row],[Reporting Year]]&amp;"; "&amp;P1502&amp;AS[[#This Row],[Insurance Category Code]]&amp;"; "&amp;Q1502&amp;AS[[#This Row],[Large Provider Entity Code]]&amp;"; "&amp;R1502&amp;AS[[#This Row],[Age Band Code]]&amp;"; "&amp;S1502&amp;AS[[#This Row],[Sex Code]]</f>
        <v xml:space="preserve">Insurer Code ; Reporting Year ; Insurance Category Code ; Large Provider Entity Code ; Age Band Code ; Sex Code </v>
      </c>
      <c r="N1502" s="297" t="s">
        <v>197</v>
      </c>
      <c r="O1502" s="297" t="s">
        <v>198</v>
      </c>
      <c r="P1502" s="297" t="s">
        <v>199</v>
      </c>
      <c r="Q1502" s="297" t="s">
        <v>200</v>
      </c>
      <c r="R1502" s="297" t="s">
        <v>213</v>
      </c>
      <c r="S1502" s="297" t="s">
        <v>214</v>
      </c>
    </row>
    <row r="1503" spans="1:19" x14ac:dyDescent="0.4">
      <c r="A1503" s="291"/>
      <c r="B1503" s="292"/>
      <c r="C1503" s="312"/>
      <c r="D1503" s="292"/>
      <c r="E1503" s="489"/>
      <c r="F1503" s="489"/>
      <c r="G1503" s="490"/>
      <c r="H1503" s="520"/>
      <c r="I1503" s="523"/>
      <c r="J1503" s="521"/>
      <c r="K1503" s="522"/>
      <c r="M1503" s="301" t="str">
        <f>N1503&amp;AS[[#This Row],[Insurer Code]]&amp;"; "&amp;O1503&amp;AS[[#This Row],[Reporting Year]]&amp;"; "&amp;P1503&amp;AS[[#This Row],[Insurance Category Code]]&amp;"; "&amp;Q1503&amp;AS[[#This Row],[Large Provider Entity Code]]&amp;"; "&amp;R1503&amp;AS[[#This Row],[Age Band Code]]&amp;"; "&amp;S1503&amp;AS[[#This Row],[Sex Code]]</f>
        <v xml:space="preserve">Insurer Code ; Reporting Year ; Insurance Category Code ; Large Provider Entity Code ; Age Band Code ; Sex Code </v>
      </c>
      <c r="N1503" s="297" t="s">
        <v>197</v>
      </c>
      <c r="O1503" s="297" t="s">
        <v>198</v>
      </c>
      <c r="P1503" s="297" t="s">
        <v>199</v>
      </c>
      <c r="Q1503" s="297" t="s">
        <v>200</v>
      </c>
      <c r="R1503" s="297" t="s">
        <v>213</v>
      </c>
      <c r="S1503" s="297" t="s">
        <v>214</v>
      </c>
    </row>
    <row r="1504" spans="1:19" x14ac:dyDescent="0.4">
      <c r="A1504" s="291"/>
      <c r="B1504" s="292"/>
      <c r="C1504" s="312"/>
      <c r="D1504" s="292"/>
      <c r="E1504" s="489"/>
      <c r="F1504" s="489"/>
      <c r="G1504" s="490"/>
      <c r="H1504" s="520"/>
      <c r="I1504" s="523"/>
      <c r="J1504" s="521"/>
      <c r="K1504" s="522"/>
      <c r="M1504" s="301" t="str">
        <f>N1504&amp;AS[[#This Row],[Insurer Code]]&amp;"; "&amp;O1504&amp;AS[[#This Row],[Reporting Year]]&amp;"; "&amp;P1504&amp;AS[[#This Row],[Insurance Category Code]]&amp;"; "&amp;Q1504&amp;AS[[#This Row],[Large Provider Entity Code]]&amp;"; "&amp;R1504&amp;AS[[#This Row],[Age Band Code]]&amp;"; "&amp;S1504&amp;AS[[#This Row],[Sex Code]]</f>
        <v xml:space="preserve">Insurer Code ; Reporting Year ; Insurance Category Code ; Large Provider Entity Code ; Age Band Code ; Sex Code </v>
      </c>
      <c r="N1504" s="297" t="s">
        <v>197</v>
      </c>
      <c r="O1504" s="297" t="s">
        <v>198</v>
      </c>
      <c r="P1504" s="297" t="s">
        <v>199</v>
      </c>
      <c r="Q1504" s="297" t="s">
        <v>200</v>
      </c>
      <c r="R1504" s="297" t="s">
        <v>213</v>
      </c>
      <c r="S1504" s="297" t="s">
        <v>214</v>
      </c>
    </row>
    <row r="1505" spans="1:19" x14ac:dyDescent="0.4">
      <c r="A1505" s="291"/>
      <c r="B1505" s="292"/>
      <c r="C1505" s="312"/>
      <c r="D1505" s="292"/>
      <c r="E1505" s="489"/>
      <c r="F1505" s="489"/>
      <c r="G1505" s="490"/>
      <c r="H1505" s="520"/>
      <c r="I1505" s="523"/>
      <c r="J1505" s="521"/>
      <c r="K1505" s="522"/>
      <c r="M1505" s="301" t="str">
        <f>N1505&amp;AS[[#This Row],[Insurer Code]]&amp;"; "&amp;O1505&amp;AS[[#This Row],[Reporting Year]]&amp;"; "&amp;P1505&amp;AS[[#This Row],[Insurance Category Code]]&amp;"; "&amp;Q1505&amp;AS[[#This Row],[Large Provider Entity Code]]&amp;"; "&amp;R1505&amp;AS[[#This Row],[Age Band Code]]&amp;"; "&amp;S1505&amp;AS[[#This Row],[Sex Code]]</f>
        <v xml:space="preserve">Insurer Code ; Reporting Year ; Insurance Category Code ; Large Provider Entity Code ; Age Band Code ; Sex Code </v>
      </c>
      <c r="N1505" s="297" t="s">
        <v>197</v>
      </c>
      <c r="O1505" s="297" t="s">
        <v>198</v>
      </c>
      <c r="P1505" s="297" t="s">
        <v>199</v>
      </c>
      <c r="Q1505" s="297" t="s">
        <v>200</v>
      </c>
      <c r="R1505" s="297" t="s">
        <v>213</v>
      </c>
      <c r="S1505" s="297" t="s">
        <v>214</v>
      </c>
    </row>
    <row r="1506" spans="1:19" x14ac:dyDescent="0.4">
      <c r="A1506" s="291"/>
      <c r="B1506" s="292"/>
      <c r="C1506" s="312"/>
      <c r="D1506" s="292"/>
      <c r="E1506" s="489"/>
      <c r="F1506" s="489"/>
      <c r="G1506" s="490"/>
      <c r="H1506" s="520"/>
      <c r="I1506" s="523"/>
      <c r="J1506" s="521"/>
      <c r="K1506" s="522"/>
      <c r="M1506" s="301" t="str">
        <f>N1506&amp;AS[[#This Row],[Insurer Code]]&amp;"; "&amp;O1506&amp;AS[[#This Row],[Reporting Year]]&amp;"; "&amp;P1506&amp;AS[[#This Row],[Insurance Category Code]]&amp;"; "&amp;Q1506&amp;AS[[#This Row],[Large Provider Entity Code]]&amp;"; "&amp;R1506&amp;AS[[#This Row],[Age Band Code]]&amp;"; "&amp;S1506&amp;AS[[#This Row],[Sex Code]]</f>
        <v xml:space="preserve">Insurer Code ; Reporting Year ; Insurance Category Code ; Large Provider Entity Code ; Age Band Code ; Sex Code </v>
      </c>
      <c r="N1506" s="297" t="s">
        <v>197</v>
      </c>
      <c r="O1506" s="297" t="s">
        <v>198</v>
      </c>
      <c r="P1506" s="297" t="s">
        <v>199</v>
      </c>
      <c r="Q1506" s="297" t="s">
        <v>200</v>
      </c>
      <c r="R1506" s="297" t="s">
        <v>213</v>
      </c>
      <c r="S1506" s="297" t="s">
        <v>214</v>
      </c>
    </row>
    <row r="1507" spans="1:19" x14ac:dyDescent="0.4">
      <c r="A1507" s="291"/>
      <c r="B1507" s="292"/>
      <c r="C1507" s="312"/>
      <c r="D1507" s="292"/>
      <c r="E1507" s="489"/>
      <c r="F1507" s="489"/>
      <c r="G1507" s="490"/>
      <c r="H1507" s="520"/>
      <c r="I1507" s="523"/>
      <c r="J1507" s="521"/>
      <c r="K1507" s="522"/>
      <c r="M1507" s="301" t="str">
        <f>N1507&amp;AS[[#This Row],[Insurer Code]]&amp;"; "&amp;O1507&amp;AS[[#This Row],[Reporting Year]]&amp;"; "&amp;P1507&amp;AS[[#This Row],[Insurance Category Code]]&amp;"; "&amp;Q1507&amp;AS[[#This Row],[Large Provider Entity Code]]&amp;"; "&amp;R1507&amp;AS[[#This Row],[Age Band Code]]&amp;"; "&amp;S1507&amp;AS[[#This Row],[Sex Code]]</f>
        <v xml:space="preserve">Insurer Code ; Reporting Year ; Insurance Category Code ; Large Provider Entity Code ; Age Band Code ; Sex Code </v>
      </c>
      <c r="N1507" s="297" t="s">
        <v>197</v>
      </c>
      <c r="O1507" s="297" t="s">
        <v>198</v>
      </c>
      <c r="P1507" s="297" t="s">
        <v>199</v>
      </c>
      <c r="Q1507" s="297" t="s">
        <v>200</v>
      </c>
      <c r="R1507" s="297" t="s">
        <v>213</v>
      </c>
      <c r="S1507" s="297" t="s">
        <v>214</v>
      </c>
    </row>
    <row r="1508" spans="1:19" x14ac:dyDescent="0.4">
      <c r="A1508" s="291"/>
      <c r="B1508" s="292"/>
      <c r="C1508" s="312"/>
      <c r="D1508" s="292"/>
      <c r="E1508" s="489"/>
      <c r="F1508" s="489"/>
      <c r="G1508" s="490"/>
      <c r="H1508" s="520"/>
      <c r="I1508" s="523"/>
      <c r="J1508" s="521"/>
      <c r="K1508" s="522"/>
      <c r="M1508" s="301" t="str">
        <f>N1508&amp;AS[[#This Row],[Insurer Code]]&amp;"; "&amp;O1508&amp;AS[[#This Row],[Reporting Year]]&amp;"; "&amp;P1508&amp;AS[[#This Row],[Insurance Category Code]]&amp;"; "&amp;Q1508&amp;AS[[#This Row],[Large Provider Entity Code]]&amp;"; "&amp;R1508&amp;AS[[#This Row],[Age Band Code]]&amp;"; "&amp;S1508&amp;AS[[#This Row],[Sex Code]]</f>
        <v xml:space="preserve">Insurer Code ; Reporting Year ; Insurance Category Code ; Large Provider Entity Code ; Age Band Code ; Sex Code </v>
      </c>
      <c r="N1508" s="297" t="s">
        <v>197</v>
      </c>
      <c r="O1508" s="297" t="s">
        <v>198</v>
      </c>
      <c r="P1508" s="297" t="s">
        <v>199</v>
      </c>
      <c r="Q1508" s="297" t="s">
        <v>200</v>
      </c>
      <c r="R1508" s="297" t="s">
        <v>213</v>
      </c>
      <c r="S1508" s="297" t="s">
        <v>214</v>
      </c>
    </row>
    <row r="1509" spans="1:19" x14ac:dyDescent="0.4">
      <c r="A1509" s="291"/>
      <c r="B1509" s="292"/>
      <c r="C1509" s="312"/>
      <c r="D1509" s="292"/>
      <c r="E1509" s="489"/>
      <c r="F1509" s="489"/>
      <c r="G1509" s="490"/>
      <c r="H1509" s="520"/>
      <c r="I1509" s="523"/>
      <c r="J1509" s="521"/>
      <c r="K1509" s="522"/>
      <c r="M1509" s="301" t="str">
        <f>N1509&amp;AS[[#This Row],[Insurer Code]]&amp;"; "&amp;O1509&amp;AS[[#This Row],[Reporting Year]]&amp;"; "&amp;P1509&amp;AS[[#This Row],[Insurance Category Code]]&amp;"; "&amp;Q1509&amp;AS[[#This Row],[Large Provider Entity Code]]&amp;"; "&amp;R1509&amp;AS[[#This Row],[Age Band Code]]&amp;"; "&amp;S1509&amp;AS[[#This Row],[Sex Code]]</f>
        <v xml:space="preserve">Insurer Code ; Reporting Year ; Insurance Category Code ; Large Provider Entity Code ; Age Band Code ; Sex Code </v>
      </c>
      <c r="N1509" s="297" t="s">
        <v>197</v>
      </c>
      <c r="O1509" s="297" t="s">
        <v>198</v>
      </c>
      <c r="P1509" s="297" t="s">
        <v>199</v>
      </c>
      <c r="Q1509" s="297" t="s">
        <v>200</v>
      </c>
      <c r="R1509" s="297" t="s">
        <v>213</v>
      </c>
      <c r="S1509" s="297" t="s">
        <v>214</v>
      </c>
    </row>
    <row r="1510" spans="1:19" x14ac:dyDescent="0.4">
      <c r="A1510" s="291"/>
      <c r="B1510" s="292"/>
      <c r="C1510" s="312"/>
      <c r="D1510" s="292"/>
      <c r="E1510" s="489"/>
      <c r="F1510" s="489"/>
      <c r="G1510" s="490"/>
      <c r="H1510" s="520"/>
      <c r="I1510" s="523"/>
      <c r="J1510" s="521"/>
      <c r="K1510" s="522"/>
      <c r="M1510" s="301" t="str">
        <f>N1510&amp;AS[[#This Row],[Insurer Code]]&amp;"; "&amp;O1510&amp;AS[[#This Row],[Reporting Year]]&amp;"; "&amp;P1510&amp;AS[[#This Row],[Insurance Category Code]]&amp;"; "&amp;Q1510&amp;AS[[#This Row],[Large Provider Entity Code]]&amp;"; "&amp;R1510&amp;AS[[#This Row],[Age Band Code]]&amp;"; "&amp;S1510&amp;AS[[#This Row],[Sex Code]]</f>
        <v xml:space="preserve">Insurer Code ; Reporting Year ; Insurance Category Code ; Large Provider Entity Code ; Age Band Code ; Sex Code </v>
      </c>
      <c r="N1510" s="297" t="s">
        <v>197</v>
      </c>
      <c r="O1510" s="297" t="s">
        <v>198</v>
      </c>
      <c r="P1510" s="297" t="s">
        <v>199</v>
      </c>
      <c r="Q1510" s="297" t="s">
        <v>200</v>
      </c>
      <c r="R1510" s="297" t="s">
        <v>213</v>
      </c>
      <c r="S1510" s="297" t="s">
        <v>214</v>
      </c>
    </row>
    <row r="1511" spans="1:19" x14ac:dyDescent="0.4">
      <c r="A1511" s="291"/>
      <c r="B1511" s="292"/>
      <c r="C1511" s="312"/>
      <c r="D1511" s="292"/>
      <c r="E1511" s="489"/>
      <c r="F1511" s="489"/>
      <c r="G1511" s="490"/>
      <c r="H1511" s="520"/>
      <c r="I1511" s="523"/>
      <c r="J1511" s="521"/>
      <c r="K1511" s="522"/>
      <c r="M1511" s="301" t="str">
        <f>N1511&amp;AS[[#This Row],[Insurer Code]]&amp;"; "&amp;O1511&amp;AS[[#This Row],[Reporting Year]]&amp;"; "&amp;P1511&amp;AS[[#This Row],[Insurance Category Code]]&amp;"; "&amp;Q1511&amp;AS[[#This Row],[Large Provider Entity Code]]&amp;"; "&amp;R1511&amp;AS[[#This Row],[Age Band Code]]&amp;"; "&amp;S1511&amp;AS[[#This Row],[Sex Code]]</f>
        <v xml:space="preserve">Insurer Code ; Reporting Year ; Insurance Category Code ; Large Provider Entity Code ; Age Band Code ; Sex Code </v>
      </c>
      <c r="N1511" s="297" t="s">
        <v>197</v>
      </c>
      <c r="O1511" s="297" t="s">
        <v>198</v>
      </c>
      <c r="P1511" s="297" t="s">
        <v>199</v>
      </c>
      <c r="Q1511" s="297" t="s">
        <v>200</v>
      </c>
      <c r="R1511" s="297" t="s">
        <v>213</v>
      </c>
      <c r="S1511" s="297" t="s">
        <v>214</v>
      </c>
    </row>
    <row r="1512" spans="1:19" x14ac:dyDescent="0.4">
      <c r="A1512" s="291"/>
      <c r="B1512" s="292"/>
      <c r="C1512" s="312"/>
      <c r="D1512" s="292"/>
      <c r="E1512" s="489"/>
      <c r="F1512" s="489"/>
      <c r="G1512" s="490"/>
      <c r="H1512" s="520"/>
      <c r="I1512" s="523"/>
      <c r="J1512" s="521"/>
      <c r="K1512" s="522"/>
      <c r="M1512" s="301" t="str">
        <f>N1512&amp;AS[[#This Row],[Insurer Code]]&amp;"; "&amp;O1512&amp;AS[[#This Row],[Reporting Year]]&amp;"; "&amp;P1512&amp;AS[[#This Row],[Insurance Category Code]]&amp;"; "&amp;Q1512&amp;AS[[#This Row],[Large Provider Entity Code]]&amp;"; "&amp;R1512&amp;AS[[#This Row],[Age Band Code]]&amp;"; "&amp;S1512&amp;AS[[#This Row],[Sex Code]]</f>
        <v xml:space="preserve">Insurer Code ; Reporting Year ; Insurance Category Code ; Large Provider Entity Code ; Age Band Code ; Sex Code </v>
      </c>
      <c r="N1512" s="297" t="s">
        <v>197</v>
      </c>
      <c r="O1512" s="297" t="s">
        <v>198</v>
      </c>
      <c r="P1512" s="297" t="s">
        <v>199</v>
      </c>
      <c r="Q1512" s="297" t="s">
        <v>200</v>
      </c>
      <c r="R1512" s="297" t="s">
        <v>213</v>
      </c>
      <c r="S1512" s="297" t="s">
        <v>214</v>
      </c>
    </row>
    <row r="1513" spans="1:19" x14ac:dyDescent="0.4">
      <c r="A1513" s="291"/>
      <c r="B1513" s="292"/>
      <c r="C1513" s="312"/>
      <c r="D1513" s="292"/>
      <c r="E1513" s="489"/>
      <c r="F1513" s="489"/>
      <c r="G1513" s="490"/>
      <c r="H1513" s="520"/>
      <c r="I1513" s="523"/>
      <c r="J1513" s="521"/>
      <c r="K1513" s="522"/>
      <c r="M1513" s="301" t="str">
        <f>N1513&amp;AS[[#This Row],[Insurer Code]]&amp;"; "&amp;O1513&amp;AS[[#This Row],[Reporting Year]]&amp;"; "&amp;P1513&amp;AS[[#This Row],[Insurance Category Code]]&amp;"; "&amp;Q1513&amp;AS[[#This Row],[Large Provider Entity Code]]&amp;"; "&amp;R1513&amp;AS[[#This Row],[Age Band Code]]&amp;"; "&amp;S1513&amp;AS[[#This Row],[Sex Code]]</f>
        <v xml:space="preserve">Insurer Code ; Reporting Year ; Insurance Category Code ; Large Provider Entity Code ; Age Band Code ; Sex Code </v>
      </c>
      <c r="N1513" s="297" t="s">
        <v>197</v>
      </c>
      <c r="O1513" s="297" t="s">
        <v>198</v>
      </c>
      <c r="P1513" s="297" t="s">
        <v>199</v>
      </c>
      <c r="Q1513" s="297" t="s">
        <v>200</v>
      </c>
      <c r="R1513" s="297" t="s">
        <v>213</v>
      </c>
      <c r="S1513" s="297" t="s">
        <v>214</v>
      </c>
    </row>
    <row r="1514" spans="1:19" x14ac:dyDescent="0.4">
      <c r="A1514" s="291"/>
      <c r="B1514" s="292"/>
      <c r="C1514" s="312"/>
      <c r="D1514" s="292"/>
      <c r="E1514" s="489"/>
      <c r="F1514" s="489"/>
      <c r="G1514" s="490"/>
      <c r="H1514" s="520"/>
      <c r="I1514" s="523"/>
      <c r="J1514" s="521"/>
      <c r="K1514" s="522"/>
      <c r="M1514" s="301" t="str">
        <f>N1514&amp;AS[[#This Row],[Insurer Code]]&amp;"; "&amp;O1514&amp;AS[[#This Row],[Reporting Year]]&amp;"; "&amp;P1514&amp;AS[[#This Row],[Insurance Category Code]]&amp;"; "&amp;Q1514&amp;AS[[#This Row],[Large Provider Entity Code]]&amp;"; "&amp;R1514&amp;AS[[#This Row],[Age Band Code]]&amp;"; "&amp;S1514&amp;AS[[#This Row],[Sex Code]]</f>
        <v xml:space="preserve">Insurer Code ; Reporting Year ; Insurance Category Code ; Large Provider Entity Code ; Age Band Code ; Sex Code </v>
      </c>
      <c r="N1514" s="297" t="s">
        <v>197</v>
      </c>
      <c r="O1514" s="297" t="s">
        <v>198</v>
      </c>
      <c r="P1514" s="297" t="s">
        <v>199</v>
      </c>
      <c r="Q1514" s="297" t="s">
        <v>200</v>
      </c>
      <c r="R1514" s="297" t="s">
        <v>213</v>
      </c>
      <c r="S1514" s="297" t="s">
        <v>214</v>
      </c>
    </row>
    <row r="1515" spans="1:19" x14ac:dyDescent="0.4">
      <c r="A1515" s="291"/>
      <c r="B1515" s="292"/>
      <c r="C1515" s="312"/>
      <c r="D1515" s="292"/>
      <c r="E1515" s="489"/>
      <c r="F1515" s="489"/>
      <c r="G1515" s="490"/>
      <c r="H1515" s="520"/>
      <c r="I1515" s="523"/>
      <c r="J1515" s="521"/>
      <c r="K1515" s="522"/>
      <c r="M1515" s="301" t="str">
        <f>N1515&amp;AS[[#This Row],[Insurer Code]]&amp;"; "&amp;O1515&amp;AS[[#This Row],[Reporting Year]]&amp;"; "&amp;P1515&amp;AS[[#This Row],[Insurance Category Code]]&amp;"; "&amp;Q1515&amp;AS[[#This Row],[Large Provider Entity Code]]&amp;"; "&amp;R1515&amp;AS[[#This Row],[Age Band Code]]&amp;"; "&amp;S1515&amp;AS[[#This Row],[Sex Code]]</f>
        <v xml:space="preserve">Insurer Code ; Reporting Year ; Insurance Category Code ; Large Provider Entity Code ; Age Band Code ; Sex Code </v>
      </c>
      <c r="N1515" s="297" t="s">
        <v>197</v>
      </c>
      <c r="O1515" s="297" t="s">
        <v>198</v>
      </c>
      <c r="P1515" s="297" t="s">
        <v>199</v>
      </c>
      <c r="Q1515" s="297" t="s">
        <v>200</v>
      </c>
      <c r="R1515" s="297" t="s">
        <v>213</v>
      </c>
      <c r="S1515" s="297" t="s">
        <v>214</v>
      </c>
    </row>
    <row r="1516" spans="1:19" x14ac:dyDescent="0.4">
      <c r="A1516" s="291"/>
      <c r="B1516" s="292"/>
      <c r="C1516" s="312"/>
      <c r="D1516" s="292"/>
      <c r="E1516" s="489"/>
      <c r="F1516" s="489"/>
      <c r="G1516" s="490"/>
      <c r="H1516" s="520"/>
      <c r="I1516" s="523"/>
      <c r="J1516" s="521"/>
      <c r="K1516" s="522"/>
      <c r="M1516" s="301" t="str">
        <f>N1516&amp;AS[[#This Row],[Insurer Code]]&amp;"; "&amp;O1516&amp;AS[[#This Row],[Reporting Year]]&amp;"; "&amp;P1516&amp;AS[[#This Row],[Insurance Category Code]]&amp;"; "&amp;Q1516&amp;AS[[#This Row],[Large Provider Entity Code]]&amp;"; "&amp;R1516&amp;AS[[#This Row],[Age Band Code]]&amp;"; "&amp;S1516&amp;AS[[#This Row],[Sex Code]]</f>
        <v xml:space="preserve">Insurer Code ; Reporting Year ; Insurance Category Code ; Large Provider Entity Code ; Age Band Code ; Sex Code </v>
      </c>
      <c r="N1516" s="297" t="s">
        <v>197</v>
      </c>
      <c r="O1516" s="297" t="s">
        <v>198</v>
      </c>
      <c r="P1516" s="297" t="s">
        <v>199</v>
      </c>
      <c r="Q1516" s="297" t="s">
        <v>200</v>
      </c>
      <c r="R1516" s="297" t="s">
        <v>213</v>
      </c>
      <c r="S1516" s="297" t="s">
        <v>214</v>
      </c>
    </row>
    <row r="1517" spans="1:19" x14ac:dyDescent="0.4">
      <c r="A1517" s="291"/>
      <c r="B1517" s="292"/>
      <c r="C1517" s="312"/>
      <c r="D1517" s="292"/>
      <c r="E1517" s="489"/>
      <c r="F1517" s="489"/>
      <c r="G1517" s="490"/>
      <c r="H1517" s="520"/>
      <c r="I1517" s="523"/>
      <c r="J1517" s="521"/>
      <c r="K1517" s="522"/>
      <c r="M1517" s="301" t="str">
        <f>N1517&amp;AS[[#This Row],[Insurer Code]]&amp;"; "&amp;O1517&amp;AS[[#This Row],[Reporting Year]]&amp;"; "&amp;P1517&amp;AS[[#This Row],[Insurance Category Code]]&amp;"; "&amp;Q1517&amp;AS[[#This Row],[Large Provider Entity Code]]&amp;"; "&amp;R1517&amp;AS[[#This Row],[Age Band Code]]&amp;"; "&amp;S1517&amp;AS[[#This Row],[Sex Code]]</f>
        <v xml:space="preserve">Insurer Code ; Reporting Year ; Insurance Category Code ; Large Provider Entity Code ; Age Band Code ; Sex Code </v>
      </c>
      <c r="N1517" s="297" t="s">
        <v>197</v>
      </c>
      <c r="O1517" s="297" t="s">
        <v>198</v>
      </c>
      <c r="P1517" s="297" t="s">
        <v>199</v>
      </c>
      <c r="Q1517" s="297" t="s">
        <v>200</v>
      </c>
      <c r="R1517" s="297" t="s">
        <v>213</v>
      </c>
      <c r="S1517" s="297" t="s">
        <v>214</v>
      </c>
    </row>
    <row r="1518" spans="1:19" x14ac:dyDescent="0.4">
      <c r="A1518" s="291"/>
      <c r="B1518" s="292"/>
      <c r="C1518" s="312"/>
      <c r="D1518" s="292"/>
      <c r="E1518" s="489"/>
      <c r="F1518" s="489"/>
      <c r="G1518" s="490"/>
      <c r="H1518" s="520"/>
      <c r="I1518" s="523"/>
      <c r="J1518" s="521"/>
      <c r="K1518" s="522"/>
      <c r="M1518" s="301" t="str">
        <f>N1518&amp;AS[[#This Row],[Insurer Code]]&amp;"; "&amp;O1518&amp;AS[[#This Row],[Reporting Year]]&amp;"; "&amp;P1518&amp;AS[[#This Row],[Insurance Category Code]]&amp;"; "&amp;Q1518&amp;AS[[#This Row],[Large Provider Entity Code]]&amp;"; "&amp;R1518&amp;AS[[#This Row],[Age Band Code]]&amp;"; "&amp;S1518&amp;AS[[#This Row],[Sex Code]]</f>
        <v xml:space="preserve">Insurer Code ; Reporting Year ; Insurance Category Code ; Large Provider Entity Code ; Age Band Code ; Sex Code </v>
      </c>
      <c r="N1518" s="297" t="s">
        <v>197</v>
      </c>
      <c r="O1518" s="297" t="s">
        <v>198</v>
      </c>
      <c r="P1518" s="297" t="s">
        <v>199</v>
      </c>
      <c r="Q1518" s="297" t="s">
        <v>200</v>
      </c>
      <c r="R1518" s="297" t="s">
        <v>213</v>
      </c>
      <c r="S1518" s="297" t="s">
        <v>214</v>
      </c>
    </row>
    <row r="1519" spans="1:19" x14ac:dyDescent="0.4">
      <c r="A1519" s="291"/>
      <c r="B1519" s="292"/>
      <c r="C1519" s="312"/>
      <c r="D1519" s="292"/>
      <c r="E1519" s="489"/>
      <c r="F1519" s="489"/>
      <c r="G1519" s="490"/>
      <c r="H1519" s="520"/>
      <c r="I1519" s="523"/>
      <c r="J1519" s="521"/>
      <c r="K1519" s="522"/>
      <c r="M1519" s="301" t="str">
        <f>N1519&amp;AS[[#This Row],[Insurer Code]]&amp;"; "&amp;O1519&amp;AS[[#This Row],[Reporting Year]]&amp;"; "&amp;P1519&amp;AS[[#This Row],[Insurance Category Code]]&amp;"; "&amp;Q1519&amp;AS[[#This Row],[Large Provider Entity Code]]&amp;"; "&amp;R1519&amp;AS[[#This Row],[Age Band Code]]&amp;"; "&amp;S1519&amp;AS[[#This Row],[Sex Code]]</f>
        <v xml:space="preserve">Insurer Code ; Reporting Year ; Insurance Category Code ; Large Provider Entity Code ; Age Band Code ; Sex Code </v>
      </c>
      <c r="N1519" s="297" t="s">
        <v>197</v>
      </c>
      <c r="O1519" s="297" t="s">
        <v>198</v>
      </c>
      <c r="P1519" s="297" t="s">
        <v>199</v>
      </c>
      <c r="Q1519" s="297" t="s">
        <v>200</v>
      </c>
      <c r="R1519" s="297" t="s">
        <v>213</v>
      </c>
      <c r="S1519" s="297" t="s">
        <v>214</v>
      </c>
    </row>
    <row r="1520" spans="1:19" x14ac:dyDescent="0.4">
      <c r="A1520" s="291"/>
      <c r="B1520" s="292"/>
      <c r="C1520" s="312"/>
      <c r="D1520" s="292"/>
      <c r="E1520" s="489"/>
      <c r="F1520" s="489"/>
      <c r="G1520" s="490"/>
      <c r="H1520" s="520"/>
      <c r="I1520" s="523"/>
      <c r="J1520" s="521"/>
      <c r="K1520" s="522"/>
      <c r="M1520" s="301" t="str">
        <f>N1520&amp;AS[[#This Row],[Insurer Code]]&amp;"; "&amp;O1520&amp;AS[[#This Row],[Reporting Year]]&amp;"; "&amp;P1520&amp;AS[[#This Row],[Insurance Category Code]]&amp;"; "&amp;Q1520&amp;AS[[#This Row],[Large Provider Entity Code]]&amp;"; "&amp;R1520&amp;AS[[#This Row],[Age Band Code]]&amp;"; "&amp;S1520&amp;AS[[#This Row],[Sex Code]]</f>
        <v xml:space="preserve">Insurer Code ; Reporting Year ; Insurance Category Code ; Large Provider Entity Code ; Age Band Code ; Sex Code </v>
      </c>
      <c r="N1520" s="297" t="s">
        <v>197</v>
      </c>
      <c r="O1520" s="297" t="s">
        <v>198</v>
      </c>
      <c r="P1520" s="297" t="s">
        <v>199</v>
      </c>
      <c r="Q1520" s="297" t="s">
        <v>200</v>
      </c>
      <c r="R1520" s="297" t="s">
        <v>213</v>
      </c>
      <c r="S1520" s="297" t="s">
        <v>214</v>
      </c>
    </row>
    <row r="1521" spans="1:19" x14ac:dyDescent="0.4">
      <c r="A1521" s="291"/>
      <c r="B1521" s="292"/>
      <c r="C1521" s="312"/>
      <c r="D1521" s="292"/>
      <c r="E1521" s="489"/>
      <c r="F1521" s="489"/>
      <c r="G1521" s="490"/>
      <c r="H1521" s="520"/>
      <c r="I1521" s="523"/>
      <c r="J1521" s="521"/>
      <c r="K1521" s="522"/>
      <c r="M1521" s="301" t="str">
        <f>N1521&amp;AS[[#This Row],[Insurer Code]]&amp;"; "&amp;O1521&amp;AS[[#This Row],[Reporting Year]]&amp;"; "&amp;P1521&amp;AS[[#This Row],[Insurance Category Code]]&amp;"; "&amp;Q1521&amp;AS[[#This Row],[Large Provider Entity Code]]&amp;"; "&amp;R1521&amp;AS[[#This Row],[Age Band Code]]&amp;"; "&amp;S1521&amp;AS[[#This Row],[Sex Code]]</f>
        <v xml:space="preserve">Insurer Code ; Reporting Year ; Insurance Category Code ; Large Provider Entity Code ; Age Band Code ; Sex Code </v>
      </c>
      <c r="N1521" s="297" t="s">
        <v>197</v>
      </c>
      <c r="O1521" s="297" t="s">
        <v>198</v>
      </c>
      <c r="P1521" s="297" t="s">
        <v>199</v>
      </c>
      <c r="Q1521" s="297" t="s">
        <v>200</v>
      </c>
      <c r="R1521" s="297" t="s">
        <v>213</v>
      </c>
      <c r="S1521" s="297" t="s">
        <v>214</v>
      </c>
    </row>
    <row r="1522" spans="1:19" x14ac:dyDescent="0.4">
      <c r="A1522" s="291"/>
      <c r="B1522" s="292"/>
      <c r="C1522" s="312"/>
      <c r="D1522" s="292"/>
      <c r="E1522" s="489"/>
      <c r="F1522" s="489"/>
      <c r="G1522" s="490"/>
      <c r="H1522" s="520"/>
      <c r="I1522" s="523"/>
      <c r="J1522" s="521"/>
      <c r="K1522" s="522"/>
      <c r="M1522" s="301" t="str">
        <f>N1522&amp;AS[[#This Row],[Insurer Code]]&amp;"; "&amp;O1522&amp;AS[[#This Row],[Reporting Year]]&amp;"; "&amp;P1522&amp;AS[[#This Row],[Insurance Category Code]]&amp;"; "&amp;Q1522&amp;AS[[#This Row],[Large Provider Entity Code]]&amp;"; "&amp;R1522&amp;AS[[#This Row],[Age Band Code]]&amp;"; "&amp;S1522&amp;AS[[#This Row],[Sex Code]]</f>
        <v xml:space="preserve">Insurer Code ; Reporting Year ; Insurance Category Code ; Large Provider Entity Code ; Age Band Code ; Sex Code </v>
      </c>
      <c r="N1522" s="297" t="s">
        <v>197</v>
      </c>
      <c r="O1522" s="297" t="s">
        <v>198</v>
      </c>
      <c r="P1522" s="297" t="s">
        <v>199</v>
      </c>
      <c r="Q1522" s="297" t="s">
        <v>200</v>
      </c>
      <c r="R1522" s="297" t="s">
        <v>213</v>
      </c>
      <c r="S1522" s="297" t="s">
        <v>214</v>
      </c>
    </row>
    <row r="1523" spans="1:19" x14ac:dyDescent="0.4">
      <c r="A1523" s="291"/>
      <c r="B1523" s="292"/>
      <c r="C1523" s="312"/>
      <c r="D1523" s="292"/>
      <c r="E1523" s="489"/>
      <c r="F1523" s="489"/>
      <c r="G1523" s="490"/>
      <c r="H1523" s="520"/>
      <c r="I1523" s="523"/>
      <c r="J1523" s="521"/>
      <c r="K1523" s="522"/>
      <c r="M1523" s="301" t="str">
        <f>N1523&amp;AS[[#This Row],[Insurer Code]]&amp;"; "&amp;O1523&amp;AS[[#This Row],[Reporting Year]]&amp;"; "&amp;P1523&amp;AS[[#This Row],[Insurance Category Code]]&amp;"; "&amp;Q1523&amp;AS[[#This Row],[Large Provider Entity Code]]&amp;"; "&amp;R1523&amp;AS[[#This Row],[Age Band Code]]&amp;"; "&amp;S1523&amp;AS[[#This Row],[Sex Code]]</f>
        <v xml:space="preserve">Insurer Code ; Reporting Year ; Insurance Category Code ; Large Provider Entity Code ; Age Band Code ; Sex Code </v>
      </c>
      <c r="N1523" s="297" t="s">
        <v>197</v>
      </c>
      <c r="O1523" s="297" t="s">
        <v>198</v>
      </c>
      <c r="P1523" s="297" t="s">
        <v>199</v>
      </c>
      <c r="Q1523" s="297" t="s">
        <v>200</v>
      </c>
      <c r="R1523" s="297" t="s">
        <v>213</v>
      </c>
      <c r="S1523" s="297" t="s">
        <v>214</v>
      </c>
    </row>
    <row r="1524" spans="1:19" x14ac:dyDescent="0.4">
      <c r="A1524" s="291"/>
      <c r="B1524" s="292"/>
      <c r="C1524" s="312"/>
      <c r="D1524" s="292"/>
      <c r="E1524" s="489"/>
      <c r="F1524" s="489"/>
      <c r="G1524" s="490"/>
      <c r="H1524" s="520"/>
      <c r="I1524" s="523"/>
      <c r="J1524" s="521"/>
      <c r="K1524" s="522"/>
      <c r="M1524" s="301" t="str">
        <f>N1524&amp;AS[[#This Row],[Insurer Code]]&amp;"; "&amp;O1524&amp;AS[[#This Row],[Reporting Year]]&amp;"; "&amp;P1524&amp;AS[[#This Row],[Insurance Category Code]]&amp;"; "&amp;Q1524&amp;AS[[#This Row],[Large Provider Entity Code]]&amp;"; "&amp;R1524&amp;AS[[#This Row],[Age Band Code]]&amp;"; "&amp;S1524&amp;AS[[#This Row],[Sex Code]]</f>
        <v xml:space="preserve">Insurer Code ; Reporting Year ; Insurance Category Code ; Large Provider Entity Code ; Age Band Code ; Sex Code </v>
      </c>
      <c r="N1524" s="297" t="s">
        <v>197</v>
      </c>
      <c r="O1524" s="297" t="s">
        <v>198</v>
      </c>
      <c r="P1524" s="297" t="s">
        <v>199</v>
      </c>
      <c r="Q1524" s="297" t="s">
        <v>200</v>
      </c>
      <c r="R1524" s="297" t="s">
        <v>213</v>
      </c>
      <c r="S1524" s="297" t="s">
        <v>214</v>
      </c>
    </row>
    <row r="1525" spans="1:19" x14ac:dyDescent="0.4">
      <c r="A1525" s="291"/>
      <c r="B1525" s="292"/>
      <c r="C1525" s="312"/>
      <c r="D1525" s="292"/>
      <c r="E1525" s="489"/>
      <c r="F1525" s="489"/>
      <c r="G1525" s="490"/>
      <c r="H1525" s="520"/>
      <c r="I1525" s="523"/>
      <c r="J1525" s="521"/>
      <c r="K1525" s="522"/>
      <c r="M1525" s="301" t="str">
        <f>N1525&amp;AS[[#This Row],[Insurer Code]]&amp;"; "&amp;O1525&amp;AS[[#This Row],[Reporting Year]]&amp;"; "&amp;P1525&amp;AS[[#This Row],[Insurance Category Code]]&amp;"; "&amp;Q1525&amp;AS[[#This Row],[Large Provider Entity Code]]&amp;"; "&amp;R1525&amp;AS[[#This Row],[Age Band Code]]&amp;"; "&amp;S1525&amp;AS[[#This Row],[Sex Code]]</f>
        <v xml:space="preserve">Insurer Code ; Reporting Year ; Insurance Category Code ; Large Provider Entity Code ; Age Band Code ; Sex Code </v>
      </c>
      <c r="N1525" s="297" t="s">
        <v>197</v>
      </c>
      <c r="O1525" s="297" t="s">
        <v>198</v>
      </c>
      <c r="P1525" s="297" t="s">
        <v>199</v>
      </c>
      <c r="Q1525" s="297" t="s">
        <v>200</v>
      </c>
      <c r="R1525" s="297" t="s">
        <v>213</v>
      </c>
      <c r="S1525" s="297" t="s">
        <v>214</v>
      </c>
    </row>
    <row r="1526" spans="1:19" x14ac:dyDescent="0.4">
      <c r="A1526" s="291"/>
      <c r="B1526" s="292"/>
      <c r="C1526" s="312"/>
      <c r="D1526" s="292"/>
      <c r="E1526" s="489"/>
      <c r="F1526" s="489"/>
      <c r="G1526" s="490"/>
      <c r="H1526" s="520"/>
      <c r="I1526" s="523"/>
      <c r="J1526" s="521"/>
      <c r="K1526" s="522"/>
      <c r="M1526" s="301" t="str">
        <f>N1526&amp;AS[[#This Row],[Insurer Code]]&amp;"; "&amp;O1526&amp;AS[[#This Row],[Reporting Year]]&amp;"; "&amp;P1526&amp;AS[[#This Row],[Insurance Category Code]]&amp;"; "&amp;Q1526&amp;AS[[#This Row],[Large Provider Entity Code]]&amp;"; "&amp;R1526&amp;AS[[#This Row],[Age Band Code]]&amp;"; "&amp;S1526&amp;AS[[#This Row],[Sex Code]]</f>
        <v xml:space="preserve">Insurer Code ; Reporting Year ; Insurance Category Code ; Large Provider Entity Code ; Age Band Code ; Sex Code </v>
      </c>
      <c r="N1526" s="297" t="s">
        <v>197</v>
      </c>
      <c r="O1526" s="297" t="s">
        <v>198</v>
      </c>
      <c r="P1526" s="297" t="s">
        <v>199</v>
      </c>
      <c r="Q1526" s="297" t="s">
        <v>200</v>
      </c>
      <c r="R1526" s="297" t="s">
        <v>213</v>
      </c>
      <c r="S1526" s="297" t="s">
        <v>214</v>
      </c>
    </row>
    <row r="1527" spans="1:19" x14ac:dyDescent="0.4">
      <c r="A1527" s="291"/>
      <c r="B1527" s="292"/>
      <c r="C1527" s="312"/>
      <c r="D1527" s="292"/>
      <c r="E1527" s="489"/>
      <c r="F1527" s="489"/>
      <c r="G1527" s="490"/>
      <c r="H1527" s="520"/>
      <c r="I1527" s="523"/>
      <c r="J1527" s="521"/>
      <c r="K1527" s="522"/>
      <c r="M1527" s="301" t="str">
        <f>N1527&amp;AS[[#This Row],[Insurer Code]]&amp;"; "&amp;O1527&amp;AS[[#This Row],[Reporting Year]]&amp;"; "&amp;P1527&amp;AS[[#This Row],[Insurance Category Code]]&amp;"; "&amp;Q1527&amp;AS[[#This Row],[Large Provider Entity Code]]&amp;"; "&amp;R1527&amp;AS[[#This Row],[Age Band Code]]&amp;"; "&amp;S1527&amp;AS[[#This Row],[Sex Code]]</f>
        <v xml:space="preserve">Insurer Code ; Reporting Year ; Insurance Category Code ; Large Provider Entity Code ; Age Band Code ; Sex Code </v>
      </c>
      <c r="N1527" s="297" t="s">
        <v>197</v>
      </c>
      <c r="O1527" s="297" t="s">
        <v>198</v>
      </c>
      <c r="P1527" s="297" t="s">
        <v>199</v>
      </c>
      <c r="Q1527" s="297" t="s">
        <v>200</v>
      </c>
      <c r="R1527" s="297" t="s">
        <v>213</v>
      </c>
      <c r="S1527" s="297" t="s">
        <v>214</v>
      </c>
    </row>
    <row r="1528" spans="1:19" x14ac:dyDescent="0.4">
      <c r="A1528" s="291"/>
      <c r="B1528" s="292"/>
      <c r="C1528" s="312"/>
      <c r="D1528" s="292"/>
      <c r="E1528" s="489"/>
      <c r="F1528" s="489"/>
      <c r="G1528" s="490"/>
      <c r="H1528" s="520"/>
      <c r="I1528" s="523"/>
      <c r="J1528" s="521"/>
      <c r="K1528" s="522"/>
      <c r="M1528" s="301" t="str">
        <f>N1528&amp;AS[[#This Row],[Insurer Code]]&amp;"; "&amp;O1528&amp;AS[[#This Row],[Reporting Year]]&amp;"; "&amp;P1528&amp;AS[[#This Row],[Insurance Category Code]]&amp;"; "&amp;Q1528&amp;AS[[#This Row],[Large Provider Entity Code]]&amp;"; "&amp;R1528&amp;AS[[#This Row],[Age Band Code]]&amp;"; "&amp;S1528&amp;AS[[#This Row],[Sex Code]]</f>
        <v xml:space="preserve">Insurer Code ; Reporting Year ; Insurance Category Code ; Large Provider Entity Code ; Age Band Code ; Sex Code </v>
      </c>
      <c r="N1528" s="297" t="s">
        <v>197</v>
      </c>
      <c r="O1528" s="297" t="s">
        <v>198</v>
      </c>
      <c r="P1528" s="297" t="s">
        <v>199</v>
      </c>
      <c r="Q1528" s="297" t="s">
        <v>200</v>
      </c>
      <c r="R1528" s="297" t="s">
        <v>213</v>
      </c>
      <c r="S1528" s="297" t="s">
        <v>214</v>
      </c>
    </row>
    <row r="1529" spans="1:19" x14ac:dyDescent="0.4">
      <c r="A1529" s="291"/>
      <c r="B1529" s="292"/>
      <c r="C1529" s="312"/>
      <c r="D1529" s="292"/>
      <c r="E1529" s="489"/>
      <c r="F1529" s="489"/>
      <c r="G1529" s="490"/>
      <c r="H1529" s="520"/>
      <c r="I1529" s="523"/>
      <c r="J1529" s="521"/>
      <c r="K1529" s="522"/>
      <c r="M1529" s="301" t="str">
        <f>N1529&amp;AS[[#This Row],[Insurer Code]]&amp;"; "&amp;O1529&amp;AS[[#This Row],[Reporting Year]]&amp;"; "&amp;P1529&amp;AS[[#This Row],[Insurance Category Code]]&amp;"; "&amp;Q1529&amp;AS[[#This Row],[Large Provider Entity Code]]&amp;"; "&amp;R1529&amp;AS[[#This Row],[Age Band Code]]&amp;"; "&amp;S1529&amp;AS[[#This Row],[Sex Code]]</f>
        <v xml:space="preserve">Insurer Code ; Reporting Year ; Insurance Category Code ; Large Provider Entity Code ; Age Band Code ; Sex Code </v>
      </c>
      <c r="N1529" s="297" t="s">
        <v>197</v>
      </c>
      <c r="O1529" s="297" t="s">
        <v>198</v>
      </c>
      <c r="P1529" s="297" t="s">
        <v>199</v>
      </c>
      <c r="Q1529" s="297" t="s">
        <v>200</v>
      </c>
      <c r="R1529" s="297" t="s">
        <v>213</v>
      </c>
      <c r="S1529" s="297" t="s">
        <v>214</v>
      </c>
    </row>
    <row r="1530" spans="1:19" x14ac:dyDescent="0.4">
      <c r="A1530" s="291"/>
      <c r="B1530" s="292"/>
      <c r="C1530" s="312"/>
      <c r="D1530" s="292"/>
      <c r="E1530" s="489"/>
      <c r="F1530" s="489"/>
      <c r="G1530" s="490"/>
      <c r="H1530" s="520"/>
      <c r="I1530" s="523"/>
      <c r="J1530" s="521"/>
      <c r="K1530" s="522"/>
      <c r="M1530" s="301" t="str">
        <f>N1530&amp;AS[[#This Row],[Insurer Code]]&amp;"; "&amp;O1530&amp;AS[[#This Row],[Reporting Year]]&amp;"; "&amp;P1530&amp;AS[[#This Row],[Insurance Category Code]]&amp;"; "&amp;Q1530&amp;AS[[#This Row],[Large Provider Entity Code]]&amp;"; "&amp;R1530&amp;AS[[#This Row],[Age Band Code]]&amp;"; "&amp;S1530&amp;AS[[#This Row],[Sex Code]]</f>
        <v xml:space="preserve">Insurer Code ; Reporting Year ; Insurance Category Code ; Large Provider Entity Code ; Age Band Code ; Sex Code </v>
      </c>
      <c r="N1530" s="297" t="s">
        <v>197</v>
      </c>
      <c r="O1530" s="297" t="s">
        <v>198</v>
      </c>
      <c r="P1530" s="297" t="s">
        <v>199</v>
      </c>
      <c r="Q1530" s="297" t="s">
        <v>200</v>
      </c>
      <c r="R1530" s="297" t="s">
        <v>213</v>
      </c>
      <c r="S1530" s="297" t="s">
        <v>214</v>
      </c>
    </row>
    <row r="1531" spans="1:19" x14ac:dyDescent="0.4">
      <c r="A1531" s="291"/>
      <c r="B1531" s="292"/>
      <c r="C1531" s="312"/>
      <c r="D1531" s="292"/>
      <c r="E1531" s="489"/>
      <c r="F1531" s="489"/>
      <c r="G1531" s="490"/>
      <c r="H1531" s="520"/>
      <c r="I1531" s="523"/>
      <c r="J1531" s="521"/>
      <c r="K1531" s="522"/>
      <c r="M1531" s="301" t="str">
        <f>N1531&amp;AS[[#This Row],[Insurer Code]]&amp;"; "&amp;O1531&amp;AS[[#This Row],[Reporting Year]]&amp;"; "&amp;P1531&amp;AS[[#This Row],[Insurance Category Code]]&amp;"; "&amp;Q1531&amp;AS[[#This Row],[Large Provider Entity Code]]&amp;"; "&amp;R1531&amp;AS[[#This Row],[Age Band Code]]&amp;"; "&amp;S1531&amp;AS[[#This Row],[Sex Code]]</f>
        <v xml:space="preserve">Insurer Code ; Reporting Year ; Insurance Category Code ; Large Provider Entity Code ; Age Band Code ; Sex Code </v>
      </c>
      <c r="N1531" s="297" t="s">
        <v>197</v>
      </c>
      <c r="O1531" s="297" t="s">
        <v>198</v>
      </c>
      <c r="P1531" s="297" t="s">
        <v>199</v>
      </c>
      <c r="Q1531" s="297" t="s">
        <v>200</v>
      </c>
      <c r="R1531" s="297" t="s">
        <v>213</v>
      </c>
      <c r="S1531" s="297" t="s">
        <v>214</v>
      </c>
    </row>
    <row r="1532" spans="1:19" x14ac:dyDescent="0.4">
      <c r="A1532" s="291"/>
      <c r="B1532" s="292"/>
      <c r="C1532" s="312"/>
      <c r="D1532" s="292"/>
      <c r="E1532" s="489"/>
      <c r="F1532" s="489"/>
      <c r="G1532" s="490"/>
      <c r="H1532" s="520"/>
      <c r="I1532" s="523"/>
      <c r="J1532" s="521"/>
      <c r="K1532" s="522"/>
      <c r="M1532" s="301" t="str">
        <f>N1532&amp;AS[[#This Row],[Insurer Code]]&amp;"; "&amp;O1532&amp;AS[[#This Row],[Reporting Year]]&amp;"; "&amp;P1532&amp;AS[[#This Row],[Insurance Category Code]]&amp;"; "&amp;Q1532&amp;AS[[#This Row],[Large Provider Entity Code]]&amp;"; "&amp;R1532&amp;AS[[#This Row],[Age Band Code]]&amp;"; "&amp;S1532&amp;AS[[#This Row],[Sex Code]]</f>
        <v xml:space="preserve">Insurer Code ; Reporting Year ; Insurance Category Code ; Large Provider Entity Code ; Age Band Code ; Sex Code </v>
      </c>
      <c r="N1532" s="297" t="s">
        <v>197</v>
      </c>
      <c r="O1532" s="297" t="s">
        <v>198</v>
      </c>
      <c r="P1532" s="297" t="s">
        <v>199</v>
      </c>
      <c r="Q1532" s="297" t="s">
        <v>200</v>
      </c>
      <c r="R1532" s="297" t="s">
        <v>213</v>
      </c>
      <c r="S1532" s="297" t="s">
        <v>214</v>
      </c>
    </row>
    <row r="1533" spans="1:19" x14ac:dyDescent="0.4">
      <c r="A1533" s="291"/>
      <c r="B1533" s="292"/>
      <c r="C1533" s="312"/>
      <c r="D1533" s="292"/>
      <c r="E1533" s="489"/>
      <c r="F1533" s="489"/>
      <c r="G1533" s="490"/>
      <c r="H1533" s="520"/>
      <c r="I1533" s="523"/>
      <c r="J1533" s="521"/>
      <c r="K1533" s="522"/>
      <c r="M1533" s="301" t="str">
        <f>N1533&amp;AS[[#This Row],[Insurer Code]]&amp;"; "&amp;O1533&amp;AS[[#This Row],[Reporting Year]]&amp;"; "&amp;P1533&amp;AS[[#This Row],[Insurance Category Code]]&amp;"; "&amp;Q1533&amp;AS[[#This Row],[Large Provider Entity Code]]&amp;"; "&amp;R1533&amp;AS[[#This Row],[Age Band Code]]&amp;"; "&amp;S1533&amp;AS[[#This Row],[Sex Code]]</f>
        <v xml:space="preserve">Insurer Code ; Reporting Year ; Insurance Category Code ; Large Provider Entity Code ; Age Band Code ; Sex Code </v>
      </c>
      <c r="N1533" s="297" t="s">
        <v>197</v>
      </c>
      <c r="O1533" s="297" t="s">
        <v>198</v>
      </c>
      <c r="P1533" s="297" t="s">
        <v>199</v>
      </c>
      <c r="Q1533" s="297" t="s">
        <v>200</v>
      </c>
      <c r="R1533" s="297" t="s">
        <v>213</v>
      </c>
      <c r="S1533" s="297" t="s">
        <v>214</v>
      </c>
    </row>
    <row r="1534" spans="1:19" x14ac:dyDescent="0.4">
      <c r="A1534" s="291"/>
      <c r="B1534" s="292"/>
      <c r="C1534" s="312"/>
      <c r="D1534" s="292"/>
      <c r="E1534" s="489"/>
      <c r="F1534" s="489"/>
      <c r="G1534" s="490"/>
      <c r="H1534" s="520"/>
      <c r="I1534" s="523"/>
      <c r="J1534" s="521"/>
      <c r="K1534" s="522"/>
      <c r="M1534" s="301" t="str">
        <f>N1534&amp;AS[[#This Row],[Insurer Code]]&amp;"; "&amp;O1534&amp;AS[[#This Row],[Reporting Year]]&amp;"; "&amp;P1534&amp;AS[[#This Row],[Insurance Category Code]]&amp;"; "&amp;Q1534&amp;AS[[#This Row],[Large Provider Entity Code]]&amp;"; "&amp;R1534&amp;AS[[#This Row],[Age Band Code]]&amp;"; "&amp;S1534&amp;AS[[#This Row],[Sex Code]]</f>
        <v xml:space="preserve">Insurer Code ; Reporting Year ; Insurance Category Code ; Large Provider Entity Code ; Age Band Code ; Sex Code </v>
      </c>
      <c r="N1534" s="297" t="s">
        <v>197</v>
      </c>
      <c r="O1534" s="297" t="s">
        <v>198</v>
      </c>
      <c r="P1534" s="297" t="s">
        <v>199</v>
      </c>
      <c r="Q1534" s="297" t="s">
        <v>200</v>
      </c>
      <c r="R1534" s="297" t="s">
        <v>213</v>
      </c>
      <c r="S1534" s="297" t="s">
        <v>214</v>
      </c>
    </row>
    <row r="1535" spans="1:19" x14ac:dyDescent="0.4">
      <c r="A1535" s="291"/>
      <c r="B1535" s="292"/>
      <c r="C1535" s="312"/>
      <c r="D1535" s="292"/>
      <c r="E1535" s="489"/>
      <c r="F1535" s="489"/>
      <c r="G1535" s="490"/>
      <c r="H1535" s="520"/>
      <c r="I1535" s="523"/>
      <c r="J1535" s="521"/>
      <c r="K1535" s="522"/>
      <c r="M1535" s="301" t="str">
        <f>N1535&amp;AS[[#This Row],[Insurer Code]]&amp;"; "&amp;O1535&amp;AS[[#This Row],[Reporting Year]]&amp;"; "&amp;P1535&amp;AS[[#This Row],[Insurance Category Code]]&amp;"; "&amp;Q1535&amp;AS[[#This Row],[Large Provider Entity Code]]&amp;"; "&amp;R1535&amp;AS[[#This Row],[Age Band Code]]&amp;"; "&amp;S1535&amp;AS[[#This Row],[Sex Code]]</f>
        <v xml:space="preserve">Insurer Code ; Reporting Year ; Insurance Category Code ; Large Provider Entity Code ; Age Band Code ; Sex Code </v>
      </c>
      <c r="N1535" s="297" t="s">
        <v>197</v>
      </c>
      <c r="O1535" s="297" t="s">
        <v>198</v>
      </c>
      <c r="P1535" s="297" t="s">
        <v>199</v>
      </c>
      <c r="Q1535" s="297" t="s">
        <v>200</v>
      </c>
      <c r="R1535" s="297" t="s">
        <v>213</v>
      </c>
      <c r="S1535" s="297" t="s">
        <v>214</v>
      </c>
    </row>
    <row r="1536" spans="1:19" x14ac:dyDescent="0.4">
      <c r="A1536" s="291"/>
      <c r="B1536" s="292"/>
      <c r="C1536" s="312"/>
      <c r="D1536" s="292"/>
      <c r="E1536" s="489"/>
      <c r="F1536" s="489"/>
      <c r="G1536" s="490"/>
      <c r="H1536" s="520"/>
      <c r="I1536" s="523"/>
      <c r="J1536" s="521"/>
      <c r="K1536" s="522"/>
      <c r="M1536" s="301" t="str">
        <f>N1536&amp;AS[[#This Row],[Insurer Code]]&amp;"; "&amp;O1536&amp;AS[[#This Row],[Reporting Year]]&amp;"; "&amp;P1536&amp;AS[[#This Row],[Insurance Category Code]]&amp;"; "&amp;Q1536&amp;AS[[#This Row],[Large Provider Entity Code]]&amp;"; "&amp;R1536&amp;AS[[#This Row],[Age Band Code]]&amp;"; "&amp;S1536&amp;AS[[#This Row],[Sex Code]]</f>
        <v xml:space="preserve">Insurer Code ; Reporting Year ; Insurance Category Code ; Large Provider Entity Code ; Age Band Code ; Sex Code </v>
      </c>
      <c r="N1536" s="297" t="s">
        <v>197</v>
      </c>
      <c r="O1536" s="297" t="s">
        <v>198</v>
      </c>
      <c r="P1536" s="297" t="s">
        <v>199</v>
      </c>
      <c r="Q1536" s="297" t="s">
        <v>200</v>
      </c>
      <c r="R1536" s="297" t="s">
        <v>213</v>
      </c>
      <c r="S1536" s="297" t="s">
        <v>214</v>
      </c>
    </row>
    <row r="1537" spans="1:19" x14ac:dyDescent="0.4">
      <c r="A1537" s="291"/>
      <c r="B1537" s="292"/>
      <c r="C1537" s="312"/>
      <c r="D1537" s="292"/>
      <c r="E1537" s="489"/>
      <c r="F1537" s="489"/>
      <c r="G1537" s="490"/>
      <c r="H1537" s="520"/>
      <c r="I1537" s="523"/>
      <c r="J1537" s="521"/>
      <c r="K1537" s="522"/>
      <c r="M1537" s="301" t="str">
        <f>N1537&amp;AS[[#This Row],[Insurer Code]]&amp;"; "&amp;O1537&amp;AS[[#This Row],[Reporting Year]]&amp;"; "&amp;P1537&amp;AS[[#This Row],[Insurance Category Code]]&amp;"; "&amp;Q1537&amp;AS[[#This Row],[Large Provider Entity Code]]&amp;"; "&amp;R1537&amp;AS[[#This Row],[Age Band Code]]&amp;"; "&amp;S1537&amp;AS[[#This Row],[Sex Code]]</f>
        <v xml:space="preserve">Insurer Code ; Reporting Year ; Insurance Category Code ; Large Provider Entity Code ; Age Band Code ; Sex Code </v>
      </c>
      <c r="N1537" s="297" t="s">
        <v>197</v>
      </c>
      <c r="O1537" s="297" t="s">
        <v>198</v>
      </c>
      <c r="P1537" s="297" t="s">
        <v>199</v>
      </c>
      <c r="Q1537" s="297" t="s">
        <v>200</v>
      </c>
      <c r="R1537" s="297" t="s">
        <v>213</v>
      </c>
      <c r="S1537" s="297" t="s">
        <v>214</v>
      </c>
    </row>
    <row r="1538" spans="1:19" x14ac:dyDescent="0.4">
      <c r="A1538" s="291"/>
      <c r="B1538" s="292"/>
      <c r="C1538" s="312"/>
      <c r="D1538" s="292"/>
      <c r="E1538" s="489"/>
      <c r="F1538" s="489"/>
      <c r="G1538" s="490"/>
      <c r="H1538" s="520"/>
      <c r="I1538" s="523"/>
      <c r="J1538" s="521"/>
      <c r="K1538" s="522"/>
      <c r="M1538" s="301" t="str">
        <f>N1538&amp;AS[[#This Row],[Insurer Code]]&amp;"; "&amp;O1538&amp;AS[[#This Row],[Reporting Year]]&amp;"; "&amp;P1538&amp;AS[[#This Row],[Insurance Category Code]]&amp;"; "&amp;Q1538&amp;AS[[#This Row],[Large Provider Entity Code]]&amp;"; "&amp;R1538&amp;AS[[#This Row],[Age Band Code]]&amp;"; "&amp;S1538&amp;AS[[#This Row],[Sex Code]]</f>
        <v xml:space="preserve">Insurer Code ; Reporting Year ; Insurance Category Code ; Large Provider Entity Code ; Age Band Code ; Sex Code </v>
      </c>
      <c r="N1538" s="297" t="s">
        <v>197</v>
      </c>
      <c r="O1538" s="297" t="s">
        <v>198</v>
      </c>
      <c r="P1538" s="297" t="s">
        <v>199</v>
      </c>
      <c r="Q1538" s="297" t="s">
        <v>200</v>
      </c>
      <c r="R1538" s="297" t="s">
        <v>213</v>
      </c>
      <c r="S1538" s="297" t="s">
        <v>214</v>
      </c>
    </row>
    <row r="1539" spans="1:19" x14ac:dyDescent="0.4">
      <c r="A1539" s="291"/>
      <c r="B1539" s="292"/>
      <c r="C1539" s="312"/>
      <c r="D1539" s="292"/>
      <c r="E1539" s="489"/>
      <c r="F1539" s="489"/>
      <c r="G1539" s="490"/>
      <c r="H1539" s="520"/>
      <c r="I1539" s="523"/>
      <c r="J1539" s="521"/>
      <c r="K1539" s="522"/>
      <c r="M1539" s="301" t="str">
        <f>N1539&amp;AS[[#This Row],[Insurer Code]]&amp;"; "&amp;O1539&amp;AS[[#This Row],[Reporting Year]]&amp;"; "&amp;P1539&amp;AS[[#This Row],[Insurance Category Code]]&amp;"; "&amp;Q1539&amp;AS[[#This Row],[Large Provider Entity Code]]&amp;"; "&amp;R1539&amp;AS[[#This Row],[Age Band Code]]&amp;"; "&amp;S1539&amp;AS[[#This Row],[Sex Code]]</f>
        <v xml:space="preserve">Insurer Code ; Reporting Year ; Insurance Category Code ; Large Provider Entity Code ; Age Band Code ; Sex Code </v>
      </c>
      <c r="N1539" s="297" t="s">
        <v>197</v>
      </c>
      <c r="O1539" s="297" t="s">
        <v>198</v>
      </c>
      <c r="P1539" s="297" t="s">
        <v>199</v>
      </c>
      <c r="Q1539" s="297" t="s">
        <v>200</v>
      </c>
      <c r="R1539" s="297" t="s">
        <v>213</v>
      </c>
      <c r="S1539" s="297" t="s">
        <v>214</v>
      </c>
    </row>
    <row r="1540" spans="1:19" x14ac:dyDescent="0.4">
      <c r="A1540" s="291"/>
      <c r="B1540" s="292"/>
      <c r="C1540" s="312"/>
      <c r="D1540" s="292"/>
      <c r="E1540" s="489"/>
      <c r="F1540" s="489"/>
      <c r="G1540" s="490"/>
      <c r="H1540" s="520"/>
      <c r="I1540" s="523"/>
      <c r="J1540" s="521"/>
      <c r="K1540" s="522"/>
      <c r="M1540" s="301" t="str">
        <f>N1540&amp;AS[[#This Row],[Insurer Code]]&amp;"; "&amp;O1540&amp;AS[[#This Row],[Reporting Year]]&amp;"; "&amp;P1540&amp;AS[[#This Row],[Insurance Category Code]]&amp;"; "&amp;Q1540&amp;AS[[#This Row],[Large Provider Entity Code]]&amp;"; "&amp;R1540&amp;AS[[#This Row],[Age Band Code]]&amp;"; "&amp;S1540&amp;AS[[#This Row],[Sex Code]]</f>
        <v xml:space="preserve">Insurer Code ; Reporting Year ; Insurance Category Code ; Large Provider Entity Code ; Age Band Code ; Sex Code </v>
      </c>
      <c r="N1540" s="297" t="s">
        <v>197</v>
      </c>
      <c r="O1540" s="297" t="s">
        <v>198</v>
      </c>
      <c r="P1540" s="297" t="s">
        <v>199</v>
      </c>
      <c r="Q1540" s="297" t="s">
        <v>200</v>
      </c>
      <c r="R1540" s="297" t="s">
        <v>213</v>
      </c>
      <c r="S1540" s="297" t="s">
        <v>214</v>
      </c>
    </row>
    <row r="1541" spans="1:19" x14ac:dyDescent="0.4">
      <c r="A1541" s="291"/>
      <c r="B1541" s="292"/>
      <c r="C1541" s="312"/>
      <c r="D1541" s="292"/>
      <c r="E1541" s="489"/>
      <c r="F1541" s="489"/>
      <c r="G1541" s="490"/>
      <c r="H1541" s="520"/>
      <c r="I1541" s="523"/>
      <c r="J1541" s="521"/>
      <c r="K1541" s="522"/>
      <c r="M1541" s="301" t="str">
        <f>N1541&amp;AS[[#This Row],[Insurer Code]]&amp;"; "&amp;O1541&amp;AS[[#This Row],[Reporting Year]]&amp;"; "&amp;P1541&amp;AS[[#This Row],[Insurance Category Code]]&amp;"; "&amp;Q1541&amp;AS[[#This Row],[Large Provider Entity Code]]&amp;"; "&amp;R1541&amp;AS[[#This Row],[Age Band Code]]&amp;"; "&amp;S1541&amp;AS[[#This Row],[Sex Code]]</f>
        <v xml:space="preserve">Insurer Code ; Reporting Year ; Insurance Category Code ; Large Provider Entity Code ; Age Band Code ; Sex Code </v>
      </c>
      <c r="N1541" s="297" t="s">
        <v>197</v>
      </c>
      <c r="O1541" s="297" t="s">
        <v>198</v>
      </c>
      <c r="P1541" s="297" t="s">
        <v>199</v>
      </c>
      <c r="Q1541" s="297" t="s">
        <v>200</v>
      </c>
      <c r="R1541" s="297" t="s">
        <v>213</v>
      </c>
      <c r="S1541" s="297" t="s">
        <v>214</v>
      </c>
    </row>
    <row r="1542" spans="1:19" x14ac:dyDescent="0.4">
      <c r="A1542" s="291"/>
      <c r="B1542" s="292"/>
      <c r="C1542" s="312"/>
      <c r="D1542" s="292"/>
      <c r="E1542" s="489"/>
      <c r="F1542" s="489"/>
      <c r="G1542" s="490"/>
      <c r="H1542" s="520"/>
      <c r="I1542" s="523"/>
      <c r="J1542" s="521"/>
      <c r="K1542" s="522"/>
      <c r="M1542" s="301" t="str">
        <f>N1542&amp;AS[[#This Row],[Insurer Code]]&amp;"; "&amp;O1542&amp;AS[[#This Row],[Reporting Year]]&amp;"; "&amp;P1542&amp;AS[[#This Row],[Insurance Category Code]]&amp;"; "&amp;Q1542&amp;AS[[#This Row],[Large Provider Entity Code]]&amp;"; "&amp;R1542&amp;AS[[#This Row],[Age Band Code]]&amp;"; "&amp;S1542&amp;AS[[#This Row],[Sex Code]]</f>
        <v xml:space="preserve">Insurer Code ; Reporting Year ; Insurance Category Code ; Large Provider Entity Code ; Age Band Code ; Sex Code </v>
      </c>
      <c r="N1542" s="297" t="s">
        <v>197</v>
      </c>
      <c r="O1542" s="297" t="s">
        <v>198</v>
      </c>
      <c r="P1542" s="297" t="s">
        <v>199</v>
      </c>
      <c r="Q1542" s="297" t="s">
        <v>200</v>
      </c>
      <c r="R1542" s="297" t="s">
        <v>213</v>
      </c>
      <c r="S1542" s="297" t="s">
        <v>214</v>
      </c>
    </row>
    <row r="1543" spans="1:19" x14ac:dyDescent="0.4">
      <c r="A1543" s="291"/>
      <c r="B1543" s="292"/>
      <c r="C1543" s="312"/>
      <c r="D1543" s="292"/>
      <c r="E1543" s="489"/>
      <c r="F1543" s="489"/>
      <c r="G1543" s="490"/>
      <c r="H1543" s="520"/>
      <c r="I1543" s="523"/>
      <c r="J1543" s="521"/>
      <c r="K1543" s="522"/>
      <c r="M1543" s="301" t="str">
        <f>N1543&amp;AS[[#This Row],[Insurer Code]]&amp;"; "&amp;O1543&amp;AS[[#This Row],[Reporting Year]]&amp;"; "&amp;P1543&amp;AS[[#This Row],[Insurance Category Code]]&amp;"; "&amp;Q1543&amp;AS[[#This Row],[Large Provider Entity Code]]&amp;"; "&amp;R1543&amp;AS[[#This Row],[Age Band Code]]&amp;"; "&amp;S1543&amp;AS[[#This Row],[Sex Code]]</f>
        <v xml:space="preserve">Insurer Code ; Reporting Year ; Insurance Category Code ; Large Provider Entity Code ; Age Band Code ; Sex Code </v>
      </c>
      <c r="N1543" s="297" t="s">
        <v>197</v>
      </c>
      <c r="O1543" s="297" t="s">
        <v>198</v>
      </c>
      <c r="P1543" s="297" t="s">
        <v>199</v>
      </c>
      <c r="Q1543" s="297" t="s">
        <v>200</v>
      </c>
      <c r="R1543" s="297" t="s">
        <v>213</v>
      </c>
      <c r="S1543" s="297" t="s">
        <v>214</v>
      </c>
    </row>
    <row r="1544" spans="1:19" x14ac:dyDescent="0.4">
      <c r="A1544" s="291"/>
      <c r="B1544" s="292"/>
      <c r="C1544" s="312"/>
      <c r="D1544" s="292"/>
      <c r="E1544" s="489"/>
      <c r="F1544" s="489"/>
      <c r="G1544" s="490"/>
      <c r="H1544" s="520"/>
      <c r="I1544" s="523"/>
      <c r="J1544" s="521"/>
      <c r="K1544" s="522"/>
      <c r="M1544" s="301" t="str">
        <f>N1544&amp;AS[[#This Row],[Insurer Code]]&amp;"; "&amp;O1544&amp;AS[[#This Row],[Reporting Year]]&amp;"; "&amp;P1544&amp;AS[[#This Row],[Insurance Category Code]]&amp;"; "&amp;Q1544&amp;AS[[#This Row],[Large Provider Entity Code]]&amp;"; "&amp;R1544&amp;AS[[#This Row],[Age Band Code]]&amp;"; "&amp;S1544&amp;AS[[#This Row],[Sex Code]]</f>
        <v xml:space="preserve">Insurer Code ; Reporting Year ; Insurance Category Code ; Large Provider Entity Code ; Age Band Code ; Sex Code </v>
      </c>
      <c r="N1544" s="297" t="s">
        <v>197</v>
      </c>
      <c r="O1544" s="297" t="s">
        <v>198</v>
      </c>
      <c r="P1544" s="297" t="s">
        <v>199</v>
      </c>
      <c r="Q1544" s="297" t="s">
        <v>200</v>
      </c>
      <c r="R1544" s="297" t="s">
        <v>213</v>
      </c>
      <c r="S1544" s="297" t="s">
        <v>214</v>
      </c>
    </row>
    <row r="1545" spans="1:19" x14ac:dyDescent="0.4">
      <c r="A1545" s="291"/>
      <c r="B1545" s="292"/>
      <c r="C1545" s="312"/>
      <c r="D1545" s="292"/>
      <c r="E1545" s="489"/>
      <c r="F1545" s="489"/>
      <c r="G1545" s="490"/>
      <c r="H1545" s="520"/>
      <c r="I1545" s="523"/>
      <c r="J1545" s="521"/>
      <c r="K1545" s="522"/>
      <c r="M1545" s="301" t="str">
        <f>N1545&amp;AS[[#This Row],[Insurer Code]]&amp;"; "&amp;O1545&amp;AS[[#This Row],[Reporting Year]]&amp;"; "&amp;P1545&amp;AS[[#This Row],[Insurance Category Code]]&amp;"; "&amp;Q1545&amp;AS[[#This Row],[Large Provider Entity Code]]&amp;"; "&amp;R1545&amp;AS[[#This Row],[Age Band Code]]&amp;"; "&amp;S1545&amp;AS[[#This Row],[Sex Code]]</f>
        <v xml:space="preserve">Insurer Code ; Reporting Year ; Insurance Category Code ; Large Provider Entity Code ; Age Band Code ; Sex Code </v>
      </c>
      <c r="N1545" s="297" t="s">
        <v>197</v>
      </c>
      <c r="O1545" s="297" t="s">
        <v>198</v>
      </c>
      <c r="P1545" s="297" t="s">
        <v>199</v>
      </c>
      <c r="Q1545" s="297" t="s">
        <v>200</v>
      </c>
      <c r="R1545" s="297" t="s">
        <v>213</v>
      </c>
      <c r="S1545" s="297" t="s">
        <v>214</v>
      </c>
    </row>
    <row r="1546" spans="1:19" x14ac:dyDescent="0.4">
      <c r="A1546" s="291"/>
      <c r="B1546" s="292"/>
      <c r="C1546" s="312"/>
      <c r="D1546" s="292"/>
      <c r="E1546" s="489"/>
      <c r="F1546" s="489"/>
      <c r="G1546" s="490"/>
      <c r="H1546" s="520"/>
      <c r="I1546" s="523"/>
      <c r="J1546" s="521"/>
      <c r="K1546" s="522"/>
      <c r="M1546" s="301" t="str">
        <f>N1546&amp;AS[[#This Row],[Insurer Code]]&amp;"; "&amp;O1546&amp;AS[[#This Row],[Reporting Year]]&amp;"; "&amp;P1546&amp;AS[[#This Row],[Insurance Category Code]]&amp;"; "&amp;Q1546&amp;AS[[#This Row],[Large Provider Entity Code]]&amp;"; "&amp;R1546&amp;AS[[#This Row],[Age Band Code]]&amp;"; "&amp;S1546&amp;AS[[#This Row],[Sex Code]]</f>
        <v xml:space="preserve">Insurer Code ; Reporting Year ; Insurance Category Code ; Large Provider Entity Code ; Age Band Code ; Sex Code </v>
      </c>
      <c r="N1546" s="297" t="s">
        <v>197</v>
      </c>
      <c r="O1546" s="297" t="s">
        <v>198</v>
      </c>
      <c r="P1546" s="297" t="s">
        <v>199</v>
      </c>
      <c r="Q1546" s="297" t="s">
        <v>200</v>
      </c>
      <c r="R1546" s="297" t="s">
        <v>213</v>
      </c>
      <c r="S1546" s="297" t="s">
        <v>214</v>
      </c>
    </row>
    <row r="1547" spans="1:19" x14ac:dyDescent="0.4">
      <c r="A1547" s="291"/>
      <c r="B1547" s="292"/>
      <c r="C1547" s="312"/>
      <c r="D1547" s="292"/>
      <c r="E1547" s="489"/>
      <c r="F1547" s="489"/>
      <c r="G1547" s="490"/>
      <c r="H1547" s="520"/>
      <c r="I1547" s="523"/>
      <c r="J1547" s="521"/>
      <c r="K1547" s="522"/>
      <c r="M1547" s="301" t="str">
        <f>N1547&amp;AS[[#This Row],[Insurer Code]]&amp;"; "&amp;O1547&amp;AS[[#This Row],[Reporting Year]]&amp;"; "&amp;P1547&amp;AS[[#This Row],[Insurance Category Code]]&amp;"; "&amp;Q1547&amp;AS[[#This Row],[Large Provider Entity Code]]&amp;"; "&amp;R1547&amp;AS[[#This Row],[Age Band Code]]&amp;"; "&amp;S1547&amp;AS[[#This Row],[Sex Code]]</f>
        <v xml:space="preserve">Insurer Code ; Reporting Year ; Insurance Category Code ; Large Provider Entity Code ; Age Band Code ; Sex Code </v>
      </c>
      <c r="N1547" s="297" t="s">
        <v>197</v>
      </c>
      <c r="O1547" s="297" t="s">
        <v>198</v>
      </c>
      <c r="P1547" s="297" t="s">
        <v>199</v>
      </c>
      <c r="Q1547" s="297" t="s">
        <v>200</v>
      </c>
      <c r="R1547" s="297" t="s">
        <v>213</v>
      </c>
      <c r="S1547" s="297" t="s">
        <v>214</v>
      </c>
    </row>
    <row r="1548" spans="1:19" x14ac:dyDescent="0.4">
      <c r="A1548" s="291"/>
      <c r="B1548" s="292"/>
      <c r="C1548" s="312"/>
      <c r="D1548" s="292"/>
      <c r="E1548" s="489"/>
      <c r="F1548" s="489"/>
      <c r="G1548" s="490"/>
      <c r="H1548" s="520"/>
      <c r="I1548" s="523"/>
      <c r="J1548" s="521"/>
      <c r="K1548" s="522"/>
      <c r="M1548" s="301" t="str">
        <f>N1548&amp;AS[[#This Row],[Insurer Code]]&amp;"; "&amp;O1548&amp;AS[[#This Row],[Reporting Year]]&amp;"; "&amp;P1548&amp;AS[[#This Row],[Insurance Category Code]]&amp;"; "&amp;Q1548&amp;AS[[#This Row],[Large Provider Entity Code]]&amp;"; "&amp;R1548&amp;AS[[#This Row],[Age Band Code]]&amp;"; "&amp;S1548&amp;AS[[#This Row],[Sex Code]]</f>
        <v xml:space="preserve">Insurer Code ; Reporting Year ; Insurance Category Code ; Large Provider Entity Code ; Age Band Code ; Sex Code </v>
      </c>
      <c r="N1548" s="297" t="s">
        <v>197</v>
      </c>
      <c r="O1548" s="297" t="s">
        <v>198</v>
      </c>
      <c r="P1548" s="297" t="s">
        <v>199</v>
      </c>
      <c r="Q1548" s="297" t="s">
        <v>200</v>
      </c>
      <c r="R1548" s="297" t="s">
        <v>213</v>
      </c>
      <c r="S1548" s="297" t="s">
        <v>214</v>
      </c>
    </row>
    <row r="1549" spans="1:19" x14ac:dyDescent="0.4">
      <c r="A1549" s="291"/>
      <c r="B1549" s="292"/>
      <c r="C1549" s="312"/>
      <c r="D1549" s="292"/>
      <c r="E1549" s="489"/>
      <c r="F1549" s="489"/>
      <c r="G1549" s="490"/>
      <c r="H1549" s="520"/>
      <c r="I1549" s="523"/>
      <c r="J1549" s="521"/>
      <c r="K1549" s="522"/>
      <c r="M1549" s="301" t="str">
        <f>N1549&amp;AS[[#This Row],[Insurer Code]]&amp;"; "&amp;O1549&amp;AS[[#This Row],[Reporting Year]]&amp;"; "&amp;P1549&amp;AS[[#This Row],[Insurance Category Code]]&amp;"; "&amp;Q1549&amp;AS[[#This Row],[Large Provider Entity Code]]&amp;"; "&amp;R1549&amp;AS[[#This Row],[Age Band Code]]&amp;"; "&amp;S1549&amp;AS[[#This Row],[Sex Code]]</f>
        <v xml:space="preserve">Insurer Code ; Reporting Year ; Insurance Category Code ; Large Provider Entity Code ; Age Band Code ; Sex Code </v>
      </c>
      <c r="N1549" s="297" t="s">
        <v>197</v>
      </c>
      <c r="O1549" s="297" t="s">
        <v>198</v>
      </c>
      <c r="P1549" s="297" t="s">
        <v>199</v>
      </c>
      <c r="Q1549" s="297" t="s">
        <v>200</v>
      </c>
      <c r="R1549" s="297" t="s">
        <v>213</v>
      </c>
      <c r="S1549" s="297" t="s">
        <v>214</v>
      </c>
    </row>
    <row r="1550" spans="1:19" x14ac:dyDescent="0.4">
      <c r="A1550" s="291"/>
      <c r="B1550" s="292"/>
      <c r="C1550" s="312"/>
      <c r="D1550" s="292"/>
      <c r="E1550" s="489"/>
      <c r="F1550" s="489"/>
      <c r="G1550" s="490"/>
      <c r="H1550" s="520"/>
      <c r="I1550" s="523"/>
      <c r="J1550" s="521"/>
      <c r="K1550" s="522"/>
      <c r="M1550" s="301" t="str">
        <f>N1550&amp;AS[[#This Row],[Insurer Code]]&amp;"; "&amp;O1550&amp;AS[[#This Row],[Reporting Year]]&amp;"; "&amp;P1550&amp;AS[[#This Row],[Insurance Category Code]]&amp;"; "&amp;Q1550&amp;AS[[#This Row],[Large Provider Entity Code]]&amp;"; "&amp;R1550&amp;AS[[#This Row],[Age Band Code]]&amp;"; "&amp;S1550&amp;AS[[#This Row],[Sex Code]]</f>
        <v xml:space="preserve">Insurer Code ; Reporting Year ; Insurance Category Code ; Large Provider Entity Code ; Age Band Code ; Sex Code </v>
      </c>
      <c r="N1550" s="297" t="s">
        <v>197</v>
      </c>
      <c r="O1550" s="297" t="s">
        <v>198</v>
      </c>
      <c r="P1550" s="297" t="s">
        <v>199</v>
      </c>
      <c r="Q1550" s="297" t="s">
        <v>200</v>
      </c>
      <c r="R1550" s="297" t="s">
        <v>213</v>
      </c>
      <c r="S1550" s="297" t="s">
        <v>214</v>
      </c>
    </row>
    <row r="1551" spans="1:19" x14ac:dyDescent="0.4">
      <c r="A1551" s="291"/>
      <c r="B1551" s="292"/>
      <c r="C1551" s="312"/>
      <c r="D1551" s="292"/>
      <c r="E1551" s="489"/>
      <c r="F1551" s="489"/>
      <c r="G1551" s="490"/>
      <c r="H1551" s="520"/>
      <c r="I1551" s="523"/>
      <c r="J1551" s="521"/>
      <c r="K1551" s="522"/>
      <c r="M1551" s="301" t="str">
        <f>N1551&amp;AS[[#This Row],[Insurer Code]]&amp;"; "&amp;O1551&amp;AS[[#This Row],[Reporting Year]]&amp;"; "&amp;P1551&amp;AS[[#This Row],[Insurance Category Code]]&amp;"; "&amp;Q1551&amp;AS[[#This Row],[Large Provider Entity Code]]&amp;"; "&amp;R1551&amp;AS[[#This Row],[Age Band Code]]&amp;"; "&amp;S1551&amp;AS[[#This Row],[Sex Code]]</f>
        <v xml:space="preserve">Insurer Code ; Reporting Year ; Insurance Category Code ; Large Provider Entity Code ; Age Band Code ; Sex Code </v>
      </c>
      <c r="N1551" s="297" t="s">
        <v>197</v>
      </c>
      <c r="O1551" s="297" t="s">
        <v>198</v>
      </c>
      <c r="P1551" s="297" t="s">
        <v>199</v>
      </c>
      <c r="Q1551" s="297" t="s">
        <v>200</v>
      </c>
      <c r="R1551" s="297" t="s">
        <v>213</v>
      </c>
      <c r="S1551" s="297" t="s">
        <v>214</v>
      </c>
    </row>
    <row r="1552" spans="1:19" x14ac:dyDescent="0.4">
      <c r="A1552" s="291"/>
      <c r="B1552" s="292"/>
      <c r="C1552" s="312"/>
      <c r="D1552" s="292"/>
      <c r="E1552" s="489"/>
      <c r="F1552" s="489"/>
      <c r="G1552" s="490"/>
      <c r="H1552" s="520"/>
      <c r="I1552" s="523"/>
      <c r="J1552" s="521"/>
      <c r="K1552" s="522"/>
      <c r="M1552" s="301" t="str">
        <f>N1552&amp;AS[[#This Row],[Insurer Code]]&amp;"; "&amp;O1552&amp;AS[[#This Row],[Reporting Year]]&amp;"; "&amp;P1552&amp;AS[[#This Row],[Insurance Category Code]]&amp;"; "&amp;Q1552&amp;AS[[#This Row],[Large Provider Entity Code]]&amp;"; "&amp;R1552&amp;AS[[#This Row],[Age Band Code]]&amp;"; "&amp;S1552&amp;AS[[#This Row],[Sex Code]]</f>
        <v xml:space="preserve">Insurer Code ; Reporting Year ; Insurance Category Code ; Large Provider Entity Code ; Age Band Code ; Sex Code </v>
      </c>
      <c r="N1552" s="297" t="s">
        <v>197</v>
      </c>
      <c r="O1552" s="297" t="s">
        <v>198</v>
      </c>
      <c r="P1552" s="297" t="s">
        <v>199</v>
      </c>
      <c r="Q1552" s="297" t="s">
        <v>200</v>
      </c>
      <c r="R1552" s="297" t="s">
        <v>213</v>
      </c>
      <c r="S1552" s="297" t="s">
        <v>214</v>
      </c>
    </row>
    <row r="1553" spans="1:19" x14ac:dyDescent="0.4">
      <c r="A1553" s="291"/>
      <c r="B1553" s="292"/>
      <c r="C1553" s="312"/>
      <c r="D1553" s="292"/>
      <c r="E1553" s="489"/>
      <c r="F1553" s="489"/>
      <c r="G1553" s="490"/>
      <c r="H1553" s="520"/>
      <c r="I1553" s="523"/>
      <c r="J1553" s="521"/>
      <c r="K1553" s="522"/>
      <c r="M1553" s="301" t="str">
        <f>N1553&amp;AS[[#This Row],[Insurer Code]]&amp;"; "&amp;O1553&amp;AS[[#This Row],[Reporting Year]]&amp;"; "&amp;P1553&amp;AS[[#This Row],[Insurance Category Code]]&amp;"; "&amp;Q1553&amp;AS[[#This Row],[Large Provider Entity Code]]&amp;"; "&amp;R1553&amp;AS[[#This Row],[Age Band Code]]&amp;"; "&amp;S1553&amp;AS[[#This Row],[Sex Code]]</f>
        <v xml:space="preserve">Insurer Code ; Reporting Year ; Insurance Category Code ; Large Provider Entity Code ; Age Band Code ; Sex Code </v>
      </c>
      <c r="N1553" s="297" t="s">
        <v>197</v>
      </c>
      <c r="O1553" s="297" t="s">
        <v>198</v>
      </c>
      <c r="P1553" s="297" t="s">
        <v>199</v>
      </c>
      <c r="Q1553" s="297" t="s">
        <v>200</v>
      </c>
      <c r="R1553" s="297" t="s">
        <v>213</v>
      </c>
      <c r="S1553" s="297" t="s">
        <v>214</v>
      </c>
    </row>
    <row r="1554" spans="1:19" x14ac:dyDescent="0.4">
      <c r="A1554" s="291"/>
      <c r="B1554" s="292"/>
      <c r="C1554" s="312"/>
      <c r="D1554" s="292"/>
      <c r="E1554" s="489"/>
      <c r="F1554" s="489"/>
      <c r="G1554" s="490"/>
      <c r="H1554" s="520"/>
      <c r="I1554" s="523"/>
      <c r="J1554" s="521"/>
      <c r="K1554" s="522"/>
      <c r="M1554" s="301" t="str">
        <f>N1554&amp;AS[[#This Row],[Insurer Code]]&amp;"; "&amp;O1554&amp;AS[[#This Row],[Reporting Year]]&amp;"; "&amp;P1554&amp;AS[[#This Row],[Insurance Category Code]]&amp;"; "&amp;Q1554&amp;AS[[#This Row],[Large Provider Entity Code]]&amp;"; "&amp;R1554&amp;AS[[#This Row],[Age Band Code]]&amp;"; "&amp;S1554&amp;AS[[#This Row],[Sex Code]]</f>
        <v xml:space="preserve">Insurer Code ; Reporting Year ; Insurance Category Code ; Large Provider Entity Code ; Age Band Code ; Sex Code </v>
      </c>
      <c r="N1554" s="297" t="s">
        <v>197</v>
      </c>
      <c r="O1554" s="297" t="s">
        <v>198</v>
      </c>
      <c r="P1554" s="297" t="s">
        <v>199</v>
      </c>
      <c r="Q1554" s="297" t="s">
        <v>200</v>
      </c>
      <c r="R1554" s="297" t="s">
        <v>213</v>
      </c>
      <c r="S1554" s="297" t="s">
        <v>214</v>
      </c>
    </row>
    <row r="1555" spans="1:19" x14ac:dyDescent="0.4">
      <c r="A1555" s="291"/>
      <c r="B1555" s="292"/>
      <c r="C1555" s="312"/>
      <c r="D1555" s="292"/>
      <c r="E1555" s="489"/>
      <c r="F1555" s="489"/>
      <c r="G1555" s="490"/>
      <c r="H1555" s="520"/>
      <c r="I1555" s="523"/>
      <c r="J1555" s="521"/>
      <c r="K1555" s="522"/>
      <c r="M1555" s="301" t="str">
        <f>N1555&amp;AS[[#This Row],[Insurer Code]]&amp;"; "&amp;O1555&amp;AS[[#This Row],[Reporting Year]]&amp;"; "&amp;P1555&amp;AS[[#This Row],[Insurance Category Code]]&amp;"; "&amp;Q1555&amp;AS[[#This Row],[Large Provider Entity Code]]&amp;"; "&amp;R1555&amp;AS[[#This Row],[Age Band Code]]&amp;"; "&amp;S1555&amp;AS[[#This Row],[Sex Code]]</f>
        <v xml:space="preserve">Insurer Code ; Reporting Year ; Insurance Category Code ; Large Provider Entity Code ; Age Band Code ; Sex Code </v>
      </c>
      <c r="N1555" s="297" t="s">
        <v>197</v>
      </c>
      <c r="O1555" s="297" t="s">
        <v>198</v>
      </c>
      <c r="P1555" s="297" t="s">
        <v>199</v>
      </c>
      <c r="Q1555" s="297" t="s">
        <v>200</v>
      </c>
      <c r="R1555" s="297" t="s">
        <v>213</v>
      </c>
      <c r="S1555" s="297" t="s">
        <v>214</v>
      </c>
    </row>
    <row r="1556" spans="1:19" x14ac:dyDescent="0.4">
      <c r="A1556" s="291"/>
      <c r="B1556" s="292"/>
      <c r="C1556" s="312"/>
      <c r="D1556" s="292"/>
      <c r="E1556" s="489"/>
      <c r="F1556" s="489"/>
      <c r="G1556" s="490"/>
      <c r="H1556" s="520"/>
      <c r="I1556" s="523"/>
      <c r="J1556" s="521"/>
      <c r="K1556" s="522"/>
      <c r="M1556" s="301" t="str">
        <f>N1556&amp;AS[[#This Row],[Insurer Code]]&amp;"; "&amp;O1556&amp;AS[[#This Row],[Reporting Year]]&amp;"; "&amp;P1556&amp;AS[[#This Row],[Insurance Category Code]]&amp;"; "&amp;Q1556&amp;AS[[#This Row],[Large Provider Entity Code]]&amp;"; "&amp;R1556&amp;AS[[#This Row],[Age Band Code]]&amp;"; "&amp;S1556&amp;AS[[#This Row],[Sex Code]]</f>
        <v xml:space="preserve">Insurer Code ; Reporting Year ; Insurance Category Code ; Large Provider Entity Code ; Age Band Code ; Sex Code </v>
      </c>
      <c r="N1556" s="297" t="s">
        <v>197</v>
      </c>
      <c r="O1556" s="297" t="s">
        <v>198</v>
      </c>
      <c r="P1556" s="297" t="s">
        <v>199</v>
      </c>
      <c r="Q1556" s="297" t="s">
        <v>200</v>
      </c>
      <c r="R1556" s="297" t="s">
        <v>213</v>
      </c>
      <c r="S1556" s="297" t="s">
        <v>214</v>
      </c>
    </row>
    <row r="1557" spans="1:19" x14ac:dyDescent="0.4">
      <c r="A1557" s="291"/>
      <c r="B1557" s="292"/>
      <c r="C1557" s="312"/>
      <c r="D1557" s="292"/>
      <c r="E1557" s="489"/>
      <c r="F1557" s="489"/>
      <c r="G1557" s="490"/>
      <c r="H1557" s="520"/>
      <c r="I1557" s="523"/>
      <c r="J1557" s="521"/>
      <c r="K1557" s="522"/>
      <c r="M1557" s="301" t="str">
        <f>N1557&amp;AS[[#This Row],[Insurer Code]]&amp;"; "&amp;O1557&amp;AS[[#This Row],[Reporting Year]]&amp;"; "&amp;P1557&amp;AS[[#This Row],[Insurance Category Code]]&amp;"; "&amp;Q1557&amp;AS[[#This Row],[Large Provider Entity Code]]&amp;"; "&amp;R1557&amp;AS[[#This Row],[Age Band Code]]&amp;"; "&amp;S1557&amp;AS[[#This Row],[Sex Code]]</f>
        <v xml:space="preserve">Insurer Code ; Reporting Year ; Insurance Category Code ; Large Provider Entity Code ; Age Band Code ; Sex Code </v>
      </c>
      <c r="N1557" s="297" t="s">
        <v>197</v>
      </c>
      <c r="O1557" s="297" t="s">
        <v>198</v>
      </c>
      <c r="P1557" s="297" t="s">
        <v>199</v>
      </c>
      <c r="Q1557" s="297" t="s">
        <v>200</v>
      </c>
      <c r="R1557" s="297" t="s">
        <v>213</v>
      </c>
      <c r="S1557" s="297" t="s">
        <v>214</v>
      </c>
    </row>
    <row r="1558" spans="1:19" x14ac:dyDescent="0.4">
      <c r="A1558" s="291"/>
      <c r="B1558" s="292"/>
      <c r="C1558" s="312"/>
      <c r="D1558" s="292"/>
      <c r="E1558" s="489"/>
      <c r="F1558" s="489"/>
      <c r="G1558" s="490"/>
      <c r="H1558" s="520"/>
      <c r="I1558" s="523"/>
      <c r="J1558" s="521"/>
      <c r="K1558" s="522"/>
      <c r="M1558" s="301" t="str">
        <f>N1558&amp;AS[[#This Row],[Insurer Code]]&amp;"; "&amp;O1558&amp;AS[[#This Row],[Reporting Year]]&amp;"; "&amp;P1558&amp;AS[[#This Row],[Insurance Category Code]]&amp;"; "&amp;Q1558&amp;AS[[#This Row],[Large Provider Entity Code]]&amp;"; "&amp;R1558&amp;AS[[#This Row],[Age Band Code]]&amp;"; "&amp;S1558&amp;AS[[#This Row],[Sex Code]]</f>
        <v xml:space="preserve">Insurer Code ; Reporting Year ; Insurance Category Code ; Large Provider Entity Code ; Age Band Code ; Sex Code </v>
      </c>
      <c r="N1558" s="297" t="s">
        <v>197</v>
      </c>
      <c r="O1558" s="297" t="s">
        <v>198</v>
      </c>
      <c r="P1558" s="297" t="s">
        <v>199</v>
      </c>
      <c r="Q1558" s="297" t="s">
        <v>200</v>
      </c>
      <c r="R1558" s="297" t="s">
        <v>213</v>
      </c>
      <c r="S1558" s="297" t="s">
        <v>214</v>
      </c>
    </row>
    <row r="1559" spans="1:19" x14ac:dyDescent="0.4">
      <c r="A1559" s="291"/>
      <c r="B1559" s="292"/>
      <c r="C1559" s="312"/>
      <c r="D1559" s="292"/>
      <c r="E1559" s="489"/>
      <c r="F1559" s="489"/>
      <c r="G1559" s="490"/>
      <c r="H1559" s="520"/>
      <c r="I1559" s="523"/>
      <c r="J1559" s="521"/>
      <c r="K1559" s="522"/>
      <c r="M1559" s="301" t="str">
        <f>N1559&amp;AS[[#This Row],[Insurer Code]]&amp;"; "&amp;O1559&amp;AS[[#This Row],[Reporting Year]]&amp;"; "&amp;P1559&amp;AS[[#This Row],[Insurance Category Code]]&amp;"; "&amp;Q1559&amp;AS[[#This Row],[Large Provider Entity Code]]&amp;"; "&amp;R1559&amp;AS[[#This Row],[Age Band Code]]&amp;"; "&amp;S1559&amp;AS[[#This Row],[Sex Code]]</f>
        <v xml:space="preserve">Insurer Code ; Reporting Year ; Insurance Category Code ; Large Provider Entity Code ; Age Band Code ; Sex Code </v>
      </c>
      <c r="N1559" s="297" t="s">
        <v>197</v>
      </c>
      <c r="O1559" s="297" t="s">
        <v>198</v>
      </c>
      <c r="P1559" s="297" t="s">
        <v>199</v>
      </c>
      <c r="Q1559" s="297" t="s">
        <v>200</v>
      </c>
      <c r="R1559" s="297" t="s">
        <v>213</v>
      </c>
      <c r="S1559" s="297" t="s">
        <v>214</v>
      </c>
    </row>
    <row r="1560" spans="1:19" x14ac:dyDescent="0.4">
      <c r="A1560" s="291"/>
      <c r="B1560" s="292"/>
      <c r="C1560" s="312"/>
      <c r="D1560" s="292"/>
      <c r="E1560" s="489"/>
      <c r="F1560" s="489"/>
      <c r="G1560" s="490"/>
      <c r="H1560" s="520"/>
      <c r="I1560" s="523"/>
      <c r="J1560" s="521"/>
      <c r="K1560" s="522"/>
      <c r="M1560" s="301" t="str">
        <f>N1560&amp;AS[[#This Row],[Insurer Code]]&amp;"; "&amp;O1560&amp;AS[[#This Row],[Reporting Year]]&amp;"; "&amp;P1560&amp;AS[[#This Row],[Insurance Category Code]]&amp;"; "&amp;Q1560&amp;AS[[#This Row],[Large Provider Entity Code]]&amp;"; "&amp;R1560&amp;AS[[#This Row],[Age Band Code]]&amp;"; "&amp;S1560&amp;AS[[#This Row],[Sex Code]]</f>
        <v xml:space="preserve">Insurer Code ; Reporting Year ; Insurance Category Code ; Large Provider Entity Code ; Age Band Code ; Sex Code </v>
      </c>
      <c r="N1560" s="297" t="s">
        <v>197</v>
      </c>
      <c r="O1560" s="297" t="s">
        <v>198</v>
      </c>
      <c r="P1560" s="297" t="s">
        <v>199</v>
      </c>
      <c r="Q1560" s="297" t="s">
        <v>200</v>
      </c>
      <c r="R1560" s="297" t="s">
        <v>213</v>
      </c>
      <c r="S1560" s="297" t="s">
        <v>214</v>
      </c>
    </row>
    <row r="1561" spans="1:19" x14ac:dyDescent="0.4">
      <c r="A1561" s="291"/>
      <c r="B1561" s="292"/>
      <c r="C1561" s="312"/>
      <c r="D1561" s="292"/>
      <c r="E1561" s="489"/>
      <c r="F1561" s="489"/>
      <c r="G1561" s="490"/>
      <c r="H1561" s="520"/>
      <c r="I1561" s="523"/>
      <c r="J1561" s="521"/>
      <c r="K1561" s="522"/>
      <c r="M1561" s="301" t="str">
        <f>N1561&amp;AS[[#This Row],[Insurer Code]]&amp;"; "&amp;O1561&amp;AS[[#This Row],[Reporting Year]]&amp;"; "&amp;P1561&amp;AS[[#This Row],[Insurance Category Code]]&amp;"; "&amp;Q1561&amp;AS[[#This Row],[Large Provider Entity Code]]&amp;"; "&amp;R1561&amp;AS[[#This Row],[Age Band Code]]&amp;"; "&amp;S1561&amp;AS[[#This Row],[Sex Code]]</f>
        <v xml:space="preserve">Insurer Code ; Reporting Year ; Insurance Category Code ; Large Provider Entity Code ; Age Band Code ; Sex Code </v>
      </c>
      <c r="N1561" s="297" t="s">
        <v>197</v>
      </c>
      <c r="O1561" s="297" t="s">
        <v>198</v>
      </c>
      <c r="P1561" s="297" t="s">
        <v>199</v>
      </c>
      <c r="Q1561" s="297" t="s">
        <v>200</v>
      </c>
      <c r="R1561" s="297" t="s">
        <v>213</v>
      </c>
      <c r="S1561" s="297" t="s">
        <v>214</v>
      </c>
    </row>
    <row r="1562" spans="1:19" x14ac:dyDescent="0.4">
      <c r="A1562" s="291"/>
      <c r="B1562" s="292"/>
      <c r="C1562" s="312"/>
      <c r="D1562" s="292"/>
      <c r="E1562" s="489"/>
      <c r="F1562" s="489"/>
      <c r="G1562" s="490"/>
      <c r="H1562" s="520"/>
      <c r="I1562" s="523"/>
      <c r="J1562" s="521"/>
      <c r="K1562" s="522"/>
      <c r="M1562" s="301" t="str">
        <f>N1562&amp;AS[[#This Row],[Insurer Code]]&amp;"; "&amp;O1562&amp;AS[[#This Row],[Reporting Year]]&amp;"; "&amp;P1562&amp;AS[[#This Row],[Insurance Category Code]]&amp;"; "&amp;Q1562&amp;AS[[#This Row],[Large Provider Entity Code]]&amp;"; "&amp;R1562&amp;AS[[#This Row],[Age Band Code]]&amp;"; "&amp;S1562&amp;AS[[#This Row],[Sex Code]]</f>
        <v xml:space="preserve">Insurer Code ; Reporting Year ; Insurance Category Code ; Large Provider Entity Code ; Age Band Code ; Sex Code </v>
      </c>
      <c r="N1562" s="297" t="s">
        <v>197</v>
      </c>
      <c r="O1562" s="297" t="s">
        <v>198</v>
      </c>
      <c r="P1562" s="297" t="s">
        <v>199</v>
      </c>
      <c r="Q1562" s="297" t="s">
        <v>200</v>
      </c>
      <c r="R1562" s="297" t="s">
        <v>213</v>
      </c>
      <c r="S1562" s="297" t="s">
        <v>214</v>
      </c>
    </row>
    <row r="1563" spans="1:19" x14ac:dyDescent="0.4">
      <c r="A1563" s="291"/>
      <c r="B1563" s="292"/>
      <c r="C1563" s="312"/>
      <c r="D1563" s="292"/>
      <c r="E1563" s="489"/>
      <c r="F1563" s="489"/>
      <c r="G1563" s="490"/>
      <c r="H1563" s="520"/>
      <c r="I1563" s="523"/>
      <c r="J1563" s="521"/>
      <c r="K1563" s="522"/>
      <c r="M1563" s="301" t="str">
        <f>N1563&amp;AS[[#This Row],[Insurer Code]]&amp;"; "&amp;O1563&amp;AS[[#This Row],[Reporting Year]]&amp;"; "&amp;P1563&amp;AS[[#This Row],[Insurance Category Code]]&amp;"; "&amp;Q1563&amp;AS[[#This Row],[Large Provider Entity Code]]&amp;"; "&amp;R1563&amp;AS[[#This Row],[Age Band Code]]&amp;"; "&amp;S1563&amp;AS[[#This Row],[Sex Code]]</f>
        <v xml:space="preserve">Insurer Code ; Reporting Year ; Insurance Category Code ; Large Provider Entity Code ; Age Band Code ; Sex Code </v>
      </c>
      <c r="N1563" s="297" t="s">
        <v>197</v>
      </c>
      <c r="O1563" s="297" t="s">
        <v>198</v>
      </c>
      <c r="P1563" s="297" t="s">
        <v>199</v>
      </c>
      <c r="Q1563" s="297" t="s">
        <v>200</v>
      </c>
      <c r="R1563" s="297" t="s">
        <v>213</v>
      </c>
      <c r="S1563" s="297" t="s">
        <v>214</v>
      </c>
    </row>
    <row r="1564" spans="1:19" x14ac:dyDescent="0.4">
      <c r="A1564" s="291"/>
      <c r="B1564" s="292"/>
      <c r="C1564" s="312"/>
      <c r="D1564" s="292"/>
      <c r="E1564" s="489"/>
      <c r="F1564" s="489"/>
      <c r="G1564" s="490"/>
      <c r="H1564" s="520"/>
      <c r="I1564" s="523"/>
      <c r="J1564" s="521"/>
      <c r="K1564" s="522"/>
      <c r="M1564" s="301" t="str">
        <f>N1564&amp;AS[[#This Row],[Insurer Code]]&amp;"; "&amp;O1564&amp;AS[[#This Row],[Reporting Year]]&amp;"; "&amp;P1564&amp;AS[[#This Row],[Insurance Category Code]]&amp;"; "&amp;Q1564&amp;AS[[#This Row],[Large Provider Entity Code]]&amp;"; "&amp;R1564&amp;AS[[#This Row],[Age Band Code]]&amp;"; "&amp;S1564&amp;AS[[#This Row],[Sex Code]]</f>
        <v xml:space="preserve">Insurer Code ; Reporting Year ; Insurance Category Code ; Large Provider Entity Code ; Age Band Code ; Sex Code </v>
      </c>
      <c r="N1564" s="297" t="s">
        <v>197</v>
      </c>
      <c r="O1564" s="297" t="s">
        <v>198</v>
      </c>
      <c r="P1564" s="297" t="s">
        <v>199</v>
      </c>
      <c r="Q1564" s="297" t="s">
        <v>200</v>
      </c>
      <c r="R1564" s="297" t="s">
        <v>213</v>
      </c>
      <c r="S1564" s="297" t="s">
        <v>214</v>
      </c>
    </row>
    <row r="1565" spans="1:19" x14ac:dyDescent="0.4">
      <c r="A1565" s="291"/>
      <c r="B1565" s="292"/>
      <c r="C1565" s="312"/>
      <c r="D1565" s="292"/>
      <c r="E1565" s="489"/>
      <c r="F1565" s="489"/>
      <c r="G1565" s="490"/>
      <c r="H1565" s="520"/>
      <c r="I1565" s="523"/>
      <c r="J1565" s="521"/>
      <c r="K1565" s="522"/>
      <c r="M1565" s="301" t="str">
        <f>N1565&amp;AS[[#This Row],[Insurer Code]]&amp;"; "&amp;O1565&amp;AS[[#This Row],[Reporting Year]]&amp;"; "&amp;P1565&amp;AS[[#This Row],[Insurance Category Code]]&amp;"; "&amp;Q1565&amp;AS[[#This Row],[Large Provider Entity Code]]&amp;"; "&amp;R1565&amp;AS[[#This Row],[Age Band Code]]&amp;"; "&amp;S1565&amp;AS[[#This Row],[Sex Code]]</f>
        <v xml:space="preserve">Insurer Code ; Reporting Year ; Insurance Category Code ; Large Provider Entity Code ; Age Band Code ; Sex Code </v>
      </c>
      <c r="N1565" s="297" t="s">
        <v>197</v>
      </c>
      <c r="O1565" s="297" t="s">
        <v>198</v>
      </c>
      <c r="P1565" s="297" t="s">
        <v>199</v>
      </c>
      <c r="Q1565" s="297" t="s">
        <v>200</v>
      </c>
      <c r="R1565" s="297" t="s">
        <v>213</v>
      </c>
      <c r="S1565" s="297" t="s">
        <v>214</v>
      </c>
    </row>
    <row r="1566" spans="1:19" x14ac:dyDescent="0.4">
      <c r="A1566" s="291"/>
      <c r="B1566" s="292"/>
      <c r="C1566" s="312"/>
      <c r="D1566" s="292"/>
      <c r="E1566" s="489"/>
      <c r="F1566" s="489"/>
      <c r="G1566" s="490"/>
      <c r="H1566" s="520"/>
      <c r="I1566" s="523"/>
      <c r="J1566" s="521"/>
      <c r="K1566" s="522"/>
      <c r="M1566" s="301" t="str">
        <f>N1566&amp;AS[[#This Row],[Insurer Code]]&amp;"; "&amp;O1566&amp;AS[[#This Row],[Reporting Year]]&amp;"; "&amp;P1566&amp;AS[[#This Row],[Insurance Category Code]]&amp;"; "&amp;Q1566&amp;AS[[#This Row],[Large Provider Entity Code]]&amp;"; "&amp;R1566&amp;AS[[#This Row],[Age Band Code]]&amp;"; "&amp;S1566&amp;AS[[#This Row],[Sex Code]]</f>
        <v xml:space="preserve">Insurer Code ; Reporting Year ; Insurance Category Code ; Large Provider Entity Code ; Age Band Code ; Sex Code </v>
      </c>
      <c r="N1566" s="297" t="s">
        <v>197</v>
      </c>
      <c r="O1566" s="297" t="s">
        <v>198</v>
      </c>
      <c r="P1566" s="297" t="s">
        <v>199</v>
      </c>
      <c r="Q1566" s="297" t="s">
        <v>200</v>
      </c>
      <c r="R1566" s="297" t="s">
        <v>213</v>
      </c>
      <c r="S1566" s="297" t="s">
        <v>214</v>
      </c>
    </row>
    <row r="1567" spans="1:19" x14ac:dyDescent="0.4">
      <c r="A1567" s="291"/>
      <c r="B1567" s="292"/>
      <c r="C1567" s="312"/>
      <c r="D1567" s="292"/>
      <c r="E1567" s="489"/>
      <c r="F1567" s="489"/>
      <c r="G1567" s="490"/>
      <c r="H1567" s="520"/>
      <c r="I1567" s="523"/>
      <c r="J1567" s="521"/>
      <c r="K1567" s="522"/>
      <c r="M1567" s="301" t="str">
        <f>N1567&amp;AS[[#This Row],[Insurer Code]]&amp;"; "&amp;O1567&amp;AS[[#This Row],[Reporting Year]]&amp;"; "&amp;P1567&amp;AS[[#This Row],[Insurance Category Code]]&amp;"; "&amp;Q1567&amp;AS[[#This Row],[Large Provider Entity Code]]&amp;"; "&amp;R1567&amp;AS[[#This Row],[Age Band Code]]&amp;"; "&amp;S1567&amp;AS[[#This Row],[Sex Code]]</f>
        <v xml:space="preserve">Insurer Code ; Reporting Year ; Insurance Category Code ; Large Provider Entity Code ; Age Band Code ; Sex Code </v>
      </c>
      <c r="N1567" s="297" t="s">
        <v>197</v>
      </c>
      <c r="O1567" s="297" t="s">
        <v>198</v>
      </c>
      <c r="P1567" s="297" t="s">
        <v>199</v>
      </c>
      <c r="Q1567" s="297" t="s">
        <v>200</v>
      </c>
      <c r="R1567" s="297" t="s">
        <v>213</v>
      </c>
      <c r="S1567" s="297" t="s">
        <v>214</v>
      </c>
    </row>
    <row r="1568" spans="1:19" x14ac:dyDescent="0.4">
      <c r="A1568" s="291"/>
      <c r="B1568" s="292"/>
      <c r="C1568" s="312"/>
      <c r="D1568" s="292"/>
      <c r="E1568" s="489"/>
      <c r="F1568" s="489"/>
      <c r="G1568" s="490"/>
      <c r="H1568" s="520"/>
      <c r="I1568" s="523"/>
      <c r="J1568" s="521"/>
      <c r="K1568" s="522"/>
      <c r="M1568" s="301" t="str">
        <f>N1568&amp;AS[[#This Row],[Insurer Code]]&amp;"; "&amp;O1568&amp;AS[[#This Row],[Reporting Year]]&amp;"; "&amp;P1568&amp;AS[[#This Row],[Insurance Category Code]]&amp;"; "&amp;Q1568&amp;AS[[#This Row],[Large Provider Entity Code]]&amp;"; "&amp;R1568&amp;AS[[#This Row],[Age Band Code]]&amp;"; "&amp;S1568&amp;AS[[#This Row],[Sex Code]]</f>
        <v xml:space="preserve">Insurer Code ; Reporting Year ; Insurance Category Code ; Large Provider Entity Code ; Age Band Code ; Sex Code </v>
      </c>
      <c r="N1568" s="297" t="s">
        <v>197</v>
      </c>
      <c r="O1568" s="297" t="s">
        <v>198</v>
      </c>
      <c r="P1568" s="297" t="s">
        <v>199</v>
      </c>
      <c r="Q1568" s="297" t="s">
        <v>200</v>
      </c>
      <c r="R1568" s="297" t="s">
        <v>213</v>
      </c>
      <c r="S1568" s="297" t="s">
        <v>214</v>
      </c>
    </row>
    <row r="1569" spans="1:19" x14ac:dyDescent="0.4">
      <c r="A1569" s="291"/>
      <c r="B1569" s="292"/>
      <c r="C1569" s="312"/>
      <c r="D1569" s="292"/>
      <c r="E1569" s="489"/>
      <c r="F1569" s="489"/>
      <c r="G1569" s="490"/>
      <c r="H1569" s="520"/>
      <c r="I1569" s="523"/>
      <c r="J1569" s="521"/>
      <c r="K1569" s="522"/>
      <c r="M1569" s="301" t="str">
        <f>N1569&amp;AS[[#This Row],[Insurer Code]]&amp;"; "&amp;O1569&amp;AS[[#This Row],[Reporting Year]]&amp;"; "&amp;P1569&amp;AS[[#This Row],[Insurance Category Code]]&amp;"; "&amp;Q1569&amp;AS[[#This Row],[Large Provider Entity Code]]&amp;"; "&amp;R1569&amp;AS[[#This Row],[Age Band Code]]&amp;"; "&amp;S1569&amp;AS[[#This Row],[Sex Code]]</f>
        <v xml:space="preserve">Insurer Code ; Reporting Year ; Insurance Category Code ; Large Provider Entity Code ; Age Band Code ; Sex Code </v>
      </c>
      <c r="N1569" s="297" t="s">
        <v>197</v>
      </c>
      <c r="O1569" s="297" t="s">
        <v>198</v>
      </c>
      <c r="P1569" s="297" t="s">
        <v>199</v>
      </c>
      <c r="Q1569" s="297" t="s">
        <v>200</v>
      </c>
      <c r="R1569" s="297" t="s">
        <v>213</v>
      </c>
      <c r="S1569" s="297" t="s">
        <v>214</v>
      </c>
    </row>
    <row r="1570" spans="1:19" x14ac:dyDescent="0.4">
      <c r="A1570" s="291"/>
      <c r="B1570" s="292"/>
      <c r="C1570" s="312"/>
      <c r="D1570" s="292"/>
      <c r="E1570" s="489"/>
      <c r="F1570" s="489"/>
      <c r="G1570" s="490"/>
      <c r="H1570" s="520"/>
      <c r="I1570" s="523"/>
      <c r="J1570" s="521"/>
      <c r="K1570" s="522"/>
      <c r="M1570" s="301" t="str">
        <f>N1570&amp;AS[[#This Row],[Insurer Code]]&amp;"; "&amp;O1570&amp;AS[[#This Row],[Reporting Year]]&amp;"; "&amp;P1570&amp;AS[[#This Row],[Insurance Category Code]]&amp;"; "&amp;Q1570&amp;AS[[#This Row],[Large Provider Entity Code]]&amp;"; "&amp;R1570&amp;AS[[#This Row],[Age Band Code]]&amp;"; "&amp;S1570&amp;AS[[#This Row],[Sex Code]]</f>
        <v xml:space="preserve">Insurer Code ; Reporting Year ; Insurance Category Code ; Large Provider Entity Code ; Age Band Code ; Sex Code </v>
      </c>
      <c r="N1570" s="297" t="s">
        <v>197</v>
      </c>
      <c r="O1570" s="297" t="s">
        <v>198</v>
      </c>
      <c r="P1570" s="297" t="s">
        <v>199</v>
      </c>
      <c r="Q1570" s="297" t="s">
        <v>200</v>
      </c>
      <c r="R1570" s="297" t="s">
        <v>213</v>
      </c>
      <c r="S1570" s="297" t="s">
        <v>214</v>
      </c>
    </row>
    <row r="1571" spans="1:19" x14ac:dyDescent="0.4">
      <c r="A1571" s="291"/>
      <c r="B1571" s="292"/>
      <c r="C1571" s="312"/>
      <c r="D1571" s="292"/>
      <c r="E1571" s="489"/>
      <c r="F1571" s="489"/>
      <c r="G1571" s="490"/>
      <c r="H1571" s="520"/>
      <c r="I1571" s="523"/>
      <c r="J1571" s="521"/>
      <c r="K1571" s="522"/>
      <c r="M1571" s="301" t="str">
        <f>N1571&amp;AS[[#This Row],[Insurer Code]]&amp;"; "&amp;O1571&amp;AS[[#This Row],[Reporting Year]]&amp;"; "&amp;P1571&amp;AS[[#This Row],[Insurance Category Code]]&amp;"; "&amp;Q1571&amp;AS[[#This Row],[Large Provider Entity Code]]&amp;"; "&amp;R1571&amp;AS[[#This Row],[Age Band Code]]&amp;"; "&amp;S1571&amp;AS[[#This Row],[Sex Code]]</f>
        <v xml:space="preserve">Insurer Code ; Reporting Year ; Insurance Category Code ; Large Provider Entity Code ; Age Band Code ; Sex Code </v>
      </c>
      <c r="N1571" s="297" t="s">
        <v>197</v>
      </c>
      <c r="O1571" s="297" t="s">
        <v>198</v>
      </c>
      <c r="P1571" s="297" t="s">
        <v>199</v>
      </c>
      <c r="Q1571" s="297" t="s">
        <v>200</v>
      </c>
      <c r="R1571" s="297" t="s">
        <v>213</v>
      </c>
      <c r="S1571" s="297" t="s">
        <v>214</v>
      </c>
    </row>
    <row r="1572" spans="1:19" x14ac:dyDescent="0.4">
      <c r="A1572" s="291"/>
      <c r="B1572" s="292"/>
      <c r="C1572" s="312"/>
      <c r="D1572" s="292"/>
      <c r="E1572" s="489"/>
      <c r="F1572" s="489"/>
      <c r="G1572" s="490"/>
      <c r="H1572" s="520"/>
      <c r="I1572" s="523"/>
      <c r="J1572" s="521"/>
      <c r="K1572" s="522"/>
      <c r="M1572" s="301" t="str">
        <f>N1572&amp;AS[[#This Row],[Insurer Code]]&amp;"; "&amp;O1572&amp;AS[[#This Row],[Reporting Year]]&amp;"; "&amp;P1572&amp;AS[[#This Row],[Insurance Category Code]]&amp;"; "&amp;Q1572&amp;AS[[#This Row],[Large Provider Entity Code]]&amp;"; "&amp;R1572&amp;AS[[#This Row],[Age Band Code]]&amp;"; "&amp;S1572&amp;AS[[#This Row],[Sex Code]]</f>
        <v xml:space="preserve">Insurer Code ; Reporting Year ; Insurance Category Code ; Large Provider Entity Code ; Age Band Code ; Sex Code </v>
      </c>
      <c r="N1572" s="297" t="s">
        <v>197</v>
      </c>
      <c r="O1572" s="297" t="s">
        <v>198</v>
      </c>
      <c r="P1572" s="297" t="s">
        <v>199</v>
      </c>
      <c r="Q1572" s="297" t="s">
        <v>200</v>
      </c>
      <c r="R1572" s="297" t="s">
        <v>213</v>
      </c>
      <c r="S1572" s="297" t="s">
        <v>214</v>
      </c>
    </row>
    <row r="1573" spans="1:19" x14ac:dyDescent="0.4">
      <c r="A1573" s="291"/>
      <c r="B1573" s="292"/>
      <c r="C1573" s="312"/>
      <c r="D1573" s="292"/>
      <c r="E1573" s="489"/>
      <c r="F1573" s="489"/>
      <c r="G1573" s="490"/>
      <c r="H1573" s="520"/>
      <c r="I1573" s="523"/>
      <c r="J1573" s="521"/>
      <c r="K1573" s="522"/>
      <c r="M1573" s="301" t="str">
        <f>N1573&amp;AS[[#This Row],[Insurer Code]]&amp;"; "&amp;O1573&amp;AS[[#This Row],[Reporting Year]]&amp;"; "&amp;P1573&amp;AS[[#This Row],[Insurance Category Code]]&amp;"; "&amp;Q1573&amp;AS[[#This Row],[Large Provider Entity Code]]&amp;"; "&amp;R1573&amp;AS[[#This Row],[Age Band Code]]&amp;"; "&amp;S1573&amp;AS[[#This Row],[Sex Code]]</f>
        <v xml:space="preserve">Insurer Code ; Reporting Year ; Insurance Category Code ; Large Provider Entity Code ; Age Band Code ; Sex Code </v>
      </c>
      <c r="N1573" s="297" t="s">
        <v>197</v>
      </c>
      <c r="O1573" s="297" t="s">
        <v>198</v>
      </c>
      <c r="P1573" s="297" t="s">
        <v>199</v>
      </c>
      <c r="Q1573" s="297" t="s">
        <v>200</v>
      </c>
      <c r="R1573" s="297" t="s">
        <v>213</v>
      </c>
      <c r="S1573" s="297" t="s">
        <v>214</v>
      </c>
    </row>
    <row r="1574" spans="1:19" x14ac:dyDescent="0.4">
      <c r="A1574" s="291"/>
      <c r="B1574" s="292"/>
      <c r="C1574" s="312"/>
      <c r="D1574" s="292"/>
      <c r="E1574" s="489"/>
      <c r="F1574" s="489"/>
      <c r="G1574" s="490"/>
      <c r="H1574" s="520"/>
      <c r="I1574" s="523"/>
      <c r="J1574" s="521"/>
      <c r="K1574" s="522"/>
      <c r="M1574" s="301" t="str">
        <f>N1574&amp;AS[[#This Row],[Insurer Code]]&amp;"; "&amp;O1574&amp;AS[[#This Row],[Reporting Year]]&amp;"; "&amp;P1574&amp;AS[[#This Row],[Insurance Category Code]]&amp;"; "&amp;Q1574&amp;AS[[#This Row],[Large Provider Entity Code]]&amp;"; "&amp;R1574&amp;AS[[#This Row],[Age Band Code]]&amp;"; "&amp;S1574&amp;AS[[#This Row],[Sex Code]]</f>
        <v xml:space="preserve">Insurer Code ; Reporting Year ; Insurance Category Code ; Large Provider Entity Code ; Age Band Code ; Sex Code </v>
      </c>
      <c r="N1574" s="297" t="s">
        <v>197</v>
      </c>
      <c r="O1574" s="297" t="s">
        <v>198</v>
      </c>
      <c r="P1574" s="297" t="s">
        <v>199</v>
      </c>
      <c r="Q1574" s="297" t="s">
        <v>200</v>
      </c>
      <c r="R1574" s="297" t="s">
        <v>213</v>
      </c>
      <c r="S1574" s="297" t="s">
        <v>214</v>
      </c>
    </row>
    <row r="1575" spans="1:19" x14ac:dyDescent="0.4">
      <c r="A1575" s="291"/>
      <c r="B1575" s="292"/>
      <c r="C1575" s="312"/>
      <c r="D1575" s="292"/>
      <c r="E1575" s="489"/>
      <c r="F1575" s="489"/>
      <c r="G1575" s="490"/>
      <c r="H1575" s="520"/>
      <c r="I1575" s="523"/>
      <c r="J1575" s="521"/>
      <c r="K1575" s="522"/>
      <c r="M1575" s="301" t="str">
        <f>N1575&amp;AS[[#This Row],[Insurer Code]]&amp;"; "&amp;O1575&amp;AS[[#This Row],[Reporting Year]]&amp;"; "&amp;P1575&amp;AS[[#This Row],[Insurance Category Code]]&amp;"; "&amp;Q1575&amp;AS[[#This Row],[Large Provider Entity Code]]&amp;"; "&amp;R1575&amp;AS[[#This Row],[Age Band Code]]&amp;"; "&amp;S1575&amp;AS[[#This Row],[Sex Code]]</f>
        <v xml:space="preserve">Insurer Code ; Reporting Year ; Insurance Category Code ; Large Provider Entity Code ; Age Band Code ; Sex Code </v>
      </c>
      <c r="N1575" s="297" t="s">
        <v>197</v>
      </c>
      <c r="O1575" s="297" t="s">
        <v>198</v>
      </c>
      <c r="P1575" s="297" t="s">
        <v>199</v>
      </c>
      <c r="Q1575" s="297" t="s">
        <v>200</v>
      </c>
      <c r="R1575" s="297" t="s">
        <v>213</v>
      </c>
      <c r="S1575" s="297" t="s">
        <v>214</v>
      </c>
    </row>
    <row r="1576" spans="1:19" x14ac:dyDescent="0.4">
      <c r="A1576" s="291"/>
      <c r="B1576" s="292"/>
      <c r="C1576" s="312"/>
      <c r="D1576" s="292"/>
      <c r="E1576" s="489"/>
      <c r="F1576" s="489"/>
      <c r="G1576" s="490"/>
      <c r="H1576" s="520"/>
      <c r="I1576" s="523"/>
      <c r="J1576" s="521"/>
      <c r="K1576" s="522"/>
      <c r="M1576" s="301" t="str">
        <f>N1576&amp;AS[[#This Row],[Insurer Code]]&amp;"; "&amp;O1576&amp;AS[[#This Row],[Reporting Year]]&amp;"; "&amp;P1576&amp;AS[[#This Row],[Insurance Category Code]]&amp;"; "&amp;Q1576&amp;AS[[#This Row],[Large Provider Entity Code]]&amp;"; "&amp;R1576&amp;AS[[#This Row],[Age Band Code]]&amp;"; "&amp;S1576&amp;AS[[#This Row],[Sex Code]]</f>
        <v xml:space="preserve">Insurer Code ; Reporting Year ; Insurance Category Code ; Large Provider Entity Code ; Age Band Code ; Sex Code </v>
      </c>
      <c r="N1576" s="297" t="s">
        <v>197</v>
      </c>
      <c r="O1576" s="297" t="s">
        <v>198</v>
      </c>
      <c r="P1576" s="297" t="s">
        <v>199</v>
      </c>
      <c r="Q1576" s="297" t="s">
        <v>200</v>
      </c>
      <c r="R1576" s="297" t="s">
        <v>213</v>
      </c>
      <c r="S1576" s="297" t="s">
        <v>214</v>
      </c>
    </row>
    <row r="1577" spans="1:19" x14ac:dyDescent="0.4">
      <c r="A1577" s="291"/>
      <c r="B1577" s="292"/>
      <c r="C1577" s="312"/>
      <c r="D1577" s="292"/>
      <c r="E1577" s="489"/>
      <c r="F1577" s="489"/>
      <c r="G1577" s="490"/>
      <c r="H1577" s="520"/>
      <c r="I1577" s="523"/>
      <c r="J1577" s="521"/>
      <c r="K1577" s="522"/>
      <c r="M1577" s="301" t="str">
        <f>N1577&amp;AS[[#This Row],[Insurer Code]]&amp;"; "&amp;O1577&amp;AS[[#This Row],[Reporting Year]]&amp;"; "&amp;P1577&amp;AS[[#This Row],[Insurance Category Code]]&amp;"; "&amp;Q1577&amp;AS[[#This Row],[Large Provider Entity Code]]&amp;"; "&amp;R1577&amp;AS[[#This Row],[Age Band Code]]&amp;"; "&amp;S1577&amp;AS[[#This Row],[Sex Code]]</f>
        <v xml:space="preserve">Insurer Code ; Reporting Year ; Insurance Category Code ; Large Provider Entity Code ; Age Band Code ; Sex Code </v>
      </c>
      <c r="N1577" s="297" t="s">
        <v>197</v>
      </c>
      <c r="O1577" s="297" t="s">
        <v>198</v>
      </c>
      <c r="P1577" s="297" t="s">
        <v>199</v>
      </c>
      <c r="Q1577" s="297" t="s">
        <v>200</v>
      </c>
      <c r="R1577" s="297" t="s">
        <v>213</v>
      </c>
      <c r="S1577" s="297" t="s">
        <v>214</v>
      </c>
    </row>
    <row r="1578" spans="1:19" x14ac:dyDescent="0.4">
      <c r="A1578" s="291"/>
      <c r="B1578" s="292"/>
      <c r="C1578" s="312"/>
      <c r="D1578" s="292"/>
      <c r="E1578" s="489"/>
      <c r="F1578" s="489"/>
      <c r="G1578" s="490"/>
      <c r="H1578" s="520"/>
      <c r="I1578" s="523"/>
      <c r="J1578" s="521"/>
      <c r="K1578" s="522"/>
      <c r="M1578" s="301" t="str">
        <f>N1578&amp;AS[[#This Row],[Insurer Code]]&amp;"; "&amp;O1578&amp;AS[[#This Row],[Reporting Year]]&amp;"; "&amp;P1578&amp;AS[[#This Row],[Insurance Category Code]]&amp;"; "&amp;Q1578&amp;AS[[#This Row],[Large Provider Entity Code]]&amp;"; "&amp;R1578&amp;AS[[#This Row],[Age Band Code]]&amp;"; "&amp;S1578&amp;AS[[#This Row],[Sex Code]]</f>
        <v xml:space="preserve">Insurer Code ; Reporting Year ; Insurance Category Code ; Large Provider Entity Code ; Age Band Code ; Sex Code </v>
      </c>
      <c r="N1578" s="297" t="s">
        <v>197</v>
      </c>
      <c r="O1578" s="297" t="s">
        <v>198</v>
      </c>
      <c r="P1578" s="297" t="s">
        <v>199</v>
      </c>
      <c r="Q1578" s="297" t="s">
        <v>200</v>
      </c>
      <c r="R1578" s="297" t="s">
        <v>213</v>
      </c>
      <c r="S1578" s="297" t="s">
        <v>214</v>
      </c>
    </row>
    <row r="1579" spans="1:19" x14ac:dyDescent="0.4">
      <c r="A1579" s="291"/>
      <c r="B1579" s="292"/>
      <c r="C1579" s="312"/>
      <c r="D1579" s="292"/>
      <c r="E1579" s="489"/>
      <c r="F1579" s="489"/>
      <c r="G1579" s="490"/>
      <c r="H1579" s="520"/>
      <c r="I1579" s="523"/>
      <c r="J1579" s="521"/>
      <c r="K1579" s="522"/>
      <c r="M1579" s="301" t="str">
        <f>N1579&amp;AS[[#This Row],[Insurer Code]]&amp;"; "&amp;O1579&amp;AS[[#This Row],[Reporting Year]]&amp;"; "&amp;P1579&amp;AS[[#This Row],[Insurance Category Code]]&amp;"; "&amp;Q1579&amp;AS[[#This Row],[Large Provider Entity Code]]&amp;"; "&amp;R1579&amp;AS[[#This Row],[Age Band Code]]&amp;"; "&amp;S1579&amp;AS[[#This Row],[Sex Code]]</f>
        <v xml:space="preserve">Insurer Code ; Reporting Year ; Insurance Category Code ; Large Provider Entity Code ; Age Band Code ; Sex Code </v>
      </c>
      <c r="N1579" s="297" t="s">
        <v>197</v>
      </c>
      <c r="O1579" s="297" t="s">
        <v>198</v>
      </c>
      <c r="P1579" s="297" t="s">
        <v>199</v>
      </c>
      <c r="Q1579" s="297" t="s">
        <v>200</v>
      </c>
      <c r="R1579" s="297" t="s">
        <v>213</v>
      </c>
      <c r="S1579" s="297" t="s">
        <v>214</v>
      </c>
    </row>
    <row r="1580" spans="1:19" x14ac:dyDescent="0.4">
      <c r="A1580" s="291"/>
      <c r="B1580" s="292"/>
      <c r="C1580" s="312"/>
      <c r="D1580" s="292"/>
      <c r="E1580" s="489"/>
      <c r="F1580" s="489"/>
      <c r="G1580" s="490"/>
      <c r="H1580" s="520"/>
      <c r="I1580" s="523"/>
      <c r="J1580" s="521"/>
      <c r="K1580" s="522"/>
      <c r="M1580" s="301" t="str">
        <f>N1580&amp;AS[[#This Row],[Insurer Code]]&amp;"; "&amp;O1580&amp;AS[[#This Row],[Reporting Year]]&amp;"; "&amp;P1580&amp;AS[[#This Row],[Insurance Category Code]]&amp;"; "&amp;Q1580&amp;AS[[#This Row],[Large Provider Entity Code]]&amp;"; "&amp;R1580&amp;AS[[#This Row],[Age Band Code]]&amp;"; "&amp;S1580&amp;AS[[#This Row],[Sex Code]]</f>
        <v xml:space="preserve">Insurer Code ; Reporting Year ; Insurance Category Code ; Large Provider Entity Code ; Age Band Code ; Sex Code </v>
      </c>
      <c r="N1580" s="297" t="s">
        <v>197</v>
      </c>
      <c r="O1580" s="297" t="s">
        <v>198</v>
      </c>
      <c r="P1580" s="297" t="s">
        <v>199</v>
      </c>
      <c r="Q1580" s="297" t="s">
        <v>200</v>
      </c>
      <c r="R1580" s="297" t="s">
        <v>213</v>
      </c>
      <c r="S1580" s="297" t="s">
        <v>214</v>
      </c>
    </row>
    <row r="1581" spans="1:19" x14ac:dyDescent="0.4">
      <c r="A1581" s="291"/>
      <c r="B1581" s="292"/>
      <c r="C1581" s="312"/>
      <c r="D1581" s="292"/>
      <c r="E1581" s="489"/>
      <c r="F1581" s="489"/>
      <c r="G1581" s="490"/>
      <c r="H1581" s="520"/>
      <c r="I1581" s="523"/>
      <c r="J1581" s="521"/>
      <c r="K1581" s="522"/>
      <c r="M1581" s="301" t="str">
        <f>N1581&amp;AS[[#This Row],[Insurer Code]]&amp;"; "&amp;O1581&amp;AS[[#This Row],[Reporting Year]]&amp;"; "&amp;P1581&amp;AS[[#This Row],[Insurance Category Code]]&amp;"; "&amp;Q1581&amp;AS[[#This Row],[Large Provider Entity Code]]&amp;"; "&amp;R1581&amp;AS[[#This Row],[Age Band Code]]&amp;"; "&amp;S1581&amp;AS[[#This Row],[Sex Code]]</f>
        <v xml:space="preserve">Insurer Code ; Reporting Year ; Insurance Category Code ; Large Provider Entity Code ; Age Band Code ; Sex Code </v>
      </c>
      <c r="N1581" s="297" t="s">
        <v>197</v>
      </c>
      <c r="O1581" s="297" t="s">
        <v>198</v>
      </c>
      <c r="P1581" s="297" t="s">
        <v>199</v>
      </c>
      <c r="Q1581" s="297" t="s">
        <v>200</v>
      </c>
      <c r="R1581" s="297" t="s">
        <v>213</v>
      </c>
      <c r="S1581" s="297" t="s">
        <v>214</v>
      </c>
    </row>
    <row r="1582" spans="1:19" x14ac:dyDescent="0.4">
      <c r="A1582" s="291"/>
      <c r="B1582" s="292"/>
      <c r="C1582" s="312"/>
      <c r="D1582" s="292"/>
      <c r="E1582" s="489"/>
      <c r="F1582" s="489"/>
      <c r="G1582" s="490"/>
      <c r="H1582" s="520"/>
      <c r="I1582" s="523"/>
      <c r="J1582" s="521"/>
      <c r="K1582" s="522"/>
      <c r="M1582" s="301" t="str">
        <f>N1582&amp;AS[[#This Row],[Insurer Code]]&amp;"; "&amp;O1582&amp;AS[[#This Row],[Reporting Year]]&amp;"; "&amp;P1582&amp;AS[[#This Row],[Insurance Category Code]]&amp;"; "&amp;Q1582&amp;AS[[#This Row],[Large Provider Entity Code]]&amp;"; "&amp;R1582&amp;AS[[#This Row],[Age Band Code]]&amp;"; "&amp;S1582&amp;AS[[#This Row],[Sex Code]]</f>
        <v xml:space="preserve">Insurer Code ; Reporting Year ; Insurance Category Code ; Large Provider Entity Code ; Age Band Code ; Sex Code </v>
      </c>
      <c r="N1582" s="297" t="s">
        <v>197</v>
      </c>
      <c r="O1582" s="297" t="s">
        <v>198</v>
      </c>
      <c r="P1582" s="297" t="s">
        <v>199</v>
      </c>
      <c r="Q1582" s="297" t="s">
        <v>200</v>
      </c>
      <c r="R1582" s="297" t="s">
        <v>213</v>
      </c>
      <c r="S1582" s="297" t="s">
        <v>214</v>
      </c>
    </row>
    <row r="1583" spans="1:19" x14ac:dyDescent="0.4">
      <c r="A1583" s="291"/>
      <c r="B1583" s="292"/>
      <c r="C1583" s="312"/>
      <c r="D1583" s="292"/>
      <c r="E1583" s="489"/>
      <c r="F1583" s="489"/>
      <c r="G1583" s="490"/>
      <c r="H1583" s="520"/>
      <c r="I1583" s="523"/>
      <c r="J1583" s="521"/>
      <c r="K1583" s="522"/>
      <c r="M1583" s="301" t="str">
        <f>N1583&amp;AS[[#This Row],[Insurer Code]]&amp;"; "&amp;O1583&amp;AS[[#This Row],[Reporting Year]]&amp;"; "&amp;P1583&amp;AS[[#This Row],[Insurance Category Code]]&amp;"; "&amp;Q1583&amp;AS[[#This Row],[Large Provider Entity Code]]&amp;"; "&amp;R1583&amp;AS[[#This Row],[Age Band Code]]&amp;"; "&amp;S1583&amp;AS[[#This Row],[Sex Code]]</f>
        <v xml:space="preserve">Insurer Code ; Reporting Year ; Insurance Category Code ; Large Provider Entity Code ; Age Band Code ; Sex Code </v>
      </c>
      <c r="N1583" s="297" t="s">
        <v>197</v>
      </c>
      <c r="O1583" s="297" t="s">
        <v>198</v>
      </c>
      <c r="P1583" s="297" t="s">
        <v>199</v>
      </c>
      <c r="Q1583" s="297" t="s">
        <v>200</v>
      </c>
      <c r="R1583" s="297" t="s">
        <v>213</v>
      </c>
      <c r="S1583" s="297" t="s">
        <v>214</v>
      </c>
    </row>
    <row r="1584" spans="1:19" x14ac:dyDescent="0.4">
      <c r="A1584" s="291"/>
      <c r="B1584" s="292"/>
      <c r="C1584" s="312"/>
      <c r="D1584" s="292"/>
      <c r="E1584" s="489"/>
      <c r="F1584" s="489"/>
      <c r="G1584" s="490"/>
      <c r="H1584" s="520"/>
      <c r="I1584" s="523"/>
      <c r="J1584" s="521"/>
      <c r="K1584" s="522"/>
      <c r="M1584" s="301" t="str">
        <f>N1584&amp;AS[[#This Row],[Insurer Code]]&amp;"; "&amp;O1584&amp;AS[[#This Row],[Reporting Year]]&amp;"; "&amp;P1584&amp;AS[[#This Row],[Insurance Category Code]]&amp;"; "&amp;Q1584&amp;AS[[#This Row],[Large Provider Entity Code]]&amp;"; "&amp;R1584&amp;AS[[#This Row],[Age Band Code]]&amp;"; "&amp;S1584&amp;AS[[#This Row],[Sex Code]]</f>
        <v xml:space="preserve">Insurer Code ; Reporting Year ; Insurance Category Code ; Large Provider Entity Code ; Age Band Code ; Sex Code </v>
      </c>
      <c r="N1584" s="297" t="s">
        <v>197</v>
      </c>
      <c r="O1584" s="297" t="s">
        <v>198</v>
      </c>
      <c r="P1584" s="297" t="s">
        <v>199</v>
      </c>
      <c r="Q1584" s="297" t="s">
        <v>200</v>
      </c>
      <c r="R1584" s="297" t="s">
        <v>213</v>
      </c>
      <c r="S1584" s="297" t="s">
        <v>214</v>
      </c>
    </row>
    <row r="1585" spans="1:19" x14ac:dyDescent="0.4">
      <c r="A1585" s="291"/>
      <c r="B1585" s="292"/>
      <c r="C1585" s="312"/>
      <c r="D1585" s="292"/>
      <c r="E1585" s="489"/>
      <c r="F1585" s="489"/>
      <c r="G1585" s="490"/>
      <c r="H1585" s="520"/>
      <c r="I1585" s="523"/>
      <c r="J1585" s="521"/>
      <c r="K1585" s="522"/>
      <c r="M1585" s="301" t="str">
        <f>N1585&amp;AS[[#This Row],[Insurer Code]]&amp;"; "&amp;O1585&amp;AS[[#This Row],[Reporting Year]]&amp;"; "&amp;P1585&amp;AS[[#This Row],[Insurance Category Code]]&amp;"; "&amp;Q1585&amp;AS[[#This Row],[Large Provider Entity Code]]&amp;"; "&amp;R1585&amp;AS[[#This Row],[Age Band Code]]&amp;"; "&amp;S1585&amp;AS[[#This Row],[Sex Code]]</f>
        <v xml:space="preserve">Insurer Code ; Reporting Year ; Insurance Category Code ; Large Provider Entity Code ; Age Band Code ; Sex Code </v>
      </c>
      <c r="N1585" s="297" t="s">
        <v>197</v>
      </c>
      <c r="O1585" s="297" t="s">
        <v>198</v>
      </c>
      <c r="P1585" s="297" t="s">
        <v>199</v>
      </c>
      <c r="Q1585" s="297" t="s">
        <v>200</v>
      </c>
      <c r="R1585" s="297" t="s">
        <v>213</v>
      </c>
      <c r="S1585" s="297" t="s">
        <v>214</v>
      </c>
    </row>
    <row r="1586" spans="1:19" x14ac:dyDescent="0.4">
      <c r="A1586" s="291"/>
      <c r="B1586" s="292"/>
      <c r="C1586" s="312"/>
      <c r="D1586" s="292"/>
      <c r="E1586" s="489"/>
      <c r="F1586" s="489"/>
      <c r="G1586" s="490"/>
      <c r="H1586" s="520"/>
      <c r="I1586" s="523"/>
      <c r="J1586" s="521"/>
      <c r="K1586" s="522"/>
      <c r="M1586" s="301" t="str">
        <f>N1586&amp;AS[[#This Row],[Insurer Code]]&amp;"; "&amp;O1586&amp;AS[[#This Row],[Reporting Year]]&amp;"; "&amp;P1586&amp;AS[[#This Row],[Insurance Category Code]]&amp;"; "&amp;Q1586&amp;AS[[#This Row],[Large Provider Entity Code]]&amp;"; "&amp;R1586&amp;AS[[#This Row],[Age Band Code]]&amp;"; "&amp;S1586&amp;AS[[#This Row],[Sex Code]]</f>
        <v xml:space="preserve">Insurer Code ; Reporting Year ; Insurance Category Code ; Large Provider Entity Code ; Age Band Code ; Sex Code </v>
      </c>
      <c r="N1586" s="297" t="s">
        <v>197</v>
      </c>
      <c r="O1586" s="297" t="s">
        <v>198</v>
      </c>
      <c r="P1586" s="297" t="s">
        <v>199</v>
      </c>
      <c r="Q1586" s="297" t="s">
        <v>200</v>
      </c>
      <c r="R1586" s="297" t="s">
        <v>213</v>
      </c>
      <c r="S1586" s="297" t="s">
        <v>214</v>
      </c>
    </row>
    <row r="1587" spans="1:19" x14ac:dyDescent="0.4">
      <c r="A1587" s="291"/>
      <c r="B1587" s="292"/>
      <c r="C1587" s="312"/>
      <c r="D1587" s="292"/>
      <c r="E1587" s="489"/>
      <c r="F1587" s="489"/>
      <c r="G1587" s="490"/>
      <c r="H1587" s="520"/>
      <c r="I1587" s="523"/>
      <c r="J1587" s="521"/>
      <c r="K1587" s="522"/>
      <c r="M1587" s="301" t="str">
        <f>N1587&amp;AS[[#This Row],[Insurer Code]]&amp;"; "&amp;O1587&amp;AS[[#This Row],[Reporting Year]]&amp;"; "&amp;P1587&amp;AS[[#This Row],[Insurance Category Code]]&amp;"; "&amp;Q1587&amp;AS[[#This Row],[Large Provider Entity Code]]&amp;"; "&amp;R1587&amp;AS[[#This Row],[Age Band Code]]&amp;"; "&amp;S1587&amp;AS[[#This Row],[Sex Code]]</f>
        <v xml:space="preserve">Insurer Code ; Reporting Year ; Insurance Category Code ; Large Provider Entity Code ; Age Band Code ; Sex Code </v>
      </c>
      <c r="N1587" s="297" t="s">
        <v>197</v>
      </c>
      <c r="O1587" s="297" t="s">
        <v>198</v>
      </c>
      <c r="P1587" s="297" t="s">
        <v>199</v>
      </c>
      <c r="Q1587" s="297" t="s">
        <v>200</v>
      </c>
      <c r="R1587" s="297" t="s">
        <v>213</v>
      </c>
      <c r="S1587" s="297" t="s">
        <v>214</v>
      </c>
    </row>
    <row r="1588" spans="1:19" x14ac:dyDescent="0.4">
      <c r="A1588" s="291"/>
      <c r="B1588" s="292"/>
      <c r="C1588" s="312"/>
      <c r="D1588" s="292"/>
      <c r="E1588" s="489"/>
      <c r="F1588" s="489"/>
      <c r="G1588" s="490"/>
      <c r="H1588" s="520"/>
      <c r="I1588" s="523"/>
      <c r="J1588" s="521"/>
      <c r="K1588" s="522"/>
      <c r="M1588" s="301" t="str">
        <f>N1588&amp;AS[[#This Row],[Insurer Code]]&amp;"; "&amp;O1588&amp;AS[[#This Row],[Reporting Year]]&amp;"; "&amp;P1588&amp;AS[[#This Row],[Insurance Category Code]]&amp;"; "&amp;Q1588&amp;AS[[#This Row],[Large Provider Entity Code]]&amp;"; "&amp;R1588&amp;AS[[#This Row],[Age Band Code]]&amp;"; "&amp;S1588&amp;AS[[#This Row],[Sex Code]]</f>
        <v xml:space="preserve">Insurer Code ; Reporting Year ; Insurance Category Code ; Large Provider Entity Code ; Age Band Code ; Sex Code </v>
      </c>
      <c r="N1588" s="297" t="s">
        <v>197</v>
      </c>
      <c r="O1588" s="297" t="s">
        <v>198</v>
      </c>
      <c r="P1588" s="297" t="s">
        <v>199</v>
      </c>
      <c r="Q1588" s="297" t="s">
        <v>200</v>
      </c>
      <c r="R1588" s="297" t="s">
        <v>213</v>
      </c>
      <c r="S1588" s="297" t="s">
        <v>214</v>
      </c>
    </row>
    <row r="1589" spans="1:19" x14ac:dyDescent="0.4">
      <c r="A1589" s="291"/>
      <c r="B1589" s="292"/>
      <c r="C1589" s="312"/>
      <c r="D1589" s="292"/>
      <c r="E1589" s="489"/>
      <c r="F1589" s="489"/>
      <c r="G1589" s="490"/>
      <c r="H1589" s="520"/>
      <c r="I1589" s="523"/>
      <c r="J1589" s="521"/>
      <c r="K1589" s="522"/>
      <c r="M1589" s="301" t="str">
        <f>N1589&amp;AS[[#This Row],[Insurer Code]]&amp;"; "&amp;O1589&amp;AS[[#This Row],[Reporting Year]]&amp;"; "&amp;P1589&amp;AS[[#This Row],[Insurance Category Code]]&amp;"; "&amp;Q1589&amp;AS[[#This Row],[Large Provider Entity Code]]&amp;"; "&amp;R1589&amp;AS[[#This Row],[Age Band Code]]&amp;"; "&amp;S1589&amp;AS[[#This Row],[Sex Code]]</f>
        <v xml:space="preserve">Insurer Code ; Reporting Year ; Insurance Category Code ; Large Provider Entity Code ; Age Band Code ; Sex Code </v>
      </c>
      <c r="N1589" s="297" t="s">
        <v>197</v>
      </c>
      <c r="O1589" s="297" t="s">
        <v>198</v>
      </c>
      <c r="P1589" s="297" t="s">
        <v>199</v>
      </c>
      <c r="Q1589" s="297" t="s">
        <v>200</v>
      </c>
      <c r="R1589" s="297" t="s">
        <v>213</v>
      </c>
      <c r="S1589" s="297" t="s">
        <v>214</v>
      </c>
    </row>
    <row r="1590" spans="1:19" x14ac:dyDescent="0.4">
      <c r="A1590" s="291"/>
      <c r="B1590" s="292"/>
      <c r="C1590" s="312"/>
      <c r="D1590" s="292"/>
      <c r="E1590" s="489"/>
      <c r="F1590" s="489"/>
      <c r="G1590" s="490"/>
      <c r="H1590" s="520"/>
      <c r="I1590" s="523"/>
      <c r="J1590" s="521"/>
      <c r="K1590" s="522"/>
      <c r="M1590" s="301" t="str">
        <f>N1590&amp;AS[[#This Row],[Insurer Code]]&amp;"; "&amp;O1590&amp;AS[[#This Row],[Reporting Year]]&amp;"; "&amp;P1590&amp;AS[[#This Row],[Insurance Category Code]]&amp;"; "&amp;Q1590&amp;AS[[#This Row],[Large Provider Entity Code]]&amp;"; "&amp;R1590&amp;AS[[#This Row],[Age Band Code]]&amp;"; "&amp;S1590&amp;AS[[#This Row],[Sex Code]]</f>
        <v xml:space="preserve">Insurer Code ; Reporting Year ; Insurance Category Code ; Large Provider Entity Code ; Age Band Code ; Sex Code </v>
      </c>
      <c r="N1590" s="297" t="s">
        <v>197</v>
      </c>
      <c r="O1590" s="297" t="s">
        <v>198</v>
      </c>
      <c r="P1590" s="297" t="s">
        <v>199</v>
      </c>
      <c r="Q1590" s="297" t="s">
        <v>200</v>
      </c>
      <c r="R1590" s="297" t="s">
        <v>213</v>
      </c>
      <c r="S1590" s="297" t="s">
        <v>214</v>
      </c>
    </row>
    <row r="1591" spans="1:19" x14ac:dyDescent="0.4">
      <c r="A1591" s="291"/>
      <c r="B1591" s="292"/>
      <c r="C1591" s="312"/>
      <c r="D1591" s="292"/>
      <c r="E1591" s="489"/>
      <c r="F1591" s="489"/>
      <c r="G1591" s="490"/>
      <c r="H1591" s="520"/>
      <c r="I1591" s="523"/>
      <c r="J1591" s="521"/>
      <c r="K1591" s="522"/>
      <c r="M1591" s="301" t="str">
        <f>N1591&amp;AS[[#This Row],[Insurer Code]]&amp;"; "&amp;O1591&amp;AS[[#This Row],[Reporting Year]]&amp;"; "&amp;P1591&amp;AS[[#This Row],[Insurance Category Code]]&amp;"; "&amp;Q1591&amp;AS[[#This Row],[Large Provider Entity Code]]&amp;"; "&amp;R1591&amp;AS[[#This Row],[Age Band Code]]&amp;"; "&amp;S1591&amp;AS[[#This Row],[Sex Code]]</f>
        <v xml:space="preserve">Insurer Code ; Reporting Year ; Insurance Category Code ; Large Provider Entity Code ; Age Band Code ; Sex Code </v>
      </c>
      <c r="N1591" s="297" t="s">
        <v>197</v>
      </c>
      <c r="O1591" s="297" t="s">
        <v>198</v>
      </c>
      <c r="P1591" s="297" t="s">
        <v>199</v>
      </c>
      <c r="Q1591" s="297" t="s">
        <v>200</v>
      </c>
      <c r="R1591" s="297" t="s">
        <v>213</v>
      </c>
      <c r="S1591" s="297" t="s">
        <v>214</v>
      </c>
    </row>
    <row r="1592" spans="1:19" x14ac:dyDescent="0.4">
      <c r="A1592" s="291"/>
      <c r="B1592" s="292"/>
      <c r="C1592" s="312"/>
      <c r="D1592" s="292"/>
      <c r="E1592" s="489"/>
      <c r="F1592" s="489"/>
      <c r="G1592" s="490"/>
      <c r="H1592" s="520"/>
      <c r="I1592" s="523"/>
      <c r="J1592" s="521"/>
      <c r="K1592" s="522"/>
      <c r="M1592" s="301" t="str">
        <f>N1592&amp;AS[[#This Row],[Insurer Code]]&amp;"; "&amp;O1592&amp;AS[[#This Row],[Reporting Year]]&amp;"; "&amp;P1592&amp;AS[[#This Row],[Insurance Category Code]]&amp;"; "&amp;Q1592&amp;AS[[#This Row],[Large Provider Entity Code]]&amp;"; "&amp;R1592&amp;AS[[#This Row],[Age Band Code]]&amp;"; "&amp;S1592&amp;AS[[#This Row],[Sex Code]]</f>
        <v xml:space="preserve">Insurer Code ; Reporting Year ; Insurance Category Code ; Large Provider Entity Code ; Age Band Code ; Sex Code </v>
      </c>
      <c r="N1592" s="297" t="s">
        <v>197</v>
      </c>
      <c r="O1592" s="297" t="s">
        <v>198</v>
      </c>
      <c r="P1592" s="297" t="s">
        <v>199</v>
      </c>
      <c r="Q1592" s="297" t="s">
        <v>200</v>
      </c>
      <c r="R1592" s="297" t="s">
        <v>213</v>
      </c>
      <c r="S1592" s="297" t="s">
        <v>214</v>
      </c>
    </row>
    <row r="1593" spans="1:19" x14ac:dyDescent="0.4">
      <c r="A1593" s="291"/>
      <c r="B1593" s="292"/>
      <c r="C1593" s="312"/>
      <c r="D1593" s="292"/>
      <c r="E1593" s="489"/>
      <c r="F1593" s="489"/>
      <c r="G1593" s="490"/>
      <c r="H1593" s="520"/>
      <c r="I1593" s="523"/>
      <c r="J1593" s="521"/>
      <c r="K1593" s="522"/>
      <c r="M1593" s="301" t="str">
        <f>N1593&amp;AS[[#This Row],[Insurer Code]]&amp;"; "&amp;O1593&amp;AS[[#This Row],[Reporting Year]]&amp;"; "&amp;P1593&amp;AS[[#This Row],[Insurance Category Code]]&amp;"; "&amp;Q1593&amp;AS[[#This Row],[Large Provider Entity Code]]&amp;"; "&amp;R1593&amp;AS[[#This Row],[Age Band Code]]&amp;"; "&amp;S1593&amp;AS[[#This Row],[Sex Code]]</f>
        <v xml:space="preserve">Insurer Code ; Reporting Year ; Insurance Category Code ; Large Provider Entity Code ; Age Band Code ; Sex Code </v>
      </c>
      <c r="N1593" s="297" t="s">
        <v>197</v>
      </c>
      <c r="O1593" s="297" t="s">
        <v>198</v>
      </c>
      <c r="P1593" s="297" t="s">
        <v>199</v>
      </c>
      <c r="Q1593" s="297" t="s">
        <v>200</v>
      </c>
      <c r="R1593" s="297" t="s">
        <v>213</v>
      </c>
      <c r="S1593" s="297" t="s">
        <v>214</v>
      </c>
    </row>
    <row r="1594" spans="1:19" x14ac:dyDescent="0.4">
      <c r="A1594" s="291"/>
      <c r="B1594" s="292"/>
      <c r="C1594" s="312"/>
      <c r="D1594" s="292"/>
      <c r="E1594" s="489"/>
      <c r="F1594" s="489"/>
      <c r="G1594" s="490"/>
      <c r="H1594" s="520"/>
      <c r="I1594" s="523"/>
      <c r="J1594" s="521"/>
      <c r="K1594" s="522"/>
      <c r="M1594" s="301" t="str">
        <f>N1594&amp;AS[[#This Row],[Insurer Code]]&amp;"; "&amp;O1594&amp;AS[[#This Row],[Reporting Year]]&amp;"; "&amp;P1594&amp;AS[[#This Row],[Insurance Category Code]]&amp;"; "&amp;Q1594&amp;AS[[#This Row],[Large Provider Entity Code]]&amp;"; "&amp;R1594&amp;AS[[#This Row],[Age Band Code]]&amp;"; "&amp;S1594&amp;AS[[#This Row],[Sex Code]]</f>
        <v xml:space="preserve">Insurer Code ; Reporting Year ; Insurance Category Code ; Large Provider Entity Code ; Age Band Code ; Sex Code </v>
      </c>
      <c r="N1594" s="297" t="s">
        <v>197</v>
      </c>
      <c r="O1594" s="297" t="s">
        <v>198</v>
      </c>
      <c r="P1594" s="297" t="s">
        <v>199</v>
      </c>
      <c r="Q1594" s="297" t="s">
        <v>200</v>
      </c>
      <c r="R1594" s="297" t="s">
        <v>213</v>
      </c>
      <c r="S1594" s="297" t="s">
        <v>214</v>
      </c>
    </row>
    <row r="1595" spans="1:19" x14ac:dyDescent="0.4">
      <c r="A1595" s="291"/>
      <c r="B1595" s="292"/>
      <c r="C1595" s="312"/>
      <c r="D1595" s="292"/>
      <c r="E1595" s="489"/>
      <c r="F1595" s="489"/>
      <c r="G1595" s="490"/>
      <c r="H1595" s="520"/>
      <c r="I1595" s="523"/>
      <c r="J1595" s="521"/>
      <c r="K1595" s="522"/>
      <c r="M1595" s="301" t="str">
        <f>N1595&amp;AS[[#This Row],[Insurer Code]]&amp;"; "&amp;O1595&amp;AS[[#This Row],[Reporting Year]]&amp;"; "&amp;P1595&amp;AS[[#This Row],[Insurance Category Code]]&amp;"; "&amp;Q1595&amp;AS[[#This Row],[Large Provider Entity Code]]&amp;"; "&amp;R1595&amp;AS[[#This Row],[Age Band Code]]&amp;"; "&amp;S1595&amp;AS[[#This Row],[Sex Code]]</f>
        <v xml:space="preserve">Insurer Code ; Reporting Year ; Insurance Category Code ; Large Provider Entity Code ; Age Band Code ; Sex Code </v>
      </c>
      <c r="N1595" s="297" t="s">
        <v>197</v>
      </c>
      <c r="O1595" s="297" t="s">
        <v>198</v>
      </c>
      <c r="P1595" s="297" t="s">
        <v>199</v>
      </c>
      <c r="Q1595" s="297" t="s">
        <v>200</v>
      </c>
      <c r="R1595" s="297" t="s">
        <v>213</v>
      </c>
      <c r="S1595" s="297" t="s">
        <v>214</v>
      </c>
    </row>
    <row r="1596" spans="1:19" x14ac:dyDescent="0.4">
      <c r="A1596" s="291"/>
      <c r="B1596" s="292"/>
      <c r="C1596" s="312"/>
      <c r="D1596" s="292"/>
      <c r="E1596" s="489"/>
      <c r="F1596" s="489"/>
      <c r="G1596" s="490"/>
      <c r="H1596" s="520"/>
      <c r="I1596" s="523"/>
      <c r="J1596" s="521"/>
      <c r="K1596" s="522"/>
      <c r="M1596" s="301" t="str">
        <f>N1596&amp;AS[[#This Row],[Insurer Code]]&amp;"; "&amp;O1596&amp;AS[[#This Row],[Reporting Year]]&amp;"; "&amp;P1596&amp;AS[[#This Row],[Insurance Category Code]]&amp;"; "&amp;Q1596&amp;AS[[#This Row],[Large Provider Entity Code]]&amp;"; "&amp;R1596&amp;AS[[#This Row],[Age Band Code]]&amp;"; "&amp;S1596&amp;AS[[#This Row],[Sex Code]]</f>
        <v xml:space="preserve">Insurer Code ; Reporting Year ; Insurance Category Code ; Large Provider Entity Code ; Age Band Code ; Sex Code </v>
      </c>
      <c r="N1596" s="297" t="s">
        <v>197</v>
      </c>
      <c r="O1596" s="297" t="s">
        <v>198</v>
      </c>
      <c r="P1596" s="297" t="s">
        <v>199</v>
      </c>
      <c r="Q1596" s="297" t="s">
        <v>200</v>
      </c>
      <c r="R1596" s="297" t="s">
        <v>213</v>
      </c>
      <c r="S1596" s="297" t="s">
        <v>214</v>
      </c>
    </row>
    <row r="1597" spans="1:19" x14ac:dyDescent="0.4">
      <c r="A1597" s="291"/>
      <c r="B1597" s="292"/>
      <c r="C1597" s="312"/>
      <c r="D1597" s="292"/>
      <c r="E1597" s="489"/>
      <c r="F1597" s="489"/>
      <c r="G1597" s="490"/>
      <c r="H1597" s="520"/>
      <c r="I1597" s="523"/>
      <c r="J1597" s="521"/>
      <c r="K1597" s="522"/>
      <c r="M1597" s="301" t="str">
        <f>N1597&amp;AS[[#This Row],[Insurer Code]]&amp;"; "&amp;O1597&amp;AS[[#This Row],[Reporting Year]]&amp;"; "&amp;P1597&amp;AS[[#This Row],[Insurance Category Code]]&amp;"; "&amp;Q1597&amp;AS[[#This Row],[Large Provider Entity Code]]&amp;"; "&amp;R1597&amp;AS[[#This Row],[Age Band Code]]&amp;"; "&amp;S1597&amp;AS[[#This Row],[Sex Code]]</f>
        <v xml:space="preserve">Insurer Code ; Reporting Year ; Insurance Category Code ; Large Provider Entity Code ; Age Band Code ; Sex Code </v>
      </c>
      <c r="N1597" s="297" t="s">
        <v>197</v>
      </c>
      <c r="O1597" s="297" t="s">
        <v>198</v>
      </c>
      <c r="P1597" s="297" t="s">
        <v>199</v>
      </c>
      <c r="Q1597" s="297" t="s">
        <v>200</v>
      </c>
      <c r="R1597" s="297" t="s">
        <v>213</v>
      </c>
      <c r="S1597" s="297" t="s">
        <v>214</v>
      </c>
    </row>
    <row r="1598" spans="1:19" x14ac:dyDescent="0.4">
      <c r="A1598" s="291"/>
      <c r="B1598" s="292"/>
      <c r="C1598" s="312"/>
      <c r="D1598" s="292"/>
      <c r="E1598" s="489"/>
      <c r="F1598" s="489"/>
      <c r="G1598" s="490"/>
      <c r="H1598" s="520"/>
      <c r="I1598" s="523"/>
      <c r="J1598" s="521"/>
      <c r="K1598" s="522"/>
      <c r="M1598" s="301" t="str">
        <f>N1598&amp;AS[[#This Row],[Insurer Code]]&amp;"; "&amp;O1598&amp;AS[[#This Row],[Reporting Year]]&amp;"; "&amp;P1598&amp;AS[[#This Row],[Insurance Category Code]]&amp;"; "&amp;Q1598&amp;AS[[#This Row],[Large Provider Entity Code]]&amp;"; "&amp;R1598&amp;AS[[#This Row],[Age Band Code]]&amp;"; "&amp;S1598&amp;AS[[#This Row],[Sex Code]]</f>
        <v xml:space="preserve">Insurer Code ; Reporting Year ; Insurance Category Code ; Large Provider Entity Code ; Age Band Code ; Sex Code </v>
      </c>
      <c r="N1598" s="297" t="s">
        <v>197</v>
      </c>
      <c r="O1598" s="297" t="s">
        <v>198</v>
      </c>
      <c r="P1598" s="297" t="s">
        <v>199</v>
      </c>
      <c r="Q1598" s="297" t="s">
        <v>200</v>
      </c>
      <c r="R1598" s="297" t="s">
        <v>213</v>
      </c>
      <c r="S1598" s="297" t="s">
        <v>214</v>
      </c>
    </row>
    <row r="1599" spans="1:19" x14ac:dyDescent="0.4">
      <c r="A1599" s="291"/>
      <c r="B1599" s="292"/>
      <c r="C1599" s="312"/>
      <c r="D1599" s="292"/>
      <c r="E1599" s="489"/>
      <c r="F1599" s="489"/>
      <c r="G1599" s="490"/>
      <c r="H1599" s="520"/>
      <c r="I1599" s="523"/>
      <c r="J1599" s="521"/>
      <c r="K1599" s="522"/>
      <c r="M1599" s="301" t="str">
        <f>N1599&amp;AS[[#This Row],[Insurer Code]]&amp;"; "&amp;O1599&amp;AS[[#This Row],[Reporting Year]]&amp;"; "&amp;P1599&amp;AS[[#This Row],[Insurance Category Code]]&amp;"; "&amp;Q1599&amp;AS[[#This Row],[Large Provider Entity Code]]&amp;"; "&amp;R1599&amp;AS[[#This Row],[Age Band Code]]&amp;"; "&amp;S1599&amp;AS[[#This Row],[Sex Code]]</f>
        <v xml:space="preserve">Insurer Code ; Reporting Year ; Insurance Category Code ; Large Provider Entity Code ; Age Band Code ; Sex Code </v>
      </c>
      <c r="N1599" s="297" t="s">
        <v>197</v>
      </c>
      <c r="O1599" s="297" t="s">
        <v>198</v>
      </c>
      <c r="P1599" s="297" t="s">
        <v>199</v>
      </c>
      <c r="Q1599" s="297" t="s">
        <v>200</v>
      </c>
      <c r="R1599" s="297" t="s">
        <v>213</v>
      </c>
      <c r="S1599" s="297" t="s">
        <v>214</v>
      </c>
    </row>
    <row r="1600" spans="1:19" x14ac:dyDescent="0.4">
      <c r="A1600" s="291"/>
      <c r="B1600" s="292"/>
      <c r="C1600" s="312"/>
      <c r="D1600" s="292"/>
      <c r="E1600" s="489"/>
      <c r="F1600" s="489"/>
      <c r="G1600" s="490"/>
      <c r="H1600" s="520"/>
      <c r="I1600" s="523"/>
      <c r="J1600" s="521"/>
      <c r="K1600" s="522"/>
      <c r="M1600" s="301" t="str">
        <f>N1600&amp;AS[[#This Row],[Insurer Code]]&amp;"; "&amp;O1600&amp;AS[[#This Row],[Reporting Year]]&amp;"; "&amp;P1600&amp;AS[[#This Row],[Insurance Category Code]]&amp;"; "&amp;Q1600&amp;AS[[#This Row],[Large Provider Entity Code]]&amp;"; "&amp;R1600&amp;AS[[#This Row],[Age Band Code]]&amp;"; "&amp;S1600&amp;AS[[#This Row],[Sex Code]]</f>
        <v xml:space="preserve">Insurer Code ; Reporting Year ; Insurance Category Code ; Large Provider Entity Code ; Age Band Code ; Sex Code </v>
      </c>
      <c r="N1600" s="297" t="s">
        <v>197</v>
      </c>
      <c r="O1600" s="297" t="s">
        <v>198</v>
      </c>
      <c r="P1600" s="297" t="s">
        <v>199</v>
      </c>
      <c r="Q1600" s="297" t="s">
        <v>200</v>
      </c>
      <c r="R1600" s="297" t="s">
        <v>213</v>
      </c>
      <c r="S1600" s="297" t="s">
        <v>214</v>
      </c>
    </row>
    <row r="1601" spans="1:19" x14ac:dyDescent="0.4">
      <c r="A1601" s="291"/>
      <c r="B1601" s="292"/>
      <c r="C1601" s="312"/>
      <c r="D1601" s="292"/>
      <c r="E1601" s="489"/>
      <c r="F1601" s="489"/>
      <c r="G1601" s="490"/>
      <c r="H1601" s="520"/>
      <c r="I1601" s="523"/>
      <c r="J1601" s="521"/>
      <c r="K1601" s="522"/>
      <c r="M1601" s="301" t="str">
        <f>N1601&amp;AS[[#This Row],[Insurer Code]]&amp;"; "&amp;O1601&amp;AS[[#This Row],[Reporting Year]]&amp;"; "&amp;P1601&amp;AS[[#This Row],[Insurance Category Code]]&amp;"; "&amp;Q1601&amp;AS[[#This Row],[Large Provider Entity Code]]&amp;"; "&amp;R1601&amp;AS[[#This Row],[Age Band Code]]&amp;"; "&amp;S1601&amp;AS[[#This Row],[Sex Code]]</f>
        <v xml:space="preserve">Insurer Code ; Reporting Year ; Insurance Category Code ; Large Provider Entity Code ; Age Band Code ; Sex Code </v>
      </c>
      <c r="N1601" s="297" t="s">
        <v>197</v>
      </c>
      <c r="O1601" s="297" t="s">
        <v>198</v>
      </c>
      <c r="P1601" s="297" t="s">
        <v>199</v>
      </c>
      <c r="Q1601" s="297" t="s">
        <v>200</v>
      </c>
      <c r="R1601" s="297" t="s">
        <v>213</v>
      </c>
      <c r="S1601" s="297" t="s">
        <v>214</v>
      </c>
    </row>
    <row r="1602" spans="1:19" x14ac:dyDescent="0.4">
      <c r="A1602" s="291"/>
      <c r="B1602" s="292"/>
      <c r="C1602" s="312"/>
      <c r="D1602" s="292"/>
      <c r="E1602" s="489"/>
      <c r="F1602" s="489"/>
      <c r="G1602" s="490"/>
      <c r="H1602" s="520"/>
      <c r="I1602" s="523"/>
      <c r="J1602" s="521"/>
      <c r="K1602" s="522"/>
      <c r="M1602" s="301" t="str">
        <f>N1602&amp;AS[[#This Row],[Insurer Code]]&amp;"; "&amp;O1602&amp;AS[[#This Row],[Reporting Year]]&amp;"; "&amp;P1602&amp;AS[[#This Row],[Insurance Category Code]]&amp;"; "&amp;Q1602&amp;AS[[#This Row],[Large Provider Entity Code]]&amp;"; "&amp;R1602&amp;AS[[#This Row],[Age Band Code]]&amp;"; "&amp;S1602&amp;AS[[#This Row],[Sex Code]]</f>
        <v xml:space="preserve">Insurer Code ; Reporting Year ; Insurance Category Code ; Large Provider Entity Code ; Age Band Code ; Sex Code </v>
      </c>
      <c r="N1602" s="297" t="s">
        <v>197</v>
      </c>
      <c r="O1602" s="297" t="s">
        <v>198</v>
      </c>
      <c r="P1602" s="297" t="s">
        <v>199</v>
      </c>
      <c r="Q1602" s="297" t="s">
        <v>200</v>
      </c>
      <c r="R1602" s="297" t="s">
        <v>213</v>
      </c>
      <c r="S1602" s="297" t="s">
        <v>214</v>
      </c>
    </row>
    <row r="1603" spans="1:19" x14ac:dyDescent="0.4">
      <c r="A1603" s="291"/>
      <c r="B1603" s="292"/>
      <c r="C1603" s="312"/>
      <c r="D1603" s="292"/>
      <c r="E1603" s="489"/>
      <c r="F1603" s="489"/>
      <c r="G1603" s="490"/>
      <c r="H1603" s="520"/>
      <c r="I1603" s="523"/>
      <c r="J1603" s="521"/>
      <c r="K1603" s="522"/>
      <c r="M1603" s="301" t="str">
        <f>N1603&amp;AS[[#This Row],[Insurer Code]]&amp;"; "&amp;O1603&amp;AS[[#This Row],[Reporting Year]]&amp;"; "&amp;P1603&amp;AS[[#This Row],[Insurance Category Code]]&amp;"; "&amp;Q1603&amp;AS[[#This Row],[Large Provider Entity Code]]&amp;"; "&amp;R1603&amp;AS[[#This Row],[Age Band Code]]&amp;"; "&amp;S1603&amp;AS[[#This Row],[Sex Code]]</f>
        <v xml:space="preserve">Insurer Code ; Reporting Year ; Insurance Category Code ; Large Provider Entity Code ; Age Band Code ; Sex Code </v>
      </c>
      <c r="N1603" s="297" t="s">
        <v>197</v>
      </c>
      <c r="O1603" s="297" t="s">
        <v>198</v>
      </c>
      <c r="P1603" s="297" t="s">
        <v>199</v>
      </c>
      <c r="Q1603" s="297" t="s">
        <v>200</v>
      </c>
      <c r="R1603" s="297" t="s">
        <v>213</v>
      </c>
      <c r="S1603" s="297" t="s">
        <v>214</v>
      </c>
    </row>
    <row r="1604" spans="1:19" x14ac:dyDescent="0.4">
      <c r="A1604" s="291"/>
      <c r="B1604" s="292"/>
      <c r="C1604" s="312"/>
      <c r="D1604" s="292"/>
      <c r="E1604" s="489"/>
      <c r="F1604" s="489"/>
      <c r="G1604" s="490"/>
      <c r="H1604" s="520"/>
      <c r="I1604" s="523"/>
      <c r="J1604" s="521"/>
      <c r="K1604" s="522"/>
      <c r="M1604" s="301" t="str">
        <f>N1604&amp;AS[[#This Row],[Insurer Code]]&amp;"; "&amp;O1604&amp;AS[[#This Row],[Reporting Year]]&amp;"; "&amp;P1604&amp;AS[[#This Row],[Insurance Category Code]]&amp;"; "&amp;Q1604&amp;AS[[#This Row],[Large Provider Entity Code]]&amp;"; "&amp;R1604&amp;AS[[#This Row],[Age Band Code]]&amp;"; "&amp;S1604&amp;AS[[#This Row],[Sex Code]]</f>
        <v xml:space="preserve">Insurer Code ; Reporting Year ; Insurance Category Code ; Large Provider Entity Code ; Age Band Code ; Sex Code </v>
      </c>
      <c r="N1604" s="297" t="s">
        <v>197</v>
      </c>
      <c r="O1604" s="297" t="s">
        <v>198</v>
      </c>
      <c r="P1604" s="297" t="s">
        <v>199</v>
      </c>
      <c r="Q1604" s="297" t="s">
        <v>200</v>
      </c>
      <c r="R1604" s="297" t="s">
        <v>213</v>
      </c>
      <c r="S1604" s="297" t="s">
        <v>214</v>
      </c>
    </row>
    <row r="1605" spans="1:19" x14ac:dyDescent="0.4">
      <c r="A1605" s="291"/>
      <c r="B1605" s="292"/>
      <c r="C1605" s="312"/>
      <c r="D1605" s="292"/>
      <c r="E1605" s="489"/>
      <c r="F1605" s="489"/>
      <c r="G1605" s="490"/>
      <c r="H1605" s="520"/>
      <c r="I1605" s="523"/>
      <c r="J1605" s="521"/>
      <c r="K1605" s="522"/>
      <c r="M1605" s="301" t="str">
        <f>N1605&amp;AS[[#This Row],[Insurer Code]]&amp;"; "&amp;O1605&amp;AS[[#This Row],[Reporting Year]]&amp;"; "&amp;P1605&amp;AS[[#This Row],[Insurance Category Code]]&amp;"; "&amp;Q1605&amp;AS[[#This Row],[Large Provider Entity Code]]&amp;"; "&amp;R1605&amp;AS[[#This Row],[Age Band Code]]&amp;"; "&amp;S1605&amp;AS[[#This Row],[Sex Code]]</f>
        <v xml:space="preserve">Insurer Code ; Reporting Year ; Insurance Category Code ; Large Provider Entity Code ; Age Band Code ; Sex Code </v>
      </c>
      <c r="N1605" s="297" t="s">
        <v>197</v>
      </c>
      <c r="O1605" s="297" t="s">
        <v>198</v>
      </c>
      <c r="P1605" s="297" t="s">
        <v>199</v>
      </c>
      <c r="Q1605" s="297" t="s">
        <v>200</v>
      </c>
      <c r="R1605" s="297" t="s">
        <v>213</v>
      </c>
      <c r="S1605" s="297" t="s">
        <v>214</v>
      </c>
    </row>
    <row r="1606" spans="1:19" x14ac:dyDescent="0.4">
      <c r="A1606" s="291"/>
      <c r="B1606" s="292"/>
      <c r="C1606" s="312"/>
      <c r="D1606" s="292"/>
      <c r="E1606" s="489"/>
      <c r="F1606" s="489"/>
      <c r="G1606" s="490"/>
      <c r="H1606" s="520"/>
      <c r="I1606" s="523"/>
      <c r="J1606" s="521"/>
      <c r="K1606" s="522"/>
      <c r="M1606" s="301" t="str">
        <f>N1606&amp;AS[[#This Row],[Insurer Code]]&amp;"; "&amp;O1606&amp;AS[[#This Row],[Reporting Year]]&amp;"; "&amp;P1606&amp;AS[[#This Row],[Insurance Category Code]]&amp;"; "&amp;Q1606&amp;AS[[#This Row],[Large Provider Entity Code]]&amp;"; "&amp;R1606&amp;AS[[#This Row],[Age Band Code]]&amp;"; "&amp;S1606&amp;AS[[#This Row],[Sex Code]]</f>
        <v xml:space="preserve">Insurer Code ; Reporting Year ; Insurance Category Code ; Large Provider Entity Code ; Age Band Code ; Sex Code </v>
      </c>
      <c r="N1606" s="297" t="s">
        <v>197</v>
      </c>
      <c r="O1606" s="297" t="s">
        <v>198</v>
      </c>
      <c r="P1606" s="297" t="s">
        <v>199</v>
      </c>
      <c r="Q1606" s="297" t="s">
        <v>200</v>
      </c>
      <c r="R1606" s="297" t="s">
        <v>213</v>
      </c>
      <c r="S1606" s="297" t="s">
        <v>214</v>
      </c>
    </row>
    <row r="1607" spans="1:19" x14ac:dyDescent="0.4">
      <c r="A1607" s="291"/>
      <c r="B1607" s="292"/>
      <c r="C1607" s="312"/>
      <c r="D1607" s="292"/>
      <c r="E1607" s="489"/>
      <c r="F1607" s="489"/>
      <c r="G1607" s="490"/>
      <c r="H1607" s="520"/>
      <c r="I1607" s="523"/>
      <c r="J1607" s="521"/>
      <c r="K1607" s="522"/>
      <c r="M1607" s="301" t="str">
        <f>N1607&amp;AS[[#This Row],[Insurer Code]]&amp;"; "&amp;O1607&amp;AS[[#This Row],[Reporting Year]]&amp;"; "&amp;P1607&amp;AS[[#This Row],[Insurance Category Code]]&amp;"; "&amp;Q1607&amp;AS[[#This Row],[Large Provider Entity Code]]&amp;"; "&amp;R1607&amp;AS[[#This Row],[Age Band Code]]&amp;"; "&amp;S1607&amp;AS[[#This Row],[Sex Code]]</f>
        <v xml:space="preserve">Insurer Code ; Reporting Year ; Insurance Category Code ; Large Provider Entity Code ; Age Band Code ; Sex Code </v>
      </c>
      <c r="N1607" s="297" t="s">
        <v>197</v>
      </c>
      <c r="O1607" s="297" t="s">
        <v>198</v>
      </c>
      <c r="P1607" s="297" t="s">
        <v>199</v>
      </c>
      <c r="Q1607" s="297" t="s">
        <v>200</v>
      </c>
      <c r="R1607" s="297" t="s">
        <v>213</v>
      </c>
      <c r="S1607" s="297" t="s">
        <v>214</v>
      </c>
    </row>
    <row r="1608" spans="1:19" x14ac:dyDescent="0.4">
      <c r="A1608" s="291"/>
      <c r="B1608" s="292"/>
      <c r="C1608" s="312"/>
      <c r="D1608" s="292"/>
      <c r="E1608" s="489"/>
      <c r="F1608" s="489"/>
      <c r="G1608" s="490"/>
      <c r="H1608" s="520"/>
      <c r="I1608" s="523"/>
      <c r="J1608" s="521"/>
      <c r="K1608" s="522"/>
      <c r="M1608" s="301" t="str">
        <f>N1608&amp;AS[[#This Row],[Insurer Code]]&amp;"; "&amp;O1608&amp;AS[[#This Row],[Reporting Year]]&amp;"; "&amp;P1608&amp;AS[[#This Row],[Insurance Category Code]]&amp;"; "&amp;Q1608&amp;AS[[#This Row],[Large Provider Entity Code]]&amp;"; "&amp;R1608&amp;AS[[#This Row],[Age Band Code]]&amp;"; "&amp;S1608&amp;AS[[#This Row],[Sex Code]]</f>
        <v xml:space="preserve">Insurer Code ; Reporting Year ; Insurance Category Code ; Large Provider Entity Code ; Age Band Code ; Sex Code </v>
      </c>
      <c r="N1608" s="297" t="s">
        <v>197</v>
      </c>
      <c r="O1608" s="297" t="s">
        <v>198</v>
      </c>
      <c r="P1608" s="297" t="s">
        <v>199</v>
      </c>
      <c r="Q1608" s="297" t="s">
        <v>200</v>
      </c>
      <c r="R1608" s="297" t="s">
        <v>213</v>
      </c>
      <c r="S1608" s="297" t="s">
        <v>214</v>
      </c>
    </row>
    <row r="1609" spans="1:19" x14ac:dyDescent="0.4">
      <c r="A1609" s="291"/>
      <c r="B1609" s="292"/>
      <c r="C1609" s="312"/>
      <c r="D1609" s="292"/>
      <c r="E1609" s="489"/>
      <c r="F1609" s="489"/>
      <c r="G1609" s="490"/>
      <c r="H1609" s="520"/>
      <c r="I1609" s="523"/>
      <c r="J1609" s="521"/>
      <c r="K1609" s="522"/>
      <c r="M1609" s="301" t="str">
        <f>N1609&amp;AS[[#This Row],[Insurer Code]]&amp;"; "&amp;O1609&amp;AS[[#This Row],[Reporting Year]]&amp;"; "&amp;P1609&amp;AS[[#This Row],[Insurance Category Code]]&amp;"; "&amp;Q1609&amp;AS[[#This Row],[Large Provider Entity Code]]&amp;"; "&amp;R1609&amp;AS[[#This Row],[Age Band Code]]&amp;"; "&amp;S1609&amp;AS[[#This Row],[Sex Code]]</f>
        <v xml:space="preserve">Insurer Code ; Reporting Year ; Insurance Category Code ; Large Provider Entity Code ; Age Band Code ; Sex Code </v>
      </c>
      <c r="N1609" s="297" t="s">
        <v>197</v>
      </c>
      <c r="O1609" s="297" t="s">
        <v>198</v>
      </c>
      <c r="P1609" s="297" t="s">
        <v>199</v>
      </c>
      <c r="Q1609" s="297" t="s">
        <v>200</v>
      </c>
      <c r="R1609" s="297" t="s">
        <v>213</v>
      </c>
      <c r="S1609" s="297" t="s">
        <v>214</v>
      </c>
    </row>
    <row r="1610" spans="1:19" x14ac:dyDescent="0.4">
      <c r="A1610" s="291"/>
      <c r="B1610" s="292"/>
      <c r="C1610" s="312"/>
      <c r="D1610" s="292"/>
      <c r="E1610" s="489"/>
      <c r="F1610" s="489"/>
      <c r="G1610" s="490"/>
      <c r="H1610" s="520"/>
      <c r="I1610" s="523"/>
      <c r="J1610" s="521"/>
      <c r="K1610" s="522"/>
      <c r="M1610" s="301" t="str">
        <f>N1610&amp;AS[[#This Row],[Insurer Code]]&amp;"; "&amp;O1610&amp;AS[[#This Row],[Reporting Year]]&amp;"; "&amp;P1610&amp;AS[[#This Row],[Insurance Category Code]]&amp;"; "&amp;Q1610&amp;AS[[#This Row],[Large Provider Entity Code]]&amp;"; "&amp;R1610&amp;AS[[#This Row],[Age Band Code]]&amp;"; "&amp;S1610&amp;AS[[#This Row],[Sex Code]]</f>
        <v xml:space="preserve">Insurer Code ; Reporting Year ; Insurance Category Code ; Large Provider Entity Code ; Age Band Code ; Sex Code </v>
      </c>
      <c r="N1610" s="297" t="s">
        <v>197</v>
      </c>
      <c r="O1610" s="297" t="s">
        <v>198</v>
      </c>
      <c r="P1610" s="297" t="s">
        <v>199</v>
      </c>
      <c r="Q1610" s="297" t="s">
        <v>200</v>
      </c>
      <c r="R1610" s="297" t="s">
        <v>213</v>
      </c>
      <c r="S1610" s="297" t="s">
        <v>214</v>
      </c>
    </row>
    <row r="1611" spans="1:19" x14ac:dyDescent="0.4">
      <c r="A1611" s="291"/>
      <c r="B1611" s="292"/>
      <c r="C1611" s="312"/>
      <c r="D1611" s="292"/>
      <c r="E1611" s="489"/>
      <c r="F1611" s="489"/>
      <c r="G1611" s="490"/>
      <c r="H1611" s="520"/>
      <c r="I1611" s="523"/>
      <c r="J1611" s="521"/>
      <c r="K1611" s="522"/>
      <c r="M1611" s="301" t="str">
        <f>N1611&amp;AS[[#This Row],[Insurer Code]]&amp;"; "&amp;O1611&amp;AS[[#This Row],[Reporting Year]]&amp;"; "&amp;P1611&amp;AS[[#This Row],[Insurance Category Code]]&amp;"; "&amp;Q1611&amp;AS[[#This Row],[Large Provider Entity Code]]&amp;"; "&amp;R1611&amp;AS[[#This Row],[Age Band Code]]&amp;"; "&amp;S1611&amp;AS[[#This Row],[Sex Code]]</f>
        <v xml:space="preserve">Insurer Code ; Reporting Year ; Insurance Category Code ; Large Provider Entity Code ; Age Band Code ; Sex Code </v>
      </c>
      <c r="N1611" s="297" t="s">
        <v>197</v>
      </c>
      <c r="O1611" s="297" t="s">
        <v>198</v>
      </c>
      <c r="P1611" s="297" t="s">
        <v>199</v>
      </c>
      <c r="Q1611" s="297" t="s">
        <v>200</v>
      </c>
      <c r="R1611" s="297" t="s">
        <v>213</v>
      </c>
      <c r="S1611" s="297" t="s">
        <v>214</v>
      </c>
    </row>
    <row r="1612" spans="1:19" x14ac:dyDescent="0.4">
      <c r="A1612" s="291"/>
      <c r="B1612" s="292"/>
      <c r="C1612" s="312"/>
      <c r="D1612" s="292"/>
      <c r="E1612" s="489"/>
      <c r="F1612" s="489"/>
      <c r="G1612" s="490"/>
      <c r="H1612" s="520"/>
      <c r="I1612" s="523"/>
      <c r="J1612" s="521"/>
      <c r="K1612" s="522"/>
      <c r="M1612" s="301" t="str">
        <f>N1612&amp;AS[[#This Row],[Insurer Code]]&amp;"; "&amp;O1612&amp;AS[[#This Row],[Reporting Year]]&amp;"; "&amp;P1612&amp;AS[[#This Row],[Insurance Category Code]]&amp;"; "&amp;Q1612&amp;AS[[#This Row],[Large Provider Entity Code]]&amp;"; "&amp;R1612&amp;AS[[#This Row],[Age Band Code]]&amp;"; "&amp;S1612&amp;AS[[#This Row],[Sex Code]]</f>
        <v xml:space="preserve">Insurer Code ; Reporting Year ; Insurance Category Code ; Large Provider Entity Code ; Age Band Code ; Sex Code </v>
      </c>
      <c r="N1612" s="297" t="s">
        <v>197</v>
      </c>
      <c r="O1612" s="297" t="s">
        <v>198</v>
      </c>
      <c r="P1612" s="297" t="s">
        <v>199</v>
      </c>
      <c r="Q1612" s="297" t="s">
        <v>200</v>
      </c>
      <c r="R1612" s="297" t="s">
        <v>213</v>
      </c>
      <c r="S1612" s="297" t="s">
        <v>214</v>
      </c>
    </row>
    <row r="1613" spans="1:19" x14ac:dyDescent="0.4">
      <c r="A1613" s="291"/>
      <c r="B1613" s="292"/>
      <c r="C1613" s="312"/>
      <c r="D1613" s="292"/>
      <c r="E1613" s="489"/>
      <c r="F1613" s="489"/>
      <c r="G1613" s="490"/>
      <c r="H1613" s="520"/>
      <c r="I1613" s="523"/>
      <c r="J1613" s="521"/>
      <c r="K1613" s="522"/>
      <c r="M1613" s="301" t="str">
        <f>N1613&amp;AS[[#This Row],[Insurer Code]]&amp;"; "&amp;O1613&amp;AS[[#This Row],[Reporting Year]]&amp;"; "&amp;P1613&amp;AS[[#This Row],[Insurance Category Code]]&amp;"; "&amp;Q1613&amp;AS[[#This Row],[Large Provider Entity Code]]&amp;"; "&amp;R1613&amp;AS[[#This Row],[Age Band Code]]&amp;"; "&amp;S1613&amp;AS[[#This Row],[Sex Code]]</f>
        <v xml:space="preserve">Insurer Code ; Reporting Year ; Insurance Category Code ; Large Provider Entity Code ; Age Band Code ; Sex Code </v>
      </c>
      <c r="N1613" s="297" t="s">
        <v>197</v>
      </c>
      <c r="O1613" s="297" t="s">
        <v>198</v>
      </c>
      <c r="P1613" s="297" t="s">
        <v>199</v>
      </c>
      <c r="Q1613" s="297" t="s">
        <v>200</v>
      </c>
      <c r="R1613" s="297" t="s">
        <v>213</v>
      </c>
      <c r="S1613" s="297" t="s">
        <v>214</v>
      </c>
    </row>
    <row r="1614" spans="1:19" x14ac:dyDescent="0.4">
      <c r="A1614" s="291"/>
      <c r="B1614" s="292"/>
      <c r="C1614" s="312"/>
      <c r="D1614" s="292"/>
      <c r="E1614" s="489"/>
      <c r="F1614" s="489"/>
      <c r="G1614" s="490"/>
      <c r="H1614" s="520"/>
      <c r="I1614" s="523"/>
      <c r="J1614" s="521"/>
      <c r="K1614" s="522"/>
      <c r="M1614" s="301" t="str">
        <f>N1614&amp;AS[[#This Row],[Insurer Code]]&amp;"; "&amp;O1614&amp;AS[[#This Row],[Reporting Year]]&amp;"; "&amp;P1614&amp;AS[[#This Row],[Insurance Category Code]]&amp;"; "&amp;Q1614&amp;AS[[#This Row],[Large Provider Entity Code]]&amp;"; "&amp;R1614&amp;AS[[#This Row],[Age Band Code]]&amp;"; "&amp;S1614&amp;AS[[#This Row],[Sex Code]]</f>
        <v xml:space="preserve">Insurer Code ; Reporting Year ; Insurance Category Code ; Large Provider Entity Code ; Age Band Code ; Sex Code </v>
      </c>
      <c r="N1614" s="297" t="s">
        <v>197</v>
      </c>
      <c r="O1614" s="297" t="s">
        <v>198</v>
      </c>
      <c r="P1614" s="297" t="s">
        <v>199</v>
      </c>
      <c r="Q1614" s="297" t="s">
        <v>200</v>
      </c>
      <c r="R1614" s="297" t="s">
        <v>213</v>
      </c>
      <c r="S1614" s="297" t="s">
        <v>214</v>
      </c>
    </row>
    <row r="1615" spans="1:19" x14ac:dyDescent="0.4">
      <c r="A1615" s="291"/>
      <c r="B1615" s="292"/>
      <c r="C1615" s="312"/>
      <c r="D1615" s="292"/>
      <c r="E1615" s="489"/>
      <c r="F1615" s="489"/>
      <c r="G1615" s="490"/>
      <c r="H1615" s="520"/>
      <c r="I1615" s="523"/>
      <c r="J1615" s="521"/>
      <c r="K1615" s="522"/>
      <c r="M1615" s="301" t="str">
        <f>N1615&amp;AS[[#This Row],[Insurer Code]]&amp;"; "&amp;O1615&amp;AS[[#This Row],[Reporting Year]]&amp;"; "&amp;P1615&amp;AS[[#This Row],[Insurance Category Code]]&amp;"; "&amp;Q1615&amp;AS[[#This Row],[Large Provider Entity Code]]&amp;"; "&amp;R1615&amp;AS[[#This Row],[Age Band Code]]&amp;"; "&amp;S1615&amp;AS[[#This Row],[Sex Code]]</f>
        <v xml:space="preserve">Insurer Code ; Reporting Year ; Insurance Category Code ; Large Provider Entity Code ; Age Band Code ; Sex Code </v>
      </c>
      <c r="N1615" s="297" t="s">
        <v>197</v>
      </c>
      <c r="O1615" s="297" t="s">
        <v>198</v>
      </c>
      <c r="P1615" s="297" t="s">
        <v>199</v>
      </c>
      <c r="Q1615" s="297" t="s">
        <v>200</v>
      </c>
      <c r="R1615" s="297" t="s">
        <v>213</v>
      </c>
      <c r="S1615" s="297" t="s">
        <v>214</v>
      </c>
    </row>
    <row r="1616" spans="1:19" x14ac:dyDescent="0.4">
      <c r="A1616" s="291"/>
      <c r="B1616" s="292"/>
      <c r="C1616" s="312"/>
      <c r="D1616" s="292"/>
      <c r="E1616" s="489"/>
      <c r="F1616" s="489"/>
      <c r="G1616" s="490"/>
      <c r="H1616" s="520"/>
      <c r="I1616" s="523"/>
      <c r="J1616" s="521"/>
      <c r="K1616" s="522"/>
      <c r="M1616" s="301" t="str">
        <f>N1616&amp;AS[[#This Row],[Insurer Code]]&amp;"; "&amp;O1616&amp;AS[[#This Row],[Reporting Year]]&amp;"; "&amp;P1616&amp;AS[[#This Row],[Insurance Category Code]]&amp;"; "&amp;Q1616&amp;AS[[#This Row],[Large Provider Entity Code]]&amp;"; "&amp;R1616&amp;AS[[#This Row],[Age Band Code]]&amp;"; "&amp;S1616&amp;AS[[#This Row],[Sex Code]]</f>
        <v xml:space="preserve">Insurer Code ; Reporting Year ; Insurance Category Code ; Large Provider Entity Code ; Age Band Code ; Sex Code </v>
      </c>
      <c r="N1616" s="297" t="s">
        <v>197</v>
      </c>
      <c r="O1616" s="297" t="s">
        <v>198</v>
      </c>
      <c r="P1616" s="297" t="s">
        <v>199</v>
      </c>
      <c r="Q1616" s="297" t="s">
        <v>200</v>
      </c>
      <c r="R1616" s="297" t="s">
        <v>213</v>
      </c>
      <c r="S1616" s="297" t="s">
        <v>214</v>
      </c>
    </row>
    <row r="1617" spans="1:19" x14ac:dyDescent="0.4">
      <c r="A1617" s="291"/>
      <c r="B1617" s="292"/>
      <c r="C1617" s="312"/>
      <c r="D1617" s="292"/>
      <c r="E1617" s="489"/>
      <c r="F1617" s="489"/>
      <c r="G1617" s="490"/>
      <c r="H1617" s="520"/>
      <c r="I1617" s="523"/>
      <c r="J1617" s="521"/>
      <c r="K1617" s="522"/>
      <c r="M1617" s="301" t="str">
        <f>N1617&amp;AS[[#This Row],[Insurer Code]]&amp;"; "&amp;O1617&amp;AS[[#This Row],[Reporting Year]]&amp;"; "&amp;P1617&amp;AS[[#This Row],[Insurance Category Code]]&amp;"; "&amp;Q1617&amp;AS[[#This Row],[Large Provider Entity Code]]&amp;"; "&amp;R1617&amp;AS[[#This Row],[Age Band Code]]&amp;"; "&amp;S1617&amp;AS[[#This Row],[Sex Code]]</f>
        <v xml:space="preserve">Insurer Code ; Reporting Year ; Insurance Category Code ; Large Provider Entity Code ; Age Band Code ; Sex Code </v>
      </c>
      <c r="N1617" s="297" t="s">
        <v>197</v>
      </c>
      <c r="O1617" s="297" t="s">
        <v>198</v>
      </c>
      <c r="P1617" s="297" t="s">
        <v>199</v>
      </c>
      <c r="Q1617" s="297" t="s">
        <v>200</v>
      </c>
      <c r="R1617" s="297" t="s">
        <v>213</v>
      </c>
      <c r="S1617" s="297" t="s">
        <v>214</v>
      </c>
    </row>
    <row r="1618" spans="1:19" x14ac:dyDescent="0.4">
      <c r="A1618" s="291"/>
      <c r="B1618" s="292"/>
      <c r="C1618" s="312"/>
      <c r="D1618" s="292"/>
      <c r="E1618" s="489"/>
      <c r="F1618" s="489"/>
      <c r="G1618" s="490"/>
      <c r="H1618" s="520"/>
      <c r="I1618" s="523"/>
      <c r="J1618" s="521"/>
      <c r="K1618" s="522"/>
      <c r="M1618" s="301" t="str">
        <f>N1618&amp;AS[[#This Row],[Insurer Code]]&amp;"; "&amp;O1618&amp;AS[[#This Row],[Reporting Year]]&amp;"; "&amp;P1618&amp;AS[[#This Row],[Insurance Category Code]]&amp;"; "&amp;Q1618&amp;AS[[#This Row],[Large Provider Entity Code]]&amp;"; "&amp;R1618&amp;AS[[#This Row],[Age Band Code]]&amp;"; "&amp;S1618&amp;AS[[#This Row],[Sex Code]]</f>
        <v xml:space="preserve">Insurer Code ; Reporting Year ; Insurance Category Code ; Large Provider Entity Code ; Age Band Code ; Sex Code </v>
      </c>
      <c r="N1618" s="297" t="s">
        <v>197</v>
      </c>
      <c r="O1618" s="297" t="s">
        <v>198</v>
      </c>
      <c r="P1618" s="297" t="s">
        <v>199</v>
      </c>
      <c r="Q1618" s="297" t="s">
        <v>200</v>
      </c>
      <c r="R1618" s="297" t="s">
        <v>213</v>
      </c>
      <c r="S1618" s="297" t="s">
        <v>214</v>
      </c>
    </row>
    <row r="1619" spans="1:19" x14ac:dyDescent="0.4">
      <c r="A1619" s="291"/>
      <c r="B1619" s="292"/>
      <c r="C1619" s="312"/>
      <c r="D1619" s="292"/>
      <c r="E1619" s="489"/>
      <c r="F1619" s="489"/>
      <c r="G1619" s="490"/>
      <c r="H1619" s="520"/>
      <c r="I1619" s="523"/>
      <c r="J1619" s="521"/>
      <c r="K1619" s="522"/>
      <c r="M1619" s="301" t="str">
        <f>N1619&amp;AS[[#This Row],[Insurer Code]]&amp;"; "&amp;O1619&amp;AS[[#This Row],[Reporting Year]]&amp;"; "&amp;P1619&amp;AS[[#This Row],[Insurance Category Code]]&amp;"; "&amp;Q1619&amp;AS[[#This Row],[Large Provider Entity Code]]&amp;"; "&amp;R1619&amp;AS[[#This Row],[Age Band Code]]&amp;"; "&amp;S1619&amp;AS[[#This Row],[Sex Code]]</f>
        <v xml:space="preserve">Insurer Code ; Reporting Year ; Insurance Category Code ; Large Provider Entity Code ; Age Band Code ; Sex Code </v>
      </c>
      <c r="N1619" s="297" t="s">
        <v>197</v>
      </c>
      <c r="O1619" s="297" t="s">
        <v>198</v>
      </c>
      <c r="P1619" s="297" t="s">
        <v>199</v>
      </c>
      <c r="Q1619" s="297" t="s">
        <v>200</v>
      </c>
      <c r="R1619" s="297" t="s">
        <v>213</v>
      </c>
      <c r="S1619" s="297" t="s">
        <v>214</v>
      </c>
    </row>
    <row r="1620" spans="1:19" x14ac:dyDescent="0.4">
      <c r="A1620" s="291"/>
      <c r="B1620" s="292"/>
      <c r="C1620" s="312"/>
      <c r="D1620" s="292"/>
      <c r="E1620" s="489"/>
      <c r="F1620" s="489"/>
      <c r="G1620" s="490"/>
      <c r="H1620" s="520"/>
      <c r="I1620" s="523"/>
      <c r="J1620" s="521"/>
      <c r="K1620" s="522"/>
      <c r="M1620" s="301" t="str">
        <f>N1620&amp;AS[[#This Row],[Insurer Code]]&amp;"; "&amp;O1620&amp;AS[[#This Row],[Reporting Year]]&amp;"; "&amp;P1620&amp;AS[[#This Row],[Insurance Category Code]]&amp;"; "&amp;Q1620&amp;AS[[#This Row],[Large Provider Entity Code]]&amp;"; "&amp;R1620&amp;AS[[#This Row],[Age Band Code]]&amp;"; "&amp;S1620&amp;AS[[#This Row],[Sex Code]]</f>
        <v xml:space="preserve">Insurer Code ; Reporting Year ; Insurance Category Code ; Large Provider Entity Code ; Age Band Code ; Sex Code </v>
      </c>
      <c r="N1620" s="297" t="s">
        <v>197</v>
      </c>
      <c r="O1620" s="297" t="s">
        <v>198</v>
      </c>
      <c r="P1620" s="297" t="s">
        <v>199</v>
      </c>
      <c r="Q1620" s="297" t="s">
        <v>200</v>
      </c>
      <c r="R1620" s="297" t="s">
        <v>213</v>
      </c>
      <c r="S1620" s="297" t="s">
        <v>214</v>
      </c>
    </row>
    <row r="1621" spans="1:19" x14ac:dyDescent="0.4">
      <c r="A1621" s="291"/>
      <c r="B1621" s="292"/>
      <c r="C1621" s="312"/>
      <c r="D1621" s="292"/>
      <c r="E1621" s="489"/>
      <c r="F1621" s="489"/>
      <c r="G1621" s="490"/>
      <c r="H1621" s="520"/>
      <c r="I1621" s="523"/>
      <c r="J1621" s="521"/>
      <c r="K1621" s="522"/>
      <c r="M1621" s="301" t="str">
        <f>N1621&amp;AS[[#This Row],[Insurer Code]]&amp;"; "&amp;O1621&amp;AS[[#This Row],[Reporting Year]]&amp;"; "&amp;P1621&amp;AS[[#This Row],[Insurance Category Code]]&amp;"; "&amp;Q1621&amp;AS[[#This Row],[Large Provider Entity Code]]&amp;"; "&amp;R1621&amp;AS[[#This Row],[Age Band Code]]&amp;"; "&amp;S1621&amp;AS[[#This Row],[Sex Code]]</f>
        <v xml:space="preserve">Insurer Code ; Reporting Year ; Insurance Category Code ; Large Provider Entity Code ; Age Band Code ; Sex Code </v>
      </c>
      <c r="N1621" s="297" t="s">
        <v>197</v>
      </c>
      <c r="O1621" s="297" t="s">
        <v>198</v>
      </c>
      <c r="P1621" s="297" t="s">
        <v>199</v>
      </c>
      <c r="Q1621" s="297" t="s">
        <v>200</v>
      </c>
      <c r="R1621" s="297" t="s">
        <v>213</v>
      </c>
      <c r="S1621" s="297" t="s">
        <v>214</v>
      </c>
    </row>
    <row r="1622" spans="1:19" x14ac:dyDescent="0.4">
      <c r="A1622" s="291"/>
      <c r="B1622" s="292"/>
      <c r="C1622" s="312"/>
      <c r="D1622" s="292"/>
      <c r="E1622" s="489"/>
      <c r="F1622" s="489"/>
      <c r="G1622" s="490"/>
      <c r="H1622" s="520"/>
      <c r="I1622" s="523"/>
      <c r="J1622" s="521"/>
      <c r="K1622" s="522"/>
      <c r="M1622" s="301" t="str">
        <f>N1622&amp;AS[[#This Row],[Insurer Code]]&amp;"; "&amp;O1622&amp;AS[[#This Row],[Reporting Year]]&amp;"; "&amp;P1622&amp;AS[[#This Row],[Insurance Category Code]]&amp;"; "&amp;Q1622&amp;AS[[#This Row],[Large Provider Entity Code]]&amp;"; "&amp;R1622&amp;AS[[#This Row],[Age Band Code]]&amp;"; "&amp;S1622&amp;AS[[#This Row],[Sex Code]]</f>
        <v xml:space="preserve">Insurer Code ; Reporting Year ; Insurance Category Code ; Large Provider Entity Code ; Age Band Code ; Sex Code </v>
      </c>
      <c r="N1622" s="297" t="s">
        <v>197</v>
      </c>
      <c r="O1622" s="297" t="s">
        <v>198</v>
      </c>
      <c r="P1622" s="297" t="s">
        <v>199</v>
      </c>
      <c r="Q1622" s="297" t="s">
        <v>200</v>
      </c>
      <c r="R1622" s="297" t="s">
        <v>213</v>
      </c>
      <c r="S1622" s="297" t="s">
        <v>214</v>
      </c>
    </row>
    <row r="1623" spans="1:19" x14ac:dyDescent="0.4">
      <c r="A1623" s="291"/>
      <c r="B1623" s="292"/>
      <c r="C1623" s="312"/>
      <c r="D1623" s="292"/>
      <c r="E1623" s="489"/>
      <c r="F1623" s="489"/>
      <c r="G1623" s="490"/>
      <c r="H1623" s="520"/>
      <c r="I1623" s="523"/>
      <c r="J1623" s="521"/>
      <c r="K1623" s="522"/>
      <c r="M1623" s="301" t="str">
        <f>N1623&amp;AS[[#This Row],[Insurer Code]]&amp;"; "&amp;O1623&amp;AS[[#This Row],[Reporting Year]]&amp;"; "&amp;P1623&amp;AS[[#This Row],[Insurance Category Code]]&amp;"; "&amp;Q1623&amp;AS[[#This Row],[Large Provider Entity Code]]&amp;"; "&amp;R1623&amp;AS[[#This Row],[Age Band Code]]&amp;"; "&amp;S1623&amp;AS[[#This Row],[Sex Code]]</f>
        <v xml:space="preserve">Insurer Code ; Reporting Year ; Insurance Category Code ; Large Provider Entity Code ; Age Band Code ; Sex Code </v>
      </c>
      <c r="N1623" s="297" t="s">
        <v>197</v>
      </c>
      <c r="O1623" s="297" t="s">
        <v>198</v>
      </c>
      <c r="P1623" s="297" t="s">
        <v>199</v>
      </c>
      <c r="Q1623" s="297" t="s">
        <v>200</v>
      </c>
      <c r="R1623" s="297" t="s">
        <v>213</v>
      </c>
      <c r="S1623" s="297" t="s">
        <v>214</v>
      </c>
    </row>
    <row r="1624" spans="1:19" x14ac:dyDescent="0.4">
      <c r="A1624" s="291"/>
      <c r="B1624" s="292"/>
      <c r="C1624" s="312"/>
      <c r="D1624" s="292"/>
      <c r="E1624" s="489"/>
      <c r="F1624" s="489"/>
      <c r="G1624" s="490"/>
      <c r="H1624" s="520"/>
      <c r="I1624" s="523"/>
      <c r="J1624" s="521"/>
      <c r="K1624" s="522"/>
      <c r="M1624" s="301" t="str">
        <f>N1624&amp;AS[[#This Row],[Insurer Code]]&amp;"; "&amp;O1624&amp;AS[[#This Row],[Reporting Year]]&amp;"; "&amp;P1624&amp;AS[[#This Row],[Insurance Category Code]]&amp;"; "&amp;Q1624&amp;AS[[#This Row],[Large Provider Entity Code]]&amp;"; "&amp;R1624&amp;AS[[#This Row],[Age Band Code]]&amp;"; "&amp;S1624&amp;AS[[#This Row],[Sex Code]]</f>
        <v xml:space="preserve">Insurer Code ; Reporting Year ; Insurance Category Code ; Large Provider Entity Code ; Age Band Code ; Sex Code </v>
      </c>
      <c r="N1624" s="297" t="s">
        <v>197</v>
      </c>
      <c r="O1624" s="297" t="s">
        <v>198</v>
      </c>
      <c r="P1624" s="297" t="s">
        <v>199</v>
      </c>
      <c r="Q1624" s="297" t="s">
        <v>200</v>
      </c>
      <c r="R1624" s="297" t="s">
        <v>213</v>
      </c>
      <c r="S1624" s="297" t="s">
        <v>214</v>
      </c>
    </row>
    <row r="1625" spans="1:19" x14ac:dyDescent="0.4">
      <c r="A1625" s="291"/>
      <c r="B1625" s="292"/>
      <c r="C1625" s="312"/>
      <c r="D1625" s="292"/>
      <c r="E1625" s="489"/>
      <c r="F1625" s="489"/>
      <c r="G1625" s="490"/>
      <c r="H1625" s="520"/>
      <c r="I1625" s="523"/>
      <c r="J1625" s="521"/>
      <c r="K1625" s="522"/>
      <c r="M1625" s="301" t="str">
        <f>N1625&amp;AS[[#This Row],[Insurer Code]]&amp;"; "&amp;O1625&amp;AS[[#This Row],[Reporting Year]]&amp;"; "&amp;P1625&amp;AS[[#This Row],[Insurance Category Code]]&amp;"; "&amp;Q1625&amp;AS[[#This Row],[Large Provider Entity Code]]&amp;"; "&amp;R1625&amp;AS[[#This Row],[Age Band Code]]&amp;"; "&amp;S1625&amp;AS[[#This Row],[Sex Code]]</f>
        <v xml:space="preserve">Insurer Code ; Reporting Year ; Insurance Category Code ; Large Provider Entity Code ; Age Band Code ; Sex Code </v>
      </c>
      <c r="N1625" s="297" t="s">
        <v>197</v>
      </c>
      <c r="O1625" s="297" t="s">
        <v>198</v>
      </c>
      <c r="P1625" s="297" t="s">
        <v>199</v>
      </c>
      <c r="Q1625" s="297" t="s">
        <v>200</v>
      </c>
      <c r="R1625" s="297" t="s">
        <v>213</v>
      </c>
      <c r="S1625" s="297" t="s">
        <v>214</v>
      </c>
    </row>
    <row r="1626" spans="1:19" x14ac:dyDescent="0.4">
      <c r="A1626" s="291"/>
      <c r="B1626" s="292"/>
      <c r="C1626" s="312"/>
      <c r="D1626" s="292"/>
      <c r="E1626" s="489"/>
      <c r="F1626" s="489"/>
      <c r="G1626" s="490"/>
      <c r="H1626" s="520"/>
      <c r="I1626" s="523"/>
      <c r="J1626" s="521"/>
      <c r="K1626" s="522"/>
      <c r="M1626" s="301" t="str">
        <f>N1626&amp;AS[[#This Row],[Insurer Code]]&amp;"; "&amp;O1626&amp;AS[[#This Row],[Reporting Year]]&amp;"; "&amp;P1626&amp;AS[[#This Row],[Insurance Category Code]]&amp;"; "&amp;Q1626&amp;AS[[#This Row],[Large Provider Entity Code]]&amp;"; "&amp;R1626&amp;AS[[#This Row],[Age Band Code]]&amp;"; "&amp;S1626&amp;AS[[#This Row],[Sex Code]]</f>
        <v xml:space="preserve">Insurer Code ; Reporting Year ; Insurance Category Code ; Large Provider Entity Code ; Age Band Code ; Sex Code </v>
      </c>
      <c r="N1626" s="297" t="s">
        <v>197</v>
      </c>
      <c r="O1626" s="297" t="s">
        <v>198</v>
      </c>
      <c r="P1626" s="297" t="s">
        <v>199</v>
      </c>
      <c r="Q1626" s="297" t="s">
        <v>200</v>
      </c>
      <c r="R1626" s="297" t="s">
        <v>213</v>
      </c>
      <c r="S1626" s="297" t="s">
        <v>214</v>
      </c>
    </row>
    <row r="1627" spans="1:19" x14ac:dyDescent="0.4">
      <c r="A1627" s="291"/>
      <c r="B1627" s="292"/>
      <c r="C1627" s="312"/>
      <c r="D1627" s="292"/>
      <c r="E1627" s="489"/>
      <c r="F1627" s="489"/>
      <c r="G1627" s="490"/>
      <c r="H1627" s="520"/>
      <c r="I1627" s="523"/>
      <c r="J1627" s="521"/>
      <c r="K1627" s="522"/>
      <c r="M1627" s="301" t="str">
        <f>N1627&amp;AS[[#This Row],[Insurer Code]]&amp;"; "&amp;O1627&amp;AS[[#This Row],[Reporting Year]]&amp;"; "&amp;P1627&amp;AS[[#This Row],[Insurance Category Code]]&amp;"; "&amp;Q1627&amp;AS[[#This Row],[Large Provider Entity Code]]&amp;"; "&amp;R1627&amp;AS[[#This Row],[Age Band Code]]&amp;"; "&amp;S1627&amp;AS[[#This Row],[Sex Code]]</f>
        <v xml:space="preserve">Insurer Code ; Reporting Year ; Insurance Category Code ; Large Provider Entity Code ; Age Band Code ; Sex Code </v>
      </c>
      <c r="N1627" s="297" t="s">
        <v>197</v>
      </c>
      <c r="O1627" s="297" t="s">
        <v>198</v>
      </c>
      <c r="P1627" s="297" t="s">
        <v>199</v>
      </c>
      <c r="Q1627" s="297" t="s">
        <v>200</v>
      </c>
      <c r="R1627" s="297" t="s">
        <v>213</v>
      </c>
      <c r="S1627" s="297" t="s">
        <v>214</v>
      </c>
    </row>
    <row r="1628" spans="1:19" x14ac:dyDescent="0.4">
      <c r="A1628" s="291"/>
      <c r="B1628" s="292"/>
      <c r="C1628" s="312"/>
      <c r="D1628" s="292"/>
      <c r="E1628" s="489"/>
      <c r="F1628" s="489"/>
      <c r="G1628" s="490"/>
      <c r="H1628" s="520"/>
      <c r="I1628" s="523"/>
      <c r="J1628" s="521"/>
      <c r="K1628" s="522"/>
      <c r="M1628" s="301" t="str">
        <f>N1628&amp;AS[[#This Row],[Insurer Code]]&amp;"; "&amp;O1628&amp;AS[[#This Row],[Reporting Year]]&amp;"; "&amp;P1628&amp;AS[[#This Row],[Insurance Category Code]]&amp;"; "&amp;Q1628&amp;AS[[#This Row],[Large Provider Entity Code]]&amp;"; "&amp;R1628&amp;AS[[#This Row],[Age Band Code]]&amp;"; "&amp;S1628&amp;AS[[#This Row],[Sex Code]]</f>
        <v xml:space="preserve">Insurer Code ; Reporting Year ; Insurance Category Code ; Large Provider Entity Code ; Age Band Code ; Sex Code </v>
      </c>
      <c r="N1628" s="297" t="s">
        <v>197</v>
      </c>
      <c r="O1628" s="297" t="s">
        <v>198</v>
      </c>
      <c r="P1628" s="297" t="s">
        <v>199</v>
      </c>
      <c r="Q1628" s="297" t="s">
        <v>200</v>
      </c>
      <c r="R1628" s="297" t="s">
        <v>213</v>
      </c>
      <c r="S1628" s="297" t="s">
        <v>214</v>
      </c>
    </row>
    <row r="1629" spans="1:19" x14ac:dyDescent="0.4">
      <c r="A1629" s="291"/>
      <c r="B1629" s="292"/>
      <c r="C1629" s="312"/>
      <c r="D1629" s="292"/>
      <c r="E1629" s="489"/>
      <c r="F1629" s="489"/>
      <c r="G1629" s="490"/>
      <c r="H1629" s="520"/>
      <c r="I1629" s="523"/>
      <c r="J1629" s="521"/>
      <c r="K1629" s="522"/>
      <c r="M1629" s="301" t="str">
        <f>N1629&amp;AS[[#This Row],[Insurer Code]]&amp;"; "&amp;O1629&amp;AS[[#This Row],[Reporting Year]]&amp;"; "&amp;P1629&amp;AS[[#This Row],[Insurance Category Code]]&amp;"; "&amp;Q1629&amp;AS[[#This Row],[Large Provider Entity Code]]&amp;"; "&amp;R1629&amp;AS[[#This Row],[Age Band Code]]&amp;"; "&amp;S1629&amp;AS[[#This Row],[Sex Code]]</f>
        <v xml:space="preserve">Insurer Code ; Reporting Year ; Insurance Category Code ; Large Provider Entity Code ; Age Band Code ; Sex Code </v>
      </c>
      <c r="N1629" s="297" t="s">
        <v>197</v>
      </c>
      <c r="O1629" s="297" t="s">
        <v>198</v>
      </c>
      <c r="P1629" s="297" t="s">
        <v>199</v>
      </c>
      <c r="Q1629" s="297" t="s">
        <v>200</v>
      </c>
      <c r="R1629" s="297" t="s">
        <v>213</v>
      </c>
      <c r="S1629" s="297" t="s">
        <v>214</v>
      </c>
    </row>
    <row r="1630" spans="1:19" x14ac:dyDescent="0.4">
      <c r="A1630" s="291"/>
      <c r="B1630" s="292"/>
      <c r="C1630" s="312"/>
      <c r="D1630" s="292"/>
      <c r="E1630" s="489"/>
      <c r="F1630" s="489"/>
      <c r="G1630" s="490"/>
      <c r="H1630" s="520"/>
      <c r="I1630" s="523"/>
      <c r="J1630" s="521"/>
      <c r="K1630" s="522"/>
      <c r="M1630" s="301" t="str">
        <f>N1630&amp;AS[[#This Row],[Insurer Code]]&amp;"; "&amp;O1630&amp;AS[[#This Row],[Reporting Year]]&amp;"; "&amp;P1630&amp;AS[[#This Row],[Insurance Category Code]]&amp;"; "&amp;Q1630&amp;AS[[#This Row],[Large Provider Entity Code]]&amp;"; "&amp;R1630&amp;AS[[#This Row],[Age Band Code]]&amp;"; "&amp;S1630&amp;AS[[#This Row],[Sex Code]]</f>
        <v xml:space="preserve">Insurer Code ; Reporting Year ; Insurance Category Code ; Large Provider Entity Code ; Age Band Code ; Sex Code </v>
      </c>
      <c r="N1630" s="297" t="s">
        <v>197</v>
      </c>
      <c r="O1630" s="297" t="s">
        <v>198</v>
      </c>
      <c r="P1630" s="297" t="s">
        <v>199</v>
      </c>
      <c r="Q1630" s="297" t="s">
        <v>200</v>
      </c>
      <c r="R1630" s="297" t="s">
        <v>213</v>
      </c>
      <c r="S1630" s="297" t="s">
        <v>214</v>
      </c>
    </row>
    <row r="1631" spans="1:19" x14ac:dyDescent="0.4">
      <c r="A1631" s="291"/>
      <c r="B1631" s="292"/>
      <c r="C1631" s="312"/>
      <c r="D1631" s="292"/>
      <c r="E1631" s="489"/>
      <c r="F1631" s="489"/>
      <c r="G1631" s="490"/>
      <c r="H1631" s="520"/>
      <c r="I1631" s="523"/>
      <c r="J1631" s="521"/>
      <c r="K1631" s="522"/>
      <c r="M1631" s="301" t="str">
        <f>N1631&amp;AS[[#This Row],[Insurer Code]]&amp;"; "&amp;O1631&amp;AS[[#This Row],[Reporting Year]]&amp;"; "&amp;P1631&amp;AS[[#This Row],[Insurance Category Code]]&amp;"; "&amp;Q1631&amp;AS[[#This Row],[Large Provider Entity Code]]&amp;"; "&amp;R1631&amp;AS[[#This Row],[Age Band Code]]&amp;"; "&amp;S1631&amp;AS[[#This Row],[Sex Code]]</f>
        <v xml:space="preserve">Insurer Code ; Reporting Year ; Insurance Category Code ; Large Provider Entity Code ; Age Band Code ; Sex Code </v>
      </c>
      <c r="N1631" s="297" t="s">
        <v>197</v>
      </c>
      <c r="O1631" s="297" t="s">
        <v>198</v>
      </c>
      <c r="P1631" s="297" t="s">
        <v>199</v>
      </c>
      <c r="Q1631" s="297" t="s">
        <v>200</v>
      </c>
      <c r="R1631" s="297" t="s">
        <v>213</v>
      </c>
      <c r="S1631" s="297" t="s">
        <v>214</v>
      </c>
    </row>
    <row r="1632" spans="1:19" x14ac:dyDescent="0.4">
      <c r="A1632" s="291"/>
      <c r="B1632" s="292"/>
      <c r="C1632" s="312"/>
      <c r="D1632" s="292"/>
      <c r="E1632" s="489"/>
      <c r="F1632" s="489"/>
      <c r="G1632" s="490"/>
      <c r="H1632" s="520"/>
      <c r="I1632" s="523"/>
      <c r="J1632" s="521"/>
      <c r="K1632" s="522"/>
      <c r="M1632" s="301" t="str">
        <f>N1632&amp;AS[[#This Row],[Insurer Code]]&amp;"; "&amp;O1632&amp;AS[[#This Row],[Reporting Year]]&amp;"; "&amp;P1632&amp;AS[[#This Row],[Insurance Category Code]]&amp;"; "&amp;Q1632&amp;AS[[#This Row],[Large Provider Entity Code]]&amp;"; "&amp;R1632&amp;AS[[#This Row],[Age Band Code]]&amp;"; "&amp;S1632&amp;AS[[#This Row],[Sex Code]]</f>
        <v xml:space="preserve">Insurer Code ; Reporting Year ; Insurance Category Code ; Large Provider Entity Code ; Age Band Code ; Sex Code </v>
      </c>
      <c r="N1632" s="297" t="s">
        <v>197</v>
      </c>
      <c r="O1632" s="297" t="s">
        <v>198</v>
      </c>
      <c r="P1632" s="297" t="s">
        <v>199</v>
      </c>
      <c r="Q1632" s="297" t="s">
        <v>200</v>
      </c>
      <c r="R1632" s="297" t="s">
        <v>213</v>
      </c>
      <c r="S1632" s="297" t="s">
        <v>214</v>
      </c>
    </row>
    <row r="1633" spans="1:19" x14ac:dyDescent="0.4">
      <c r="A1633" s="291"/>
      <c r="B1633" s="292"/>
      <c r="C1633" s="312"/>
      <c r="D1633" s="292"/>
      <c r="E1633" s="489"/>
      <c r="F1633" s="489"/>
      <c r="G1633" s="490"/>
      <c r="H1633" s="520"/>
      <c r="I1633" s="523"/>
      <c r="J1633" s="521"/>
      <c r="K1633" s="522"/>
      <c r="M1633" s="301" t="str">
        <f>N1633&amp;AS[[#This Row],[Insurer Code]]&amp;"; "&amp;O1633&amp;AS[[#This Row],[Reporting Year]]&amp;"; "&amp;P1633&amp;AS[[#This Row],[Insurance Category Code]]&amp;"; "&amp;Q1633&amp;AS[[#This Row],[Large Provider Entity Code]]&amp;"; "&amp;R1633&amp;AS[[#This Row],[Age Band Code]]&amp;"; "&amp;S1633&amp;AS[[#This Row],[Sex Code]]</f>
        <v xml:space="preserve">Insurer Code ; Reporting Year ; Insurance Category Code ; Large Provider Entity Code ; Age Band Code ; Sex Code </v>
      </c>
      <c r="N1633" s="297" t="s">
        <v>197</v>
      </c>
      <c r="O1633" s="297" t="s">
        <v>198</v>
      </c>
      <c r="P1633" s="297" t="s">
        <v>199</v>
      </c>
      <c r="Q1633" s="297" t="s">
        <v>200</v>
      </c>
      <c r="R1633" s="297" t="s">
        <v>213</v>
      </c>
      <c r="S1633" s="297" t="s">
        <v>214</v>
      </c>
    </row>
    <row r="1634" spans="1:19" x14ac:dyDescent="0.4">
      <c r="A1634" s="291"/>
      <c r="B1634" s="292"/>
      <c r="C1634" s="312"/>
      <c r="D1634" s="292"/>
      <c r="E1634" s="489"/>
      <c r="F1634" s="489"/>
      <c r="G1634" s="490"/>
      <c r="H1634" s="520"/>
      <c r="I1634" s="523"/>
      <c r="J1634" s="521"/>
      <c r="K1634" s="522"/>
      <c r="M1634" s="301" t="str">
        <f>N1634&amp;AS[[#This Row],[Insurer Code]]&amp;"; "&amp;O1634&amp;AS[[#This Row],[Reporting Year]]&amp;"; "&amp;P1634&amp;AS[[#This Row],[Insurance Category Code]]&amp;"; "&amp;Q1634&amp;AS[[#This Row],[Large Provider Entity Code]]&amp;"; "&amp;R1634&amp;AS[[#This Row],[Age Band Code]]&amp;"; "&amp;S1634&amp;AS[[#This Row],[Sex Code]]</f>
        <v xml:space="preserve">Insurer Code ; Reporting Year ; Insurance Category Code ; Large Provider Entity Code ; Age Band Code ; Sex Code </v>
      </c>
      <c r="N1634" s="297" t="s">
        <v>197</v>
      </c>
      <c r="O1634" s="297" t="s">
        <v>198</v>
      </c>
      <c r="P1634" s="297" t="s">
        <v>199</v>
      </c>
      <c r="Q1634" s="297" t="s">
        <v>200</v>
      </c>
      <c r="R1634" s="297" t="s">
        <v>213</v>
      </c>
      <c r="S1634" s="297" t="s">
        <v>214</v>
      </c>
    </row>
    <row r="1635" spans="1:19" x14ac:dyDescent="0.4">
      <c r="A1635" s="291"/>
      <c r="B1635" s="292"/>
      <c r="C1635" s="312"/>
      <c r="D1635" s="292"/>
      <c r="E1635" s="489"/>
      <c r="F1635" s="489"/>
      <c r="G1635" s="490"/>
      <c r="H1635" s="520"/>
      <c r="I1635" s="523"/>
      <c r="J1635" s="521"/>
      <c r="K1635" s="522"/>
      <c r="M1635" s="301" t="str">
        <f>N1635&amp;AS[[#This Row],[Insurer Code]]&amp;"; "&amp;O1635&amp;AS[[#This Row],[Reporting Year]]&amp;"; "&amp;P1635&amp;AS[[#This Row],[Insurance Category Code]]&amp;"; "&amp;Q1635&amp;AS[[#This Row],[Large Provider Entity Code]]&amp;"; "&amp;R1635&amp;AS[[#This Row],[Age Band Code]]&amp;"; "&amp;S1635&amp;AS[[#This Row],[Sex Code]]</f>
        <v xml:space="preserve">Insurer Code ; Reporting Year ; Insurance Category Code ; Large Provider Entity Code ; Age Band Code ; Sex Code </v>
      </c>
      <c r="N1635" s="297" t="s">
        <v>197</v>
      </c>
      <c r="O1635" s="297" t="s">
        <v>198</v>
      </c>
      <c r="P1635" s="297" t="s">
        <v>199</v>
      </c>
      <c r="Q1635" s="297" t="s">
        <v>200</v>
      </c>
      <c r="R1635" s="297" t="s">
        <v>213</v>
      </c>
      <c r="S1635" s="297" t="s">
        <v>214</v>
      </c>
    </row>
    <row r="1636" spans="1:19" x14ac:dyDescent="0.4">
      <c r="A1636" s="291"/>
      <c r="B1636" s="292"/>
      <c r="C1636" s="312"/>
      <c r="D1636" s="292"/>
      <c r="E1636" s="489"/>
      <c r="F1636" s="489"/>
      <c r="G1636" s="490"/>
      <c r="H1636" s="520"/>
      <c r="I1636" s="523"/>
      <c r="J1636" s="521"/>
      <c r="K1636" s="522"/>
      <c r="M1636" s="301" t="str">
        <f>N1636&amp;AS[[#This Row],[Insurer Code]]&amp;"; "&amp;O1636&amp;AS[[#This Row],[Reporting Year]]&amp;"; "&amp;P1636&amp;AS[[#This Row],[Insurance Category Code]]&amp;"; "&amp;Q1636&amp;AS[[#This Row],[Large Provider Entity Code]]&amp;"; "&amp;R1636&amp;AS[[#This Row],[Age Band Code]]&amp;"; "&amp;S1636&amp;AS[[#This Row],[Sex Code]]</f>
        <v xml:space="preserve">Insurer Code ; Reporting Year ; Insurance Category Code ; Large Provider Entity Code ; Age Band Code ; Sex Code </v>
      </c>
      <c r="N1636" s="297" t="s">
        <v>197</v>
      </c>
      <c r="O1636" s="297" t="s">
        <v>198</v>
      </c>
      <c r="P1636" s="297" t="s">
        <v>199</v>
      </c>
      <c r="Q1636" s="297" t="s">
        <v>200</v>
      </c>
      <c r="R1636" s="297" t="s">
        <v>213</v>
      </c>
      <c r="S1636" s="297" t="s">
        <v>214</v>
      </c>
    </row>
    <row r="1637" spans="1:19" x14ac:dyDescent="0.4">
      <c r="A1637" s="291"/>
      <c r="B1637" s="292"/>
      <c r="C1637" s="312"/>
      <c r="D1637" s="292"/>
      <c r="E1637" s="489"/>
      <c r="F1637" s="489"/>
      <c r="G1637" s="490"/>
      <c r="H1637" s="520"/>
      <c r="I1637" s="523"/>
      <c r="J1637" s="521"/>
      <c r="K1637" s="522"/>
      <c r="M1637" s="301" t="str">
        <f>N1637&amp;AS[[#This Row],[Insurer Code]]&amp;"; "&amp;O1637&amp;AS[[#This Row],[Reporting Year]]&amp;"; "&amp;P1637&amp;AS[[#This Row],[Insurance Category Code]]&amp;"; "&amp;Q1637&amp;AS[[#This Row],[Large Provider Entity Code]]&amp;"; "&amp;R1637&amp;AS[[#This Row],[Age Band Code]]&amp;"; "&amp;S1637&amp;AS[[#This Row],[Sex Code]]</f>
        <v xml:space="preserve">Insurer Code ; Reporting Year ; Insurance Category Code ; Large Provider Entity Code ; Age Band Code ; Sex Code </v>
      </c>
      <c r="N1637" s="297" t="s">
        <v>197</v>
      </c>
      <c r="O1637" s="297" t="s">
        <v>198</v>
      </c>
      <c r="P1637" s="297" t="s">
        <v>199</v>
      </c>
      <c r="Q1637" s="297" t="s">
        <v>200</v>
      </c>
      <c r="R1637" s="297" t="s">
        <v>213</v>
      </c>
      <c r="S1637" s="297" t="s">
        <v>214</v>
      </c>
    </row>
    <row r="1638" spans="1:19" x14ac:dyDescent="0.4">
      <c r="A1638" s="291"/>
      <c r="B1638" s="292"/>
      <c r="C1638" s="312"/>
      <c r="D1638" s="292"/>
      <c r="E1638" s="489"/>
      <c r="F1638" s="489"/>
      <c r="G1638" s="490"/>
      <c r="H1638" s="520"/>
      <c r="I1638" s="523"/>
      <c r="J1638" s="521"/>
      <c r="K1638" s="522"/>
      <c r="M1638" s="301" t="str">
        <f>N1638&amp;AS[[#This Row],[Insurer Code]]&amp;"; "&amp;O1638&amp;AS[[#This Row],[Reporting Year]]&amp;"; "&amp;P1638&amp;AS[[#This Row],[Insurance Category Code]]&amp;"; "&amp;Q1638&amp;AS[[#This Row],[Large Provider Entity Code]]&amp;"; "&amp;R1638&amp;AS[[#This Row],[Age Band Code]]&amp;"; "&amp;S1638&amp;AS[[#This Row],[Sex Code]]</f>
        <v xml:space="preserve">Insurer Code ; Reporting Year ; Insurance Category Code ; Large Provider Entity Code ; Age Band Code ; Sex Code </v>
      </c>
      <c r="N1638" s="297" t="s">
        <v>197</v>
      </c>
      <c r="O1638" s="297" t="s">
        <v>198</v>
      </c>
      <c r="P1638" s="297" t="s">
        <v>199</v>
      </c>
      <c r="Q1638" s="297" t="s">
        <v>200</v>
      </c>
      <c r="R1638" s="297" t="s">
        <v>213</v>
      </c>
      <c r="S1638" s="297" t="s">
        <v>214</v>
      </c>
    </row>
    <row r="1639" spans="1:19" x14ac:dyDescent="0.4">
      <c r="A1639" s="291"/>
      <c r="B1639" s="292"/>
      <c r="C1639" s="312"/>
      <c r="D1639" s="292"/>
      <c r="E1639" s="489"/>
      <c r="F1639" s="489"/>
      <c r="G1639" s="490"/>
      <c r="H1639" s="520"/>
      <c r="I1639" s="523"/>
      <c r="J1639" s="521"/>
      <c r="K1639" s="522"/>
      <c r="M1639" s="301" t="str">
        <f>N1639&amp;AS[[#This Row],[Insurer Code]]&amp;"; "&amp;O1639&amp;AS[[#This Row],[Reporting Year]]&amp;"; "&amp;P1639&amp;AS[[#This Row],[Insurance Category Code]]&amp;"; "&amp;Q1639&amp;AS[[#This Row],[Large Provider Entity Code]]&amp;"; "&amp;R1639&amp;AS[[#This Row],[Age Band Code]]&amp;"; "&amp;S1639&amp;AS[[#This Row],[Sex Code]]</f>
        <v xml:space="preserve">Insurer Code ; Reporting Year ; Insurance Category Code ; Large Provider Entity Code ; Age Band Code ; Sex Code </v>
      </c>
      <c r="N1639" s="297" t="s">
        <v>197</v>
      </c>
      <c r="O1639" s="297" t="s">
        <v>198</v>
      </c>
      <c r="P1639" s="297" t="s">
        <v>199</v>
      </c>
      <c r="Q1639" s="297" t="s">
        <v>200</v>
      </c>
      <c r="R1639" s="297" t="s">
        <v>213</v>
      </c>
      <c r="S1639" s="297" t="s">
        <v>214</v>
      </c>
    </row>
    <row r="1640" spans="1:19" x14ac:dyDescent="0.4">
      <c r="A1640" s="291"/>
      <c r="B1640" s="292"/>
      <c r="C1640" s="312"/>
      <c r="D1640" s="292"/>
      <c r="E1640" s="489"/>
      <c r="F1640" s="489"/>
      <c r="G1640" s="490"/>
      <c r="H1640" s="520"/>
      <c r="I1640" s="523"/>
      <c r="J1640" s="521"/>
      <c r="K1640" s="522"/>
      <c r="M1640" s="301" t="str">
        <f>N1640&amp;AS[[#This Row],[Insurer Code]]&amp;"; "&amp;O1640&amp;AS[[#This Row],[Reporting Year]]&amp;"; "&amp;P1640&amp;AS[[#This Row],[Insurance Category Code]]&amp;"; "&amp;Q1640&amp;AS[[#This Row],[Large Provider Entity Code]]&amp;"; "&amp;R1640&amp;AS[[#This Row],[Age Band Code]]&amp;"; "&amp;S1640&amp;AS[[#This Row],[Sex Code]]</f>
        <v xml:space="preserve">Insurer Code ; Reporting Year ; Insurance Category Code ; Large Provider Entity Code ; Age Band Code ; Sex Code </v>
      </c>
      <c r="N1640" s="297" t="s">
        <v>197</v>
      </c>
      <c r="O1640" s="297" t="s">
        <v>198</v>
      </c>
      <c r="P1640" s="297" t="s">
        <v>199</v>
      </c>
      <c r="Q1640" s="297" t="s">
        <v>200</v>
      </c>
      <c r="R1640" s="297" t="s">
        <v>213</v>
      </c>
      <c r="S1640" s="297" t="s">
        <v>214</v>
      </c>
    </row>
    <row r="1641" spans="1:19" x14ac:dyDescent="0.4">
      <c r="A1641" s="291"/>
      <c r="B1641" s="292"/>
      <c r="C1641" s="312"/>
      <c r="D1641" s="292"/>
      <c r="E1641" s="489"/>
      <c r="F1641" s="489"/>
      <c r="G1641" s="490"/>
      <c r="H1641" s="520"/>
      <c r="I1641" s="523"/>
      <c r="J1641" s="521"/>
      <c r="K1641" s="522"/>
      <c r="M1641" s="301" t="str">
        <f>N1641&amp;AS[[#This Row],[Insurer Code]]&amp;"; "&amp;O1641&amp;AS[[#This Row],[Reporting Year]]&amp;"; "&amp;P1641&amp;AS[[#This Row],[Insurance Category Code]]&amp;"; "&amp;Q1641&amp;AS[[#This Row],[Large Provider Entity Code]]&amp;"; "&amp;R1641&amp;AS[[#This Row],[Age Band Code]]&amp;"; "&amp;S1641&amp;AS[[#This Row],[Sex Code]]</f>
        <v xml:space="preserve">Insurer Code ; Reporting Year ; Insurance Category Code ; Large Provider Entity Code ; Age Band Code ; Sex Code </v>
      </c>
      <c r="N1641" s="297" t="s">
        <v>197</v>
      </c>
      <c r="O1641" s="297" t="s">
        <v>198</v>
      </c>
      <c r="P1641" s="297" t="s">
        <v>199</v>
      </c>
      <c r="Q1641" s="297" t="s">
        <v>200</v>
      </c>
      <c r="R1641" s="297" t="s">
        <v>213</v>
      </c>
      <c r="S1641" s="297" t="s">
        <v>214</v>
      </c>
    </row>
    <row r="1642" spans="1:19" x14ac:dyDescent="0.4">
      <c r="A1642" s="291"/>
      <c r="B1642" s="292"/>
      <c r="C1642" s="312"/>
      <c r="D1642" s="292"/>
      <c r="E1642" s="489"/>
      <c r="F1642" s="489"/>
      <c r="G1642" s="490"/>
      <c r="H1642" s="520"/>
      <c r="I1642" s="523"/>
      <c r="J1642" s="521"/>
      <c r="K1642" s="522"/>
      <c r="M1642" s="301" t="str">
        <f>N1642&amp;AS[[#This Row],[Insurer Code]]&amp;"; "&amp;O1642&amp;AS[[#This Row],[Reporting Year]]&amp;"; "&amp;P1642&amp;AS[[#This Row],[Insurance Category Code]]&amp;"; "&amp;Q1642&amp;AS[[#This Row],[Large Provider Entity Code]]&amp;"; "&amp;R1642&amp;AS[[#This Row],[Age Band Code]]&amp;"; "&amp;S1642&amp;AS[[#This Row],[Sex Code]]</f>
        <v xml:space="preserve">Insurer Code ; Reporting Year ; Insurance Category Code ; Large Provider Entity Code ; Age Band Code ; Sex Code </v>
      </c>
      <c r="N1642" s="297" t="s">
        <v>197</v>
      </c>
      <c r="O1642" s="297" t="s">
        <v>198</v>
      </c>
      <c r="P1642" s="297" t="s">
        <v>199</v>
      </c>
      <c r="Q1642" s="297" t="s">
        <v>200</v>
      </c>
      <c r="R1642" s="297" t="s">
        <v>213</v>
      </c>
      <c r="S1642" s="297" t="s">
        <v>214</v>
      </c>
    </row>
    <row r="1643" spans="1:19" x14ac:dyDescent="0.4">
      <c r="A1643" s="291"/>
      <c r="B1643" s="292"/>
      <c r="C1643" s="312"/>
      <c r="D1643" s="292"/>
      <c r="E1643" s="489"/>
      <c r="F1643" s="489"/>
      <c r="G1643" s="490"/>
      <c r="H1643" s="520"/>
      <c r="I1643" s="523"/>
      <c r="J1643" s="521"/>
      <c r="K1643" s="522"/>
      <c r="M1643" s="301" t="str">
        <f>N1643&amp;AS[[#This Row],[Insurer Code]]&amp;"; "&amp;O1643&amp;AS[[#This Row],[Reporting Year]]&amp;"; "&amp;P1643&amp;AS[[#This Row],[Insurance Category Code]]&amp;"; "&amp;Q1643&amp;AS[[#This Row],[Large Provider Entity Code]]&amp;"; "&amp;R1643&amp;AS[[#This Row],[Age Band Code]]&amp;"; "&amp;S1643&amp;AS[[#This Row],[Sex Code]]</f>
        <v xml:space="preserve">Insurer Code ; Reporting Year ; Insurance Category Code ; Large Provider Entity Code ; Age Band Code ; Sex Code </v>
      </c>
      <c r="N1643" s="297" t="s">
        <v>197</v>
      </c>
      <c r="O1643" s="297" t="s">
        <v>198</v>
      </c>
      <c r="P1643" s="297" t="s">
        <v>199</v>
      </c>
      <c r="Q1643" s="297" t="s">
        <v>200</v>
      </c>
      <c r="R1643" s="297" t="s">
        <v>213</v>
      </c>
      <c r="S1643" s="297" t="s">
        <v>214</v>
      </c>
    </row>
    <row r="1644" spans="1:19" x14ac:dyDescent="0.4">
      <c r="A1644" s="291"/>
      <c r="B1644" s="292"/>
      <c r="C1644" s="312"/>
      <c r="D1644" s="292"/>
      <c r="E1644" s="489"/>
      <c r="F1644" s="489"/>
      <c r="G1644" s="490"/>
      <c r="H1644" s="520"/>
      <c r="I1644" s="523"/>
      <c r="J1644" s="521"/>
      <c r="K1644" s="522"/>
      <c r="M1644" s="301" t="str">
        <f>N1644&amp;AS[[#This Row],[Insurer Code]]&amp;"; "&amp;O1644&amp;AS[[#This Row],[Reporting Year]]&amp;"; "&amp;P1644&amp;AS[[#This Row],[Insurance Category Code]]&amp;"; "&amp;Q1644&amp;AS[[#This Row],[Large Provider Entity Code]]&amp;"; "&amp;R1644&amp;AS[[#This Row],[Age Band Code]]&amp;"; "&amp;S1644&amp;AS[[#This Row],[Sex Code]]</f>
        <v xml:space="preserve">Insurer Code ; Reporting Year ; Insurance Category Code ; Large Provider Entity Code ; Age Band Code ; Sex Code </v>
      </c>
      <c r="N1644" s="297" t="s">
        <v>197</v>
      </c>
      <c r="O1644" s="297" t="s">
        <v>198</v>
      </c>
      <c r="P1644" s="297" t="s">
        <v>199</v>
      </c>
      <c r="Q1644" s="297" t="s">
        <v>200</v>
      </c>
      <c r="R1644" s="297" t="s">
        <v>213</v>
      </c>
      <c r="S1644" s="297" t="s">
        <v>214</v>
      </c>
    </row>
    <row r="1645" spans="1:19" x14ac:dyDescent="0.4">
      <c r="A1645" s="291"/>
      <c r="B1645" s="292"/>
      <c r="C1645" s="312"/>
      <c r="D1645" s="292"/>
      <c r="E1645" s="489"/>
      <c r="F1645" s="489"/>
      <c r="G1645" s="490"/>
      <c r="H1645" s="520"/>
      <c r="I1645" s="523"/>
      <c r="J1645" s="521"/>
      <c r="K1645" s="522"/>
      <c r="M1645" s="301" t="str">
        <f>N1645&amp;AS[[#This Row],[Insurer Code]]&amp;"; "&amp;O1645&amp;AS[[#This Row],[Reporting Year]]&amp;"; "&amp;P1645&amp;AS[[#This Row],[Insurance Category Code]]&amp;"; "&amp;Q1645&amp;AS[[#This Row],[Large Provider Entity Code]]&amp;"; "&amp;R1645&amp;AS[[#This Row],[Age Band Code]]&amp;"; "&amp;S1645&amp;AS[[#This Row],[Sex Code]]</f>
        <v xml:space="preserve">Insurer Code ; Reporting Year ; Insurance Category Code ; Large Provider Entity Code ; Age Band Code ; Sex Code </v>
      </c>
      <c r="N1645" s="297" t="s">
        <v>197</v>
      </c>
      <c r="O1645" s="297" t="s">
        <v>198</v>
      </c>
      <c r="P1645" s="297" t="s">
        <v>199</v>
      </c>
      <c r="Q1645" s="297" t="s">
        <v>200</v>
      </c>
      <c r="R1645" s="297" t="s">
        <v>213</v>
      </c>
      <c r="S1645" s="297" t="s">
        <v>214</v>
      </c>
    </row>
    <row r="1646" spans="1:19" x14ac:dyDescent="0.4">
      <c r="A1646" s="291"/>
      <c r="B1646" s="292"/>
      <c r="C1646" s="312"/>
      <c r="D1646" s="292"/>
      <c r="E1646" s="489"/>
      <c r="F1646" s="489"/>
      <c r="G1646" s="490"/>
      <c r="H1646" s="520"/>
      <c r="I1646" s="523"/>
      <c r="J1646" s="521"/>
      <c r="K1646" s="522"/>
      <c r="M1646" s="301" t="str">
        <f>N1646&amp;AS[[#This Row],[Insurer Code]]&amp;"; "&amp;O1646&amp;AS[[#This Row],[Reporting Year]]&amp;"; "&amp;P1646&amp;AS[[#This Row],[Insurance Category Code]]&amp;"; "&amp;Q1646&amp;AS[[#This Row],[Large Provider Entity Code]]&amp;"; "&amp;R1646&amp;AS[[#This Row],[Age Band Code]]&amp;"; "&amp;S1646&amp;AS[[#This Row],[Sex Code]]</f>
        <v xml:space="preserve">Insurer Code ; Reporting Year ; Insurance Category Code ; Large Provider Entity Code ; Age Band Code ; Sex Code </v>
      </c>
      <c r="N1646" s="297" t="s">
        <v>197</v>
      </c>
      <c r="O1646" s="297" t="s">
        <v>198</v>
      </c>
      <c r="P1646" s="297" t="s">
        <v>199</v>
      </c>
      <c r="Q1646" s="297" t="s">
        <v>200</v>
      </c>
      <c r="R1646" s="297" t="s">
        <v>213</v>
      </c>
      <c r="S1646" s="297" t="s">
        <v>214</v>
      </c>
    </row>
    <row r="1647" spans="1:19" x14ac:dyDescent="0.4">
      <c r="A1647" s="291"/>
      <c r="B1647" s="292"/>
      <c r="C1647" s="312"/>
      <c r="D1647" s="292"/>
      <c r="E1647" s="489"/>
      <c r="F1647" s="489"/>
      <c r="G1647" s="490"/>
      <c r="H1647" s="520"/>
      <c r="I1647" s="523"/>
      <c r="J1647" s="521"/>
      <c r="K1647" s="522"/>
      <c r="M1647" s="301" t="str">
        <f>N1647&amp;AS[[#This Row],[Insurer Code]]&amp;"; "&amp;O1647&amp;AS[[#This Row],[Reporting Year]]&amp;"; "&amp;P1647&amp;AS[[#This Row],[Insurance Category Code]]&amp;"; "&amp;Q1647&amp;AS[[#This Row],[Large Provider Entity Code]]&amp;"; "&amp;R1647&amp;AS[[#This Row],[Age Band Code]]&amp;"; "&amp;S1647&amp;AS[[#This Row],[Sex Code]]</f>
        <v xml:space="preserve">Insurer Code ; Reporting Year ; Insurance Category Code ; Large Provider Entity Code ; Age Band Code ; Sex Code </v>
      </c>
      <c r="N1647" s="297" t="s">
        <v>197</v>
      </c>
      <c r="O1647" s="297" t="s">
        <v>198</v>
      </c>
      <c r="P1647" s="297" t="s">
        <v>199</v>
      </c>
      <c r="Q1647" s="297" t="s">
        <v>200</v>
      </c>
      <c r="R1647" s="297" t="s">
        <v>213</v>
      </c>
      <c r="S1647" s="297" t="s">
        <v>214</v>
      </c>
    </row>
    <row r="1648" spans="1:19" x14ac:dyDescent="0.4">
      <c r="A1648" s="291"/>
      <c r="B1648" s="292"/>
      <c r="C1648" s="312"/>
      <c r="D1648" s="292"/>
      <c r="E1648" s="489"/>
      <c r="F1648" s="489"/>
      <c r="G1648" s="490"/>
      <c r="H1648" s="520"/>
      <c r="I1648" s="523"/>
      <c r="J1648" s="521"/>
      <c r="K1648" s="522"/>
      <c r="M1648" s="301" t="str">
        <f>N1648&amp;AS[[#This Row],[Insurer Code]]&amp;"; "&amp;O1648&amp;AS[[#This Row],[Reporting Year]]&amp;"; "&amp;P1648&amp;AS[[#This Row],[Insurance Category Code]]&amp;"; "&amp;Q1648&amp;AS[[#This Row],[Large Provider Entity Code]]&amp;"; "&amp;R1648&amp;AS[[#This Row],[Age Band Code]]&amp;"; "&amp;S1648&amp;AS[[#This Row],[Sex Code]]</f>
        <v xml:space="preserve">Insurer Code ; Reporting Year ; Insurance Category Code ; Large Provider Entity Code ; Age Band Code ; Sex Code </v>
      </c>
      <c r="N1648" s="297" t="s">
        <v>197</v>
      </c>
      <c r="O1648" s="297" t="s">
        <v>198</v>
      </c>
      <c r="P1648" s="297" t="s">
        <v>199</v>
      </c>
      <c r="Q1648" s="297" t="s">
        <v>200</v>
      </c>
      <c r="R1648" s="297" t="s">
        <v>213</v>
      </c>
      <c r="S1648" s="297" t="s">
        <v>214</v>
      </c>
    </row>
    <row r="1649" spans="1:19" x14ac:dyDescent="0.4">
      <c r="A1649" s="291"/>
      <c r="B1649" s="292"/>
      <c r="C1649" s="312"/>
      <c r="D1649" s="292"/>
      <c r="E1649" s="489"/>
      <c r="F1649" s="489"/>
      <c r="G1649" s="490"/>
      <c r="H1649" s="520"/>
      <c r="I1649" s="523"/>
      <c r="J1649" s="521"/>
      <c r="K1649" s="522"/>
      <c r="M1649" s="301" t="str">
        <f>N1649&amp;AS[[#This Row],[Insurer Code]]&amp;"; "&amp;O1649&amp;AS[[#This Row],[Reporting Year]]&amp;"; "&amp;P1649&amp;AS[[#This Row],[Insurance Category Code]]&amp;"; "&amp;Q1649&amp;AS[[#This Row],[Large Provider Entity Code]]&amp;"; "&amp;R1649&amp;AS[[#This Row],[Age Band Code]]&amp;"; "&amp;S1649&amp;AS[[#This Row],[Sex Code]]</f>
        <v xml:space="preserve">Insurer Code ; Reporting Year ; Insurance Category Code ; Large Provider Entity Code ; Age Band Code ; Sex Code </v>
      </c>
      <c r="N1649" s="297" t="s">
        <v>197</v>
      </c>
      <c r="O1649" s="297" t="s">
        <v>198</v>
      </c>
      <c r="P1649" s="297" t="s">
        <v>199</v>
      </c>
      <c r="Q1649" s="297" t="s">
        <v>200</v>
      </c>
      <c r="R1649" s="297" t="s">
        <v>213</v>
      </c>
      <c r="S1649" s="297" t="s">
        <v>214</v>
      </c>
    </row>
    <row r="1650" spans="1:19" x14ac:dyDescent="0.4">
      <c r="A1650" s="291"/>
      <c r="B1650" s="292"/>
      <c r="C1650" s="312"/>
      <c r="D1650" s="292"/>
      <c r="E1650" s="489"/>
      <c r="F1650" s="489"/>
      <c r="G1650" s="490"/>
      <c r="H1650" s="520"/>
      <c r="I1650" s="523"/>
      <c r="J1650" s="521"/>
      <c r="K1650" s="522"/>
      <c r="M1650" s="301" t="str">
        <f>N1650&amp;AS[[#This Row],[Insurer Code]]&amp;"; "&amp;O1650&amp;AS[[#This Row],[Reporting Year]]&amp;"; "&amp;P1650&amp;AS[[#This Row],[Insurance Category Code]]&amp;"; "&amp;Q1650&amp;AS[[#This Row],[Large Provider Entity Code]]&amp;"; "&amp;R1650&amp;AS[[#This Row],[Age Band Code]]&amp;"; "&amp;S1650&amp;AS[[#This Row],[Sex Code]]</f>
        <v xml:space="preserve">Insurer Code ; Reporting Year ; Insurance Category Code ; Large Provider Entity Code ; Age Band Code ; Sex Code </v>
      </c>
      <c r="N1650" s="297" t="s">
        <v>197</v>
      </c>
      <c r="O1650" s="297" t="s">
        <v>198</v>
      </c>
      <c r="P1650" s="297" t="s">
        <v>199</v>
      </c>
      <c r="Q1650" s="297" t="s">
        <v>200</v>
      </c>
      <c r="R1650" s="297" t="s">
        <v>213</v>
      </c>
      <c r="S1650" s="297" t="s">
        <v>214</v>
      </c>
    </row>
    <row r="1651" spans="1:19" x14ac:dyDescent="0.4">
      <c r="A1651" s="291"/>
      <c r="B1651" s="292"/>
      <c r="C1651" s="312"/>
      <c r="D1651" s="292"/>
      <c r="E1651" s="489"/>
      <c r="F1651" s="489"/>
      <c r="G1651" s="490"/>
      <c r="H1651" s="520"/>
      <c r="I1651" s="523"/>
      <c r="J1651" s="521"/>
      <c r="K1651" s="522"/>
      <c r="M1651" s="301" t="str">
        <f>N1651&amp;AS[[#This Row],[Insurer Code]]&amp;"; "&amp;O1651&amp;AS[[#This Row],[Reporting Year]]&amp;"; "&amp;P1651&amp;AS[[#This Row],[Insurance Category Code]]&amp;"; "&amp;Q1651&amp;AS[[#This Row],[Large Provider Entity Code]]&amp;"; "&amp;R1651&amp;AS[[#This Row],[Age Band Code]]&amp;"; "&amp;S1651&amp;AS[[#This Row],[Sex Code]]</f>
        <v xml:space="preserve">Insurer Code ; Reporting Year ; Insurance Category Code ; Large Provider Entity Code ; Age Band Code ; Sex Code </v>
      </c>
      <c r="N1651" s="297" t="s">
        <v>197</v>
      </c>
      <c r="O1651" s="297" t="s">
        <v>198</v>
      </c>
      <c r="P1651" s="297" t="s">
        <v>199</v>
      </c>
      <c r="Q1651" s="297" t="s">
        <v>200</v>
      </c>
      <c r="R1651" s="297" t="s">
        <v>213</v>
      </c>
      <c r="S1651" s="297" t="s">
        <v>214</v>
      </c>
    </row>
    <row r="1652" spans="1:19" x14ac:dyDescent="0.4">
      <c r="A1652" s="291"/>
      <c r="B1652" s="292"/>
      <c r="C1652" s="312"/>
      <c r="D1652" s="292"/>
      <c r="E1652" s="489"/>
      <c r="F1652" s="489"/>
      <c r="G1652" s="490"/>
      <c r="H1652" s="520"/>
      <c r="I1652" s="523"/>
      <c r="J1652" s="521"/>
      <c r="K1652" s="522"/>
      <c r="M1652" s="301" t="str">
        <f>N1652&amp;AS[[#This Row],[Insurer Code]]&amp;"; "&amp;O1652&amp;AS[[#This Row],[Reporting Year]]&amp;"; "&amp;P1652&amp;AS[[#This Row],[Insurance Category Code]]&amp;"; "&amp;Q1652&amp;AS[[#This Row],[Large Provider Entity Code]]&amp;"; "&amp;R1652&amp;AS[[#This Row],[Age Band Code]]&amp;"; "&amp;S1652&amp;AS[[#This Row],[Sex Code]]</f>
        <v xml:space="preserve">Insurer Code ; Reporting Year ; Insurance Category Code ; Large Provider Entity Code ; Age Band Code ; Sex Code </v>
      </c>
      <c r="N1652" s="297" t="s">
        <v>197</v>
      </c>
      <c r="O1652" s="297" t="s">
        <v>198</v>
      </c>
      <c r="P1652" s="297" t="s">
        <v>199</v>
      </c>
      <c r="Q1652" s="297" t="s">
        <v>200</v>
      </c>
      <c r="R1652" s="297" t="s">
        <v>213</v>
      </c>
      <c r="S1652" s="297" t="s">
        <v>214</v>
      </c>
    </row>
    <row r="1653" spans="1:19" x14ac:dyDescent="0.4">
      <c r="A1653" s="291"/>
      <c r="B1653" s="292"/>
      <c r="C1653" s="312"/>
      <c r="D1653" s="292"/>
      <c r="E1653" s="489"/>
      <c r="F1653" s="489"/>
      <c r="G1653" s="490"/>
      <c r="H1653" s="520"/>
      <c r="I1653" s="523"/>
      <c r="J1653" s="521"/>
      <c r="K1653" s="522"/>
      <c r="M1653" s="301" t="str">
        <f>N1653&amp;AS[[#This Row],[Insurer Code]]&amp;"; "&amp;O1653&amp;AS[[#This Row],[Reporting Year]]&amp;"; "&amp;P1653&amp;AS[[#This Row],[Insurance Category Code]]&amp;"; "&amp;Q1653&amp;AS[[#This Row],[Large Provider Entity Code]]&amp;"; "&amp;R1653&amp;AS[[#This Row],[Age Band Code]]&amp;"; "&amp;S1653&amp;AS[[#This Row],[Sex Code]]</f>
        <v xml:space="preserve">Insurer Code ; Reporting Year ; Insurance Category Code ; Large Provider Entity Code ; Age Band Code ; Sex Code </v>
      </c>
      <c r="N1653" s="297" t="s">
        <v>197</v>
      </c>
      <c r="O1653" s="297" t="s">
        <v>198</v>
      </c>
      <c r="P1653" s="297" t="s">
        <v>199</v>
      </c>
      <c r="Q1653" s="297" t="s">
        <v>200</v>
      </c>
      <c r="R1653" s="297" t="s">
        <v>213</v>
      </c>
      <c r="S1653" s="297" t="s">
        <v>214</v>
      </c>
    </row>
    <row r="1654" spans="1:19" x14ac:dyDescent="0.4">
      <c r="A1654" s="291"/>
      <c r="B1654" s="292"/>
      <c r="C1654" s="312"/>
      <c r="D1654" s="292"/>
      <c r="E1654" s="489"/>
      <c r="F1654" s="489"/>
      <c r="G1654" s="490"/>
      <c r="H1654" s="520"/>
      <c r="I1654" s="523"/>
      <c r="J1654" s="521"/>
      <c r="K1654" s="522"/>
      <c r="M1654" s="301" t="str">
        <f>N1654&amp;AS[[#This Row],[Insurer Code]]&amp;"; "&amp;O1654&amp;AS[[#This Row],[Reporting Year]]&amp;"; "&amp;P1654&amp;AS[[#This Row],[Insurance Category Code]]&amp;"; "&amp;Q1654&amp;AS[[#This Row],[Large Provider Entity Code]]&amp;"; "&amp;R1654&amp;AS[[#This Row],[Age Band Code]]&amp;"; "&amp;S1654&amp;AS[[#This Row],[Sex Code]]</f>
        <v xml:space="preserve">Insurer Code ; Reporting Year ; Insurance Category Code ; Large Provider Entity Code ; Age Band Code ; Sex Code </v>
      </c>
      <c r="N1654" s="297" t="s">
        <v>197</v>
      </c>
      <c r="O1654" s="297" t="s">
        <v>198</v>
      </c>
      <c r="P1654" s="297" t="s">
        <v>199</v>
      </c>
      <c r="Q1654" s="297" t="s">
        <v>200</v>
      </c>
      <c r="R1654" s="297" t="s">
        <v>213</v>
      </c>
      <c r="S1654" s="297" t="s">
        <v>214</v>
      </c>
    </row>
    <row r="1655" spans="1:19" x14ac:dyDescent="0.4">
      <c r="A1655" s="291"/>
      <c r="B1655" s="292"/>
      <c r="C1655" s="312"/>
      <c r="D1655" s="292"/>
      <c r="E1655" s="489"/>
      <c r="F1655" s="489"/>
      <c r="G1655" s="490"/>
      <c r="H1655" s="520"/>
      <c r="I1655" s="523"/>
      <c r="J1655" s="521"/>
      <c r="K1655" s="522"/>
      <c r="M1655" s="301" t="str">
        <f>N1655&amp;AS[[#This Row],[Insurer Code]]&amp;"; "&amp;O1655&amp;AS[[#This Row],[Reporting Year]]&amp;"; "&amp;P1655&amp;AS[[#This Row],[Insurance Category Code]]&amp;"; "&amp;Q1655&amp;AS[[#This Row],[Large Provider Entity Code]]&amp;"; "&amp;R1655&amp;AS[[#This Row],[Age Band Code]]&amp;"; "&amp;S1655&amp;AS[[#This Row],[Sex Code]]</f>
        <v xml:space="preserve">Insurer Code ; Reporting Year ; Insurance Category Code ; Large Provider Entity Code ; Age Band Code ; Sex Code </v>
      </c>
      <c r="N1655" s="297" t="s">
        <v>197</v>
      </c>
      <c r="O1655" s="297" t="s">
        <v>198</v>
      </c>
      <c r="P1655" s="297" t="s">
        <v>199</v>
      </c>
      <c r="Q1655" s="297" t="s">
        <v>200</v>
      </c>
      <c r="R1655" s="297" t="s">
        <v>213</v>
      </c>
      <c r="S1655" s="297" t="s">
        <v>214</v>
      </c>
    </row>
    <row r="1656" spans="1:19" x14ac:dyDescent="0.4">
      <c r="A1656" s="291"/>
      <c r="B1656" s="292"/>
      <c r="C1656" s="312"/>
      <c r="D1656" s="292"/>
      <c r="E1656" s="489"/>
      <c r="F1656" s="489"/>
      <c r="G1656" s="490"/>
      <c r="H1656" s="520"/>
      <c r="I1656" s="523"/>
      <c r="J1656" s="521"/>
      <c r="K1656" s="522"/>
      <c r="M1656" s="301" t="str">
        <f>N1656&amp;AS[[#This Row],[Insurer Code]]&amp;"; "&amp;O1656&amp;AS[[#This Row],[Reporting Year]]&amp;"; "&amp;P1656&amp;AS[[#This Row],[Insurance Category Code]]&amp;"; "&amp;Q1656&amp;AS[[#This Row],[Large Provider Entity Code]]&amp;"; "&amp;R1656&amp;AS[[#This Row],[Age Band Code]]&amp;"; "&amp;S1656&amp;AS[[#This Row],[Sex Code]]</f>
        <v xml:space="preserve">Insurer Code ; Reporting Year ; Insurance Category Code ; Large Provider Entity Code ; Age Band Code ; Sex Code </v>
      </c>
      <c r="N1656" s="297" t="s">
        <v>197</v>
      </c>
      <c r="O1656" s="297" t="s">
        <v>198</v>
      </c>
      <c r="P1656" s="297" t="s">
        <v>199</v>
      </c>
      <c r="Q1656" s="297" t="s">
        <v>200</v>
      </c>
      <c r="R1656" s="297" t="s">
        <v>213</v>
      </c>
      <c r="S1656" s="297" t="s">
        <v>214</v>
      </c>
    </row>
    <row r="1657" spans="1:19" x14ac:dyDescent="0.4">
      <c r="A1657" s="291"/>
      <c r="B1657" s="292"/>
      <c r="C1657" s="312"/>
      <c r="D1657" s="292"/>
      <c r="E1657" s="489"/>
      <c r="F1657" s="489"/>
      <c r="G1657" s="490"/>
      <c r="H1657" s="520"/>
      <c r="I1657" s="523"/>
      <c r="J1657" s="521"/>
      <c r="K1657" s="522"/>
      <c r="M1657" s="301" t="str">
        <f>N1657&amp;AS[[#This Row],[Insurer Code]]&amp;"; "&amp;O1657&amp;AS[[#This Row],[Reporting Year]]&amp;"; "&amp;P1657&amp;AS[[#This Row],[Insurance Category Code]]&amp;"; "&amp;Q1657&amp;AS[[#This Row],[Large Provider Entity Code]]&amp;"; "&amp;R1657&amp;AS[[#This Row],[Age Band Code]]&amp;"; "&amp;S1657&amp;AS[[#This Row],[Sex Code]]</f>
        <v xml:space="preserve">Insurer Code ; Reporting Year ; Insurance Category Code ; Large Provider Entity Code ; Age Band Code ; Sex Code </v>
      </c>
      <c r="N1657" s="297" t="s">
        <v>197</v>
      </c>
      <c r="O1657" s="297" t="s">
        <v>198</v>
      </c>
      <c r="P1657" s="297" t="s">
        <v>199</v>
      </c>
      <c r="Q1657" s="297" t="s">
        <v>200</v>
      </c>
      <c r="R1657" s="297" t="s">
        <v>213</v>
      </c>
      <c r="S1657" s="297" t="s">
        <v>214</v>
      </c>
    </row>
    <row r="1658" spans="1:19" x14ac:dyDescent="0.4">
      <c r="A1658" s="291"/>
      <c r="B1658" s="292"/>
      <c r="C1658" s="312"/>
      <c r="D1658" s="292"/>
      <c r="E1658" s="489"/>
      <c r="F1658" s="489"/>
      <c r="G1658" s="490"/>
      <c r="H1658" s="520"/>
      <c r="I1658" s="523"/>
      <c r="J1658" s="521"/>
      <c r="K1658" s="522"/>
      <c r="M1658" s="301" t="str">
        <f>N1658&amp;AS[[#This Row],[Insurer Code]]&amp;"; "&amp;O1658&amp;AS[[#This Row],[Reporting Year]]&amp;"; "&amp;P1658&amp;AS[[#This Row],[Insurance Category Code]]&amp;"; "&amp;Q1658&amp;AS[[#This Row],[Large Provider Entity Code]]&amp;"; "&amp;R1658&amp;AS[[#This Row],[Age Band Code]]&amp;"; "&amp;S1658&amp;AS[[#This Row],[Sex Code]]</f>
        <v xml:space="preserve">Insurer Code ; Reporting Year ; Insurance Category Code ; Large Provider Entity Code ; Age Band Code ; Sex Code </v>
      </c>
      <c r="N1658" s="297" t="s">
        <v>197</v>
      </c>
      <c r="O1658" s="297" t="s">
        <v>198</v>
      </c>
      <c r="P1658" s="297" t="s">
        <v>199</v>
      </c>
      <c r="Q1658" s="297" t="s">
        <v>200</v>
      </c>
      <c r="R1658" s="297" t="s">
        <v>213</v>
      </c>
      <c r="S1658" s="297" t="s">
        <v>214</v>
      </c>
    </row>
    <row r="1659" spans="1:19" x14ac:dyDescent="0.4">
      <c r="A1659" s="291"/>
      <c r="B1659" s="292"/>
      <c r="C1659" s="312"/>
      <c r="D1659" s="292"/>
      <c r="E1659" s="489"/>
      <c r="F1659" s="489"/>
      <c r="G1659" s="490"/>
      <c r="H1659" s="520"/>
      <c r="I1659" s="523"/>
      <c r="J1659" s="521"/>
      <c r="K1659" s="522"/>
      <c r="M1659" s="301" t="str">
        <f>N1659&amp;AS[[#This Row],[Insurer Code]]&amp;"; "&amp;O1659&amp;AS[[#This Row],[Reporting Year]]&amp;"; "&amp;P1659&amp;AS[[#This Row],[Insurance Category Code]]&amp;"; "&amp;Q1659&amp;AS[[#This Row],[Large Provider Entity Code]]&amp;"; "&amp;R1659&amp;AS[[#This Row],[Age Band Code]]&amp;"; "&amp;S1659&amp;AS[[#This Row],[Sex Code]]</f>
        <v xml:space="preserve">Insurer Code ; Reporting Year ; Insurance Category Code ; Large Provider Entity Code ; Age Band Code ; Sex Code </v>
      </c>
      <c r="N1659" s="297" t="s">
        <v>197</v>
      </c>
      <c r="O1659" s="297" t="s">
        <v>198</v>
      </c>
      <c r="P1659" s="297" t="s">
        <v>199</v>
      </c>
      <c r="Q1659" s="297" t="s">
        <v>200</v>
      </c>
      <c r="R1659" s="297" t="s">
        <v>213</v>
      </c>
      <c r="S1659" s="297" t="s">
        <v>214</v>
      </c>
    </row>
    <row r="1660" spans="1:19" x14ac:dyDescent="0.4">
      <c r="A1660" s="291"/>
      <c r="B1660" s="292"/>
      <c r="C1660" s="312"/>
      <c r="D1660" s="292"/>
      <c r="E1660" s="489"/>
      <c r="F1660" s="489"/>
      <c r="G1660" s="490"/>
      <c r="H1660" s="520"/>
      <c r="I1660" s="523"/>
      <c r="J1660" s="521"/>
      <c r="K1660" s="522"/>
      <c r="M1660" s="301" t="str">
        <f>N1660&amp;AS[[#This Row],[Insurer Code]]&amp;"; "&amp;O1660&amp;AS[[#This Row],[Reporting Year]]&amp;"; "&amp;P1660&amp;AS[[#This Row],[Insurance Category Code]]&amp;"; "&amp;Q1660&amp;AS[[#This Row],[Large Provider Entity Code]]&amp;"; "&amp;R1660&amp;AS[[#This Row],[Age Band Code]]&amp;"; "&amp;S1660&amp;AS[[#This Row],[Sex Code]]</f>
        <v xml:space="preserve">Insurer Code ; Reporting Year ; Insurance Category Code ; Large Provider Entity Code ; Age Band Code ; Sex Code </v>
      </c>
      <c r="N1660" s="297" t="s">
        <v>197</v>
      </c>
      <c r="O1660" s="297" t="s">
        <v>198</v>
      </c>
      <c r="P1660" s="297" t="s">
        <v>199</v>
      </c>
      <c r="Q1660" s="297" t="s">
        <v>200</v>
      </c>
      <c r="R1660" s="297" t="s">
        <v>213</v>
      </c>
      <c r="S1660" s="297" t="s">
        <v>214</v>
      </c>
    </row>
    <row r="1661" spans="1:19" x14ac:dyDescent="0.4">
      <c r="A1661" s="291"/>
      <c r="B1661" s="292"/>
      <c r="C1661" s="312"/>
      <c r="D1661" s="292"/>
      <c r="E1661" s="489"/>
      <c r="F1661" s="489"/>
      <c r="G1661" s="490"/>
      <c r="H1661" s="520"/>
      <c r="I1661" s="523"/>
      <c r="J1661" s="521"/>
      <c r="K1661" s="522"/>
      <c r="M1661" s="301" t="str">
        <f>N1661&amp;AS[[#This Row],[Insurer Code]]&amp;"; "&amp;O1661&amp;AS[[#This Row],[Reporting Year]]&amp;"; "&amp;P1661&amp;AS[[#This Row],[Insurance Category Code]]&amp;"; "&amp;Q1661&amp;AS[[#This Row],[Large Provider Entity Code]]&amp;"; "&amp;R1661&amp;AS[[#This Row],[Age Band Code]]&amp;"; "&amp;S1661&amp;AS[[#This Row],[Sex Code]]</f>
        <v xml:space="preserve">Insurer Code ; Reporting Year ; Insurance Category Code ; Large Provider Entity Code ; Age Band Code ; Sex Code </v>
      </c>
      <c r="N1661" s="297" t="s">
        <v>197</v>
      </c>
      <c r="O1661" s="297" t="s">
        <v>198</v>
      </c>
      <c r="P1661" s="297" t="s">
        <v>199</v>
      </c>
      <c r="Q1661" s="297" t="s">
        <v>200</v>
      </c>
      <c r="R1661" s="297" t="s">
        <v>213</v>
      </c>
      <c r="S1661" s="297" t="s">
        <v>214</v>
      </c>
    </row>
    <row r="1662" spans="1:19" x14ac:dyDescent="0.4">
      <c r="A1662" s="291"/>
      <c r="B1662" s="292"/>
      <c r="C1662" s="312"/>
      <c r="D1662" s="292"/>
      <c r="E1662" s="489"/>
      <c r="F1662" s="489"/>
      <c r="G1662" s="490"/>
      <c r="H1662" s="520"/>
      <c r="I1662" s="523"/>
      <c r="J1662" s="521"/>
      <c r="K1662" s="522"/>
      <c r="M1662" s="301" t="str">
        <f>N1662&amp;AS[[#This Row],[Insurer Code]]&amp;"; "&amp;O1662&amp;AS[[#This Row],[Reporting Year]]&amp;"; "&amp;P1662&amp;AS[[#This Row],[Insurance Category Code]]&amp;"; "&amp;Q1662&amp;AS[[#This Row],[Large Provider Entity Code]]&amp;"; "&amp;R1662&amp;AS[[#This Row],[Age Band Code]]&amp;"; "&amp;S1662&amp;AS[[#This Row],[Sex Code]]</f>
        <v xml:space="preserve">Insurer Code ; Reporting Year ; Insurance Category Code ; Large Provider Entity Code ; Age Band Code ; Sex Code </v>
      </c>
      <c r="N1662" s="297" t="s">
        <v>197</v>
      </c>
      <c r="O1662" s="297" t="s">
        <v>198</v>
      </c>
      <c r="P1662" s="297" t="s">
        <v>199</v>
      </c>
      <c r="Q1662" s="297" t="s">
        <v>200</v>
      </c>
      <c r="R1662" s="297" t="s">
        <v>213</v>
      </c>
      <c r="S1662" s="297" t="s">
        <v>214</v>
      </c>
    </row>
    <row r="1663" spans="1:19" x14ac:dyDescent="0.4">
      <c r="A1663" s="291"/>
      <c r="B1663" s="292"/>
      <c r="C1663" s="312"/>
      <c r="D1663" s="292"/>
      <c r="E1663" s="489"/>
      <c r="F1663" s="489"/>
      <c r="G1663" s="490"/>
      <c r="H1663" s="520"/>
      <c r="I1663" s="523"/>
      <c r="J1663" s="521"/>
      <c r="K1663" s="522"/>
      <c r="M1663" s="301" t="str">
        <f>N1663&amp;AS[[#This Row],[Insurer Code]]&amp;"; "&amp;O1663&amp;AS[[#This Row],[Reporting Year]]&amp;"; "&amp;P1663&amp;AS[[#This Row],[Insurance Category Code]]&amp;"; "&amp;Q1663&amp;AS[[#This Row],[Large Provider Entity Code]]&amp;"; "&amp;R1663&amp;AS[[#This Row],[Age Band Code]]&amp;"; "&amp;S1663&amp;AS[[#This Row],[Sex Code]]</f>
        <v xml:space="preserve">Insurer Code ; Reporting Year ; Insurance Category Code ; Large Provider Entity Code ; Age Band Code ; Sex Code </v>
      </c>
      <c r="N1663" s="297" t="s">
        <v>197</v>
      </c>
      <c r="O1663" s="297" t="s">
        <v>198</v>
      </c>
      <c r="P1663" s="297" t="s">
        <v>199</v>
      </c>
      <c r="Q1663" s="297" t="s">
        <v>200</v>
      </c>
      <c r="R1663" s="297" t="s">
        <v>213</v>
      </c>
      <c r="S1663" s="297" t="s">
        <v>214</v>
      </c>
    </row>
    <row r="1664" spans="1:19" x14ac:dyDescent="0.4">
      <c r="A1664" s="291"/>
      <c r="B1664" s="292"/>
      <c r="C1664" s="312"/>
      <c r="D1664" s="292"/>
      <c r="E1664" s="489"/>
      <c r="F1664" s="489"/>
      <c r="G1664" s="490"/>
      <c r="H1664" s="520"/>
      <c r="I1664" s="523"/>
      <c r="J1664" s="521"/>
      <c r="K1664" s="522"/>
      <c r="M1664" s="301" t="str">
        <f>N1664&amp;AS[[#This Row],[Insurer Code]]&amp;"; "&amp;O1664&amp;AS[[#This Row],[Reporting Year]]&amp;"; "&amp;P1664&amp;AS[[#This Row],[Insurance Category Code]]&amp;"; "&amp;Q1664&amp;AS[[#This Row],[Large Provider Entity Code]]&amp;"; "&amp;R1664&amp;AS[[#This Row],[Age Band Code]]&amp;"; "&amp;S1664&amp;AS[[#This Row],[Sex Code]]</f>
        <v xml:space="preserve">Insurer Code ; Reporting Year ; Insurance Category Code ; Large Provider Entity Code ; Age Band Code ; Sex Code </v>
      </c>
      <c r="N1664" s="297" t="s">
        <v>197</v>
      </c>
      <c r="O1664" s="297" t="s">
        <v>198</v>
      </c>
      <c r="P1664" s="297" t="s">
        <v>199</v>
      </c>
      <c r="Q1664" s="297" t="s">
        <v>200</v>
      </c>
      <c r="R1664" s="297" t="s">
        <v>213</v>
      </c>
      <c r="S1664" s="297" t="s">
        <v>214</v>
      </c>
    </row>
    <row r="1665" spans="1:19" x14ac:dyDescent="0.4">
      <c r="A1665" s="291"/>
      <c r="B1665" s="292"/>
      <c r="C1665" s="312"/>
      <c r="D1665" s="292"/>
      <c r="E1665" s="489"/>
      <c r="F1665" s="489"/>
      <c r="G1665" s="490"/>
      <c r="H1665" s="520"/>
      <c r="I1665" s="523"/>
      <c r="J1665" s="521"/>
      <c r="K1665" s="522"/>
      <c r="M1665" s="301" t="str">
        <f>N1665&amp;AS[[#This Row],[Insurer Code]]&amp;"; "&amp;O1665&amp;AS[[#This Row],[Reporting Year]]&amp;"; "&amp;P1665&amp;AS[[#This Row],[Insurance Category Code]]&amp;"; "&amp;Q1665&amp;AS[[#This Row],[Large Provider Entity Code]]&amp;"; "&amp;R1665&amp;AS[[#This Row],[Age Band Code]]&amp;"; "&amp;S1665&amp;AS[[#This Row],[Sex Code]]</f>
        <v xml:space="preserve">Insurer Code ; Reporting Year ; Insurance Category Code ; Large Provider Entity Code ; Age Band Code ; Sex Code </v>
      </c>
      <c r="N1665" s="297" t="s">
        <v>197</v>
      </c>
      <c r="O1665" s="297" t="s">
        <v>198</v>
      </c>
      <c r="P1665" s="297" t="s">
        <v>199</v>
      </c>
      <c r="Q1665" s="297" t="s">
        <v>200</v>
      </c>
      <c r="R1665" s="297" t="s">
        <v>213</v>
      </c>
      <c r="S1665" s="297" t="s">
        <v>214</v>
      </c>
    </row>
    <row r="1666" spans="1:19" x14ac:dyDescent="0.4">
      <c r="A1666" s="291"/>
      <c r="B1666" s="292"/>
      <c r="C1666" s="312"/>
      <c r="D1666" s="292"/>
      <c r="E1666" s="489"/>
      <c r="F1666" s="489"/>
      <c r="G1666" s="490"/>
      <c r="H1666" s="520"/>
      <c r="I1666" s="523"/>
      <c r="J1666" s="521"/>
      <c r="K1666" s="522"/>
      <c r="M1666" s="301" t="str">
        <f>N1666&amp;AS[[#This Row],[Insurer Code]]&amp;"; "&amp;O1666&amp;AS[[#This Row],[Reporting Year]]&amp;"; "&amp;P1666&amp;AS[[#This Row],[Insurance Category Code]]&amp;"; "&amp;Q1666&amp;AS[[#This Row],[Large Provider Entity Code]]&amp;"; "&amp;R1666&amp;AS[[#This Row],[Age Band Code]]&amp;"; "&amp;S1666&amp;AS[[#This Row],[Sex Code]]</f>
        <v xml:space="preserve">Insurer Code ; Reporting Year ; Insurance Category Code ; Large Provider Entity Code ; Age Band Code ; Sex Code </v>
      </c>
      <c r="N1666" s="297" t="s">
        <v>197</v>
      </c>
      <c r="O1666" s="297" t="s">
        <v>198</v>
      </c>
      <c r="P1666" s="297" t="s">
        <v>199</v>
      </c>
      <c r="Q1666" s="297" t="s">
        <v>200</v>
      </c>
      <c r="R1666" s="297" t="s">
        <v>213</v>
      </c>
      <c r="S1666" s="297" t="s">
        <v>214</v>
      </c>
    </row>
    <row r="1667" spans="1:19" x14ac:dyDescent="0.4">
      <c r="A1667" s="291"/>
      <c r="B1667" s="292"/>
      <c r="C1667" s="312"/>
      <c r="D1667" s="292"/>
      <c r="E1667" s="489"/>
      <c r="F1667" s="489"/>
      <c r="G1667" s="490"/>
      <c r="H1667" s="520"/>
      <c r="I1667" s="523"/>
      <c r="J1667" s="521"/>
      <c r="K1667" s="522"/>
      <c r="M1667" s="301" t="str">
        <f>N1667&amp;AS[[#This Row],[Insurer Code]]&amp;"; "&amp;O1667&amp;AS[[#This Row],[Reporting Year]]&amp;"; "&amp;P1667&amp;AS[[#This Row],[Insurance Category Code]]&amp;"; "&amp;Q1667&amp;AS[[#This Row],[Large Provider Entity Code]]&amp;"; "&amp;R1667&amp;AS[[#This Row],[Age Band Code]]&amp;"; "&amp;S1667&amp;AS[[#This Row],[Sex Code]]</f>
        <v xml:space="preserve">Insurer Code ; Reporting Year ; Insurance Category Code ; Large Provider Entity Code ; Age Band Code ; Sex Code </v>
      </c>
      <c r="N1667" s="297" t="s">
        <v>197</v>
      </c>
      <c r="O1667" s="297" t="s">
        <v>198</v>
      </c>
      <c r="P1667" s="297" t="s">
        <v>199</v>
      </c>
      <c r="Q1667" s="297" t="s">
        <v>200</v>
      </c>
      <c r="R1667" s="297" t="s">
        <v>213</v>
      </c>
      <c r="S1667" s="297" t="s">
        <v>214</v>
      </c>
    </row>
    <row r="1668" spans="1:19" x14ac:dyDescent="0.4">
      <c r="A1668" s="291"/>
      <c r="B1668" s="292"/>
      <c r="C1668" s="312"/>
      <c r="D1668" s="292"/>
      <c r="E1668" s="489"/>
      <c r="F1668" s="489"/>
      <c r="G1668" s="490"/>
      <c r="H1668" s="520"/>
      <c r="I1668" s="523"/>
      <c r="J1668" s="521"/>
      <c r="K1668" s="522"/>
      <c r="M1668" s="301" t="str">
        <f>N1668&amp;AS[[#This Row],[Insurer Code]]&amp;"; "&amp;O1668&amp;AS[[#This Row],[Reporting Year]]&amp;"; "&amp;P1668&amp;AS[[#This Row],[Insurance Category Code]]&amp;"; "&amp;Q1668&amp;AS[[#This Row],[Large Provider Entity Code]]&amp;"; "&amp;R1668&amp;AS[[#This Row],[Age Band Code]]&amp;"; "&amp;S1668&amp;AS[[#This Row],[Sex Code]]</f>
        <v xml:space="preserve">Insurer Code ; Reporting Year ; Insurance Category Code ; Large Provider Entity Code ; Age Band Code ; Sex Code </v>
      </c>
      <c r="N1668" s="297" t="s">
        <v>197</v>
      </c>
      <c r="O1668" s="297" t="s">
        <v>198</v>
      </c>
      <c r="P1668" s="297" t="s">
        <v>199</v>
      </c>
      <c r="Q1668" s="297" t="s">
        <v>200</v>
      </c>
      <c r="R1668" s="297" t="s">
        <v>213</v>
      </c>
      <c r="S1668" s="297" t="s">
        <v>214</v>
      </c>
    </row>
    <row r="1669" spans="1:19" x14ac:dyDescent="0.4">
      <c r="A1669" s="291"/>
      <c r="B1669" s="292"/>
      <c r="C1669" s="312"/>
      <c r="D1669" s="292"/>
      <c r="E1669" s="489"/>
      <c r="F1669" s="489"/>
      <c r="G1669" s="490"/>
      <c r="H1669" s="520"/>
      <c r="I1669" s="523"/>
      <c r="J1669" s="521"/>
      <c r="K1669" s="522"/>
      <c r="M1669" s="301" t="str">
        <f>N1669&amp;AS[[#This Row],[Insurer Code]]&amp;"; "&amp;O1669&amp;AS[[#This Row],[Reporting Year]]&amp;"; "&amp;P1669&amp;AS[[#This Row],[Insurance Category Code]]&amp;"; "&amp;Q1669&amp;AS[[#This Row],[Large Provider Entity Code]]&amp;"; "&amp;R1669&amp;AS[[#This Row],[Age Band Code]]&amp;"; "&amp;S1669&amp;AS[[#This Row],[Sex Code]]</f>
        <v xml:space="preserve">Insurer Code ; Reporting Year ; Insurance Category Code ; Large Provider Entity Code ; Age Band Code ; Sex Code </v>
      </c>
      <c r="N1669" s="297" t="s">
        <v>197</v>
      </c>
      <c r="O1669" s="297" t="s">
        <v>198</v>
      </c>
      <c r="P1669" s="297" t="s">
        <v>199</v>
      </c>
      <c r="Q1669" s="297" t="s">
        <v>200</v>
      </c>
      <c r="R1669" s="297" t="s">
        <v>213</v>
      </c>
      <c r="S1669" s="297" t="s">
        <v>214</v>
      </c>
    </row>
    <row r="1670" spans="1:19" x14ac:dyDescent="0.4">
      <c r="A1670" s="291"/>
      <c r="B1670" s="292"/>
      <c r="C1670" s="312"/>
      <c r="D1670" s="292"/>
      <c r="E1670" s="489"/>
      <c r="F1670" s="489"/>
      <c r="G1670" s="490"/>
      <c r="H1670" s="520"/>
      <c r="I1670" s="523"/>
      <c r="J1670" s="521"/>
      <c r="K1670" s="522"/>
      <c r="M1670" s="301" t="str">
        <f>N1670&amp;AS[[#This Row],[Insurer Code]]&amp;"; "&amp;O1670&amp;AS[[#This Row],[Reporting Year]]&amp;"; "&amp;P1670&amp;AS[[#This Row],[Insurance Category Code]]&amp;"; "&amp;Q1670&amp;AS[[#This Row],[Large Provider Entity Code]]&amp;"; "&amp;R1670&amp;AS[[#This Row],[Age Band Code]]&amp;"; "&amp;S1670&amp;AS[[#This Row],[Sex Code]]</f>
        <v xml:space="preserve">Insurer Code ; Reporting Year ; Insurance Category Code ; Large Provider Entity Code ; Age Band Code ; Sex Code </v>
      </c>
      <c r="N1670" s="297" t="s">
        <v>197</v>
      </c>
      <c r="O1670" s="297" t="s">
        <v>198</v>
      </c>
      <c r="P1670" s="297" t="s">
        <v>199</v>
      </c>
      <c r="Q1670" s="297" t="s">
        <v>200</v>
      </c>
      <c r="R1670" s="297" t="s">
        <v>213</v>
      </c>
      <c r="S1670" s="297" t="s">
        <v>214</v>
      </c>
    </row>
    <row r="1671" spans="1:19" x14ac:dyDescent="0.4">
      <c r="A1671" s="291"/>
      <c r="B1671" s="292"/>
      <c r="C1671" s="312"/>
      <c r="D1671" s="292"/>
      <c r="E1671" s="489"/>
      <c r="F1671" s="489"/>
      <c r="G1671" s="490"/>
      <c r="H1671" s="520"/>
      <c r="I1671" s="523"/>
      <c r="J1671" s="521"/>
      <c r="K1671" s="522"/>
      <c r="M1671" s="301" t="str">
        <f>N1671&amp;AS[[#This Row],[Insurer Code]]&amp;"; "&amp;O1671&amp;AS[[#This Row],[Reporting Year]]&amp;"; "&amp;P1671&amp;AS[[#This Row],[Insurance Category Code]]&amp;"; "&amp;Q1671&amp;AS[[#This Row],[Large Provider Entity Code]]&amp;"; "&amp;R1671&amp;AS[[#This Row],[Age Band Code]]&amp;"; "&amp;S1671&amp;AS[[#This Row],[Sex Code]]</f>
        <v xml:space="preserve">Insurer Code ; Reporting Year ; Insurance Category Code ; Large Provider Entity Code ; Age Band Code ; Sex Code </v>
      </c>
      <c r="N1671" s="297" t="s">
        <v>197</v>
      </c>
      <c r="O1671" s="297" t="s">
        <v>198</v>
      </c>
      <c r="P1671" s="297" t="s">
        <v>199</v>
      </c>
      <c r="Q1671" s="297" t="s">
        <v>200</v>
      </c>
      <c r="R1671" s="297" t="s">
        <v>213</v>
      </c>
      <c r="S1671" s="297" t="s">
        <v>214</v>
      </c>
    </row>
    <row r="1672" spans="1:19" x14ac:dyDescent="0.4">
      <c r="A1672" s="291"/>
      <c r="B1672" s="292"/>
      <c r="C1672" s="312"/>
      <c r="D1672" s="292"/>
      <c r="E1672" s="489"/>
      <c r="F1672" s="489"/>
      <c r="G1672" s="490"/>
      <c r="H1672" s="520"/>
      <c r="I1672" s="523"/>
      <c r="J1672" s="521"/>
      <c r="K1672" s="522"/>
      <c r="M1672" s="301" t="str">
        <f>N1672&amp;AS[[#This Row],[Insurer Code]]&amp;"; "&amp;O1672&amp;AS[[#This Row],[Reporting Year]]&amp;"; "&amp;P1672&amp;AS[[#This Row],[Insurance Category Code]]&amp;"; "&amp;Q1672&amp;AS[[#This Row],[Large Provider Entity Code]]&amp;"; "&amp;R1672&amp;AS[[#This Row],[Age Band Code]]&amp;"; "&amp;S1672&amp;AS[[#This Row],[Sex Code]]</f>
        <v xml:space="preserve">Insurer Code ; Reporting Year ; Insurance Category Code ; Large Provider Entity Code ; Age Band Code ; Sex Code </v>
      </c>
      <c r="N1672" s="297" t="s">
        <v>197</v>
      </c>
      <c r="O1672" s="297" t="s">
        <v>198</v>
      </c>
      <c r="P1672" s="297" t="s">
        <v>199</v>
      </c>
      <c r="Q1672" s="297" t="s">
        <v>200</v>
      </c>
      <c r="R1672" s="297" t="s">
        <v>213</v>
      </c>
      <c r="S1672" s="297" t="s">
        <v>214</v>
      </c>
    </row>
    <row r="1673" spans="1:19" x14ac:dyDescent="0.4">
      <c r="A1673" s="291"/>
      <c r="B1673" s="292"/>
      <c r="C1673" s="312"/>
      <c r="D1673" s="292"/>
      <c r="E1673" s="489"/>
      <c r="F1673" s="489"/>
      <c r="G1673" s="490"/>
      <c r="H1673" s="520"/>
      <c r="I1673" s="523"/>
      <c r="J1673" s="521"/>
      <c r="K1673" s="522"/>
      <c r="M1673" s="301" t="str">
        <f>N1673&amp;AS[[#This Row],[Insurer Code]]&amp;"; "&amp;O1673&amp;AS[[#This Row],[Reporting Year]]&amp;"; "&amp;P1673&amp;AS[[#This Row],[Insurance Category Code]]&amp;"; "&amp;Q1673&amp;AS[[#This Row],[Large Provider Entity Code]]&amp;"; "&amp;R1673&amp;AS[[#This Row],[Age Band Code]]&amp;"; "&amp;S1673&amp;AS[[#This Row],[Sex Code]]</f>
        <v xml:space="preserve">Insurer Code ; Reporting Year ; Insurance Category Code ; Large Provider Entity Code ; Age Band Code ; Sex Code </v>
      </c>
      <c r="N1673" s="297" t="s">
        <v>197</v>
      </c>
      <c r="O1673" s="297" t="s">
        <v>198</v>
      </c>
      <c r="P1673" s="297" t="s">
        <v>199</v>
      </c>
      <c r="Q1673" s="297" t="s">
        <v>200</v>
      </c>
      <c r="R1673" s="297" t="s">
        <v>213</v>
      </c>
      <c r="S1673" s="297" t="s">
        <v>214</v>
      </c>
    </row>
    <row r="1674" spans="1:19" x14ac:dyDescent="0.4">
      <c r="A1674" s="291"/>
      <c r="B1674" s="292"/>
      <c r="C1674" s="312"/>
      <c r="D1674" s="292"/>
      <c r="E1674" s="489"/>
      <c r="F1674" s="489"/>
      <c r="G1674" s="490"/>
      <c r="H1674" s="520"/>
      <c r="I1674" s="523"/>
      <c r="J1674" s="521"/>
      <c r="K1674" s="522"/>
      <c r="M1674" s="301" t="str">
        <f>N1674&amp;AS[[#This Row],[Insurer Code]]&amp;"; "&amp;O1674&amp;AS[[#This Row],[Reporting Year]]&amp;"; "&amp;P1674&amp;AS[[#This Row],[Insurance Category Code]]&amp;"; "&amp;Q1674&amp;AS[[#This Row],[Large Provider Entity Code]]&amp;"; "&amp;R1674&amp;AS[[#This Row],[Age Band Code]]&amp;"; "&amp;S1674&amp;AS[[#This Row],[Sex Code]]</f>
        <v xml:space="preserve">Insurer Code ; Reporting Year ; Insurance Category Code ; Large Provider Entity Code ; Age Band Code ; Sex Code </v>
      </c>
      <c r="N1674" s="297" t="s">
        <v>197</v>
      </c>
      <c r="O1674" s="297" t="s">
        <v>198</v>
      </c>
      <c r="P1674" s="297" t="s">
        <v>199</v>
      </c>
      <c r="Q1674" s="297" t="s">
        <v>200</v>
      </c>
      <c r="R1674" s="297" t="s">
        <v>213</v>
      </c>
      <c r="S1674" s="297" t="s">
        <v>214</v>
      </c>
    </row>
    <row r="1675" spans="1:19" x14ac:dyDescent="0.4">
      <c r="A1675" s="291"/>
      <c r="B1675" s="292"/>
      <c r="C1675" s="312"/>
      <c r="D1675" s="292"/>
      <c r="E1675" s="489"/>
      <c r="F1675" s="489"/>
      <c r="G1675" s="490"/>
      <c r="H1675" s="520"/>
      <c r="I1675" s="523"/>
      <c r="J1675" s="521"/>
      <c r="K1675" s="522"/>
      <c r="M1675" s="301" t="str">
        <f>N1675&amp;AS[[#This Row],[Insurer Code]]&amp;"; "&amp;O1675&amp;AS[[#This Row],[Reporting Year]]&amp;"; "&amp;P1675&amp;AS[[#This Row],[Insurance Category Code]]&amp;"; "&amp;Q1675&amp;AS[[#This Row],[Large Provider Entity Code]]&amp;"; "&amp;R1675&amp;AS[[#This Row],[Age Band Code]]&amp;"; "&amp;S1675&amp;AS[[#This Row],[Sex Code]]</f>
        <v xml:space="preserve">Insurer Code ; Reporting Year ; Insurance Category Code ; Large Provider Entity Code ; Age Band Code ; Sex Code </v>
      </c>
      <c r="N1675" s="297" t="s">
        <v>197</v>
      </c>
      <c r="O1675" s="297" t="s">
        <v>198</v>
      </c>
      <c r="P1675" s="297" t="s">
        <v>199</v>
      </c>
      <c r="Q1675" s="297" t="s">
        <v>200</v>
      </c>
      <c r="R1675" s="297" t="s">
        <v>213</v>
      </c>
      <c r="S1675" s="297" t="s">
        <v>214</v>
      </c>
    </row>
    <row r="1676" spans="1:19" x14ac:dyDescent="0.4">
      <c r="A1676" s="291"/>
      <c r="B1676" s="292"/>
      <c r="C1676" s="312"/>
      <c r="D1676" s="292"/>
      <c r="E1676" s="489"/>
      <c r="F1676" s="489"/>
      <c r="G1676" s="490"/>
      <c r="H1676" s="520"/>
      <c r="I1676" s="523"/>
      <c r="J1676" s="521"/>
      <c r="K1676" s="522"/>
      <c r="M1676" s="301" t="str">
        <f>N1676&amp;AS[[#This Row],[Insurer Code]]&amp;"; "&amp;O1676&amp;AS[[#This Row],[Reporting Year]]&amp;"; "&amp;P1676&amp;AS[[#This Row],[Insurance Category Code]]&amp;"; "&amp;Q1676&amp;AS[[#This Row],[Large Provider Entity Code]]&amp;"; "&amp;R1676&amp;AS[[#This Row],[Age Band Code]]&amp;"; "&amp;S1676&amp;AS[[#This Row],[Sex Code]]</f>
        <v xml:space="preserve">Insurer Code ; Reporting Year ; Insurance Category Code ; Large Provider Entity Code ; Age Band Code ; Sex Code </v>
      </c>
      <c r="N1676" s="297" t="s">
        <v>197</v>
      </c>
      <c r="O1676" s="297" t="s">
        <v>198</v>
      </c>
      <c r="P1676" s="297" t="s">
        <v>199</v>
      </c>
      <c r="Q1676" s="297" t="s">
        <v>200</v>
      </c>
      <c r="R1676" s="297" t="s">
        <v>213</v>
      </c>
      <c r="S1676" s="297" t="s">
        <v>214</v>
      </c>
    </row>
    <row r="1677" spans="1:19" x14ac:dyDescent="0.4">
      <c r="A1677" s="291"/>
      <c r="B1677" s="292"/>
      <c r="C1677" s="312"/>
      <c r="D1677" s="292"/>
      <c r="E1677" s="489"/>
      <c r="F1677" s="489"/>
      <c r="G1677" s="490"/>
      <c r="H1677" s="520"/>
      <c r="I1677" s="523"/>
      <c r="J1677" s="521"/>
      <c r="K1677" s="522"/>
      <c r="M1677" s="301" t="str">
        <f>N1677&amp;AS[[#This Row],[Insurer Code]]&amp;"; "&amp;O1677&amp;AS[[#This Row],[Reporting Year]]&amp;"; "&amp;P1677&amp;AS[[#This Row],[Insurance Category Code]]&amp;"; "&amp;Q1677&amp;AS[[#This Row],[Large Provider Entity Code]]&amp;"; "&amp;R1677&amp;AS[[#This Row],[Age Band Code]]&amp;"; "&amp;S1677&amp;AS[[#This Row],[Sex Code]]</f>
        <v xml:space="preserve">Insurer Code ; Reporting Year ; Insurance Category Code ; Large Provider Entity Code ; Age Band Code ; Sex Code </v>
      </c>
      <c r="N1677" s="297" t="s">
        <v>197</v>
      </c>
      <c r="O1677" s="297" t="s">
        <v>198</v>
      </c>
      <c r="P1677" s="297" t="s">
        <v>199</v>
      </c>
      <c r="Q1677" s="297" t="s">
        <v>200</v>
      </c>
      <c r="R1677" s="297" t="s">
        <v>213</v>
      </c>
      <c r="S1677" s="297" t="s">
        <v>214</v>
      </c>
    </row>
    <row r="1678" spans="1:19" x14ac:dyDescent="0.4">
      <c r="A1678" s="291"/>
      <c r="B1678" s="292"/>
      <c r="C1678" s="312"/>
      <c r="D1678" s="292"/>
      <c r="E1678" s="489"/>
      <c r="F1678" s="489"/>
      <c r="G1678" s="490"/>
      <c r="H1678" s="520"/>
      <c r="I1678" s="523"/>
      <c r="J1678" s="521"/>
      <c r="K1678" s="522"/>
      <c r="M1678" s="301" t="str">
        <f>N1678&amp;AS[[#This Row],[Insurer Code]]&amp;"; "&amp;O1678&amp;AS[[#This Row],[Reporting Year]]&amp;"; "&amp;P1678&amp;AS[[#This Row],[Insurance Category Code]]&amp;"; "&amp;Q1678&amp;AS[[#This Row],[Large Provider Entity Code]]&amp;"; "&amp;R1678&amp;AS[[#This Row],[Age Band Code]]&amp;"; "&amp;S1678&amp;AS[[#This Row],[Sex Code]]</f>
        <v xml:space="preserve">Insurer Code ; Reporting Year ; Insurance Category Code ; Large Provider Entity Code ; Age Band Code ; Sex Code </v>
      </c>
      <c r="N1678" s="297" t="s">
        <v>197</v>
      </c>
      <c r="O1678" s="297" t="s">
        <v>198</v>
      </c>
      <c r="P1678" s="297" t="s">
        <v>199</v>
      </c>
      <c r="Q1678" s="297" t="s">
        <v>200</v>
      </c>
      <c r="R1678" s="297" t="s">
        <v>213</v>
      </c>
      <c r="S1678" s="297" t="s">
        <v>214</v>
      </c>
    </row>
    <row r="1679" spans="1:19" x14ac:dyDescent="0.4">
      <c r="A1679" s="291"/>
      <c r="B1679" s="292"/>
      <c r="C1679" s="312"/>
      <c r="D1679" s="292"/>
      <c r="E1679" s="489"/>
      <c r="F1679" s="489"/>
      <c r="G1679" s="490"/>
      <c r="H1679" s="520"/>
      <c r="I1679" s="523"/>
      <c r="J1679" s="521"/>
      <c r="K1679" s="522"/>
      <c r="M1679" s="301" t="str">
        <f>N1679&amp;AS[[#This Row],[Insurer Code]]&amp;"; "&amp;O1679&amp;AS[[#This Row],[Reporting Year]]&amp;"; "&amp;P1679&amp;AS[[#This Row],[Insurance Category Code]]&amp;"; "&amp;Q1679&amp;AS[[#This Row],[Large Provider Entity Code]]&amp;"; "&amp;R1679&amp;AS[[#This Row],[Age Band Code]]&amp;"; "&amp;S1679&amp;AS[[#This Row],[Sex Code]]</f>
        <v xml:space="preserve">Insurer Code ; Reporting Year ; Insurance Category Code ; Large Provider Entity Code ; Age Band Code ; Sex Code </v>
      </c>
      <c r="N1679" s="297" t="s">
        <v>197</v>
      </c>
      <c r="O1679" s="297" t="s">
        <v>198</v>
      </c>
      <c r="P1679" s="297" t="s">
        <v>199</v>
      </c>
      <c r="Q1679" s="297" t="s">
        <v>200</v>
      </c>
      <c r="R1679" s="297" t="s">
        <v>213</v>
      </c>
      <c r="S1679" s="297" t="s">
        <v>214</v>
      </c>
    </row>
    <row r="1680" spans="1:19" x14ac:dyDescent="0.4">
      <c r="A1680" s="291"/>
      <c r="B1680" s="292"/>
      <c r="C1680" s="312"/>
      <c r="D1680" s="292"/>
      <c r="E1680" s="489"/>
      <c r="F1680" s="489"/>
      <c r="G1680" s="490"/>
      <c r="H1680" s="520"/>
      <c r="I1680" s="523"/>
      <c r="J1680" s="521"/>
      <c r="K1680" s="522"/>
      <c r="M1680" s="301" t="str">
        <f>N1680&amp;AS[[#This Row],[Insurer Code]]&amp;"; "&amp;O1680&amp;AS[[#This Row],[Reporting Year]]&amp;"; "&amp;P1680&amp;AS[[#This Row],[Insurance Category Code]]&amp;"; "&amp;Q1680&amp;AS[[#This Row],[Large Provider Entity Code]]&amp;"; "&amp;R1680&amp;AS[[#This Row],[Age Band Code]]&amp;"; "&amp;S1680&amp;AS[[#This Row],[Sex Code]]</f>
        <v xml:space="preserve">Insurer Code ; Reporting Year ; Insurance Category Code ; Large Provider Entity Code ; Age Band Code ; Sex Code </v>
      </c>
      <c r="N1680" s="297" t="s">
        <v>197</v>
      </c>
      <c r="O1680" s="297" t="s">
        <v>198</v>
      </c>
      <c r="P1680" s="297" t="s">
        <v>199</v>
      </c>
      <c r="Q1680" s="297" t="s">
        <v>200</v>
      </c>
      <c r="R1680" s="297" t="s">
        <v>213</v>
      </c>
      <c r="S1680" s="297" t="s">
        <v>214</v>
      </c>
    </row>
    <row r="1681" spans="1:19" x14ac:dyDescent="0.4">
      <c r="A1681" s="291"/>
      <c r="B1681" s="292"/>
      <c r="C1681" s="312"/>
      <c r="D1681" s="292"/>
      <c r="E1681" s="489"/>
      <c r="F1681" s="489"/>
      <c r="G1681" s="490"/>
      <c r="H1681" s="520"/>
      <c r="I1681" s="523"/>
      <c r="J1681" s="521"/>
      <c r="K1681" s="522"/>
      <c r="M1681" s="301" t="str">
        <f>N1681&amp;AS[[#This Row],[Insurer Code]]&amp;"; "&amp;O1681&amp;AS[[#This Row],[Reporting Year]]&amp;"; "&amp;P1681&amp;AS[[#This Row],[Insurance Category Code]]&amp;"; "&amp;Q1681&amp;AS[[#This Row],[Large Provider Entity Code]]&amp;"; "&amp;R1681&amp;AS[[#This Row],[Age Band Code]]&amp;"; "&amp;S1681&amp;AS[[#This Row],[Sex Code]]</f>
        <v xml:space="preserve">Insurer Code ; Reporting Year ; Insurance Category Code ; Large Provider Entity Code ; Age Band Code ; Sex Code </v>
      </c>
      <c r="N1681" s="297" t="s">
        <v>197</v>
      </c>
      <c r="O1681" s="297" t="s">
        <v>198</v>
      </c>
      <c r="P1681" s="297" t="s">
        <v>199</v>
      </c>
      <c r="Q1681" s="297" t="s">
        <v>200</v>
      </c>
      <c r="R1681" s="297" t="s">
        <v>213</v>
      </c>
      <c r="S1681" s="297" t="s">
        <v>214</v>
      </c>
    </row>
    <row r="1682" spans="1:19" x14ac:dyDescent="0.4">
      <c r="A1682" s="291"/>
      <c r="B1682" s="292"/>
      <c r="C1682" s="312"/>
      <c r="D1682" s="292"/>
      <c r="E1682" s="489"/>
      <c r="F1682" s="489"/>
      <c r="G1682" s="490"/>
      <c r="H1682" s="520"/>
      <c r="I1682" s="523"/>
      <c r="J1682" s="521"/>
      <c r="K1682" s="522"/>
      <c r="M1682" s="301" t="str">
        <f>N1682&amp;AS[[#This Row],[Insurer Code]]&amp;"; "&amp;O1682&amp;AS[[#This Row],[Reporting Year]]&amp;"; "&amp;P1682&amp;AS[[#This Row],[Insurance Category Code]]&amp;"; "&amp;Q1682&amp;AS[[#This Row],[Large Provider Entity Code]]&amp;"; "&amp;R1682&amp;AS[[#This Row],[Age Band Code]]&amp;"; "&amp;S1682&amp;AS[[#This Row],[Sex Code]]</f>
        <v xml:space="preserve">Insurer Code ; Reporting Year ; Insurance Category Code ; Large Provider Entity Code ; Age Band Code ; Sex Code </v>
      </c>
      <c r="N1682" s="297" t="s">
        <v>197</v>
      </c>
      <c r="O1682" s="297" t="s">
        <v>198</v>
      </c>
      <c r="P1682" s="297" t="s">
        <v>199</v>
      </c>
      <c r="Q1682" s="297" t="s">
        <v>200</v>
      </c>
      <c r="R1682" s="297" t="s">
        <v>213</v>
      </c>
      <c r="S1682" s="297" t="s">
        <v>214</v>
      </c>
    </row>
    <row r="1683" spans="1:19" x14ac:dyDescent="0.4">
      <c r="A1683" s="291"/>
      <c r="B1683" s="292"/>
      <c r="C1683" s="312"/>
      <c r="D1683" s="292"/>
      <c r="E1683" s="489"/>
      <c r="F1683" s="489"/>
      <c r="G1683" s="490"/>
      <c r="H1683" s="520"/>
      <c r="I1683" s="523"/>
      <c r="J1683" s="521"/>
      <c r="K1683" s="522"/>
      <c r="M1683" s="301" t="str">
        <f>N1683&amp;AS[[#This Row],[Insurer Code]]&amp;"; "&amp;O1683&amp;AS[[#This Row],[Reporting Year]]&amp;"; "&amp;P1683&amp;AS[[#This Row],[Insurance Category Code]]&amp;"; "&amp;Q1683&amp;AS[[#This Row],[Large Provider Entity Code]]&amp;"; "&amp;R1683&amp;AS[[#This Row],[Age Band Code]]&amp;"; "&amp;S1683&amp;AS[[#This Row],[Sex Code]]</f>
        <v xml:space="preserve">Insurer Code ; Reporting Year ; Insurance Category Code ; Large Provider Entity Code ; Age Band Code ; Sex Code </v>
      </c>
      <c r="N1683" s="297" t="s">
        <v>197</v>
      </c>
      <c r="O1683" s="297" t="s">
        <v>198</v>
      </c>
      <c r="P1683" s="297" t="s">
        <v>199</v>
      </c>
      <c r="Q1683" s="297" t="s">
        <v>200</v>
      </c>
      <c r="R1683" s="297" t="s">
        <v>213</v>
      </c>
      <c r="S1683" s="297" t="s">
        <v>214</v>
      </c>
    </row>
    <row r="1684" spans="1:19" x14ac:dyDescent="0.4">
      <c r="A1684" s="291"/>
      <c r="B1684" s="292"/>
      <c r="C1684" s="312"/>
      <c r="D1684" s="292"/>
      <c r="E1684" s="489"/>
      <c r="F1684" s="489"/>
      <c r="G1684" s="490"/>
      <c r="H1684" s="520"/>
      <c r="I1684" s="523"/>
      <c r="J1684" s="521"/>
      <c r="K1684" s="522"/>
      <c r="M1684" s="301" t="str">
        <f>N1684&amp;AS[[#This Row],[Insurer Code]]&amp;"; "&amp;O1684&amp;AS[[#This Row],[Reporting Year]]&amp;"; "&amp;P1684&amp;AS[[#This Row],[Insurance Category Code]]&amp;"; "&amp;Q1684&amp;AS[[#This Row],[Large Provider Entity Code]]&amp;"; "&amp;R1684&amp;AS[[#This Row],[Age Band Code]]&amp;"; "&amp;S1684&amp;AS[[#This Row],[Sex Code]]</f>
        <v xml:space="preserve">Insurer Code ; Reporting Year ; Insurance Category Code ; Large Provider Entity Code ; Age Band Code ; Sex Code </v>
      </c>
      <c r="N1684" s="297" t="s">
        <v>197</v>
      </c>
      <c r="O1684" s="297" t="s">
        <v>198</v>
      </c>
      <c r="P1684" s="297" t="s">
        <v>199</v>
      </c>
      <c r="Q1684" s="297" t="s">
        <v>200</v>
      </c>
      <c r="R1684" s="297" t="s">
        <v>213</v>
      </c>
      <c r="S1684" s="297" t="s">
        <v>214</v>
      </c>
    </row>
    <row r="1685" spans="1:19" x14ac:dyDescent="0.4">
      <c r="A1685" s="291"/>
      <c r="B1685" s="292"/>
      <c r="C1685" s="312"/>
      <c r="D1685" s="292"/>
      <c r="E1685" s="489"/>
      <c r="F1685" s="489"/>
      <c r="G1685" s="490"/>
      <c r="H1685" s="520"/>
      <c r="I1685" s="523"/>
      <c r="J1685" s="521"/>
      <c r="K1685" s="522"/>
      <c r="M1685" s="301" t="str">
        <f>N1685&amp;AS[[#This Row],[Insurer Code]]&amp;"; "&amp;O1685&amp;AS[[#This Row],[Reporting Year]]&amp;"; "&amp;P1685&amp;AS[[#This Row],[Insurance Category Code]]&amp;"; "&amp;Q1685&amp;AS[[#This Row],[Large Provider Entity Code]]&amp;"; "&amp;R1685&amp;AS[[#This Row],[Age Band Code]]&amp;"; "&amp;S1685&amp;AS[[#This Row],[Sex Code]]</f>
        <v xml:space="preserve">Insurer Code ; Reporting Year ; Insurance Category Code ; Large Provider Entity Code ; Age Band Code ; Sex Code </v>
      </c>
      <c r="N1685" s="297" t="s">
        <v>197</v>
      </c>
      <c r="O1685" s="297" t="s">
        <v>198</v>
      </c>
      <c r="P1685" s="297" t="s">
        <v>199</v>
      </c>
      <c r="Q1685" s="297" t="s">
        <v>200</v>
      </c>
      <c r="R1685" s="297" t="s">
        <v>213</v>
      </c>
      <c r="S1685" s="297" t="s">
        <v>214</v>
      </c>
    </row>
    <row r="1686" spans="1:19" x14ac:dyDescent="0.4">
      <c r="A1686" s="291"/>
      <c r="B1686" s="292"/>
      <c r="C1686" s="312"/>
      <c r="D1686" s="292"/>
      <c r="E1686" s="489"/>
      <c r="F1686" s="489"/>
      <c r="G1686" s="490"/>
      <c r="H1686" s="520"/>
      <c r="I1686" s="523"/>
      <c r="J1686" s="521"/>
      <c r="K1686" s="522"/>
      <c r="M1686" s="301" t="str">
        <f>N1686&amp;AS[[#This Row],[Insurer Code]]&amp;"; "&amp;O1686&amp;AS[[#This Row],[Reporting Year]]&amp;"; "&amp;P1686&amp;AS[[#This Row],[Insurance Category Code]]&amp;"; "&amp;Q1686&amp;AS[[#This Row],[Large Provider Entity Code]]&amp;"; "&amp;R1686&amp;AS[[#This Row],[Age Band Code]]&amp;"; "&amp;S1686&amp;AS[[#This Row],[Sex Code]]</f>
        <v xml:space="preserve">Insurer Code ; Reporting Year ; Insurance Category Code ; Large Provider Entity Code ; Age Band Code ; Sex Code </v>
      </c>
      <c r="N1686" s="297" t="s">
        <v>197</v>
      </c>
      <c r="O1686" s="297" t="s">
        <v>198</v>
      </c>
      <c r="P1686" s="297" t="s">
        <v>199</v>
      </c>
      <c r="Q1686" s="297" t="s">
        <v>200</v>
      </c>
      <c r="R1686" s="297" t="s">
        <v>213</v>
      </c>
      <c r="S1686" s="297" t="s">
        <v>214</v>
      </c>
    </row>
    <row r="1687" spans="1:19" x14ac:dyDescent="0.4">
      <c r="A1687" s="291"/>
      <c r="B1687" s="292"/>
      <c r="C1687" s="312"/>
      <c r="D1687" s="292"/>
      <c r="E1687" s="489"/>
      <c r="F1687" s="489"/>
      <c r="G1687" s="490"/>
      <c r="H1687" s="520"/>
      <c r="I1687" s="523"/>
      <c r="J1687" s="521"/>
      <c r="K1687" s="522"/>
      <c r="M1687" s="301" t="str">
        <f>N1687&amp;AS[[#This Row],[Insurer Code]]&amp;"; "&amp;O1687&amp;AS[[#This Row],[Reporting Year]]&amp;"; "&amp;P1687&amp;AS[[#This Row],[Insurance Category Code]]&amp;"; "&amp;Q1687&amp;AS[[#This Row],[Large Provider Entity Code]]&amp;"; "&amp;R1687&amp;AS[[#This Row],[Age Band Code]]&amp;"; "&amp;S1687&amp;AS[[#This Row],[Sex Code]]</f>
        <v xml:space="preserve">Insurer Code ; Reporting Year ; Insurance Category Code ; Large Provider Entity Code ; Age Band Code ; Sex Code </v>
      </c>
      <c r="N1687" s="297" t="s">
        <v>197</v>
      </c>
      <c r="O1687" s="297" t="s">
        <v>198</v>
      </c>
      <c r="P1687" s="297" t="s">
        <v>199</v>
      </c>
      <c r="Q1687" s="297" t="s">
        <v>200</v>
      </c>
      <c r="R1687" s="297" t="s">
        <v>213</v>
      </c>
      <c r="S1687" s="297" t="s">
        <v>214</v>
      </c>
    </row>
    <row r="1688" spans="1:19" x14ac:dyDescent="0.4">
      <c r="A1688" s="291"/>
      <c r="B1688" s="292"/>
      <c r="C1688" s="312"/>
      <c r="D1688" s="292"/>
      <c r="E1688" s="489"/>
      <c r="F1688" s="489"/>
      <c r="G1688" s="490"/>
      <c r="H1688" s="520"/>
      <c r="I1688" s="523"/>
      <c r="J1688" s="521"/>
      <c r="K1688" s="522"/>
      <c r="M1688" s="301" t="str">
        <f>N1688&amp;AS[[#This Row],[Insurer Code]]&amp;"; "&amp;O1688&amp;AS[[#This Row],[Reporting Year]]&amp;"; "&amp;P1688&amp;AS[[#This Row],[Insurance Category Code]]&amp;"; "&amp;Q1688&amp;AS[[#This Row],[Large Provider Entity Code]]&amp;"; "&amp;R1688&amp;AS[[#This Row],[Age Band Code]]&amp;"; "&amp;S1688&amp;AS[[#This Row],[Sex Code]]</f>
        <v xml:space="preserve">Insurer Code ; Reporting Year ; Insurance Category Code ; Large Provider Entity Code ; Age Band Code ; Sex Code </v>
      </c>
      <c r="N1688" s="297" t="s">
        <v>197</v>
      </c>
      <c r="O1688" s="297" t="s">
        <v>198</v>
      </c>
      <c r="P1688" s="297" t="s">
        <v>199</v>
      </c>
      <c r="Q1688" s="297" t="s">
        <v>200</v>
      </c>
      <c r="R1688" s="297" t="s">
        <v>213</v>
      </c>
      <c r="S1688" s="297" t="s">
        <v>214</v>
      </c>
    </row>
    <row r="1689" spans="1:19" x14ac:dyDescent="0.4">
      <c r="A1689" s="291"/>
      <c r="B1689" s="292"/>
      <c r="C1689" s="312"/>
      <c r="D1689" s="292"/>
      <c r="E1689" s="489"/>
      <c r="F1689" s="489"/>
      <c r="G1689" s="490"/>
      <c r="H1689" s="520"/>
      <c r="I1689" s="523"/>
      <c r="J1689" s="521"/>
      <c r="K1689" s="522"/>
      <c r="M1689" s="301" t="str">
        <f>N1689&amp;AS[[#This Row],[Insurer Code]]&amp;"; "&amp;O1689&amp;AS[[#This Row],[Reporting Year]]&amp;"; "&amp;P1689&amp;AS[[#This Row],[Insurance Category Code]]&amp;"; "&amp;Q1689&amp;AS[[#This Row],[Large Provider Entity Code]]&amp;"; "&amp;R1689&amp;AS[[#This Row],[Age Band Code]]&amp;"; "&amp;S1689&amp;AS[[#This Row],[Sex Code]]</f>
        <v xml:space="preserve">Insurer Code ; Reporting Year ; Insurance Category Code ; Large Provider Entity Code ; Age Band Code ; Sex Code </v>
      </c>
      <c r="N1689" s="297" t="s">
        <v>197</v>
      </c>
      <c r="O1689" s="297" t="s">
        <v>198</v>
      </c>
      <c r="P1689" s="297" t="s">
        <v>199</v>
      </c>
      <c r="Q1689" s="297" t="s">
        <v>200</v>
      </c>
      <c r="R1689" s="297" t="s">
        <v>213</v>
      </c>
      <c r="S1689" s="297" t="s">
        <v>214</v>
      </c>
    </row>
    <row r="1690" spans="1:19" x14ac:dyDescent="0.4">
      <c r="A1690" s="291"/>
      <c r="B1690" s="292"/>
      <c r="C1690" s="312"/>
      <c r="D1690" s="292"/>
      <c r="E1690" s="489"/>
      <c r="F1690" s="489"/>
      <c r="G1690" s="490"/>
      <c r="H1690" s="520"/>
      <c r="I1690" s="523"/>
      <c r="J1690" s="521"/>
      <c r="K1690" s="522"/>
      <c r="M1690" s="301" t="str">
        <f>N1690&amp;AS[[#This Row],[Insurer Code]]&amp;"; "&amp;O1690&amp;AS[[#This Row],[Reporting Year]]&amp;"; "&amp;P1690&amp;AS[[#This Row],[Insurance Category Code]]&amp;"; "&amp;Q1690&amp;AS[[#This Row],[Large Provider Entity Code]]&amp;"; "&amp;R1690&amp;AS[[#This Row],[Age Band Code]]&amp;"; "&amp;S1690&amp;AS[[#This Row],[Sex Code]]</f>
        <v xml:space="preserve">Insurer Code ; Reporting Year ; Insurance Category Code ; Large Provider Entity Code ; Age Band Code ; Sex Code </v>
      </c>
      <c r="N1690" s="297" t="s">
        <v>197</v>
      </c>
      <c r="O1690" s="297" t="s">
        <v>198</v>
      </c>
      <c r="P1690" s="297" t="s">
        <v>199</v>
      </c>
      <c r="Q1690" s="297" t="s">
        <v>200</v>
      </c>
      <c r="R1690" s="297" t="s">
        <v>213</v>
      </c>
      <c r="S1690" s="297" t="s">
        <v>214</v>
      </c>
    </row>
    <row r="1691" spans="1:19" x14ac:dyDescent="0.4">
      <c r="A1691" s="291"/>
      <c r="B1691" s="292"/>
      <c r="C1691" s="312"/>
      <c r="D1691" s="292"/>
      <c r="E1691" s="489"/>
      <c r="F1691" s="489"/>
      <c r="G1691" s="490"/>
      <c r="H1691" s="520"/>
      <c r="I1691" s="523"/>
      <c r="J1691" s="521"/>
      <c r="K1691" s="522"/>
      <c r="M1691" s="301" t="str">
        <f>N1691&amp;AS[[#This Row],[Insurer Code]]&amp;"; "&amp;O1691&amp;AS[[#This Row],[Reporting Year]]&amp;"; "&amp;P1691&amp;AS[[#This Row],[Insurance Category Code]]&amp;"; "&amp;Q1691&amp;AS[[#This Row],[Large Provider Entity Code]]&amp;"; "&amp;R1691&amp;AS[[#This Row],[Age Band Code]]&amp;"; "&amp;S1691&amp;AS[[#This Row],[Sex Code]]</f>
        <v xml:space="preserve">Insurer Code ; Reporting Year ; Insurance Category Code ; Large Provider Entity Code ; Age Band Code ; Sex Code </v>
      </c>
      <c r="N1691" s="297" t="s">
        <v>197</v>
      </c>
      <c r="O1691" s="297" t="s">
        <v>198</v>
      </c>
      <c r="P1691" s="297" t="s">
        <v>199</v>
      </c>
      <c r="Q1691" s="297" t="s">
        <v>200</v>
      </c>
      <c r="R1691" s="297" t="s">
        <v>213</v>
      </c>
      <c r="S1691" s="297" t="s">
        <v>214</v>
      </c>
    </row>
    <row r="1692" spans="1:19" x14ac:dyDescent="0.4">
      <c r="A1692" s="291"/>
      <c r="B1692" s="292"/>
      <c r="C1692" s="312"/>
      <c r="D1692" s="292"/>
      <c r="E1692" s="489"/>
      <c r="F1692" s="489"/>
      <c r="G1692" s="490"/>
      <c r="H1692" s="520"/>
      <c r="I1692" s="523"/>
      <c r="J1692" s="521"/>
      <c r="K1692" s="522"/>
      <c r="M1692" s="301" t="str">
        <f>N1692&amp;AS[[#This Row],[Insurer Code]]&amp;"; "&amp;O1692&amp;AS[[#This Row],[Reporting Year]]&amp;"; "&amp;P1692&amp;AS[[#This Row],[Insurance Category Code]]&amp;"; "&amp;Q1692&amp;AS[[#This Row],[Large Provider Entity Code]]&amp;"; "&amp;R1692&amp;AS[[#This Row],[Age Band Code]]&amp;"; "&amp;S1692&amp;AS[[#This Row],[Sex Code]]</f>
        <v xml:space="preserve">Insurer Code ; Reporting Year ; Insurance Category Code ; Large Provider Entity Code ; Age Band Code ; Sex Code </v>
      </c>
      <c r="N1692" s="297" t="s">
        <v>197</v>
      </c>
      <c r="O1692" s="297" t="s">
        <v>198</v>
      </c>
      <c r="P1692" s="297" t="s">
        <v>199</v>
      </c>
      <c r="Q1692" s="297" t="s">
        <v>200</v>
      </c>
      <c r="R1692" s="297" t="s">
        <v>213</v>
      </c>
      <c r="S1692" s="297" t="s">
        <v>214</v>
      </c>
    </row>
    <row r="1693" spans="1:19" x14ac:dyDescent="0.4">
      <c r="A1693" s="291"/>
      <c r="B1693" s="292"/>
      <c r="C1693" s="312"/>
      <c r="D1693" s="292"/>
      <c r="E1693" s="489"/>
      <c r="F1693" s="489"/>
      <c r="G1693" s="490"/>
      <c r="H1693" s="520"/>
      <c r="I1693" s="523"/>
      <c r="J1693" s="521"/>
      <c r="K1693" s="522"/>
      <c r="M1693" s="301" t="str">
        <f>N1693&amp;AS[[#This Row],[Insurer Code]]&amp;"; "&amp;O1693&amp;AS[[#This Row],[Reporting Year]]&amp;"; "&amp;P1693&amp;AS[[#This Row],[Insurance Category Code]]&amp;"; "&amp;Q1693&amp;AS[[#This Row],[Large Provider Entity Code]]&amp;"; "&amp;R1693&amp;AS[[#This Row],[Age Band Code]]&amp;"; "&amp;S1693&amp;AS[[#This Row],[Sex Code]]</f>
        <v xml:space="preserve">Insurer Code ; Reporting Year ; Insurance Category Code ; Large Provider Entity Code ; Age Band Code ; Sex Code </v>
      </c>
      <c r="N1693" s="297" t="s">
        <v>197</v>
      </c>
      <c r="O1693" s="297" t="s">
        <v>198</v>
      </c>
      <c r="P1693" s="297" t="s">
        <v>199</v>
      </c>
      <c r="Q1693" s="297" t="s">
        <v>200</v>
      </c>
      <c r="R1693" s="297" t="s">
        <v>213</v>
      </c>
      <c r="S1693" s="297" t="s">
        <v>214</v>
      </c>
    </row>
    <row r="1694" spans="1:19" x14ac:dyDescent="0.4">
      <c r="A1694" s="291"/>
      <c r="B1694" s="292"/>
      <c r="C1694" s="312"/>
      <c r="D1694" s="292"/>
      <c r="E1694" s="489"/>
      <c r="F1694" s="489"/>
      <c r="G1694" s="490"/>
      <c r="H1694" s="520"/>
      <c r="I1694" s="523"/>
      <c r="J1694" s="521"/>
      <c r="K1694" s="522"/>
      <c r="M1694" s="301" t="str">
        <f>N1694&amp;AS[[#This Row],[Insurer Code]]&amp;"; "&amp;O1694&amp;AS[[#This Row],[Reporting Year]]&amp;"; "&amp;P1694&amp;AS[[#This Row],[Insurance Category Code]]&amp;"; "&amp;Q1694&amp;AS[[#This Row],[Large Provider Entity Code]]&amp;"; "&amp;R1694&amp;AS[[#This Row],[Age Band Code]]&amp;"; "&amp;S1694&amp;AS[[#This Row],[Sex Code]]</f>
        <v xml:space="preserve">Insurer Code ; Reporting Year ; Insurance Category Code ; Large Provider Entity Code ; Age Band Code ; Sex Code </v>
      </c>
      <c r="N1694" s="297" t="s">
        <v>197</v>
      </c>
      <c r="O1694" s="297" t="s">
        <v>198</v>
      </c>
      <c r="P1694" s="297" t="s">
        <v>199</v>
      </c>
      <c r="Q1694" s="297" t="s">
        <v>200</v>
      </c>
      <c r="R1694" s="297" t="s">
        <v>213</v>
      </c>
      <c r="S1694" s="297" t="s">
        <v>214</v>
      </c>
    </row>
    <row r="1695" spans="1:19" x14ac:dyDescent="0.4">
      <c r="A1695" s="291"/>
      <c r="B1695" s="292"/>
      <c r="C1695" s="312"/>
      <c r="D1695" s="292"/>
      <c r="E1695" s="489"/>
      <c r="F1695" s="489"/>
      <c r="G1695" s="490"/>
      <c r="H1695" s="520"/>
      <c r="I1695" s="523"/>
      <c r="J1695" s="521"/>
      <c r="K1695" s="522"/>
      <c r="M1695" s="301" t="str">
        <f>N1695&amp;AS[[#This Row],[Insurer Code]]&amp;"; "&amp;O1695&amp;AS[[#This Row],[Reporting Year]]&amp;"; "&amp;P1695&amp;AS[[#This Row],[Insurance Category Code]]&amp;"; "&amp;Q1695&amp;AS[[#This Row],[Large Provider Entity Code]]&amp;"; "&amp;R1695&amp;AS[[#This Row],[Age Band Code]]&amp;"; "&amp;S1695&amp;AS[[#This Row],[Sex Code]]</f>
        <v xml:space="preserve">Insurer Code ; Reporting Year ; Insurance Category Code ; Large Provider Entity Code ; Age Band Code ; Sex Code </v>
      </c>
      <c r="N1695" s="297" t="s">
        <v>197</v>
      </c>
      <c r="O1695" s="297" t="s">
        <v>198</v>
      </c>
      <c r="P1695" s="297" t="s">
        <v>199</v>
      </c>
      <c r="Q1695" s="297" t="s">
        <v>200</v>
      </c>
      <c r="R1695" s="297" t="s">
        <v>213</v>
      </c>
      <c r="S1695" s="297" t="s">
        <v>214</v>
      </c>
    </row>
    <row r="1696" spans="1:19" x14ac:dyDescent="0.4">
      <c r="A1696" s="291"/>
      <c r="B1696" s="292"/>
      <c r="C1696" s="312"/>
      <c r="D1696" s="292"/>
      <c r="E1696" s="489"/>
      <c r="F1696" s="489"/>
      <c r="G1696" s="490"/>
      <c r="H1696" s="520"/>
      <c r="I1696" s="523"/>
      <c r="J1696" s="521"/>
      <c r="K1696" s="522"/>
      <c r="M1696" s="301" t="str">
        <f>N1696&amp;AS[[#This Row],[Insurer Code]]&amp;"; "&amp;O1696&amp;AS[[#This Row],[Reporting Year]]&amp;"; "&amp;P1696&amp;AS[[#This Row],[Insurance Category Code]]&amp;"; "&amp;Q1696&amp;AS[[#This Row],[Large Provider Entity Code]]&amp;"; "&amp;R1696&amp;AS[[#This Row],[Age Band Code]]&amp;"; "&amp;S1696&amp;AS[[#This Row],[Sex Code]]</f>
        <v xml:space="preserve">Insurer Code ; Reporting Year ; Insurance Category Code ; Large Provider Entity Code ; Age Band Code ; Sex Code </v>
      </c>
      <c r="N1696" s="297" t="s">
        <v>197</v>
      </c>
      <c r="O1696" s="297" t="s">
        <v>198</v>
      </c>
      <c r="P1696" s="297" t="s">
        <v>199</v>
      </c>
      <c r="Q1696" s="297" t="s">
        <v>200</v>
      </c>
      <c r="R1696" s="297" t="s">
        <v>213</v>
      </c>
      <c r="S1696" s="297" t="s">
        <v>214</v>
      </c>
    </row>
    <row r="1697" spans="1:19" x14ac:dyDescent="0.4">
      <c r="A1697" s="291"/>
      <c r="B1697" s="292"/>
      <c r="C1697" s="312"/>
      <c r="D1697" s="292"/>
      <c r="E1697" s="489"/>
      <c r="F1697" s="489"/>
      <c r="G1697" s="490"/>
      <c r="H1697" s="520"/>
      <c r="I1697" s="523"/>
      <c r="J1697" s="521"/>
      <c r="K1697" s="522"/>
      <c r="M1697" s="301" t="str">
        <f>N1697&amp;AS[[#This Row],[Insurer Code]]&amp;"; "&amp;O1697&amp;AS[[#This Row],[Reporting Year]]&amp;"; "&amp;P1697&amp;AS[[#This Row],[Insurance Category Code]]&amp;"; "&amp;Q1697&amp;AS[[#This Row],[Large Provider Entity Code]]&amp;"; "&amp;R1697&amp;AS[[#This Row],[Age Band Code]]&amp;"; "&amp;S1697&amp;AS[[#This Row],[Sex Code]]</f>
        <v xml:space="preserve">Insurer Code ; Reporting Year ; Insurance Category Code ; Large Provider Entity Code ; Age Band Code ; Sex Code </v>
      </c>
      <c r="N1697" s="297" t="s">
        <v>197</v>
      </c>
      <c r="O1697" s="297" t="s">
        <v>198</v>
      </c>
      <c r="P1697" s="297" t="s">
        <v>199</v>
      </c>
      <c r="Q1697" s="297" t="s">
        <v>200</v>
      </c>
      <c r="R1697" s="297" t="s">
        <v>213</v>
      </c>
      <c r="S1697" s="297" t="s">
        <v>214</v>
      </c>
    </row>
    <row r="1698" spans="1:19" x14ac:dyDescent="0.4">
      <c r="A1698" s="291"/>
      <c r="B1698" s="292"/>
      <c r="C1698" s="312"/>
      <c r="D1698" s="292"/>
      <c r="E1698" s="489"/>
      <c r="F1698" s="489"/>
      <c r="G1698" s="490"/>
      <c r="H1698" s="520"/>
      <c r="I1698" s="523"/>
      <c r="J1698" s="521"/>
      <c r="K1698" s="522"/>
      <c r="M1698" s="301" t="str">
        <f>N1698&amp;AS[[#This Row],[Insurer Code]]&amp;"; "&amp;O1698&amp;AS[[#This Row],[Reporting Year]]&amp;"; "&amp;P1698&amp;AS[[#This Row],[Insurance Category Code]]&amp;"; "&amp;Q1698&amp;AS[[#This Row],[Large Provider Entity Code]]&amp;"; "&amp;R1698&amp;AS[[#This Row],[Age Band Code]]&amp;"; "&amp;S1698&amp;AS[[#This Row],[Sex Code]]</f>
        <v xml:space="preserve">Insurer Code ; Reporting Year ; Insurance Category Code ; Large Provider Entity Code ; Age Band Code ; Sex Code </v>
      </c>
      <c r="N1698" s="297" t="s">
        <v>197</v>
      </c>
      <c r="O1698" s="297" t="s">
        <v>198</v>
      </c>
      <c r="P1698" s="297" t="s">
        <v>199</v>
      </c>
      <c r="Q1698" s="297" t="s">
        <v>200</v>
      </c>
      <c r="R1698" s="297" t="s">
        <v>213</v>
      </c>
      <c r="S1698" s="297" t="s">
        <v>214</v>
      </c>
    </row>
    <row r="1699" spans="1:19" x14ac:dyDescent="0.4">
      <c r="A1699" s="291"/>
      <c r="B1699" s="292"/>
      <c r="C1699" s="312"/>
      <c r="D1699" s="292"/>
      <c r="E1699" s="489"/>
      <c r="F1699" s="489"/>
      <c r="G1699" s="490"/>
      <c r="H1699" s="520"/>
      <c r="I1699" s="523"/>
      <c r="J1699" s="521"/>
      <c r="K1699" s="522"/>
      <c r="M1699" s="301" t="str">
        <f>N1699&amp;AS[[#This Row],[Insurer Code]]&amp;"; "&amp;O1699&amp;AS[[#This Row],[Reporting Year]]&amp;"; "&amp;P1699&amp;AS[[#This Row],[Insurance Category Code]]&amp;"; "&amp;Q1699&amp;AS[[#This Row],[Large Provider Entity Code]]&amp;"; "&amp;R1699&amp;AS[[#This Row],[Age Band Code]]&amp;"; "&amp;S1699&amp;AS[[#This Row],[Sex Code]]</f>
        <v xml:space="preserve">Insurer Code ; Reporting Year ; Insurance Category Code ; Large Provider Entity Code ; Age Band Code ; Sex Code </v>
      </c>
      <c r="N1699" s="297" t="s">
        <v>197</v>
      </c>
      <c r="O1699" s="297" t="s">
        <v>198</v>
      </c>
      <c r="P1699" s="297" t="s">
        <v>199</v>
      </c>
      <c r="Q1699" s="297" t="s">
        <v>200</v>
      </c>
      <c r="R1699" s="297" t="s">
        <v>213</v>
      </c>
      <c r="S1699" s="297" t="s">
        <v>214</v>
      </c>
    </row>
    <row r="1700" spans="1:19" x14ac:dyDescent="0.4">
      <c r="A1700" s="291"/>
      <c r="B1700" s="292"/>
      <c r="C1700" s="312"/>
      <c r="D1700" s="292"/>
      <c r="E1700" s="489"/>
      <c r="F1700" s="489"/>
      <c r="G1700" s="490"/>
      <c r="H1700" s="520"/>
      <c r="I1700" s="523"/>
      <c r="J1700" s="521"/>
      <c r="K1700" s="522"/>
      <c r="M1700" s="301" t="str">
        <f>N1700&amp;AS[[#This Row],[Insurer Code]]&amp;"; "&amp;O1700&amp;AS[[#This Row],[Reporting Year]]&amp;"; "&amp;P1700&amp;AS[[#This Row],[Insurance Category Code]]&amp;"; "&amp;Q1700&amp;AS[[#This Row],[Large Provider Entity Code]]&amp;"; "&amp;R1700&amp;AS[[#This Row],[Age Band Code]]&amp;"; "&amp;S1700&amp;AS[[#This Row],[Sex Code]]</f>
        <v xml:space="preserve">Insurer Code ; Reporting Year ; Insurance Category Code ; Large Provider Entity Code ; Age Band Code ; Sex Code </v>
      </c>
      <c r="N1700" s="297" t="s">
        <v>197</v>
      </c>
      <c r="O1700" s="297" t="s">
        <v>198</v>
      </c>
      <c r="P1700" s="297" t="s">
        <v>199</v>
      </c>
      <c r="Q1700" s="297" t="s">
        <v>200</v>
      </c>
      <c r="R1700" s="297" t="s">
        <v>213</v>
      </c>
      <c r="S1700" s="297" t="s">
        <v>214</v>
      </c>
    </row>
    <row r="1701" spans="1:19" x14ac:dyDescent="0.4">
      <c r="A1701" s="291"/>
      <c r="B1701" s="292"/>
      <c r="C1701" s="312"/>
      <c r="D1701" s="292"/>
      <c r="E1701" s="489"/>
      <c r="F1701" s="489"/>
      <c r="G1701" s="490"/>
      <c r="H1701" s="520"/>
      <c r="I1701" s="523"/>
      <c r="J1701" s="521"/>
      <c r="K1701" s="522"/>
      <c r="M1701" s="301" t="str">
        <f>N1701&amp;AS[[#This Row],[Insurer Code]]&amp;"; "&amp;O1701&amp;AS[[#This Row],[Reporting Year]]&amp;"; "&amp;P1701&amp;AS[[#This Row],[Insurance Category Code]]&amp;"; "&amp;Q1701&amp;AS[[#This Row],[Large Provider Entity Code]]&amp;"; "&amp;R1701&amp;AS[[#This Row],[Age Band Code]]&amp;"; "&amp;S1701&amp;AS[[#This Row],[Sex Code]]</f>
        <v xml:space="preserve">Insurer Code ; Reporting Year ; Insurance Category Code ; Large Provider Entity Code ; Age Band Code ; Sex Code </v>
      </c>
      <c r="N1701" s="297" t="s">
        <v>197</v>
      </c>
      <c r="O1701" s="297" t="s">
        <v>198</v>
      </c>
      <c r="P1701" s="297" t="s">
        <v>199</v>
      </c>
      <c r="Q1701" s="297" t="s">
        <v>200</v>
      </c>
      <c r="R1701" s="297" t="s">
        <v>213</v>
      </c>
      <c r="S1701" s="297" t="s">
        <v>214</v>
      </c>
    </row>
    <row r="1702" spans="1:19" x14ac:dyDescent="0.4">
      <c r="A1702" s="291"/>
      <c r="B1702" s="292"/>
      <c r="C1702" s="312"/>
      <c r="D1702" s="292"/>
      <c r="E1702" s="489"/>
      <c r="F1702" s="489"/>
      <c r="G1702" s="490"/>
      <c r="H1702" s="520"/>
      <c r="I1702" s="523"/>
      <c r="J1702" s="521"/>
      <c r="K1702" s="522"/>
      <c r="M1702" s="301" t="str">
        <f>N1702&amp;AS[[#This Row],[Insurer Code]]&amp;"; "&amp;O1702&amp;AS[[#This Row],[Reporting Year]]&amp;"; "&amp;P1702&amp;AS[[#This Row],[Insurance Category Code]]&amp;"; "&amp;Q1702&amp;AS[[#This Row],[Large Provider Entity Code]]&amp;"; "&amp;R1702&amp;AS[[#This Row],[Age Band Code]]&amp;"; "&amp;S1702&amp;AS[[#This Row],[Sex Code]]</f>
        <v xml:space="preserve">Insurer Code ; Reporting Year ; Insurance Category Code ; Large Provider Entity Code ; Age Band Code ; Sex Code </v>
      </c>
      <c r="N1702" s="297" t="s">
        <v>197</v>
      </c>
      <c r="O1702" s="297" t="s">
        <v>198</v>
      </c>
      <c r="P1702" s="297" t="s">
        <v>199</v>
      </c>
      <c r="Q1702" s="297" t="s">
        <v>200</v>
      </c>
      <c r="R1702" s="297" t="s">
        <v>213</v>
      </c>
      <c r="S1702" s="297" t="s">
        <v>214</v>
      </c>
    </row>
    <row r="1703" spans="1:19" x14ac:dyDescent="0.4">
      <c r="A1703" s="291"/>
      <c r="B1703" s="292"/>
      <c r="C1703" s="312"/>
      <c r="D1703" s="292"/>
      <c r="E1703" s="489"/>
      <c r="F1703" s="489"/>
      <c r="G1703" s="490"/>
      <c r="H1703" s="520"/>
      <c r="I1703" s="523"/>
      <c r="J1703" s="521"/>
      <c r="K1703" s="522"/>
      <c r="M1703" s="301" t="str">
        <f>N1703&amp;AS[[#This Row],[Insurer Code]]&amp;"; "&amp;O1703&amp;AS[[#This Row],[Reporting Year]]&amp;"; "&amp;P1703&amp;AS[[#This Row],[Insurance Category Code]]&amp;"; "&amp;Q1703&amp;AS[[#This Row],[Large Provider Entity Code]]&amp;"; "&amp;R1703&amp;AS[[#This Row],[Age Band Code]]&amp;"; "&amp;S1703&amp;AS[[#This Row],[Sex Code]]</f>
        <v xml:space="preserve">Insurer Code ; Reporting Year ; Insurance Category Code ; Large Provider Entity Code ; Age Band Code ; Sex Code </v>
      </c>
      <c r="N1703" s="297" t="s">
        <v>197</v>
      </c>
      <c r="O1703" s="297" t="s">
        <v>198</v>
      </c>
      <c r="P1703" s="297" t="s">
        <v>199</v>
      </c>
      <c r="Q1703" s="297" t="s">
        <v>200</v>
      </c>
      <c r="R1703" s="297" t="s">
        <v>213</v>
      </c>
      <c r="S1703" s="297" t="s">
        <v>214</v>
      </c>
    </row>
    <row r="1704" spans="1:19" x14ac:dyDescent="0.4">
      <c r="A1704" s="291"/>
      <c r="B1704" s="292"/>
      <c r="C1704" s="312"/>
      <c r="D1704" s="292"/>
      <c r="E1704" s="489"/>
      <c r="F1704" s="489"/>
      <c r="G1704" s="490"/>
      <c r="H1704" s="520"/>
      <c r="I1704" s="523"/>
      <c r="J1704" s="521"/>
      <c r="K1704" s="522"/>
      <c r="M1704" s="301" t="str">
        <f>N1704&amp;AS[[#This Row],[Insurer Code]]&amp;"; "&amp;O1704&amp;AS[[#This Row],[Reporting Year]]&amp;"; "&amp;P1704&amp;AS[[#This Row],[Insurance Category Code]]&amp;"; "&amp;Q1704&amp;AS[[#This Row],[Large Provider Entity Code]]&amp;"; "&amp;R1704&amp;AS[[#This Row],[Age Band Code]]&amp;"; "&amp;S1704&amp;AS[[#This Row],[Sex Code]]</f>
        <v xml:space="preserve">Insurer Code ; Reporting Year ; Insurance Category Code ; Large Provider Entity Code ; Age Band Code ; Sex Code </v>
      </c>
      <c r="N1704" s="297" t="s">
        <v>197</v>
      </c>
      <c r="O1704" s="297" t="s">
        <v>198</v>
      </c>
      <c r="P1704" s="297" t="s">
        <v>199</v>
      </c>
      <c r="Q1704" s="297" t="s">
        <v>200</v>
      </c>
      <c r="R1704" s="297" t="s">
        <v>213</v>
      </c>
      <c r="S1704" s="297" t="s">
        <v>214</v>
      </c>
    </row>
    <row r="1705" spans="1:19" x14ac:dyDescent="0.4">
      <c r="A1705" s="291"/>
      <c r="B1705" s="292"/>
      <c r="C1705" s="312"/>
      <c r="D1705" s="292"/>
      <c r="E1705" s="489"/>
      <c r="F1705" s="489"/>
      <c r="G1705" s="490"/>
      <c r="H1705" s="520"/>
      <c r="I1705" s="523"/>
      <c r="J1705" s="521"/>
      <c r="K1705" s="522"/>
      <c r="M1705" s="301" t="str">
        <f>N1705&amp;AS[[#This Row],[Insurer Code]]&amp;"; "&amp;O1705&amp;AS[[#This Row],[Reporting Year]]&amp;"; "&amp;P1705&amp;AS[[#This Row],[Insurance Category Code]]&amp;"; "&amp;Q1705&amp;AS[[#This Row],[Large Provider Entity Code]]&amp;"; "&amp;R1705&amp;AS[[#This Row],[Age Band Code]]&amp;"; "&amp;S1705&amp;AS[[#This Row],[Sex Code]]</f>
        <v xml:space="preserve">Insurer Code ; Reporting Year ; Insurance Category Code ; Large Provider Entity Code ; Age Band Code ; Sex Code </v>
      </c>
      <c r="N1705" s="297" t="s">
        <v>197</v>
      </c>
      <c r="O1705" s="297" t="s">
        <v>198</v>
      </c>
      <c r="P1705" s="297" t="s">
        <v>199</v>
      </c>
      <c r="Q1705" s="297" t="s">
        <v>200</v>
      </c>
      <c r="R1705" s="297" t="s">
        <v>213</v>
      </c>
      <c r="S1705" s="297" t="s">
        <v>214</v>
      </c>
    </row>
    <row r="1706" spans="1:19" x14ac:dyDescent="0.4">
      <c r="A1706" s="291"/>
      <c r="B1706" s="292"/>
      <c r="C1706" s="312"/>
      <c r="D1706" s="292"/>
      <c r="E1706" s="489"/>
      <c r="F1706" s="489"/>
      <c r="G1706" s="490"/>
      <c r="H1706" s="520"/>
      <c r="I1706" s="523"/>
      <c r="J1706" s="521"/>
      <c r="K1706" s="522"/>
      <c r="M1706" s="301" t="str">
        <f>N1706&amp;AS[[#This Row],[Insurer Code]]&amp;"; "&amp;O1706&amp;AS[[#This Row],[Reporting Year]]&amp;"; "&amp;P1706&amp;AS[[#This Row],[Insurance Category Code]]&amp;"; "&amp;Q1706&amp;AS[[#This Row],[Large Provider Entity Code]]&amp;"; "&amp;R1706&amp;AS[[#This Row],[Age Band Code]]&amp;"; "&amp;S1706&amp;AS[[#This Row],[Sex Code]]</f>
        <v xml:space="preserve">Insurer Code ; Reporting Year ; Insurance Category Code ; Large Provider Entity Code ; Age Band Code ; Sex Code </v>
      </c>
      <c r="N1706" s="297" t="s">
        <v>197</v>
      </c>
      <c r="O1706" s="297" t="s">
        <v>198</v>
      </c>
      <c r="P1706" s="297" t="s">
        <v>199</v>
      </c>
      <c r="Q1706" s="297" t="s">
        <v>200</v>
      </c>
      <c r="R1706" s="297" t="s">
        <v>213</v>
      </c>
      <c r="S1706" s="297" t="s">
        <v>214</v>
      </c>
    </row>
    <row r="1707" spans="1:19" x14ac:dyDescent="0.4">
      <c r="A1707" s="291"/>
      <c r="B1707" s="292"/>
      <c r="C1707" s="312"/>
      <c r="D1707" s="292"/>
      <c r="E1707" s="489"/>
      <c r="F1707" s="489"/>
      <c r="G1707" s="490"/>
      <c r="H1707" s="520"/>
      <c r="I1707" s="523"/>
      <c r="J1707" s="521"/>
      <c r="K1707" s="522"/>
      <c r="M1707" s="301" t="str">
        <f>N1707&amp;AS[[#This Row],[Insurer Code]]&amp;"; "&amp;O1707&amp;AS[[#This Row],[Reporting Year]]&amp;"; "&amp;P1707&amp;AS[[#This Row],[Insurance Category Code]]&amp;"; "&amp;Q1707&amp;AS[[#This Row],[Large Provider Entity Code]]&amp;"; "&amp;R1707&amp;AS[[#This Row],[Age Band Code]]&amp;"; "&amp;S1707&amp;AS[[#This Row],[Sex Code]]</f>
        <v xml:space="preserve">Insurer Code ; Reporting Year ; Insurance Category Code ; Large Provider Entity Code ; Age Band Code ; Sex Code </v>
      </c>
      <c r="N1707" s="297" t="s">
        <v>197</v>
      </c>
      <c r="O1707" s="297" t="s">
        <v>198</v>
      </c>
      <c r="P1707" s="297" t="s">
        <v>199</v>
      </c>
      <c r="Q1707" s="297" t="s">
        <v>200</v>
      </c>
      <c r="R1707" s="297" t="s">
        <v>213</v>
      </c>
      <c r="S1707" s="297" t="s">
        <v>214</v>
      </c>
    </row>
    <row r="1708" spans="1:19" x14ac:dyDescent="0.4">
      <c r="A1708" s="291"/>
      <c r="B1708" s="292"/>
      <c r="C1708" s="312"/>
      <c r="D1708" s="292"/>
      <c r="E1708" s="489"/>
      <c r="F1708" s="489"/>
      <c r="G1708" s="490"/>
      <c r="H1708" s="520"/>
      <c r="I1708" s="523"/>
      <c r="J1708" s="521"/>
      <c r="K1708" s="522"/>
      <c r="M1708" s="301" t="str">
        <f>N1708&amp;AS[[#This Row],[Insurer Code]]&amp;"; "&amp;O1708&amp;AS[[#This Row],[Reporting Year]]&amp;"; "&amp;P1708&amp;AS[[#This Row],[Insurance Category Code]]&amp;"; "&amp;Q1708&amp;AS[[#This Row],[Large Provider Entity Code]]&amp;"; "&amp;R1708&amp;AS[[#This Row],[Age Band Code]]&amp;"; "&amp;S1708&amp;AS[[#This Row],[Sex Code]]</f>
        <v xml:space="preserve">Insurer Code ; Reporting Year ; Insurance Category Code ; Large Provider Entity Code ; Age Band Code ; Sex Code </v>
      </c>
      <c r="N1708" s="297" t="s">
        <v>197</v>
      </c>
      <c r="O1708" s="297" t="s">
        <v>198</v>
      </c>
      <c r="P1708" s="297" t="s">
        <v>199</v>
      </c>
      <c r="Q1708" s="297" t="s">
        <v>200</v>
      </c>
      <c r="R1708" s="297" t="s">
        <v>213</v>
      </c>
      <c r="S1708" s="297" t="s">
        <v>214</v>
      </c>
    </row>
    <row r="1709" spans="1:19" x14ac:dyDescent="0.4">
      <c r="A1709" s="291"/>
      <c r="B1709" s="292"/>
      <c r="C1709" s="312"/>
      <c r="D1709" s="292"/>
      <c r="E1709" s="489"/>
      <c r="F1709" s="489"/>
      <c r="G1709" s="490"/>
      <c r="H1709" s="520"/>
      <c r="I1709" s="523"/>
      <c r="J1709" s="521"/>
      <c r="K1709" s="522"/>
      <c r="M1709" s="301" t="str">
        <f>N1709&amp;AS[[#This Row],[Insurer Code]]&amp;"; "&amp;O1709&amp;AS[[#This Row],[Reporting Year]]&amp;"; "&amp;P1709&amp;AS[[#This Row],[Insurance Category Code]]&amp;"; "&amp;Q1709&amp;AS[[#This Row],[Large Provider Entity Code]]&amp;"; "&amp;R1709&amp;AS[[#This Row],[Age Band Code]]&amp;"; "&amp;S1709&amp;AS[[#This Row],[Sex Code]]</f>
        <v xml:space="preserve">Insurer Code ; Reporting Year ; Insurance Category Code ; Large Provider Entity Code ; Age Band Code ; Sex Code </v>
      </c>
      <c r="N1709" s="297" t="s">
        <v>197</v>
      </c>
      <c r="O1709" s="297" t="s">
        <v>198</v>
      </c>
      <c r="P1709" s="297" t="s">
        <v>199</v>
      </c>
      <c r="Q1709" s="297" t="s">
        <v>200</v>
      </c>
      <c r="R1709" s="297" t="s">
        <v>213</v>
      </c>
      <c r="S1709" s="297" t="s">
        <v>214</v>
      </c>
    </row>
    <row r="1710" spans="1:19" x14ac:dyDescent="0.4">
      <c r="A1710" s="291"/>
      <c r="B1710" s="292"/>
      <c r="C1710" s="312"/>
      <c r="D1710" s="292"/>
      <c r="E1710" s="489"/>
      <c r="F1710" s="489"/>
      <c r="G1710" s="490"/>
      <c r="H1710" s="520"/>
      <c r="I1710" s="523"/>
      <c r="J1710" s="521"/>
      <c r="K1710" s="522"/>
      <c r="M1710" s="301" t="str">
        <f>N1710&amp;AS[[#This Row],[Insurer Code]]&amp;"; "&amp;O1710&amp;AS[[#This Row],[Reporting Year]]&amp;"; "&amp;P1710&amp;AS[[#This Row],[Insurance Category Code]]&amp;"; "&amp;Q1710&amp;AS[[#This Row],[Large Provider Entity Code]]&amp;"; "&amp;R1710&amp;AS[[#This Row],[Age Band Code]]&amp;"; "&amp;S1710&amp;AS[[#This Row],[Sex Code]]</f>
        <v xml:space="preserve">Insurer Code ; Reporting Year ; Insurance Category Code ; Large Provider Entity Code ; Age Band Code ; Sex Code </v>
      </c>
      <c r="N1710" s="297" t="s">
        <v>197</v>
      </c>
      <c r="O1710" s="297" t="s">
        <v>198</v>
      </c>
      <c r="P1710" s="297" t="s">
        <v>199</v>
      </c>
      <c r="Q1710" s="297" t="s">
        <v>200</v>
      </c>
      <c r="R1710" s="297" t="s">
        <v>213</v>
      </c>
      <c r="S1710" s="297" t="s">
        <v>214</v>
      </c>
    </row>
    <row r="1711" spans="1:19" x14ac:dyDescent="0.4">
      <c r="A1711" s="291"/>
      <c r="B1711" s="292"/>
      <c r="C1711" s="312"/>
      <c r="D1711" s="292"/>
      <c r="E1711" s="489"/>
      <c r="F1711" s="489"/>
      <c r="G1711" s="490"/>
      <c r="H1711" s="520"/>
      <c r="I1711" s="523"/>
      <c r="J1711" s="521"/>
      <c r="K1711" s="522"/>
      <c r="M1711" s="301" t="str">
        <f>N1711&amp;AS[[#This Row],[Insurer Code]]&amp;"; "&amp;O1711&amp;AS[[#This Row],[Reporting Year]]&amp;"; "&amp;P1711&amp;AS[[#This Row],[Insurance Category Code]]&amp;"; "&amp;Q1711&amp;AS[[#This Row],[Large Provider Entity Code]]&amp;"; "&amp;R1711&amp;AS[[#This Row],[Age Band Code]]&amp;"; "&amp;S1711&amp;AS[[#This Row],[Sex Code]]</f>
        <v xml:space="preserve">Insurer Code ; Reporting Year ; Insurance Category Code ; Large Provider Entity Code ; Age Band Code ; Sex Code </v>
      </c>
      <c r="N1711" s="297" t="s">
        <v>197</v>
      </c>
      <c r="O1711" s="297" t="s">
        <v>198</v>
      </c>
      <c r="P1711" s="297" t="s">
        <v>199</v>
      </c>
      <c r="Q1711" s="297" t="s">
        <v>200</v>
      </c>
      <c r="R1711" s="297" t="s">
        <v>213</v>
      </c>
      <c r="S1711" s="297" t="s">
        <v>214</v>
      </c>
    </row>
    <row r="1712" spans="1:19" x14ac:dyDescent="0.4">
      <c r="A1712" s="291"/>
      <c r="B1712" s="292"/>
      <c r="C1712" s="312"/>
      <c r="D1712" s="292"/>
      <c r="E1712" s="489"/>
      <c r="F1712" s="489"/>
      <c r="G1712" s="490"/>
      <c r="H1712" s="520"/>
      <c r="I1712" s="523"/>
      <c r="J1712" s="521"/>
      <c r="K1712" s="522"/>
      <c r="M1712" s="301" t="str">
        <f>N1712&amp;AS[[#This Row],[Insurer Code]]&amp;"; "&amp;O1712&amp;AS[[#This Row],[Reporting Year]]&amp;"; "&amp;P1712&amp;AS[[#This Row],[Insurance Category Code]]&amp;"; "&amp;Q1712&amp;AS[[#This Row],[Large Provider Entity Code]]&amp;"; "&amp;R1712&amp;AS[[#This Row],[Age Band Code]]&amp;"; "&amp;S1712&amp;AS[[#This Row],[Sex Code]]</f>
        <v xml:space="preserve">Insurer Code ; Reporting Year ; Insurance Category Code ; Large Provider Entity Code ; Age Band Code ; Sex Code </v>
      </c>
      <c r="N1712" s="297" t="s">
        <v>197</v>
      </c>
      <c r="O1712" s="297" t="s">
        <v>198</v>
      </c>
      <c r="P1712" s="297" t="s">
        <v>199</v>
      </c>
      <c r="Q1712" s="297" t="s">
        <v>200</v>
      </c>
      <c r="R1712" s="297" t="s">
        <v>213</v>
      </c>
      <c r="S1712" s="297" t="s">
        <v>214</v>
      </c>
    </row>
    <row r="1713" spans="1:19" x14ac:dyDescent="0.4">
      <c r="A1713" s="291"/>
      <c r="B1713" s="292"/>
      <c r="C1713" s="312"/>
      <c r="D1713" s="292"/>
      <c r="E1713" s="489"/>
      <c r="F1713" s="489"/>
      <c r="G1713" s="490"/>
      <c r="H1713" s="520"/>
      <c r="I1713" s="523"/>
      <c r="J1713" s="521"/>
      <c r="K1713" s="522"/>
      <c r="M1713" s="301" t="str">
        <f>N1713&amp;AS[[#This Row],[Insurer Code]]&amp;"; "&amp;O1713&amp;AS[[#This Row],[Reporting Year]]&amp;"; "&amp;P1713&amp;AS[[#This Row],[Insurance Category Code]]&amp;"; "&amp;Q1713&amp;AS[[#This Row],[Large Provider Entity Code]]&amp;"; "&amp;R1713&amp;AS[[#This Row],[Age Band Code]]&amp;"; "&amp;S1713&amp;AS[[#This Row],[Sex Code]]</f>
        <v xml:space="preserve">Insurer Code ; Reporting Year ; Insurance Category Code ; Large Provider Entity Code ; Age Band Code ; Sex Code </v>
      </c>
      <c r="N1713" s="297" t="s">
        <v>197</v>
      </c>
      <c r="O1713" s="297" t="s">
        <v>198</v>
      </c>
      <c r="P1713" s="297" t="s">
        <v>199</v>
      </c>
      <c r="Q1713" s="297" t="s">
        <v>200</v>
      </c>
      <c r="R1713" s="297" t="s">
        <v>213</v>
      </c>
      <c r="S1713" s="297" t="s">
        <v>214</v>
      </c>
    </row>
    <row r="1714" spans="1:19" x14ac:dyDescent="0.4">
      <c r="A1714" s="291"/>
      <c r="B1714" s="292"/>
      <c r="C1714" s="312"/>
      <c r="D1714" s="292"/>
      <c r="E1714" s="489"/>
      <c r="F1714" s="489"/>
      <c r="G1714" s="490"/>
      <c r="H1714" s="520"/>
      <c r="I1714" s="523"/>
      <c r="J1714" s="521"/>
      <c r="K1714" s="522"/>
      <c r="M1714" s="301" t="str">
        <f>N1714&amp;AS[[#This Row],[Insurer Code]]&amp;"; "&amp;O1714&amp;AS[[#This Row],[Reporting Year]]&amp;"; "&amp;P1714&amp;AS[[#This Row],[Insurance Category Code]]&amp;"; "&amp;Q1714&amp;AS[[#This Row],[Large Provider Entity Code]]&amp;"; "&amp;R1714&amp;AS[[#This Row],[Age Band Code]]&amp;"; "&amp;S1714&amp;AS[[#This Row],[Sex Code]]</f>
        <v xml:space="preserve">Insurer Code ; Reporting Year ; Insurance Category Code ; Large Provider Entity Code ; Age Band Code ; Sex Code </v>
      </c>
      <c r="N1714" s="297" t="s">
        <v>197</v>
      </c>
      <c r="O1714" s="297" t="s">
        <v>198</v>
      </c>
      <c r="P1714" s="297" t="s">
        <v>199</v>
      </c>
      <c r="Q1714" s="297" t="s">
        <v>200</v>
      </c>
      <c r="R1714" s="297" t="s">
        <v>213</v>
      </c>
      <c r="S1714" s="297" t="s">
        <v>214</v>
      </c>
    </row>
    <row r="1715" spans="1:19" x14ac:dyDescent="0.4">
      <c r="A1715" s="291"/>
      <c r="B1715" s="292"/>
      <c r="C1715" s="312"/>
      <c r="D1715" s="292"/>
      <c r="E1715" s="489"/>
      <c r="F1715" s="489"/>
      <c r="G1715" s="490"/>
      <c r="H1715" s="520"/>
      <c r="I1715" s="523"/>
      <c r="J1715" s="521"/>
      <c r="K1715" s="522"/>
      <c r="M1715" s="301" t="str">
        <f>N1715&amp;AS[[#This Row],[Insurer Code]]&amp;"; "&amp;O1715&amp;AS[[#This Row],[Reporting Year]]&amp;"; "&amp;P1715&amp;AS[[#This Row],[Insurance Category Code]]&amp;"; "&amp;Q1715&amp;AS[[#This Row],[Large Provider Entity Code]]&amp;"; "&amp;R1715&amp;AS[[#This Row],[Age Band Code]]&amp;"; "&amp;S1715&amp;AS[[#This Row],[Sex Code]]</f>
        <v xml:space="preserve">Insurer Code ; Reporting Year ; Insurance Category Code ; Large Provider Entity Code ; Age Band Code ; Sex Code </v>
      </c>
      <c r="N1715" s="297" t="s">
        <v>197</v>
      </c>
      <c r="O1715" s="297" t="s">
        <v>198</v>
      </c>
      <c r="P1715" s="297" t="s">
        <v>199</v>
      </c>
      <c r="Q1715" s="297" t="s">
        <v>200</v>
      </c>
      <c r="R1715" s="297" t="s">
        <v>213</v>
      </c>
      <c r="S1715" s="297" t="s">
        <v>214</v>
      </c>
    </row>
    <row r="1716" spans="1:19" x14ac:dyDescent="0.4">
      <c r="A1716" s="291"/>
      <c r="B1716" s="292"/>
      <c r="C1716" s="312"/>
      <c r="D1716" s="292"/>
      <c r="E1716" s="489"/>
      <c r="F1716" s="489"/>
      <c r="G1716" s="490"/>
      <c r="H1716" s="520"/>
      <c r="I1716" s="523"/>
      <c r="J1716" s="521"/>
      <c r="K1716" s="522"/>
      <c r="M1716" s="301" t="str">
        <f>N1716&amp;AS[[#This Row],[Insurer Code]]&amp;"; "&amp;O1716&amp;AS[[#This Row],[Reporting Year]]&amp;"; "&amp;P1716&amp;AS[[#This Row],[Insurance Category Code]]&amp;"; "&amp;Q1716&amp;AS[[#This Row],[Large Provider Entity Code]]&amp;"; "&amp;R1716&amp;AS[[#This Row],[Age Band Code]]&amp;"; "&amp;S1716&amp;AS[[#This Row],[Sex Code]]</f>
        <v xml:space="preserve">Insurer Code ; Reporting Year ; Insurance Category Code ; Large Provider Entity Code ; Age Band Code ; Sex Code </v>
      </c>
      <c r="N1716" s="297" t="s">
        <v>197</v>
      </c>
      <c r="O1716" s="297" t="s">
        <v>198</v>
      </c>
      <c r="P1716" s="297" t="s">
        <v>199</v>
      </c>
      <c r="Q1716" s="297" t="s">
        <v>200</v>
      </c>
      <c r="R1716" s="297" t="s">
        <v>213</v>
      </c>
      <c r="S1716" s="297" t="s">
        <v>214</v>
      </c>
    </row>
    <row r="1717" spans="1:19" x14ac:dyDescent="0.4">
      <c r="A1717" s="291"/>
      <c r="B1717" s="292"/>
      <c r="C1717" s="312"/>
      <c r="D1717" s="292"/>
      <c r="E1717" s="489"/>
      <c r="F1717" s="489"/>
      <c r="G1717" s="490"/>
      <c r="H1717" s="520"/>
      <c r="I1717" s="523"/>
      <c r="J1717" s="521"/>
      <c r="K1717" s="522"/>
      <c r="M1717" s="301" t="str">
        <f>N1717&amp;AS[[#This Row],[Insurer Code]]&amp;"; "&amp;O1717&amp;AS[[#This Row],[Reporting Year]]&amp;"; "&amp;P1717&amp;AS[[#This Row],[Insurance Category Code]]&amp;"; "&amp;Q1717&amp;AS[[#This Row],[Large Provider Entity Code]]&amp;"; "&amp;R1717&amp;AS[[#This Row],[Age Band Code]]&amp;"; "&amp;S1717&amp;AS[[#This Row],[Sex Code]]</f>
        <v xml:space="preserve">Insurer Code ; Reporting Year ; Insurance Category Code ; Large Provider Entity Code ; Age Band Code ; Sex Code </v>
      </c>
      <c r="N1717" s="297" t="s">
        <v>197</v>
      </c>
      <c r="O1717" s="297" t="s">
        <v>198</v>
      </c>
      <c r="P1717" s="297" t="s">
        <v>199</v>
      </c>
      <c r="Q1717" s="297" t="s">
        <v>200</v>
      </c>
      <c r="R1717" s="297" t="s">
        <v>213</v>
      </c>
      <c r="S1717" s="297" t="s">
        <v>214</v>
      </c>
    </row>
    <row r="1718" spans="1:19" x14ac:dyDescent="0.4">
      <c r="A1718" s="291"/>
      <c r="B1718" s="292"/>
      <c r="C1718" s="312"/>
      <c r="D1718" s="292"/>
      <c r="E1718" s="489"/>
      <c r="F1718" s="489"/>
      <c r="G1718" s="490"/>
      <c r="H1718" s="520"/>
      <c r="I1718" s="523"/>
      <c r="J1718" s="521"/>
      <c r="K1718" s="522"/>
      <c r="M1718" s="301" t="str">
        <f>N1718&amp;AS[[#This Row],[Insurer Code]]&amp;"; "&amp;O1718&amp;AS[[#This Row],[Reporting Year]]&amp;"; "&amp;P1718&amp;AS[[#This Row],[Insurance Category Code]]&amp;"; "&amp;Q1718&amp;AS[[#This Row],[Large Provider Entity Code]]&amp;"; "&amp;R1718&amp;AS[[#This Row],[Age Band Code]]&amp;"; "&amp;S1718&amp;AS[[#This Row],[Sex Code]]</f>
        <v xml:space="preserve">Insurer Code ; Reporting Year ; Insurance Category Code ; Large Provider Entity Code ; Age Band Code ; Sex Code </v>
      </c>
      <c r="N1718" s="297" t="s">
        <v>197</v>
      </c>
      <c r="O1718" s="297" t="s">
        <v>198</v>
      </c>
      <c r="P1718" s="297" t="s">
        <v>199</v>
      </c>
      <c r="Q1718" s="297" t="s">
        <v>200</v>
      </c>
      <c r="R1718" s="297" t="s">
        <v>213</v>
      </c>
      <c r="S1718" s="297" t="s">
        <v>214</v>
      </c>
    </row>
    <row r="1719" spans="1:19" x14ac:dyDescent="0.4">
      <c r="A1719" s="291"/>
      <c r="B1719" s="292"/>
      <c r="C1719" s="312"/>
      <c r="D1719" s="292"/>
      <c r="E1719" s="489"/>
      <c r="F1719" s="489"/>
      <c r="G1719" s="490"/>
      <c r="H1719" s="520"/>
      <c r="I1719" s="523"/>
      <c r="J1719" s="521"/>
      <c r="K1719" s="522"/>
      <c r="M1719" s="301" t="str">
        <f>N1719&amp;AS[[#This Row],[Insurer Code]]&amp;"; "&amp;O1719&amp;AS[[#This Row],[Reporting Year]]&amp;"; "&amp;P1719&amp;AS[[#This Row],[Insurance Category Code]]&amp;"; "&amp;Q1719&amp;AS[[#This Row],[Large Provider Entity Code]]&amp;"; "&amp;R1719&amp;AS[[#This Row],[Age Band Code]]&amp;"; "&amp;S1719&amp;AS[[#This Row],[Sex Code]]</f>
        <v xml:space="preserve">Insurer Code ; Reporting Year ; Insurance Category Code ; Large Provider Entity Code ; Age Band Code ; Sex Code </v>
      </c>
      <c r="N1719" s="297" t="s">
        <v>197</v>
      </c>
      <c r="O1719" s="297" t="s">
        <v>198</v>
      </c>
      <c r="P1719" s="297" t="s">
        <v>199</v>
      </c>
      <c r="Q1719" s="297" t="s">
        <v>200</v>
      </c>
      <c r="R1719" s="297" t="s">
        <v>213</v>
      </c>
      <c r="S1719" s="297" t="s">
        <v>214</v>
      </c>
    </row>
    <row r="1720" spans="1:19" x14ac:dyDescent="0.4">
      <c r="A1720" s="291"/>
      <c r="B1720" s="292"/>
      <c r="C1720" s="312"/>
      <c r="D1720" s="292"/>
      <c r="E1720" s="489"/>
      <c r="F1720" s="489"/>
      <c r="G1720" s="490"/>
      <c r="H1720" s="520"/>
      <c r="I1720" s="523"/>
      <c r="J1720" s="521"/>
      <c r="K1720" s="522"/>
      <c r="M1720" s="301" t="str">
        <f>N1720&amp;AS[[#This Row],[Insurer Code]]&amp;"; "&amp;O1720&amp;AS[[#This Row],[Reporting Year]]&amp;"; "&amp;P1720&amp;AS[[#This Row],[Insurance Category Code]]&amp;"; "&amp;Q1720&amp;AS[[#This Row],[Large Provider Entity Code]]&amp;"; "&amp;R1720&amp;AS[[#This Row],[Age Band Code]]&amp;"; "&amp;S1720&amp;AS[[#This Row],[Sex Code]]</f>
        <v xml:space="preserve">Insurer Code ; Reporting Year ; Insurance Category Code ; Large Provider Entity Code ; Age Band Code ; Sex Code </v>
      </c>
      <c r="N1720" s="297" t="s">
        <v>197</v>
      </c>
      <c r="O1720" s="297" t="s">
        <v>198</v>
      </c>
      <c r="P1720" s="297" t="s">
        <v>199</v>
      </c>
      <c r="Q1720" s="297" t="s">
        <v>200</v>
      </c>
      <c r="R1720" s="297" t="s">
        <v>213</v>
      </c>
      <c r="S1720" s="297" t="s">
        <v>214</v>
      </c>
    </row>
    <row r="1721" spans="1:19" x14ac:dyDescent="0.4">
      <c r="A1721" s="291"/>
      <c r="B1721" s="292"/>
      <c r="C1721" s="312"/>
      <c r="D1721" s="292"/>
      <c r="E1721" s="489"/>
      <c r="F1721" s="489"/>
      <c r="G1721" s="490"/>
      <c r="H1721" s="520"/>
      <c r="I1721" s="523"/>
      <c r="J1721" s="521"/>
      <c r="K1721" s="522"/>
      <c r="M1721" s="301" t="str">
        <f>N1721&amp;AS[[#This Row],[Insurer Code]]&amp;"; "&amp;O1721&amp;AS[[#This Row],[Reporting Year]]&amp;"; "&amp;P1721&amp;AS[[#This Row],[Insurance Category Code]]&amp;"; "&amp;Q1721&amp;AS[[#This Row],[Large Provider Entity Code]]&amp;"; "&amp;R1721&amp;AS[[#This Row],[Age Band Code]]&amp;"; "&amp;S1721&amp;AS[[#This Row],[Sex Code]]</f>
        <v xml:space="preserve">Insurer Code ; Reporting Year ; Insurance Category Code ; Large Provider Entity Code ; Age Band Code ; Sex Code </v>
      </c>
      <c r="N1721" s="297" t="s">
        <v>197</v>
      </c>
      <c r="O1721" s="297" t="s">
        <v>198</v>
      </c>
      <c r="P1721" s="297" t="s">
        <v>199</v>
      </c>
      <c r="Q1721" s="297" t="s">
        <v>200</v>
      </c>
      <c r="R1721" s="297" t="s">
        <v>213</v>
      </c>
      <c r="S1721" s="297" t="s">
        <v>214</v>
      </c>
    </row>
    <row r="1722" spans="1:19" x14ac:dyDescent="0.4">
      <c r="A1722" s="291"/>
      <c r="B1722" s="292"/>
      <c r="C1722" s="312"/>
      <c r="D1722" s="292"/>
      <c r="E1722" s="489"/>
      <c r="F1722" s="489"/>
      <c r="G1722" s="490"/>
      <c r="H1722" s="520"/>
      <c r="I1722" s="523"/>
      <c r="J1722" s="521"/>
      <c r="K1722" s="522"/>
      <c r="M1722" s="301" t="str">
        <f>N1722&amp;AS[[#This Row],[Insurer Code]]&amp;"; "&amp;O1722&amp;AS[[#This Row],[Reporting Year]]&amp;"; "&amp;P1722&amp;AS[[#This Row],[Insurance Category Code]]&amp;"; "&amp;Q1722&amp;AS[[#This Row],[Large Provider Entity Code]]&amp;"; "&amp;R1722&amp;AS[[#This Row],[Age Band Code]]&amp;"; "&amp;S1722&amp;AS[[#This Row],[Sex Code]]</f>
        <v xml:space="preserve">Insurer Code ; Reporting Year ; Insurance Category Code ; Large Provider Entity Code ; Age Band Code ; Sex Code </v>
      </c>
      <c r="N1722" s="297" t="s">
        <v>197</v>
      </c>
      <c r="O1722" s="297" t="s">
        <v>198</v>
      </c>
      <c r="P1722" s="297" t="s">
        <v>199</v>
      </c>
      <c r="Q1722" s="297" t="s">
        <v>200</v>
      </c>
      <c r="R1722" s="297" t="s">
        <v>213</v>
      </c>
      <c r="S1722" s="297" t="s">
        <v>214</v>
      </c>
    </row>
    <row r="1723" spans="1:19" x14ac:dyDescent="0.4">
      <c r="A1723" s="291"/>
      <c r="B1723" s="292"/>
      <c r="C1723" s="312"/>
      <c r="D1723" s="292"/>
      <c r="E1723" s="489"/>
      <c r="F1723" s="489"/>
      <c r="G1723" s="490"/>
      <c r="H1723" s="520"/>
      <c r="I1723" s="523"/>
      <c r="J1723" s="521"/>
      <c r="K1723" s="522"/>
      <c r="M1723" s="301" t="str">
        <f>N1723&amp;AS[[#This Row],[Insurer Code]]&amp;"; "&amp;O1723&amp;AS[[#This Row],[Reporting Year]]&amp;"; "&amp;P1723&amp;AS[[#This Row],[Insurance Category Code]]&amp;"; "&amp;Q1723&amp;AS[[#This Row],[Large Provider Entity Code]]&amp;"; "&amp;R1723&amp;AS[[#This Row],[Age Band Code]]&amp;"; "&amp;S1723&amp;AS[[#This Row],[Sex Code]]</f>
        <v xml:space="preserve">Insurer Code ; Reporting Year ; Insurance Category Code ; Large Provider Entity Code ; Age Band Code ; Sex Code </v>
      </c>
      <c r="N1723" s="297" t="s">
        <v>197</v>
      </c>
      <c r="O1723" s="297" t="s">
        <v>198</v>
      </c>
      <c r="P1723" s="297" t="s">
        <v>199</v>
      </c>
      <c r="Q1723" s="297" t="s">
        <v>200</v>
      </c>
      <c r="R1723" s="297" t="s">
        <v>213</v>
      </c>
      <c r="S1723" s="297" t="s">
        <v>214</v>
      </c>
    </row>
    <row r="1724" spans="1:19" x14ac:dyDescent="0.4">
      <c r="A1724" s="291"/>
      <c r="B1724" s="292"/>
      <c r="C1724" s="312"/>
      <c r="D1724" s="292"/>
      <c r="E1724" s="489"/>
      <c r="F1724" s="489"/>
      <c r="G1724" s="490"/>
      <c r="H1724" s="520"/>
      <c r="I1724" s="523"/>
      <c r="J1724" s="521"/>
      <c r="K1724" s="522"/>
      <c r="M1724" s="301" t="str">
        <f>N1724&amp;AS[[#This Row],[Insurer Code]]&amp;"; "&amp;O1724&amp;AS[[#This Row],[Reporting Year]]&amp;"; "&amp;P1724&amp;AS[[#This Row],[Insurance Category Code]]&amp;"; "&amp;Q1724&amp;AS[[#This Row],[Large Provider Entity Code]]&amp;"; "&amp;R1724&amp;AS[[#This Row],[Age Band Code]]&amp;"; "&amp;S1724&amp;AS[[#This Row],[Sex Code]]</f>
        <v xml:space="preserve">Insurer Code ; Reporting Year ; Insurance Category Code ; Large Provider Entity Code ; Age Band Code ; Sex Code </v>
      </c>
      <c r="N1724" s="297" t="s">
        <v>197</v>
      </c>
      <c r="O1724" s="297" t="s">
        <v>198</v>
      </c>
      <c r="P1724" s="297" t="s">
        <v>199</v>
      </c>
      <c r="Q1724" s="297" t="s">
        <v>200</v>
      </c>
      <c r="R1724" s="297" t="s">
        <v>213</v>
      </c>
      <c r="S1724" s="297" t="s">
        <v>214</v>
      </c>
    </row>
    <row r="1725" spans="1:19" x14ac:dyDescent="0.4">
      <c r="A1725" s="291"/>
      <c r="B1725" s="292"/>
      <c r="C1725" s="312"/>
      <c r="D1725" s="292"/>
      <c r="E1725" s="489"/>
      <c r="F1725" s="489"/>
      <c r="G1725" s="490"/>
      <c r="H1725" s="520"/>
      <c r="I1725" s="523"/>
      <c r="J1725" s="521"/>
      <c r="K1725" s="522"/>
      <c r="M1725" s="301" t="str">
        <f>N1725&amp;AS[[#This Row],[Insurer Code]]&amp;"; "&amp;O1725&amp;AS[[#This Row],[Reporting Year]]&amp;"; "&amp;P1725&amp;AS[[#This Row],[Insurance Category Code]]&amp;"; "&amp;Q1725&amp;AS[[#This Row],[Large Provider Entity Code]]&amp;"; "&amp;R1725&amp;AS[[#This Row],[Age Band Code]]&amp;"; "&amp;S1725&amp;AS[[#This Row],[Sex Code]]</f>
        <v xml:space="preserve">Insurer Code ; Reporting Year ; Insurance Category Code ; Large Provider Entity Code ; Age Band Code ; Sex Code </v>
      </c>
      <c r="N1725" s="297" t="s">
        <v>197</v>
      </c>
      <c r="O1725" s="297" t="s">
        <v>198</v>
      </c>
      <c r="P1725" s="297" t="s">
        <v>199</v>
      </c>
      <c r="Q1725" s="297" t="s">
        <v>200</v>
      </c>
      <c r="R1725" s="297" t="s">
        <v>213</v>
      </c>
      <c r="S1725" s="297" t="s">
        <v>214</v>
      </c>
    </row>
    <row r="1726" spans="1:19" x14ac:dyDescent="0.4">
      <c r="A1726" s="291"/>
      <c r="B1726" s="292"/>
      <c r="C1726" s="312"/>
      <c r="D1726" s="292"/>
      <c r="E1726" s="489"/>
      <c r="F1726" s="489"/>
      <c r="G1726" s="490"/>
      <c r="H1726" s="520"/>
      <c r="I1726" s="523"/>
      <c r="J1726" s="521"/>
      <c r="K1726" s="522"/>
      <c r="M1726" s="301" t="str">
        <f>N1726&amp;AS[[#This Row],[Insurer Code]]&amp;"; "&amp;O1726&amp;AS[[#This Row],[Reporting Year]]&amp;"; "&amp;P1726&amp;AS[[#This Row],[Insurance Category Code]]&amp;"; "&amp;Q1726&amp;AS[[#This Row],[Large Provider Entity Code]]&amp;"; "&amp;R1726&amp;AS[[#This Row],[Age Band Code]]&amp;"; "&amp;S1726&amp;AS[[#This Row],[Sex Code]]</f>
        <v xml:space="preserve">Insurer Code ; Reporting Year ; Insurance Category Code ; Large Provider Entity Code ; Age Band Code ; Sex Code </v>
      </c>
      <c r="N1726" s="297" t="s">
        <v>197</v>
      </c>
      <c r="O1726" s="297" t="s">
        <v>198</v>
      </c>
      <c r="P1726" s="297" t="s">
        <v>199</v>
      </c>
      <c r="Q1726" s="297" t="s">
        <v>200</v>
      </c>
      <c r="R1726" s="297" t="s">
        <v>213</v>
      </c>
      <c r="S1726" s="297" t="s">
        <v>214</v>
      </c>
    </row>
    <row r="1727" spans="1:19" x14ac:dyDescent="0.4">
      <c r="A1727" s="291"/>
      <c r="B1727" s="292"/>
      <c r="C1727" s="312"/>
      <c r="D1727" s="292"/>
      <c r="E1727" s="489"/>
      <c r="F1727" s="489"/>
      <c r="G1727" s="490"/>
      <c r="H1727" s="520"/>
      <c r="I1727" s="523"/>
      <c r="J1727" s="521"/>
      <c r="K1727" s="522"/>
      <c r="M1727" s="301" t="str">
        <f>N1727&amp;AS[[#This Row],[Insurer Code]]&amp;"; "&amp;O1727&amp;AS[[#This Row],[Reporting Year]]&amp;"; "&amp;P1727&amp;AS[[#This Row],[Insurance Category Code]]&amp;"; "&amp;Q1727&amp;AS[[#This Row],[Large Provider Entity Code]]&amp;"; "&amp;R1727&amp;AS[[#This Row],[Age Band Code]]&amp;"; "&amp;S1727&amp;AS[[#This Row],[Sex Code]]</f>
        <v xml:space="preserve">Insurer Code ; Reporting Year ; Insurance Category Code ; Large Provider Entity Code ; Age Band Code ; Sex Code </v>
      </c>
      <c r="N1727" s="297" t="s">
        <v>197</v>
      </c>
      <c r="O1727" s="297" t="s">
        <v>198</v>
      </c>
      <c r="P1727" s="297" t="s">
        <v>199</v>
      </c>
      <c r="Q1727" s="297" t="s">
        <v>200</v>
      </c>
      <c r="R1727" s="297" t="s">
        <v>213</v>
      </c>
      <c r="S1727" s="297" t="s">
        <v>214</v>
      </c>
    </row>
    <row r="1728" spans="1:19" x14ac:dyDescent="0.4">
      <c r="A1728" s="291"/>
      <c r="B1728" s="292"/>
      <c r="C1728" s="312"/>
      <c r="D1728" s="292"/>
      <c r="E1728" s="489"/>
      <c r="F1728" s="489"/>
      <c r="G1728" s="490"/>
      <c r="H1728" s="520"/>
      <c r="I1728" s="523"/>
      <c r="J1728" s="521"/>
      <c r="K1728" s="522"/>
      <c r="M1728" s="301" t="str">
        <f>N1728&amp;AS[[#This Row],[Insurer Code]]&amp;"; "&amp;O1728&amp;AS[[#This Row],[Reporting Year]]&amp;"; "&amp;P1728&amp;AS[[#This Row],[Insurance Category Code]]&amp;"; "&amp;Q1728&amp;AS[[#This Row],[Large Provider Entity Code]]&amp;"; "&amp;R1728&amp;AS[[#This Row],[Age Band Code]]&amp;"; "&amp;S1728&amp;AS[[#This Row],[Sex Code]]</f>
        <v xml:space="preserve">Insurer Code ; Reporting Year ; Insurance Category Code ; Large Provider Entity Code ; Age Band Code ; Sex Code </v>
      </c>
      <c r="N1728" s="297" t="s">
        <v>197</v>
      </c>
      <c r="O1728" s="297" t="s">
        <v>198</v>
      </c>
      <c r="P1728" s="297" t="s">
        <v>199</v>
      </c>
      <c r="Q1728" s="297" t="s">
        <v>200</v>
      </c>
      <c r="R1728" s="297" t="s">
        <v>213</v>
      </c>
      <c r="S1728" s="297" t="s">
        <v>214</v>
      </c>
    </row>
    <row r="1729" spans="1:19" x14ac:dyDescent="0.4">
      <c r="A1729" s="291"/>
      <c r="B1729" s="292"/>
      <c r="C1729" s="312"/>
      <c r="D1729" s="292"/>
      <c r="E1729" s="489"/>
      <c r="F1729" s="489"/>
      <c r="G1729" s="490"/>
      <c r="H1729" s="520"/>
      <c r="I1729" s="523"/>
      <c r="J1729" s="521"/>
      <c r="K1729" s="522"/>
      <c r="M1729" s="301" t="str">
        <f>N1729&amp;AS[[#This Row],[Insurer Code]]&amp;"; "&amp;O1729&amp;AS[[#This Row],[Reporting Year]]&amp;"; "&amp;P1729&amp;AS[[#This Row],[Insurance Category Code]]&amp;"; "&amp;Q1729&amp;AS[[#This Row],[Large Provider Entity Code]]&amp;"; "&amp;R1729&amp;AS[[#This Row],[Age Band Code]]&amp;"; "&amp;S1729&amp;AS[[#This Row],[Sex Code]]</f>
        <v xml:space="preserve">Insurer Code ; Reporting Year ; Insurance Category Code ; Large Provider Entity Code ; Age Band Code ; Sex Code </v>
      </c>
      <c r="N1729" s="297" t="s">
        <v>197</v>
      </c>
      <c r="O1729" s="297" t="s">
        <v>198</v>
      </c>
      <c r="P1729" s="297" t="s">
        <v>199</v>
      </c>
      <c r="Q1729" s="297" t="s">
        <v>200</v>
      </c>
      <c r="R1729" s="297" t="s">
        <v>213</v>
      </c>
      <c r="S1729" s="297" t="s">
        <v>214</v>
      </c>
    </row>
    <row r="1730" spans="1:19" x14ac:dyDescent="0.4">
      <c r="A1730" s="291"/>
      <c r="B1730" s="292"/>
      <c r="C1730" s="312"/>
      <c r="D1730" s="292"/>
      <c r="E1730" s="489"/>
      <c r="F1730" s="489"/>
      <c r="G1730" s="490"/>
      <c r="H1730" s="520"/>
      <c r="I1730" s="523"/>
      <c r="J1730" s="521"/>
      <c r="K1730" s="522"/>
      <c r="M1730" s="301" t="str">
        <f>N1730&amp;AS[[#This Row],[Insurer Code]]&amp;"; "&amp;O1730&amp;AS[[#This Row],[Reporting Year]]&amp;"; "&amp;P1730&amp;AS[[#This Row],[Insurance Category Code]]&amp;"; "&amp;Q1730&amp;AS[[#This Row],[Large Provider Entity Code]]&amp;"; "&amp;R1730&amp;AS[[#This Row],[Age Band Code]]&amp;"; "&amp;S1730&amp;AS[[#This Row],[Sex Code]]</f>
        <v xml:space="preserve">Insurer Code ; Reporting Year ; Insurance Category Code ; Large Provider Entity Code ; Age Band Code ; Sex Code </v>
      </c>
      <c r="N1730" s="297" t="s">
        <v>197</v>
      </c>
      <c r="O1730" s="297" t="s">
        <v>198</v>
      </c>
      <c r="P1730" s="297" t="s">
        <v>199</v>
      </c>
      <c r="Q1730" s="297" t="s">
        <v>200</v>
      </c>
      <c r="R1730" s="297" t="s">
        <v>213</v>
      </c>
      <c r="S1730" s="297" t="s">
        <v>214</v>
      </c>
    </row>
    <row r="1731" spans="1:19" x14ac:dyDescent="0.4">
      <c r="A1731" s="291"/>
      <c r="B1731" s="292"/>
      <c r="C1731" s="312"/>
      <c r="D1731" s="292"/>
      <c r="E1731" s="489"/>
      <c r="F1731" s="489"/>
      <c r="G1731" s="490"/>
      <c r="H1731" s="520"/>
      <c r="I1731" s="523"/>
      <c r="J1731" s="521"/>
      <c r="K1731" s="522"/>
      <c r="M1731" s="301" t="str">
        <f>N1731&amp;AS[[#This Row],[Insurer Code]]&amp;"; "&amp;O1731&amp;AS[[#This Row],[Reporting Year]]&amp;"; "&amp;P1731&amp;AS[[#This Row],[Insurance Category Code]]&amp;"; "&amp;Q1731&amp;AS[[#This Row],[Large Provider Entity Code]]&amp;"; "&amp;R1731&amp;AS[[#This Row],[Age Band Code]]&amp;"; "&amp;S1731&amp;AS[[#This Row],[Sex Code]]</f>
        <v xml:space="preserve">Insurer Code ; Reporting Year ; Insurance Category Code ; Large Provider Entity Code ; Age Band Code ; Sex Code </v>
      </c>
      <c r="N1731" s="297" t="s">
        <v>197</v>
      </c>
      <c r="O1731" s="297" t="s">
        <v>198</v>
      </c>
      <c r="P1731" s="297" t="s">
        <v>199</v>
      </c>
      <c r="Q1731" s="297" t="s">
        <v>200</v>
      </c>
      <c r="R1731" s="297" t="s">
        <v>213</v>
      </c>
      <c r="S1731" s="297" t="s">
        <v>214</v>
      </c>
    </row>
    <row r="1732" spans="1:19" x14ac:dyDescent="0.4">
      <c r="A1732" s="291"/>
      <c r="B1732" s="292"/>
      <c r="C1732" s="312"/>
      <c r="D1732" s="292"/>
      <c r="E1732" s="489"/>
      <c r="F1732" s="489"/>
      <c r="G1732" s="490"/>
      <c r="H1732" s="520"/>
      <c r="I1732" s="523"/>
      <c r="J1732" s="521"/>
      <c r="K1732" s="522"/>
      <c r="M1732" s="301" t="str">
        <f>N1732&amp;AS[[#This Row],[Insurer Code]]&amp;"; "&amp;O1732&amp;AS[[#This Row],[Reporting Year]]&amp;"; "&amp;P1732&amp;AS[[#This Row],[Insurance Category Code]]&amp;"; "&amp;Q1732&amp;AS[[#This Row],[Large Provider Entity Code]]&amp;"; "&amp;R1732&amp;AS[[#This Row],[Age Band Code]]&amp;"; "&amp;S1732&amp;AS[[#This Row],[Sex Code]]</f>
        <v xml:space="preserve">Insurer Code ; Reporting Year ; Insurance Category Code ; Large Provider Entity Code ; Age Band Code ; Sex Code </v>
      </c>
      <c r="N1732" s="297" t="s">
        <v>197</v>
      </c>
      <c r="O1732" s="297" t="s">
        <v>198</v>
      </c>
      <c r="P1732" s="297" t="s">
        <v>199</v>
      </c>
      <c r="Q1732" s="297" t="s">
        <v>200</v>
      </c>
      <c r="R1732" s="297" t="s">
        <v>213</v>
      </c>
      <c r="S1732" s="297" t="s">
        <v>214</v>
      </c>
    </row>
    <row r="1733" spans="1:19" x14ac:dyDescent="0.4">
      <c r="A1733" s="291"/>
      <c r="B1733" s="292"/>
      <c r="C1733" s="312"/>
      <c r="D1733" s="292"/>
      <c r="E1733" s="489"/>
      <c r="F1733" s="489"/>
      <c r="G1733" s="490"/>
      <c r="H1733" s="520"/>
      <c r="I1733" s="523"/>
      <c r="J1733" s="521"/>
      <c r="K1733" s="522"/>
      <c r="M1733" s="301" t="str">
        <f>N1733&amp;AS[[#This Row],[Insurer Code]]&amp;"; "&amp;O1733&amp;AS[[#This Row],[Reporting Year]]&amp;"; "&amp;P1733&amp;AS[[#This Row],[Insurance Category Code]]&amp;"; "&amp;Q1733&amp;AS[[#This Row],[Large Provider Entity Code]]&amp;"; "&amp;R1733&amp;AS[[#This Row],[Age Band Code]]&amp;"; "&amp;S1733&amp;AS[[#This Row],[Sex Code]]</f>
        <v xml:space="preserve">Insurer Code ; Reporting Year ; Insurance Category Code ; Large Provider Entity Code ; Age Band Code ; Sex Code </v>
      </c>
      <c r="N1733" s="297" t="s">
        <v>197</v>
      </c>
      <c r="O1733" s="297" t="s">
        <v>198</v>
      </c>
      <c r="P1733" s="297" t="s">
        <v>199</v>
      </c>
      <c r="Q1733" s="297" t="s">
        <v>200</v>
      </c>
      <c r="R1733" s="297" t="s">
        <v>213</v>
      </c>
      <c r="S1733" s="297" t="s">
        <v>214</v>
      </c>
    </row>
    <row r="1734" spans="1:19" x14ac:dyDescent="0.4">
      <c r="A1734" s="291"/>
      <c r="B1734" s="292"/>
      <c r="C1734" s="312"/>
      <c r="D1734" s="292"/>
      <c r="E1734" s="489"/>
      <c r="F1734" s="489"/>
      <c r="G1734" s="490"/>
      <c r="H1734" s="520"/>
      <c r="I1734" s="523"/>
      <c r="J1734" s="521"/>
      <c r="K1734" s="522"/>
      <c r="M1734" s="301" t="str">
        <f>N1734&amp;AS[[#This Row],[Insurer Code]]&amp;"; "&amp;O1734&amp;AS[[#This Row],[Reporting Year]]&amp;"; "&amp;P1734&amp;AS[[#This Row],[Insurance Category Code]]&amp;"; "&amp;Q1734&amp;AS[[#This Row],[Large Provider Entity Code]]&amp;"; "&amp;R1734&amp;AS[[#This Row],[Age Band Code]]&amp;"; "&amp;S1734&amp;AS[[#This Row],[Sex Code]]</f>
        <v xml:space="preserve">Insurer Code ; Reporting Year ; Insurance Category Code ; Large Provider Entity Code ; Age Band Code ; Sex Code </v>
      </c>
      <c r="N1734" s="297" t="s">
        <v>197</v>
      </c>
      <c r="O1734" s="297" t="s">
        <v>198</v>
      </c>
      <c r="P1734" s="297" t="s">
        <v>199</v>
      </c>
      <c r="Q1734" s="297" t="s">
        <v>200</v>
      </c>
      <c r="R1734" s="297" t="s">
        <v>213</v>
      </c>
      <c r="S1734" s="297" t="s">
        <v>214</v>
      </c>
    </row>
    <row r="1735" spans="1:19" x14ac:dyDescent="0.4">
      <c r="A1735" s="291"/>
      <c r="B1735" s="292"/>
      <c r="C1735" s="312"/>
      <c r="D1735" s="292"/>
      <c r="E1735" s="489"/>
      <c r="F1735" s="489"/>
      <c r="G1735" s="490"/>
      <c r="H1735" s="520"/>
      <c r="I1735" s="523"/>
      <c r="J1735" s="521"/>
      <c r="K1735" s="522"/>
      <c r="M1735" s="301" t="str">
        <f>N1735&amp;AS[[#This Row],[Insurer Code]]&amp;"; "&amp;O1735&amp;AS[[#This Row],[Reporting Year]]&amp;"; "&amp;P1735&amp;AS[[#This Row],[Insurance Category Code]]&amp;"; "&amp;Q1735&amp;AS[[#This Row],[Large Provider Entity Code]]&amp;"; "&amp;R1735&amp;AS[[#This Row],[Age Band Code]]&amp;"; "&amp;S1735&amp;AS[[#This Row],[Sex Code]]</f>
        <v xml:space="preserve">Insurer Code ; Reporting Year ; Insurance Category Code ; Large Provider Entity Code ; Age Band Code ; Sex Code </v>
      </c>
      <c r="N1735" s="297" t="s">
        <v>197</v>
      </c>
      <c r="O1735" s="297" t="s">
        <v>198</v>
      </c>
      <c r="P1735" s="297" t="s">
        <v>199</v>
      </c>
      <c r="Q1735" s="297" t="s">
        <v>200</v>
      </c>
      <c r="R1735" s="297" t="s">
        <v>213</v>
      </c>
      <c r="S1735" s="297" t="s">
        <v>214</v>
      </c>
    </row>
    <row r="1736" spans="1:19" x14ac:dyDescent="0.4">
      <c r="A1736" s="291"/>
      <c r="B1736" s="292"/>
      <c r="C1736" s="312"/>
      <c r="D1736" s="292"/>
      <c r="E1736" s="489"/>
      <c r="F1736" s="489"/>
      <c r="G1736" s="490"/>
      <c r="H1736" s="520"/>
      <c r="I1736" s="523"/>
      <c r="J1736" s="521"/>
      <c r="K1736" s="522"/>
      <c r="M1736" s="301" t="str">
        <f>N1736&amp;AS[[#This Row],[Insurer Code]]&amp;"; "&amp;O1736&amp;AS[[#This Row],[Reporting Year]]&amp;"; "&amp;P1736&amp;AS[[#This Row],[Insurance Category Code]]&amp;"; "&amp;Q1736&amp;AS[[#This Row],[Large Provider Entity Code]]&amp;"; "&amp;R1736&amp;AS[[#This Row],[Age Band Code]]&amp;"; "&amp;S1736&amp;AS[[#This Row],[Sex Code]]</f>
        <v xml:space="preserve">Insurer Code ; Reporting Year ; Insurance Category Code ; Large Provider Entity Code ; Age Band Code ; Sex Code </v>
      </c>
      <c r="N1736" s="297" t="s">
        <v>197</v>
      </c>
      <c r="O1736" s="297" t="s">
        <v>198</v>
      </c>
      <c r="P1736" s="297" t="s">
        <v>199</v>
      </c>
      <c r="Q1736" s="297" t="s">
        <v>200</v>
      </c>
      <c r="R1736" s="297" t="s">
        <v>213</v>
      </c>
      <c r="S1736" s="297" t="s">
        <v>214</v>
      </c>
    </row>
    <row r="1737" spans="1:19" x14ac:dyDescent="0.4">
      <c r="A1737" s="291"/>
      <c r="B1737" s="292"/>
      <c r="C1737" s="312"/>
      <c r="D1737" s="292"/>
      <c r="E1737" s="489"/>
      <c r="F1737" s="489"/>
      <c r="G1737" s="490"/>
      <c r="H1737" s="520"/>
      <c r="I1737" s="523"/>
      <c r="J1737" s="521"/>
      <c r="K1737" s="522"/>
      <c r="M1737" s="301" t="str">
        <f>N1737&amp;AS[[#This Row],[Insurer Code]]&amp;"; "&amp;O1737&amp;AS[[#This Row],[Reporting Year]]&amp;"; "&amp;P1737&amp;AS[[#This Row],[Insurance Category Code]]&amp;"; "&amp;Q1737&amp;AS[[#This Row],[Large Provider Entity Code]]&amp;"; "&amp;R1737&amp;AS[[#This Row],[Age Band Code]]&amp;"; "&amp;S1737&amp;AS[[#This Row],[Sex Code]]</f>
        <v xml:space="preserve">Insurer Code ; Reporting Year ; Insurance Category Code ; Large Provider Entity Code ; Age Band Code ; Sex Code </v>
      </c>
      <c r="N1737" s="297" t="s">
        <v>197</v>
      </c>
      <c r="O1737" s="297" t="s">
        <v>198</v>
      </c>
      <c r="P1737" s="297" t="s">
        <v>199</v>
      </c>
      <c r="Q1737" s="297" t="s">
        <v>200</v>
      </c>
      <c r="R1737" s="297" t="s">
        <v>213</v>
      </c>
      <c r="S1737" s="297" t="s">
        <v>214</v>
      </c>
    </row>
    <row r="1738" spans="1:19" x14ac:dyDescent="0.4">
      <c r="A1738" s="291"/>
      <c r="B1738" s="292"/>
      <c r="C1738" s="312"/>
      <c r="D1738" s="292"/>
      <c r="E1738" s="489"/>
      <c r="F1738" s="489"/>
      <c r="G1738" s="490"/>
      <c r="H1738" s="520"/>
      <c r="I1738" s="523"/>
      <c r="J1738" s="521"/>
      <c r="K1738" s="522"/>
      <c r="M1738" s="301" t="str">
        <f>N1738&amp;AS[[#This Row],[Insurer Code]]&amp;"; "&amp;O1738&amp;AS[[#This Row],[Reporting Year]]&amp;"; "&amp;P1738&amp;AS[[#This Row],[Insurance Category Code]]&amp;"; "&amp;Q1738&amp;AS[[#This Row],[Large Provider Entity Code]]&amp;"; "&amp;R1738&amp;AS[[#This Row],[Age Band Code]]&amp;"; "&amp;S1738&amp;AS[[#This Row],[Sex Code]]</f>
        <v xml:space="preserve">Insurer Code ; Reporting Year ; Insurance Category Code ; Large Provider Entity Code ; Age Band Code ; Sex Code </v>
      </c>
      <c r="N1738" s="297" t="s">
        <v>197</v>
      </c>
      <c r="O1738" s="297" t="s">
        <v>198</v>
      </c>
      <c r="P1738" s="297" t="s">
        <v>199</v>
      </c>
      <c r="Q1738" s="297" t="s">
        <v>200</v>
      </c>
      <c r="R1738" s="297" t="s">
        <v>213</v>
      </c>
      <c r="S1738" s="297" t="s">
        <v>214</v>
      </c>
    </row>
    <row r="1739" spans="1:19" x14ac:dyDescent="0.4">
      <c r="A1739" s="291"/>
      <c r="B1739" s="292"/>
      <c r="C1739" s="312"/>
      <c r="D1739" s="292"/>
      <c r="E1739" s="489"/>
      <c r="F1739" s="489"/>
      <c r="G1739" s="490"/>
      <c r="H1739" s="520"/>
      <c r="I1739" s="523"/>
      <c r="J1739" s="521"/>
      <c r="K1739" s="522"/>
      <c r="M1739" s="301" t="str">
        <f>N1739&amp;AS[[#This Row],[Insurer Code]]&amp;"; "&amp;O1739&amp;AS[[#This Row],[Reporting Year]]&amp;"; "&amp;P1739&amp;AS[[#This Row],[Insurance Category Code]]&amp;"; "&amp;Q1739&amp;AS[[#This Row],[Large Provider Entity Code]]&amp;"; "&amp;R1739&amp;AS[[#This Row],[Age Band Code]]&amp;"; "&amp;S1739&amp;AS[[#This Row],[Sex Code]]</f>
        <v xml:space="preserve">Insurer Code ; Reporting Year ; Insurance Category Code ; Large Provider Entity Code ; Age Band Code ; Sex Code </v>
      </c>
      <c r="N1739" s="297" t="s">
        <v>197</v>
      </c>
      <c r="O1739" s="297" t="s">
        <v>198</v>
      </c>
      <c r="P1739" s="297" t="s">
        <v>199</v>
      </c>
      <c r="Q1739" s="297" t="s">
        <v>200</v>
      </c>
      <c r="R1739" s="297" t="s">
        <v>213</v>
      </c>
      <c r="S1739" s="297" t="s">
        <v>214</v>
      </c>
    </row>
    <row r="1740" spans="1:19" x14ac:dyDescent="0.4">
      <c r="A1740" s="291"/>
      <c r="B1740" s="292"/>
      <c r="C1740" s="312"/>
      <c r="D1740" s="292"/>
      <c r="E1740" s="489"/>
      <c r="F1740" s="489"/>
      <c r="G1740" s="490"/>
      <c r="H1740" s="520"/>
      <c r="I1740" s="523"/>
      <c r="J1740" s="521"/>
      <c r="K1740" s="522"/>
      <c r="M1740" s="301" t="str">
        <f>N1740&amp;AS[[#This Row],[Insurer Code]]&amp;"; "&amp;O1740&amp;AS[[#This Row],[Reporting Year]]&amp;"; "&amp;P1740&amp;AS[[#This Row],[Insurance Category Code]]&amp;"; "&amp;Q1740&amp;AS[[#This Row],[Large Provider Entity Code]]&amp;"; "&amp;R1740&amp;AS[[#This Row],[Age Band Code]]&amp;"; "&amp;S1740&amp;AS[[#This Row],[Sex Code]]</f>
        <v xml:space="preserve">Insurer Code ; Reporting Year ; Insurance Category Code ; Large Provider Entity Code ; Age Band Code ; Sex Code </v>
      </c>
      <c r="N1740" s="297" t="s">
        <v>197</v>
      </c>
      <c r="O1740" s="297" t="s">
        <v>198</v>
      </c>
      <c r="P1740" s="297" t="s">
        <v>199</v>
      </c>
      <c r="Q1740" s="297" t="s">
        <v>200</v>
      </c>
      <c r="R1740" s="297" t="s">
        <v>213</v>
      </c>
      <c r="S1740" s="297" t="s">
        <v>214</v>
      </c>
    </row>
    <row r="1741" spans="1:19" x14ac:dyDescent="0.4">
      <c r="A1741" s="291"/>
      <c r="B1741" s="292"/>
      <c r="C1741" s="312"/>
      <c r="D1741" s="292"/>
      <c r="E1741" s="489"/>
      <c r="F1741" s="489"/>
      <c r="G1741" s="490"/>
      <c r="H1741" s="520"/>
      <c r="I1741" s="523"/>
      <c r="J1741" s="521"/>
      <c r="K1741" s="522"/>
      <c r="M1741" s="301" t="str">
        <f>N1741&amp;AS[[#This Row],[Insurer Code]]&amp;"; "&amp;O1741&amp;AS[[#This Row],[Reporting Year]]&amp;"; "&amp;P1741&amp;AS[[#This Row],[Insurance Category Code]]&amp;"; "&amp;Q1741&amp;AS[[#This Row],[Large Provider Entity Code]]&amp;"; "&amp;R1741&amp;AS[[#This Row],[Age Band Code]]&amp;"; "&amp;S1741&amp;AS[[#This Row],[Sex Code]]</f>
        <v xml:space="preserve">Insurer Code ; Reporting Year ; Insurance Category Code ; Large Provider Entity Code ; Age Band Code ; Sex Code </v>
      </c>
      <c r="N1741" s="297" t="s">
        <v>197</v>
      </c>
      <c r="O1741" s="297" t="s">
        <v>198</v>
      </c>
      <c r="P1741" s="297" t="s">
        <v>199</v>
      </c>
      <c r="Q1741" s="297" t="s">
        <v>200</v>
      </c>
      <c r="R1741" s="297" t="s">
        <v>213</v>
      </c>
      <c r="S1741" s="297" t="s">
        <v>214</v>
      </c>
    </row>
    <row r="1742" spans="1:19" x14ac:dyDescent="0.4">
      <c r="A1742" s="291"/>
      <c r="B1742" s="292"/>
      <c r="C1742" s="312"/>
      <c r="D1742" s="292"/>
      <c r="E1742" s="489"/>
      <c r="F1742" s="489"/>
      <c r="G1742" s="490"/>
      <c r="H1742" s="520"/>
      <c r="I1742" s="523"/>
      <c r="J1742" s="521"/>
      <c r="K1742" s="522"/>
      <c r="M1742" s="301" t="str">
        <f>N1742&amp;AS[[#This Row],[Insurer Code]]&amp;"; "&amp;O1742&amp;AS[[#This Row],[Reporting Year]]&amp;"; "&amp;P1742&amp;AS[[#This Row],[Insurance Category Code]]&amp;"; "&amp;Q1742&amp;AS[[#This Row],[Large Provider Entity Code]]&amp;"; "&amp;R1742&amp;AS[[#This Row],[Age Band Code]]&amp;"; "&amp;S1742&amp;AS[[#This Row],[Sex Code]]</f>
        <v xml:space="preserve">Insurer Code ; Reporting Year ; Insurance Category Code ; Large Provider Entity Code ; Age Band Code ; Sex Code </v>
      </c>
      <c r="N1742" s="297" t="s">
        <v>197</v>
      </c>
      <c r="O1742" s="297" t="s">
        <v>198</v>
      </c>
      <c r="P1742" s="297" t="s">
        <v>199</v>
      </c>
      <c r="Q1742" s="297" t="s">
        <v>200</v>
      </c>
      <c r="R1742" s="297" t="s">
        <v>213</v>
      </c>
      <c r="S1742" s="297" t="s">
        <v>214</v>
      </c>
    </row>
    <row r="1743" spans="1:19" x14ac:dyDescent="0.4">
      <c r="A1743" s="291"/>
      <c r="B1743" s="292"/>
      <c r="C1743" s="312"/>
      <c r="D1743" s="292"/>
      <c r="E1743" s="489"/>
      <c r="F1743" s="489"/>
      <c r="G1743" s="490"/>
      <c r="H1743" s="520"/>
      <c r="I1743" s="523"/>
      <c r="J1743" s="521"/>
      <c r="K1743" s="522"/>
      <c r="M1743" s="301" t="str">
        <f>N1743&amp;AS[[#This Row],[Insurer Code]]&amp;"; "&amp;O1743&amp;AS[[#This Row],[Reporting Year]]&amp;"; "&amp;P1743&amp;AS[[#This Row],[Insurance Category Code]]&amp;"; "&amp;Q1743&amp;AS[[#This Row],[Large Provider Entity Code]]&amp;"; "&amp;R1743&amp;AS[[#This Row],[Age Band Code]]&amp;"; "&amp;S1743&amp;AS[[#This Row],[Sex Code]]</f>
        <v xml:space="preserve">Insurer Code ; Reporting Year ; Insurance Category Code ; Large Provider Entity Code ; Age Band Code ; Sex Code </v>
      </c>
      <c r="N1743" s="297" t="s">
        <v>197</v>
      </c>
      <c r="O1743" s="297" t="s">
        <v>198</v>
      </c>
      <c r="P1743" s="297" t="s">
        <v>199</v>
      </c>
      <c r="Q1743" s="297" t="s">
        <v>200</v>
      </c>
      <c r="R1743" s="297" t="s">
        <v>213</v>
      </c>
      <c r="S1743" s="297" t="s">
        <v>214</v>
      </c>
    </row>
    <row r="1744" spans="1:19" x14ac:dyDescent="0.4">
      <c r="A1744" s="291"/>
      <c r="B1744" s="292"/>
      <c r="C1744" s="312"/>
      <c r="D1744" s="292"/>
      <c r="E1744" s="489"/>
      <c r="F1744" s="489"/>
      <c r="G1744" s="490"/>
      <c r="H1744" s="520"/>
      <c r="I1744" s="523"/>
      <c r="J1744" s="521"/>
      <c r="K1744" s="522"/>
      <c r="M1744" s="301" t="str">
        <f>N1744&amp;AS[[#This Row],[Insurer Code]]&amp;"; "&amp;O1744&amp;AS[[#This Row],[Reporting Year]]&amp;"; "&amp;P1744&amp;AS[[#This Row],[Insurance Category Code]]&amp;"; "&amp;Q1744&amp;AS[[#This Row],[Large Provider Entity Code]]&amp;"; "&amp;R1744&amp;AS[[#This Row],[Age Band Code]]&amp;"; "&amp;S1744&amp;AS[[#This Row],[Sex Code]]</f>
        <v xml:space="preserve">Insurer Code ; Reporting Year ; Insurance Category Code ; Large Provider Entity Code ; Age Band Code ; Sex Code </v>
      </c>
      <c r="N1744" s="297" t="s">
        <v>197</v>
      </c>
      <c r="O1744" s="297" t="s">
        <v>198</v>
      </c>
      <c r="P1744" s="297" t="s">
        <v>199</v>
      </c>
      <c r="Q1744" s="297" t="s">
        <v>200</v>
      </c>
      <c r="R1744" s="297" t="s">
        <v>213</v>
      </c>
      <c r="S1744" s="297" t="s">
        <v>214</v>
      </c>
    </row>
    <row r="1745" spans="1:19" x14ac:dyDescent="0.4">
      <c r="A1745" s="291"/>
      <c r="B1745" s="292"/>
      <c r="C1745" s="312"/>
      <c r="D1745" s="292"/>
      <c r="E1745" s="489"/>
      <c r="F1745" s="489"/>
      <c r="G1745" s="490"/>
      <c r="H1745" s="520"/>
      <c r="I1745" s="523"/>
      <c r="J1745" s="521"/>
      <c r="K1745" s="522"/>
      <c r="M1745" s="301" t="str">
        <f>N1745&amp;AS[[#This Row],[Insurer Code]]&amp;"; "&amp;O1745&amp;AS[[#This Row],[Reporting Year]]&amp;"; "&amp;P1745&amp;AS[[#This Row],[Insurance Category Code]]&amp;"; "&amp;Q1745&amp;AS[[#This Row],[Large Provider Entity Code]]&amp;"; "&amp;R1745&amp;AS[[#This Row],[Age Band Code]]&amp;"; "&amp;S1745&amp;AS[[#This Row],[Sex Code]]</f>
        <v xml:space="preserve">Insurer Code ; Reporting Year ; Insurance Category Code ; Large Provider Entity Code ; Age Band Code ; Sex Code </v>
      </c>
      <c r="N1745" s="297" t="s">
        <v>197</v>
      </c>
      <c r="O1745" s="297" t="s">
        <v>198</v>
      </c>
      <c r="P1745" s="297" t="s">
        <v>199</v>
      </c>
      <c r="Q1745" s="297" t="s">
        <v>200</v>
      </c>
      <c r="R1745" s="297" t="s">
        <v>213</v>
      </c>
      <c r="S1745" s="297" t="s">
        <v>214</v>
      </c>
    </row>
    <row r="1746" spans="1:19" x14ac:dyDescent="0.4">
      <c r="A1746" s="291"/>
      <c r="B1746" s="292"/>
      <c r="C1746" s="312"/>
      <c r="D1746" s="292"/>
      <c r="E1746" s="489"/>
      <c r="F1746" s="489"/>
      <c r="G1746" s="490"/>
      <c r="H1746" s="520"/>
      <c r="I1746" s="523"/>
      <c r="J1746" s="521"/>
      <c r="K1746" s="522"/>
      <c r="M1746" s="301" t="str">
        <f>N1746&amp;AS[[#This Row],[Insurer Code]]&amp;"; "&amp;O1746&amp;AS[[#This Row],[Reporting Year]]&amp;"; "&amp;P1746&amp;AS[[#This Row],[Insurance Category Code]]&amp;"; "&amp;Q1746&amp;AS[[#This Row],[Large Provider Entity Code]]&amp;"; "&amp;R1746&amp;AS[[#This Row],[Age Band Code]]&amp;"; "&amp;S1746&amp;AS[[#This Row],[Sex Code]]</f>
        <v xml:space="preserve">Insurer Code ; Reporting Year ; Insurance Category Code ; Large Provider Entity Code ; Age Band Code ; Sex Code </v>
      </c>
      <c r="N1746" s="297" t="s">
        <v>197</v>
      </c>
      <c r="O1746" s="297" t="s">
        <v>198</v>
      </c>
      <c r="P1746" s="297" t="s">
        <v>199</v>
      </c>
      <c r="Q1746" s="297" t="s">
        <v>200</v>
      </c>
      <c r="R1746" s="297" t="s">
        <v>213</v>
      </c>
      <c r="S1746" s="297" t="s">
        <v>214</v>
      </c>
    </row>
    <row r="1747" spans="1:19" x14ac:dyDescent="0.4">
      <c r="A1747" s="291"/>
      <c r="B1747" s="292"/>
      <c r="C1747" s="312"/>
      <c r="D1747" s="292"/>
      <c r="E1747" s="489"/>
      <c r="F1747" s="489"/>
      <c r="G1747" s="490"/>
      <c r="H1747" s="520"/>
      <c r="I1747" s="523"/>
      <c r="J1747" s="521"/>
      <c r="K1747" s="522"/>
      <c r="M1747" s="301" t="str">
        <f>N1747&amp;AS[[#This Row],[Insurer Code]]&amp;"; "&amp;O1747&amp;AS[[#This Row],[Reporting Year]]&amp;"; "&amp;P1747&amp;AS[[#This Row],[Insurance Category Code]]&amp;"; "&amp;Q1747&amp;AS[[#This Row],[Large Provider Entity Code]]&amp;"; "&amp;R1747&amp;AS[[#This Row],[Age Band Code]]&amp;"; "&amp;S1747&amp;AS[[#This Row],[Sex Code]]</f>
        <v xml:space="preserve">Insurer Code ; Reporting Year ; Insurance Category Code ; Large Provider Entity Code ; Age Band Code ; Sex Code </v>
      </c>
      <c r="N1747" s="297" t="s">
        <v>197</v>
      </c>
      <c r="O1747" s="297" t="s">
        <v>198</v>
      </c>
      <c r="P1747" s="297" t="s">
        <v>199</v>
      </c>
      <c r="Q1747" s="297" t="s">
        <v>200</v>
      </c>
      <c r="R1747" s="297" t="s">
        <v>213</v>
      </c>
      <c r="S1747" s="297" t="s">
        <v>214</v>
      </c>
    </row>
    <row r="1748" spans="1:19" x14ac:dyDescent="0.4">
      <c r="A1748" s="291"/>
      <c r="B1748" s="292"/>
      <c r="C1748" s="312"/>
      <c r="D1748" s="292"/>
      <c r="E1748" s="489"/>
      <c r="F1748" s="489"/>
      <c r="G1748" s="490"/>
      <c r="H1748" s="520"/>
      <c r="I1748" s="523"/>
      <c r="J1748" s="521"/>
      <c r="K1748" s="522"/>
      <c r="M1748" s="301" t="str">
        <f>N1748&amp;AS[[#This Row],[Insurer Code]]&amp;"; "&amp;O1748&amp;AS[[#This Row],[Reporting Year]]&amp;"; "&amp;P1748&amp;AS[[#This Row],[Insurance Category Code]]&amp;"; "&amp;Q1748&amp;AS[[#This Row],[Large Provider Entity Code]]&amp;"; "&amp;R1748&amp;AS[[#This Row],[Age Band Code]]&amp;"; "&amp;S1748&amp;AS[[#This Row],[Sex Code]]</f>
        <v xml:space="preserve">Insurer Code ; Reporting Year ; Insurance Category Code ; Large Provider Entity Code ; Age Band Code ; Sex Code </v>
      </c>
      <c r="N1748" s="297" t="s">
        <v>197</v>
      </c>
      <c r="O1748" s="297" t="s">
        <v>198</v>
      </c>
      <c r="P1748" s="297" t="s">
        <v>199</v>
      </c>
      <c r="Q1748" s="297" t="s">
        <v>200</v>
      </c>
      <c r="R1748" s="297" t="s">
        <v>213</v>
      </c>
      <c r="S1748" s="297" t="s">
        <v>214</v>
      </c>
    </row>
    <row r="1749" spans="1:19" x14ac:dyDescent="0.4">
      <c r="A1749" s="291"/>
      <c r="B1749" s="292"/>
      <c r="C1749" s="312"/>
      <c r="D1749" s="292"/>
      <c r="E1749" s="489"/>
      <c r="F1749" s="489"/>
      <c r="G1749" s="490"/>
      <c r="H1749" s="520"/>
      <c r="I1749" s="523"/>
      <c r="J1749" s="521"/>
      <c r="K1749" s="522"/>
      <c r="M1749" s="301" t="str">
        <f>N1749&amp;AS[[#This Row],[Insurer Code]]&amp;"; "&amp;O1749&amp;AS[[#This Row],[Reporting Year]]&amp;"; "&amp;P1749&amp;AS[[#This Row],[Insurance Category Code]]&amp;"; "&amp;Q1749&amp;AS[[#This Row],[Large Provider Entity Code]]&amp;"; "&amp;R1749&amp;AS[[#This Row],[Age Band Code]]&amp;"; "&amp;S1749&amp;AS[[#This Row],[Sex Code]]</f>
        <v xml:space="preserve">Insurer Code ; Reporting Year ; Insurance Category Code ; Large Provider Entity Code ; Age Band Code ; Sex Code </v>
      </c>
      <c r="N1749" s="297" t="s">
        <v>197</v>
      </c>
      <c r="O1749" s="297" t="s">
        <v>198</v>
      </c>
      <c r="P1749" s="297" t="s">
        <v>199</v>
      </c>
      <c r="Q1749" s="297" t="s">
        <v>200</v>
      </c>
      <c r="R1749" s="297" t="s">
        <v>213</v>
      </c>
      <c r="S1749" s="297" t="s">
        <v>214</v>
      </c>
    </row>
    <row r="1750" spans="1:19" x14ac:dyDescent="0.4">
      <c r="A1750" s="291"/>
      <c r="B1750" s="292"/>
      <c r="C1750" s="312"/>
      <c r="D1750" s="292"/>
      <c r="E1750" s="489"/>
      <c r="F1750" s="489"/>
      <c r="G1750" s="490"/>
      <c r="H1750" s="520"/>
      <c r="I1750" s="523"/>
      <c r="J1750" s="521"/>
      <c r="K1750" s="522"/>
      <c r="M1750" s="301" t="str">
        <f>N1750&amp;AS[[#This Row],[Insurer Code]]&amp;"; "&amp;O1750&amp;AS[[#This Row],[Reporting Year]]&amp;"; "&amp;P1750&amp;AS[[#This Row],[Insurance Category Code]]&amp;"; "&amp;Q1750&amp;AS[[#This Row],[Large Provider Entity Code]]&amp;"; "&amp;R1750&amp;AS[[#This Row],[Age Band Code]]&amp;"; "&amp;S1750&amp;AS[[#This Row],[Sex Code]]</f>
        <v xml:space="preserve">Insurer Code ; Reporting Year ; Insurance Category Code ; Large Provider Entity Code ; Age Band Code ; Sex Code </v>
      </c>
      <c r="N1750" s="297" t="s">
        <v>197</v>
      </c>
      <c r="O1750" s="297" t="s">
        <v>198</v>
      </c>
      <c r="P1750" s="297" t="s">
        <v>199</v>
      </c>
      <c r="Q1750" s="297" t="s">
        <v>200</v>
      </c>
      <c r="R1750" s="297" t="s">
        <v>213</v>
      </c>
      <c r="S1750" s="297" t="s">
        <v>214</v>
      </c>
    </row>
    <row r="1751" spans="1:19" x14ac:dyDescent="0.4">
      <c r="A1751" s="291"/>
      <c r="B1751" s="292"/>
      <c r="C1751" s="312"/>
      <c r="D1751" s="292"/>
      <c r="E1751" s="489"/>
      <c r="F1751" s="489"/>
      <c r="G1751" s="490"/>
      <c r="H1751" s="520"/>
      <c r="I1751" s="523"/>
      <c r="J1751" s="521"/>
      <c r="K1751" s="522"/>
      <c r="M1751" s="301" t="str">
        <f>N1751&amp;AS[[#This Row],[Insurer Code]]&amp;"; "&amp;O1751&amp;AS[[#This Row],[Reporting Year]]&amp;"; "&amp;P1751&amp;AS[[#This Row],[Insurance Category Code]]&amp;"; "&amp;Q1751&amp;AS[[#This Row],[Large Provider Entity Code]]&amp;"; "&amp;R1751&amp;AS[[#This Row],[Age Band Code]]&amp;"; "&amp;S1751&amp;AS[[#This Row],[Sex Code]]</f>
        <v xml:space="preserve">Insurer Code ; Reporting Year ; Insurance Category Code ; Large Provider Entity Code ; Age Band Code ; Sex Code </v>
      </c>
      <c r="N1751" s="297" t="s">
        <v>197</v>
      </c>
      <c r="O1751" s="297" t="s">
        <v>198</v>
      </c>
      <c r="P1751" s="297" t="s">
        <v>199</v>
      </c>
      <c r="Q1751" s="297" t="s">
        <v>200</v>
      </c>
      <c r="R1751" s="297" t="s">
        <v>213</v>
      </c>
      <c r="S1751" s="297" t="s">
        <v>214</v>
      </c>
    </row>
    <row r="1752" spans="1:19" x14ac:dyDescent="0.4">
      <c r="A1752" s="291"/>
      <c r="B1752" s="292"/>
      <c r="C1752" s="312"/>
      <c r="D1752" s="292"/>
      <c r="E1752" s="489"/>
      <c r="F1752" s="489"/>
      <c r="G1752" s="490"/>
      <c r="H1752" s="520"/>
      <c r="I1752" s="523"/>
      <c r="J1752" s="521"/>
      <c r="K1752" s="522"/>
      <c r="M1752" s="301" t="str">
        <f>N1752&amp;AS[[#This Row],[Insurer Code]]&amp;"; "&amp;O1752&amp;AS[[#This Row],[Reporting Year]]&amp;"; "&amp;P1752&amp;AS[[#This Row],[Insurance Category Code]]&amp;"; "&amp;Q1752&amp;AS[[#This Row],[Large Provider Entity Code]]&amp;"; "&amp;R1752&amp;AS[[#This Row],[Age Band Code]]&amp;"; "&amp;S1752&amp;AS[[#This Row],[Sex Code]]</f>
        <v xml:space="preserve">Insurer Code ; Reporting Year ; Insurance Category Code ; Large Provider Entity Code ; Age Band Code ; Sex Code </v>
      </c>
      <c r="N1752" s="297" t="s">
        <v>197</v>
      </c>
      <c r="O1752" s="297" t="s">
        <v>198</v>
      </c>
      <c r="P1752" s="297" t="s">
        <v>199</v>
      </c>
      <c r="Q1752" s="297" t="s">
        <v>200</v>
      </c>
      <c r="R1752" s="297" t="s">
        <v>213</v>
      </c>
      <c r="S1752" s="297" t="s">
        <v>214</v>
      </c>
    </row>
    <row r="1753" spans="1:19" x14ac:dyDescent="0.4">
      <c r="A1753" s="291"/>
      <c r="B1753" s="292"/>
      <c r="C1753" s="312"/>
      <c r="D1753" s="292"/>
      <c r="E1753" s="489"/>
      <c r="F1753" s="489"/>
      <c r="G1753" s="490"/>
      <c r="H1753" s="520"/>
      <c r="I1753" s="523"/>
      <c r="J1753" s="521"/>
      <c r="K1753" s="522"/>
      <c r="M1753" s="301" t="str">
        <f>N1753&amp;AS[[#This Row],[Insurer Code]]&amp;"; "&amp;O1753&amp;AS[[#This Row],[Reporting Year]]&amp;"; "&amp;P1753&amp;AS[[#This Row],[Insurance Category Code]]&amp;"; "&amp;Q1753&amp;AS[[#This Row],[Large Provider Entity Code]]&amp;"; "&amp;R1753&amp;AS[[#This Row],[Age Band Code]]&amp;"; "&amp;S1753&amp;AS[[#This Row],[Sex Code]]</f>
        <v xml:space="preserve">Insurer Code ; Reporting Year ; Insurance Category Code ; Large Provider Entity Code ; Age Band Code ; Sex Code </v>
      </c>
      <c r="N1753" s="297" t="s">
        <v>197</v>
      </c>
      <c r="O1753" s="297" t="s">
        <v>198</v>
      </c>
      <c r="P1753" s="297" t="s">
        <v>199</v>
      </c>
      <c r="Q1753" s="297" t="s">
        <v>200</v>
      </c>
      <c r="R1753" s="297" t="s">
        <v>213</v>
      </c>
      <c r="S1753" s="297" t="s">
        <v>214</v>
      </c>
    </row>
    <row r="1754" spans="1:19" x14ac:dyDescent="0.4">
      <c r="A1754" s="291"/>
      <c r="B1754" s="292"/>
      <c r="C1754" s="312"/>
      <c r="D1754" s="292"/>
      <c r="E1754" s="489"/>
      <c r="F1754" s="489"/>
      <c r="G1754" s="490"/>
      <c r="H1754" s="520"/>
      <c r="I1754" s="523"/>
      <c r="J1754" s="521"/>
      <c r="K1754" s="522"/>
      <c r="M1754" s="301" t="str">
        <f>N1754&amp;AS[[#This Row],[Insurer Code]]&amp;"; "&amp;O1754&amp;AS[[#This Row],[Reporting Year]]&amp;"; "&amp;P1754&amp;AS[[#This Row],[Insurance Category Code]]&amp;"; "&amp;Q1754&amp;AS[[#This Row],[Large Provider Entity Code]]&amp;"; "&amp;R1754&amp;AS[[#This Row],[Age Band Code]]&amp;"; "&amp;S1754&amp;AS[[#This Row],[Sex Code]]</f>
        <v xml:space="preserve">Insurer Code ; Reporting Year ; Insurance Category Code ; Large Provider Entity Code ; Age Band Code ; Sex Code </v>
      </c>
      <c r="N1754" s="297" t="s">
        <v>197</v>
      </c>
      <c r="O1754" s="297" t="s">
        <v>198</v>
      </c>
      <c r="P1754" s="297" t="s">
        <v>199</v>
      </c>
      <c r="Q1754" s="297" t="s">
        <v>200</v>
      </c>
      <c r="R1754" s="297" t="s">
        <v>213</v>
      </c>
      <c r="S1754" s="297" t="s">
        <v>214</v>
      </c>
    </row>
    <row r="1755" spans="1:19" x14ac:dyDescent="0.4">
      <c r="A1755" s="291"/>
      <c r="B1755" s="292"/>
      <c r="C1755" s="312"/>
      <c r="D1755" s="292"/>
      <c r="E1755" s="489"/>
      <c r="F1755" s="489"/>
      <c r="G1755" s="490"/>
      <c r="H1755" s="520"/>
      <c r="I1755" s="523"/>
      <c r="J1755" s="521"/>
      <c r="K1755" s="522"/>
      <c r="M1755" s="301" t="str">
        <f>N1755&amp;AS[[#This Row],[Insurer Code]]&amp;"; "&amp;O1755&amp;AS[[#This Row],[Reporting Year]]&amp;"; "&amp;P1755&amp;AS[[#This Row],[Insurance Category Code]]&amp;"; "&amp;Q1755&amp;AS[[#This Row],[Large Provider Entity Code]]&amp;"; "&amp;R1755&amp;AS[[#This Row],[Age Band Code]]&amp;"; "&amp;S1755&amp;AS[[#This Row],[Sex Code]]</f>
        <v xml:space="preserve">Insurer Code ; Reporting Year ; Insurance Category Code ; Large Provider Entity Code ; Age Band Code ; Sex Code </v>
      </c>
      <c r="N1755" s="297" t="s">
        <v>197</v>
      </c>
      <c r="O1755" s="297" t="s">
        <v>198</v>
      </c>
      <c r="P1755" s="297" t="s">
        <v>199</v>
      </c>
      <c r="Q1755" s="297" t="s">
        <v>200</v>
      </c>
      <c r="R1755" s="297" t="s">
        <v>213</v>
      </c>
      <c r="S1755" s="297" t="s">
        <v>214</v>
      </c>
    </row>
    <row r="1756" spans="1:19" x14ac:dyDescent="0.4">
      <c r="A1756" s="291"/>
      <c r="B1756" s="292"/>
      <c r="C1756" s="312"/>
      <c r="D1756" s="292"/>
      <c r="E1756" s="489"/>
      <c r="F1756" s="489"/>
      <c r="G1756" s="490"/>
      <c r="H1756" s="520"/>
      <c r="I1756" s="523"/>
      <c r="J1756" s="521"/>
      <c r="K1756" s="522"/>
      <c r="M1756" s="301" t="str">
        <f>N1756&amp;AS[[#This Row],[Insurer Code]]&amp;"; "&amp;O1756&amp;AS[[#This Row],[Reporting Year]]&amp;"; "&amp;P1756&amp;AS[[#This Row],[Insurance Category Code]]&amp;"; "&amp;Q1756&amp;AS[[#This Row],[Large Provider Entity Code]]&amp;"; "&amp;R1756&amp;AS[[#This Row],[Age Band Code]]&amp;"; "&amp;S1756&amp;AS[[#This Row],[Sex Code]]</f>
        <v xml:space="preserve">Insurer Code ; Reporting Year ; Insurance Category Code ; Large Provider Entity Code ; Age Band Code ; Sex Code </v>
      </c>
      <c r="N1756" s="297" t="s">
        <v>197</v>
      </c>
      <c r="O1756" s="297" t="s">
        <v>198</v>
      </c>
      <c r="P1756" s="297" t="s">
        <v>199</v>
      </c>
      <c r="Q1756" s="297" t="s">
        <v>200</v>
      </c>
      <c r="R1756" s="297" t="s">
        <v>213</v>
      </c>
      <c r="S1756" s="297" t="s">
        <v>214</v>
      </c>
    </row>
    <row r="1757" spans="1:19" x14ac:dyDescent="0.4">
      <c r="A1757" s="291"/>
      <c r="B1757" s="292"/>
      <c r="C1757" s="312"/>
      <c r="D1757" s="292"/>
      <c r="E1757" s="489"/>
      <c r="F1757" s="489"/>
      <c r="G1757" s="490"/>
      <c r="H1757" s="520"/>
      <c r="I1757" s="523"/>
      <c r="J1757" s="521"/>
      <c r="K1757" s="522"/>
      <c r="M1757" s="301" t="str">
        <f>N1757&amp;AS[[#This Row],[Insurer Code]]&amp;"; "&amp;O1757&amp;AS[[#This Row],[Reporting Year]]&amp;"; "&amp;P1757&amp;AS[[#This Row],[Insurance Category Code]]&amp;"; "&amp;Q1757&amp;AS[[#This Row],[Large Provider Entity Code]]&amp;"; "&amp;R1757&amp;AS[[#This Row],[Age Band Code]]&amp;"; "&amp;S1757&amp;AS[[#This Row],[Sex Code]]</f>
        <v xml:space="preserve">Insurer Code ; Reporting Year ; Insurance Category Code ; Large Provider Entity Code ; Age Band Code ; Sex Code </v>
      </c>
      <c r="N1757" s="297" t="s">
        <v>197</v>
      </c>
      <c r="O1757" s="297" t="s">
        <v>198</v>
      </c>
      <c r="P1757" s="297" t="s">
        <v>199</v>
      </c>
      <c r="Q1757" s="297" t="s">
        <v>200</v>
      </c>
      <c r="R1757" s="297" t="s">
        <v>213</v>
      </c>
      <c r="S1757" s="297" t="s">
        <v>214</v>
      </c>
    </row>
    <row r="1758" spans="1:19" x14ac:dyDescent="0.4">
      <c r="A1758" s="291"/>
      <c r="B1758" s="292"/>
      <c r="C1758" s="312"/>
      <c r="D1758" s="292"/>
      <c r="E1758" s="489"/>
      <c r="F1758" s="489"/>
      <c r="G1758" s="490"/>
      <c r="H1758" s="520"/>
      <c r="I1758" s="523"/>
      <c r="J1758" s="521"/>
      <c r="K1758" s="522"/>
      <c r="M1758" s="301" t="str">
        <f>N1758&amp;AS[[#This Row],[Insurer Code]]&amp;"; "&amp;O1758&amp;AS[[#This Row],[Reporting Year]]&amp;"; "&amp;P1758&amp;AS[[#This Row],[Insurance Category Code]]&amp;"; "&amp;Q1758&amp;AS[[#This Row],[Large Provider Entity Code]]&amp;"; "&amp;R1758&amp;AS[[#This Row],[Age Band Code]]&amp;"; "&amp;S1758&amp;AS[[#This Row],[Sex Code]]</f>
        <v xml:space="preserve">Insurer Code ; Reporting Year ; Insurance Category Code ; Large Provider Entity Code ; Age Band Code ; Sex Code </v>
      </c>
      <c r="N1758" s="297" t="s">
        <v>197</v>
      </c>
      <c r="O1758" s="297" t="s">
        <v>198</v>
      </c>
      <c r="P1758" s="297" t="s">
        <v>199</v>
      </c>
      <c r="Q1758" s="297" t="s">
        <v>200</v>
      </c>
      <c r="R1758" s="297" t="s">
        <v>213</v>
      </c>
      <c r="S1758" s="297" t="s">
        <v>214</v>
      </c>
    </row>
    <row r="1759" spans="1:19" x14ac:dyDescent="0.4">
      <c r="A1759" s="291"/>
      <c r="B1759" s="292"/>
      <c r="C1759" s="312"/>
      <c r="D1759" s="292"/>
      <c r="E1759" s="489"/>
      <c r="F1759" s="489"/>
      <c r="G1759" s="490"/>
      <c r="H1759" s="520"/>
      <c r="I1759" s="523"/>
      <c r="J1759" s="521"/>
      <c r="K1759" s="522"/>
      <c r="M1759" s="301" t="str">
        <f>N1759&amp;AS[[#This Row],[Insurer Code]]&amp;"; "&amp;O1759&amp;AS[[#This Row],[Reporting Year]]&amp;"; "&amp;P1759&amp;AS[[#This Row],[Insurance Category Code]]&amp;"; "&amp;Q1759&amp;AS[[#This Row],[Large Provider Entity Code]]&amp;"; "&amp;R1759&amp;AS[[#This Row],[Age Band Code]]&amp;"; "&amp;S1759&amp;AS[[#This Row],[Sex Code]]</f>
        <v xml:space="preserve">Insurer Code ; Reporting Year ; Insurance Category Code ; Large Provider Entity Code ; Age Band Code ; Sex Code </v>
      </c>
      <c r="N1759" s="297" t="s">
        <v>197</v>
      </c>
      <c r="O1759" s="297" t="s">
        <v>198</v>
      </c>
      <c r="P1759" s="297" t="s">
        <v>199</v>
      </c>
      <c r="Q1759" s="297" t="s">
        <v>200</v>
      </c>
      <c r="R1759" s="297" t="s">
        <v>213</v>
      </c>
      <c r="S1759" s="297" t="s">
        <v>214</v>
      </c>
    </row>
    <row r="1760" spans="1:19" x14ac:dyDescent="0.4">
      <c r="A1760" s="291"/>
      <c r="B1760" s="292"/>
      <c r="C1760" s="312"/>
      <c r="D1760" s="292"/>
      <c r="E1760" s="489"/>
      <c r="F1760" s="489"/>
      <c r="G1760" s="490"/>
      <c r="H1760" s="520"/>
      <c r="I1760" s="523"/>
      <c r="J1760" s="521"/>
      <c r="K1760" s="522"/>
      <c r="M1760" s="301" t="str">
        <f>N1760&amp;AS[[#This Row],[Insurer Code]]&amp;"; "&amp;O1760&amp;AS[[#This Row],[Reporting Year]]&amp;"; "&amp;P1760&amp;AS[[#This Row],[Insurance Category Code]]&amp;"; "&amp;Q1760&amp;AS[[#This Row],[Large Provider Entity Code]]&amp;"; "&amp;R1760&amp;AS[[#This Row],[Age Band Code]]&amp;"; "&amp;S1760&amp;AS[[#This Row],[Sex Code]]</f>
        <v xml:space="preserve">Insurer Code ; Reporting Year ; Insurance Category Code ; Large Provider Entity Code ; Age Band Code ; Sex Code </v>
      </c>
      <c r="N1760" s="297" t="s">
        <v>197</v>
      </c>
      <c r="O1760" s="297" t="s">
        <v>198</v>
      </c>
      <c r="P1760" s="297" t="s">
        <v>199</v>
      </c>
      <c r="Q1760" s="297" t="s">
        <v>200</v>
      </c>
      <c r="R1760" s="297" t="s">
        <v>213</v>
      </c>
      <c r="S1760" s="297" t="s">
        <v>214</v>
      </c>
    </row>
    <row r="1761" spans="1:19" x14ac:dyDescent="0.4">
      <c r="A1761" s="291"/>
      <c r="B1761" s="292"/>
      <c r="C1761" s="312"/>
      <c r="D1761" s="292"/>
      <c r="E1761" s="489"/>
      <c r="F1761" s="489"/>
      <c r="G1761" s="490"/>
      <c r="H1761" s="520"/>
      <c r="I1761" s="523"/>
      <c r="J1761" s="521"/>
      <c r="K1761" s="522"/>
      <c r="M1761" s="301" t="str">
        <f>N1761&amp;AS[[#This Row],[Insurer Code]]&amp;"; "&amp;O1761&amp;AS[[#This Row],[Reporting Year]]&amp;"; "&amp;P1761&amp;AS[[#This Row],[Insurance Category Code]]&amp;"; "&amp;Q1761&amp;AS[[#This Row],[Large Provider Entity Code]]&amp;"; "&amp;R1761&amp;AS[[#This Row],[Age Band Code]]&amp;"; "&amp;S1761&amp;AS[[#This Row],[Sex Code]]</f>
        <v xml:space="preserve">Insurer Code ; Reporting Year ; Insurance Category Code ; Large Provider Entity Code ; Age Band Code ; Sex Code </v>
      </c>
      <c r="N1761" s="297" t="s">
        <v>197</v>
      </c>
      <c r="O1761" s="297" t="s">
        <v>198</v>
      </c>
      <c r="P1761" s="297" t="s">
        <v>199</v>
      </c>
      <c r="Q1761" s="297" t="s">
        <v>200</v>
      </c>
      <c r="R1761" s="297" t="s">
        <v>213</v>
      </c>
      <c r="S1761" s="297" t="s">
        <v>214</v>
      </c>
    </row>
    <row r="1762" spans="1:19" x14ac:dyDescent="0.4">
      <c r="A1762" s="291"/>
      <c r="B1762" s="292"/>
      <c r="C1762" s="312"/>
      <c r="D1762" s="292"/>
      <c r="E1762" s="489"/>
      <c r="F1762" s="489"/>
      <c r="G1762" s="490"/>
      <c r="H1762" s="520"/>
      <c r="I1762" s="523"/>
      <c r="J1762" s="521"/>
      <c r="K1762" s="522"/>
      <c r="M1762" s="301" t="str">
        <f>N1762&amp;AS[[#This Row],[Insurer Code]]&amp;"; "&amp;O1762&amp;AS[[#This Row],[Reporting Year]]&amp;"; "&amp;P1762&amp;AS[[#This Row],[Insurance Category Code]]&amp;"; "&amp;Q1762&amp;AS[[#This Row],[Large Provider Entity Code]]&amp;"; "&amp;R1762&amp;AS[[#This Row],[Age Band Code]]&amp;"; "&amp;S1762&amp;AS[[#This Row],[Sex Code]]</f>
        <v xml:space="preserve">Insurer Code ; Reporting Year ; Insurance Category Code ; Large Provider Entity Code ; Age Band Code ; Sex Code </v>
      </c>
      <c r="N1762" s="297" t="s">
        <v>197</v>
      </c>
      <c r="O1762" s="297" t="s">
        <v>198</v>
      </c>
      <c r="P1762" s="297" t="s">
        <v>199</v>
      </c>
      <c r="Q1762" s="297" t="s">
        <v>200</v>
      </c>
      <c r="R1762" s="297" t="s">
        <v>213</v>
      </c>
      <c r="S1762" s="297" t="s">
        <v>214</v>
      </c>
    </row>
    <row r="1763" spans="1:19" x14ac:dyDescent="0.4">
      <c r="A1763" s="291"/>
      <c r="B1763" s="292"/>
      <c r="C1763" s="312"/>
      <c r="D1763" s="292"/>
      <c r="E1763" s="489"/>
      <c r="F1763" s="489"/>
      <c r="G1763" s="490"/>
      <c r="H1763" s="520"/>
      <c r="I1763" s="523"/>
      <c r="J1763" s="521"/>
      <c r="K1763" s="522"/>
      <c r="M1763" s="301" t="str">
        <f>N1763&amp;AS[[#This Row],[Insurer Code]]&amp;"; "&amp;O1763&amp;AS[[#This Row],[Reporting Year]]&amp;"; "&amp;P1763&amp;AS[[#This Row],[Insurance Category Code]]&amp;"; "&amp;Q1763&amp;AS[[#This Row],[Large Provider Entity Code]]&amp;"; "&amp;R1763&amp;AS[[#This Row],[Age Band Code]]&amp;"; "&amp;S1763&amp;AS[[#This Row],[Sex Code]]</f>
        <v xml:space="preserve">Insurer Code ; Reporting Year ; Insurance Category Code ; Large Provider Entity Code ; Age Band Code ; Sex Code </v>
      </c>
      <c r="N1763" s="297" t="s">
        <v>197</v>
      </c>
      <c r="O1763" s="297" t="s">
        <v>198</v>
      </c>
      <c r="P1763" s="297" t="s">
        <v>199</v>
      </c>
      <c r="Q1763" s="297" t="s">
        <v>200</v>
      </c>
      <c r="R1763" s="297" t="s">
        <v>213</v>
      </c>
      <c r="S1763" s="297" t="s">
        <v>214</v>
      </c>
    </row>
    <row r="1764" spans="1:19" x14ac:dyDescent="0.4">
      <c r="A1764" s="291"/>
      <c r="B1764" s="292"/>
      <c r="C1764" s="312"/>
      <c r="D1764" s="292"/>
      <c r="E1764" s="489"/>
      <c r="F1764" s="489"/>
      <c r="G1764" s="490"/>
      <c r="H1764" s="520"/>
      <c r="I1764" s="523"/>
      <c r="J1764" s="521"/>
      <c r="K1764" s="522"/>
      <c r="M1764" s="301" t="str">
        <f>N1764&amp;AS[[#This Row],[Insurer Code]]&amp;"; "&amp;O1764&amp;AS[[#This Row],[Reporting Year]]&amp;"; "&amp;P1764&amp;AS[[#This Row],[Insurance Category Code]]&amp;"; "&amp;Q1764&amp;AS[[#This Row],[Large Provider Entity Code]]&amp;"; "&amp;R1764&amp;AS[[#This Row],[Age Band Code]]&amp;"; "&amp;S1764&amp;AS[[#This Row],[Sex Code]]</f>
        <v xml:space="preserve">Insurer Code ; Reporting Year ; Insurance Category Code ; Large Provider Entity Code ; Age Band Code ; Sex Code </v>
      </c>
      <c r="N1764" s="297" t="s">
        <v>197</v>
      </c>
      <c r="O1764" s="297" t="s">
        <v>198</v>
      </c>
      <c r="P1764" s="297" t="s">
        <v>199</v>
      </c>
      <c r="Q1764" s="297" t="s">
        <v>200</v>
      </c>
      <c r="R1764" s="297" t="s">
        <v>213</v>
      </c>
      <c r="S1764" s="297" t="s">
        <v>214</v>
      </c>
    </row>
    <row r="1765" spans="1:19" x14ac:dyDescent="0.4">
      <c r="A1765" s="291"/>
      <c r="B1765" s="292"/>
      <c r="C1765" s="312"/>
      <c r="D1765" s="292"/>
      <c r="E1765" s="489"/>
      <c r="F1765" s="489"/>
      <c r="G1765" s="490"/>
      <c r="H1765" s="520"/>
      <c r="I1765" s="523"/>
      <c r="J1765" s="521"/>
      <c r="K1765" s="522"/>
      <c r="M1765" s="301" t="str">
        <f>N1765&amp;AS[[#This Row],[Insurer Code]]&amp;"; "&amp;O1765&amp;AS[[#This Row],[Reporting Year]]&amp;"; "&amp;P1765&amp;AS[[#This Row],[Insurance Category Code]]&amp;"; "&amp;Q1765&amp;AS[[#This Row],[Large Provider Entity Code]]&amp;"; "&amp;R1765&amp;AS[[#This Row],[Age Band Code]]&amp;"; "&amp;S1765&amp;AS[[#This Row],[Sex Code]]</f>
        <v xml:space="preserve">Insurer Code ; Reporting Year ; Insurance Category Code ; Large Provider Entity Code ; Age Band Code ; Sex Code </v>
      </c>
      <c r="N1765" s="297" t="s">
        <v>197</v>
      </c>
      <c r="O1765" s="297" t="s">
        <v>198</v>
      </c>
      <c r="P1765" s="297" t="s">
        <v>199</v>
      </c>
      <c r="Q1765" s="297" t="s">
        <v>200</v>
      </c>
      <c r="R1765" s="297" t="s">
        <v>213</v>
      </c>
      <c r="S1765" s="297" t="s">
        <v>214</v>
      </c>
    </row>
    <row r="1766" spans="1:19" x14ac:dyDescent="0.4">
      <c r="A1766" s="291"/>
      <c r="B1766" s="292"/>
      <c r="C1766" s="312"/>
      <c r="D1766" s="292"/>
      <c r="E1766" s="489"/>
      <c r="F1766" s="489"/>
      <c r="G1766" s="490"/>
      <c r="H1766" s="520"/>
      <c r="I1766" s="523"/>
      <c r="J1766" s="521"/>
      <c r="K1766" s="522"/>
      <c r="M1766" s="301" t="str">
        <f>N1766&amp;AS[[#This Row],[Insurer Code]]&amp;"; "&amp;O1766&amp;AS[[#This Row],[Reporting Year]]&amp;"; "&amp;P1766&amp;AS[[#This Row],[Insurance Category Code]]&amp;"; "&amp;Q1766&amp;AS[[#This Row],[Large Provider Entity Code]]&amp;"; "&amp;R1766&amp;AS[[#This Row],[Age Band Code]]&amp;"; "&amp;S1766&amp;AS[[#This Row],[Sex Code]]</f>
        <v xml:space="preserve">Insurer Code ; Reporting Year ; Insurance Category Code ; Large Provider Entity Code ; Age Band Code ; Sex Code </v>
      </c>
      <c r="N1766" s="297" t="s">
        <v>197</v>
      </c>
      <c r="O1766" s="297" t="s">
        <v>198</v>
      </c>
      <c r="P1766" s="297" t="s">
        <v>199</v>
      </c>
      <c r="Q1766" s="297" t="s">
        <v>200</v>
      </c>
      <c r="R1766" s="297" t="s">
        <v>213</v>
      </c>
      <c r="S1766" s="297" t="s">
        <v>214</v>
      </c>
    </row>
    <row r="1767" spans="1:19" x14ac:dyDescent="0.4">
      <c r="A1767" s="291"/>
      <c r="B1767" s="292"/>
      <c r="C1767" s="312"/>
      <c r="D1767" s="292"/>
      <c r="E1767" s="489"/>
      <c r="F1767" s="489"/>
      <c r="G1767" s="490"/>
      <c r="H1767" s="520"/>
      <c r="I1767" s="523"/>
      <c r="J1767" s="521"/>
      <c r="K1767" s="522"/>
      <c r="M1767" s="301" t="str">
        <f>N1767&amp;AS[[#This Row],[Insurer Code]]&amp;"; "&amp;O1767&amp;AS[[#This Row],[Reporting Year]]&amp;"; "&amp;P1767&amp;AS[[#This Row],[Insurance Category Code]]&amp;"; "&amp;Q1767&amp;AS[[#This Row],[Large Provider Entity Code]]&amp;"; "&amp;R1767&amp;AS[[#This Row],[Age Band Code]]&amp;"; "&amp;S1767&amp;AS[[#This Row],[Sex Code]]</f>
        <v xml:space="preserve">Insurer Code ; Reporting Year ; Insurance Category Code ; Large Provider Entity Code ; Age Band Code ; Sex Code </v>
      </c>
      <c r="N1767" s="297" t="s">
        <v>197</v>
      </c>
      <c r="O1767" s="297" t="s">
        <v>198</v>
      </c>
      <c r="P1767" s="297" t="s">
        <v>199</v>
      </c>
      <c r="Q1767" s="297" t="s">
        <v>200</v>
      </c>
      <c r="R1767" s="297" t="s">
        <v>213</v>
      </c>
      <c r="S1767" s="297" t="s">
        <v>214</v>
      </c>
    </row>
    <row r="1768" spans="1:19" x14ac:dyDescent="0.4">
      <c r="A1768" s="291"/>
      <c r="B1768" s="292"/>
      <c r="C1768" s="312"/>
      <c r="D1768" s="292"/>
      <c r="E1768" s="489"/>
      <c r="F1768" s="489"/>
      <c r="G1768" s="490"/>
      <c r="H1768" s="520"/>
      <c r="I1768" s="523"/>
      <c r="J1768" s="521"/>
      <c r="K1768" s="522"/>
      <c r="M1768" s="301" t="str">
        <f>N1768&amp;AS[[#This Row],[Insurer Code]]&amp;"; "&amp;O1768&amp;AS[[#This Row],[Reporting Year]]&amp;"; "&amp;P1768&amp;AS[[#This Row],[Insurance Category Code]]&amp;"; "&amp;Q1768&amp;AS[[#This Row],[Large Provider Entity Code]]&amp;"; "&amp;R1768&amp;AS[[#This Row],[Age Band Code]]&amp;"; "&amp;S1768&amp;AS[[#This Row],[Sex Code]]</f>
        <v xml:space="preserve">Insurer Code ; Reporting Year ; Insurance Category Code ; Large Provider Entity Code ; Age Band Code ; Sex Code </v>
      </c>
      <c r="N1768" s="297" t="s">
        <v>197</v>
      </c>
      <c r="O1768" s="297" t="s">
        <v>198</v>
      </c>
      <c r="P1768" s="297" t="s">
        <v>199</v>
      </c>
      <c r="Q1768" s="297" t="s">
        <v>200</v>
      </c>
      <c r="R1768" s="297" t="s">
        <v>213</v>
      </c>
      <c r="S1768" s="297" t="s">
        <v>214</v>
      </c>
    </row>
    <row r="1769" spans="1:19" x14ac:dyDescent="0.4">
      <c r="A1769" s="291"/>
      <c r="B1769" s="292"/>
      <c r="C1769" s="312"/>
      <c r="D1769" s="292"/>
      <c r="E1769" s="489"/>
      <c r="F1769" s="489"/>
      <c r="G1769" s="490"/>
      <c r="H1769" s="520"/>
      <c r="I1769" s="523"/>
      <c r="J1769" s="521"/>
      <c r="K1769" s="522"/>
      <c r="M1769" s="301" t="str">
        <f>N1769&amp;AS[[#This Row],[Insurer Code]]&amp;"; "&amp;O1769&amp;AS[[#This Row],[Reporting Year]]&amp;"; "&amp;P1769&amp;AS[[#This Row],[Insurance Category Code]]&amp;"; "&amp;Q1769&amp;AS[[#This Row],[Large Provider Entity Code]]&amp;"; "&amp;R1769&amp;AS[[#This Row],[Age Band Code]]&amp;"; "&amp;S1769&amp;AS[[#This Row],[Sex Code]]</f>
        <v xml:space="preserve">Insurer Code ; Reporting Year ; Insurance Category Code ; Large Provider Entity Code ; Age Band Code ; Sex Code </v>
      </c>
      <c r="N1769" s="297" t="s">
        <v>197</v>
      </c>
      <c r="O1769" s="297" t="s">
        <v>198</v>
      </c>
      <c r="P1769" s="297" t="s">
        <v>199</v>
      </c>
      <c r="Q1769" s="297" t="s">
        <v>200</v>
      </c>
      <c r="R1769" s="297" t="s">
        <v>213</v>
      </c>
      <c r="S1769" s="297" t="s">
        <v>214</v>
      </c>
    </row>
    <row r="1770" spans="1:19" x14ac:dyDescent="0.4">
      <c r="A1770" s="291"/>
      <c r="B1770" s="292"/>
      <c r="C1770" s="312"/>
      <c r="D1770" s="292"/>
      <c r="E1770" s="489"/>
      <c r="F1770" s="489"/>
      <c r="G1770" s="490"/>
      <c r="H1770" s="520"/>
      <c r="I1770" s="523"/>
      <c r="J1770" s="521"/>
      <c r="K1770" s="522"/>
      <c r="M1770" s="301" t="str">
        <f>N1770&amp;AS[[#This Row],[Insurer Code]]&amp;"; "&amp;O1770&amp;AS[[#This Row],[Reporting Year]]&amp;"; "&amp;P1770&amp;AS[[#This Row],[Insurance Category Code]]&amp;"; "&amp;Q1770&amp;AS[[#This Row],[Large Provider Entity Code]]&amp;"; "&amp;R1770&amp;AS[[#This Row],[Age Band Code]]&amp;"; "&amp;S1770&amp;AS[[#This Row],[Sex Code]]</f>
        <v xml:space="preserve">Insurer Code ; Reporting Year ; Insurance Category Code ; Large Provider Entity Code ; Age Band Code ; Sex Code </v>
      </c>
      <c r="N1770" s="297" t="s">
        <v>197</v>
      </c>
      <c r="O1770" s="297" t="s">
        <v>198</v>
      </c>
      <c r="P1770" s="297" t="s">
        <v>199</v>
      </c>
      <c r="Q1770" s="297" t="s">
        <v>200</v>
      </c>
      <c r="R1770" s="297" t="s">
        <v>213</v>
      </c>
      <c r="S1770" s="297" t="s">
        <v>214</v>
      </c>
    </row>
    <row r="1771" spans="1:19" x14ac:dyDescent="0.4">
      <c r="A1771" s="291"/>
      <c r="B1771" s="292"/>
      <c r="C1771" s="312"/>
      <c r="D1771" s="292"/>
      <c r="E1771" s="489"/>
      <c r="F1771" s="489"/>
      <c r="G1771" s="490"/>
      <c r="H1771" s="520"/>
      <c r="I1771" s="523"/>
      <c r="J1771" s="521"/>
      <c r="K1771" s="522"/>
      <c r="M1771" s="301" t="str">
        <f>N1771&amp;AS[[#This Row],[Insurer Code]]&amp;"; "&amp;O1771&amp;AS[[#This Row],[Reporting Year]]&amp;"; "&amp;P1771&amp;AS[[#This Row],[Insurance Category Code]]&amp;"; "&amp;Q1771&amp;AS[[#This Row],[Large Provider Entity Code]]&amp;"; "&amp;R1771&amp;AS[[#This Row],[Age Band Code]]&amp;"; "&amp;S1771&amp;AS[[#This Row],[Sex Code]]</f>
        <v xml:space="preserve">Insurer Code ; Reporting Year ; Insurance Category Code ; Large Provider Entity Code ; Age Band Code ; Sex Code </v>
      </c>
      <c r="N1771" s="297" t="s">
        <v>197</v>
      </c>
      <c r="O1771" s="297" t="s">
        <v>198</v>
      </c>
      <c r="P1771" s="297" t="s">
        <v>199</v>
      </c>
      <c r="Q1771" s="297" t="s">
        <v>200</v>
      </c>
      <c r="R1771" s="297" t="s">
        <v>213</v>
      </c>
      <c r="S1771" s="297" t="s">
        <v>214</v>
      </c>
    </row>
    <row r="1772" spans="1:19" x14ac:dyDescent="0.4">
      <c r="A1772" s="291"/>
      <c r="B1772" s="292"/>
      <c r="C1772" s="312"/>
      <c r="D1772" s="292"/>
      <c r="E1772" s="489"/>
      <c r="F1772" s="489"/>
      <c r="G1772" s="490"/>
      <c r="H1772" s="520"/>
      <c r="I1772" s="523"/>
      <c r="J1772" s="521"/>
      <c r="K1772" s="522"/>
      <c r="M1772" s="301" t="str">
        <f>N1772&amp;AS[[#This Row],[Insurer Code]]&amp;"; "&amp;O1772&amp;AS[[#This Row],[Reporting Year]]&amp;"; "&amp;P1772&amp;AS[[#This Row],[Insurance Category Code]]&amp;"; "&amp;Q1772&amp;AS[[#This Row],[Large Provider Entity Code]]&amp;"; "&amp;R1772&amp;AS[[#This Row],[Age Band Code]]&amp;"; "&amp;S1772&amp;AS[[#This Row],[Sex Code]]</f>
        <v xml:space="preserve">Insurer Code ; Reporting Year ; Insurance Category Code ; Large Provider Entity Code ; Age Band Code ; Sex Code </v>
      </c>
      <c r="N1772" s="297" t="s">
        <v>197</v>
      </c>
      <c r="O1772" s="297" t="s">
        <v>198</v>
      </c>
      <c r="P1772" s="297" t="s">
        <v>199</v>
      </c>
      <c r="Q1772" s="297" t="s">
        <v>200</v>
      </c>
      <c r="R1772" s="297" t="s">
        <v>213</v>
      </c>
      <c r="S1772" s="297" t="s">
        <v>214</v>
      </c>
    </row>
    <row r="1773" spans="1:19" x14ac:dyDescent="0.4">
      <c r="A1773" s="291"/>
      <c r="B1773" s="292"/>
      <c r="C1773" s="312"/>
      <c r="D1773" s="292"/>
      <c r="E1773" s="489"/>
      <c r="F1773" s="489"/>
      <c r="G1773" s="490"/>
      <c r="H1773" s="520"/>
      <c r="I1773" s="523"/>
      <c r="J1773" s="521"/>
      <c r="K1773" s="522"/>
      <c r="M1773" s="301" t="str">
        <f>N1773&amp;AS[[#This Row],[Insurer Code]]&amp;"; "&amp;O1773&amp;AS[[#This Row],[Reporting Year]]&amp;"; "&amp;P1773&amp;AS[[#This Row],[Insurance Category Code]]&amp;"; "&amp;Q1773&amp;AS[[#This Row],[Large Provider Entity Code]]&amp;"; "&amp;R1773&amp;AS[[#This Row],[Age Band Code]]&amp;"; "&amp;S1773&amp;AS[[#This Row],[Sex Code]]</f>
        <v xml:space="preserve">Insurer Code ; Reporting Year ; Insurance Category Code ; Large Provider Entity Code ; Age Band Code ; Sex Code </v>
      </c>
      <c r="N1773" s="297" t="s">
        <v>197</v>
      </c>
      <c r="O1773" s="297" t="s">
        <v>198</v>
      </c>
      <c r="P1773" s="297" t="s">
        <v>199</v>
      </c>
      <c r="Q1773" s="297" t="s">
        <v>200</v>
      </c>
      <c r="R1773" s="297" t="s">
        <v>213</v>
      </c>
      <c r="S1773" s="297" t="s">
        <v>214</v>
      </c>
    </row>
    <row r="1774" spans="1:19" x14ac:dyDescent="0.4">
      <c r="A1774" s="291"/>
      <c r="B1774" s="292"/>
      <c r="C1774" s="312"/>
      <c r="D1774" s="292"/>
      <c r="E1774" s="489"/>
      <c r="F1774" s="489"/>
      <c r="G1774" s="490"/>
      <c r="H1774" s="520"/>
      <c r="I1774" s="523"/>
      <c r="J1774" s="521"/>
      <c r="K1774" s="522"/>
      <c r="M1774" s="301" t="str">
        <f>N1774&amp;AS[[#This Row],[Insurer Code]]&amp;"; "&amp;O1774&amp;AS[[#This Row],[Reporting Year]]&amp;"; "&amp;P1774&amp;AS[[#This Row],[Insurance Category Code]]&amp;"; "&amp;Q1774&amp;AS[[#This Row],[Large Provider Entity Code]]&amp;"; "&amp;R1774&amp;AS[[#This Row],[Age Band Code]]&amp;"; "&amp;S1774&amp;AS[[#This Row],[Sex Code]]</f>
        <v xml:space="preserve">Insurer Code ; Reporting Year ; Insurance Category Code ; Large Provider Entity Code ; Age Band Code ; Sex Code </v>
      </c>
      <c r="N1774" s="297" t="s">
        <v>197</v>
      </c>
      <c r="O1774" s="297" t="s">
        <v>198</v>
      </c>
      <c r="P1774" s="297" t="s">
        <v>199</v>
      </c>
      <c r="Q1774" s="297" t="s">
        <v>200</v>
      </c>
      <c r="R1774" s="297" t="s">
        <v>213</v>
      </c>
      <c r="S1774" s="297" t="s">
        <v>214</v>
      </c>
    </row>
    <row r="1775" spans="1:19" x14ac:dyDescent="0.4">
      <c r="A1775" s="291"/>
      <c r="B1775" s="292"/>
      <c r="C1775" s="312"/>
      <c r="D1775" s="292"/>
      <c r="E1775" s="489"/>
      <c r="F1775" s="489"/>
      <c r="G1775" s="490"/>
      <c r="H1775" s="520"/>
      <c r="I1775" s="523"/>
      <c r="J1775" s="521"/>
      <c r="K1775" s="522"/>
      <c r="M1775" s="301" t="str">
        <f>N1775&amp;AS[[#This Row],[Insurer Code]]&amp;"; "&amp;O1775&amp;AS[[#This Row],[Reporting Year]]&amp;"; "&amp;P1775&amp;AS[[#This Row],[Insurance Category Code]]&amp;"; "&amp;Q1775&amp;AS[[#This Row],[Large Provider Entity Code]]&amp;"; "&amp;R1775&amp;AS[[#This Row],[Age Band Code]]&amp;"; "&amp;S1775&amp;AS[[#This Row],[Sex Code]]</f>
        <v xml:space="preserve">Insurer Code ; Reporting Year ; Insurance Category Code ; Large Provider Entity Code ; Age Band Code ; Sex Code </v>
      </c>
      <c r="N1775" s="297" t="s">
        <v>197</v>
      </c>
      <c r="O1775" s="297" t="s">
        <v>198</v>
      </c>
      <c r="P1775" s="297" t="s">
        <v>199</v>
      </c>
      <c r="Q1775" s="297" t="s">
        <v>200</v>
      </c>
      <c r="R1775" s="297" t="s">
        <v>213</v>
      </c>
      <c r="S1775" s="297" t="s">
        <v>214</v>
      </c>
    </row>
    <row r="1776" spans="1:19" x14ac:dyDescent="0.4">
      <c r="A1776" s="291"/>
      <c r="B1776" s="292"/>
      <c r="C1776" s="312"/>
      <c r="D1776" s="292"/>
      <c r="E1776" s="489"/>
      <c r="F1776" s="489"/>
      <c r="G1776" s="490"/>
      <c r="H1776" s="520"/>
      <c r="I1776" s="523"/>
      <c r="J1776" s="521"/>
      <c r="K1776" s="522"/>
      <c r="M1776" s="301" t="str">
        <f>N1776&amp;AS[[#This Row],[Insurer Code]]&amp;"; "&amp;O1776&amp;AS[[#This Row],[Reporting Year]]&amp;"; "&amp;P1776&amp;AS[[#This Row],[Insurance Category Code]]&amp;"; "&amp;Q1776&amp;AS[[#This Row],[Large Provider Entity Code]]&amp;"; "&amp;R1776&amp;AS[[#This Row],[Age Band Code]]&amp;"; "&amp;S1776&amp;AS[[#This Row],[Sex Code]]</f>
        <v xml:space="preserve">Insurer Code ; Reporting Year ; Insurance Category Code ; Large Provider Entity Code ; Age Band Code ; Sex Code </v>
      </c>
      <c r="N1776" s="297" t="s">
        <v>197</v>
      </c>
      <c r="O1776" s="297" t="s">
        <v>198</v>
      </c>
      <c r="P1776" s="297" t="s">
        <v>199</v>
      </c>
      <c r="Q1776" s="297" t="s">
        <v>200</v>
      </c>
      <c r="R1776" s="297" t="s">
        <v>213</v>
      </c>
      <c r="S1776" s="297" t="s">
        <v>214</v>
      </c>
    </row>
    <row r="1777" spans="1:19" x14ac:dyDescent="0.4">
      <c r="A1777" s="291"/>
      <c r="B1777" s="292"/>
      <c r="C1777" s="312"/>
      <c r="D1777" s="292"/>
      <c r="E1777" s="489"/>
      <c r="F1777" s="489"/>
      <c r="G1777" s="490"/>
      <c r="H1777" s="520"/>
      <c r="I1777" s="523"/>
      <c r="J1777" s="521"/>
      <c r="K1777" s="522"/>
      <c r="M1777" s="301" t="str">
        <f>N1777&amp;AS[[#This Row],[Insurer Code]]&amp;"; "&amp;O1777&amp;AS[[#This Row],[Reporting Year]]&amp;"; "&amp;P1777&amp;AS[[#This Row],[Insurance Category Code]]&amp;"; "&amp;Q1777&amp;AS[[#This Row],[Large Provider Entity Code]]&amp;"; "&amp;R1777&amp;AS[[#This Row],[Age Band Code]]&amp;"; "&amp;S1777&amp;AS[[#This Row],[Sex Code]]</f>
        <v xml:space="preserve">Insurer Code ; Reporting Year ; Insurance Category Code ; Large Provider Entity Code ; Age Band Code ; Sex Code </v>
      </c>
      <c r="N1777" s="297" t="s">
        <v>197</v>
      </c>
      <c r="O1777" s="297" t="s">
        <v>198</v>
      </c>
      <c r="P1777" s="297" t="s">
        <v>199</v>
      </c>
      <c r="Q1777" s="297" t="s">
        <v>200</v>
      </c>
      <c r="R1777" s="297" t="s">
        <v>213</v>
      </c>
      <c r="S1777" s="297" t="s">
        <v>214</v>
      </c>
    </row>
    <row r="1778" spans="1:19" x14ac:dyDescent="0.4">
      <c r="A1778" s="291"/>
      <c r="B1778" s="292"/>
      <c r="C1778" s="312"/>
      <c r="D1778" s="292"/>
      <c r="E1778" s="489"/>
      <c r="F1778" s="489"/>
      <c r="G1778" s="490"/>
      <c r="H1778" s="520"/>
      <c r="I1778" s="523"/>
      <c r="J1778" s="521"/>
      <c r="K1778" s="522"/>
      <c r="M1778" s="301" t="str">
        <f>N1778&amp;AS[[#This Row],[Insurer Code]]&amp;"; "&amp;O1778&amp;AS[[#This Row],[Reporting Year]]&amp;"; "&amp;P1778&amp;AS[[#This Row],[Insurance Category Code]]&amp;"; "&amp;Q1778&amp;AS[[#This Row],[Large Provider Entity Code]]&amp;"; "&amp;R1778&amp;AS[[#This Row],[Age Band Code]]&amp;"; "&amp;S1778&amp;AS[[#This Row],[Sex Code]]</f>
        <v xml:space="preserve">Insurer Code ; Reporting Year ; Insurance Category Code ; Large Provider Entity Code ; Age Band Code ; Sex Code </v>
      </c>
      <c r="N1778" s="297" t="s">
        <v>197</v>
      </c>
      <c r="O1778" s="297" t="s">
        <v>198</v>
      </c>
      <c r="P1778" s="297" t="s">
        <v>199</v>
      </c>
      <c r="Q1778" s="297" t="s">
        <v>200</v>
      </c>
      <c r="R1778" s="297" t="s">
        <v>213</v>
      </c>
      <c r="S1778" s="297" t="s">
        <v>214</v>
      </c>
    </row>
    <row r="1779" spans="1:19" x14ac:dyDescent="0.4">
      <c r="A1779" s="291"/>
      <c r="B1779" s="292"/>
      <c r="C1779" s="312"/>
      <c r="D1779" s="292"/>
      <c r="E1779" s="489"/>
      <c r="F1779" s="489"/>
      <c r="G1779" s="490"/>
      <c r="H1779" s="520"/>
      <c r="I1779" s="523"/>
      <c r="J1779" s="521"/>
      <c r="K1779" s="522"/>
      <c r="M1779" s="301" t="str">
        <f>N1779&amp;AS[[#This Row],[Insurer Code]]&amp;"; "&amp;O1779&amp;AS[[#This Row],[Reporting Year]]&amp;"; "&amp;P1779&amp;AS[[#This Row],[Insurance Category Code]]&amp;"; "&amp;Q1779&amp;AS[[#This Row],[Large Provider Entity Code]]&amp;"; "&amp;R1779&amp;AS[[#This Row],[Age Band Code]]&amp;"; "&amp;S1779&amp;AS[[#This Row],[Sex Code]]</f>
        <v xml:space="preserve">Insurer Code ; Reporting Year ; Insurance Category Code ; Large Provider Entity Code ; Age Band Code ; Sex Code </v>
      </c>
      <c r="N1779" s="297" t="s">
        <v>197</v>
      </c>
      <c r="O1779" s="297" t="s">
        <v>198</v>
      </c>
      <c r="P1779" s="297" t="s">
        <v>199</v>
      </c>
      <c r="Q1779" s="297" t="s">
        <v>200</v>
      </c>
      <c r="R1779" s="297" t="s">
        <v>213</v>
      </c>
      <c r="S1779" s="297" t="s">
        <v>214</v>
      </c>
    </row>
    <row r="1780" spans="1:19" x14ac:dyDescent="0.4">
      <c r="A1780" s="291"/>
      <c r="B1780" s="292"/>
      <c r="C1780" s="312"/>
      <c r="D1780" s="292"/>
      <c r="E1780" s="489"/>
      <c r="F1780" s="489"/>
      <c r="G1780" s="490"/>
      <c r="H1780" s="520"/>
      <c r="I1780" s="523"/>
      <c r="J1780" s="521"/>
      <c r="K1780" s="522"/>
      <c r="M1780" s="301" t="str">
        <f>N1780&amp;AS[[#This Row],[Insurer Code]]&amp;"; "&amp;O1780&amp;AS[[#This Row],[Reporting Year]]&amp;"; "&amp;P1780&amp;AS[[#This Row],[Insurance Category Code]]&amp;"; "&amp;Q1780&amp;AS[[#This Row],[Large Provider Entity Code]]&amp;"; "&amp;R1780&amp;AS[[#This Row],[Age Band Code]]&amp;"; "&amp;S1780&amp;AS[[#This Row],[Sex Code]]</f>
        <v xml:space="preserve">Insurer Code ; Reporting Year ; Insurance Category Code ; Large Provider Entity Code ; Age Band Code ; Sex Code </v>
      </c>
      <c r="N1780" s="297" t="s">
        <v>197</v>
      </c>
      <c r="O1780" s="297" t="s">
        <v>198</v>
      </c>
      <c r="P1780" s="297" t="s">
        <v>199</v>
      </c>
      <c r="Q1780" s="297" t="s">
        <v>200</v>
      </c>
      <c r="R1780" s="297" t="s">
        <v>213</v>
      </c>
      <c r="S1780" s="297" t="s">
        <v>214</v>
      </c>
    </row>
    <row r="1781" spans="1:19" x14ac:dyDescent="0.4">
      <c r="A1781" s="291"/>
      <c r="B1781" s="292"/>
      <c r="C1781" s="312"/>
      <c r="D1781" s="292"/>
      <c r="E1781" s="489"/>
      <c r="F1781" s="489"/>
      <c r="G1781" s="490"/>
      <c r="H1781" s="520"/>
      <c r="I1781" s="523"/>
      <c r="J1781" s="521"/>
      <c r="K1781" s="522"/>
      <c r="M1781" s="301" t="str">
        <f>N1781&amp;AS[[#This Row],[Insurer Code]]&amp;"; "&amp;O1781&amp;AS[[#This Row],[Reporting Year]]&amp;"; "&amp;P1781&amp;AS[[#This Row],[Insurance Category Code]]&amp;"; "&amp;Q1781&amp;AS[[#This Row],[Large Provider Entity Code]]&amp;"; "&amp;R1781&amp;AS[[#This Row],[Age Band Code]]&amp;"; "&amp;S1781&amp;AS[[#This Row],[Sex Code]]</f>
        <v xml:space="preserve">Insurer Code ; Reporting Year ; Insurance Category Code ; Large Provider Entity Code ; Age Band Code ; Sex Code </v>
      </c>
      <c r="N1781" s="297" t="s">
        <v>197</v>
      </c>
      <c r="O1781" s="297" t="s">
        <v>198</v>
      </c>
      <c r="P1781" s="297" t="s">
        <v>199</v>
      </c>
      <c r="Q1781" s="297" t="s">
        <v>200</v>
      </c>
      <c r="R1781" s="297" t="s">
        <v>213</v>
      </c>
      <c r="S1781" s="297" t="s">
        <v>214</v>
      </c>
    </row>
    <row r="1782" spans="1:19" x14ac:dyDescent="0.4">
      <c r="A1782" s="291"/>
      <c r="B1782" s="292"/>
      <c r="C1782" s="312"/>
      <c r="D1782" s="292"/>
      <c r="E1782" s="489"/>
      <c r="F1782" s="489"/>
      <c r="G1782" s="490"/>
      <c r="H1782" s="520"/>
      <c r="I1782" s="523"/>
      <c r="J1782" s="521"/>
      <c r="K1782" s="522"/>
      <c r="M1782" s="301" t="str">
        <f>N1782&amp;AS[[#This Row],[Insurer Code]]&amp;"; "&amp;O1782&amp;AS[[#This Row],[Reporting Year]]&amp;"; "&amp;P1782&amp;AS[[#This Row],[Insurance Category Code]]&amp;"; "&amp;Q1782&amp;AS[[#This Row],[Large Provider Entity Code]]&amp;"; "&amp;R1782&amp;AS[[#This Row],[Age Band Code]]&amp;"; "&amp;S1782&amp;AS[[#This Row],[Sex Code]]</f>
        <v xml:space="preserve">Insurer Code ; Reporting Year ; Insurance Category Code ; Large Provider Entity Code ; Age Band Code ; Sex Code </v>
      </c>
      <c r="N1782" s="297" t="s">
        <v>197</v>
      </c>
      <c r="O1782" s="297" t="s">
        <v>198</v>
      </c>
      <c r="P1782" s="297" t="s">
        <v>199</v>
      </c>
      <c r="Q1782" s="297" t="s">
        <v>200</v>
      </c>
      <c r="R1782" s="297" t="s">
        <v>213</v>
      </c>
      <c r="S1782" s="297" t="s">
        <v>214</v>
      </c>
    </row>
    <row r="1783" spans="1:19" x14ac:dyDescent="0.4">
      <c r="A1783" s="291"/>
      <c r="B1783" s="292"/>
      <c r="C1783" s="312"/>
      <c r="D1783" s="292"/>
      <c r="E1783" s="489"/>
      <c r="F1783" s="489"/>
      <c r="G1783" s="490"/>
      <c r="H1783" s="520"/>
      <c r="I1783" s="523"/>
      <c r="J1783" s="521"/>
      <c r="K1783" s="522"/>
      <c r="M1783" s="301" t="str">
        <f>N1783&amp;AS[[#This Row],[Insurer Code]]&amp;"; "&amp;O1783&amp;AS[[#This Row],[Reporting Year]]&amp;"; "&amp;P1783&amp;AS[[#This Row],[Insurance Category Code]]&amp;"; "&amp;Q1783&amp;AS[[#This Row],[Large Provider Entity Code]]&amp;"; "&amp;R1783&amp;AS[[#This Row],[Age Band Code]]&amp;"; "&amp;S1783&amp;AS[[#This Row],[Sex Code]]</f>
        <v xml:space="preserve">Insurer Code ; Reporting Year ; Insurance Category Code ; Large Provider Entity Code ; Age Band Code ; Sex Code </v>
      </c>
      <c r="N1783" s="297" t="s">
        <v>197</v>
      </c>
      <c r="O1783" s="297" t="s">
        <v>198</v>
      </c>
      <c r="P1783" s="297" t="s">
        <v>199</v>
      </c>
      <c r="Q1783" s="297" t="s">
        <v>200</v>
      </c>
      <c r="R1783" s="297" t="s">
        <v>213</v>
      </c>
      <c r="S1783" s="297" t="s">
        <v>214</v>
      </c>
    </row>
    <row r="1784" spans="1:19" x14ac:dyDescent="0.4">
      <c r="A1784" s="291"/>
      <c r="B1784" s="292"/>
      <c r="C1784" s="312"/>
      <c r="D1784" s="292"/>
      <c r="E1784" s="489"/>
      <c r="F1784" s="489"/>
      <c r="G1784" s="490"/>
      <c r="H1784" s="520"/>
      <c r="I1784" s="523"/>
      <c r="J1784" s="521"/>
      <c r="K1784" s="522"/>
      <c r="M1784" s="301" t="str">
        <f>N1784&amp;AS[[#This Row],[Insurer Code]]&amp;"; "&amp;O1784&amp;AS[[#This Row],[Reporting Year]]&amp;"; "&amp;P1784&amp;AS[[#This Row],[Insurance Category Code]]&amp;"; "&amp;Q1784&amp;AS[[#This Row],[Large Provider Entity Code]]&amp;"; "&amp;R1784&amp;AS[[#This Row],[Age Band Code]]&amp;"; "&amp;S1784&amp;AS[[#This Row],[Sex Code]]</f>
        <v xml:space="preserve">Insurer Code ; Reporting Year ; Insurance Category Code ; Large Provider Entity Code ; Age Band Code ; Sex Code </v>
      </c>
      <c r="N1784" s="297" t="s">
        <v>197</v>
      </c>
      <c r="O1784" s="297" t="s">
        <v>198</v>
      </c>
      <c r="P1784" s="297" t="s">
        <v>199</v>
      </c>
      <c r="Q1784" s="297" t="s">
        <v>200</v>
      </c>
      <c r="R1784" s="297" t="s">
        <v>213</v>
      </c>
      <c r="S1784" s="297" t="s">
        <v>214</v>
      </c>
    </row>
    <row r="1785" spans="1:19" x14ac:dyDescent="0.4">
      <c r="A1785" s="291"/>
      <c r="B1785" s="292"/>
      <c r="C1785" s="312"/>
      <c r="D1785" s="292"/>
      <c r="E1785" s="489"/>
      <c r="F1785" s="489"/>
      <c r="G1785" s="490"/>
      <c r="H1785" s="520"/>
      <c r="I1785" s="523"/>
      <c r="J1785" s="521"/>
      <c r="K1785" s="522"/>
      <c r="M1785" s="301" t="str">
        <f>N1785&amp;AS[[#This Row],[Insurer Code]]&amp;"; "&amp;O1785&amp;AS[[#This Row],[Reporting Year]]&amp;"; "&amp;P1785&amp;AS[[#This Row],[Insurance Category Code]]&amp;"; "&amp;Q1785&amp;AS[[#This Row],[Large Provider Entity Code]]&amp;"; "&amp;R1785&amp;AS[[#This Row],[Age Band Code]]&amp;"; "&amp;S1785&amp;AS[[#This Row],[Sex Code]]</f>
        <v xml:space="preserve">Insurer Code ; Reporting Year ; Insurance Category Code ; Large Provider Entity Code ; Age Band Code ; Sex Code </v>
      </c>
      <c r="N1785" s="297" t="s">
        <v>197</v>
      </c>
      <c r="O1785" s="297" t="s">
        <v>198</v>
      </c>
      <c r="P1785" s="297" t="s">
        <v>199</v>
      </c>
      <c r="Q1785" s="297" t="s">
        <v>200</v>
      </c>
      <c r="R1785" s="297" t="s">
        <v>213</v>
      </c>
      <c r="S1785" s="297" t="s">
        <v>214</v>
      </c>
    </row>
    <row r="1786" spans="1:19" x14ac:dyDescent="0.4">
      <c r="A1786" s="291"/>
      <c r="B1786" s="292"/>
      <c r="C1786" s="312"/>
      <c r="D1786" s="292"/>
      <c r="E1786" s="489"/>
      <c r="F1786" s="489"/>
      <c r="G1786" s="490"/>
      <c r="H1786" s="520"/>
      <c r="I1786" s="523"/>
      <c r="J1786" s="521"/>
      <c r="K1786" s="522"/>
      <c r="M1786" s="301" t="str">
        <f>N1786&amp;AS[[#This Row],[Insurer Code]]&amp;"; "&amp;O1786&amp;AS[[#This Row],[Reporting Year]]&amp;"; "&amp;P1786&amp;AS[[#This Row],[Insurance Category Code]]&amp;"; "&amp;Q1786&amp;AS[[#This Row],[Large Provider Entity Code]]&amp;"; "&amp;R1786&amp;AS[[#This Row],[Age Band Code]]&amp;"; "&amp;S1786&amp;AS[[#This Row],[Sex Code]]</f>
        <v xml:space="preserve">Insurer Code ; Reporting Year ; Insurance Category Code ; Large Provider Entity Code ; Age Band Code ; Sex Code </v>
      </c>
      <c r="N1786" s="297" t="s">
        <v>197</v>
      </c>
      <c r="O1786" s="297" t="s">
        <v>198</v>
      </c>
      <c r="P1786" s="297" t="s">
        <v>199</v>
      </c>
      <c r="Q1786" s="297" t="s">
        <v>200</v>
      </c>
      <c r="R1786" s="297" t="s">
        <v>213</v>
      </c>
      <c r="S1786" s="297" t="s">
        <v>214</v>
      </c>
    </row>
    <row r="1787" spans="1:19" x14ac:dyDescent="0.4">
      <c r="A1787" s="291"/>
      <c r="B1787" s="292"/>
      <c r="C1787" s="312"/>
      <c r="D1787" s="292"/>
      <c r="E1787" s="489"/>
      <c r="F1787" s="489"/>
      <c r="G1787" s="490"/>
      <c r="H1787" s="520"/>
      <c r="I1787" s="523"/>
      <c r="J1787" s="521"/>
      <c r="K1787" s="522"/>
      <c r="M1787" s="301" t="str">
        <f>N1787&amp;AS[[#This Row],[Insurer Code]]&amp;"; "&amp;O1787&amp;AS[[#This Row],[Reporting Year]]&amp;"; "&amp;P1787&amp;AS[[#This Row],[Insurance Category Code]]&amp;"; "&amp;Q1787&amp;AS[[#This Row],[Large Provider Entity Code]]&amp;"; "&amp;R1787&amp;AS[[#This Row],[Age Band Code]]&amp;"; "&amp;S1787&amp;AS[[#This Row],[Sex Code]]</f>
        <v xml:space="preserve">Insurer Code ; Reporting Year ; Insurance Category Code ; Large Provider Entity Code ; Age Band Code ; Sex Code </v>
      </c>
      <c r="N1787" s="297" t="s">
        <v>197</v>
      </c>
      <c r="O1787" s="297" t="s">
        <v>198</v>
      </c>
      <c r="P1787" s="297" t="s">
        <v>199</v>
      </c>
      <c r="Q1787" s="297" t="s">
        <v>200</v>
      </c>
      <c r="R1787" s="297" t="s">
        <v>213</v>
      </c>
      <c r="S1787" s="297" t="s">
        <v>214</v>
      </c>
    </row>
    <row r="1788" spans="1:19" x14ac:dyDescent="0.4">
      <c r="A1788" s="291"/>
      <c r="B1788" s="292"/>
      <c r="C1788" s="312"/>
      <c r="D1788" s="292"/>
      <c r="E1788" s="489"/>
      <c r="F1788" s="489"/>
      <c r="G1788" s="490"/>
      <c r="H1788" s="520"/>
      <c r="I1788" s="523"/>
      <c r="J1788" s="521"/>
      <c r="K1788" s="522"/>
      <c r="M1788" s="301" t="str">
        <f>N1788&amp;AS[[#This Row],[Insurer Code]]&amp;"; "&amp;O1788&amp;AS[[#This Row],[Reporting Year]]&amp;"; "&amp;P1788&amp;AS[[#This Row],[Insurance Category Code]]&amp;"; "&amp;Q1788&amp;AS[[#This Row],[Large Provider Entity Code]]&amp;"; "&amp;R1788&amp;AS[[#This Row],[Age Band Code]]&amp;"; "&amp;S1788&amp;AS[[#This Row],[Sex Code]]</f>
        <v xml:space="preserve">Insurer Code ; Reporting Year ; Insurance Category Code ; Large Provider Entity Code ; Age Band Code ; Sex Code </v>
      </c>
      <c r="N1788" s="297" t="s">
        <v>197</v>
      </c>
      <c r="O1788" s="297" t="s">
        <v>198</v>
      </c>
      <c r="P1788" s="297" t="s">
        <v>199</v>
      </c>
      <c r="Q1788" s="297" t="s">
        <v>200</v>
      </c>
      <c r="R1788" s="297" t="s">
        <v>213</v>
      </c>
      <c r="S1788" s="297" t="s">
        <v>214</v>
      </c>
    </row>
    <row r="1789" spans="1:19" x14ac:dyDescent="0.4">
      <c r="A1789" s="291"/>
      <c r="B1789" s="292"/>
      <c r="C1789" s="312"/>
      <c r="D1789" s="292"/>
      <c r="E1789" s="489"/>
      <c r="F1789" s="489"/>
      <c r="G1789" s="490"/>
      <c r="H1789" s="520"/>
      <c r="I1789" s="523"/>
      <c r="J1789" s="521"/>
      <c r="K1789" s="522"/>
      <c r="M1789" s="301" t="str">
        <f>N1789&amp;AS[[#This Row],[Insurer Code]]&amp;"; "&amp;O1789&amp;AS[[#This Row],[Reporting Year]]&amp;"; "&amp;P1789&amp;AS[[#This Row],[Insurance Category Code]]&amp;"; "&amp;Q1789&amp;AS[[#This Row],[Large Provider Entity Code]]&amp;"; "&amp;R1789&amp;AS[[#This Row],[Age Band Code]]&amp;"; "&amp;S1789&amp;AS[[#This Row],[Sex Code]]</f>
        <v xml:space="preserve">Insurer Code ; Reporting Year ; Insurance Category Code ; Large Provider Entity Code ; Age Band Code ; Sex Code </v>
      </c>
      <c r="N1789" s="297" t="s">
        <v>197</v>
      </c>
      <c r="O1789" s="297" t="s">
        <v>198</v>
      </c>
      <c r="P1789" s="297" t="s">
        <v>199</v>
      </c>
      <c r="Q1789" s="297" t="s">
        <v>200</v>
      </c>
      <c r="R1789" s="297" t="s">
        <v>213</v>
      </c>
      <c r="S1789" s="297" t="s">
        <v>214</v>
      </c>
    </row>
    <row r="1790" spans="1:19" x14ac:dyDescent="0.4">
      <c r="A1790" s="291"/>
      <c r="B1790" s="292"/>
      <c r="C1790" s="312"/>
      <c r="D1790" s="292"/>
      <c r="E1790" s="489"/>
      <c r="F1790" s="489"/>
      <c r="G1790" s="490"/>
      <c r="H1790" s="520"/>
      <c r="I1790" s="523"/>
      <c r="J1790" s="521"/>
      <c r="K1790" s="522"/>
      <c r="M1790" s="301" t="str">
        <f>N1790&amp;AS[[#This Row],[Insurer Code]]&amp;"; "&amp;O1790&amp;AS[[#This Row],[Reporting Year]]&amp;"; "&amp;P1790&amp;AS[[#This Row],[Insurance Category Code]]&amp;"; "&amp;Q1790&amp;AS[[#This Row],[Large Provider Entity Code]]&amp;"; "&amp;R1790&amp;AS[[#This Row],[Age Band Code]]&amp;"; "&amp;S1790&amp;AS[[#This Row],[Sex Code]]</f>
        <v xml:space="preserve">Insurer Code ; Reporting Year ; Insurance Category Code ; Large Provider Entity Code ; Age Band Code ; Sex Code </v>
      </c>
      <c r="N1790" s="297" t="s">
        <v>197</v>
      </c>
      <c r="O1790" s="297" t="s">
        <v>198</v>
      </c>
      <c r="P1790" s="297" t="s">
        <v>199</v>
      </c>
      <c r="Q1790" s="297" t="s">
        <v>200</v>
      </c>
      <c r="R1790" s="297" t="s">
        <v>213</v>
      </c>
      <c r="S1790" s="297" t="s">
        <v>214</v>
      </c>
    </row>
    <row r="1791" spans="1:19" x14ac:dyDescent="0.4">
      <c r="A1791" s="291"/>
      <c r="B1791" s="292"/>
      <c r="C1791" s="312"/>
      <c r="D1791" s="292"/>
      <c r="E1791" s="489"/>
      <c r="F1791" s="489"/>
      <c r="G1791" s="490"/>
      <c r="H1791" s="520"/>
      <c r="I1791" s="523"/>
      <c r="J1791" s="521"/>
      <c r="K1791" s="522"/>
      <c r="M1791" s="301" t="str">
        <f>N1791&amp;AS[[#This Row],[Insurer Code]]&amp;"; "&amp;O1791&amp;AS[[#This Row],[Reporting Year]]&amp;"; "&amp;P1791&amp;AS[[#This Row],[Insurance Category Code]]&amp;"; "&amp;Q1791&amp;AS[[#This Row],[Large Provider Entity Code]]&amp;"; "&amp;R1791&amp;AS[[#This Row],[Age Band Code]]&amp;"; "&amp;S1791&amp;AS[[#This Row],[Sex Code]]</f>
        <v xml:space="preserve">Insurer Code ; Reporting Year ; Insurance Category Code ; Large Provider Entity Code ; Age Band Code ; Sex Code </v>
      </c>
      <c r="N1791" s="297" t="s">
        <v>197</v>
      </c>
      <c r="O1791" s="297" t="s">
        <v>198</v>
      </c>
      <c r="P1791" s="297" t="s">
        <v>199</v>
      </c>
      <c r="Q1791" s="297" t="s">
        <v>200</v>
      </c>
      <c r="R1791" s="297" t="s">
        <v>213</v>
      </c>
      <c r="S1791" s="297" t="s">
        <v>214</v>
      </c>
    </row>
    <row r="1792" spans="1:19" x14ac:dyDescent="0.4">
      <c r="A1792" s="291"/>
      <c r="B1792" s="292"/>
      <c r="C1792" s="312"/>
      <c r="D1792" s="292"/>
      <c r="E1792" s="489"/>
      <c r="F1792" s="489"/>
      <c r="G1792" s="490"/>
      <c r="H1792" s="520"/>
      <c r="I1792" s="523"/>
      <c r="J1792" s="521"/>
      <c r="K1792" s="522"/>
      <c r="M1792" s="301" t="str">
        <f>N1792&amp;AS[[#This Row],[Insurer Code]]&amp;"; "&amp;O1792&amp;AS[[#This Row],[Reporting Year]]&amp;"; "&amp;P1792&amp;AS[[#This Row],[Insurance Category Code]]&amp;"; "&amp;Q1792&amp;AS[[#This Row],[Large Provider Entity Code]]&amp;"; "&amp;R1792&amp;AS[[#This Row],[Age Band Code]]&amp;"; "&amp;S1792&amp;AS[[#This Row],[Sex Code]]</f>
        <v xml:space="preserve">Insurer Code ; Reporting Year ; Insurance Category Code ; Large Provider Entity Code ; Age Band Code ; Sex Code </v>
      </c>
      <c r="N1792" s="297" t="s">
        <v>197</v>
      </c>
      <c r="O1792" s="297" t="s">
        <v>198</v>
      </c>
      <c r="P1792" s="297" t="s">
        <v>199</v>
      </c>
      <c r="Q1792" s="297" t="s">
        <v>200</v>
      </c>
      <c r="R1792" s="297" t="s">
        <v>213</v>
      </c>
      <c r="S1792" s="297" t="s">
        <v>214</v>
      </c>
    </row>
    <row r="1793" spans="1:19" x14ac:dyDescent="0.4">
      <c r="A1793" s="291"/>
      <c r="B1793" s="292"/>
      <c r="C1793" s="312"/>
      <c r="D1793" s="292"/>
      <c r="E1793" s="489"/>
      <c r="F1793" s="489"/>
      <c r="G1793" s="490"/>
      <c r="H1793" s="520"/>
      <c r="I1793" s="523"/>
      <c r="J1793" s="521"/>
      <c r="K1793" s="522"/>
      <c r="M1793" s="301" t="str">
        <f>N1793&amp;AS[[#This Row],[Insurer Code]]&amp;"; "&amp;O1793&amp;AS[[#This Row],[Reporting Year]]&amp;"; "&amp;P1793&amp;AS[[#This Row],[Insurance Category Code]]&amp;"; "&amp;Q1793&amp;AS[[#This Row],[Large Provider Entity Code]]&amp;"; "&amp;R1793&amp;AS[[#This Row],[Age Band Code]]&amp;"; "&amp;S1793&amp;AS[[#This Row],[Sex Code]]</f>
        <v xml:space="preserve">Insurer Code ; Reporting Year ; Insurance Category Code ; Large Provider Entity Code ; Age Band Code ; Sex Code </v>
      </c>
      <c r="N1793" s="297" t="s">
        <v>197</v>
      </c>
      <c r="O1793" s="297" t="s">
        <v>198</v>
      </c>
      <c r="P1793" s="297" t="s">
        <v>199</v>
      </c>
      <c r="Q1793" s="297" t="s">
        <v>200</v>
      </c>
      <c r="R1793" s="297" t="s">
        <v>213</v>
      </c>
      <c r="S1793" s="297" t="s">
        <v>214</v>
      </c>
    </row>
    <row r="1794" spans="1:19" x14ac:dyDescent="0.4">
      <c r="A1794" s="291"/>
      <c r="B1794" s="292"/>
      <c r="C1794" s="312"/>
      <c r="D1794" s="292"/>
      <c r="E1794" s="489"/>
      <c r="F1794" s="489"/>
      <c r="G1794" s="490"/>
      <c r="H1794" s="520"/>
      <c r="I1794" s="523"/>
      <c r="J1794" s="521"/>
      <c r="K1794" s="522"/>
      <c r="M1794" s="301" t="str">
        <f>N1794&amp;AS[[#This Row],[Insurer Code]]&amp;"; "&amp;O1794&amp;AS[[#This Row],[Reporting Year]]&amp;"; "&amp;P1794&amp;AS[[#This Row],[Insurance Category Code]]&amp;"; "&amp;Q1794&amp;AS[[#This Row],[Large Provider Entity Code]]&amp;"; "&amp;R1794&amp;AS[[#This Row],[Age Band Code]]&amp;"; "&amp;S1794&amp;AS[[#This Row],[Sex Code]]</f>
        <v xml:space="preserve">Insurer Code ; Reporting Year ; Insurance Category Code ; Large Provider Entity Code ; Age Band Code ; Sex Code </v>
      </c>
      <c r="N1794" s="297" t="s">
        <v>197</v>
      </c>
      <c r="O1794" s="297" t="s">
        <v>198</v>
      </c>
      <c r="P1794" s="297" t="s">
        <v>199</v>
      </c>
      <c r="Q1794" s="297" t="s">
        <v>200</v>
      </c>
      <c r="R1794" s="297" t="s">
        <v>213</v>
      </c>
      <c r="S1794" s="297" t="s">
        <v>214</v>
      </c>
    </row>
    <row r="1795" spans="1:19" x14ac:dyDescent="0.4">
      <c r="A1795" s="291"/>
      <c r="B1795" s="292"/>
      <c r="C1795" s="312"/>
      <c r="D1795" s="292"/>
      <c r="E1795" s="489"/>
      <c r="F1795" s="489"/>
      <c r="G1795" s="490"/>
      <c r="H1795" s="520"/>
      <c r="I1795" s="523"/>
      <c r="J1795" s="521"/>
      <c r="K1795" s="522"/>
      <c r="M1795" s="301" t="str">
        <f>N1795&amp;AS[[#This Row],[Insurer Code]]&amp;"; "&amp;O1795&amp;AS[[#This Row],[Reporting Year]]&amp;"; "&amp;P1795&amp;AS[[#This Row],[Insurance Category Code]]&amp;"; "&amp;Q1795&amp;AS[[#This Row],[Large Provider Entity Code]]&amp;"; "&amp;R1795&amp;AS[[#This Row],[Age Band Code]]&amp;"; "&amp;S1795&amp;AS[[#This Row],[Sex Code]]</f>
        <v xml:space="preserve">Insurer Code ; Reporting Year ; Insurance Category Code ; Large Provider Entity Code ; Age Band Code ; Sex Code </v>
      </c>
      <c r="N1795" s="297" t="s">
        <v>197</v>
      </c>
      <c r="O1795" s="297" t="s">
        <v>198</v>
      </c>
      <c r="P1795" s="297" t="s">
        <v>199</v>
      </c>
      <c r="Q1795" s="297" t="s">
        <v>200</v>
      </c>
      <c r="R1795" s="297" t="s">
        <v>213</v>
      </c>
      <c r="S1795" s="297" t="s">
        <v>214</v>
      </c>
    </row>
    <row r="1796" spans="1:19" x14ac:dyDescent="0.4">
      <c r="A1796" s="291"/>
      <c r="B1796" s="292"/>
      <c r="C1796" s="312"/>
      <c r="D1796" s="292"/>
      <c r="E1796" s="489"/>
      <c r="F1796" s="489"/>
      <c r="G1796" s="490"/>
      <c r="H1796" s="520"/>
      <c r="I1796" s="523"/>
      <c r="J1796" s="521"/>
      <c r="K1796" s="522"/>
      <c r="M1796" s="301" t="str">
        <f>N1796&amp;AS[[#This Row],[Insurer Code]]&amp;"; "&amp;O1796&amp;AS[[#This Row],[Reporting Year]]&amp;"; "&amp;P1796&amp;AS[[#This Row],[Insurance Category Code]]&amp;"; "&amp;Q1796&amp;AS[[#This Row],[Large Provider Entity Code]]&amp;"; "&amp;R1796&amp;AS[[#This Row],[Age Band Code]]&amp;"; "&amp;S1796&amp;AS[[#This Row],[Sex Code]]</f>
        <v xml:space="preserve">Insurer Code ; Reporting Year ; Insurance Category Code ; Large Provider Entity Code ; Age Band Code ; Sex Code </v>
      </c>
      <c r="N1796" s="297" t="s">
        <v>197</v>
      </c>
      <c r="O1796" s="297" t="s">
        <v>198</v>
      </c>
      <c r="P1796" s="297" t="s">
        <v>199</v>
      </c>
      <c r="Q1796" s="297" t="s">
        <v>200</v>
      </c>
      <c r="R1796" s="297" t="s">
        <v>213</v>
      </c>
      <c r="S1796" s="297" t="s">
        <v>214</v>
      </c>
    </row>
    <row r="1797" spans="1:19" x14ac:dyDescent="0.4">
      <c r="A1797" s="291"/>
      <c r="B1797" s="292"/>
      <c r="C1797" s="312"/>
      <c r="D1797" s="292"/>
      <c r="E1797" s="489"/>
      <c r="F1797" s="489"/>
      <c r="G1797" s="490"/>
      <c r="H1797" s="520"/>
      <c r="I1797" s="523"/>
      <c r="J1797" s="521"/>
      <c r="K1797" s="522"/>
      <c r="M1797" s="301" t="str">
        <f>N1797&amp;AS[[#This Row],[Insurer Code]]&amp;"; "&amp;O1797&amp;AS[[#This Row],[Reporting Year]]&amp;"; "&amp;P1797&amp;AS[[#This Row],[Insurance Category Code]]&amp;"; "&amp;Q1797&amp;AS[[#This Row],[Large Provider Entity Code]]&amp;"; "&amp;R1797&amp;AS[[#This Row],[Age Band Code]]&amp;"; "&amp;S1797&amp;AS[[#This Row],[Sex Code]]</f>
        <v xml:space="preserve">Insurer Code ; Reporting Year ; Insurance Category Code ; Large Provider Entity Code ; Age Band Code ; Sex Code </v>
      </c>
      <c r="N1797" s="297" t="s">
        <v>197</v>
      </c>
      <c r="O1797" s="297" t="s">
        <v>198</v>
      </c>
      <c r="P1797" s="297" t="s">
        <v>199</v>
      </c>
      <c r="Q1797" s="297" t="s">
        <v>200</v>
      </c>
      <c r="R1797" s="297" t="s">
        <v>213</v>
      </c>
      <c r="S1797" s="297" t="s">
        <v>214</v>
      </c>
    </row>
    <row r="1798" spans="1:19" x14ac:dyDescent="0.4">
      <c r="A1798" s="291"/>
      <c r="B1798" s="292"/>
      <c r="C1798" s="312"/>
      <c r="D1798" s="292"/>
      <c r="E1798" s="489"/>
      <c r="F1798" s="489"/>
      <c r="G1798" s="490"/>
      <c r="H1798" s="520"/>
      <c r="I1798" s="523"/>
      <c r="J1798" s="521"/>
      <c r="K1798" s="522"/>
      <c r="M1798" s="301" t="str">
        <f>N1798&amp;AS[[#This Row],[Insurer Code]]&amp;"; "&amp;O1798&amp;AS[[#This Row],[Reporting Year]]&amp;"; "&amp;P1798&amp;AS[[#This Row],[Insurance Category Code]]&amp;"; "&amp;Q1798&amp;AS[[#This Row],[Large Provider Entity Code]]&amp;"; "&amp;R1798&amp;AS[[#This Row],[Age Band Code]]&amp;"; "&amp;S1798&amp;AS[[#This Row],[Sex Code]]</f>
        <v xml:space="preserve">Insurer Code ; Reporting Year ; Insurance Category Code ; Large Provider Entity Code ; Age Band Code ; Sex Code </v>
      </c>
      <c r="N1798" s="297" t="s">
        <v>197</v>
      </c>
      <c r="O1798" s="297" t="s">
        <v>198</v>
      </c>
      <c r="P1798" s="297" t="s">
        <v>199</v>
      </c>
      <c r="Q1798" s="297" t="s">
        <v>200</v>
      </c>
      <c r="R1798" s="297" t="s">
        <v>213</v>
      </c>
      <c r="S1798" s="297" t="s">
        <v>214</v>
      </c>
    </row>
    <row r="1799" spans="1:19" x14ac:dyDescent="0.4">
      <c r="A1799" s="291"/>
      <c r="B1799" s="292"/>
      <c r="C1799" s="312"/>
      <c r="D1799" s="292"/>
      <c r="E1799" s="489"/>
      <c r="F1799" s="489"/>
      <c r="G1799" s="490"/>
      <c r="H1799" s="520"/>
      <c r="I1799" s="523"/>
      <c r="J1799" s="521"/>
      <c r="K1799" s="522"/>
      <c r="M1799" s="301" t="str">
        <f>N1799&amp;AS[[#This Row],[Insurer Code]]&amp;"; "&amp;O1799&amp;AS[[#This Row],[Reporting Year]]&amp;"; "&amp;P1799&amp;AS[[#This Row],[Insurance Category Code]]&amp;"; "&amp;Q1799&amp;AS[[#This Row],[Large Provider Entity Code]]&amp;"; "&amp;R1799&amp;AS[[#This Row],[Age Band Code]]&amp;"; "&amp;S1799&amp;AS[[#This Row],[Sex Code]]</f>
        <v xml:space="preserve">Insurer Code ; Reporting Year ; Insurance Category Code ; Large Provider Entity Code ; Age Band Code ; Sex Code </v>
      </c>
      <c r="N1799" s="297" t="s">
        <v>197</v>
      </c>
      <c r="O1799" s="297" t="s">
        <v>198</v>
      </c>
      <c r="P1799" s="297" t="s">
        <v>199</v>
      </c>
      <c r="Q1799" s="297" t="s">
        <v>200</v>
      </c>
      <c r="R1799" s="297" t="s">
        <v>213</v>
      </c>
      <c r="S1799" s="297" t="s">
        <v>214</v>
      </c>
    </row>
    <row r="1800" spans="1:19" x14ac:dyDescent="0.4">
      <c r="A1800" s="291"/>
      <c r="B1800" s="292"/>
      <c r="C1800" s="312"/>
      <c r="D1800" s="292"/>
      <c r="E1800" s="489"/>
      <c r="F1800" s="489"/>
      <c r="G1800" s="490"/>
      <c r="H1800" s="520"/>
      <c r="I1800" s="523"/>
      <c r="J1800" s="521"/>
      <c r="K1800" s="522"/>
      <c r="M1800" s="301" t="str">
        <f>N1800&amp;AS[[#This Row],[Insurer Code]]&amp;"; "&amp;O1800&amp;AS[[#This Row],[Reporting Year]]&amp;"; "&amp;P1800&amp;AS[[#This Row],[Insurance Category Code]]&amp;"; "&amp;Q1800&amp;AS[[#This Row],[Large Provider Entity Code]]&amp;"; "&amp;R1800&amp;AS[[#This Row],[Age Band Code]]&amp;"; "&amp;S1800&amp;AS[[#This Row],[Sex Code]]</f>
        <v xml:space="preserve">Insurer Code ; Reporting Year ; Insurance Category Code ; Large Provider Entity Code ; Age Band Code ; Sex Code </v>
      </c>
      <c r="N1800" s="297" t="s">
        <v>197</v>
      </c>
      <c r="O1800" s="297" t="s">
        <v>198</v>
      </c>
      <c r="P1800" s="297" t="s">
        <v>199</v>
      </c>
      <c r="Q1800" s="297" t="s">
        <v>200</v>
      </c>
      <c r="R1800" s="297" t="s">
        <v>213</v>
      </c>
      <c r="S1800" s="297" t="s">
        <v>214</v>
      </c>
    </row>
    <row r="1801" spans="1:19" x14ac:dyDescent="0.4">
      <c r="A1801" s="291"/>
      <c r="B1801" s="292"/>
      <c r="C1801" s="312"/>
      <c r="D1801" s="292"/>
      <c r="E1801" s="489"/>
      <c r="F1801" s="489"/>
      <c r="G1801" s="490"/>
      <c r="H1801" s="520"/>
      <c r="I1801" s="523"/>
      <c r="J1801" s="521"/>
      <c r="K1801" s="522"/>
      <c r="M1801" s="301" t="str">
        <f>N1801&amp;AS[[#This Row],[Insurer Code]]&amp;"; "&amp;O1801&amp;AS[[#This Row],[Reporting Year]]&amp;"; "&amp;P1801&amp;AS[[#This Row],[Insurance Category Code]]&amp;"; "&amp;Q1801&amp;AS[[#This Row],[Large Provider Entity Code]]&amp;"; "&amp;R1801&amp;AS[[#This Row],[Age Band Code]]&amp;"; "&amp;S1801&amp;AS[[#This Row],[Sex Code]]</f>
        <v xml:space="preserve">Insurer Code ; Reporting Year ; Insurance Category Code ; Large Provider Entity Code ; Age Band Code ; Sex Code </v>
      </c>
      <c r="N1801" s="297" t="s">
        <v>197</v>
      </c>
      <c r="O1801" s="297" t="s">
        <v>198</v>
      </c>
      <c r="P1801" s="297" t="s">
        <v>199</v>
      </c>
      <c r="Q1801" s="297" t="s">
        <v>200</v>
      </c>
      <c r="R1801" s="297" t="s">
        <v>213</v>
      </c>
      <c r="S1801" s="297" t="s">
        <v>214</v>
      </c>
    </row>
    <row r="1802" spans="1:19" x14ac:dyDescent="0.4">
      <c r="A1802" s="291"/>
      <c r="B1802" s="292"/>
      <c r="C1802" s="312"/>
      <c r="D1802" s="292"/>
      <c r="E1802" s="489"/>
      <c r="F1802" s="489"/>
      <c r="G1802" s="490"/>
      <c r="H1802" s="520"/>
      <c r="I1802" s="523"/>
      <c r="J1802" s="521"/>
      <c r="K1802" s="522"/>
      <c r="M1802" s="301" t="str">
        <f>N1802&amp;AS[[#This Row],[Insurer Code]]&amp;"; "&amp;O1802&amp;AS[[#This Row],[Reporting Year]]&amp;"; "&amp;P1802&amp;AS[[#This Row],[Insurance Category Code]]&amp;"; "&amp;Q1802&amp;AS[[#This Row],[Large Provider Entity Code]]&amp;"; "&amp;R1802&amp;AS[[#This Row],[Age Band Code]]&amp;"; "&amp;S1802&amp;AS[[#This Row],[Sex Code]]</f>
        <v xml:space="preserve">Insurer Code ; Reporting Year ; Insurance Category Code ; Large Provider Entity Code ; Age Band Code ; Sex Code </v>
      </c>
      <c r="N1802" s="297" t="s">
        <v>197</v>
      </c>
      <c r="O1802" s="297" t="s">
        <v>198</v>
      </c>
      <c r="P1802" s="297" t="s">
        <v>199</v>
      </c>
      <c r="Q1802" s="297" t="s">
        <v>200</v>
      </c>
      <c r="R1802" s="297" t="s">
        <v>213</v>
      </c>
      <c r="S1802" s="297" t="s">
        <v>214</v>
      </c>
    </row>
    <row r="1803" spans="1:19" x14ac:dyDescent="0.4">
      <c r="A1803" s="291"/>
      <c r="B1803" s="292"/>
      <c r="C1803" s="312"/>
      <c r="D1803" s="292"/>
      <c r="E1803" s="489"/>
      <c r="F1803" s="489"/>
      <c r="G1803" s="490"/>
      <c r="H1803" s="520"/>
      <c r="I1803" s="523"/>
      <c r="J1803" s="521"/>
      <c r="K1803" s="522"/>
      <c r="M1803" s="301" t="str">
        <f>N1803&amp;AS[[#This Row],[Insurer Code]]&amp;"; "&amp;O1803&amp;AS[[#This Row],[Reporting Year]]&amp;"; "&amp;P1803&amp;AS[[#This Row],[Insurance Category Code]]&amp;"; "&amp;Q1803&amp;AS[[#This Row],[Large Provider Entity Code]]&amp;"; "&amp;R1803&amp;AS[[#This Row],[Age Band Code]]&amp;"; "&amp;S1803&amp;AS[[#This Row],[Sex Code]]</f>
        <v xml:space="preserve">Insurer Code ; Reporting Year ; Insurance Category Code ; Large Provider Entity Code ; Age Band Code ; Sex Code </v>
      </c>
      <c r="N1803" s="297" t="s">
        <v>197</v>
      </c>
      <c r="O1803" s="297" t="s">
        <v>198</v>
      </c>
      <c r="P1803" s="297" t="s">
        <v>199</v>
      </c>
      <c r="Q1803" s="297" t="s">
        <v>200</v>
      </c>
      <c r="R1803" s="297" t="s">
        <v>213</v>
      </c>
      <c r="S1803" s="297" t="s">
        <v>214</v>
      </c>
    </row>
    <row r="1804" spans="1:19" x14ac:dyDescent="0.4">
      <c r="A1804" s="291"/>
      <c r="B1804" s="292"/>
      <c r="C1804" s="312"/>
      <c r="D1804" s="292"/>
      <c r="E1804" s="489"/>
      <c r="F1804" s="489"/>
      <c r="G1804" s="490"/>
      <c r="H1804" s="520"/>
      <c r="I1804" s="523"/>
      <c r="J1804" s="521"/>
      <c r="K1804" s="522"/>
      <c r="M1804" s="301" t="str">
        <f>N1804&amp;AS[[#This Row],[Insurer Code]]&amp;"; "&amp;O1804&amp;AS[[#This Row],[Reporting Year]]&amp;"; "&amp;P1804&amp;AS[[#This Row],[Insurance Category Code]]&amp;"; "&amp;Q1804&amp;AS[[#This Row],[Large Provider Entity Code]]&amp;"; "&amp;R1804&amp;AS[[#This Row],[Age Band Code]]&amp;"; "&amp;S1804&amp;AS[[#This Row],[Sex Code]]</f>
        <v xml:space="preserve">Insurer Code ; Reporting Year ; Insurance Category Code ; Large Provider Entity Code ; Age Band Code ; Sex Code </v>
      </c>
      <c r="N1804" s="297" t="s">
        <v>197</v>
      </c>
      <c r="O1804" s="297" t="s">
        <v>198</v>
      </c>
      <c r="P1804" s="297" t="s">
        <v>199</v>
      </c>
      <c r="Q1804" s="297" t="s">
        <v>200</v>
      </c>
      <c r="R1804" s="297" t="s">
        <v>213</v>
      </c>
      <c r="S1804" s="297" t="s">
        <v>214</v>
      </c>
    </row>
    <row r="1805" spans="1:19" x14ac:dyDescent="0.4">
      <c r="A1805" s="291"/>
      <c r="B1805" s="292"/>
      <c r="C1805" s="312"/>
      <c r="D1805" s="292"/>
      <c r="E1805" s="489"/>
      <c r="F1805" s="489"/>
      <c r="G1805" s="490"/>
      <c r="H1805" s="520"/>
      <c r="I1805" s="523"/>
      <c r="J1805" s="521"/>
      <c r="K1805" s="522"/>
      <c r="M1805" s="301" t="str">
        <f>N1805&amp;AS[[#This Row],[Insurer Code]]&amp;"; "&amp;O1805&amp;AS[[#This Row],[Reporting Year]]&amp;"; "&amp;P1805&amp;AS[[#This Row],[Insurance Category Code]]&amp;"; "&amp;Q1805&amp;AS[[#This Row],[Large Provider Entity Code]]&amp;"; "&amp;R1805&amp;AS[[#This Row],[Age Band Code]]&amp;"; "&amp;S1805&amp;AS[[#This Row],[Sex Code]]</f>
        <v xml:space="preserve">Insurer Code ; Reporting Year ; Insurance Category Code ; Large Provider Entity Code ; Age Band Code ; Sex Code </v>
      </c>
      <c r="N1805" s="297" t="s">
        <v>197</v>
      </c>
      <c r="O1805" s="297" t="s">
        <v>198</v>
      </c>
      <c r="P1805" s="297" t="s">
        <v>199</v>
      </c>
      <c r="Q1805" s="297" t="s">
        <v>200</v>
      </c>
      <c r="R1805" s="297" t="s">
        <v>213</v>
      </c>
      <c r="S1805" s="297" t="s">
        <v>214</v>
      </c>
    </row>
    <row r="1806" spans="1:19" x14ac:dyDescent="0.4">
      <c r="A1806" s="291"/>
      <c r="B1806" s="292"/>
      <c r="C1806" s="312"/>
      <c r="D1806" s="292"/>
      <c r="E1806" s="489"/>
      <c r="F1806" s="489"/>
      <c r="G1806" s="490"/>
      <c r="H1806" s="520"/>
      <c r="I1806" s="523"/>
      <c r="J1806" s="521"/>
      <c r="K1806" s="522"/>
      <c r="M1806" s="301" t="str">
        <f>N1806&amp;AS[[#This Row],[Insurer Code]]&amp;"; "&amp;O1806&amp;AS[[#This Row],[Reporting Year]]&amp;"; "&amp;P1806&amp;AS[[#This Row],[Insurance Category Code]]&amp;"; "&amp;Q1806&amp;AS[[#This Row],[Large Provider Entity Code]]&amp;"; "&amp;R1806&amp;AS[[#This Row],[Age Band Code]]&amp;"; "&amp;S1806&amp;AS[[#This Row],[Sex Code]]</f>
        <v xml:space="preserve">Insurer Code ; Reporting Year ; Insurance Category Code ; Large Provider Entity Code ; Age Band Code ; Sex Code </v>
      </c>
      <c r="N1806" s="297" t="s">
        <v>197</v>
      </c>
      <c r="O1806" s="297" t="s">
        <v>198</v>
      </c>
      <c r="P1806" s="297" t="s">
        <v>199</v>
      </c>
      <c r="Q1806" s="297" t="s">
        <v>200</v>
      </c>
      <c r="R1806" s="297" t="s">
        <v>213</v>
      </c>
      <c r="S1806" s="297" t="s">
        <v>214</v>
      </c>
    </row>
    <row r="1807" spans="1:19" x14ac:dyDescent="0.4">
      <c r="A1807" s="291"/>
      <c r="B1807" s="292"/>
      <c r="C1807" s="312"/>
      <c r="D1807" s="292"/>
      <c r="E1807" s="489"/>
      <c r="F1807" s="489"/>
      <c r="G1807" s="490"/>
      <c r="H1807" s="520"/>
      <c r="I1807" s="523"/>
      <c r="J1807" s="521"/>
      <c r="K1807" s="522"/>
      <c r="M1807" s="301" t="str">
        <f>N1807&amp;AS[[#This Row],[Insurer Code]]&amp;"; "&amp;O1807&amp;AS[[#This Row],[Reporting Year]]&amp;"; "&amp;P1807&amp;AS[[#This Row],[Insurance Category Code]]&amp;"; "&amp;Q1807&amp;AS[[#This Row],[Large Provider Entity Code]]&amp;"; "&amp;R1807&amp;AS[[#This Row],[Age Band Code]]&amp;"; "&amp;S1807&amp;AS[[#This Row],[Sex Code]]</f>
        <v xml:space="preserve">Insurer Code ; Reporting Year ; Insurance Category Code ; Large Provider Entity Code ; Age Band Code ; Sex Code </v>
      </c>
      <c r="N1807" s="297" t="s">
        <v>197</v>
      </c>
      <c r="O1807" s="297" t="s">
        <v>198</v>
      </c>
      <c r="P1807" s="297" t="s">
        <v>199</v>
      </c>
      <c r="Q1807" s="297" t="s">
        <v>200</v>
      </c>
      <c r="R1807" s="297" t="s">
        <v>213</v>
      </c>
      <c r="S1807" s="297" t="s">
        <v>214</v>
      </c>
    </row>
    <row r="1808" spans="1:19" x14ac:dyDescent="0.4">
      <c r="A1808" s="291"/>
      <c r="B1808" s="292"/>
      <c r="C1808" s="312"/>
      <c r="D1808" s="292"/>
      <c r="E1808" s="489"/>
      <c r="F1808" s="489"/>
      <c r="G1808" s="490"/>
      <c r="H1808" s="520"/>
      <c r="I1808" s="523"/>
      <c r="J1808" s="521"/>
      <c r="K1808" s="522"/>
      <c r="M1808" s="301" t="str">
        <f>N1808&amp;AS[[#This Row],[Insurer Code]]&amp;"; "&amp;O1808&amp;AS[[#This Row],[Reporting Year]]&amp;"; "&amp;P1808&amp;AS[[#This Row],[Insurance Category Code]]&amp;"; "&amp;Q1808&amp;AS[[#This Row],[Large Provider Entity Code]]&amp;"; "&amp;R1808&amp;AS[[#This Row],[Age Band Code]]&amp;"; "&amp;S1808&amp;AS[[#This Row],[Sex Code]]</f>
        <v xml:space="preserve">Insurer Code ; Reporting Year ; Insurance Category Code ; Large Provider Entity Code ; Age Band Code ; Sex Code </v>
      </c>
      <c r="N1808" s="297" t="s">
        <v>197</v>
      </c>
      <c r="O1808" s="297" t="s">
        <v>198</v>
      </c>
      <c r="P1808" s="297" t="s">
        <v>199</v>
      </c>
      <c r="Q1808" s="297" t="s">
        <v>200</v>
      </c>
      <c r="R1808" s="297" t="s">
        <v>213</v>
      </c>
      <c r="S1808" s="297" t="s">
        <v>214</v>
      </c>
    </row>
    <row r="1809" spans="1:19" x14ac:dyDescent="0.4">
      <c r="A1809" s="291"/>
      <c r="B1809" s="292"/>
      <c r="C1809" s="312"/>
      <c r="D1809" s="292"/>
      <c r="E1809" s="489"/>
      <c r="F1809" s="489"/>
      <c r="G1809" s="490"/>
      <c r="H1809" s="520"/>
      <c r="I1809" s="523"/>
      <c r="J1809" s="521"/>
      <c r="K1809" s="522"/>
      <c r="M1809" s="301" t="str">
        <f>N1809&amp;AS[[#This Row],[Insurer Code]]&amp;"; "&amp;O1809&amp;AS[[#This Row],[Reporting Year]]&amp;"; "&amp;P1809&amp;AS[[#This Row],[Insurance Category Code]]&amp;"; "&amp;Q1809&amp;AS[[#This Row],[Large Provider Entity Code]]&amp;"; "&amp;R1809&amp;AS[[#This Row],[Age Band Code]]&amp;"; "&amp;S1809&amp;AS[[#This Row],[Sex Code]]</f>
        <v xml:space="preserve">Insurer Code ; Reporting Year ; Insurance Category Code ; Large Provider Entity Code ; Age Band Code ; Sex Code </v>
      </c>
      <c r="N1809" s="297" t="s">
        <v>197</v>
      </c>
      <c r="O1809" s="297" t="s">
        <v>198</v>
      </c>
      <c r="P1809" s="297" t="s">
        <v>199</v>
      </c>
      <c r="Q1809" s="297" t="s">
        <v>200</v>
      </c>
      <c r="R1809" s="297" t="s">
        <v>213</v>
      </c>
      <c r="S1809" s="297" t="s">
        <v>214</v>
      </c>
    </row>
    <row r="1810" spans="1:19" x14ac:dyDescent="0.4">
      <c r="A1810" s="291"/>
      <c r="B1810" s="292"/>
      <c r="C1810" s="312"/>
      <c r="D1810" s="292"/>
      <c r="E1810" s="489"/>
      <c r="F1810" s="489"/>
      <c r="G1810" s="490"/>
      <c r="H1810" s="520"/>
      <c r="I1810" s="523"/>
      <c r="J1810" s="521"/>
      <c r="K1810" s="522"/>
      <c r="M1810" s="301" t="str">
        <f>N1810&amp;AS[[#This Row],[Insurer Code]]&amp;"; "&amp;O1810&amp;AS[[#This Row],[Reporting Year]]&amp;"; "&amp;P1810&amp;AS[[#This Row],[Insurance Category Code]]&amp;"; "&amp;Q1810&amp;AS[[#This Row],[Large Provider Entity Code]]&amp;"; "&amp;R1810&amp;AS[[#This Row],[Age Band Code]]&amp;"; "&amp;S1810&amp;AS[[#This Row],[Sex Code]]</f>
        <v xml:space="preserve">Insurer Code ; Reporting Year ; Insurance Category Code ; Large Provider Entity Code ; Age Band Code ; Sex Code </v>
      </c>
      <c r="N1810" s="297" t="s">
        <v>197</v>
      </c>
      <c r="O1810" s="297" t="s">
        <v>198</v>
      </c>
      <c r="P1810" s="297" t="s">
        <v>199</v>
      </c>
      <c r="Q1810" s="297" t="s">
        <v>200</v>
      </c>
      <c r="R1810" s="297" t="s">
        <v>213</v>
      </c>
      <c r="S1810" s="297" t="s">
        <v>214</v>
      </c>
    </row>
    <row r="1811" spans="1:19" x14ac:dyDescent="0.4">
      <c r="A1811" s="291"/>
      <c r="B1811" s="292"/>
      <c r="C1811" s="312"/>
      <c r="D1811" s="292"/>
      <c r="E1811" s="489"/>
      <c r="F1811" s="489"/>
      <c r="G1811" s="490"/>
      <c r="H1811" s="520"/>
      <c r="I1811" s="523"/>
      <c r="J1811" s="521"/>
      <c r="K1811" s="522"/>
      <c r="M1811" s="301" t="str">
        <f>N1811&amp;AS[[#This Row],[Insurer Code]]&amp;"; "&amp;O1811&amp;AS[[#This Row],[Reporting Year]]&amp;"; "&amp;P1811&amp;AS[[#This Row],[Insurance Category Code]]&amp;"; "&amp;Q1811&amp;AS[[#This Row],[Large Provider Entity Code]]&amp;"; "&amp;R1811&amp;AS[[#This Row],[Age Band Code]]&amp;"; "&amp;S1811&amp;AS[[#This Row],[Sex Code]]</f>
        <v xml:space="preserve">Insurer Code ; Reporting Year ; Insurance Category Code ; Large Provider Entity Code ; Age Band Code ; Sex Code </v>
      </c>
      <c r="N1811" s="297" t="s">
        <v>197</v>
      </c>
      <c r="O1811" s="297" t="s">
        <v>198</v>
      </c>
      <c r="P1811" s="297" t="s">
        <v>199</v>
      </c>
      <c r="Q1811" s="297" t="s">
        <v>200</v>
      </c>
      <c r="R1811" s="297" t="s">
        <v>213</v>
      </c>
      <c r="S1811" s="297" t="s">
        <v>214</v>
      </c>
    </row>
    <row r="1812" spans="1:19" x14ac:dyDescent="0.4">
      <c r="A1812" s="291"/>
      <c r="B1812" s="292"/>
      <c r="C1812" s="312"/>
      <c r="D1812" s="292"/>
      <c r="E1812" s="489"/>
      <c r="F1812" s="489"/>
      <c r="G1812" s="490"/>
      <c r="H1812" s="520"/>
      <c r="I1812" s="523"/>
      <c r="J1812" s="521"/>
      <c r="K1812" s="522"/>
      <c r="M1812" s="301" t="str">
        <f>N1812&amp;AS[[#This Row],[Insurer Code]]&amp;"; "&amp;O1812&amp;AS[[#This Row],[Reporting Year]]&amp;"; "&amp;P1812&amp;AS[[#This Row],[Insurance Category Code]]&amp;"; "&amp;Q1812&amp;AS[[#This Row],[Large Provider Entity Code]]&amp;"; "&amp;R1812&amp;AS[[#This Row],[Age Band Code]]&amp;"; "&amp;S1812&amp;AS[[#This Row],[Sex Code]]</f>
        <v xml:space="preserve">Insurer Code ; Reporting Year ; Insurance Category Code ; Large Provider Entity Code ; Age Band Code ; Sex Code </v>
      </c>
      <c r="N1812" s="297" t="s">
        <v>197</v>
      </c>
      <c r="O1812" s="297" t="s">
        <v>198</v>
      </c>
      <c r="P1812" s="297" t="s">
        <v>199</v>
      </c>
      <c r="Q1812" s="297" t="s">
        <v>200</v>
      </c>
      <c r="R1812" s="297" t="s">
        <v>213</v>
      </c>
      <c r="S1812" s="297" t="s">
        <v>214</v>
      </c>
    </row>
    <row r="1813" spans="1:19" x14ac:dyDescent="0.4">
      <c r="A1813" s="291"/>
      <c r="B1813" s="292"/>
      <c r="C1813" s="312"/>
      <c r="D1813" s="292"/>
      <c r="E1813" s="489"/>
      <c r="F1813" s="489"/>
      <c r="G1813" s="490"/>
      <c r="H1813" s="520"/>
      <c r="I1813" s="523"/>
      <c r="J1813" s="521"/>
      <c r="K1813" s="522"/>
      <c r="M1813" s="301" t="str">
        <f>N1813&amp;AS[[#This Row],[Insurer Code]]&amp;"; "&amp;O1813&amp;AS[[#This Row],[Reporting Year]]&amp;"; "&amp;P1813&amp;AS[[#This Row],[Insurance Category Code]]&amp;"; "&amp;Q1813&amp;AS[[#This Row],[Large Provider Entity Code]]&amp;"; "&amp;R1813&amp;AS[[#This Row],[Age Band Code]]&amp;"; "&amp;S1813&amp;AS[[#This Row],[Sex Code]]</f>
        <v xml:space="preserve">Insurer Code ; Reporting Year ; Insurance Category Code ; Large Provider Entity Code ; Age Band Code ; Sex Code </v>
      </c>
      <c r="N1813" s="297" t="s">
        <v>197</v>
      </c>
      <c r="O1813" s="297" t="s">
        <v>198</v>
      </c>
      <c r="P1813" s="297" t="s">
        <v>199</v>
      </c>
      <c r="Q1813" s="297" t="s">
        <v>200</v>
      </c>
      <c r="R1813" s="297" t="s">
        <v>213</v>
      </c>
      <c r="S1813" s="297" t="s">
        <v>214</v>
      </c>
    </row>
    <row r="1814" spans="1:19" x14ac:dyDescent="0.4">
      <c r="A1814" s="291"/>
      <c r="B1814" s="292"/>
      <c r="C1814" s="312"/>
      <c r="D1814" s="292"/>
      <c r="E1814" s="489"/>
      <c r="F1814" s="489"/>
      <c r="G1814" s="490"/>
      <c r="H1814" s="520"/>
      <c r="I1814" s="523"/>
      <c r="J1814" s="521"/>
      <c r="K1814" s="522"/>
      <c r="M1814" s="301" t="str">
        <f>N1814&amp;AS[[#This Row],[Insurer Code]]&amp;"; "&amp;O1814&amp;AS[[#This Row],[Reporting Year]]&amp;"; "&amp;P1814&amp;AS[[#This Row],[Insurance Category Code]]&amp;"; "&amp;Q1814&amp;AS[[#This Row],[Large Provider Entity Code]]&amp;"; "&amp;R1814&amp;AS[[#This Row],[Age Band Code]]&amp;"; "&amp;S1814&amp;AS[[#This Row],[Sex Code]]</f>
        <v xml:space="preserve">Insurer Code ; Reporting Year ; Insurance Category Code ; Large Provider Entity Code ; Age Band Code ; Sex Code </v>
      </c>
      <c r="N1814" s="297" t="s">
        <v>197</v>
      </c>
      <c r="O1814" s="297" t="s">
        <v>198</v>
      </c>
      <c r="P1814" s="297" t="s">
        <v>199</v>
      </c>
      <c r="Q1814" s="297" t="s">
        <v>200</v>
      </c>
      <c r="R1814" s="297" t="s">
        <v>213</v>
      </c>
      <c r="S1814" s="297" t="s">
        <v>214</v>
      </c>
    </row>
    <row r="1815" spans="1:19" x14ac:dyDescent="0.4">
      <c r="A1815" s="291"/>
      <c r="B1815" s="292"/>
      <c r="C1815" s="312"/>
      <c r="D1815" s="292"/>
      <c r="E1815" s="489"/>
      <c r="F1815" s="489"/>
      <c r="G1815" s="490"/>
      <c r="H1815" s="520"/>
      <c r="I1815" s="523"/>
      <c r="J1815" s="521"/>
      <c r="K1815" s="522"/>
      <c r="M1815" s="301" t="str">
        <f>N1815&amp;AS[[#This Row],[Insurer Code]]&amp;"; "&amp;O1815&amp;AS[[#This Row],[Reporting Year]]&amp;"; "&amp;P1815&amp;AS[[#This Row],[Insurance Category Code]]&amp;"; "&amp;Q1815&amp;AS[[#This Row],[Large Provider Entity Code]]&amp;"; "&amp;R1815&amp;AS[[#This Row],[Age Band Code]]&amp;"; "&amp;S1815&amp;AS[[#This Row],[Sex Code]]</f>
        <v xml:space="preserve">Insurer Code ; Reporting Year ; Insurance Category Code ; Large Provider Entity Code ; Age Band Code ; Sex Code </v>
      </c>
      <c r="N1815" s="297" t="s">
        <v>197</v>
      </c>
      <c r="O1815" s="297" t="s">
        <v>198</v>
      </c>
      <c r="P1815" s="297" t="s">
        <v>199</v>
      </c>
      <c r="Q1815" s="297" t="s">
        <v>200</v>
      </c>
      <c r="R1815" s="297" t="s">
        <v>213</v>
      </c>
      <c r="S1815" s="297" t="s">
        <v>214</v>
      </c>
    </row>
    <row r="1816" spans="1:19" x14ac:dyDescent="0.4">
      <c r="A1816" s="291"/>
      <c r="B1816" s="292"/>
      <c r="C1816" s="312"/>
      <c r="D1816" s="292"/>
      <c r="E1816" s="489"/>
      <c r="F1816" s="489"/>
      <c r="G1816" s="490"/>
      <c r="H1816" s="520"/>
      <c r="I1816" s="523"/>
      <c r="J1816" s="521"/>
      <c r="K1816" s="522"/>
      <c r="M1816" s="301" t="str">
        <f>N1816&amp;AS[[#This Row],[Insurer Code]]&amp;"; "&amp;O1816&amp;AS[[#This Row],[Reporting Year]]&amp;"; "&amp;P1816&amp;AS[[#This Row],[Insurance Category Code]]&amp;"; "&amp;Q1816&amp;AS[[#This Row],[Large Provider Entity Code]]&amp;"; "&amp;R1816&amp;AS[[#This Row],[Age Band Code]]&amp;"; "&amp;S1816&amp;AS[[#This Row],[Sex Code]]</f>
        <v xml:space="preserve">Insurer Code ; Reporting Year ; Insurance Category Code ; Large Provider Entity Code ; Age Band Code ; Sex Code </v>
      </c>
      <c r="N1816" s="297" t="s">
        <v>197</v>
      </c>
      <c r="O1816" s="297" t="s">
        <v>198</v>
      </c>
      <c r="P1816" s="297" t="s">
        <v>199</v>
      </c>
      <c r="Q1816" s="297" t="s">
        <v>200</v>
      </c>
      <c r="R1816" s="297" t="s">
        <v>213</v>
      </c>
      <c r="S1816" s="297" t="s">
        <v>214</v>
      </c>
    </row>
    <row r="1817" spans="1:19" x14ac:dyDescent="0.4">
      <c r="A1817" s="291"/>
      <c r="B1817" s="292"/>
      <c r="C1817" s="312"/>
      <c r="D1817" s="292"/>
      <c r="E1817" s="489"/>
      <c r="F1817" s="489"/>
      <c r="G1817" s="490"/>
      <c r="H1817" s="520"/>
      <c r="I1817" s="523"/>
      <c r="J1817" s="521"/>
      <c r="K1817" s="522"/>
      <c r="M1817" s="301" t="str">
        <f>N1817&amp;AS[[#This Row],[Insurer Code]]&amp;"; "&amp;O1817&amp;AS[[#This Row],[Reporting Year]]&amp;"; "&amp;P1817&amp;AS[[#This Row],[Insurance Category Code]]&amp;"; "&amp;Q1817&amp;AS[[#This Row],[Large Provider Entity Code]]&amp;"; "&amp;R1817&amp;AS[[#This Row],[Age Band Code]]&amp;"; "&amp;S1817&amp;AS[[#This Row],[Sex Code]]</f>
        <v xml:space="preserve">Insurer Code ; Reporting Year ; Insurance Category Code ; Large Provider Entity Code ; Age Band Code ; Sex Code </v>
      </c>
      <c r="N1817" s="297" t="s">
        <v>197</v>
      </c>
      <c r="O1817" s="297" t="s">
        <v>198</v>
      </c>
      <c r="P1817" s="297" t="s">
        <v>199</v>
      </c>
      <c r="Q1817" s="297" t="s">
        <v>200</v>
      </c>
      <c r="R1817" s="297" t="s">
        <v>213</v>
      </c>
      <c r="S1817" s="297" t="s">
        <v>214</v>
      </c>
    </row>
    <row r="1818" spans="1:19" x14ac:dyDescent="0.4">
      <c r="A1818" s="291"/>
      <c r="B1818" s="292"/>
      <c r="C1818" s="312"/>
      <c r="D1818" s="292"/>
      <c r="E1818" s="489"/>
      <c r="F1818" s="489"/>
      <c r="G1818" s="490"/>
      <c r="H1818" s="520"/>
      <c r="I1818" s="523"/>
      <c r="J1818" s="521"/>
      <c r="K1818" s="522"/>
      <c r="M1818" s="301" t="str">
        <f>N1818&amp;AS[[#This Row],[Insurer Code]]&amp;"; "&amp;O1818&amp;AS[[#This Row],[Reporting Year]]&amp;"; "&amp;P1818&amp;AS[[#This Row],[Insurance Category Code]]&amp;"; "&amp;Q1818&amp;AS[[#This Row],[Large Provider Entity Code]]&amp;"; "&amp;R1818&amp;AS[[#This Row],[Age Band Code]]&amp;"; "&amp;S1818&amp;AS[[#This Row],[Sex Code]]</f>
        <v xml:space="preserve">Insurer Code ; Reporting Year ; Insurance Category Code ; Large Provider Entity Code ; Age Band Code ; Sex Code </v>
      </c>
      <c r="N1818" s="297" t="s">
        <v>197</v>
      </c>
      <c r="O1818" s="297" t="s">
        <v>198</v>
      </c>
      <c r="P1818" s="297" t="s">
        <v>199</v>
      </c>
      <c r="Q1818" s="297" t="s">
        <v>200</v>
      </c>
      <c r="R1818" s="297" t="s">
        <v>213</v>
      </c>
      <c r="S1818" s="297" t="s">
        <v>214</v>
      </c>
    </row>
    <row r="1819" spans="1:19" x14ac:dyDescent="0.4">
      <c r="A1819" s="291"/>
      <c r="B1819" s="292"/>
      <c r="C1819" s="312"/>
      <c r="D1819" s="292"/>
      <c r="E1819" s="489"/>
      <c r="F1819" s="489"/>
      <c r="G1819" s="490"/>
      <c r="H1819" s="520"/>
      <c r="I1819" s="523"/>
      <c r="J1819" s="521"/>
      <c r="K1819" s="522"/>
      <c r="M1819" s="301" t="str">
        <f>N1819&amp;AS[[#This Row],[Insurer Code]]&amp;"; "&amp;O1819&amp;AS[[#This Row],[Reporting Year]]&amp;"; "&amp;P1819&amp;AS[[#This Row],[Insurance Category Code]]&amp;"; "&amp;Q1819&amp;AS[[#This Row],[Large Provider Entity Code]]&amp;"; "&amp;R1819&amp;AS[[#This Row],[Age Band Code]]&amp;"; "&amp;S1819&amp;AS[[#This Row],[Sex Code]]</f>
        <v xml:space="preserve">Insurer Code ; Reporting Year ; Insurance Category Code ; Large Provider Entity Code ; Age Band Code ; Sex Code </v>
      </c>
      <c r="N1819" s="297" t="s">
        <v>197</v>
      </c>
      <c r="O1819" s="297" t="s">
        <v>198</v>
      </c>
      <c r="P1819" s="297" t="s">
        <v>199</v>
      </c>
      <c r="Q1819" s="297" t="s">
        <v>200</v>
      </c>
      <c r="R1819" s="297" t="s">
        <v>213</v>
      </c>
      <c r="S1819" s="297" t="s">
        <v>214</v>
      </c>
    </row>
    <row r="1820" spans="1:19" x14ac:dyDescent="0.4">
      <c r="A1820" s="291"/>
      <c r="B1820" s="292"/>
      <c r="C1820" s="312"/>
      <c r="D1820" s="292"/>
      <c r="E1820" s="489"/>
      <c r="F1820" s="489"/>
      <c r="G1820" s="490"/>
      <c r="H1820" s="520"/>
      <c r="I1820" s="523"/>
      <c r="J1820" s="521"/>
      <c r="K1820" s="522"/>
      <c r="M1820" s="301" t="str">
        <f>N1820&amp;AS[[#This Row],[Insurer Code]]&amp;"; "&amp;O1820&amp;AS[[#This Row],[Reporting Year]]&amp;"; "&amp;P1820&amp;AS[[#This Row],[Insurance Category Code]]&amp;"; "&amp;Q1820&amp;AS[[#This Row],[Large Provider Entity Code]]&amp;"; "&amp;R1820&amp;AS[[#This Row],[Age Band Code]]&amp;"; "&amp;S1820&amp;AS[[#This Row],[Sex Code]]</f>
        <v xml:space="preserve">Insurer Code ; Reporting Year ; Insurance Category Code ; Large Provider Entity Code ; Age Band Code ; Sex Code </v>
      </c>
      <c r="N1820" s="297" t="s">
        <v>197</v>
      </c>
      <c r="O1820" s="297" t="s">
        <v>198</v>
      </c>
      <c r="P1820" s="297" t="s">
        <v>199</v>
      </c>
      <c r="Q1820" s="297" t="s">
        <v>200</v>
      </c>
      <c r="R1820" s="297" t="s">
        <v>213</v>
      </c>
      <c r="S1820" s="297" t="s">
        <v>214</v>
      </c>
    </row>
    <row r="1821" spans="1:19" x14ac:dyDescent="0.4">
      <c r="A1821" s="291"/>
      <c r="B1821" s="292"/>
      <c r="C1821" s="312"/>
      <c r="D1821" s="292"/>
      <c r="E1821" s="489"/>
      <c r="F1821" s="489"/>
      <c r="G1821" s="490"/>
      <c r="H1821" s="520"/>
      <c r="I1821" s="523"/>
      <c r="J1821" s="521"/>
      <c r="K1821" s="522"/>
      <c r="M1821" s="301" t="str">
        <f>N1821&amp;AS[[#This Row],[Insurer Code]]&amp;"; "&amp;O1821&amp;AS[[#This Row],[Reporting Year]]&amp;"; "&amp;P1821&amp;AS[[#This Row],[Insurance Category Code]]&amp;"; "&amp;Q1821&amp;AS[[#This Row],[Large Provider Entity Code]]&amp;"; "&amp;R1821&amp;AS[[#This Row],[Age Band Code]]&amp;"; "&amp;S1821&amp;AS[[#This Row],[Sex Code]]</f>
        <v xml:space="preserve">Insurer Code ; Reporting Year ; Insurance Category Code ; Large Provider Entity Code ; Age Band Code ; Sex Code </v>
      </c>
      <c r="N1821" s="297" t="s">
        <v>197</v>
      </c>
      <c r="O1821" s="297" t="s">
        <v>198</v>
      </c>
      <c r="P1821" s="297" t="s">
        <v>199</v>
      </c>
      <c r="Q1821" s="297" t="s">
        <v>200</v>
      </c>
      <c r="R1821" s="297" t="s">
        <v>213</v>
      </c>
      <c r="S1821" s="297" t="s">
        <v>214</v>
      </c>
    </row>
    <row r="1822" spans="1:19" x14ac:dyDescent="0.4">
      <c r="A1822" s="291"/>
      <c r="B1822" s="292"/>
      <c r="C1822" s="312"/>
      <c r="D1822" s="292"/>
      <c r="E1822" s="489"/>
      <c r="F1822" s="489"/>
      <c r="G1822" s="490"/>
      <c r="H1822" s="520"/>
      <c r="I1822" s="523"/>
      <c r="J1822" s="521"/>
      <c r="K1822" s="522"/>
      <c r="M1822" s="301" t="str">
        <f>N1822&amp;AS[[#This Row],[Insurer Code]]&amp;"; "&amp;O1822&amp;AS[[#This Row],[Reporting Year]]&amp;"; "&amp;P1822&amp;AS[[#This Row],[Insurance Category Code]]&amp;"; "&amp;Q1822&amp;AS[[#This Row],[Large Provider Entity Code]]&amp;"; "&amp;R1822&amp;AS[[#This Row],[Age Band Code]]&amp;"; "&amp;S1822&amp;AS[[#This Row],[Sex Code]]</f>
        <v xml:space="preserve">Insurer Code ; Reporting Year ; Insurance Category Code ; Large Provider Entity Code ; Age Band Code ; Sex Code </v>
      </c>
      <c r="N1822" s="297" t="s">
        <v>197</v>
      </c>
      <c r="O1822" s="297" t="s">
        <v>198</v>
      </c>
      <c r="P1822" s="297" t="s">
        <v>199</v>
      </c>
      <c r="Q1822" s="297" t="s">
        <v>200</v>
      </c>
      <c r="R1822" s="297" t="s">
        <v>213</v>
      </c>
      <c r="S1822" s="297" t="s">
        <v>214</v>
      </c>
    </row>
    <row r="1823" spans="1:19" x14ac:dyDescent="0.4">
      <c r="A1823" s="291"/>
      <c r="B1823" s="292"/>
      <c r="C1823" s="312"/>
      <c r="D1823" s="292"/>
      <c r="E1823" s="489"/>
      <c r="F1823" s="489"/>
      <c r="G1823" s="490"/>
      <c r="H1823" s="520"/>
      <c r="I1823" s="523"/>
      <c r="J1823" s="521"/>
      <c r="K1823" s="522"/>
      <c r="M1823" s="301" t="str">
        <f>N1823&amp;AS[[#This Row],[Insurer Code]]&amp;"; "&amp;O1823&amp;AS[[#This Row],[Reporting Year]]&amp;"; "&amp;P1823&amp;AS[[#This Row],[Insurance Category Code]]&amp;"; "&amp;Q1823&amp;AS[[#This Row],[Large Provider Entity Code]]&amp;"; "&amp;R1823&amp;AS[[#This Row],[Age Band Code]]&amp;"; "&amp;S1823&amp;AS[[#This Row],[Sex Code]]</f>
        <v xml:space="preserve">Insurer Code ; Reporting Year ; Insurance Category Code ; Large Provider Entity Code ; Age Band Code ; Sex Code </v>
      </c>
      <c r="N1823" s="297" t="s">
        <v>197</v>
      </c>
      <c r="O1823" s="297" t="s">
        <v>198</v>
      </c>
      <c r="P1823" s="297" t="s">
        <v>199</v>
      </c>
      <c r="Q1823" s="297" t="s">
        <v>200</v>
      </c>
      <c r="R1823" s="297" t="s">
        <v>213</v>
      </c>
      <c r="S1823" s="297" t="s">
        <v>214</v>
      </c>
    </row>
    <row r="1824" spans="1:19" x14ac:dyDescent="0.4">
      <c r="A1824" s="291"/>
      <c r="B1824" s="292"/>
      <c r="C1824" s="312"/>
      <c r="D1824" s="292"/>
      <c r="E1824" s="489"/>
      <c r="F1824" s="489"/>
      <c r="G1824" s="490"/>
      <c r="H1824" s="520"/>
      <c r="I1824" s="523"/>
      <c r="J1824" s="521"/>
      <c r="K1824" s="522"/>
      <c r="M1824" s="301" t="str">
        <f>N1824&amp;AS[[#This Row],[Insurer Code]]&amp;"; "&amp;O1824&amp;AS[[#This Row],[Reporting Year]]&amp;"; "&amp;P1824&amp;AS[[#This Row],[Insurance Category Code]]&amp;"; "&amp;Q1824&amp;AS[[#This Row],[Large Provider Entity Code]]&amp;"; "&amp;R1824&amp;AS[[#This Row],[Age Band Code]]&amp;"; "&amp;S1824&amp;AS[[#This Row],[Sex Code]]</f>
        <v xml:space="preserve">Insurer Code ; Reporting Year ; Insurance Category Code ; Large Provider Entity Code ; Age Band Code ; Sex Code </v>
      </c>
      <c r="N1824" s="297" t="s">
        <v>197</v>
      </c>
      <c r="O1824" s="297" t="s">
        <v>198</v>
      </c>
      <c r="P1824" s="297" t="s">
        <v>199</v>
      </c>
      <c r="Q1824" s="297" t="s">
        <v>200</v>
      </c>
      <c r="R1824" s="297" t="s">
        <v>213</v>
      </c>
      <c r="S1824" s="297" t="s">
        <v>214</v>
      </c>
    </row>
    <row r="1825" spans="1:19" x14ac:dyDescent="0.4">
      <c r="A1825" s="291"/>
      <c r="B1825" s="292"/>
      <c r="C1825" s="312"/>
      <c r="D1825" s="292"/>
      <c r="E1825" s="489"/>
      <c r="F1825" s="489"/>
      <c r="G1825" s="490"/>
      <c r="H1825" s="520"/>
      <c r="I1825" s="523"/>
      <c r="J1825" s="521"/>
      <c r="K1825" s="522"/>
      <c r="M1825" s="301" t="str">
        <f>N1825&amp;AS[[#This Row],[Insurer Code]]&amp;"; "&amp;O1825&amp;AS[[#This Row],[Reporting Year]]&amp;"; "&amp;P1825&amp;AS[[#This Row],[Insurance Category Code]]&amp;"; "&amp;Q1825&amp;AS[[#This Row],[Large Provider Entity Code]]&amp;"; "&amp;R1825&amp;AS[[#This Row],[Age Band Code]]&amp;"; "&amp;S1825&amp;AS[[#This Row],[Sex Code]]</f>
        <v xml:space="preserve">Insurer Code ; Reporting Year ; Insurance Category Code ; Large Provider Entity Code ; Age Band Code ; Sex Code </v>
      </c>
      <c r="N1825" s="297" t="s">
        <v>197</v>
      </c>
      <c r="O1825" s="297" t="s">
        <v>198</v>
      </c>
      <c r="P1825" s="297" t="s">
        <v>199</v>
      </c>
      <c r="Q1825" s="297" t="s">
        <v>200</v>
      </c>
      <c r="R1825" s="297" t="s">
        <v>213</v>
      </c>
      <c r="S1825" s="297" t="s">
        <v>214</v>
      </c>
    </row>
    <row r="1826" spans="1:19" x14ac:dyDescent="0.4">
      <c r="A1826" s="291"/>
      <c r="B1826" s="292"/>
      <c r="C1826" s="312"/>
      <c r="D1826" s="292"/>
      <c r="E1826" s="489"/>
      <c r="F1826" s="489"/>
      <c r="G1826" s="490"/>
      <c r="H1826" s="520"/>
      <c r="I1826" s="523"/>
      <c r="J1826" s="521"/>
      <c r="K1826" s="522"/>
      <c r="M1826" s="301" t="str">
        <f>N1826&amp;AS[[#This Row],[Insurer Code]]&amp;"; "&amp;O1826&amp;AS[[#This Row],[Reporting Year]]&amp;"; "&amp;P1826&amp;AS[[#This Row],[Insurance Category Code]]&amp;"; "&amp;Q1826&amp;AS[[#This Row],[Large Provider Entity Code]]&amp;"; "&amp;R1826&amp;AS[[#This Row],[Age Band Code]]&amp;"; "&amp;S1826&amp;AS[[#This Row],[Sex Code]]</f>
        <v xml:space="preserve">Insurer Code ; Reporting Year ; Insurance Category Code ; Large Provider Entity Code ; Age Band Code ; Sex Code </v>
      </c>
      <c r="N1826" s="297" t="s">
        <v>197</v>
      </c>
      <c r="O1826" s="297" t="s">
        <v>198</v>
      </c>
      <c r="P1826" s="297" t="s">
        <v>199</v>
      </c>
      <c r="Q1826" s="297" t="s">
        <v>200</v>
      </c>
      <c r="R1826" s="297" t="s">
        <v>213</v>
      </c>
      <c r="S1826" s="297" t="s">
        <v>214</v>
      </c>
    </row>
    <row r="1827" spans="1:19" x14ac:dyDescent="0.4">
      <c r="A1827" s="291"/>
      <c r="B1827" s="292"/>
      <c r="C1827" s="312"/>
      <c r="D1827" s="292"/>
      <c r="E1827" s="489"/>
      <c r="F1827" s="489"/>
      <c r="G1827" s="490"/>
      <c r="H1827" s="520"/>
      <c r="I1827" s="523"/>
      <c r="J1827" s="521"/>
      <c r="K1827" s="522"/>
      <c r="M1827" s="301" t="str">
        <f>N1827&amp;AS[[#This Row],[Insurer Code]]&amp;"; "&amp;O1827&amp;AS[[#This Row],[Reporting Year]]&amp;"; "&amp;P1827&amp;AS[[#This Row],[Insurance Category Code]]&amp;"; "&amp;Q1827&amp;AS[[#This Row],[Large Provider Entity Code]]&amp;"; "&amp;R1827&amp;AS[[#This Row],[Age Band Code]]&amp;"; "&amp;S1827&amp;AS[[#This Row],[Sex Code]]</f>
        <v xml:space="preserve">Insurer Code ; Reporting Year ; Insurance Category Code ; Large Provider Entity Code ; Age Band Code ; Sex Code </v>
      </c>
      <c r="N1827" s="297" t="s">
        <v>197</v>
      </c>
      <c r="O1827" s="297" t="s">
        <v>198</v>
      </c>
      <c r="P1827" s="297" t="s">
        <v>199</v>
      </c>
      <c r="Q1827" s="297" t="s">
        <v>200</v>
      </c>
      <c r="R1827" s="297" t="s">
        <v>213</v>
      </c>
      <c r="S1827" s="297" t="s">
        <v>214</v>
      </c>
    </row>
    <row r="1828" spans="1:19" x14ac:dyDescent="0.4">
      <c r="A1828" s="291"/>
      <c r="B1828" s="292"/>
      <c r="C1828" s="312"/>
      <c r="D1828" s="292"/>
      <c r="E1828" s="489"/>
      <c r="F1828" s="489"/>
      <c r="G1828" s="490"/>
      <c r="H1828" s="520"/>
      <c r="I1828" s="523"/>
      <c r="J1828" s="521"/>
      <c r="K1828" s="522"/>
      <c r="M1828" s="301" t="str">
        <f>N1828&amp;AS[[#This Row],[Insurer Code]]&amp;"; "&amp;O1828&amp;AS[[#This Row],[Reporting Year]]&amp;"; "&amp;P1828&amp;AS[[#This Row],[Insurance Category Code]]&amp;"; "&amp;Q1828&amp;AS[[#This Row],[Large Provider Entity Code]]&amp;"; "&amp;R1828&amp;AS[[#This Row],[Age Band Code]]&amp;"; "&amp;S1828&amp;AS[[#This Row],[Sex Code]]</f>
        <v xml:space="preserve">Insurer Code ; Reporting Year ; Insurance Category Code ; Large Provider Entity Code ; Age Band Code ; Sex Code </v>
      </c>
      <c r="N1828" s="297" t="s">
        <v>197</v>
      </c>
      <c r="O1828" s="297" t="s">
        <v>198</v>
      </c>
      <c r="P1828" s="297" t="s">
        <v>199</v>
      </c>
      <c r="Q1828" s="297" t="s">
        <v>200</v>
      </c>
      <c r="R1828" s="297" t="s">
        <v>213</v>
      </c>
      <c r="S1828" s="297" t="s">
        <v>214</v>
      </c>
    </row>
    <row r="1829" spans="1:19" x14ac:dyDescent="0.4">
      <c r="A1829" s="291"/>
      <c r="B1829" s="292"/>
      <c r="C1829" s="312"/>
      <c r="D1829" s="292"/>
      <c r="E1829" s="489"/>
      <c r="F1829" s="489"/>
      <c r="G1829" s="490"/>
      <c r="H1829" s="520"/>
      <c r="I1829" s="523"/>
      <c r="J1829" s="521"/>
      <c r="K1829" s="522"/>
      <c r="M1829" s="301" t="str">
        <f>N1829&amp;AS[[#This Row],[Insurer Code]]&amp;"; "&amp;O1829&amp;AS[[#This Row],[Reporting Year]]&amp;"; "&amp;P1829&amp;AS[[#This Row],[Insurance Category Code]]&amp;"; "&amp;Q1829&amp;AS[[#This Row],[Large Provider Entity Code]]&amp;"; "&amp;R1829&amp;AS[[#This Row],[Age Band Code]]&amp;"; "&amp;S1829&amp;AS[[#This Row],[Sex Code]]</f>
        <v xml:space="preserve">Insurer Code ; Reporting Year ; Insurance Category Code ; Large Provider Entity Code ; Age Band Code ; Sex Code </v>
      </c>
      <c r="N1829" s="297" t="s">
        <v>197</v>
      </c>
      <c r="O1829" s="297" t="s">
        <v>198</v>
      </c>
      <c r="P1829" s="297" t="s">
        <v>199</v>
      </c>
      <c r="Q1829" s="297" t="s">
        <v>200</v>
      </c>
      <c r="R1829" s="297" t="s">
        <v>213</v>
      </c>
      <c r="S1829" s="297" t="s">
        <v>214</v>
      </c>
    </row>
    <row r="1830" spans="1:19" x14ac:dyDescent="0.4">
      <c r="A1830" s="291"/>
      <c r="B1830" s="292"/>
      <c r="C1830" s="312"/>
      <c r="D1830" s="292"/>
      <c r="E1830" s="489"/>
      <c r="F1830" s="489"/>
      <c r="G1830" s="490"/>
      <c r="H1830" s="520"/>
      <c r="I1830" s="523"/>
      <c r="J1830" s="521"/>
      <c r="K1830" s="522"/>
      <c r="M1830" s="301" t="str">
        <f>N1830&amp;AS[[#This Row],[Insurer Code]]&amp;"; "&amp;O1830&amp;AS[[#This Row],[Reporting Year]]&amp;"; "&amp;P1830&amp;AS[[#This Row],[Insurance Category Code]]&amp;"; "&amp;Q1830&amp;AS[[#This Row],[Large Provider Entity Code]]&amp;"; "&amp;R1830&amp;AS[[#This Row],[Age Band Code]]&amp;"; "&amp;S1830&amp;AS[[#This Row],[Sex Code]]</f>
        <v xml:space="preserve">Insurer Code ; Reporting Year ; Insurance Category Code ; Large Provider Entity Code ; Age Band Code ; Sex Code </v>
      </c>
      <c r="N1830" s="297" t="s">
        <v>197</v>
      </c>
      <c r="O1830" s="297" t="s">
        <v>198</v>
      </c>
      <c r="P1830" s="297" t="s">
        <v>199</v>
      </c>
      <c r="Q1830" s="297" t="s">
        <v>200</v>
      </c>
      <c r="R1830" s="297" t="s">
        <v>213</v>
      </c>
      <c r="S1830" s="297" t="s">
        <v>214</v>
      </c>
    </row>
    <row r="1831" spans="1:19" x14ac:dyDescent="0.4">
      <c r="A1831" s="291"/>
      <c r="B1831" s="292"/>
      <c r="C1831" s="312"/>
      <c r="D1831" s="292"/>
      <c r="E1831" s="489"/>
      <c r="F1831" s="489"/>
      <c r="G1831" s="490"/>
      <c r="H1831" s="520"/>
      <c r="I1831" s="523"/>
      <c r="J1831" s="521"/>
      <c r="K1831" s="522"/>
      <c r="M1831" s="301" t="str">
        <f>N1831&amp;AS[[#This Row],[Insurer Code]]&amp;"; "&amp;O1831&amp;AS[[#This Row],[Reporting Year]]&amp;"; "&amp;P1831&amp;AS[[#This Row],[Insurance Category Code]]&amp;"; "&amp;Q1831&amp;AS[[#This Row],[Large Provider Entity Code]]&amp;"; "&amp;R1831&amp;AS[[#This Row],[Age Band Code]]&amp;"; "&amp;S1831&amp;AS[[#This Row],[Sex Code]]</f>
        <v xml:space="preserve">Insurer Code ; Reporting Year ; Insurance Category Code ; Large Provider Entity Code ; Age Band Code ; Sex Code </v>
      </c>
      <c r="N1831" s="297" t="s">
        <v>197</v>
      </c>
      <c r="O1831" s="297" t="s">
        <v>198</v>
      </c>
      <c r="P1831" s="297" t="s">
        <v>199</v>
      </c>
      <c r="Q1831" s="297" t="s">
        <v>200</v>
      </c>
      <c r="R1831" s="297" t="s">
        <v>213</v>
      </c>
      <c r="S1831" s="297" t="s">
        <v>214</v>
      </c>
    </row>
    <row r="1832" spans="1:19" x14ac:dyDescent="0.4">
      <c r="A1832" s="291"/>
      <c r="B1832" s="292"/>
      <c r="C1832" s="312"/>
      <c r="D1832" s="292"/>
      <c r="E1832" s="489"/>
      <c r="F1832" s="489"/>
      <c r="G1832" s="490"/>
      <c r="H1832" s="520"/>
      <c r="I1832" s="523"/>
      <c r="J1832" s="521"/>
      <c r="K1832" s="522"/>
      <c r="M1832" s="301" t="str">
        <f>N1832&amp;AS[[#This Row],[Insurer Code]]&amp;"; "&amp;O1832&amp;AS[[#This Row],[Reporting Year]]&amp;"; "&amp;P1832&amp;AS[[#This Row],[Insurance Category Code]]&amp;"; "&amp;Q1832&amp;AS[[#This Row],[Large Provider Entity Code]]&amp;"; "&amp;R1832&amp;AS[[#This Row],[Age Band Code]]&amp;"; "&amp;S1832&amp;AS[[#This Row],[Sex Code]]</f>
        <v xml:space="preserve">Insurer Code ; Reporting Year ; Insurance Category Code ; Large Provider Entity Code ; Age Band Code ; Sex Code </v>
      </c>
      <c r="N1832" s="297" t="s">
        <v>197</v>
      </c>
      <c r="O1832" s="297" t="s">
        <v>198</v>
      </c>
      <c r="P1832" s="297" t="s">
        <v>199</v>
      </c>
      <c r="Q1832" s="297" t="s">
        <v>200</v>
      </c>
      <c r="R1832" s="297" t="s">
        <v>213</v>
      </c>
      <c r="S1832" s="297" t="s">
        <v>214</v>
      </c>
    </row>
    <row r="1833" spans="1:19" x14ac:dyDescent="0.4">
      <c r="A1833" s="291"/>
      <c r="B1833" s="292"/>
      <c r="C1833" s="312"/>
      <c r="D1833" s="292"/>
      <c r="E1833" s="489"/>
      <c r="F1833" s="489"/>
      <c r="G1833" s="490"/>
      <c r="H1833" s="520"/>
      <c r="I1833" s="523"/>
      <c r="J1833" s="521"/>
      <c r="K1833" s="522"/>
      <c r="M1833" s="301" t="str">
        <f>N1833&amp;AS[[#This Row],[Insurer Code]]&amp;"; "&amp;O1833&amp;AS[[#This Row],[Reporting Year]]&amp;"; "&amp;P1833&amp;AS[[#This Row],[Insurance Category Code]]&amp;"; "&amp;Q1833&amp;AS[[#This Row],[Large Provider Entity Code]]&amp;"; "&amp;R1833&amp;AS[[#This Row],[Age Band Code]]&amp;"; "&amp;S1833&amp;AS[[#This Row],[Sex Code]]</f>
        <v xml:space="preserve">Insurer Code ; Reporting Year ; Insurance Category Code ; Large Provider Entity Code ; Age Band Code ; Sex Code </v>
      </c>
      <c r="N1833" s="297" t="s">
        <v>197</v>
      </c>
      <c r="O1833" s="297" t="s">
        <v>198</v>
      </c>
      <c r="P1833" s="297" t="s">
        <v>199</v>
      </c>
      <c r="Q1833" s="297" t="s">
        <v>200</v>
      </c>
      <c r="R1833" s="297" t="s">
        <v>213</v>
      </c>
      <c r="S1833" s="297" t="s">
        <v>214</v>
      </c>
    </row>
    <row r="1834" spans="1:19" x14ac:dyDescent="0.4">
      <c r="A1834" s="291"/>
      <c r="B1834" s="292"/>
      <c r="C1834" s="312"/>
      <c r="D1834" s="292"/>
      <c r="E1834" s="489"/>
      <c r="F1834" s="489"/>
      <c r="G1834" s="490"/>
      <c r="H1834" s="520"/>
      <c r="I1834" s="523"/>
      <c r="J1834" s="521"/>
      <c r="K1834" s="522"/>
      <c r="M1834" s="301" t="str">
        <f>N1834&amp;AS[[#This Row],[Insurer Code]]&amp;"; "&amp;O1834&amp;AS[[#This Row],[Reporting Year]]&amp;"; "&amp;P1834&amp;AS[[#This Row],[Insurance Category Code]]&amp;"; "&amp;Q1834&amp;AS[[#This Row],[Large Provider Entity Code]]&amp;"; "&amp;R1834&amp;AS[[#This Row],[Age Band Code]]&amp;"; "&amp;S1834&amp;AS[[#This Row],[Sex Code]]</f>
        <v xml:space="preserve">Insurer Code ; Reporting Year ; Insurance Category Code ; Large Provider Entity Code ; Age Band Code ; Sex Code </v>
      </c>
      <c r="N1834" s="297" t="s">
        <v>197</v>
      </c>
      <c r="O1834" s="297" t="s">
        <v>198</v>
      </c>
      <c r="P1834" s="297" t="s">
        <v>199</v>
      </c>
      <c r="Q1834" s="297" t="s">
        <v>200</v>
      </c>
      <c r="R1834" s="297" t="s">
        <v>213</v>
      </c>
      <c r="S1834" s="297" t="s">
        <v>214</v>
      </c>
    </row>
    <row r="1835" spans="1:19" x14ac:dyDescent="0.4">
      <c r="A1835" s="291"/>
      <c r="B1835" s="292"/>
      <c r="C1835" s="312"/>
      <c r="D1835" s="292"/>
      <c r="E1835" s="489"/>
      <c r="F1835" s="489"/>
      <c r="G1835" s="490"/>
      <c r="H1835" s="520"/>
      <c r="I1835" s="523"/>
      <c r="J1835" s="521"/>
      <c r="K1835" s="522"/>
      <c r="M1835" s="301" t="str">
        <f>N1835&amp;AS[[#This Row],[Insurer Code]]&amp;"; "&amp;O1835&amp;AS[[#This Row],[Reporting Year]]&amp;"; "&amp;P1835&amp;AS[[#This Row],[Insurance Category Code]]&amp;"; "&amp;Q1835&amp;AS[[#This Row],[Large Provider Entity Code]]&amp;"; "&amp;R1835&amp;AS[[#This Row],[Age Band Code]]&amp;"; "&amp;S1835&amp;AS[[#This Row],[Sex Code]]</f>
        <v xml:space="preserve">Insurer Code ; Reporting Year ; Insurance Category Code ; Large Provider Entity Code ; Age Band Code ; Sex Code </v>
      </c>
      <c r="N1835" s="297" t="s">
        <v>197</v>
      </c>
      <c r="O1835" s="297" t="s">
        <v>198</v>
      </c>
      <c r="P1835" s="297" t="s">
        <v>199</v>
      </c>
      <c r="Q1835" s="297" t="s">
        <v>200</v>
      </c>
      <c r="R1835" s="297" t="s">
        <v>213</v>
      </c>
      <c r="S1835" s="297" t="s">
        <v>214</v>
      </c>
    </row>
    <row r="1836" spans="1:19" x14ac:dyDescent="0.4">
      <c r="A1836" s="291"/>
      <c r="B1836" s="292"/>
      <c r="C1836" s="312"/>
      <c r="D1836" s="292"/>
      <c r="E1836" s="489"/>
      <c r="F1836" s="489"/>
      <c r="G1836" s="490"/>
      <c r="H1836" s="520"/>
      <c r="I1836" s="523"/>
      <c r="J1836" s="521"/>
      <c r="K1836" s="522"/>
      <c r="M1836" s="301" t="str">
        <f>N1836&amp;AS[[#This Row],[Insurer Code]]&amp;"; "&amp;O1836&amp;AS[[#This Row],[Reporting Year]]&amp;"; "&amp;P1836&amp;AS[[#This Row],[Insurance Category Code]]&amp;"; "&amp;Q1836&amp;AS[[#This Row],[Large Provider Entity Code]]&amp;"; "&amp;R1836&amp;AS[[#This Row],[Age Band Code]]&amp;"; "&amp;S1836&amp;AS[[#This Row],[Sex Code]]</f>
        <v xml:space="preserve">Insurer Code ; Reporting Year ; Insurance Category Code ; Large Provider Entity Code ; Age Band Code ; Sex Code </v>
      </c>
      <c r="N1836" s="297" t="s">
        <v>197</v>
      </c>
      <c r="O1836" s="297" t="s">
        <v>198</v>
      </c>
      <c r="P1836" s="297" t="s">
        <v>199</v>
      </c>
      <c r="Q1836" s="297" t="s">
        <v>200</v>
      </c>
      <c r="R1836" s="297" t="s">
        <v>213</v>
      </c>
      <c r="S1836" s="297" t="s">
        <v>214</v>
      </c>
    </row>
    <row r="1837" spans="1:19" x14ac:dyDescent="0.4">
      <c r="A1837" s="291"/>
      <c r="B1837" s="292"/>
      <c r="C1837" s="312"/>
      <c r="D1837" s="292"/>
      <c r="E1837" s="489"/>
      <c r="F1837" s="489"/>
      <c r="G1837" s="490"/>
      <c r="H1837" s="520"/>
      <c r="I1837" s="523"/>
      <c r="J1837" s="521"/>
      <c r="K1837" s="522"/>
      <c r="M1837" s="301" t="str">
        <f>N1837&amp;AS[[#This Row],[Insurer Code]]&amp;"; "&amp;O1837&amp;AS[[#This Row],[Reporting Year]]&amp;"; "&amp;P1837&amp;AS[[#This Row],[Insurance Category Code]]&amp;"; "&amp;Q1837&amp;AS[[#This Row],[Large Provider Entity Code]]&amp;"; "&amp;R1837&amp;AS[[#This Row],[Age Band Code]]&amp;"; "&amp;S1837&amp;AS[[#This Row],[Sex Code]]</f>
        <v xml:space="preserve">Insurer Code ; Reporting Year ; Insurance Category Code ; Large Provider Entity Code ; Age Band Code ; Sex Code </v>
      </c>
      <c r="N1837" s="297" t="s">
        <v>197</v>
      </c>
      <c r="O1837" s="297" t="s">
        <v>198</v>
      </c>
      <c r="P1837" s="297" t="s">
        <v>199</v>
      </c>
      <c r="Q1837" s="297" t="s">
        <v>200</v>
      </c>
      <c r="R1837" s="297" t="s">
        <v>213</v>
      </c>
      <c r="S1837" s="297" t="s">
        <v>214</v>
      </c>
    </row>
    <row r="1838" spans="1:19" x14ac:dyDescent="0.4">
      <c r="A1838" s="291"/>
      <c r="B1838" s="292"/>
      <c r="C1838" s="312"/>
      <c r="D1838" s="292"/>
      <c r="E1838" s="489"/>
      <c r="F1838" s="489"/>
      <c r="G1838" s="490"/>
      <c r="H1838" s="520"/>
      <c r="I1838" s="523"/>
      <c r="J1838" s="521"/>
      <c r="K1838" s="522"/>
      <c r="M1838" s="301" t="str">
        <f>N1838&amp;AS[[#This Row],[Insurer Code]]&amp;"; "&amp;O1838&amp;AS[[#This Row],[Reporting Year]]&amp;"; "&amp;P1838&amp;AS[[#This Row],[Insurance Category Code]]&amp;"; "&amp;Q1838&amp;AS[[#This Row],[Large Provider Entity Code]]&amp;"; "&amp;R1838&amp;AS[[#This Row],[Age Band Code]]&amp;"; "&amp;S1838&amp;AS[[#This Row],[Sex Code]]</f>
        <v xml:space="preserve">Insurer Code ; Reporting Year ; Insurance Category Code ; Large Provider Entity Code ; Age Band Code ; Sex Code </v>
      </c>
      <c r="N1838" s="297" t="s">
        <v>197</v>
      </c>
      <c r="O1838" s="297" t="s">
        <v>198</v>
      </c>
      <c r="P1838" s="297" t="s">
        <v>199</v>
      </c>
      <c r="Q1838" s="297" t="s">
        <v>200</v>
      </c>
      <c r="R1838" s="297" t="s">
        <v>213</v>
      </c>
      <c r="S1838" s="297" t="s">
        <v>214</v>
      </c>
    </row>
    <row r="1839" spans="1:19" x14ac:dyDescent="0.4">
      <c r="A1839" s="291"/>
      <c r="B1839" s="292"/>
      <c r="C1839" s="312"/>
      <c r="D1839" s="292"/>
      <c r="E1839" s="489"/>
      <c r="F1839" s="489"/>
      <c r="G1839" s="490"/>
      <c r="H1839" s="520"/>
      <c r="I1839" s="523"/>
      <c r="J1839" s="521"/>
      <c r="K1839" s="522"/>
      <c r="M1839" s="301" t="str">
        <f>N1839&amp;AS[[#This Row],[Insurer Code]]&amp;"; "&amp;O1839&amp;AS[[#This Row],[Reporting Year]]&amp;"; "&amp;P1839&amp;AS[[#This Row],[Insurance Category Code]]&amp;"; "&amp;Q1839&amp;AS[[#This Row],[Large Provider Entity Code]]&amp;"; "&amp;R1839&amp;AS[[#This Row],[Age Band Code]]&amp;"; "&amp;S1839&amp;AS[[#This Row],[Sex Code]]</f>
        <v xml:space="preserve">Insurer Code ; Reporting Year ; Insurance Category Code ; Large Provider Entity Code ; Age Band Code ; Sex Code </v>
      </c>
      <c r="N1839" s="297" t="s">
        <v>197</v>
      </c>
      <c r="O1839" s="297" t="s">
        <v>198</v>
      </c>
      <c r="P1839" s="297" t="s">
        <v>199</v>
      </c>
      <c r="Q1839" s="297" t="s">
        <v>200</v>
      </c>
      <c r="R1839" s="297" t="s">
        <v>213</v>
      </c>
      <c r="S1839" s="297" t="s">
        <v>214</v>
      </c>
    </row>
    <row r="1840" spans="1:19" x14ac:dyDescent="0.4">
      <c r="A1840" s="291"/>
      <c r="B1840" s="292"/>
      <c r="C1840" s="312"/>
      <c r="D1840" s="292"/>
      <c r="E1840" s="489"/>
      <c r="F1840" s="489"/>
      <c r="G1840" s="490"/>
      <c r="H1840" s="520"/>
      <c r="I1840" s="523"/>
      <c r="J1840" s="521"/>
      <c r="K1840" s="522"/>
      <c r="M1840" s="301" t="str">
        <f>N1840&amp;AS[[#This Row],[Insurer Code]]&amp;"; "&amp;O1840&amp;AS[[#This Row],[Reporting Year]]&amp;"; "&amp;P1840&amp;AS[[#This Row],[Insurance Category Code]]&amp;"; "&amp;Q1840&amp;AS[[#This Row],[Large Provider Entity Code]]&amp;"; "&amp;R1840&amp;AS[[#This Row],[Age Band Code]]&amp;"; "&amp;S1840&amp;AS[[#This Row],[Sex Code]]</f>
        <v xml:space="preserve">Insurer Code ; Reporting Year ; Insurance Category Code ; Large Provider Entity Code ; Age Band Code ; Sex Code </v>
      </c>
      <c r="N1840" s="297" t="s">
        <v>197</v>
      </c>
      <c r="O1840" s="297" t="s">
        <v>198</v>
      </c>
      <c r="P1840" s="297" t="s">
        <v>199</v>
      </c>
      <c r="Q1840" s="297" t="s">
        <v>200</v>
      </c>
      <c r="R1840" s="297" t="s">
        <v>213</v>
      </c>
      <c r="S1840" s="297" t="s">
        <v>214</v>
      </c>
    </row>
    <row r="1841" spans="1:19" x14ac:dyDescent="0.4">
      <c r="A1841" s="291"/>
      <c r="B1841" s="292"/>
      <c r="C1841" s="312"/>
      <c r="D1841" s="292"/>
      <c r="E1841" s="489"/>
      <c r="F1841" s="489"/>
      <c r="G1841" s="490"/>
      <c r="H1841" s="520"/>
      <c r="I1841" s="523"/>
      <c r="J1841" s="521"/>
      <c r="K1841" s="522"/>
      <c r="M1841" s="301" t="str">
        <f>N1841&amp;AS[[#This Row],[Insurer Code]]&amp;"; "&amp;O1841&amp;AS[[#This Row],[Reporting Year]]&amp;"; "&amp;P1841&amp;AS[[#This Row],[Insurance Category Code]]&amp;"; "&amp;Q1841&amp;AS[[#This Row],[Large Provider Entity Code]]&amp;"; "&amp;R1841&amp;AS[[#This Row],[Age Band Code]]&amp;"; "&amp;S1841&amp;AS[[#This Row],[Sex Code]]</f>
        <v xml:space="preserve">Insurer Code ; Reporting Year ; Insurance Category Code ; Large Provider Entity Code ; Age Band Code ; Sex Code </v>
      </c>
      <c r="N1841" s="297" t="s">
        <v>197</v>
      </c>
      <c r="O1841" s="297" t="s">
        <v>198</v>
      </c>
      <c r="P1841" s="297" t="s">
        <v>199</v>
      </c>
      <c r="Q1841" s="297" t="s">
        <v>200</v>
      </c>
      <c r="R1841" s="297" t="s">
        <v>213</v>
      </c>
      <c r="S1841" s="297" t="s">
        <v>214</v>
      </c>
    </row>
    <row r="1842" spans="1:19" x14ac:dyDescent="0.4">
      <c r="A1842" s="291"/>
      <c r="B1842" s="292"/>
      <c r="C1842" s="312"/>
      <c r="D1842" s="292"/>
      <c r="E1842" s="489"/>
      <c r="F1842" s="489"/>
      <c r="G1842" s="490"/>
      <c r="H1842" s="520"/>
      <c r="I1842" s="523"/>
      <c r="J1842" s="521"/>
      <c r="K1842" s="522"/>
      <c r="M1842" s="301" t="str">
        <f>N1842&amp;AS[[#This Row],[Insurer Code]]&amp;"; "&amp;O1842&amp;AS[[#This Row],[Reporting Year]]&amp;"; "&amp;P1842&amp;AS[[#This Row],[Insurance Category Code]]&amp;"; "&amp;Q1842&amp;AS[[#This Row],[Large Provider Entity Code]]&amp;"; "&amp;R1842&amp;AS[[#This Row],[Age Band Code]]&amp;"; "&amp;S1842&amp;AS[[#This Row],[Sex Code]]</f>
        <v xml:space="preserve">Insurer Code ; Reporting Year ; Insurance Category Code ; Large Provider Entity Code ; Age Band Code ; Sex Code </v>
      </c>
      <c r="N1842" s="297" t="s">
        <v>197</v>
      </c>
      <c r="O1842" s="297" t="s">
        <v>198</v>
      </c>
      <c r="P1842" s="297" t="s">
        <v>199</v>
      </c>
      <c r="Q1842" s="297" t="s">
        <v>200</v>
      </c>
      <c r="R1842" s="297" t="s">
        <v>213</v>
      </c>
      <c r="S1842" s="297" t="s">
        <v>214</v>
      </c>
    </row>
    <row r="1843" spans="1:19" x14ac:dyDescent="0.4">
      <c r="A1843" s="291"/>
      <c r="B1843" s="292"/>
      <c r="C1843" s="312"/>
      <c r="D1843" s="292"/>
      <c r="E1843" s="489"/>
      <c r="F1843" s="489"/>
      <c r="G1843" s="490"/>
      <c r="H1843" s="520"/>
      <c r="I1843" s="523"/>
      <c r="J1843" s="521"/>
      <c r="K1843" s="522"/>
      <c r="M1843" s="301" t="str">
        <f>N1843&amp;AS[[#This Row],[Insurer Code]]&amp;"; "&amp;O1843&amp;AS[[#This Row],[Reporting Year]]&amp;"; "&amp;P1843&amp;AS[[#This Row],[Insurance Category Code]]&amp;"; "&amp;Q1843&amp;AS[[#This Row],[Large Provider Entity Code]]&amp;"; "&amp;R1843&amp;AS[[#This Row],[Age Band Code]]&amp;"; "&amp;S1843&amp;AS[[#This Row],[Sex Code]]</f>
        <v xml:space="preserve">Insurer Code ; Reporting Year ; Insurance Category Code ; Large Provider Entity Code ; Age Band Code ; Sex Code </v>
      </c>
      <c r="N1843" s="297" t="s">
        <v>197</v>
      </c>
      <c r="O1843" s="297" t="s">
        <v>198</v>
      </c>
      <c r="P1843" s="297" t="s">
        <v>199</v>
      </c>
      <c r="Q1843" s="297" t="s">
        <v>200</v>
      </c>
      <c r="R1843" s="297" t="s">
        <v>213</v>
      </c>
      <c r="S1843" s="297" t="s">
        <v>214</v>
      </c>
    </row>
    <row r="1844" spans="1:19" x14ac:dyDescent="0.4">
      <c r="A1844" s="291"/>
      <c r="B1844" s="292"/>
      <c r="C1844" s="312"/>
      <c r="D1844" s="292"/>
      <c r="E1844" s="489"/>
      <c r="F1844" s="489"/>
      <c r="G1844" s="490"/>
      <c r="H1844" s="520"/>
      <c r="I1844" s="523"/>
      <c r="J1844" s="521"/>
      <c r="K1844" s="522"/>
      <c r="M1844" s="301" t="str">
        <f>N1844&amp;AS[[#This Row],[Insurer Code]]&amp;"; "&amp;O1844&amp;AS[[#This Row],[Reporting Year]]&amp;"; "&amp;P1844&amp;AS[[#This Row],[Insurance Category Code]]&amp;"; "&amp;Q1844&amp;AS[[#This Row],[Large Provider Entity Code]]&amp;"; "&amp;R1844&amp;AS[[#This Row],[Age Band Code]]&amp;"; "&amp;S1844&amp;AS[[#This Row],[Sex Code]]</f>
        <v xml:space="preserve">Insurer Code ; Reporting Year ; Insurance Category Code ; Large Provider Entity Code ; Age Band Code ; Sex Code </v>
      </c>
      <c r="N1844" s="297" t="s">
        <v>197</v>
      </c>
      <c r="O1844" s="297" t="s">
        <v>198</v>
      </c>
      <c r="P1844" s="297" t="s">
        <v>199</v>
      </c>
      <c r="Q1844" s="297" t="s">
        <v>200</v>
      </c>
      <c r="R1844" s="297" t="s">
        <v>213</v>
      </c>
      <c r="S1844" s="297" t="s">
        <v>214</v>
      </c>
    </row>
    <row r="1845" spans="1:19" x14ac:dyDescent="0.4">
      <c r="A1845" s="291"/>
      <c r="B1845" s="292"/>
      <c r="C1845" s="312"/>
      <c r="D1845" s="292"/>
      <c r="E1845" s="489"/>
      <c r="F1845" s="489"/>
      <c r="G1845" s="490"/>
      <c r="H1845" s="520"/>
      <c r="I1845" s="523"/>
      <c r="J1845" s="521"/>
      <c r="K1845" s="522"/>
      <c r="M1845" s="301" t="str">
        <f>N1845&amp;AS[[#This Row],[Insurer Code]]&amp;"; "&amp;O1845&amp;AS[[#This Row],[Reporting Year]]&amp;"; "&amp;P1845&amp;AS[[#This Row],[Insurance Category Code]]&amp;"; "&amp;Q1845&amp;AS[[#This Row],[Large Provider Entity Code]]&amp;"; "&amp;R1845&amp;AS[[#This Row],[Age Band Code]]&amp;"; "&amp;S1845&amp;AS[[#This Row],[Sex Code]]</f>
        <v xml:space="preserve">Insurer Code ; Reporting Year ; Insurance Category Code ; Large Provider Entity Code ; Age Band Code ; Sex Code </v>
      </c>
      <c r="N1845" s="297" t="s">
        <v>197</v>
      </c>
      <c r="O1845" s="297" t="s">
        <v>198</v>
      </c>
      <c r="P1845" s="297" t="s">
        <v>199</v>
      </c>
      <c r="Q1845" s="297" t="s">
        <v>200</v>
      </c>
      <c r="R1845" s="297" t="s">
        <v>213</v>
      </c>
      <c r="S1845" s="297" t="s">
        <v>214</v>
      </c>
    </row>
    <row r="1846" spans="1:19" x14ac:dyDescent="0.4">
      <c r="A1846" s="291"/>
      <c r="B1846" s="292"/>
      <c r="C1846" s="312"/>
      <c r="D1846" s="292"/>
      <c r="E1846" s="489"/>
      <c r="F1846" s="489"/>
      <c r="G1846" s="490"/>
      <c r="H1846" s="520"/>
      <c r="I1846" s="523"/>
      <c r="J1846" s="521"/>
      <c r="K1846" s="522"/>
      <c r="M1846" s="301" t="str">
        <f>N1846&amp;AS[[#This Row],[Insurer Code]]&amp;"; "&amp;O1846&amp;AS[[#This Row],[Reporting Year]]&amp;"; "&amp;P1846&amp;AS[[#This Row],[Insurance Category Code]]&amp;"; "&amp;Q1846&amp;AS[[#This Row],[Large Provider Entity Code]]&amp;"; "&amp;R1846&amp;AS[[#This Row],[Age Band Code]]&amp;"; "&amp;S1846&amp;AS[[#This Row],[Sex Code]]</f>
        <v xml:space="preserve">Insurer Code ; Reporting Year ; Insurance Category Code ; Large Provider Entity Code ; Age Band Code ; Sex Code </v>
      </c>
      <c r="N1846" s="297" t="s">
        <v>197</v>
      </c>
      <c r="O1846" s="297" t="s">
        <v>198</v>
      </c>
      <c r="P1846" s="297" t="s">
        <v>199</v>
      </c>
      <c r="Q1846" s="297" t="s">
        <v>200</v>
      </c>
      <c r="R1846" s="297" t="s">
        <v>213</v>
      </c>
      <c r="S1846" s="297" t="s">
        <v>214</v>
      </c>
    </row>
    <row r="1847" spans="1:19" x14ac:dyDescent="0.4">
      <c r="A1847" s="291"/>
      <c r="B1847" s="292"/>
      <c r="C1847" s="312"/>
      <c r="D1847" s="292"/>
      <c r="E1847" s="489"/>
      <c r="F1847" s="489"/>
      <c r="G1847" s="490"/>
      <c r="H1847" s="520"/>
      <c r="I1847" s="523"/>
      <c r="J1847" s="521"/>
      <c r="K1847" s="522"/>
      <c r="M1847" s="301" t="str">
        <f>N1847&amp;AS[[#This Row],[Insurer Code]]&amp;"; "&amp;O1847&amp;AS[[#This Row],[Reporting Year]]&amp;"; "&amp;P1847&amp;AS[[#This Row],[Insurance Category Code]]&amp;"; "&amp;Q1847&amp;AS[[#This Row],[Large Provider Entity Code]]&amp;"; "&amp;R1847&amp;AS[[#This Row],[Age Band Code]]&amp;"; "&amp;S1847&amp;AS[[#This Row],[Sex Code]]</f>
        <v xml:space="preserve">Insurer Code ; Reporting Year ; Insurance Category Code ; Large Provider Entity Code ; Age Band Code ; Sex Code </v>
      </c>
      <c r="N1847" s="297" t="s">
        <v>197</v>
      </c>
      <c r="O1847" s="297" t="s">
        <v>198</v>
      </c>
      <c r="P1847" s="297" t="s">
        <v>199</v>
      </c>
      <c r="Q1847" s="297" t="s">
        <v>200</v>
      </c>
      <c r="R1847" s="297" t="s">
        <v>213</v>
      </c>
      <c r="S1847" s="297" t="s">
        <v>214</v>
      </c>
    </row>
    <row r="1848" spans="1:19" x14ac:dyDescent="0.4">
      <c r="A1848" s="291"/>
      <c r="B1848" s="292"/>
      <c r="C1848" s="312"/>
      <c r="D1848" s="292"/>
      <c r="E1848" s="489"/>
      <c r="F1848" s="489"/>
      <c r="G1848" s="490"/>
      <c r="H1848" s="520"/>
      <c r="I1848" s="523"/>
      <c r="J1848" s="521"/>
      <c r="K1848" s="522"/>
      <c r="M1848" s="301" t="str">
        <f>N1848&amp;AS[[#This Row],[Insurer Code]]&amp;"; "&amp;O1848&amp;AS[[#This Row],[Reporting Year]]&amp;"; "&amp;P1848&amp;AS[[#This Row],[Insurance Category Code]]&amp;"; "&amp;Q1848&amp;AS[[#This Row],[Large Provider Entity Code]]&amp;"; "&amp;R1848&amp;AS[[#This Row],[Age Band Code]]&amp;"; "&amp;S1848&amp;AS[[#This Row],[Sex Code]]</f>
        <v xml:space="preserve">Insurer Code ; Reporting Year ; Insurance Category Code ; Large Provider Entity Code ; Age Band Code ; Sex Code </v>
      </c>
      <c r="N1848" s="297" t="s">
        <v>197</v>
      </c>
      <c r="O1848" s="297" t="s">
        <v>198</v>
      </c>
      <c r="P1848" s="297" t="s">
        <v>199</v>
      </c>
      <c r="Q1848" s="297" t="s">
        <v>200</v>
      </c>
      <c r="R1848" s="297" t="s">
        <v>213</v>
      </c>
      <c r="S1848" s="297" t="s">
        <v>214</v>
      </c>
    </row>
    <row r="1849" spans="1:19" x14ac:dyDescent="0.4">
      <c r="A1849" s="291"/>
      <c r="B1849" s="292"/>
      <c r="C1849" s="312"/>
      <c r="D1849" s="292"/>
      <c r="E1849" s="489"/>
      <c r="F1849" s="489"/>
      <c r="G1849" s="490"/>
      <c r="H1849" s="520"/>
      <c r="I1849" s="523"/>
      <c r="J1849" s="521"/>
      <c r="K1849" s="522"/>
      <c r="M1849" s="301" t="str">
        <f>N1849&amp;AS[[#This Row],[Insurer Code]]&amp;"; "&amp;O1849&amp;AS[[#This Row],[Reporting Year]]&amp;"; "&amp;P1849&amp;AS[[#This Row],[Insurance Category Code]]&amp;"; "&amp;Q1849&amp;AS[[#This Row],[Large Provider Entity Code]]&amp;"; "&amp;R1849&amp;AS[[#This Row],[Age Band Code]]&amp;"; "&amp;S1849&amp;AS[[#This Row],[Sex Code]]</f>
        <v xml:space="preserve">Insurer Code ; Reporting Year ; Insurance Category Code ; Large Provider Entity Code ; Age Band Code ; Sex Code </v>
      </c>
      <c r="N1849" s="297" t="s">
        <v>197</v>
      </c>
      <c r="O1849" s="297" t="s">
        <v>198</v>
      </c>
      <c r="P1849" s="297" t="s">
        <v>199</v>
      </c>
      <c r="Q1849" s="297" t="s">
        <v>200</v>
      </c>
      <c r="R1849" s="297" t="s">
        <v>213</v>
      </c>
      <c r="S1849" s="297" t="s">
        <v>214</v>
      </c>
    </row>
    <row r="1850" spans="1:19" x14ac:dyDescent="0.4">
      <c r="A1850" s="291"/>
      <c r="B1850" s="292"/>
      <c r="C1850" s="312"/>
      <c r="D1850" s="292"/>
      <c r="E1850" s="489"/>
      <c r="F1850" s="489"/>
      <c r="G1850" s="490"/>
      <c r="H1850" s="520"/>
      <c r="I1850" s="523"/>
      <c r="J1850" s="521"/>
      <c r="K1850" s="522"/>
      <c r="M1850" s="301" t="str">
        <f>N1850&amp;AS[[#This Row],[Insurer Code]]&amp;"; "&amp;O1850&amp;AS[[#This Row],[Reporting Year]]&amp;"; "&amp;P1850&amp;AS[[#This Row],[Insurance Category Code]]&amp;"; "&amp;Q1850&amp;AS[[#This Row],[Large Provider Entity Code]]&amp;"; "&amp;R1850&amp;AS[[#This Row],[Age Band Code]]&amp;"; "&amp;S1850&amp;AS[[#This Row],[Sex Code]]</f>
        <v xml:space="preserve">Insurer Code ; Reporting Year ; Insurance Category Code ; Large Provider Entity Code ; Age Band Code ; Sex Code </v>
      </c>
      <c r="N1850" s="297" t="s">
        <v>197</v>
      </c>
      <c r="O1850" s="297" t="s">
        <v>198</v>
      </c>
      <c r="P1850" s="297" t="s">
        <v>199</v>
      </c>
      <c r="Q1850" s="297" t="s">
        <v>200</v>
      </c>
      <c r="R1850" s="297" t="s">
        <v>213</v>
      </c>
      <c r="S1850" s="297" t="s">
        <v>214</v>
      </c>
    </row>
    <row r="1851" spans="1:19" x14ac:dyDescent="0.4">
      <c r="A1851" s="291"/>
      <c r="B1851" s="292"/>
      <c r="C1851" s="312"/>
      <c r="D1851" s="292"/>
      <c r="E1851" s="489"/>
      <c r="F1851" s="489"/>
      <c r="G1851" s="490"/>
      <c r="H1851" s="520"/>
      <c r="I1851" s="523"/>
      <c r="J1851" s="521"/>
      <c r="K1851" s="522"/>
      <c r="M1851" s="301" t="str">
        <f>N1851&amp;AS[[#This Row],[Insurer Code]]&amp;"; "&amp;O1851&amp;AS[[#This Row],[Reporting Year]]&amp;"; "&amp;P1851&amp;AS[[#This Row],[Insurance Category Code]]&amp;"; "&amp;Q1851&amp;AS[[#This Row],[Large Provider Entity Code]]&amp;"; "&amp;R1851&amp;AS[[#This Row],[Age Band Code]]&amp;"; "&amp;S1851&amp;AS[[#This Row],[Sex Code]]</f>
        <v xml:space="preserve">Insurer Code ; Reporting Year ; Insurance Category Code ; Large Provider Entity Code ; Age Band Code ; Sex Code </v>
      </c>
      <c r="N1851" s="297" t="s">
        <v>197</v>
      </c>
      <c r="O1851" s="297" t="s">
        <v>198</v>
      </c>
      <c r="P1851" s="297" t="s">
        <v>199</v>
      </c>
      <c r="Q1851" s="297" t="s">
        <v>200</v>
      </c>
      <c r="R1851" s="297" t="s">
        <v>213</v>
      </c>
      <c r="S1851" s="297" t="s">
        <v>214</v>
      </c>
    </row>
    <row r="1852" spans="1:19" x14ac:dyDescent="0.4">
      <c r="A1852" s="291"/>
      <c r="B1852" s="292"/>
      <c r="C1852" s="312"/>
      <c r="D1852" s="292"/>
      <c r="E1852" s="489"/>
      <c r="F1852" s="489"/>
      <c r="G1852" s="490"/>
      <c r="H1852" s="520"/>
      <c r="I1852" s="523"/>
      <c r="J1852" s="521"/>
      <c r="K1852" s="522"/>
      <c r="M1852" s="301" t="str">
        <f>N1852&amp;AS[[#This Row],[Insurer Code]]&amp;"; "&amp;O1852&amp;AS[[#This Row],[Reporting Year]]&amp;"; "&amp;P1852&amp;AS[[#This Row],[Insurance Category Code]]&amp;"; "&amp;Q1852&amp;AS[[#This Row],[Large Provider Entity Code]]&amp;"; "&amp;R1852&amp;AS[[#This Row],[Age Band Code]]&amp;"; "&amp;S1852&amp;AS[[#This Row],[Sex Code]]</f>
        <v xml:space="preserve">Insurer Code ; Reporting Year ; Insurance Category Code ; Large Provider Entity Code ; Age Band Code ; Sex Code </v>
      </c>
      <c r="N1852" s="297" t="s">
        <v>197</v>
      </c>
      <c r="O1852" s="297" t="s">
        <v>198</v>
      </c>
      <c r="P1852" s="297" t="s">
        <v>199</v>
      </c>
      <c r="Q1852" s="297" t="s">
        <v>200</v>
      </c>
      <c r="R1852" s="297" t="s">
        <v>213</v>
      </c>
      <c r="S1852" s="297" t="s">
        <v>214</v>
      </c>
    </row>
    <row r="1853" spans="1:19" x14ac:dyDescent="0.4">
      <c r="A1853" s="291"/>
      <c r="B1853" s="292"/>
      <c r="C1853" s="312"/>
      <c r="D1853" s="292"/>
      <c r="E1853" s="489"/>
      <c r="F1853" s="489"/>
      <c r="G1853" s="490"/>
      <c r="H1853" s="520"/>
      <c r="I1853" s="523"/>
      <c r="J1853" s="521"/>
      <c r="K1853" s="522"/>
      <c r="M1853" s="301" t="str">
        <f>N1853&amp;AS[[#This Row],[Insurer Code]]&amp;"; "&amp;O1853&amp;AS[[#This Row],[Reporting Year]]&amp;"; "&amp;P1853&amp;AS[[#This Row],[Insurance Category Code]]&amp;"; "&amp;Q1853&amp;AS[[#This Row],[Large Provider Entity Code]]&amp;"; "&amp;R1853&amp;AS[[#This Row],[Age Band Code]]&amp;"; "&amp;S1853&amp;AS[[#This Row],[Sex Code]]</f>
        <v xml:space="preserve">Insurer Code ; Reporting Year ; Insurance Category Code ; Large Provider Entity Code ; Age Band Code ; Sex Code </v>
      </c>
      <c r="N1853" s="297" t="s">
        <v>197</v>
      </c>
      <c r="O1853" s="297" t="s">
        <v>198</v>
      </c>
      <c r="P1853" s="297" t="s">
        <v>199</v>
      </c>
      <c r="Q1853" s="297" t="s">
        <v>200</v>
      </c>
      <c r="R1853" s="297" t="s">
        <v>213</v>
      </c>
      <c r="S1853" s="297" t="s">
        <v>214</v>
      </c>
    </row>
    <row r="1854" spans="1:19" x14ac:dyDescent="0.4">
      <c r="A1854" s="291"/>
      <c r="B1854" s="292"/>
      <c r="C1854" s="312"/>
      <c r="D1854" s="292"/>
      <c r="E1854" s="489"/>
      <c r="F1854" s="489"/>
      <c r="G1854" s="490"/>
      <c r="H1854" s="520"/>
      <c r="I1854" s="523"/>
      <c r="J1854" s="521"/>
      <c r="K1854" s="522"/>
      <c r="M1854" s="301" t="str">
        <f>N1854&amp;AS[[#This Row],[Insurer Code]]&amp;"; "&amp;O1854&amp;AS[[#This Row],[Reporting Year]]&amp;"; "&amp;P1854&amp;AS[[#This Row],[Insurance Category Code]]&amp;"; "&amp;Q1854&amp;AS[[#This Row],[Large Provider Entity Code]]&amp;"; "&amp;R1854&amp;AS[[#This Row],[Age Band Code]]&amp;"; "&amp;S1854&amp;AS[[#This Row],[Sex Code]]</f>
        <v xml:space="preserve">Insurer Code ; Reporting Year ; Insurance Category Code ; Large Provider Entity Code ; Age Band Code ; Sex Code </v>
      </c>
      <c r="N1854" s="297" t="s">
        <v>197</v>
      </c>
      <c r="O1854" s="297" t="s">
        <v>198</v>
      </c>
      <c r="P1854" s="297" t="s">
        <v>199</v>
      </c>
      <c r="Q1854" s="297" t="s">
        <v>200</v>
      </c>
      <c r="R1854" s="297" t="s">
        <v>213</v>
      </c>
      <c r="S1854" s="297" t="s">
        <v>214</v>
      </c>
    </row>
    <row r="1855" spans="1:19" x14ac:dyDescent="0.4">
      <c r="A1855" s="291"/>
      <c r="B1855" s="292"/>
      <c r="C1855" s="312"/>
      <c r="D1855" s="292"/>
      <c r="E1855" s="489"/>
      <c r="F1855" s="489"/>
      <c r="G1855" s="490"/>
      <c r="H1855" s="520"/>
      <c r="I1855" s="523"/>
      <c r="J1855" s="521"/>
      <c r="K1855" s="522"/>
      <c r="M1855" s="301" t="str">
        <f>N1855&amp;AS[[#This Row],[Insurer Code]]&amp;"; "&amp;O1855&amp;AS[[#This Row],[Reporting Year]]&amp;"; "&amp;P1855&amp;AS[[#This Row],[Insurance Category Code]]&amp;"; "&amp;Q1855&amp;AS[[#This Row],[Large Provider Entity Code]]&amp;"; "&amp;R1855&amp;AS[[#This Row],[Age Band Code]]&amp;"; "&amp;S1855&amp;AS[[#This Row],[Sex Code]]</f>
        <v xml:space="preserve">Insurer Code ; Reporting Year ; Insurance Category Code ; Large Provider Entity Code ; Age Band Code ; Sex Code </v>
      </c>
      <c r="N1855" s="297" t="s">
        <v>197</v>
      </c>
      <c r="O1855" s="297" t="s">
        <v>198</v>
      </c>
      <c r="P1855" s="297" t="s">
        <v>199</v>
      </c>
      <c r="Q1855" s="297" t="s">
        <v>200</v>
      </c>
      <c r="R1855" s="297" t="s">
        <v>213</v>
      </c>
      <c r="S1855" s="297" t="s">
        <v>214</v>
      </c>
    </row>
    <row r="1856" spans="1:19" x14ac:dyDescent="0.4">
      <c r="A1856" s="291"/>
      <c r="B1856" s="292"/>
      <c r="C1856" s="312"/>
      <c r="D1856" s="292"/>
      <c r="E1856" s="489"/>
      <c r="F1856" s="489"/>
      <c r="G1856" s="490"/>
      <c r="H1856" s="520"/>
      <c r="I1856" s="523"/>
      <c r="J1856" s="521"/>
      <c r="K1856" s="522"/>
      <c r="M1856" s="301" t="str">
        <f>N1856&amp;AS[[#This Row],[Insurer Code]]&amp;"; "&amp;O1856&amp;AS[[#This Row],[Reporting Year]]&amp;"; "&amp;P1856&amp;AS[[#This Row],[Insurance Category Code]]&amp;"; "&amp;Q1856&amp;AS[[#This Row],[Large Provider Entity Code]]&amp;"; "&amp;R1856&amp;AS[[#This Row],[Age Band Code]]&amp;"; "&amp;S1856&amp;AS[[#This Row],[Sex Code]]</f>
        <v xml:space="preserve">Insurer Code ; Reporting Year ; Insurance Category Code ; Large Provider Entity Code ; Age Band Code ; Sex Code </v>
      </c>
      <c r="N1856" s="297" t="s">
        <v>197</v>
      </c>
      <c r="O1856" s="297" t="s">
        <v>198</v>
      </c>
      <c r="P1856" s="297" t="s">
        <v>199</v>
      </c>
      <c r="Q1856" s="297" t="s">
        <v>200</v>
      </c>
      <c r="R1856" s="297" t="s">
        <v>213</v>
      </c>
      <c r="S1856" s="297" t="s">
        <v>214</v>
      </c>
    </row>
    <row r="1857" spans="1:19" x14ac:dyDescent="0.4">
      <c r="A1857" s="291"/>
      <c r="B1857" s="292"/>
      <c r="C1857" s="312"/>
      <c r="D1857" s="292"/>
      <c r="E1857" s="489"/>
      <c r="F1857" s="489"/>
      <c r="G1857" s="490"/>
      <c r="H1857" s="520"/>
      <c r="I1857" s="523"/>
      <c r="J1857" s="521"/>
      <c r="K1857" s="522"/>
      <c r="M1857" s="301" t="str">
        <f>N1857&amp;AS[[#This Row],[Insurer Code]]&amp;"; "&amp;O1857&amp;AS[[#This Row],[Reporting Year]]&amp;"; "&amp;P1857&amp;AS[[#This Row],[Insurance Category Code]]&amp;"; "&amp;Q1857&amp;AS[[#This Row],[Large Provider Entity Code]]&amp;"; "&amp;R1857&amp;AS[[#This Row],[Age Band Code]]&amp;"; "&amp;S1857&amp;AS[[#This Row],[Sex Code]]</f>
        <v xml:space="preserve">Insurer Code ; Reporting Year ; Insurance Category Code ; Large Provider Entity Code ; Age Band Code ; Sex Code </v>
      </c>
      <c r="N1857" s="297" t="s">
        <v>197</v>
      </c>
      <c r="O1857" s="297" t="s">
        <v>198</v>
      </c>
      <c r="P1857" s="297" t="s">
        <v>199</v>
      </c>
      <c r="Q1857" s="297" t="s">
        <v>200</v>
      </c>
      <c r="R1857" s="297" t="s">
        <v>213</v>
      </c>
      <c r="S1857" s="297" t="s">
        <v>214</v>
      </c>
    </row>
    <row r="1858" spans="1:19" x14ac:dyDescent="0.4">
      <c r="A1858" s="291"/>
      <c r="B1858" s="292"/>
      <c r="C1858" s="312"/>
      <c r="D1858" s="292"/>
      <c r="E1858" s="489"/>
      <c r="F1858" s="489"/>
      <c r="G1858" s="490"/>
      <c r="H1858" s="520"/>
      <c r="I1858" s="523"/>
      <c r="J1858" s="521"/>
      <c r="K1858" s="522"/>
      <c r="M1858" s="301" t="str">
        <f>N1858&amp;AS[[#This Row],[Insurer Code]]&amp;"; "&amp;O1858&amp;AS[[#This Row],[Reporting Year]]&amp;"; "&amp;P1858&amp;AS[[#This Row],[Insurance Category Code]]&amp;"; "&amp;Q1858&amp;AS[[#This Row],[Large Provider Entity Code]]&amp;"; "&amp;R1858&amp;AS[[#This Row],[Age Band Code]]&amp;"; "&amp;S1858&amp;AS[[#This Row],[Sex Code]]</f>
        <v xml:space="preserve">Insurer Code ; Reporting Year ; Insurance Category Code ; Large Provider Entity Code ; Age Band Code ; Sex Code </v>
      </c>
      <c r="N1858" s="297" t="s">
        <v>197</v>
      </c>
      <c r="O1858" s="297" t="s">
        <v>198</v>
      </c>
      <c r="P1858" s="297" t="s">
        <v>199</v>
      </c>
      <c r="Q1858" s="297" t="s">
        <v>200</v>
      </c>
      <c r="R1858" s="297" t="s">
        <v>213</v>
      </c>
      <c r="S1858" s="297" t="s">
        <v>214</v>
      </c>
    </row>
    <row r="1859" spans="1:19" x14ac:dyDescent="0.4">
      <c r="A1859" s="291"/>
      <c r="B1859" s="292"/>
      <c r="C1859" s="312"/>
      <c r="D1859" s="292"/>
      <c r="E1859" s="489"/>
      <c r="F1859" s="489"/>
      <c r="G1859" s="490"/>
      <c r="H1859" s="520"/>
      <c r="I1859" s="523"/>
      <c r="J1859" s="521"/>
      <c r="K1859" s="522"/>
      <c r="M1859" s="301" t="str">
        <f>N1859&amp;AS[[#This Row],[Insurer Code]]&amp;"; "&amp;O1859&amp;AS[[#This Row],[Reporting Year]]&amp;"; "&amp;P1859&amp;AS[[#This Row],[Insurance Category Code]]&amp;"; "&amp;Q1859&amp;AS[[#This Row],[Large Provider Entity Code]]&amp;"; "&amp;R1859&amp;AS[[#This Row],[Age Band Code]]&amp;"; "&amp;S1859&amp;AS[[#This Row],[Sex Code]]</f>
        <v xml:space="preserve">Insurer Code ; Reporting Year ; Insurance Category Code ; Large Provider Entity Code ; Age Band Code ; Sex Code </v>
      </c>
      <c r="N1859" s="297" t="s">
        <v>197</v>
      </c>
      <c r="O1859" s="297" t="s">
        <v>198</v>
      </c>
      <c r="P1859" s="297" t="s">
        <v>199</v>
      </c>
      <c r="Q1859" s="297" t="s">
        <v>200</v>
      </c>
      <c r="R1859" s="297" t="s">
        <v>213</v>
      </c>
      <c r="S1859" s="297" t="s">
        <v>214</v>
      </c>
    </row>
    <row r="1860" spans="1:19" x14ac:dyDescent="0.4">
      <c r="A1860" s="291"/>
      <c r="B1860" s="292"/>
      <c r="C1860" s="312"/>
      <c r="D1860" s="292"/>
      <c r="E1860" s="489"/>
      <c r="F1860" s="489"/>
      <c r="G1860" s="490"/>
      <c r="H1860" s="520"/>
      <c r="I1860" s="523"/>
      <c r="J1860" s="521"/>
      <c r="K1860" s="522"/>
      <c r="M1860" s="301" t="str">
        <f>N1860&amp;AS[[#This Row],[Insurer Code]]&amp;"; "&amp;O1860&amp;AS[[#This Row],[Reporting Year]]&amp;"; "&amp;P1860&amp;AS[[#This Row],[Insurance Category Code]]&amp;"; "&amp;Q1860&amp;AS[[#This Row],[Large Provider Entity Code]]&amp;"; "&amp;R1860&amp;AS[[#This Row],[Age Band Code]]&amp;"; "&amp;S1860&amp;AS[[#This Row],[Sex Code]]</f>
        <v xml:space="preserve">Insurer Code ; Reporting Year ; Insurance Category Code ; Large Provider Entity Code ; Age Band Code ; Sex Code </v>
      </c>
      <c r="N1860" s="297" t="s">
        <v>197</v>
      </c>
      <c r="O1860" s="297" t="s">
        <v>198</v>
      </c>
      <c r="P1860" s="297" t="s">
        <v>199</v>
      </c>
      <c r="Q1860" s="297" t="s">
        <v>200</v>
      </c>
      <c r="R1860" s="297" t="s">
        <v>213</v>
      </c>
      <c r="S1860" s="297" t="s">
        <v>214</v>
      </c>
    </row>
    <row r="1861" spans="1:19" x14ac:dyDescent="0.4">
      <c r="A1861" s="291"/>
      <c r="B1861" s="292"/>
      <c r="C1861" s="312"/>
      <c r="D1861" s="292"/>
      <c r="E1861" s="489"/>
      <c r="F1861" s="489"/>
      <c r="G1861" s="490"/>
      <c r="H1861" s="520"/>
      <c r="I1861" s="523"/>
      <c r="J1861" s="521"/>
      <c r="K1861" s="522"/>
      <c r="M1861" s="301" t="str">
        <f>N1861&amp;AS[[#This Row],[Insurer Code]]&amp;"; "&amp;O1861&amp;AS[[#This Row],[Reporting Year]]&amp;"; "&amp;P1861&amp;AS[[#This Row],[Insurance Category Code]]&amp;"; "&amp;Q1861&amp;AS[[#This Row],[Large Provider Entity Code]]&amp;"; "&amp;R1861&amp;AS[[#This Row],[Age Band Code]]&amp;"; "&amp;S1861&amp;AS[[#This Row],[Sex Code]]</f>
        <v xml:space="preserve">Insurer Code ; Reporting Year ; Insurance Category Code ; Large Provider Entity Code ; Age Band Code ; Sex Code </v>
      </c>
      <c r="N1861" s="297" t="s">
        <v>197</v>
      </c>
      <c r="O1861" s="297" t="s">
        <v>198</v>
      </c>
      <c r="P1861" s="297" t="s">
        <v>199</v>
      </c>
      <c r="Q1861" s="297" t="s">
        <v>200</v>
      </c>
      <c r="R1861" s="297" t="s">
        <v>213</v>
      </c>
      <c r="S1861" s="297" t="s">
        <v>214</v>
      </c>
    </row>
    <row r="1862" spans="1:19" x14ac:dyDescent="0.4">
      <c r="A1862" s="291"/>
      <c r="B1862" s="292"/>
      <c r="C1862" s="312"/>
      <c r="D1862" s="292"/>
      <c r="E1862" s="489"/>
      <c r="F1862" s="489"/>
      <c r="G1862" s="490"/>
      <c r="H1862" s="520"/>
      <c r="I1862" s="523"/>
      <c r="J1862" s="521"/>
      <c r="K1862" s="522"/>
      <c r="M1862" s="301" t="str">
        <f>N1862&amp;AS[[#This Row],[Insurer Code]]&amp;"; "&amp;O1862&amp;AS[[#This Row],[Reporting Year]]&amp;"; "&amp;P1862&amp;AS[[#This Row],[Insurance Category Code]]&amp;"; "&amp;Q1862&amp;AS[[#This Row],[Large Provider Entity Code]]&amp;"; "&amp;R1862&amp;AS[[#This Row],[Age Band Code]]&amp;"; "&amp;S1862&amp;AS[[#This Row],[Sex Code]]</f>
        <v xml:space="preserve">Insurer Code ; Reporting Year ; Insurance Category Code ; Large Provider Entity Code ; Age Band Code ; Sex Code </v>
      </c>
      <c r="N1862" s="297" t="s">
        <v>197</v>
      </c>
      <c r="O1862" s="297" t="s">
        <v>198</v>
      </c>
      <c r="P1862" s="297" t="s">
        <v>199</v>
      </c>
      <c r="Q1862" s="297" t="s">
        <v>200</v>
      </c>
      <c r="R1862" s="297" t="s">
        <v>213</v>
      </c>
      <c r="S1862" s="297" t="s">
        <v>214</v>
      </c>
    </row>
    <row r="1863" spans="1:19" x14ac:dyDescent="0.4">
      <c r="A1863" s="291"/>
      <c r="B1863" s="292"/>
      <c r="C1863" s="312"/>
      <c r="D1863" s="292"/>
      <c r="E1863" s="489"/>
      <c r="F1863" s="489"/>
      <c r="G1863" s="490"/>
      <c r="H1863" s="520"/>
      <c r="I1863" s="523"/>
      <c r="J1863" s="521"/>
      <c r="K1863" s="522"/>
      <c r="M1863" s="301" t="str">
        <f>N1863&amp;AS[[#This Row],[Insurer Code]]&amp;"; "&amp;O1863&amp;AS[[#This Row],[Reporting Year]]&amp;"; "&amp;P1863&amp;AS[[#This Row],[Insurance Category Code]]&amp;"; "&amp;Q1863&amp;AS[[#This Row],[Large Provider Entity Code]]&amp;"; "&amp;R1863&amp;AS[[#This Row],[Age Band Code]]&amp;"; "&amp;S1863&amp;AS[[#This Row],[Sex Code]]</f>
        <v xml:space="preserve">Insurer Code ; Reporting Year ; Insurance Category Code ; Large Provider Entity Code ; Age Band Code ; Sex Code </v>
      </c>
      <c r="N1863" s="297" t="s">
        <v>197</v>
      </c>
      <c r="O1863" s="297" t="s">
        <v>198</v>
      </c>
      <c r="P1863" s="297" t="s">
        <v>199</v>
      </c>
      <c r="Q1863" s="297" t="s">
        <v>200</v>
      </c>
      <c r="R1863" s="297" t="s">
        <v>213</v>
      </c>
      <c r="S1863" s="297" t="s">
        <v>214</v>
      </c>
    </row>
    <row r="1864" spans="1:19" x14ac:dyDescent="0.4">
      <c r="A1864" s="291"/>
      <c r="B1864" s="292"/>
      <c r="C1864" s="312"/>
      <c r="D1864" s="292"/>
      <c r="E1864" s="489"/>
      <c r="F1864" s="489"/>
      <c r="G1864" s="490"/>
      <c r="H1864" s="520"/>
      <c r="I1864" s="523"/>
      <c r="J1864" s="521"/>
      <c r="K1864" s="522"/>
      <c r="M1864" s="301" t="str">
        <f>N1864&amp;AS[[#This Row],[Insurer Code]]&amp;"; "&amp;O1864&amp;AS[[#This Row],[Reporting Year]]&amp;"; "&amp;P1864&amp;AS[[#This Row],[Insurance Category Code]]&amp;"; "&amp;Q1864&amp;AS[[#This Row],[Large Provider Entity Code]]&amp;"; "&amp;R1864&amp;AS[[#This Row],[Age Band Code]]&amp;"; "&amp;S1864&amp;AS[[#This Row],[Sex Code]]</f>
        <v xml:space="preserve">Insurer Code ; Reporting Year ; Insurance Category Code ; Large Provider Entity Code ; Age Band Code ; Sex Code </v>
      </c>
      <c r="N1864" s="297" t="s">
        <v>197</v>
      </c>
      <c r="O1864" s="297" t="s">
        <v>198</v>
      </c>
      <c r="P1864" s="297" t="s">
        <v>199</v>
      </c>
      <c r="Q1864" s="297" t="s">
        <v>200</v>
      </c>
      <c r="R1864" s="297" t="s">
        <v>213</v>
      </c>
      <c r="S1864" s="297" t="s">
        <v>214</v>
      </c>
    </row>
    <row r="1865" spans="1:19" x14ac:dyDescent="0.4">
      <c r="A1865" s="291"/>
      <c r="B1865" s="292"/>
      <c r="C1865" s="312"/>
      <c r="D1865" s="292"/>
      <c r="E1865" s="489"/>
      <c r="F1865" s="489"/>
      <c r="G1865" s="490"/>
      <c r="H1865" s="520"/>
      <c r="I1865" s="523"/>
      <c r="J1865" s="521"/>
      <c r="K1865" s="522"/>
      <c r="M1865" s="301" t="str">
        <f>N1865&amp;AS[[#This Row],[Insurer Code]]&amp;"; "&amp;O1865&amp;AS[[#This Row],[Reporting Year]]&amp;"; "&amp;P1865&amp;AS[[#This Row],[Insurance Category Code]]&amp;"; "&amp;Q1865&amp;AS[[#This Row],[Large Provider Entity Code]]&amp;"; "&amp;R1865&amp;AS[[#This Row],[Age Band Code]]&amp;"; "&amp;S1865&amp;AS[[#This Row],[Sex Code]]</f>
        <v xml:space="preserve">Insurer Code ; Reporting Year ; Insurance Category Code ; Large Provider Entity Code ; Age Band Code ; Sex Code </v>
      </c>
      <c r="N1865" s="297" t="s">
        <v>197</v>
      </c>
      <c r="O1865" s="297" t="s">
        <v>198</v>
      </c>
      <c r="P1865" s="297" t="s">
        <v>199</v>
      </c>
      <c r="Q1865" s="297" t="s">
        <v>200</v>
      </c>
      <c r="R1865" s="297" t="s">
        <v>213</v>
      </c>
      <c r="S1865" s="297" t="s">
        <v>214</v>
      </c>
    </row>
    <row r="1866" spans="1:19" x14ac:dyDescent="0.4">
      <c r="A1866" s="291"/>
      <c r="B1866" s="292"/>
      <c r="C1866" s="312"/>
      <c r="D1866" s="292"/>
      <c r="E1866" s="489"/>
      <c r="F1866" s="489"/>
      <c r="G1866" s="490"/>
      <c r="H1866" s="520"/>
      <c r="I1866" s="523"/>
      <c r="J1866" s="521"/>
      <c r="K1866" s="522"/>
      <c r="M1866" s="301" t="str">
        <f>N1866&amp;AS[[#This Row],[Insurer Code]]&amp;"; "&amp;O1866&amp;AS[[#This Row],[Reporting Year]]&amp;"; "&amp;P1866&amp;AS[[#This Row],[Insurance Category Code]]&amp;"; "&amp;Q1866&amp;AS[[#This Row],[Large Provider Entity Code]]&amp;"; "&amp;R1866&amp;AS[[#This Row],[Age Band Code]]&amp;"; "&amp;S1866&amp;AS[[#This Row],[Sex Code]]</f>
        <v xml:space="preserve">Insurer Code ; Reporting Year ; Insurance Category Code ; Large Provider Entity Code ; Age Band Code ; Sex Code </v>
      </c>
      <c r="N1866" s="297" t="s">
        <v>197</v>
      </c>
      <c r="O1866" s="297" t="s">
        <v>198</v>
      </c>
      <c r="P1866" s="297" t="s">
        <v>199</v>
      </c>
      <c r="Q1866" s="297" t="s">
        <v>200</v>
      </c>
      <c r="R1866" s="297" t="s">
        <v>213</v>
      </c>
      <c r="S1866" s="297" t="s">
        <v>214</v>
      </c>
    </row>
    <row r="1867" spans="1:19" x14ac:dyDescent="0.4">
      <c r="A1867" s="291"/>
      <c r="B1867" s="292"/>
      <c r="C1867" s="312"/>
      <c r="D1867" s="292"/>
      <c r="E1867" s="489"/>
      <c r="F1867" s="489"/>
      <c r="G1867" s="490"/>
      <c r="H1867" s="520"/>
      <c r="I1867" s="523"/>
      <c r="J1867" s="521"/>
      <c r="K1867" s="522"/>
      <c r="M1867" s="301" t="str">
        <f>N1867&amp;AS[[#This Row],[Insurer Code]]&amp;"; "&amp;O1867&amp;AS[[#This Row],[Reporting Year]]&amp;"; "&amp;P1867&amp;AS[[#This Row],[Insurance Category Code]]&amp;"; "&amp;Q1867&amp;AS[[#This Row],[Large Provider Entity Code]]&amp;"; "&amp;R1867&amp;AS[[#This Row],[Age Band Code]]&amp;"; "&amp;S1867&amp;AS[[#This Row],[Sex Code]]</f>
        <v xml:space="preserve">Insurer Code ; Reporting Year ; Insurance Category Code ; Large Provider Entity Code ; Age Band Code ; Sex Code </v>
      </c>
      <c r="N1867" s="297" t="s">
        <v>197</v>
      </c>
      <c r="O1867" s="297" t="s">
        <v>198</v>
      </c>
      <c r="P1867" s="297" t="s">
        <v>199</v>
      </c>
      <c r="Q1867" s="297" t="s">
        <v>200</v>
      </c>
      <c r="R1867" s="297" t="s">
        <v>213</v>
      </c>
      <c r="S1867" s="297" t="s">
        <v>214</v>
      </c>
    </row>
    <row r="1868" spans="1:19" x14ac:dyDescent="0.4">
      <c r="A1868" s="291"/>
      <c r="B1868" s="292"/>
      <c r="C1868" s="312"/>
      <c r="D1868" s="292"/>
      <c r="E1868" s="489"/>
      <c r="F1868" s="489"/>
      <c r="G1868" s="490"/>
      <c r="H1868" s="520"/>
      <c r="I1868" s="523"/>
      <c r="J1868" s="521"/>
      <c r="K1868" s="522"/>
      <c r="M1868" s="301" t="str">
        <f>N1868&amp;AS[[#This Row],[Insurer Code]]&amp;"; "&amp;O1868&amp;AS[[#This Row],[Reporting Year]]&amp;"; "&amp;P1868&amp;AS[[#This Row],[Insurance Category Code]]&amp;"; "&amp;Q1868&amp;AS[[#This Row],[Large Provider Entity Code]]&amp;"; "&amp;R1868&amp;AS[[#This Row],[Age Band Code]]&amp;"; "&amp;S1868&amp;AS[[#This Row],[Sex Code]]</f>
        <v xml:space="preserve">Insurer Code ; Reporting Year ; Insurance Category Code ; Large Provider Entity Code ; Age Band Code ; Sex Code </v>
      </c>
      <c r="N1868" s="297" t="s">
        <v>197</v>
      </c>
      <c r="O1868" s="297" t="s">
        <v>198</v>
      </c>
      <c r="P1868" s="297" t="s">
        <v>199</v>
      </c>
      <c r="Q1868" s="297" t="s">
        <v>200</v>
      </c>
      <c r="R1868" s="297" t="s">
        <v>213</v>
      </c>
      <c r="S1868" s="297" t="s">
        <v>214</v>
      </c>
    </row>
    <row r="1869" spans="1:19" x14ac:dyDescent="0.4">
      <c r="A1869" s="291"/>
      <c r="B1869" s="292"/>
      <c r="C1869" s="312"/>
      <c r="D1869" s="292"/>
      <c r="E1869" s="489"/>
      <c r="F1869" s="489"/>
      <c r="G1869" s="490"/>
      <c r="H1869" s="520"/>
      <c r="I1869" s="523"/>
      <c r="J1869" s="521"/>
      <c r="K1869" s="522"/>
      <c r="M1869" s="301" t="str">
        <f>N1869&amp;AS[[#This Row],[Insurer Code]]&amp;"; "&amp;O1869&amp;AS[[#This Row],[Reporting Year]]&amp;"; "&amp;P1869&amp;AS[[#This Row],[Insurance Category Code]]&amp;"; "&amp;Q1869&amp;AS[[#This Row],[Large Provider Entity Code]]&amp;"; "&amp;R1869&amp;AS[[#This Row],[Age Band Code]]&amp;"; "&amp;S1869&amp;AS[[#This Row],[Sex Code]]</f>
        <v xml:space="preserve">Insurer Code ; Reporting Year ; Insurance Category Code ; Large Provider Entity Code ; Age Band Code ; Sex Code </v>
      </c>
      <c r="N1869" s="297" t="s">
        <v>197</v>
      </c>
      <c r="O1869" s="297" t="s">
        <v>198</v>
      </c>
      <c r="P1869" s="297" t="s">
        <v>199</v>
      </c>
      <c r="Q1869" s="297" t="s">
        <v>200</v>
      </c>
      <c r="R1869" s="297" t="s">
        <v>213</v>
      </c>
      <c r="S1869" s="297" t="s">
        <v>214</v>
      </c>
    </row>
    <row r="1870" spans="1:19" x14ac:dyDescent="0.4">
      <c r="A1870" s="291"/>
      <c r="B1870" s="292"/>
      <c r="C1870" s="312"/>
      <c r="D1870" s="292"/>
      <c r="E1870" s="489"/>
      <c r="F1870" s="489"/>
      <c r="G1870" s="490"/>
      <c r="H1870" s="520"/>
      <c r="I1870" s="523"/>
      <c r="J1870" s="521"/>
      <c r="K1870" s="522"/>
      <c r="M1870" s="301" t="str">
        <f>N1870&amp;AS[[#This Row],[Insurer Code]]&amp;"; "&amp;O1870&amp;AS[[#This Row],[Reporting Year]]&amp;"; "&amp;P1870&amp;AS[[#This Row],[Insurance Category Code]]&amp;"; "&amp;Q1870&amp;AS[[#This Row],[Large Provider Entity Code]]&amp;"; "&amp;R1870&amp;AS[[#This Row],[Age Band Code]]&amp;"; "&amp;S1870&amp;AS[[#This Row],[Sex Code]]</f>
        <v xml:space="preserve">Insurer Code ; Reporting Year ; Insurance Category Code ; Large Provider Entity Code ; Age Band Code ; Sex Code </v>
      </c>
      <c r="N1870" s="297" t="s">
        <v>197</v>
      </c>
      <c r="O1870" s="297" t="s">
        <v>198</v>
      </c>
      <c r="P1870" s="297" t="s">
        <v>199</v>
      </c>
      <c r="Q1870" s="297" t="s">
        <v>200</v>
      </c>
      <c r="R1870" s="297" t="s">
        <v>213</v>
      </c>
      <c r="S1870" s="297" t="s">
        <v>214</v>
      </c>
    </row>
    <row r="1871" spans="1:19" x14ac:dyDescent="0.4">
      <c r="A1871" s="291"/>
      <c r="B1871" s="292"/>
      <c r="C1871" s="312"/>
      <c r="D1871" s="292"/>
      <c r="E1871" s="489"/>
      <c r="F1871" s="489"/>
      <c r="G1871" s="490"/>
      <c r="H1871" s="520"/>
      <c r="I1871" s="523"/>
      <c r="J1871" s="521"/>
      <c r="K1871" s="522"/>
      <c r="M1871" s="301" t="str">
        <f>N1871&amp;AS[[#This Row],[Insurer Code]]&amp;"; "&amp;O1871&amp;AS[[#This Row],[Reporting Year]]&amp;"; "&amp;P1871&amp;AS[[#This Row],[Insurance Category Code]]&amp;"; "&amp;Q1871&amp;AS[[#This Row],[Large Provider Entity Code]]&amp;"; "&amp;R1871&amp;AS[[#This Row],[Age Band Code]]&amp;"; "&amp;S1871&amp;AS[[#This Row],[Sex Code]]</f>
        <v xml:space="preserve">Insurer Code ; Reporting Year ; Insurance Category Code ; Large Provider Entity Code ; Age Band Code ; Sex Code </v>
      </c>
      <c r="N1871" s="297" t="s">
        <v>197</v>
      </c>
      <c r="O1871" s="297" t="s">
        <v>198</v>
      </c>
      <c r="P1871" s="297" t="s">
        <v>199</v>
      </c>
      <c r="Q1871" s="297" t="s">
        <v>200</v>
      </c>
      <c r="R1871" s="297" t="s">
        <v>213</v>
      </c>
      <c r="S1871" s="297" t="s">
        <v>214</v>
      </c>
    </row>
    <row r="1872" spans="1:19" x14ac:dyDescent="0.4">
      <c r="A1872" s="291"/>
      <c r="B1872" s="292"/>
      <c r="C1872" s="312"/>
      <c r="D1872" s="292"/>
      <c r="E1872" s="489"/>
      <c r="F1872" s="489"/>
      <c r="G1872" s="490"/>
      <c r="H1872" s="520"/>
      <c r="I1872" s="523"/>
      <c r="J1872" s="521"/>
      <c r="K1872" s="522"/>
      <c r="M1872" s="301" t="str">
        <f>N1872&amp;AS[[#This Row],[Insurer Code]]&amp;"; "&amp;O1872&amp;AS[[#This Row],[Reporting Year]]&amp;"; "&amp;P1872&amp;AS[[#This Row],[Insurance Category Code]]&amp;"; "&amp;Q1872&amp;AS[[#This Row],[Large Provider Entity Code]]&amp;"; "&amp;R1872&amp;AS[[#This Row],[Age Band Code]]&amp;"; "&amp;S1872&amp;AS[[#This Row],[Sex Code]]</f>
        <v xml:space="preserve">Insurer Code ; Reporting Year ; Insurance Category Code ; Large Provider Entity Code ; Age Band Code ; Sex Code </v>
      </c>
      <c r="N1872" s="297" t="s">
        <v>197</v>
      </c>
      <c r="O1872" s="297" t="s">
        <v>198</v>
      </c>
      <c r="P1872" s="297" t="s">
        <v>199</v>
      </c>
      <c r="Q1872" s="297" t="s">
        <v>200</v>
      </c>
      <c r="R1872" s="297" t="s">
        <v>213</v>
      </c>
      <c r="S1872" s="297" t="s">
        <v>214</v>
      </c>
    </row>
    <row r="1873" spans="1:19" x14ac:dyDescent="0.4">
      <c r="A1873" s="291"/>
      <c r="B1873" s="292"/>
      <c r="C1873" s="312"/>
      <c r="D1873" s="292"/>
      <c r="E1873" s="489"/>
      <c r="F1873" s="489"/>
      <c r="G1873" s="490"/>
      <c r="H1873" s="520"/>
      <c r="I1873" s="523"/>
      <c r="J1873" s="521"/>
      <c r="K1873" s="522"/>
      <c r="M1873" s="301" t="str">
        <f>N1873&amp;AS[[#This Row],[Insurer Code]]&amp;"; "&amp;O1873&amp;AS[[#This Row],[Reporting Year]]&amp;"; "&amp;P1873&amp;AS[[#This Row],[Insurance Category Code]]&amp;"; "&amp;Q1873&amp;AS[[#This Row],[Large Provider Entity Code]]&amp;"; "&amp;R1873&amp;AS[[#This Row],[Age Band Code]]&amp;"; "&amp;S1873&amp;AS[[#This Row],[Sex Code]]</f>
        <v xml:space="preserve">Insurer Code ; Reporting Year ; Insurance Category Code ; Large Provider Entity Code ; Age Band Code ; Sex Code </v>
      </c>
      <c r="N1873" s="297" t="s">
        <v>197</v>
      </c>
      <c r="O1873" s="297" t="s">
        <v>198</v>
      </c>
      <c r="P1873" s="297" t="s">
        <v>199</v>
      </c>
      <c r="Q1873" s="297" t="s">
        <v>200</v>
      </c>
      <c r="R1873" s="297" t="s">
        <v>213</v>
      </c>
      <c r="S1873" s="297" t="s">
        <v>214</v>
      </c>
    </row>
    <row r="1874" spans="1:19" x14ac:dyDescent="0.4">
      <c r="A1874" s="291"/>
      <c r="B1874" s="292"/>
      <c r="C1874" s="312"/>
      <c r="D1874" s="292"/>
      <c r="E1874" s="489"/>
      <c r="F1874" s="489"/>
      <c r="G1874" s="490"/>
      <c r="H1874" s="520"/>
      <c r="I1874" s="523"/>
      <c r="J1874" s="521"/>
      <c r="K1874" s="522"/>
      <c r="M1874" s="301" t="str">
        <f>N1874&amp;AS[[#This Row],[Insurer Code]]&amp;"; "&amp;O1874&amp;AS[[#This Row],[Reporting Year]]&amp;"; "&amp;P1874&amp;AS[[#This Row],[Insurance Category Code]]&amp;"; "&amp;Q1874&amp;AS[[#This Row],[Large Provider Entity Code]]&amp;"; "&amp;R1874&amp;AS[[#This Row],[Age Band Code]]&amp;"; "&amp;S1874&amp;AS[[#This Row],[Sex Code]]</f>
        <v xml:space="preserve">Insurer Code ; Reporting Year ; Insurance Category Code ; Large Provider Entity Code ; Age Band Code ; Sex Code </v>
      </c>
      <c r="N1874" s="297" t="s">
        <v>197</v>
      </c>
      <c r="O1874" s="297" t="s">
        <v>198</v>
      </c>
      <c r="P1874" s="297" t="s">
        <v>199</v>
      </c>
      <c r="Q1874" s="297" t="s">
        <v>200</v>
      </c>
      <c r="R1874" s="297" t="s">
        <v>213</v>
      </c>
      <c r="S1874" s="297" t="s">
        <v>214</v>
      </c>
    </row>
    <row r="1875" spans="1:19" x14ac:dyDescent="0.4">
      <c r="A1875" s="291"/>
      <c r="B1875" s="292"/>
      <c r="C1875" s="312"/>
      <c r="D1875" s="292"/>
      <c r="E1875" s="489"/>
      <c r="F1875" s="489"/>
      <c r="G1875" s="490"/>
      <c r="H1875" s="520"/>
      <c r="I1875" s="523"/>
      <c r="J1875" s="521"/>
      <c r="K1875" s="522"/>
      <c r="M1875" s="301" t="str">
        <f>N1875&amp;AS[[#This Row],[Insurer Code]]&amp;"; "&amp;O1875&amp;AS[[#This Row],[Reporting Year]]&amp;"; "&amp;P1875&amp;AS[[#This Row],[Insurance Category Code]]&amp;"; "&amp;Q1875&amp;AS[[#This Row],[Large Provider Entity Code]]&amp;"; "&amp;R1875&amp;AS[[#This Row],[Age Band Code]]&amp;"; "&amp;S1875&amp;AS[[#This Row],[Sex Code]]</f>
        <v xml:space="preserve">Insurer Code ; Reporting Year ; Insurance Category Code ; Large Provider Entity Code ; Age Band Code ; Sex Code </v>
      </c>
      <c r="N1875" s="297" t="s">
        <v>197</v>
      </c>
      <c r="O1875" s="297" t="s">
        <v>198</v>
      </c>
      <c r="P1875" s="297" t="s">
        <v>199</v>
      </c>
      <c r="Q1875" s="297" t="s">
        <v>200</v>
      </c>
      <c r="R1875" s="297" t="s">
        <v>213</v>
      </c>
      <c r="S1875" s="297" t="s">
        <v>214</v>
      </c>
    </row>
    <row r="1876" spans="1:19" x14ac:dyDescent="0.4">
      <c r="A1876" s="291"/>
      <c r="B1876" s="292"/>
      <c r="C1876" s="312"/>
      <c r="D1876" s="292"/>
      <c r="E1876" s="489"/>
      <c r="F1876" s="489"/>
      <c r="G1876" s="490"/>
      <c r="H1876" s="520"/>
      <c r="I1876" s="523"/>
      <c r="J1876" s="521"/>
      <c r="K1876" s="522"/>
      <c r="M1876" s="301" t="str">
        <f>N1876&amp;AS[[#This Row],[Insurer Code]]&amp;"; "&amp;O1876&amp;AS[[#This Row],[Reporting Year]]&amp;"; "&amp;P1876&amp;AS[[#This Row],[Insurance Category Code]]&amp;"; "&amp;Q1876&amp;AS[[#This Row],[Large Provider Entity Code]]&amp;"; "&amp;R1876&amp;AS[[#This Row],[Age Band Code]]&amp;"; "&amp;S1876&amp;AS[[#This Row],[Sex Code]]</f>
        <v xml:space="preserve">Insurer Code ; Reporting Year ; Insurance Category Code ; Large Provider Entity Code ; Age Band Code ; Sex Code </v>
      </c>
      <c r="N1876" s="297" t="s">
        <v>197</v>
      </c>
      <c r="O1876" s="297" t="s">
        <v>198</v>
      </c>
      <c r="P1876" s="297" t="s">
        <v>199</v>
      </c>
      <c r="Q1876" s="297" t="s">
        <v>200</v>
      </c>
      <c r="R1876" s="297" t="s">
        <v>213</v>
      </c>
      <c r="S1876" s="297" t="s">
        <v>214</v>
      </c>
    </row>
    <row r="1877" spans="1:19" x14ac:dyDescent="0.4">
      <c r="A1877" s="291"/>
      <c r="B1877" s="292"/>
      <c r="C1877" s="312"/>
      <c r="D1877" s="292"/>
      <c r="E1877" s="489"/>
      <c r="F1877" s="489"/>
      <c r="G1877" s="490"/>
      <c r="H1877" s="520"/>
      <c r="I1877" s="523"/>
      <c r="J1877" s="521"/>
      <c r="K1877" s="522"/>
      <c r="M1877" s="301" t="str">
        <f>N1877&amp;AS[[#This Row],[Insurer Code]]&amp;"; "&amp;O1877&amp;AS[[#This Row],[Reporting Year]]&amp;"; "&amp;P1877&amp;AS[[#This Row],[Insurance Category Code]]&amp;"; "&amp;Q1877&amp;AS[[#This Row],[Large Provider Entity Code]]&amp;"; "&amp;R1877&amp;AS[[#This Row],[Age Band Code]]&amp;"; "&amp;S1877&amp;AS[[#This Row],[Sex Code]]</f>
        <v xml:space="preserve">Insurer Code ; Reporting Year ; Insurance Category Code ; Large Provider Entity Code ; Age Band Code ; Sex Code </v>
      </c>
      <c r="N1877" s="297" t="s">
        <v>197</v>
      </c>
      <c r="O1877" s="297" t="s">
        <v>198</v>
      </c>
      <c r="P1877" s="297" t="s">
        <v>199</v>
      </c>
      <c r="Q1877" s="297" t="s">
        <v>200</v>
      </c>
      <c r="R1877" s="297" t="s">
        <v>213</v>
      </c>
      <c r="S1877" s="297" t="s">
        <v>214</v>
      </c>
    </row>
    <row r="1878" spans="1:19" x14ac:dyDescent="0.4">
      <c r="A1878" s="291"/>
      <c r="B1878" s="292"/>
      <c r="C1878" s="312"/>
      <c r="D1878" s="292"/>
      <c r="E1878" s="489"/>
      <c r="F1878" s="489"/>
      <c r="G1878" s="490"/>
      <c r="H1878" s="520"/>
      <c r="I1878" s="523"/>
      <c r="J1878" s="521"/>
      <c r="K1878" s="522"/>
      <c r="M1878" s="301" t="str">
        <f>N1878&amp;AS[[#This Row],[Insurer Code]]&amp;"; "&amp;O1878&amp;AS[[#This Row],[Reporting Year]]&amp;"; "&amp;P1878&amp;AS[[#This Row],[Insurance Category Code]]&amp;"; "&amp;Q1878&amp;AS[[#This Row],[Large Provider Entity Code]]&amp;"; "&amp;R1878&amp;AS[[#This Row],[Age Band Code]]&amp;"; "&amp;S1878&amp;AS[[#This Row],[Sex Code]]</f>
        <v xml:space="preserve">Insurer Code ; Reporting Year ; Insurance Category Code ; Large Provider Entity Code ; Age Band Code ; Sex Code </v>
      </c>
      <c r="N1878" s="297" t="s">
        <v>197</v>
      </c>
      <c r="O1878" s="297" t="s">
        <v>198</v>
      </c>
      <c r="P1878" s="297" t="s">
        <v>199</v>
      </c>
      <c r="Q1878" s="297" t="s">
        <v>200</v>
      </c>
      <c r="R1878" s="297" t="s">
        <v>213</v>
      </c>
      <c r="S1878" s="297" t="s">
        <v>214</v>
      </c>
    </row>
    <row r="1879" spans="1:19" x14ac:dyDescent="0.4">
      <c r="A1879" s="291"/>
      <c r="B1879" s="292"/>
      <c r="C1879" s="312"/>
      <c r="D1879" s="292"/>
      <c r="E1879" s="489"/>
      <c r="F1879" s="489"/>
      <c r="G1879" s="490"/>
      <c r="H1879" s="520"/>
      <c r="I1879" s="523"/>
      <c r="J1879" s="521"/>
      <c r="K1879" s="522"/>
      <c r="M1879" s="301" t="str">
        <f>N1879&amp;AS[[#This Row],[Insurer Code]]&amp;"; "&amp;O1879&amp;AS[[#This Row],[Reporting Year]]&amp;"; "&amp;P1879&amp;AS[[#This Row],[Insurance Category Code]]&amp;"; "&amp;Q1879&amp;AS[[#This Row],[Large Provider Entity Code]]&amp;"; "&amp;R1879&amp;AS[[#This Row],[Age Band Code]]&amp;"; "&amp;S1879&amp;AS[[#This Row],[Sex Code]]</f>
        <v xml:space="preserve">Insurer Code ; Reporting Year ; Insurance Category Code ; Large Provider Entity Code ; Age Band Code ; Sex Code </v>
      </c>
      <c r="N1879" s="297" t="s">
        <v>197</v>
      </c>
      <c r="O1879" s="297" t="s">
        <v>198</v>
      </c>
      <c r="P1879" s="297" t="s">
        <v>199</v>
      </c>
      <c r="Q1879" s="297" t="s">
        <v>200</v>
      </c>
      <c r="R1879" s="297" t="s">
        <v>213</v>
      </c>
      <c r="S1879" s="297" t="s">
        <v>214</v>
      </c>
    </row>
    <row r="1880" spans="1:19" x14ac:dyDescent="0.4">
      <c r="A1880" s="291"/>
      <c r="B1880" s="292"/>
      <c r="C1880" s="312"/>
      <c r="D1880" s="292"/>
      <c r="E1880" s="489"/>
      <c r="F1880" s="489"/>
      <c r="G1880" s="490"/>
      <c r="H1880" s="520"/>
      <c r="I1880" s="523"/>
      <c r="J1880" s="521"/>
      <c r="K1880" s="522"/>
      <c r="M1880" s="301" t="str">
        <f>N1880&amp;AS[[#This Row],[Insurer Code]]&amp;"; "&amp;O1880&amp;AS[[#This Row],[Reporting Year]]&amp;"; "&amp;P1880&amp;AS[[#This Row],[Insurance Category Code]]&amp;"; "&amp;Q1880&amp;AS[[#This Row],[Large Provider Entity Code]]&amp;"; "&amp;R1880&amp;AS[[#This Row],[Age Band Code]]&amp;"; "&amp;S1880&amp;AS[[#This Row],[Sex Code]]</f>
        <v xml:space="preserve">Insurer Code ; Reporting Year ; Insurance Category Code ; Large Provider Entity Code ; Age Band Code ; Sex Code </v>
      </c>
      <c r="N1880" s="297" t="s">
        <v>197</v>
      </c>
      <c r="O1880" s="297" t="s">
        <v>198</v>
      </c>
      <c r="P1880" s="297" t="s">
        <v>199</v>
      </c>
      <c r="Q1880" s="297" t="s">
        <v>200</v>
      </c>
      <c r="R1880" s="297" t="s">
        <v>213</v>
      </c>
      <c r="S1880" s="297" t="s">
        <v>214</v>
      </c>
    </row>
    <row r="1881" spans="1:19" x14ac:dyDescent="0.4">
      <c r="A1881" s="291"/>
      <c r="B1881" s="292"/>
      <c r="C1881" s="312"/>
      <c r="D1881" s="292"/>
      <c r="E1881" s="489"/>
      <c r="F1881" s="489"/>
      <c r="G1881" s="490"/>
      <c r="H1881" s="520"/>
      <c r="I1881" s="523"/>
      <c r="J1881" s="521"/>
      <c r="K1881" s="522"/>
      <c r="M1881" s="301" t="str">
        <f>N1881&amp;AS[[#This Row],[Insurer Code]]&amp;"; "&amp;O1881&amp;AS[[#This Row],[Reporting Year]]&amp;"; "&amp;P1881&amp;AS[[#This Row],[Insurance Category Code]]&amp;"; "&amp;Q1881&amp;AS[[#This Row],[Large Provider Entity Code]]&amp;"; "&amp;R1881&amp;AS[[#This Row],[Age Band Code]]&amp;"; "&amp;S1881&amp;AS[[#This Row],[Sex Code]]</f>
        <v xml:space="preserve">Insurer Code ; Reporting Year ; Insurance Category Code ; Large Provider Entity Code ; Age Band Code ; Sex Code </v>
      </c>
      <c r="N1881" s="297" t="s">
        <v>197</v>
      </c>
      <c r="O1881" s="297" t="s">
        <v>198</v>
      </c>
      <c r="P1881" s="297" t="s">
        <v>199</v>
      </c>
      <c r="Q1881" s="297" t="s">
        <v>200</v>
      </c>
      <c r="R1881" s="297" t="s">
        <v>213</v>
      </c>
      <c r="S1881" s="297" t="s">
        <v>214</v>
      </c>
    </row>
    <row r="1882" spans="1:19" x14ac:dyDescent="0.4">
      <c r="A1882" s="291"/>
      <c r="B1882" s="292"/>
      <c r="C1882" s="312"/>
      <c r="D1882" s="292"/>
      <c r="E1882" s="489"/>
      <c r="F1882" s="489"/>
      <c r="G1882" s="490"/>
      <c r="H1882" s="520"/>
      <c r="I1882" s="523"/>
      <c r="J1882" s="521"/>
      <c r="K1882" s="522"/>
      <c r="M1882" s="301" t="str">
        <f>N1882&amp;AS[[#This Row],[Insurer Code]]&amp;"; "&amp;O1882&amp;AS[[#This Row],[Reporting Year]]&amp;"; "&amp;P1882&amp;AS[[#This Row],[Insurance Category Code]]&amp;"; "&amp;Q1882&amp;AS[[#This Row],[Large Provider Entity Code]]&amp;"; "&amp;R1882&amp;AS[[#This Row],[Age Band Code]]&amp;"; "&amp;S1882&amp;AS[[#This Row],[Sex Code]]</f>
        <v xml:space="preserve">Insurer Code ; Reporting Year ; Insurance Category Code ; Large Provider Entity Code ; Age Band Code ; Sex Code </v>
      </c>
      <c r="N1882" s="297" t="s">
        <v>197</v>
      </c>
      <c r="O1882" s="297" t="s">
        <v>198</v>
      </c>
      <c r="P1882" s="297" t="s">
        <v>199</v>
      </c>
      <c r="Q1882" s="297" t="s">
        <v>200</v>
      </c>
      <c r="R1882" s="297" t="s">
        <v>213</v>
      </c>
      <c r="S1882" s="297" t="s">
        <v>214</v>
      </c>
    </row>
    <row r="1883" spans="1:19" x14ac:dyDescent="0.4">
      <c r="A1883" s="291"/>
      <c r="B1883" s="292"/>
      <c r="C1883" s="312"/>
      <c r="D1883" s="292"/>
      <c r="E1883" s="489"/>
      <c r="F1883" s="489"/>
      <c r="G1883" s="490"/>
      <c r="H1883" s="520"/>
      <c r="I1883" s="523"/>
      <c r="J1883" s="521"/>
      <c r="K1883" s="522"/>
      <c r="M1883" s="301" t="str">
        <f>N1883&amp;AS[[#This Row],[Insurer Code]]&amp;"; "&amp;O1883&amp;AS[[#This Row],[Reporting Year]]&amp;"; "&amp;P1883&amp;AS[[#This Row],[Insurance Category Code]]&amp;"; "&amp;Q1883&amp;AS[[#This Row],[Large Provider Entity Code]]&amp;"; "&amp;R1883&amp;AS[[#This Row],[Age Band Code]]&amp;"; "&amp;S1883&amp;AS[[#This Row],[Sex Code]]</f>
        <v xml:space="preserve">Insurer Code ; Reporting Year ; Insurance Category Code ; Large Provider Entity Code ; Age Band Code ; Sex Code </v>
      </c>
      <c r="N1883" s="297" t="s">
        <v>197</v>
      </c>
      <c r="O1883" s="297" t="s">
        <v>198</v>
      </c>
      <c r="P1883" s="297" t="s">
        <v>199</v>
      </c>
      <c r="Q1883" s="297" t="s">
        <v>200</v>
      </c>
      <c r="R1883" s="297" t="s">
        <v>213</v>
      </c>
      <c r="S1883" s="297" t="s">
        <v>214</v>
      </c>
    </row>
    <row r="1884" spans="1:19" x14ac:dyDescent="0.4">
      <c r="A1884" s="291"/>
      <c r="B1884" s="292"/>
      <c r="C1884" s="312"/>
      <c r="D1884" s="292"/>
      <c r="E1884" s="489"/>
      <c r="F1884" s="489"/>
      <c r="G1884" s="490"/>
      <c r="H1884" s="520"/>
      <c r="I1884" s="523"/>
      <c r="J1884" s="521"/>
      <c r="K1884" s="522"/>
      <c r="M1884" s="301" t="str">
        <f>N1884&amp;AS[[#This Row],[Insurer Code]]&amp;"; "&amp;O1884&amp;AS[[#This Row],[Reporting Year]]&amp;"; "&amp;P1884&amp;AS[[#This Row],[Insurance Category Code]]&amp;"; "&amp;Q1884&amp;AS[[#This Row],[Large Provider Entity Code]]&amp;"; "&amp;R1884&amp;AS[[#This Row],[Age Band Code]]&amp;"; "&amp;S1884&amp;AS[[#This Row],[Sex Code]]</f>
        <v xml:space="preserve">Insurer Code ; Reporting Year ; Insurance Category Code ; Large Provider Entity Code ; Age Band Code ; Sex Code </v>
      </c>
      <c r="N1884" s="297" t="s">
        <v>197</v>
      </c>
      <c r="O1884" s="297" t="s">
        <v>198</v>
      </c>
      <c r="P1884" s="297" t="s">
        <v>199</v>
      </c>
      <c r="Q1884" s="297" t="s">
        <v>200</v>
      </c>
      <c r="R1884" s="297" t="s">
        <v>213</v>
      </c>
      <c r="S1884" s="297" t="s">
        <v>214</v>
      </c>
    </row>
    <row r="1885" spans="1:19" x14ac:dyDescent="0.4">
      <c r="A1885" s="291"/>
      <c r="B1885" s="292"/>
      <c r="C1885" s="312"/>
      <c r="D1885" s="292"/>
      <c r="E1885" s="489"/>
      <c r="F1885" s="489"/>
      <c r="G1885" s="490"/>
      <c r="H1885" s="520"/>
      <c r="I1885" s="523"/>
      <c r="J1885" s="521"/>
      <c r="K1885" s="522"/>
      <c r="M1885" s="301" t="str">
        <f>N1885&amp;AS[[#This Row],[Insurer Code]]&amp;"; "&amp;O1885&amp;AS[[#This Row],[Reporting Year]]&amp;"; "&amp;P1885&amp;AS[[#This Row],[Insurance Category Code]]&amp;"; "&amp;Q1885&amp;AS[[#This Row],[Large Provider Entity Code]]&amp;"; "&amp;R1885&amp;AS[[#This Row],[Age Band Code]]&amp;"; "&amp;S1885&amp;AS[[#This Row],[Sex Code]]</f>
        <v xml:space="preserve">Insurer Code ; Reporting Year ; Insurance Category Code ; Large Provider Entity Code ; Age Band Code ; Sex Code </v>
      </c>
      <c r="N1885" s="297" t="s">
        <v>197</v>
      </c>
      <c r="O1885" s="297" t="s">
        <v>198</v>
      </c>
      <c r="P1885" s="297" t="s">
        <v>199</v>
      </c>
      <c r="Q1885" s="297" t="s">
        <v>200</v>
      </c>
      <c r="R1885" s="297" t="s">
        <v>213</v>
      </c>
      <c r="S1885" s="297" t="s">
        <v>214</v>
      </c>
    </row>
    <row r="1886" spans="1:19" x14ac:dyDescent="0.4">
      <c r="A1886" s="291"/>
      <c r="B1886" s="292"/>
      <c r="C1886" s="312"/>
      <c r="D1886" s="292"/>
      <c r="E1886" s="489"/>
      <c r="F1886" s="489"/>
      <c r="G1886" s="490"/>
      <c r="H1886" s="520"/>
      <c r="I1886" s="523"/>
      <c r="J1886" s="521"/>
      <c r="K1886" s="522"/>
      <c r="M1886" s="301" t="str">
        <f>N1886&amp;AS[[#This Row],[Insurer Code]]&amp;"; "&amp;O1886&amp;AS[[#This Row],[Reporting Year]]&amp;"; "&amp;P1886&amp;AS[[#This Row],[Insurance Category Code]]&amp;"; "&amp;Q1886&amp;AS[[#This Row],[Large Provider Entity Code]]&amp;"; "&amp;R1886&amp;AS[[#This Row],[Age Band Code]]&amp;"; "&amp;S1886&amp;AS[[#This Row],[Sex Code]]</f>
        <v xml:space="preserve">Insurer Code ; Reporting Year ; Insurance Category Code ; Large Provider Entity Code ; Age Band Code ; Sex Code </v>
      </c>
      <c r="N1886" s="297" t="s">
        <v>197</v>
      </c>
      <c r="O1886" s="297" t="s">
        <v>198</v>
      </c>
      <c r="P1886" s="297" t="s">
        <v>199</v>
      </c>
      <c r="Q1886" s="297" t="s">
        <v>200</v>
      </c>
      <c r="R1886" s="297" t="s">
        <v>213</v>
      </c>
      <c r="S1886" s="297" t="s">
        <v>214</v>
      </c>
    </row>
    <row r="1887" spans="1:19" x14ac:dyDescent="0.4">
      <c r="A1887" s="291"/>
      <c r="B1887" s="292"/>
      <c r="C1887" s="312"/>
      <c r="D1887" s="292"/>
      <c r="E1887" s="489"/>
      <c r="F1887" s="489"/>
      <c r="G1887" s="490"/>
      <c r="H1887" s="520"/>
      <c r="I1887" s="523"/>
      <c r="J1887" s="521"/>
      <c r="K1887" s="522"/>
      <c r="M1887" s="301" t="str">
        <f>N1887&amp;AS[[#This Row],[Insurer Code]]&amp;"; "&amp;O1887&amp;AS[[#This Row],[Reporting Year]]&amp;"; "&amp;P1887&amp;AS[[#This Row],[Insurance Category Code]]&amp;"; "&amp;Q1887&amp;AS[[#This Row],[Large Provider Entity Code]]&amp;"; "&amp;R1887&amp;AS[[#This Row],[Age Band Code]]&amp;"; "&amp;S1887&amp;AS[[#This Row],[Sex Code]]</f>
        <v xml:space="preserve">Insurer Code ; Reporting Year ; Insurance Category Code ; Large Provider Entity Code ; Age Band Code ; Sex Code </v>
      </c>
      <c r="N1887" s="297" t="s">
        <v>197</v>
      </c>
      <c r="O1887" s="297" t="s">
        <v>198</v>
      </c>
      <c r="P1887" s="297" t="s">
        <v>199</v>
      </c>
      <c r="Q1887" s="297" t="s">
        <v>200</v>
      </c>
      <c r="R1887" s="297" t="s">
        <v>213</v>
      </c>
      <c r="S1887" s="297" t="s">
        <v>214</v>
      </c>
    </row>
    <row r="1888" spans="1:19" x14ac:dyDescent="0.4">
      <c r="A1888" s="291"/>
      <c r="B1888" s="292"/>
      <c r="C1888" s="312"/>
      <c r="D1888" s="292"/>
      <c r="E1888" s="489"/>
      <c r="F1888" s="489"/>
      <c r="G1888" s="490"/>
      <c r="H1888" s="520"/>
      <c r="I1888" s="523"/>
      <c r="J1888" s="521"/>
      <c r="K1888" s="522"/>
      <c r="M1888" s="301" t="str">
        <f>N1888&amp;AS[[#This Row],[Insurer Code]]&amp;"; "&amp;O1888&amp;AS[[#This Row],[Reporting Year]]&amp;"; "&amp;P1888&amp;AS[[#This Row],[Insurance Category Code]]&amp;"; "&amp;Q1888&amp;AS[[#This Row],[Large Provider Entity Code]]&amp;"; "&amp;R1888&amp;AS[[#This Row],[Age Band Code]]&amp;"; "&amp;S1888&amp;AS[[#This Row],[Sex Code]]</f>
        <v xml:space="preserve">Insurer Code ; Reporting Year ; Insurance Category Code ; Large Provider Entity Code ; Age Band Code ; Sex Code </v>
      </c>
      <c r="N1888" s="297" t="s">
        <v>197</v>
      </c>
      <c r="O1888" s="297" t="s">
        <v>198</v>
      </c>
      <c r="P1888" s="297" t="s">
        <v>199</v>
      </c>
      <c r="Q1888" s="297" t="s">
        <v>200</v>
      </c>
      <c r="R1888" s="297" t="s">
        <v>213</v>
      </c>
      <c r="S1888" s="297" t="s">
        <v>214</v>
      </c>
    </row>
    <row r="1889" spans="1:19" x14ac:dyDescent="0.4">
      <c r="A1889" s="291"/>
      <c r="B1889" s="292"/>
      <c r="C1889" s="312"/>
      <c r="D1889" s="292"/>
      <c r="E1889" s="489"/>
      <c r="F1889" s="489"/>
      <c r="G1889" s="490"/>
      <c r="H1889" s="520"/>
      <c r="I1889" s="523"/>
      <c r="J1889" s="521"/>
      <c r="K1889" s="522"/>
      <c r="M1889" s="301" t="str">
        <f>N1889&amp;AS[[#This Row],[Insurer Code]]&amp;"; "&amp;O1889&amp;AS[[#This Row],[Reporting Year]]&amp;"; "&amp;P1889&amp;AS[[#This Row],[Insurance Category Code]]&amp;"; "&amp;Q1889&amp;AS[[#This Row],[Large Provider Entity Code]]&amp;"; "&amp;R1889&amp;AS[[#This Row],[Age Band Code]]&amp;"; "&amp;S1889&amp;AS[[#This Row],[Sex Code]]</f>
        <v xml:space="preserve">Insurer Code ; Reporting Year ; Insurance Category Code ; Large Provider Entity Code ; Age Band Code ; Sex Code </v>
      </c>
      <c r="N1889" s="297" t="s">
        <v>197</v>
      </c>
      <c r="O1889" s="297" t="s">
        <v>198</v>
      </c>
      <c r="P1889" s="297" t="s">
        <v>199</v>
      </c>
      <c r="Q1889" s="297" t="s">
        <v>200</v>
      </c>
      <c r="R1889" s="297" t="s">
        <v>213</v>
      </c>
      <c r="S1889" s="297" t="s">
        <v>214</v>
      </c>
    </row>
    <row r="1890" spans="1:19" x14ac:dyDescent="0.4">
      <c r="A1890" s="291"/>
      <c r="B1890" s="292"/>
      <c r="C1890" s="312"/>
      <c r="D1890" s="292"/>
      <c r="E1890" s="489"/>
      <c r="F1890" s="489"/>
      <c r="G1890" s="490"/>
      <c r="H1890" s="520"/>
      <c r="I1890" s="523"/>
      <c r="J1890" s="521"/>
      <c r="K1890" s="522"/>
      <c r="M1890" s="301" t="str">
        <f>N1890&amp;AS[[#This Row],[Insurer Code]]&amp;"; "&amp;O1890&amp;AS[[#This Row],[Reporting Year]]&amp;"; "&amp;P1890&amp;AS[[#This Row],[Insurance Category Code]]&amp;"; "&amp;Q1890&amp;AS[[#This Row],[Large Provider Entity Code]]&amp;"; "&amp;R1890&amp;AS[[#This Row],[Age Band Code]]&amp;"; "&amp;S1890&amp;AS[[#This Row],[Sex Code]]</f>
        <v xml:space="preserve">Insurer Code ; Reporting Year ; Insurance Category Code ; Large Provider Entity Code ; Age Band Code ; Sex Code </v>
      </c>
      <c r="N1890" s="297" t="s">
        <v>197</v>
      </c>
      <c r="O1890" s="297" t="s">
        <v>198</v>
      </c>
      <c r="P1890" s="297" t="s">
        <v>199</v>
      </c>
      <c r="Q1890" s="297" t="s">
        <v>200</v>
      </c>
      <c r="R1890" s="297" t="s">
        <v>213</v>
      </c>
      <c r="S1890" s="297" t="s">
        <v>214</v>
      </c>
    </row>
    <row r="1891" spans="1:19" x14ac:dyDescent="0.4">
      <c r="A1891" s="291"/>
      <c r="B1891" s="292"/>
      <c r="C1891" s="312"/>
      <c r="D1891" s="292"/>
      <c r="E1891" s="489"/>
      <c r="F1891" s="489"/>
      <c r="G1891" s="490"/>
      <c r="H1891" s="520"/>
      <c r="I1891" s="523"/>
      <c r="J1891" s="521"/>
      <c r="K1891" s="522"/>
      <c r="M1891" s="301" t="str">
        <f>N1891&amp;AS[[#This Row],[Insurer Code]]&amp;"; "&amp;O1891&amp;AS[[#This Row],[Reporting Year]]&amp;"; "&amp;P1891&amp;AS[[#This Row],[Insurance Category Code]]&amp;"; "&amp;Q1891&amp;AS[[#This Row],[Large Provider Entity Code]]&amp;"; "&amp;R1891&amp;AS[[#This Row],[Age Band Code]]&amp;"; "&amp;S1891&amp;AS[[#This Row],[Sex Code]]</f>
        <v xml:space="preserve">Insurer Code ; Reporting Year ; Insurance Category Code ; Large Provider Entity Code ; Age Band Code ; Sex Code </v>
      </c>
      <c r="N1891" s="297" t="s">
        <v>197</v>
      </c>
      <c r="O1891" s="297" t="s">
        <v>198</v>
      </c>
      <c r="P1891" s="297" t="s">
        <v>199</v>
      </c>
      <c r="Q1891" s="297" t="s">
        <v>200</v>
      </c>
      <c r="R1891" s="297" t="s">
        <v>213</v>
      </c>
      <c r="S1891" s="297" t="s">
        <v>214</v>
      </c>
    </row>
    <row r="1892" spans="1:19" x14ac:dyDescent="0.4">
      <c r="A1892" s="291"/>
      <c r="B1892" s="292"/>
      <c r="C1892" s="312"/>
      <c r="D1892" s="292"/>
      <c r="E1892" s="489"/>
      <c r="F1892" s="489"/>
      <c r="G1892" s="490"/>
      <c r="H1892" s="520"/>
      <c r="I1892" s="523"/>
      <c r="J1892" s="521"/>
      <c r="K1892" s="522"/>
      <c r="M1892" s="301" t="str">
        <f>N1892&amp;AS[[#This Row],[Insurer Code]]&amp;"; "&amp;O1892&amp;AS[[#This Row],[Reporting Year]]&amp;"; "&amp;P1892&amp;AS[[#This Row],[Insurance Category Code]]&amp;"; "&amp;Q1892&amp;AS[[#This Row],[Large Provider Entity Code]]&amp;"; "&amp;R1892&amp;AS[[#This Row],[Age Band Code]]&amp;"; "&amp;S1892&amp;AS[[#This Row],[Sex Code]]</f>
        <v xml:space="preserve">Insurer Code ; Reporting Year ; Insurance Category Code ; Large Provider Entity Code ; Age Band Code ; Sex Code </v>
      </c>
      <c r="N1892" s="297" t="s">
        <v>197</v>
      </c>
      <c r="O1892" s="297" t="s">
        <v>198</v>
      </c>
      <c r="P1892" s="297" t="s">
        <v>199</v>
      </c>
      <c r="Q1892" s="297" t="s">
        <v>200</v>
      </c>
      <c r="R1892" s="297" t="s">
        <v>213</v>
      </c>
      <c r="S1892" s="297" t="s">
        <v>214</v>
      </c>
    </row>
    <row r="1893" spans="1:19" x14ac:dyDescent="0.4">
      <c r="A1893" s="291"/>
      <c r="B1893" s="292"/>
      <c r="C1893" s="312"/>
      <c r="D1893" s="292"/>
      <c r="E1893" s="489"/>
      <c r="F1893" s="489"/>
      <c r="G1893" s="490"/>
      <c r="H1893" s="520"/>
      <c r="I1893" s="523"/>
      <c r="J1893" s="521"/>
      <c r="K1893" s="522"/>
      <c r="M1893" s="301" t="str">
        <f>N1893&amp;AS[[#This Row],[Insurer Code]]&amp;"; "&amp;O1893&amp;AS[[#This Row],[Reporting Year]]&amp;"; "&amp;P1893&amp;AS[[#This Row],[Insurance Category Code]]&amp;"; "&amp;Q1893&amp;AS[[#This Row],[Large Provider Entity Code]]&amp;"; "&amp;R1893&amp;AS[[#This Row],[Age Band Code]]&amp;"; "&amp;S1893&amp;AS[[#This Row],[Sex Code]]</f>
        <v xml:space="preserve">Insurer Code ; Reporting Year ; Insurance Category Code ; Large Provider Entity Code ; Age Band Code ; Sex Code </v>
      </c>
      <c r="N1893" s="297" t="s">
        <v>197</v>
      </c>
      <c r="O1893" s="297" t="s">
        <v>198</v>
      </c>
      <c r="P1893" s="297" t="s">
        <v>199</v>
      </c>
      <c r="Q1893" s="297" t="s">
        <v>200</v>
      </c>
      <c r="R1893" s="297" t="s">
        <v>213</v>
      </c>
      <c r="S1893" s="297" t="s">
        <v>214</v>
      </c>
    </row>
    <row r="1894" spans="1:19" x14ac:dyDescent="0.4">
      <c r="A1894" s="291"/>
      <c r="B1894" s="292"/>
      <c r="C1894" s="312"/>
      <c r="D1894" s="292"/>
      <c r="E1894" s="489"/>
      <c r="F1894" s="489"/>
      <c r="G1894" s="490"/>
      <c r="H1894" s="520"/>
      <c r="I1894" s="523"/>
      <c r="J1894" s="521"/>
      <c r="K1894" s="522"/>
      <c r="M1894" s="301" t="str">
        <f>N1894&amp;AS[[#This Row],[Insurer Code]]&amp;"; "&amp;O1894&amp;AS[[#This Row],[Reporting Year]]&amp;"; "&amp;P1894&amp;AS[[#This Row],[Insurance Category Code]]&amp;"; "&amp;Q1894&amp;AS[[#This Row],[Large Provider Entity Code]]&amp;"; "&amp;R1894&amp;AS[[#This Row],[Age Band Code]]&amp;"; "&amp;S1894&amp;AS[[#This Row],[Sex Code]]</f>
        <v xml:space="preserve">Insurer Code ; Reporting Year ; Insurance Category Code ; Large Provider Entity Code ; Age Band Code ; Sex Code </v>
      </c>
      <c r="N1894" s="297" t="s">
        <v>197</v>
      </c>
      <c r="O1894" s="297" t="s">
        <v>198</v>
      </c>
      <c r="P1894" s="297" t="s">
        <v>199</v>
      </c>
      <c r="Q1894" s="297" t="s">
        <v>200</v>
      </c>
      <c r="R1894" s="297" t="s">
        <v>213</v>
      </c>
      <c r="S1894" s="297" t="s">
        <v>214</v>
      </c>
    </row>
    <row r="1895" spans="1:19" x14ac:dyDescent="0.4">
      <c r="A1895" s="291"/>
      <c r="B1895" s="292"/>
      <c r="C1895" s="312"/>
      <c r="D1895" s="292"/>
      <c r="E1895" s="489"/>
      <c r="F1895" s="489"/>
      <c r="G1895" s="490"/>
      <c r="H1895" s="520"/>
      <c r="I1895" s="523"/>
      <c r="J1895" s="521"/>
      <c r="K1895" s="522"/>
      <c r="M1895" s="301" t="str">
        <f>N1895&amp;AS[[#This Row],[Insurer Code]]&amp;"; "&amp;O1895&amp;AS[[#This Row],[Reporting Year]]&amp;"; "&amp;P1895&amp;AS[[#This Row],[Insurance Category Code]]&amp;"; "&amp;Q1895&amp;AS[[#This Row],[Large Provider Entity Code]]&amp;"; "&amp;R1895&amp;AS[[#This Row],[Age Band Code]]&amp;"; "&amp;S1895&amp;AS[[#This Row],[Sex Code]]</f>
        <v xml:space="preserve">Insurer Code ; Reporting Year ; Insurance Category Code ; Large Provider Entity Code ; Age Band Code ; Sex Code </v>
      </c>
      <c r="N1895" s="297" t="s">
        <v>197</v>
      </c>
      <c r="O1895" s="297" t="s">
        <v>198</v>
      </c>
      <c r="P1895" s="297" t="s">
        <v>199</v>
      </c>
      <c r="Q1895" s="297" t="s">
        <v>200</v>
      </c>
      <c r="R1895" s="297" t="s">
        <v>213</v>
      </c>
      <c r="S1895" s="297" t="s">
        <v>214</v>
      </c>
    </row>
    <row r="1896" spans="1:19" x14ac:dyDescent="0.4">
      <c r="A1896" s="291"/>
      <c r="B1896" s="292"/>
      <c r="C1896" s="312"/>
      <c r="D1896" s="292"/>
      <c r="E1896" s="489"/>
      <c r="F1896" s="489"/>
      <c r="G1896" s="490"/>
      <c r="H1896" s="520"/>
      <c r="I1896" s="523"/>
      <c r="J1896" s="521"/>
      <c r="K1896" s="522"/>
      <c r="M1896" s="301" t="str">
        <f>N1896&amp;AS[[#This Row],[Insurer Code]]&amp;"; "&amp;O1896&amp;AS[[#This Row],[Reporting Year]]&amp;"; "&amp;P1896&amp;AS[[#This Row],[Insurance Category Code]]&amp;"; "&amp;Q1896&amp;AS[[#This Row],[Large Provider Entity Code]]&amp;"; "&amp;R1896&amp;AS[[#This Row],[Age Band Code]]&amp;"; "&amp;S1896&amp;AS[[#This Row],[Sex Code]]</f>
        <v xml:space="preserve">Insurer Code ; Reporting Year ; Insurance Category Code ; Large Provider Entity Code ; Age Band Code ; Sex Code </v>
      </c>
      <c r="N1896" s="297" t="s">
        <v>197</v>
      </c>
      <c r="O1896" s="297" t="s">
        <v>198</v>
      </c>
      <c r="P1896" s="297" t="s">
        <v>199</v>
      </c>
      <c r="Q1896" s="297" t="s">
        <v>200</v>
      </c>
      <c r="R1896" s="297" t="s">
        <v>213</v>
      </c>
      <c r="S1896" s="297" t="s">
        <v>214</v>
      </c>
    </row>
    <row r="1897" spans="1:19" x14ac:dyDescent="0.4">
      <c r="A1897" s="291"/>
      <c r="B1897" s="292"/>
      <c r="C1897" s="312"/>
      <c r="D1897" s="292"/>
      <c r="E1897" s="489"/>
      <c r="F1897" s="489"/>
      <c r="G1897" s="490"/>
      <c r="H1897" s="520"/>
      <c r="I1897" s="523"/>
      <c r="J1897" s="521"/>
      <c r="K1897" s="522"/>
      <c r="M1897" s="301" t="str">
        <f>N1897&amp;AS[[#This Row],[Insurer Code]]&amp;"; "&amp;O1897&amp;AS[[#This Row],[Reporting Year]]&amp;"; "&amp;P1897&amp;AS[[#This Row],[Insurance Category Code]]&amp;"; "&amp;Q1897&amp;AS[[#This Row],[Large Provider Entity Code]]&amp;"; "&amp;R1897&amp;AS[[#This Row],[Age Band Code]]&amp;"; "&amp;S1897&amp;AS[[#This Row],[Sex Code]]</f>
        <v xml:space="preserve">Insurer Code ; Reporting Year ; Insurance Category Code ; Large Provider Entity Code ; Age Band Code ; Sex Code </v>
      </c>
      <c r="N1897" s="297" t="s">
        <v>197</v>
      </c>
      <c r="O1897" s="297" t="s">
        <v>198</v>
      </c>
      <c r="P1897" s="297" t="s">
        <v>199</v>
      </c>
      <c r="Q1897" s="297" t="s">
        <v>200</v>
      </c>
      <c r="R1897" s="297" t="s">
        <v>213</v>
      </c>
      <c r="S1897" s="297" t="s">
        <v>214</v>
      </c>
    </row>
    <row r="1898" spans="1:19" x14ac:dyDescent="0.4">
      <c r="A1898" s="291"/>
      <c r="B1898" s="292"/>
      <c r="C1898" s="312"/>
      <c r="D1898" s="292"/>
      <c r="E1898" s="489"/>
      <c r="F1898" s="489"/>
      <c r="G1898" s="490"/>
      <c r="H1898" s="520"/>
      <c r="I1898" s="523"/>
      <c r="J1898" s="521"/>
      <c r="K1898" s="522"/>
      <c r="M1898" s="301" t="str">
        <f>N1898&amp;AS[[#This Row],[Insurer Code]]&amp;"; "&amp;O1898&amp;AS[[#This Row],[Reporting Year]]&amp;"; "&amp;P1898&amp;AS[[#This Row],[Insurance Category Code]]&amp;"; "&amp;Q1898&amp;AS[[#This Row],[Large Provider Entity Code]]&amp;"; "&amp;R1898&amp;AS[[#This Row],[Age Band Code]]&amp;"; "&amp;S1898&amp;AS[[#This Row],[Sex Code]]</f>
        <v xml:space="preserve">Insurer Code ; Reporting Year ; Insurance Category Code ; Large Provider Entity Code ; Age Band Code ; Sex Code </v>
      </c>
      <c r="N1898" s="297" t="s">
        <v>197</v>
      </c>
      <c r="O1898" s="297" t="s">
        <v>198</v>
      </c>
      <c r="P1898" s="297" t="s">
        <v>199</v>
      </c>
      <c r="Q1898" s="297" t="s">
        <v>200</v>
      </c>
      <c r="R1898" s="297" t="s">
        <v>213</v>
      </c>
      <c r="S1898" s="297" t="s">
        <v>214</v>
      </c>
    </row>
    <row r="1899" spans="1:19" x14ac:dyDescent="0.4">
      <c r="A1899" s="291"/>
      <c r="B1899" s="292"/>
      <c r="C1899" s="312"/>
      <c r="D1899" s="292"/>
      <c r="E1899" s="489"/>
      <c r="F1899" s="489"/>
      <c r="G1899" s="490"/>
      <c r="H1899" s="520"/>
      <c r="I1899" s="523"/>
      <c r="J1899" s="521"/>
      <c r="K1899" s="522"/>
      <c r="M1899" s="301" t="str">
        <f>N1899&amp;AS[[#This Row],[Insurer Code]]&amp;"; "&amp;O1899&amp;AS[[#This Row],[Reporting Year]]&amp;"; "&amp;P1899&amp;AS[[#This Row],[Insurance Category Code]]&amp;"; "&amp;Q1899&amp;AS[[#This Row],[Large Provider Entity Code]]&amp;"; "&amp;R1899&amp;AS[[#This Row],[Age Band Code]]&amp;"; "&amp;S1899&amp;AS[[#This Row],[Sex Code]]</f>
        <v xml:space="preserve">Insurer Code ; Reporting Year ; Insurance Category Code ; Large Provider Entity Code ; Age Band Code ; Sex Code </v>
      </c>
      <c r="N1899" s="297" t="s">
        <v>197</v>
      </c>
      <c r="O1899" s="297" t="s">
        <v>198</v>
      </c>
      <c r="P1899" s="297" t="s">
        <v>199</v>
      </c>
      <c r="Q1899" s="297" t="s">
        <v>200</v>
      </c>
      <c r="R1899" s="297" t="s">
        <v>213</v>
      </c>
      <c r="S1899" s="297" t="s">
        <v>214</v>
      </c>
    </row>
    <row r="1900" spans="1:19" x14ac:dyDescent="0.4">
      <c r="A1900" s="291"/>
      <c r="B1900" s="292"/>
      <c r="C1900" s="312"/>
      <c r="D1900" s="292"/>
      <c r="E1900" s="489"/>
      <c r="F1900" s="489"/>
      <c r="G1900" s="490"/>
      <c r="H1900" s="520"/>
      <c r="I1900" s="523"/>
      <c r="J1900" s="521"/>
      <c r="K1900" s="522"/>
      <c r="M1900" s="301" t="str">
        <f>N1900&amp;AS[[#This Row],[Insurer Code]]&amp;"; "&amp;O1900&amp;AS[[#This Row],[Reporting Year]]&amp;"; "&amp;P1900&amp;AS[[#This Row],[Insurance Category Code]]&amp;"; "&amp;Q1900&amp;AS[[#This Row],[Large Provider Entity Code]]&amp;"; "&amp;R1900&amp;AS[[#This Row],[Age Band Code]]&amp;"; "&amp;S1900&amp;AS[[#This Row],[Sex Code]]</f>
        <v xml:space="preserve">Insurer Code ; Reporting Year ; Insurance Category Code ; Large Provider Entity Code ; Age Band Code ; Sex Code </v>
      </c>
      <c r="N1900" s="297" t="s">
        <v>197</v>
      </c>
      <c r="O1900" s="297" t="s">
        <v>198</v>
      </c>
      <c r="P1900" s="297" t="s">
        <v>199</v>
      </c>
      <c r="Q1900" s="297" t="s">
        <v>200</v>
      </c>
      <c r="R1900" s="297" t="s">
        <v>213</v>
      </c>
      <c r="S1900" s="297" t="s">
        <v>214</v>
      </c>
    </row>
    <row r="1901" spans="1:19" x14ac:dyDescent="0.4">
      <c r="A1901" s="291"/>
      <c r="B1901" s="292"/>
      <c r="C1901" s="312"/>
      <c r="D1901" s="292"/>
      <c r="E1901" s="489"/>
      <c r="F1901" s="489"/>
      <c r="G1901" s="490"/>
      <c r="H1901" s="520"/>
      <c r="I1901" s="523"/>
      <c r="J1901" s="521"/>
      <c r="K1901" s="522"/>
      <c r="M1901" s="301" t="str">
        <f>N1901&amp;AS[[#This Row],[Insurer Code]]&amp;"; "&amp;O1901&amp;AS[[#This Row],[Reporting Year]]&amp;"; "&amp;P1901&amp;AS[[#This Row],[Insurance Category Code]]&amp;"; "&amp;Q1901&amp;AS[[#This Row],[Large Provider Entity Code]]&amp;"; "&amp;R1901&amp;AS[[#This Row],[Age Band Code]]&amp;"; "&amp;S1901&amp;AS[[#This Row],[Sex Code]]</f>
        <v xml:space="preserve">Insurer Code ; Reporting Year ; Insurance Category Code ; Large Provider Entity Code ; Age Band Code ; Sex Code </v>
      </c>
      <c r="N1901" s="297" t="s">
        <v>197</v>
      </c>
      <c r="O1901" s="297" t="s">
        <v>198</v>
      </c>
      <c r="P1901" s="297" t="s">
        <v>199</v>
      </c>
      <c r="Q1901" s="297" t="s">
        <v>200</v>
      </c>
      <c r="R1901" s="297" t="s">
        <v>213</v>
      </c>
      <c r="S1901" s="297" t="s">
        <v>214</v>
      </c>
    </row>
    <row r="1902" spans="1:19" x14ac:dyDescent="0.4">
      <c r="A1902" s="291"/>
      <c r="B1902" s="292"/>
      <c r="C1902" s="312"/>
      <c r="D1902" s="292"/>
      <c r="E1902" s="489"/>
      <c r="F1902" s="489"/>
      <c r="G1902" s="490"/>
      <c r="H1902" s="520"/>
      <c r="I1902" s="523"/>
      <c r="J1902" s="521"/>
      <c r="K1902" s="522"/>
      <c r="M1902" s="301" t="str">
        <f>N1902&amp;AS[[#This Row],[Insurer Code]]&amp;"; "&amp;O1902&amp;AS[[#This Row],[Reporting Year]]&amp;"; "&amp;P1902&amp;AS[[#This Row],[Insurance Category Code]]&amp;"; "&amp;Q1902&amp;AS[[#This Row],[Large Provider Entity Code]]&amp;"; "&amp;R1902&amp;AS[[#This Row],[Age Band Code]]&amp;"; "&amp;S1902&amp;AS[[#This Row],[Sex Code]]</f>
        <v xml:space="preserve">Insurer Code ; Reporting Year ; Insurance Category Code ; Large Provider Entity Code ; Age Band Code ; Sex Code </v>
      </c>
      <c r="N1902" s="297" t="s">
        <v>197</v>
      </c>
      <c r="O1902" s="297" t="s">
        <v>198</v>
      </c>
      <c r="P1902" s="297" t="s">
        <v>199</v>
      </c>
      <c r="Q1902" s="297" t="s">
        <v>200</v>
      </c>
      <c r="R1902" s="297" t="s">
        <v>213</v>
      </c>
      <c r="S1902" s="297" t="s">
        <v>214</v>
      </c>
    </row>
    <row r="1903" spans="1:19" x14ac:dyDescent="0.4">
      <c r="A1903" s="291"/>
      <c r="B1903" s="292"/>
      <c r="C1903" s="312"/>
      <c r="D1903" s="292"/>
      <c r="E1903" s="489"/>
      <c r="F1903" s="489"/>
      <c r="G1903" s="490"/>
      <c r="H1903" s="520"/>
      <c r="I1903" s="523"/>
      <c r="J1903" s="521"/>
      <c r="K1903" s="522"/>
      <c r="M1903" s="301" t="str">
        <f>N1903&amp;AS[[#This Row],[Insurer Code]]&amp;"; "&amp;O1903&amp;AS[[#This Row],[Reporting Year]]&amp;"; "&amp;P1903&amp;AS[[#This Row],[Insurance Category Code]]&amp;"; "&amp;Q1903&amp;AS[[#This Row],[Large Provider Entity Code]]&amp;"; "&amp;R1903&amp;AS[[#This Row],[Age Band Code]]&amp;"; "&amp;S1903&amp;AS[[#This Row],[Sex Code]]</f>
        <v xml:space="preserve">Insurer Code ; Reporting Year ; Insurance Category Code ; Large Provider Entity Code ; Age Band Code ; Sex Code </v>
      </c>
      <c r="N1903" s="297" t="s">
        <v>197</v>
      </c>
      <c r="O1903" s="297" t="s">
        <v>198</v>
      </c>
      <c r="P1903" s="297" t="s">
        <v>199</v>
      </c>
      <c r="Q1903" s="297" t="s">
        <v>200</v>
      </c>
      <c r="R1903" s="297" t="s">
        <v>213</v>
      </c>
      <c r="S1903" s="297" t="s">
        <v>214</v>
      </c>
    </row>
    <row r="1904" spans="1:19" x14ac:dyDescent="0.4">
      <c r="A1904" s="291"/>
      <c r="B1904" s="292"/>
      <c r="C1904" s="312"/>
      <c r="D1904" s="292"/>
      <c r="E1904" s="489"/>
      <c r="F1904" s="489"/>
      <c r="G1904" s="490"/>
      <c r="H1904" s="520"/>
      <c r="I1904" s="523"/>
      <c r="J1904" s="521"/>
      <c r="K1904" s="522"/>
      <c r="M1904" s="301" t="str">
        <f>N1904&amp;AS[[#This Row],[Insurer Code]]&amp;"; "&amp;O1904&amp;AS[[#This Row],[Reporting Year]]&amp;"; "&amp;P1904&amp;AS[[#This Row],[Insurance Category Code]]&amp;"; "&amp;Q1904&amp;AS[[#This Row],[Large Provider Entity Code]]&amp;"; "&amp;R1904&amp;AS[[#This Row],[Age Band Code]]&amp;"; "&amp;S1904&amp;AS[[#This Row],[Sex Code]]</f>
        <v xml:space="preserve">Insurer Code ; Reporting Year ; Insurance Category Code ; Large Provider Entity Code ; Age Band Code ; Sex Code </v>
      </c>
      <c r="N1904" s="297" t="s">
        <v>197</v>
      </c>
      <c r="O1904" s="297" t="s">
        <v>198</v>
      </c>
      <c r="P1904" s="297" t="s">
        <v>199</v>
      </c>
      <c r="Q1904" s="297" t="s">
        <v>200</v>
      </c>
      <c r="R1904" s="297" t="s">
        <v>213</v>
      </c>
      <c r="S1904" s="297" t="s">
        <v>214</v>
      </c>
    </row>
    <row r="1905" spans="1:19" x14ac:dyDescent="0.4">
      <c r="A1905" s="291"/>
      <c r="B1905" s="292"/>
      <c r="C1905" s="312"/>
      <c r="D1905" s="292"/>
      <c r="E1905" s="489"/>
      <c r="F1905" s="489"/>
      <c r="G1905" s="490"/>
      <c r="H1905" s="520"/>
      <c r="I1905" s="523"/>
      <c r="J1905" s="521"/>
      <c r="K1905" s="522"/>
      <c r="M1905" s="301" t="str">
        <f>N1905&amp;AS[[#This Row],[Insurer Code]]&amp;"; "&amp;O1905&amp;AS[[#This Row],[Reporting Year]]&amp;"; "&amp;P1905&amp;AS[[#This Row],[Insurance Category Code]]&amp;"; "&amp;Q1905&amp;AS[[#This Row],[Large Provider Entity Code]]&amp;"; "&amp;R1905&amp;AS[[#This Row],[Age Band Code]]&amp;"; "&amp;S1905&amp;AS[[#This Row],[Sex Code]]</f>
        <v xml:space="preserve">Insurer Code ; Reporting Year ; Insurance Category Code ; Large Provider Entity Code ; Age Band Code ; Sex Code </v>
      </c>
      <c r="N1905" s="297" t="s">
        <v>197</v>
      </c>
      <c r="O1905" s="297" t="s">
        <v>198</v>
      </c>
      <c r="P1905" s="297" t="s">
        <v>199</v>
      </c>
      <c r="Q1905" s="297" t="s">
        <v>200</v>
      </c>
      <c r="R1905" s="297" t="s">
        <v>213</v>
      </c>
      <c r="S1905" s="297" t="s">
        <v>214</v>
      </c>
    </row>
    <row r="1906" spans="1:19" x14ac:dyDescent="0.4">
      <c r="A1906" s="291"/>
      <c r="B1906" s="292"/>
      <c r="C1906" s="312"/>
      <c r="D1906" s="292"/>
      <c r="E1906" s="489"/>
      <c r="F1906" s="489"/>
      <c r="G1906" s="490"/>
      <c r="H1906" s="520"/>
      <c r="I1906" s="523"/>
      <c r="J1906" s="521"/>
      <c r="K1906" s="522"/>
      <c r="M1906" s="301" t="str">
        <f>N1906&amp;AS[[#This Row],[Insurer Code]]&amp;"; "&amp;O1906&amp;AS[[#This Row],[Reporting Year]]&amp;"; "&amp;P1906&amp;AS[[#This Row],[Insurance Category Code]]&amp;"; "&amp;Q1906&amp;AS[[#This Row],[Large Provider Entity Code]]&amp;"; "&amp;R1906&amp;AS[[#This Row],[Age Band Code]]&amp;"; "&amp;S1906&amp;AS[[#This Row],[Sex Code]]</f>
        <v xml:space="preserve">Insurer Code ; Reporting Year ; Insurance Category Code ; Large Provider Entity Code ; Age Band Code ; Sex Code </v>
      </c>
      <c r="N1906" s="297" t="s">
        <v>197</v>
      </c>
      <c r="O1906" s="297" t="s">
        <v>198</v>
      </c>
      <c r="P1906" s="297" t="s">
        <v>199</v>
      </c>
      <c r="Q1906" s="297" t="s">
        <v>200</v>
      </c>
      <c r="R1906" s="297" t="s">
        <v>213</v>
      </c>
      <c r="S1906" s="297" t="s">
        <v>214</v>
      </c>
    </row>
    <row r="1907" spans="1:19" x14ac:dyDescent="0.4">
      <c r="A1907" s="291"/>
      <c r="B1907" s="292"/>
      <c r="C1907" s="312"/>
      <c r="D1907" s="292"/>
      <c r="E1907" s="489"/>
      <c r="F1907" s="489"/>
      <c r="G1907" s="490"/>
      <c r="H1907" s="520"/>
      <c r="I1907" s="523"/>
      <c r="J1907" s="521"/>
      <c r="K1907" s="522"/>
      <c r="M1907" s="301" t="str">
        <f>N1907&amp;AS[[#This Row],[Insurer Code]]&amp;"; "&amp;O1907&amp;AS[[#This Row],[Reporting Year]]&amp;"; "&amp;P1907&amp;AS[[#This Row],[Insurance Category Code]]&amp;"; "&amp;Q1907&amp;AS[[#This Row],[Large Provider Entity Code]]&amp;"; "&amp;R1907&amp;AS[[#This Row],[Age Band Code]]&amp;"; "&amp;S1907&amp;AS[[#This Row],[Sex Code]]</f>
        <v xml:space="preserve">Insurer Code ; Reporting Year ; Insurance Category Code ; Large Provider Entity Code ; Age Band Code ; Sex Code </v>
      </c>
      <c r="N1907" s="297" t="s">
        <v>197</v>
      </c>
      <c r="O1907" s="297" t="s">
        <v>198</v>
      </c>
      <c r="P1907" s="297" t="s">
        <v>199</v>
      </c>
      <c r="Q1907" s="297" t="s">
        <v>200</v>
      </c>
      <c r="R1907" s="297" t="s">
        <v>213</v>
      </c>
      <c r="S1907" s="297" t="s">
        <v>214</v>
      </c>
    </row>
    <row r="1908" spans="1:19" x14ac:dyDescent="0.4">
      <c r="A1908" s="291"/>
      <c r="B1908" s="292"/>
      <c r="C1908" s="312"/>
      <c r="D1908" s="292"/>
      <c r="E1908" s="489"/>
      <c r="F1908" s="489"/>
      <c r="G1908" s="490"/>
      <c r="H1908" s="520"/>
      <c r="I1908" s="523"/>
      <c r="J1908" s="521"/>
      <c r="K1908" s="522"/>
      <c r="M1908" s="301" t="str">
        <f>N1908&amp;AS[[#This Row],[Insurer Code]]&amp;"; "&amp;O1908&amp;AS[[#This Row],[Reporting Year]]&amp;"; "&amp;P1908&amp;AS[[#This Row],[Insurance Category Code]]&amp;"; "&amp;Q1908&amp;AS[[#This Row],[Large Provider Entity Code]]&amp;"; "&amp;R1908&amp;AS[[#This Row],[Age Band Code]]&amp;"; "&amp;S1908&amp;AS[[#This Row],[Sex Code]]</f>
        <v xml:space="preserve">Insurer Code ; Reporting Year ; Insurance Category Code ; Large Provider Entity Code ; Age Band Code ; Sex Code </v>
      </c>
      <c r="N1908" s="297" t="s">
        <v>197</v>
      </c>
      <c r="O1908" s="297" t="s">
        <v>198</v>
      </c>
      <c r="P1908" s="297" t="s">
        <v>199</v>
      </c>
      <c r="Q1908" s="297" t="s">
        <v>200</v>
      </c>
      <c r="R1908" s="297" t="s">
        <v>213</v>
      </c>
      <c r="S1908" s="297" t="s">
        <v>214</v>
      </c>
    </row>
    <row r="1909" spans="1:19" x14ac:dyDescent="0.4">
      <c r="A1909" s="291"/>
      <c r="B1909" s="292"/>
      <c r="C1909" s="312"/>
      <c r="D1909" s="292"/>
      <c r="E1909" s="489"/>
      <c r="F1909" s="489"/>
      <c r="G1909" s="490"/>
      <c r="H1909" s="520"/>
      <c r="I1909" s="523"/>
      <c r="J1909" s="521"/>
      <c r="K1909" s="522"/>
      <c r="M1909" s="301" t="str">
        <f>N1909&amp;AS[[#This Row],[Insurer Code]]&amp;"; "&amp;O1909&amp;AS[[#This Row],[Reporting Year]]&amp;"; "&amp;P1909&amp;AS[[#This Row],[Insurance Category Code]]&amp;"; "&amp;Q1909&amp;AS[[#This Row],[Large Provider Entity Code]]&amp;"; "&amp;R1909&amp;AS[[#This Row],[Age Band Code]]&amp;"; "&amp;S1909&amp;AS[[#This Row],[Sex Code]]</f>
        <v xml:space="preserve">Insurer Code ; Reporting Year ; Insurance Category Code ; Large Provider Entity Code ; Age Band Code ; Sex Code </v>
      </c>
      <c r="N1909" s="297" t="s">
        <v>197</v>
      </c>
      <c r="O1909" s="297" t="s">
        <v>198</v>
      </c>
      <c r="P1909" s="297" t="s">
        <v>199</v>
      </c>
      <c r="Q1909" s="297" t="s">
        <v>200</v>
      </c>
      <c r="R1909" s="297" t="s">
        <v>213</v>
      </c>
      <c r="S1909" s="297" t="s">
        <v>214</v>
      </c>
    </row>
    <row r="1910" spans="1:19" x14ac:dyDescent="0.4">
      <c r="A1910" s="291"/>
      <c r="B1910" s="292"/>
      <c r="C1910" s="312"/>
      <c r="D1910" s="292"/>
      <c r="E1910" s="489"/>
      <c r="F1910" s="489"/>
      <c r="G1910" s="490"/>
      <c r="H1910" s="520"/>
      <c r="I1910" s="523"/>
      <c r="J1910" s="521"/>
      <c r="K1910" s="522"/>
      <c r="M1910" s="301" t="str">
        <f>N1910&amp;AS[[#This Row],[Insurer Code]]&amp;"; "&amp;O1910&amp;AS[[#This Row],[Reporting Year]]&amp;"; "&amp;P1910&amp;AS[[#This Row],[Insurance Category Code]]&amp;"; "&amp;Q1910&amp;AS[[#This Row],[Large Provider Entity Code]]&amp;"; "&amp;R1910&amp;AS[[#This Row],[Age Band Code]]&amp;"; "&amp;S1910&amp;AS[[#This Row],[Sex Code]]</f>
        <v xml:space="preserve">Insurer Code ; Reporting Year ; Insurance Category Code ; Large Provider Entity Code ; Age Band Code ; Sex Code </v>
      </c>
      <c r="N1910" s="297" t="s">
        <v>197</v>
      </c>
      <c r="O1910" s="297" t="s">
        <v>198</v>
      </c>
      <c r="P1910" s="297" t="s">
        <v>199</v>
      </c>
      <c r="Q1910" s="297" t="s">
        <v>200</v>
      </c>
      <c r="R1910" s="297" t="s">
        <v>213</v>
      </c>
      <c r="S1910" s="297" t="s">
        <v>214</v>
      </c>
    </row>
    <row r="1911" spans="1:19" x14ac:dyDescent="0.4">
      <c r="A1911" s="291"/>
      <c r="B1911" s="292"/>
      <c r="C1911" s="312"/>
      <c r="D1911" s="292"/>
      <c r="E1911" s="489"/>
      <c r="F1911" s="489"/>
      <c r="G1911" s="490"/>
      <c r="H1911" s="520"/>
      <c r="I1911" s="523"/>
      <c r="J1911" s="521"/>
      <c r="K1911" s="522"/>
      <c r="M1911" s="301" t="str">
        <f>N1911&amp;AS[[#This Row],[Insurer Code]]&amp;"; "&amp;O1911&amp;AS[[#This Row],[Reporting Year]]&amp;"; "&amp;P1911&amp;AS[[#This Row],[Insurance Category Code]]&amp;"; "&amp;Q1911&amp;AS[[#This Row],[Large Provider Entity Code]]&amp;"; "&amp;R1911&amp;AS[[#This Row],[Age Band Code]]&amp;"; "&amp;S1911&amp;AS[[#This Row],[Sex Code]]</f>
        <v xml:space="preserve">Insurer Code ; Reporting Year ; Insurance Category Code ; Large Provider Entity Code ; Age Band Code ; Sex Code </v>
      </c>
      <c r="N1911" s="297" t="s">
        <v>197</v>
      </c>
      <c r="O1911" s="297" t="s">
        <v>198</v>
      </c>
      <c r="P1911" s="297" t="s">
        <v>199</v>
      </c>
      <c r="Q1911" s="297" t="s">
        <v>200</v>
      </c>
      <c r="R1911" s="297" t="s">
        <v>213</v>
      </c>
      <c r="S1911" s="297" t="s">
        <v>214</v>
      </c>
    </row>
    <row r="1912" spans="1:19" x14ac:dyDescent="0.4">
      <c r="A1912" s="291"/>
      <c r="B1912" s="292"/>
      <c r="C1912" s="312"/>
      <c r="D1912" s="292"/>
      <c r="E1912" s="489"/>
      <c r="F1912" s="489"/>
      <c r="G1912" s="490"/>
      <c r="H1912" s="520"/>
      <c r="I1912" s="523"/>
      <c r="J1912" s="521"/>
      <c r="K1912" s="522"/>
      <c r="M1912" s="301" t="str">
        <f>N1912&amp;AS[[#This Row],[Insurer Code]]&amp;"; "&amp;O1912&amp;AS[[#This Row],[Reporting Year]]&amp;"; "&amp;P1912&amp;AS[[#This Row],[Insurance Category Code]]&amp;"; "&amp;Q1912&amp;AS[[#This Row],[Large Provider Entity Code]]&amp;"; "&amp;R1912&amp;AS[[#This Row],[Age Band Code]]&amp;"; "&amp;S1912&amp;AS[[#This Row],[Sex Code]]</f>
        <v xml:space="preserve">Insurer Code ; Reporting Year ; Insurance Category Code ; Large Provider Entity Code ; Age Band Code ; Sex Code </v>
      </c>
      <c r="N1912" s="297" t="s">
        <v>197</v>
      </c>
      <c r="O1912" s="297" t="s">
        <v>198</v>
      </c>
      <c r="P1912" s="297" t="s">
        <v>199</v>
      </c>
      <c r="Q1912" s="297" t="s">
        <v>200</v>
      </c>
      <c r="R1912" s="297" t="s">
        <v>213</v>
      </c>
      <c r="S1912" s="297" t="s">
        <v>214</v>
      </c>
    </row>
    <row r="1913" spans="1:19" x14ac:dyDescent="0.4">
      <c r="A1913" s="291"/>
      <c r="B1913" s="292"/>
      <c r="C1913" s="312"/>
      <c r="D1913" s="292"/>
      <c r="E1913" s="489"/>
      <c r="F1913" s="489"/>
      <c r="G1913" s="490"/>
      <c r="H1913" s="520"/>
      <c r="I1913" s="523"/>
      <c r="J1913" s="521"/>
      <c r="K1913" s="522"/>
      <c r="M1913" s="301" t="str">
        <f>N1913&amp;AS[[#This Row],[Insurer Code]]&amp;"; "&amp;O1913&amp;AS[[#This Row],[Reporting Year]]&amp;"; "&amp;P1913&amp;AS[[#This Row],[Insurance Category Code]]&amp;"; "&amp;Q1913&amp;AS[[#This Row],[Large Provider Entity Code]]&amp;"; "&amp;R1913&amp;AS[[#This Row],[Age Band Code]]&amp;"; "&amp;S1913&amp;AS[[#This Row],[Sex Code]]</f>
        <v xml:space="preserve">Insurer Code ; Reporting Year ; Insurance Category Code ; Large Provider Entity Code ; Age Band Code ; Sex Code </v>
      </c>
      <c r="N1913" s="297" t="s">
        <v>197</v>
      </c>
      <c r="O1913" s="297" t="s">
        <v>198</v>
      </c>
      <c r="P1913" s="297" t="s">
        <v>199</v>
      </c>
      <c r="Q1913" s="297" t="s">
        <v>200</v>
      </c>
      <c r="R1913" s="297" t="s">
        <v>213</v>
      </c>
      <c r="S1913" s="297" t="s">
        <v>214</v>
      </c>
    </row>
    <row r="1914" spans="1:19" x14ac:dyDescent="0.4">
      <c r="A1914" s="291"/>
      <c r="B1914" s="292"/>
      <c r="C1914" s="312"/>
      <c r="D1914" s="292"/>
      <c r="E1914" s="489"/>
      <c r="F1914" s="489"/>
      <c r="G1914" s="490"/>
      <c r="H1914" s="520"/>
      <c r="I1914" s="523"/>
      <c r="J1914" s="521"/>
      <c r="K1914" s="522"/>
      <c r="M1914" s="301" t="str">
        <f>N1914&amp;AS[[#This Row],[Insurer Code]]&amp;"; "&amp;O1914&amp;AS[[#This Row],[Reporting Year]]&amp;"; "&amp;P1914&amp;AS[[#This Row],[Insurance Category Code]]&amp;"; "&amp;Q1914&amp;AS[[#This Row],[Large Provider Entity Code]]&amp;"; "&amp;R1914&amp;AS[[#This Row],[Age Band Code]]&amp;"; "&amp;S1914&amp;AS[[#This Row],[Sex Code]]</f>
        <v xml:space="preserve">Insurer Code ; Reporting Year ; Insurance Category Code ; Large Provider Entity Code ; Age Band Code ; Sex Code </v>
      </c>
      <c r="N1914" s="297" t="s">
        <v>197</v>
      </c>
      <c r="O1914" s="297" t="s">
        <v>198</v>
      </c>
      <c r="P1914" s="297" t="s">
        <v>199</v>
      </c>
      <c r="Q1914" s="297" t="s">
        <v>200</v>
      </c>
      <c r="R1914" s="297" t="s">
        <v>213</v>
      </c>
      <c r="S1914" s="297" t="s">
        <v>214</v>
      </c>
    </row>
    <row r="1915" spans="1:19" x14ac:dyDescent="0.4">
      <c r="A1915" s="291"/>
      <c r="B1915" s="292"/>
      <c r="C1915" s="312"/>
      <c r="D1915" s="292"/>
      <c r="E1915" s="489"/>
      <c r="F1915" s="489"/>
      <c r="G1915" s="490"/>
      <c r="H1915" s="520"/>
      <c r="I1915" s="523"/>
      <c r="J1915" s="521"/>
      <c r="K1915" s="522"/>
      <c r="M1915" s="301" t="str">
        <f>N1915&amp;AS[[#This Row],[Insurer Code]]&amp;"; "&amp;O1915&amp;AS[[#This Row],[Reporting Year]]&amp;"; "&amp;P1915&amp;AS[[#This Row],[Insurance Category Code]]&amp;"; "&amp;Q1915&amp;AS[[#This Row],[Large Provider Entity Code]]&amp;"; "&amp;R1915&amp;AS[[#This Row],[Age Band Code]]&amp;"; "&amp;S1915&amp;AS[[#This Row],[Sex Code]]</f>
        <v xml:space="preserve">Insurer Code ; Reporting Year ; Insurance Category Code ; Large Provider Entity Code ; Age Band Code ; Sex Code </v>
      </c>
      <c r="N1915" s="297" t="s">
        <v>197</v>
      </c>
      <c r="O1915" s="297" t="s">
        <v>198</v>
      </c>
      <c r="P1915" s="297" t="s">
        <v>199</v>
      </c>
      <c r="Q1915" s="297" t="s">
        <v>200</v>
      </c>
      <c r="R1915" s="297" t="s">
        <v>213</v>
      </c>
      <c r="S1915" s="297" t="s">
        <v>214</v>
      </c>
    </row>
    <row r="1916" spans="1:19" x14ac:dyDescent="0.4">
      <c r="A1916" s="291"/>
      <c r="B1916" s="292"/>
      <c r="C1916" s="312"/>
      <c r="D1916" s="292"/>
      <c r="E1916" s="489"/>
      <c r="F1916" s="489"/>
      <c r="G1916" s="490"/>
      <c r="H1916" s="520"/>
      <c r="I1916" s="523"/>
      <c r="J1916" s="521"/>
      <c r="K1916" s="522"/>
      <c r="M1916" s="301" t="str">
        <f>N1916&amp;AS[[#This Row],[Insurer Code]]&amp;"; "&amp;O1916&amp;AS[[#This Row],[Reporting Year]]&amp;"; "&amp;P1916&amp;AS[[#This Row],[Insurance Category Code]]&amp;"; "&amp;Q1916&amp;AS[[#This Row],[Large Provider Entity Code]]&amp;"; "&amp;R1916&amp;AS[[#This Row],[Age Band Code]]&amp;"; "&amp;S1916&amp;AS[[#This Row],[Sex Code]]</f>
        <v xml:space="preserve">Insurer Code ; Reporting Year ; Insurance Category Code ; Large Provider Entity Code ; Age Band Code ; Sex Code </v>
      </c>
      <c r="N1916" s="297" t="s">
        <v>197</v>
      </c>
      <c r="O1916" s="297" t="s">
        <v>198</v>
      </c>
      <c r="P1916" s="297" t="s">
        <v>199</v>
      </c>
      <c r="Q1916" s="297" t="s">
        <v>200</v>
      </c>
      <c r="R1916" s="297" t="s">
        <v>213</v>
      </c>
      <c r="S1916" s="297" t="s">
        <v>214</v>
      </c>
    </row>
    <row r="1917" spans="1:19" x14ac:dyDescent="0.4">
      <c r="A1917" s="291"/>
      <c r="B1917" s="292"/>
      <c r="C1917" s="312"/>
      <c r="D1917" s="292"/>
      <c r="E1917" s="489"/>
      <c r="F1917" s="489"/>
      <c r="G1917" s="490"/>
      <c r="H1917" s="520"/>
      <c r="I1917" s="523"/>
      <c r="J1917" s="521"/>
      <c r="K1917" s="522"/>
      <c r="M1917" s="301" t="str">
        <f>N1917&amp;AS[[#This Row],[Insurer Code]]&amp;"; "&amp;O1917&amp;AS[[#This Row],[Reporting Year]]&amp;"; "&amp;P1917&amp;AS[[#This Row],[Insurance Category Code]]&amp;"; "&amp;Q1917&amp;AS[[#This Row],[Large Provider Entity Code]]&amp;"; "&amp;R1917&amp;AS[[#This Row],[Age Band Code]]&amp;"; "&amp;S1917&amp;AS[[#This Row],[Sex Code]]</f>
        <v xml:space="preserve">Insurer Code ; Reporting Year ; Insurance Category Code ; Large Provider Entity Code ; Age Band Code ; Sex Code </v>
      </c>
      <c r="N1917" s="297" t="s">
        <v>197</v>
      </c>
      <c r="O1917" s="297" t="s">
        <v>198</v>
      </c>
      <c r="P1917" s="297" t="s">
        <v>199</v>
      </c>
      <c r="Q1917" s="297" t="s">
        <v>200</v>
      </c>
      <c r="R1917" s="297" t="s">
        <v>213</v>
      </c>
      <c r="S1917" s="297" t="s">
        <v>214</v>
      </c>
    </row>
    <row r="1918" spans="1:19" x14ac:dyDescent="0.4">
      <c r="A1918" s="291"/>
      <c r="B1918" s="292"/>
      <c r="C1918" s="312"/>
      <c r="D1918" s="292"/>
      <c r="E1918" s="489"/>
      <c r="F1918" s="489"/>
      <c r="G1918" s="490"/>
      <c r="H1918" s="520"/>
      <c r="I1918" s="523"/>
      <c r="J1918" s="521"/>
      <c r="K1918" s="522"/>
      <c r="M1918" s="301" t="str">
        <f>N1918&amp;AS[[#This Row],[Insurer Code]]&amp;"; "&amp;O1918&amp;AS[[#This Row],[Reporting Year]]&amp;"; "&amp;P1918&amp;AS[[#This Row],[Insurance Category Code]]&amp;"; "&amp;Q1918&amp;AS[[#This Row],[Large Provider Entity Code]]&amp;"; "&amp;R1918&amp;AS[[#This Row],[Age Band Code]]&amp;"; "&amp;S1918&amp;AS[[#This Row],[Sex Code]]</f>
        <v xml:space="preserve">Insurer Code ; Reporting Year ; Insurance Category Code ; Large Provider Entity Code ; Age Band Code ; Sex Code </v>
      </c>
      <c r="N1918" s="297" t="s">
        <v>197</v>
      </c>
      <c r="O1918" s="297" t="s">
        <v>198</v>
      </c>
      <c r="P1918" s="297" t="s">
        <v>199</v>
      </c>
      <c r="Q1918" s="297" t="s">
        <v>200</v>
      </c>
      <c r="R1918" s="297" t="s">
        <v>213</v>
      </c>
      <c r="S1918" s="297" t="s">
        <v>214</v>
      </c>
    </row>
    <row r="1919" spans="1:19" x14ac:dyDescent="0.4">
      <c r="A1919" s="291"/>
      <c r="B1919" s="292"/>
      <c r="C1919" s="312"/>
      <c r="D1919" s="292"/>
      <c r="E1919" s="489"/>
      <c r="F1919" s="489"/>
      <c r="G1919" s="490"/>
      <c r="H1919" s="520"/>
      <c r="I1919" s="523"/>
      <c r="J1919" s="521"/>
      <c r="K1919" s="522"/>
      <c r="M1919" s="301" t="str">
        <f>N1919&amp;AS[[#This Row],[Insurer Code]]&amp;"; "&amp;O1919&amp;AS[[#This Row],[Reporting Year]]&amp;"; "&amp;P1919&amp;AS[[#This Row],[Insurance Category Code]]&amp;"; "&amp;Q1919&amp;AS[[#This Row],[Large Provider Entity Code]]&amp;"; "&amp;R1919&amp;AS[[#This Row],[Age Band Code]]&amp;"; "&amp;S1919&amp;AS[[#This Row],[Sex Code]]</f>
        <v xml:space="preserve">Insurer Code ; Reporting Year ; Insurance Category Code ; Large Provider Entity Code ; Age Band Code ; Sex Code </v>
      </c>
      <c r="N1919" s="297" t="s">
        <v>197</v>
      </c>
      <c r="O1919" s="297" t="s">
        <v>198</v>
      </c>
      <c r="P1919" s="297" t="s">
        <v>199</v>
      </c>
      <c r="Q1919" s="297" t="s">
        <v>200</v>
      </c>
      <c r="R1919" s="297" t="s">
        <v>213</v>
      </c>
      <c r="S1919" s="297" t="s">
        <v>214</v>
      </c>
    </row>
    <row r="1920" spans="1:19" x14ac:dyDescent="0.4">
      <c r="A1920" s="291"/>
      <c r="B1920" s="292"/>
      <c r="C1920" s="312"/>
      <c r="D1920" s="292"/>
      <c r="E1920" s="489"/>
      <c r="F1920" s="489"/>
      <c r="G1920" s="490"/>
      <c r="H1920" s="520"/>
      <c r="I1920" s="523"/>
      <c r="J1920" s="521"/>
      <c r="K1920" s="522"/>
      <c r="M1920" s="301" t="str">
        <f>N1920&amp;AS[[#This Row],[Insurer Code]]&amp;"; "&amp;O1920&amp;AS[[#This Row],[Reporting Year]]&amp;"; "&amp;P1920&amp;AS[[#This Row],[Insurance Category Code]]&amp;"; "&amp;Q1920&amp;AS[[#This Row],[Large Provider Entity Code]]&amp;"; "&amp;R1920&amp;AS[[#This Row],[Age Band Code]]&amp;"; "&amp;S1920&amp;AS[[#This Row],[Sex Code]]</f>
        <v xml:space="preserve">Insurer Code ; Reporting Year ; Insurance Category Code ; Large Provider Entity Code ; Age Band Code ; Sex Code </v>
      </c>
      <c r="N1920" s="297" t="s">
        <v>197</v>
      </c>
      <c r="O1920" s="297" t="s">
        <v>198</v>
      </c>
      <c r="P1920" s="297" t="s">
        <v>199</v>
      </c>
      <c r="Q1920" s="297" t="s">
        <v>200</v>
      </c>
      <c r="R1920" s="297" t="s">
        <v>213</v>
      </c>
      <c r="S1920" s="297" t="s">
        <v>214</v>
      </c>
    </row>
    <row r="1921" spans="1:19" x14ac:dyDescent="0.4">
      <c r="A1921" s="291"/>
      <c r="B1921" s="292"/>
      <c r="C1921" s="312"/>
      <c r="D1921" s="292"/>
      <c r="E1921" s="489"/>
      <c r="F1921" s="489"/>
      <c r="G1921" s="490"/>
      <c r="H1921" s="520"/>
      <c r="I1921" s="523"/>
      <c r="J1921" s="521"/>
      <c r="K1921" s="522"/>
      <c r="M1921" s="301" t="str">
        <f>N1921&amp;AS[[#This Row],[Insurer Code]]&amp;"; "&amp;O1921&amp;AS[[#This Row],[Reporting Year]]&amp;"; "&amp;P1921&amp;AS[[#This Row],[Insurance Category Code]]&amp;"; "&amp;Q1921&amp;AS[[#This Row],[Large Provider Entity Code]]&amp;"; "&amp;R1921&amp;AS[[#This Row],[Age Band Code]]&amp;"; "&amp;S1921&amp;AS[[#This Row],[Sex Code]]</f>
        <v xml:space="preserve">Insurer Code ; Reporting Year ; Insurance Category Code ; Large Provider Entity Code ; Age Band Code ; Sex Code </v>
      </c>
      <c r="N1921" s="297" t="s">
        <v>197</v>
      </c>
      <c r="O1921" s="297" t="s">
        <v>198</v>
      </c>
      <c r="P1921" s="297" t="s">
        <v>199</v>
      </c>
      <c r="Q1921" s="297" t="s">
        <v>200</v>
      </c>
      <c r="R1921" s="297" t="s">
        <v>213</v>
      </c>
      <c r="S1921" s="297" t="s">
        <v>214</v>
      </c>
    </row>
    <row r="1922" spans="1:19" x14ac:dyDescent="0.4">
      <c r="A1922" s="291"/>
      <c r="B1922" s="292"/>
      <c r="C1922" s="312"/>
      <c r="D1922" s="292"/>
      <c r="E1922" s="489"/>
      <c r="F1922" s="489"/>
      <c r="G1922" s="490"/>
      <c r="H1922" s="520"/>
      <c r="I1922" s="523"/>
      <c r="J1922" s="521"/>
      <c r="K1922" s="522"/>
      <c r="M1922" s="301" t="str">
        <f>N1922&amp;AS[[#This Row],[Insurer Code]]&amp;"; "&amp;O1922&amp;AS[[#This Row],[Reporting Year]]&amp;"; "&amp;P1922&amp;AS[[#This Row],[Insurance Category Code]]&amp;"; "&amp;Q1922&amp;AS[[#This Row],[Large Provider Entity Code]]&amp;"; "&amp;R1922&amp;AS[[#This Row],[Age Band Code]]&amp;"; "&amp;S1922&amp;AS[[#This Row],[Sex Code]]</f>
        <v xml:space="preserve">Insurer Code ; Reporting Year ; Insurance Category Code ; Large Provider Entity Code ; Age Band Code ; Sex Code </v>
      </c>
      <c r="N1922" s="297" t="s">
        <v>197</v>
      </c>
      <c r="O1922" s="297" t="s">
        <v>198</v>
      </c>
      <c r="P1922" s="297" t="s">
        <v>199</v>
      </c>
      <c r="Q1922" s="297" t="s">
        <v>200</v>
      </c>
      <c r="R1922" s="297" t="s">
        <v>213</v>
      </c>
      <c r="S1922" s="297" t="s">
        <v>214</v>
      </c>
    </row>
    <row r="1923" spans="1:19" x14ac:dyDescent="0.4">
      <c r="A1923" s="291"/>
      <c r="B1923" s="292"/>
      <c r="C1923" s="312"/>
      <c r="D1923" s="292"/>
      <c r="E1923" s="489"/>
      <c r="F1923" s="489"/>
      <c r="G1923" s="490"/>
      <c r="H1923" s="520"/>
      <c r="I1923" s="523"/>
      <c r="J1923" s="521"/>
      <c r="K1923" s="522"/>
      <c r="M1923" s="301" t="str">
        <f>N1923&amp;AS[[#This Row],[Insurer Code]]&amp;"; "&amp;O1923&amp;AS[[#This Row],[Reporting Year]]&amp;"; "&amp;P1923&amp;AS[[#This Row],[Insurance Category Code]]&amp;"; "&amp;Q1923&amp;AS[[#This Row],[Large Provider Entity Code]]&amp;"; "&amp;R1923&amp;AS[[#This Row],[Age Band Code]]&amp;"; "&amp;S1923&amp;AS[[#This Row],[Sex Code]]</f>
        <v xml:space="preserve">Insurer Code ; Reporting Year ; Insurance Category Code ; Large Provider Entity Code ; Age Band Code ; Sex Code </v>
      </c>
      <c r="N1923" s="297" t="s">
        <v>197</v>
      </c>
      <c r="O1923" s="297" t="s">
        <v>198</v>
      </c>
      <c r="P1923" s="297" t="s">
        <v>199</v>
      </c>
      <c r="Q1923" s="297" t="s">
        <v>200</v>
      </c>
      <c r="R1923" s="297" t="s">
        <v>213</v>
      </c>
      <c r="S1923" s="297" t="s">
        <v>214</v>
      </c>
    </row>
    <row r="1924" spans="1:19" x14ac:dyDescent="0.4">
      <c r="A1924" s="291"/>
      <c r="B1924" s="292"/>
      <c r="C1924" s="312"/>
      <c r="D1924" s="292"/>
      <c r="E1924" s="489"/>
      <c r="F1924" s="489"/>
      <c r="G1924" s="490"/>
      <c r="H1924" s="520"/>
      <c r="I1924" s="523"/>
      <c r="J1924" s="521"/>
      <c r="K1924" s="522"/>
      <c r="M1924" s="301" t="str">
        <f>N1924&amp;AS[[#This Row],[Insurer Code]]&amp;"; "&amp;O1924&amp;AS[[#This Row],[Reporting Year]]&amp;"; "&amp;P1924&amp;AS[[#This Row],[Insurance Category Code]]&amp;"; "&amp;Q1924&amp;AS[[#This Row],[Large Provider Entity Code]]&amp;"; "&amp;R1924&amp;AS[[#This Row],[Age Band Code]]&amp;"; "&amp;S1924&amp;AS[[#This Row],[Sex Code]]</f>
        <v xml:space="preserve">Insurer Code ; Reporting Year ; Insurance Category Code ; Large Provider Entity Code ; Age Band Code ; Sex Code </v>
      </c>
      <c r="N1924" s="297" t="s">
        <v>197</v>
      </c>
      <c r="O1924" s="297" t="s">
        <v>198</v>
      </c>
      <c r="P1924" s="297" t="s">
        <v>199</v>
      </c>
      <c r="Q1924" s="297" t="s">
        <v>200</v>
      </c>
      <c r="R1924" s="297" t="s">
        <v>213</v>
      </c>
      <c r="S1924" s="297" t="s">
        <v>214</v>
      </c>
    </row>
    <row r="1925" spans="1:19" x14ac:dyDescent="0.4">
      <c r="A1925" s="291"/>
      <c r="B1925" s="292"/>
      <c r="C1925" s="312"/>
      <c r="D1925" s="292"/>
      <c r="E1925" s="489"/>
      <c r="F1925" s="489"/>
      <c r="G1925" s="490"/>
      <c r="H1925" s="520"/>
      <c r="I1925" s="523"/>
      <c r="J1925" s="521"/>
      <c r="K1925" s="522"/>
      <c r="M1925" s="301" t="str">
        <f>N1925&amp;AS[[#This Row],[Insurer Code]]&amp;"; "&amp;O1925&amp;AS[[#This Row],[Reporting Year]]&amp;"; "&amp;P1925&amp;AS[[#This Row],[Insurance Category Code]]&amp;"; "&amp;Q1925&amp;AS[[#This Row],[Large Provider Entity Code]]&amp;"; "&amp;R1925&amp;AS[[#This Row],[Age Band Code]]&amp;"; "&amp;S1925&amp;AS[[#This Row],[Sex Code]]</f>
        <v xml:space="preserve">Insurer Code ; Reporting Year ; Insurance Category Code ; Large Provider Entity Code ; Age Band Code ; Sex Code </v>
      </c>
      <c r="N1925" s="297" t="s">
        <v>197</v>
      </c>
      <c r="O1925" s="297" t="s">
        <v>198</v>
      </c>
      <c r="P1925" s="297" t="s">
        <v>199</v>
      </c>
      <c r="Q1925" s="297" t="s">
        <v>200</v>
      </c>
      <c r="R1925" s="297" t="s">
        <v>213</v>
      </c>
      <c r="S1925" s="297" t="s">
        <v>214</v>
      </c>
    </row>
    <row r="1926" spans="1:19" x14ac:dyDescent="0.4">
      <c r="A1926" s="291"/>
      <c r="B1926" s="292"/>
      <c r="C1926" s="312"/>
      <c r="D1926" s="292"/>
      <c r="E1926" s="489"/>
      <c r="F1926" s="489"/>
      <c r="G1926" s="490"/>
      <c r="H1926" s="520"/>
      <c r="I1926" s="523"/>
      <c r="J1926" s="521"/>
      <c r="K1926" s="522"/>
      <c r="M1926" s="301" t="str">
        <f>N1926&amp;AS[[#This Row],[Insurer Code]]&amp;"; "&amp;O1926&amp;AS[[#This Row],[Reporting Year]]&amp;"; "&amp;P1926&amp;AS[[#This Row],[Insurance Category Code]]&amp;"; "&amp;Q1926&amp;AS[[#This Row],[Large Provider Entity Code]]&amp;"; "&amp;R1926&amp;AS[[#This Row],[Age Band Code]]&amp;"; "&amp;S1926&amp;AS[[#This Row],[Sex Code]]</f>
        <v xml:space="preserve">Insurer Code ; Reporting Year ; Insurance Category Code ; Large Provider Entity Code ; Age Band Code ; Sex Code </v>
      </c>
      <c r="N1926" s="297" t="s">
        <v>197</v>
      </c>
      <c r="O1926" s="297" t="s">
        <v>198</v>
      </c>
      <c r="P1926" s="297" t="s">
        <v>199</v>
      </c>
      <c r="Q1926" s="297" t="s">
        <v>200</v>
      </c>
      <c r="R1926" s="297" t="s">
        <v>213</v>
      </c>
      <c r="S1926" s="297" t="s">
        <v>214</v>
      </c>
    </row>
    <row r="1927" spans="1:19" x14ac:dyDescent="0.4">
      <c r="A1927" s="291"/>
      <c r="B1927" s="292"/>
      <c r="C1927" s="312"/>
      <c r="D1927" s="292"/>
      <c r="E1927" s="489"/>
      <c r="F1927" s="489"/>
      <c r="G1927" s="490"/>
      <c r="H1927" s="520"/>
      <c r="I1927" s="523"/>
      <c r="J1927" s="521"/>
      <c r="K1927" s="522"/>
      <c r="M1927" s="301" t="str">
        <f>N1927&amp;AS[[#This Row],[Insurer Code]]&amp;"; "&amp;O1927&amp;AS[[#This Row],[Reporting Year]]&amp;"; "&amp;P1927&amp;AS[[#This Row],[Insurance Category Code]]&amp;"; "&amp;Q1927&amp;AS[[#This Row],[Large Provider Entity Code]]&amp;"; "&amp;R1927&amp;AS[[#This Row],[Age Band Code]]&amp;"; "&amp;S1927&amp;AS[[#This Row],[Sex Code]]</f>
        <v xml:space="preserve">Insurer Code ; Reporting Year ; Insurance Category Code ; Large Provider Entity Code ; Age Band Code ; Sex Code </v>
      </c>
      <c r="N1927" s="297" t="s">
        <v>197</v>
      </c>
      <c r="O1927" s="297" t="s">
        <v>198</v>
      </c>
      <c r="P1927" s="297" t="s">
        <v>199</v>
      </c>
      <c r="Q1927" s="297" t="s">
        <v>200</v>
      </c>
      <c r="R1927" s="297" t="s">
        <v>213</v>
      </c>
      <c r="S1927" s="297" t="s">
        <v>214</v>
      </c>
    </row>
    <row r="1928" spans="1:19" x14ac:dyDescent="0.4">
      <c r="A1928" s="291"/>
      <c r="B1928" s="292"/>
      <c r="C1928" s="312"/>
      <c r="D1928" s="292"/>
      <c r="E1928" s="489"/>
      <c r="F1928" s="489"/>
      <c r="G1928" s="490"/>
      <c r="H1928" s="520"/>
      <c r="I1928" s="523"/>
      <c r="J1928" s="521"/>
      <c r="K1928" s="522"/>
      <c r="M1928" s="301" t="str">
        <f>N1928&amp;AS[[#This Row],[Insurer Code]]&amp;"; "&amp;O1928&amp;AS[[#This Row],[Reporting Year]]&amp;"; "&amp;P1928&amp;AS[[#This Row],[Insurance Category Code]]&amp;"; "&amp;Q1928&amp;AS[[#This Row],[Large Provider Entity Code]]&amp;"; "&amp;R1928&amp;AS[[#This Row],[Age Band Code]]&amp;"; "&amp;S1928&amp;AS[[#This Row],[Sex Code]]</f>
        <v xml:space="preserve">Insurer Code ; Reporting Year ; Insurance Category Code ; Large Provider Entity Code ; Age Band Code ; Sex Code </v>
      </c>
      <c r="N1928" s="297" t="s">
        <v>197</v>
      </c>
      <c r="O1928" s="297" t="s">
        <v>198</v>
      </c>
      <c r="P1928" s="297" t="s">
        <v>199</v>
      </c>
      <c r="Q1928" s="297" t="s">
        <v>200</v>
      </c>
      <c r="R1928" s="297" t="s">
        <v>213</v>
      </c>
      <c r="S1928" s="297" t="s">
        <v>214</v>
      </c>
    </row>
    <row r="1929" spans="1:19" x14ac:dyDescent="0.4">
      <c r="A1929" s="291"/>
      <c r="B1929" s="292"/>
      <c r="C1929" s="312"/>
      <c r="D1929" s="292"/>
      <c r="E1929" s="489"/>
      <c r="F1929" s="489"/>
      <c r="G1929" s="490"/>
      <c r="H1929" s="520"/>
      <c r="I1929" s="523"/>
      <c r="J1929" s="521"/>
      <c r="K1929" s="522"/>
      <c r="M1929" s="301" t="str">
        <f>N1929&amp;AS[[#This Row],[Insurer Code]]&amp;"; "&amp;O1929&amp;AS[[#This Row],[Reporting Year]]&amp;"; "&amp;P1929&amp;AS[[#This Row],[Insurance Category Code]]&amp;"; "&amp;Q1929&amp;AS[[#This Row],[Large Provider Entity Code]]&amp;"; "&amp;R1929&amp;AS[[#This Row],[Age Band Code]]&amp;"; "&amp;S1929&amp;AS[[#This Row],[Sex Code]]</f>
        <v xml:space="preserve">Insurer Code ; Reporting Year ; Insurance Category Code ; Large Provider Entity Code ; Age Band Code ; Sex Code </v>
      </c>
      <c r="N1929" s="297" t="s">
        <v>197</v>
      </c>
      <c r="O1929" s="297" t="s">
        <v>198</v>
      </c>
      <c r="P1929" s="297" t="s">
        <v>199</v>
      </c>
      <c r="Q1929" s="297" t="s">
        <v>200</v>
      </c>
      <c r="R1929" s="297" t="s">
        <v>213</v>
      </c>
      <c r="S1929" s="297" t="s">
        <v>214</v>
      </c>
    </row>
    <row r="1930" spans="1:19" x14ac:dyDescent="0.4">
      <c r="A1930" s="291"/>
      <c r="B1930" s="292"/>
      <c r="C1930" s="312"/>
      <c r="D1930" s="292"/>
      <c r="E1930" s="489"/>
      <c r="F1930" s="489"/>
      <c r="G1930" s="490"/>
      <c r="H1930" s="520"/>
      <c r="I1930" s="523"/>
      <c r="J1930" s="521"/>
      <c r="K1930" s="522"/>
      <c r="M1930" s="301" t="str">
        <f>N1930&amp;AS[[#This Row],[Insurer Code]]&amp;"; "&amp;O1930&amp;AS[[#This Row],[Reporting Year]]&amp;"; "&amp;P1930&amp;AS[[#This Row],[Insurance Category Code]]&amp;"; "&amp;Q1930&amp;AS[[#This Row],[Large Provider Entity Code]]&amp;"; "&amp;R1930&amp;AS[[#This Row],[Age Band Code]]&amp;"; "&amp;S1930&amp;AS[[#This Row],[Sex Code]]</f>
        <v xml:space="preserve">Insurer Code ; Reporting Year ; Insurance Category Code ; Large Provider Entity Code ; Age Band Code ; Sex Code </v>
      </c>
      <c r="N1930" s="297" t="s">
        <v>197</v>
      </c>
      <c r="O1930" s="297" t="s">
        <v>198</v>
      </c>
      <c r="P1930" s="297" t="s">
        <v>199</v>
      </c>
      <c r="Q1930" s="297" t="s">
        <v>200</v>
      </c>
      <c r="R1930" s="297" t="s">
        <v>213</v>
      </c>
      <c r="S1930" s="297" t="s">
        <v>214</v>
      </c>
    </row>
    <row r="1931" spans="1:19" x14ac:dyDescent="0.4">
      <c r="A1931" s="291"/>
      <c r="B1931" s="292"/>
      <c r="C1931" s="312"/>
      <c r="D1931" s="292"/>
      <c r="E1931" s="489"/>
      <c r="F1931" s="489"/>
      <c r="G1931" s="490"/>
      <c r="H1931" s="520"/>
      <c r="I1931" s="523"/>
      <c r="J1931" s="521"/>
      <c r="K1931" s="522"/>
      <c r="M1931" s="301" t="str">
        <f>N1931&amp;AS[[#This Row],[Insurer Code]]&amp;"; "&amp;O1931&amp;AS[[#This Row],[Reporting Year]]&amp;"; "&amp;P1931&amp;AS[[#This Row],[Insurance Category Code]]&amp;"; "&amp;Q1931&amp;AS[[#This Row],[Large Provider Entity Code]]&amp;"; "&amp;R1931&amp;AS[[#This Row],[Age Band Code]]&amp;"; "&amp;S1931&amp;AS[[#This Row],[Sex Code]]</f>
        <v xml:space="preserve">Insurer Code ; Reporting Year ; Insurance Category Code ; Large Provider Entity Code ; Age Band Code ; Sex Code </v>
      </c>
      <c r="N1931" s="297" t="s">
        <v>197</v>
      </c>
      <c r="O1931" s="297" t="s">
        <v>198</v>
      </c>
      <c r="P1931" s="297" t="s">
        <v>199</v>
      </c>
      <c r="Q1931" s="297" t="s">
        <v>200</v>
      </c>
      <c r="R1931" s="297" t="s">
        <v>213</v>
      </c>
      <c r="S1931" s="297" t="s">
        <v>214</v>
      </c>
    </row>
    <row r="1932" spans="1:19" x14ac:dyDescent="0.4">
      <c r="A1932" s="291"/>
      <c r="B1932" s="292"/>
      <c r="C1932" s="312"/>
      <c r="D1932" s="292"/>
      <c r="E1932" s="489"/>
      <c r="F1932" s="489"/>
      <c r="G1932" s="490"/>
      <c r="H1932" s="520"/>
      <c r="I1932" s="523"/>
      <c r="J1932" s="521"/>
      <c r="K1932" s="522"/>
      <c r="M1932" s="301" t="str">
        <f>N1932&amp;AS[[#This Row],[Insurer Code]]&amp;"; "&amp;O1932&amp;AS[[#This Row],[Reporting Year]]&amp;"; "&amp;P1932&amp;AS[[#This Row],[Insurance Category Code]]&amp;"; "&amp;Q1932&amp;AS[[#This Row],[Large Provider Entity Code]]&amp;"; "&amp;R1932&amp;AS[[#This Row],[Age Band Code]]&amp;"; "&amp;S1932&amp;AS[[#This Row],[Sex Code]]</f>
        <v xml:space="preserve">Insurer Code ; Reporting Year ; Insurance Category Code ; Large Provider Entity Code ; Age Band Code ; Sex Code </v>
      </c>
      <c r="N1932" s="297" t="s">
        <v>197</v>
      </c>
      <c r="O1932" s="297" t="s">
        <v>198</v>
      </c>
      <c r="P1932" s="297" t="s">
        <v>199</v>
      </c>
      <c r="Q1932" s="297" t="s">
        <v>200</v>
      </c>
      <c r="R1932" s="297" t="s">
        <v>213</v>
      </c>
      <c r="S1932" s="297" t="s">
        <v>214</v>
      </c>
    </row>
    <row r="1933" spans="1:19" x14ac:dyDescent="0.4">
      <c r="A1933" s="291"/>
      <c r="B1933" s="292"/>
      <c r="C1933" s="312"/>
      <c r="D1933" s="292"/>
      <c r="E1933" s="489"/>
      <c r="F1933" s="489"/>
      <c r="G1933" s="490"/>
      <c r="H1933" s="520"/>
      <c r="I1933" s="523"/>
      <c r="J1933" s="521"/>
      <c r="K1933" s="522"/>
      <c r="M1933" s="301" t="str">
        <f>N1933&amp;AS[[#This Row],[Insurer Code]]&amp;"; "&amp;O1933&amp;AS[[#This Row],[Reporting Year]]&amp;"; "&amp;P1933&amp;AS[[#This Row],[Insurance Category Code]]&amp;"; "&amp;Q1933&amp;AS[[#This Row],[Large Provider Entity Code]]&amp;"; "&amp;R1933&amp;AS[[#This Row],[Age Band Code]]&amp;"; "&amp;S1933&amp;AS[[#This Row],[Sex Code]]</f>
        <v xml:space="preserve">Insurer Code ; Reporting Year ; Insurance Category Code ; Large Provider Entity Code ; Age Band Code ; Sex Code </v>
      </c>
      <c r="N1933" s="297" t="s">
        <v>197</v>
      </c>
      <c r="O1933" s="297" t="s">
        <v>198</v>
      </c>
      <c r="P1933" s="297" t="s">
        <v>199</v>
      </c>
      <c r="Q1933" s="297" t="s">
        <v>200</v>
      </c>
      <c r="R1933" s="297" t="s">
        <v>213</v>
      </c>
      <c r="S1933" s="297" t="s">
        <v>214</v>
      </c>
    </row>
    <row r="1934" spans="1:19" x14ac:dyDescent="0.4">
      <c r="A1934" s="291"/>
      <c r="B1934" s="292"/>
      <c r="C1934" s="312"/>
      <c r="D1934" s="292"/>
      <c r="E1934" s="489"/>
      <c r="F1934" s="489"/>
      <c r="G1934" s="490"/>
      <c r="H1934" s="520"/>
      <c r="I1934" s="523"/>
      <c r="J1934" s="521"/>
      <c r="K1934" s="522"/>
      <c r="M1934" s="301" t="str">
        <f>N1934&amp;AS[[#This Row],[Insurer Code]]&amp;"; "&amp;O1934&amp;AS[[#This Row],[Reporting Year]]&amp;"; "&amp;P1934&amp;AS[[#This Row],[Insurance Category Code]]&amp;"; "&amp;Q1934&amp;AS[[#This Row],[Large Provider Entity Code]]&amp;"; "&amp;R1934&amp;AS[[#This Row],[Age Band Code]]&amp;"; "&amp;S1934&amp;AS[[#This Row],[Sex Code]]</f>
        <v xml:space="preserve">Insurer Code ; Reporting Year ; Insurance Category Code ; Large Provider Entity Code ; Age Band Code ; Sex Code </v>
      </c>
      <c r="N1934" s="297" t="s">
        <v>197</v>
      </c>
      <c r="O1934" s="297" t="s">
        <v>198</v>
      </c>
      <c r="P1934" s="297" t="s">
        <v>199</v>
      </c>
      <c r="Q1934" s="297" t="s">
        <v>200</v>
      </c>
      <c r="R1934" s="297" t="s">
        <v>213</v>
      </c>
      <c r="S1934" s="297" t="s">
        <v>214</v>
      </c>
    </row>
    <row r="1935" spans="1:19" x14ac:dyDescent="0.4">
      <c r="A1935" s="291"/>
      <c r="B1935" s="292"/>
      <c r="C1935" s="312"/>
      <c r="D1935" s="292"/>
      <c r="E1935" s="489"/>
      <c r="F1935" s="489"/>
      <c r="G1935" s="490"/>
      <c r="H1935" s="520"/>
      <c r="I1935" s="523"/>
      <c r="J1935" s="521"/>
      <c r="K1935" s="522"/>
      <c r="M1935" s="301" t="str">
        <f>N1935&amp;AS[[#This Row],[Insurer Code]]&amp;"; "&amp;O1935&amp;AS[[#This Row],[Reporting Year]]&amp;"; "&amp;P1935&amp;AS[[#This Row],[Insurance Category Code]]&amp;"; "&amp;Q1935&amp;AS[[#This Row],[Large Provider Entity Code]]&amp;"; "&amp;R1935&amp;AS[[#This Row],[Age Band Code]]&amp;"; "&amp;S1935&amp;AS[[#This Row],[Sex Code]]</f>
        <v xml:space="preserve">Insurer Code ; Reporting Year ; Insurance Category Code ; Large Provider Entity Code ; Age Band Code ; Sex Code </v>
      </c>
      <c r="N1935" s="297" t="s">
        <v>197</v>
      </c>
      <c r="O1935" s="297" t="s">
        <v>198</v>
      </c>
      <c r="P1935" s="297" t="s">
        <v>199</v>
      </c>
      <c r="Q1935" s="297" t="s">
        <v>200</v>
      </c>
      <c r="R1935" s="297" t="s">
        <v>213</v>
      </c>
      <c r="S1935" s="297" t="s">
        <v>214</v>
      </c>
    </row>
    <row r="1936" spans="1:19" x14ac:dyDescent="0.4">
      <c r="A1936" s="291"/>
      <c r="B1936" s="292"/>
      <c r="C1936" s="312"/>
      <c r="D1936" s="292"/>
      <c r="E1936" s="489"/>
      <c r="F1936" s="489"/>
      <c r="G1936" s="490"/>
      <c r="H1936" s="520"/>
      <c r="I1936" s="523"/>
      <c r="J1936" s="521"/>
      <c r="K1936" s="522"/>
      <c r="M1936" s="301" t="str">
        <f>N1936&amp;AS[[#This Row],[Insurer Code]]&amp;"; "&amp;O1936&amp;AS[[#This Row],[Reporting Year]]&amp;"; "&amp;P1936&amp;AS[[#This Row],[Insurance Category Code]]&amp;"; "&amp;Q1936&amp;AS[[#This Row],[Large Provider Entity Code]]&amp;"; "&amp;R1936&amp;AS[[#This Row],[Age Band Code]]&amp;"; "&amp;S1936&amp;AS[[#This Row],[Sex Code]]</f>
        <v xml:space="preserve">Insurer Code ; Reporting Year ; Insurance Category Code ; Large Provider Entity Code ; Age Band Code ; Sex Code </v>
      </c>
      <c r="N1936" s="297" t="s">
        <v>197</v>
      </c>
      <c r="O1936" s="297" t="s">
        <v>198</v>
      </c>
      <c r="P1936" s="297" t="s">
        <v>199</v>
      </c>
      <c r="Q1936" s="297" t="s">
        <v>200</v>
      </c>
      <c r="R1936" s="297" t="s">
        <v>213</v>
      </c>
      <c r="S1936" s="297" t="s">
        <v>214</v>
      </c>
    </row>
    <row r="1937" spans="1:19" x14ac:dyDescent="0.4">
      <c r="A1937" s="291"/>
      <c r="B1937" s="292"/>
      <c r="C1937" s="312"/>
      <c r="D1937" s="292"/>
      <c r="E1937" s="489"/>
      <c r="F1937" s="489"/>
      <c r="G1937" s="490"/>
      <c r="H1937" s="520"/>
      <c r="I1937" s="523"/>
      <c r="J1937" s="521"/>
      <c r="K1937" s="522"/>
      <c r="M1937" s="301" t="str">
        <f>N1937&amp;AS[[#This Row],[Insurer Code]]&amp;"; "&amp;O1937&amp;AS[[#This Row],[Reporting Year]]&amp;"; "&amp;P1937&amp;AS[[#This Row],[Insurance Category Code]]&amp;"; "&amp;Q1937&amp;AS[[#This Row],[Large Provider Entity Code]]&amp;"; "&amp;R1937&amp;AS[[#This Row],[Age Band Code]]&amp;"; "&amp;S1937&amp;AS[[#This Row],[Sex Code]]</f>
        <v xml:space="preserve">Insurer Code ; Reporting Year ; Insurance Category Code ; Large Provider Entity Code ; Age Band Code ; Sex Code </v>
      </c>
      <c r="N1937" s="297" t="s">
        <v>197</v>
      </c>
      <c r="O1937" s="297" t="s">
        <v>198</v>
      </c>
      <c r="P1937" s="297" t="s">
        <v>199</v>
      </c>
      <c r="Q1937" s="297" t="s">
        <v>200</v>
      </c>
      <c r="R1937" s="297" t="s">
        <v>213</v>
      </c>
      <c r="S1937" s="297" t="s">
        <v>214</v>
      </c>
    </row>
    <row r="1938" spans="1:19" x14ac:dyDescent="0.4">
      <c r="A1938" s="291"/>
      <c r="B1938" s="292"/>
      <c r="C1938" s="312"/>
      <c r="D1938" s="292"/>
      <c r="E1938" s="489"/>
      <c r="F1938" s="489"/>
      <c r="G1938" s="490"/>
      <c r="H1938" s="520"/>
      <c r="I1938" s="523"/>
      <c r="J1938" s="521"/>
      <c r="K1938" s="522"/>
      <c r="M1938" s="301" t="str">
        <f>N1938&amp;AS[[#This Row],[Insurer Code]]&amp;"; "&amp;O1938&amp;AS[[#This Row],[Reporting Year]]&amp;"; "&amp;P1938&amp;AS[[#This Row],[Insurance Category Code]]&amp;"; "&amp;Q1938&amp;AS[[#This Row],[Large Provider Entity Code]]&amp;"; "&amp;R1938&amp;AS[[#This Row],[Age Band Code]]&amp;"; "&amp;S1938&amp;AS[[#This Row],[Sex Code]]</f>
        <v xml:space="preserve">Insurer Code ; Reporting Year ; Insurance Category Code ; Large Provider Entity Code ; Age Band Code ; Sex Code </v>
      </c>
      <c r="N1938" s="297" t="s">
        <v>197</v>
      </c>
      <c r="O1938" s="297" t="s">
        <v>198</v>
      </c>
      <c r="P1938" s="297" t="s">
        <v>199</v>
      </c>
      <c r="Q1938" s="297" t="s">
        <v>200</v>
      </c>
      <c r="R1938" s="297" t="s">
        <v>213</v>
      </c>
      <c r="S1938" s="297" t="s">
        <v>214</v>
      </c>
    </row>
    <row r="1939" spans="1:19" x14ac:dyDescent="0.4">
      <c r="A1939" s="291"/>
      <c r="B1939" s="292"/>
      <c r="C1939" s="312"/>
      <c r="D1939" s="292"/>
      <c r="E1939" s="489"/>
      <c r="F1939" s="489"/>
      <c r="G1939" s="490"/>
      <c r="H1939" s="520"/>
      <c r="I1939" s="523"/>
      <c r="J1939" s="521"/>
      <c r="K1939" s="522"/>
      <c r="M1939" s="301" t="str">
        <f>N1939&amp;AS[[#This Row],[Insurer Code]]&amp;"; "&amp;O1939&amp;AS[[#This Row],[Reporting Year]]&amp;"; "&amp;P1939&amp;AS[[#This Row],[Insurance Category Code]]&amp;"; "&amp;Q1939&amp;AS[[#This Row],[Large Provider Entity Code]]&amp;"; "&amp;R1939&amp;AS[[#This Row],[Age Band Code]]&amp;"; "&amp;S1939&amp;AS[[#This Row],[Sex Code]]</f>
        <v xml:space="preserve">Insurer Code ; Reporting Year ; Insurance Category Code ; Large Provider Entity Code ; Age Band Code ; Sex Code </v>
      </c>
      <c r="N1939" s="297" t="s">
        <v>197</v>
      </c>
      <c r="O1939" s="297" t="s">
        <v>198</v>
      </c>
      <c r="P1939" s="297" t="s">
        <v>199</v>
      </c>
      <c r="Q1939" s="297" t="s">
        <v>200</v>
      </c>
      <c r="R1939" s="297" t="s">
        <v>213</v>
      </c>
      <c r="S1939" s="297" t="s">
        <v>214</v>
      </c>
    </row>
    <row r="1940" spans="1:19" x14ac:dyDescent="0.4">
      <c r="A1940" s="291"/>
      <c r="B1940" s="292"/>
      <c r="C1940" s="312"/>
      <c r="D1940" s="292"/>
      <c r="E1940" s="489"/>
      <c r="F1940" s="489"/>
      <c r="G1940" s="490"/>
      <c r="H1940" s="520"/>
      <c r="I1940" s="523"/>
      <c r="J1940" s="521"/>
      <c r="K1940" s="522"/>
      <c r="M1940" s="301" t="str">
        <f>N1940&amp;AS[[#This Row],[Insurer Code]]&amp;"; "&amp;O1940&amp;AS[[#This Row],[Reporting Year]]&amp;"; "&amp;P1940&amp;AS[[#This Row],[Insurance Category Code]]&amp;"; "&amp;Q1940&amp;AS[[#This Row],[Large Provider Entity Code]]&amp;"; "&amp;R1940&amp;AS[[#This Row],[Age Band Code]]&amp;"; "&amp;S1940&amp;AS[[#This Row],[Sex Code]]</f>
        <v xml:space="preserve">Insurer Code ; Reporting Year ; Insurance Category Code ; Large Provider Entity Code ; Age Band Code ; Sex Code </v>
      </c>
      <c r="N1940" s="297" t="s">
        <v>197</v>
      </c>
      <c r="O1940" s="297" t="s">
        <v>198</v>
      </c>
      <c r="P1940" s="297" t="s">
        <v>199</v>
      </c>
      <c r="Q1940" s="297" t="s">
        <v>200</v>
      </c>
      <c r="R1940" s="297" t="s">
        <v>213</v>
      </c>
      <c r="S1940" s="297" t="s">
        <v>214</v>
      </c>
    </row>
    <row r="1941" spans="1:19" x14ac:dyDescent="0.4">
      <c r="A1941" s="291"/>
      <c r="B1941" s="292"/>
      <c r="C1941" s="312"/>
      <c r="D1941" s="292"/>
      <c r="E1941" s="489"/>
      <c r="F1941" s="489"/>
      <c r="G1941" s="490"/>
      <c r="H1941" s="520"/>
      <c r="I1941" s="523"/>
      <c r="J1941" s="521"/>
      <c r="K1941" s="522"/>
      <c r="M1941" s="301" t="str">
        <f>N1941&amp;AS[[#This Row],[Insurer Code]]&amp;"; "&amp;O1941&amp;AS[[#This Row],[Reporting Year]]&amp;"; "&amp;P1941&amp;AS[[#This Row],[Insurance Category Code]]&amp;"; "&amp;Q1941&amp;AS[[#This Row],[Large Provider Entity Code]]&amp;"; "&amp;R1941&amp;AS[[#This Row],[Age Band Code]]&amp;"; "&amp;S1941&amp;AS[[#This Row],[Sex Code]]</f>
        <v xml:space="preserve">Insurer Code ; Reporting Year ; Insurance Category Code ; Large Provider Entity Code ; Age Band Code ; Sex Code </v>
      </c>
      <c r="N1941" s="297" t="s">
        <v>197</v>
      </c>
      <c r="O1941" s="297" t="s">
        <v>198</v>
      </c>
      <c r="P1941" s="297" t="s">
        <v>199</v>
      </c>
      <c r="Q1941" s="297" t="s">
        <v>200</v>
      </c>
      <c r="R1941" s="297" t="s">
        <v>213</v>
      </c>
      <c r="S1941" s="297" t="s">
        <v>214</v>
      </c>
    </row>
    <row r="1942" spans="1:19" x14ac:dyDescent="0.4">
      <c r="A1942" s="291"/>
      <c r="B1942" s="292"/>
      <c r="C1942" s="312"/>
      <c r="D1942" s="292"/>
      <c r="E1942" s="489"/>
      <c r="F1942" s="489"/>
      <c r="G1942" s="490"/>
      <c r="H1942" s="520"/>
      <c r="I1942" s="523"/>
      <c r="J1942" s="521"/>
      <c r="K1942" s="522"/>
      <c r="M1942" s="301" t="str">
        <f>N1942&amp;AS[[#This Row],[Insurer Code]]&amp;"; "&amp;O1942&amp;AS[[#This Row],[Reporting Year]]&amp;"; "&amp;P1942&amp;AS[[#This Row],[Insurance Category Code]]&amp;"; "&amp;Q1942&amp;AS[[#This Row],[Large Provider Entity Code]]&amp;"; "&amp;R1942&amp;AS[[#This Row],[Age Band Code]]&amp;"; "&amp;S1942&amp;AS[[#This Row],[Sex Code]]</f>
        <v xml:space="preserve">Insurer Code ; Reporting Year ; Insurance Category Code ; Large Provider Entity Code ; Age Band Code ; Sex Code </v>
      </c>
      <c r="N1942" s="297" t="s">
        <v>197</v>
      </c>
      <c r="O1942" s="297" t="s">
        <v>198</v>
      </c>
      <c r="P1942" s="297" t="s">
        <v>199</v>
      </c>
      <c r="Q1942" s="297" t="s">
        <v>200</v>
      </c>
      <c r="R1942" s="297" t="s">
        <v>213</v>
      </c>
      <c r="S1942" s="297" t="s">
        <v>214</v>
      </c>
    </row>
    <row r="1943" spans="1:19" x14ac:dyDescent="0.4">
      <c r="A1943" s="291"/>
      <c r="B1943" s="292"/>
      <c r="C1943" s="312"/>
      <c r="D1943" s="292"/>
      <c r="E1943" s="489"/>
      <c r="F1943" s="489"/>
      <c r="G1943" s="490"/>
      <c r="H1943" s="520"/>
      <c r="I1943" s="523"/>
      <c r="J1943" s="521"/>
      <c r="K1943" s="522"/>
      <c r="M1943" s="301" t="str">
        <f>N1943&amp;AS[[#This Row],[Insurer Code]]&amp;"; "&amp;O1943&amp;AS[[#This Row],[Reporting Year]]&amp;"; "&amp;P1943&amp;AS[[#This Row],[Insurance Category Code]]&amp;"; "&amp;Q1943&amp;AS[[#This Row],[Large Provider Entity Code]]&amp;"; "&amp;R1943&amp;AS[[#This Row],[Age Band Code]]&amp;"; "&amp;S1943&amp;AS[[#This Row],[Sex Code]]</f>
        <v xml:space="preserve">Insurer Code ; Reporting Year ; Insurance Category Code ; Large Provider Entity Code ; Age Band Code ; Sex Code </v>
      </c>
      <c r="N1943" s="297" t="s">
        <v>197</v>
      </c>
      <c r="O1943" s="297" t="s">
        <v>198</v>
      </c>
      <c r="P1943" s="297" t="s">
        <v>199</v>
      </c>
      <c r="Q1943" s="297" t="s">
        <v>200</v>
      </c>
      <c r="R1943" s="297" t="s">
        <v>213</v>
      </c>
      <c r="S1943" s="297" t="s">
        <v>214</v>
      </c>
    </row>
    <row r="1944" spans="1:19" x14ac:dyDescent="0.4">
      <c r="A1944" s="291"/>
      <c r="B1944" s="292"/>
      <c r="C1944" s="312"/>
      <c r="D1944" s="292"/>
      <c r="E1944" s="489"/>
      <c r="F1944" s="489"/>
      <c r="G1944" s="490"/>
      <c r="H1944" s="520"/>
      <c r="I1944" s="523"/>
      <c r="J1944" s="521"/>
      <c r="K1944" s="522"/>
      <c r="M1944" s="301" t="str">
        <f>N1944&amp;AS[[#This Row],[Insurer Code]]&amp;"; "&amp;O1944&amp;AS[[#This Row],[Reporting Year]]&amp;"; "&amp;P1944&amp;AS[[#This Row],[Insurance Category Code]]&amp;"; "&amp;Q1944&amp;AS[[#This Row],[Large Provider Entity Code]]&amp;"; "&amp;R1944&amp;AS[[#This Row],[Age Band Code]]&amp;"; "&amp;S1944&amp;AS[[#This Row],[Sex Code]]</f>
        <v xml:space="preserve">Insurer Code ; Reporting Year ; Insurance Category Code ; Large Provider Entity Code ; Age Band Code ; Sex Code </v>
      </c>
      <c r="N1944" s="297" t="s">
        <v>197</v>
      </c>
      <c r="O1944" s="297" t="s">
        <v>198</v>
      </c>
      <c r="P1944" s="297" t="s">
        <v>199</v>
      </c>
      <c r="Q1944" s="297" t="s">
        <v>200</v>
      </c>
      <c r="R1944" s="297" t="s">
        <v>213</v>
      </c>
      <c r="S1944" s="297" t="s">
        <v>214</v>
      </c>
    </row>
    <row r="1945" spans="1:19" x14ac:dyDescent="0.4">
      <c r="A1945" s="291"/>
      <c r="B1945" s="292"/>
      <c r="C1945" s="312"/>
      <c r="D1945" s="292"/>
      <c r="E1945" s="489"/>
      <c r="F1945" s="489"/>
      <c r="G1945" s="490"/>
      <c r="H1945" s="520"/>
      <c r="I1945" s="523"/>
      <c r="J1945" s="521"/>
      <c r="K1945" s="522"/>
      <c r="M1945" s="301" t="str">
        <f>N1945&amp;AS[[#This Row],[Insurer Code]]&amp;"; "&amp;O1945&amp;AS[[#This Row],[Reporting Year]]&amp;"; "&amp;P1945&amp;AS[[#This Row],[Insurance Category Code]]&amp;"; "&amp;Q1945&amp;AS[[#This Row],[Large Provider Entity Code]]&amp;"; "&amp;R1945&amp;AS[[#This Row],[Age Band Code]]&amp;"; "&amp;S1945&amp;AS[[#This Row],[Sex Code]]</f>
        <v xml:space="preserve">Insurer Code ; Reporting Year ; Insurance Category Code ; Large Provider Entity Code ; Age Band Code ; Sex Code </v>
      </c>
      <c r="N1945" s="297" t="s">
        <v>197</v>
      </c>
      <c r="O1945" s="297" t="s">
        <v>198</v>
      </c>
      <c r="P1945" s="297" t="s">
        <v>199</v>
      </c>
      <c r="Q1945" s="297" t="s">
        <v>200</v>
      </c>
      <c r="R1945" s="297" t="s">
        <v>213</v>
      </c>
      <c r="S1945" s="297" t="s">
        <v>214</v>
      </c>
    </row>
    <row r="1946" spans="1:19" x14ac:dyDescent="0.4">
      <c r="A1946" s="291"/>
      <c r="B1946" s="292"/>
      <c r="C1946" s="312"/>
      <c r="D1946" s="292"/>
      <c r="E1946" s="489"/>
      <c r="F1946" s="489"/>
      <c r="G1946" s="490"/>
      <c r="H1946" s="520"/>
      <c r="I1946" s="523"/>
      <c r="J1946" s="521"/>
      <c r="K1946" s="522"/>
      <c r="M1946" s="301" t="str">
        <f>N1946&amp;AS[[#This Row],[Insurer Code]]&amp;"; "&amp;O1946&amp;AS[[#This Row],[Reporting Year]]&amp;"; "&amp;P1946&amp;AS[[#This Row],[Insurance Category Code]]&amp;"; "&amp;Q1946&amp;AS[[#This Row],[Large Provider Entity Code]]&amp;"; "&amp;R1946&amp;AS[[#This Row],[Age Band Code]]&amp;"; "&amp;S1946&amp;AS[[#This Row],[Sex Code]]</f>
        <v xml:space="preserve">Insurer Code ; Reporting Year ; Insurance Category Code ; Large Provider Entity Code ; Age Band Code ; Sex Code </v>
      </c>
      <c r="N1946" s="297" t="s">
        <v>197</v>
      </c>
      <c r="O1946" s="297" t="s">
        <v>198</v>
      </c>
      <c r="P1946" s="297" t="s">
        <v>199</v>
      </c>
      <c r="Q1946" s="297" t="s">
        <v>200</v>
      </c>
      <c r="R1946" s="297" t="s">
        <v>213</v>
      </c>
      <c r="S1946" s="297" t="s">
        <v>214</v>
      </c>
    </row>
    <row r="1947" spans="1:19" x14ac:dyDescent="0.4">
      <c r="A1947" s="291"/>
      <c r="B1947" s="292"/>
      <c r="C1947" s="312"/>
      <c r="D1947" s="292"/>
      <c r="E1947" s="489"/>
      <c r="F1947" s="489"/>
      <c r="G1947" s="490"/>
      <c r="H1947" s="520"/>
      <c r="I1947" s="523"/>
      <c r="J1947" s="521"/>
      <c r="K1947" s="522"/>
      <c r="M1947" s="301" t="str">
        <f>N1947&amp;AS[[#This Row],[Insurer Code]]&amp;"; "&amp;O1947&amp;AS[[#This Row],[Reporting Year]]&amp;"; "&amp;P1947&amp;AS[[#This Row],[Insurance Category Code]]&amp;"; "&amp;Q1947&amp;AS[[#This Row],[Large Provider Entity Code]]&amp;"; "&amp;R1947&amp;AS[[#This Row],[Age Band Code]]&amp;"; "&amp;S1947&amp;AS[[#This Row],[Sex Code]]</f>
        <v xml:space="preserve">Insurer Code ; Reporting Year ; Insurance Category Code ; Large Provider Entity Code ; Age Band Code ; Sex Code </v>
      </c>
      <c r="N1947" s="297" t="s">
        <v>197</v>
      </c>
      <c r="O1947" s="297" t="s">
        <v>198</v>
      </c>
      <c r="P1947" s="297" t="s">
        <v>199</v>
      </c>
      <c r="Q1947" s="297" t="s">
        <v>200</v>
      </c>
      <c r="R1947" s="297" t="s">
        <v>213</v>
      </c>
      <c r="S1947" s="297" t="s">
        <v>214</v>
      </c>
    </row>
    <row r="1948" spans="1:19" x14ac:dyDescent="0.4">
      <c r="A1948" s="291"/>
      <c r="B1948" s="292"/>
      <c r="C1948" s="312"/>
      <c r="D1948" s="292"/>
      <c r="E1948" s="489"/>
      <c r="F1948" s="489"/>
      <c r="G1948" s="490"/>
      <c r="H1948" s="520"/>
      <c r="I1948" s="523"/>
      <c r="J1948" s="521"/>
      <c r="K1948" s="522"/>
      <c r="M1948" s="301" t="str">
        <f>N1948&amp;AS[[#This Row],[Insurer Code]]&amp;"; "&amp;O1948&amp;AS[[#This Row],[Reporting Year]]&amp;"; "&amp;P1948&amp;AS[[#This Row],[Insurance Category Code]]&amp;"; "&amp;Q1948&amp;AS[[#This Row],[Large Provider Entity Code]]&amp;"; "&amp;R1948&amp;AS[[#This Row],[Age Band Code]]&amp;"; "&amp;S1948&amp;AS[[#This Row],[Sex Code]]</f>
        <v xml:space="preserve">Insurer Code ; Reporting Year ; Insurance Category Code ; Large Provider Entity Code ; Age Band Code ; Sex Code </v>
      </c>
      <c r="N1948" s="297" t="s">
        <v>197</v>
      </c>
      <c r="O1948" s="297" t="s">
        <v>198</v>
      </c>
      <c r="P1948" s="297" t="s">
        <v>199</v>
      </c>
      <c r="Q1948" s="297" t="s">
        <v>200</v>
      </c>
      <c r="R1948" s="297" t="s">
        <v>213</v>
      </c>
      <c r="S1948" s="297" t="s">
        <v>214</v>
      </c>
    </row>
    <row r="1949" spans="1:19" x14ac:dyDescent="0.4">
      <c r="A1949" s="291"/>
      <c r="B1949" s="292"/>
      <c r="C1949" s="312"/>
      <c r="D1949" s="292"/>
      <c r="E1949" s="489"/>
      <c r="F1949" s="489"/>
      <c r="G1949" s="490"/>
      <c r="H1949" s="520"/>
      <c r="I1949" s="523"/>
      <c r="J1949" s="521"/>
      <c r="K1949" s="522"/>
      <c r="M1949" s="301" t="str">
        <f>N1949&amp;AS[[#This Row],[Insurer Code]]&amp;"; "&amp;O1949&amp;AS[[#This Row],[Reporting Year]]&amp;"; "&amp;P1949&amp;AS[[#This Row],[Insurance Category Code]]&amp;"; "&amp;Q1949&amp;AS[[#This Row],[Large Provider Entity Code]]&amp;"; "&amp;R1949&amp;AS[[#This Row],[Age Band Code]]&amp;"; "&amp;S1949&amp;AS[[#This Row],[Sex Code]]</f>
        <v xml:space="preserve">Insurer Code ; Reporting Year ; Insurance Category Code ; Large Provider Entity Code ; Age Band Code ; Sex Code </v>
      </c>
      <c r="N1949" s="297" t="s">
        <v>197</v>
      </c>
      <c r="O1949" s="297" t="s">
        <v>198</v>
      </c>
      <c r="P1949" s="297" t="s">
        <v>199</v>
      </c>
      <c r="Q1949" s="297" t="s">
        <v>200</v>
      </c>
      <c r="R1949" s="297" t="s">
        <v>213</v>
      </c>
      <c r="S1949" s="297" t="s">
        <v>214</v>
      </c>
    </row>
    <row r="1950" spans="1:19" x14ac:dyDescent="0.4">
      <c r="A1950" s="291"/>
      <c r="B1950" s="292"/>
      <c r="C1950" s="312"/>
      <c r="D1950" s="292"/>
      <c r="E1950" s="489"/>
      <c r="F1950" s="489"/>
      <c r="G1950" s="490"/>
      <c r="H1950" s="520"/>
      <c r="I1950" s="523"/>
      <c r="J1950" s="521"/>
      <c r="K1950" s="522"/>
      <c r="M1950" s="301" t="str">
        <f>N1950&amp;AS[[#This Row],[Insurer Code]]&amp;"; "&amp;O1950&amp;AS[[#This Row],[Reporting Year]]&amp;"; "&amp;P1950&amp;AS[[#This Row],[Insurance Category Code]]&amp;"; "&amp;Q1950&amp;AS[[#This Row],[Large Provider Entity Code]]&amp;"; "&amp;R1950&amp;AS[[#This Row],[Age Band Code]]&amp;"; "&amp;S1950&amp;AS[[#This Row],[Sex Code]]</f>
        <v xml:space="preserve">Insurer Code ; Reporting Year ; Insurance Category Code ; Large Provider Entity Code ; Age Band Code ; Sex Code </v>
      </c>
      <c r="N1950" s="297" t="s">
        <v>197</v>
      </c>
      <c r="O1950" s="297" t="s">
        <v>198</v>
      </c>
      <c r="P1950" s="297" t="s">
        <v>199</v>
      </c>
      <c r="Q1950" s="297" t="s">
        <v>200</v>
      </c>
      <c r="R1950" s="297" t="s">
        <v>213</v>
      </c>
      <c r="S1950" s="297" t="s">
        <v>214</v>
      </c>
    </row>
    <row r="1951" spans="1:19" x14ac:dyDescent="0.4">
      <c r="A1951" s="291"/>
      <c r="B1951" s="292"/>
      <c r="C1951" s="312"/>
      <c r="D1951" s="292"/>
      <c r="E1951" s="489"/>
      <c r="F1951" s="489"/>
      <c r="G1951" s="490"/>
      <c r="H1951" s="520"/>
      <c r="I1951" s="523"/>
      <c r="J1951" s="521"/>
      <c r="K1951" s="522"/>
      <c r="M1951" s="301" t="str">
        <f>N1951&amp;AS[[#This Row],[Insurer Code]]&amp;"; "&amp;O1951&amp;AS[[#This Row],[Reporting Year]]&amp;"; "&amp;P1951&amp;AS[[#This Row],[Insurance Category Code]]&amp;"; "&amp;Q1951&amp;AS[[#This Row],[Large Provider Entity Code]]&amp;"; "&amp;R1951&amp;AS[[#This Row],[Age Band Code]]&amp;"; "&amp;S1951&amp;AS[[#This Row],[Sex Code]]</f>
        <v xml:space="preserve">Insurer Code ; Reporting Year ; Insurance Category Code ; Large Provider Entity Code ; Age Band Code ; Sex Code </v>
      </c>
      <c r="N1951" s="297" t="s">
        <v>197</v>
      </c>
      <c r="O1951" s="297" t="s">
        <v>198</v>
      </c>
      <c r="P1951" s="297" t="s">
        <v>199</v>
      </c>
      <c r="Q1951" s="297" t="s">
        <v>200</v>
      </c>
      <c r="R1951" s="297" t="s">
        <v>213</v>
      </c>
      <c r="S1951" s="297" t="s">
        <v>214</v>
      </c>
    </row>
    <row r="1952" spans="1:19" x14ac:dyDescent="0.4">
      <c r="A1952" s="291"/>
      <c r="B1952" s="292"/>
      <c r="C1952" s="312"/>
      <c r="D1952" s="292"/>
      <c r="E1952" s="489"/>
      <c r="F1952" s="489"/>
      <c r="G1952" s="490"/>
      <c r="H1952" s="520"/>
      <c r="I1952" s="523"/>
      <c r="J1952" s="521"/>
      <c r="K1952" s="522"/>
      <c r="M1952" s="301" t="str">
        <f>N1952&amp;AS[[#This Row],[Insurer Code]]&amp;"; "&amp;O1952&amp;AS[[#This Row],[Reporting Year]]&amp;"; "&amp;P1952&amp;AS[[#This Row],[Insurance Category Code]]&amp;"; "&amp;Q1952&amp;AS[[#This Row],[Large Provider Entity Code]]&amp;"; "&amp;R1952&amp;AS[[#This Row],[Age Band Code]]&amp;"; "&amp;S1952&amp;AS[[#This Row],[Sex Code]]</f>
        <v xml:space="preserve">Insurer Code ; Reporting Year ; Insurance Category Code ; Large Provider Entity Code ; Age Band Code ; Sex Code </v>
      </c>
      <c r="N1952" s="297" t="s">
        <v>197</v>
      </c>
      <c r="O1952" s="297" t="s">
        <v>198</v>
      </c>
      <c r="P1952" s="297" t="s">
        <v>199</v>
      </c>
      <c r="Q1952" s="297" t="s">
        <v>200</v>
      </c>
      <c r="R1952" s="297" t="s">
        <v>213</v>
      </c>
      <c r="S1952" s="297" t="s">
        <v>214</v>
      </c>
    </row>
    <row r="1953" spans="1:19" x14ac:dyDescent="0.4">
      <c r="A1953" s="291"/>
      <c r="B1953" s="292"/>
      <c r="C1953" s="312"/>
      <c r="D1953" s="292"/>
      <c r="E1953" s="489"/>
      <c r="F1953" s="489"/>
      <c r="G1953" s="490"/>
      <c r="H1953" s="520"/>
      <c r="I1953" s="523"/>
      <c r="J1953" s="521"/>
      <c r="K1953" s="522"/>
      <c r="M1953" s="301" t="str">
        <f>N1953&amp;AS[[#This Row],[Insurer Code]]&amp;"; "&amp;O1953&amp;AS[[#This Row],[Reporting Year]]&amp;"; "&amp;P1953&amp;AS[[#This Row],[Insurance Category Code]]&amp;"; "&amp;Q1953&amp;AS[[#This Row],[Large Provider Entity Code]]&amp;"; "&amp;R1953&amp;AS[[#This Row],[Age Band Code]]&amp;"; "&amp;S1953&amp;AS[[#This Row],[Sex Code]]</f>
        <v xml:space="preserve">Insurer Code ; Reporting Year ; Insurance Category Code ; Large Provider Entity Code ; Age Band Code ; Sex Code </v>
      </c>
      <c r="N1953" s="297" t="s">
        <v>197</v>
      </c>
      <c r="O1953" s="297" t="s">
        <v>198</v>
      </c>
      <c r="P1953" s="297" t="s">
        <v>199</v>
      </c>
      <c r="Q1953" s="297" t="s">
        <v>200</v>
      </c>
      <c r="R1953" s="297" t="s">
        <v>213</v>
      </c>
      <c r="S1953" s="297" t="s">
        <v>214</v>
      </c>
    </row>
    <row r="1954" spans="1:19" x14ac:dyDescent="0.4">
      <c r="A1954" s="291"/>
      <c r="B1954" s="292"/>
      <c r="C1954" s="312"/>
      <c r="D1954" s="292"/>
      <c r="E1954" s="489"/>
      <c r="F1954" s="489"/>
      <c r="G1954" s="490"/>
      <c r="H1954" s="520"/>
      <c r="I1954" s="523"/>
      <c r="J1954" s="521"/>
      <c r="K1954" s="522"/>
      <c r="M1954" s="301" t="str">
        <f>N1954&amp;AS[[#This Row],[Insurer Code]]&amp;"; "&amp;O1954&amp;AS[[#This Row],[Reporting Year]]&amp;"; "&amp;P1954&amp;AS[[#This Row],[Insurance Category Code]]&amp;"; "&amp;Q1954&amp;AS[[#This Row],[Large Provider Entity Code]]&amp;"; "&amp;R1954&amp;AS[[#This Row],[Age Band Code]]&amp;"; "&amp;S1954&amp;AS[[#This Row],[Sex Code]]</f>
        <v xml:space="preserve">Insurer Code ; Reporting Year ; Insurance Category Code ; Large Provider Entity Code ; Age Band Code ; Sex Code </v>
      </c>
      <c r="N1954" s="297" t="s">
        <v>197</v>
      </c>
      <c r="O1954" s="297" t="s">
        <v>198</v>
      </c>
      <c r="P1954" s="297" t="s">
        <v>199</v>
      </c>
      <c r="Q1954" s="297" t="s">
        <v>200</v>
      </c>
      <c r="R1954" s="297" t="s">
        <v>213</v>
      </c>
      <c r="S1954" s="297" t="s">
        <v>214</v>
      </c>
    </row>
    <row r="1955" spans="1:19" x14ac:dyDescent="0.4">
      <c r="A1955" s="291"/>
      <c r="B1955" s="292"/>
      <c r="C1955" s="312"/>
      <c r="D1955" s="292"/>
      <c r="E1955" s="489"/>
      <c r="F1955" s="489"/>
      <c r="G1955" s="490"/>
      <c r="H1955" s="520"/>
      <c r="I1955" s="523"/>
      <c r="J1955" s="521"/>
      <c r="K1955" s="522"/>
      <c r="M1955" s="301" t="str">
        <f>N1955&amp;AS[[#This Row],[Insurer Code]]&amp;"; "&amp;O1955&amp;AS[[#This Row],[Reporting Year]]&amp;"; "&amp;P1955&amp;AS[[#This Row],[Insurance Category Code]]&amp;"; "&amp;Q1955&amp;AS[[#This Row],[Large Provider Entity Code]]&amp;"; "&amp;R1955&amp;AS[[#This Row],[Age Band Code]]&amp;"; "&amp;S1955&amp;AS[[#This Row],[Sex Code]]</f>
        <v xml:space="preserve">Insurer Code ; Reporting Year ; Insurance Category Code ; Large Provider Entity Code ; Age Band Code ; Sex Code </v>
      </c>
      <c r="N1955" s="297" t="s">
        <v>197</v>
      </c>
      <c r="O1955" s="297" t="s">
        <v>198</v>
      </c>
      <c r="P1955" s="297" t="s">
        <v>199</v>
      </c>
      <c r="Q1955" s="297" t="s">
        <v>200</v>
      </c>
      <c r="R1955" s="297" t="s">
        <v>213</v>
      </c>
      <c r="S1955" s="297" t="s">
        <v>214</v>
      </c>
    </row>
    <row r="1956" spans="1:19" x14ac:dyDescent="0.4">
      <c r="A1956" s="291"/>
      <c r="B1956" s="292"/>
      <c r="C1956" s="312"/>
      <c r="D1956" s="292"/>
      <c r="E1956" s="489"/>
      <c r="F1956" s="489"/>
      <c r="G1956" s="490"/>
      <c r="H1956" s="520"/>
      <c r="I1956" s="523"/>
      <c r="J1956" s="521"/>
      <c r="K1956" s="522"/>
      <c r="M1956" s="301" t="str">
        <f>N1956&amp;AS[[#This Row],[Insurer Code]]&amp;"; "&amp;O1956&amp;AS[[#This Row],[Reporting Year]]&amp;"; "&amp;P1956&amp;AS[[#This Row],[Insurance Category Code]]&amp;"; "&amp;Q1956&amp;AS[[#This Row],[Large Provider Entity Code]]&amp;"; "&amp;R1956&amp;AS[[#This Row],[Age Band Code]]&amp;"; "&amp;S1956&amp;AS[[#This Row],[Sex Code]]</f>
        <v xml:space="preserve">Insurer Code ; Reporting Year ; Insurance Category Code ; Large Provider Entity Code ; Age Band Code ; Sex Code </v>
      </c>
      <c r="N1956" s="297" t="s">
        <v>197</v>
      </c>
      <c r="O1956" s="297" t="s">
        <v>198</v>
      </c>
      <c r="P1956" s="297" t="s">
        <v>199</v>
      </c>
      <c r="Q1956" s="297" t="s">
        <v>200</v>
      </c>
      <c r="R1956" s="297" t="s">
        <v>213</v>
      </c>
      <c r="S1956" s="297" t="s">
        <v>214</v>
      </c>
    </row>
    <row r="1957" spans="1:19" x14ac:dyDescent="0.4">
      <c r="A1957" s="291"/>
      <c r="B1957" s="292"/>
      <c r="C1957" s="312"/>
      <c r="D1957" s="292"/>
      <c r="E1957" s="489"/>
      <c r="F1957" s="489"/>
      <c r="G1957" s="490"/>
      <c r="H1957" s="520"/>
      <c r="I1957" s="523"/>
      <c r="J1957" s="521"/>
      <c r="K1957" s="522"/>
      <c r="M1957" s="301" t="str">
        <f>N1957&amp;AS[[#This Row],[Insurer Code]]&amp;"; "&amp;O1957&amp;AS[[#This Row],[Reporting Year]]&amp;"; "&amp;P1957&amp;AS[[#This Row],[Insurance Category Code]]&amp;"; "&amp;Q1957&amp;AS[[#This Row],[Large Provider Entity Code]]&amp;"; "&amp;R1957&amp;AS[[#This Row],[Age Band Code]]&amp;"; "&amp;S1957&amp;AS[[#This Row],[Sex Code]]</f>
        <v xml:space="preserve">Insurer Code ; Reporting Year ; Insurance Category Code ; Large Provider Entity Code ; Age Band Code ; Sex Code </v>
      </c>
      <c r="N1957" s="297" t="s">
        <v>197</v>
      </c>
      <c r="O1957" s="297" t="s">
        <v>198</v>
      </c>
      <c r="P1957" s="297" t="s">
        <v>199</v>
      </c>
      <c r="Q1957" s="297" t="s">
        <v>200</v>
      </c>
      <c r="R1957" s="297" t="s">
        <v>213</v>
      </c>
      <c r="S1957" s="297" t="s">
        <v>214</v>
      </c>
    </row>
    <row r="1958" spans="1:19" x14ac:dyDescent="0.4">
      <c r="A1958" s="291"/>
      <c r="B1958" s="292"/>
      <c r="C1958" s="312"/>
      <c r="D1958" s="292"/>
      <c r="E1958" s="489"/>
      <c r="F1958" s="489"/>
      <c r="G1958" s="490"/>
      <c r="H1958" s="520"/>
      <c r="I1958" s="523"/>
      <c r="J1958" s="521"/>
      <c r="K1958" s="522"/>
      <c r="M1958" s="301" t="str">
        <f>N1958&amp;AS[[#This Row],[Insurer Code]]&amp;"; "&amp;O1958&amp;AS[[#This Row],[Reporting Year]]&amp;"; "&amp;P1958&amp;AS[[#This Row],[Insurance Category Code]]&amp;"; "&amp;Q1958&amp;AS[[#This Row],[Large Provider Entity Code]]&amp;"; "&amp;R1958&amp;AS[[#This Row],[Age Band Code]]&amp;"; "&amp;S1958&amp;AS[[#This Row],[Sex Code]]</f>
        <v xml:space="preserve">Insurer Code ; Reporting Year ; Insurance Category Code ; Large Provider Entity Code ; Age Band Code ; Sex Code </v>
      </c>
      <c r="N1958" s="297" t="s">
        <v>197</v>
      </c>
      <c r="O1958" s="297" t="s">
        <v>198</v>
      </c>
      <c r="P1958" s="297" t="s">
        <v>199</v>
      </c>
      <c r="Q1958" s="297" t="s">
        <v>200</v>
      </c>
      <c r="R1958" s="297" t="s">
        <v>213</v>
      </c>
      <c r="S1958" s="297" t="s">
        <v>214</v>
      </c>
    </row>
    <row r="1959" spans="1:19" x14ac:dyDescent="0.4">
      <c r="A1959" s="291"/>
      <c r="B1959" s="292"/>
      <c r="C1959" s="312"/>
      <c r="D1959" s="292"/>
      <c r="E1959" s="489"/>
      <c r="F1959" s="489"/>
      <c r="G1959" s="490"/>
      <c r="H1959" s="520"/>
      <c r="I1959" s="523"/>
      <c r="J1959" s="521"/>
      <c r="K1959" s="522"/>
      <c r="M1959" s="301" t="str">
        <f>N1959&amp;AS[[#This Row],[Insurer Code]]&amp;"; "&amp;O1959&amp;AS[[#This Row],[Reporting Year]]&amp;"; "&amp;P1959&amp;AS[[#This Row],[Insurance Category Code]]&amp;"; "&amp;Q1959&amp;AS[[#This Row],[Large Provider Entity Code]]&amp;"; "&amp;R1959&amp;AS[[#This Row],[Age Band Code]]&amp;"; "&amp;S1959&amp;AS[[#This Row],[Sex Code]]</f>
        <v xml:space="preserve">Insurer Code ; Reporting Year ; Insurance Category Code ; Large Provider Entity Code ; Age Band Code ; Sex Code </v>
      </c>
      <c r="N1959" s="297" t="s">
        <v>197</v>
      </c>
      <c r="O1959" s="297" t="s">
        <v>198</v>
      </c>
      <c r="P1959" s="297" t="s">
        <v>199</v>
      </c>
      <c r="Q1959" s="297" t="s">
        <v>200</v>
      </c>
      <c r="R1959" s="297" t="s">
        <v>213</v>
      </c>
      <c r="S1959" s="297" t="s">
        <v>214</v>
      </c>
    </row>
    <row r="1960" spans="1:19" x14ac:dyDescent="0.4">
      <c r="A1960" s="291"/>
      <c r="B1960" s="292"/>
      <c r="C1960" s="312"/>
      <c r="D1960" s="292"/>
      <c r="E1960" s="489"/>
      <c r="F1960" s="489"/>
      <c r="G1960" s="490"/>
      <c r="H1960" s="520"/>
      <c r="I1960" s="523"/>
      <c r="J1960" s="521"/>
      <c r="K1960" s="522"/>
      <c r="M1960" s="301" t="str">
        <f>N1960&amp;AS[[#This Row],[Insurer Code]]&amp;"; "&amp;O1960&amp;AS[[#This Row],[Reporting Year]]&amp;"; "&amp;P1960&amp;AS[[#This Row],[Insurance Category Code]]&amp;"; "&amp;Q1960&amp;AS[[#This Row],[Large Provider Entity Code]]&amp;"; "&amp;R1960&amp;AS[[#This Row],[Age Band Code]]&amp;"; "&amp;S1960&amp;AS[[#This Row],[Sex Code]]</f>
        <v xml:space="preserve">Insurer Code ; Reporting Year ; Insurance Category Code ; Large Provider Entity Code ; Age Band Code ; Sex Code </v>
      </c>
      <c r="N1960" s="297" t="s">
        <v>197</v>
      </c>
      <c r="O1960" s="297" t="s">
        <v>198</v>
      </c>
      <c r="P1960" s="297" t="s">
        <v>199</v>
      </c>
      <c r="Q1960" s="297" t="s">
        <v>200</v>
      </c>
      <c r="R1960" s="297" t="s">
        <v>213</v>
      </c>
      <c r="S1960" s="297" t="s">
        <v>214</v>
      </c>
    </row>
    <row r="1961" spans="1:19" x14ac:dyDescent="0.4">
      <c r="A1961" s="291"/>
      <c r="B1961" s="292"/>
      <c r="C1961" s="312"/>
      <c r="D1961" s="292"/>
      <c r="E1961" s="489"/>
      <c r="F1961" s="489"/>
      <c r="G1961" s="490"/>
      <c r="H1961" s="520"/>
      <c r="I1961" s="523"/>
      <c r="J1961" s="521"/>
      <c r="K1961" s="522"/>
      <c r="M1961" s="301" t="str">
        <f>N1961&amp;AS[[#This Row],[Insurer Code]]&amp;"; "&amp;O1961&amp;AS[[#This Row],[Reporting Year]]&amp;"; "&amp;P1961&amp;AS[[#This Row],[Insurance Category Code]]&amp;"; "&amp;Q1961&amp;AS[[#This Row],[Large Provider Entity Code]]&amp;"; "&amp;R1961&amp;AS[[#This Row],[Age Band Code]]&amp;"; "&amp;S1961&amp;AS[[#This Row],[Sex Code]]</f>
        <v xml:space="preserve">Insurer Code ; Reporting Year ; Insurance Category Code ; Large Provider Entity Code ; Age Band Code ; Sex Code </v>
      </c>
      <c r="N1961" s="297" t="s">
        <v>197</v>
      </c>
      <c r="O1961" s="297" t="s">
        <v>198</v>
      </c>
      <c r="P1961" s="297" t="s">
        <v>199</v>
      </c>
      <c r="Q1961" s="297" t="s">
        <v>200</v>
      </c>
      <c r="R1961" s="297" t="s">
        <v>213</v>
      </c>
      <c r="S1961" s="297" t="s">
        <v>214</v>
      </c>
    </row>
    <row r="1962" spans="1:19" x14ac:dyDescent="0.4">
      <c r="A1962" s="291"/>
      <c r="B1962" s="292"/>
      <c r="C1962" s="312"/>
      <c r="D1962" s="292"/>
      <c r="E1962" s="489"/>
      <c r="F1962" s="489"/>
      <c r="G1962" s="490"/>
      <c r="H1962" s="520"/>
      <c r="I1962" s="523"/>
      <c r="J1962" s="521"/>
      <c r="K1962" s="522"/>
      <c r="M1962" s="301" t="str">
        <f>N1962&amp;AS[[#This Row],[Insurer Code]]&amp;"; "&amp;O1962&amp;AS[[#This Row],[Reporting Year]]&amp;"; "&amp;P1962&amp;AS[[#This Row],[Insurance Category Code]]&amp;"; "&amp;Q1962&amp;AS[[#This Row],[Large Provider Entity Code]]&amp;"; "&amp;R1962&amp;AS[[#This Row],[Age Band Code]]&amp;"; "&amp;S1962&amp;AS[[#This Row],[Sex Code]]</f>
        <v xml:space="preserve">Insurer Code ; Reporting Year ; Insurance Category Code ; Large Provider Entity Code ; Age Band Code ; Sex Code </v>
      </c>
      <c r="N1962" s="297" t="s">
        <v>197</v>
      </c>
      <c r="O1962" s="297" t="s">
        <v>198</v>
      </c>
      <c r="P1962" s="297" t="s">
        <v>199</v>
      </c>
      <c r="Q1962" s="297" t="s">
        <v>200</v>
      </c>
      <c r="R1962" s="297" t="s">
        <v>213</v>
      </c>
      <c r="S1962" s="297" t="s">
        <v>214</v>
      </c>
    </row>
    <row r="1963" spans="1:19" x14ac:dyDescent="0.4">
      <c r="A1963" s="291"/>
      <c r="B1963" s="292"/>
      <c r="C1963" s="312"/>
      <c r="D1963" s="292"/>
      <c r="E1963" s="489"/>
      <c r="F1963" s="489"/>
      <c r="G1963" s="490"/>
      <c r="H1963" s="520"/>
      <c r="I1963" s="523"/>
      <c r="J1963" s="521"/>
      <c r="K1963" s="522"/>
      <c r="M1963" s="301" t="str">
        <f>N1963&amp;AS[[#This Row],[Insurer Code]]&amp;"; "&amp;O1963&amp;AS[[#This Row],[Reporting Year]]&amp;"; "&amp;P1963&amp;AS[[#This Row],[Insurance Category Code]]&amp;"; "&amp;Q1963&amp;AS[[#This Row],[Large Provider Entity Code]]&amp;"; "&amp;R1963&amp;AS[[#This Row],[Age Band Code]]&amp;"; "&amp;S1963&amp;AS[[#This Row],[Sex Code]]</f>
        <v xml:space="preserve">Insurer Code ; Reporting Year ; Insurance Category Code ; Large Provider Entity Code ; Age Band Code ; Sex Code </v>
      </c>
      <c r="N1963" s="297" t="s">
        <v>197</v>
      </c>
      <c r="O1963" s="297" t="s">
        <v>198</v>
      </c>
      <c r="P1963" s="297" t="s">
        <v>199</v>
      </c>
      <c r="Q1963" s="297" t="s">
        <v>200</v>
      </c>
      <c r="R1963" s="297" t="s">
        <v>213</v>
      </c>
      <c r="S1963" s="297" t="s">
        <v>214</v>
      </c>
    </row>
    <row r="1964" spans="1:19" x14ac:dyDescent="0.4">
      <c r="A1964" s="291"/>
      <c r="B1964" s="292"/>
      <c r="C1964" s="312"/>
      <c r="D1964" s="292"/>
      <c r="E1964" s="489"/>
      <c r="F1964" s="489"/>
      <c r="G1964" s="490"/>
      <c r="H1964" s="520"/>
      <c r="I1964" s="523"/>
      <c r="J1964" s="521"/>
      <c r="K1964" s="522"/>
      <c r="M1964" s="301" t="str">
        <f>N1964&amp;AS[[#This Row],[Insurer Code]]&amp;"; "&amp;O1964&amp;AS[[#This Row],[Reporting Year]]&amp;"; "&amp;P1964&amp;AS[[#This Row],[Insurance Category Code]]&amp;"; "&amp;Q1964&amp;AS[[#This Row],[Large Provider Entity Code]]&amp;"; "&amp;R1964&amp;AS[[#This Row],[Age Band Code]]&amp;"; "&amp;S1964&amp;AS[[#This Row],[Sex Code]]</f>
        <v xml:space="preserve">Insurer Code ; Reporting Year ; Insurance Category Code ; Large Provider Entity Code ; Age Band Code ; Sex Code </v>
      </c>
      <c r="N1964" s="297" t="s">
        <v>197</v>
      </c>
      <c r="O1964" s="297" t="s">
        <v>198</v>
      </c>
      <c r="P1964" s="297" t="s">
        <v>199</v>
      </c>
      <c r="Q1964" s="297" t="s">
        <v>200</v>
      </c>
      <c r="R1964" s="297" t="s">
        <v>213</v>
      </c>
      <c r="S1964" s="297" t="s">
        <v>214</v>
      </c>
    </row>
    <row r="1965" spans="1:19" x14ac:dyDescent="0.4">
      <c r="A1965" s="291"/>
      <c r="B1965" s="292"/>
      <c r="C1965" s="312"/>
      <c r="D1965" s="292"/>
      <c r="E1965" s="489"/>
      <c r="F1965" s="489"/>
      <c r="G1965" s="490"/>
      <c r="H1965" s="520"/>
      <c r="I1965" s="523"/>
      <c r="J1965" s="521"/>
      <c r="K1965" s="522"/>
      <c r="M1965" s="301" t="str">
        <f>N1965&amp;AS[[#This Row],[Insurer Code]]&amp;"; "&amp;O1965&amp;AS[[#This Row],[Reporting Year]]&amp;"; "&amp;P1965&amp;AS[[#This Row],[Insurance Category Code]]&amp;"; "&amp;Q1965&amp;AS[[#This Row],[Large Provider Entity Code]]&amp;"; "&amp;R1965&amp;AS[[#This Row],[Age Band Code]]&amp;"; "&amp;S1965&amp;AS[[#This Row],[Sex Code]]</f>
        <v xml:space="preserve">Insurer Code ; Reporting Year ; Insurance Category Code ; Large Provider Entity Code ; Age Band Code ; Sex Code </v>
      </c>
      <c r="N1965" s="297" t="s">
        <v>197</v>
      </c>
      <c r="O1965" s="297" t="s">
        <v>198</v>
      </c>
      <c r="P1965" s="297" t="s">
        <v>199</v>
      </c>
      <c r="Q1965" s="297" t="s">
        <v>200</v>
      </c>
      <c r="R1965" s="297" t="s">
        <v>213</v>
      </c>
      <c r="S1965" s="297" t="s">
        <v>214</v>
      </c>
    </row>
    <row r="1966" spans="1:19" x14ac:dyDescent="0.4">
      <c r="A1966" s="291"/>
      <c r="B1966" s="292"/>
      <c r="C1966" s="312"/>
      <c r="D1966" s="292"/>
      <c r="E1966" s="489"/>
      <c r="F1966" s="489"/>
      <c r="G1966" s="490"/>
      <c r="H1966" s="520"/>
      <c r="I1966" s="523"/>
      <c r="J1966" s="521"/>
      <c r="K1966" s="522"/>
      <c r="M1966" s="301" t="str">
        <f>N1966&amp;AS[[#This Row],[Insurer Code]]&amp;"; "&amp;O1966&amp;AS[[#This Row],[Reporting Year]]&amp;"; "&amp;P1966&amp;AS[[#This Row],[Insurance Category Code]]&amp;"; "&amp;Q1966&amp;AS[[#This Row],[Large Provider Entity Code]]&amp;"; "&amp;R1966&amp;AS[[#This Row],[Age Band Code]]&amp;"; "&amp;S1966&amp;AS[[#This Row],[Sex Code]]</f>
        <v xml:space="preserve">Insurer Code ; Reporting Year ; Insurance Category Code ; Large Provider Entity Code ; Age Band Code ; Sex Code </v>
      </c>
      <c r="N1966" s="297" t="s">
        <v>197</v>
      </c>
      <c r="O1966" s="297" t="s">
        <v>198</v>
      </c>
      <c r="P1966" s="297" t="s">
        <v>199</v>
      </c>
      <c r="Q1966" s="297" t="s">
        <v>200</v>
      </c>
      <c r="R1966" s="297" t="s">
        <v>213</v>
      </c>
      <c r="S1966" s="297" t="s">
        <v>214</v>
      </c>
    </row>
    <row r="1967" spans="1:19" x14ac:dyDescent="0.4">
      <c r="A1967" s="291"/>
      <c r="B1967" s="292"/>
      <c r="C1967" s="312"/>
      <c r="D1967" s="292"/>
      <c r="E1967" s="489"/>
      <c r="F1967" s="489"/>
      <c r="G1967" s="490"/>
      <c r="H1967" s="520"/>
      <c r="I1967" s="523"/>
      <c r="J1967" s="521"/>
      <c r="K1967" s="522"/>
      <c r="M1967" s="301" t="str">
        <f>N1967&amp;AS[[#This Row],[Insurer Code]]&amp;"; "&amp;O1967&amp;AS[[#This Row],[Reporting Year]]&amp;"; "&amp;P1967&amp;AS[[#This Row],[Insurance Category Code]]&amp;"; "&amp;Q1967&amp;AS[[#This Row],[Large Provider Entity Code]]&amp;"; "&amp;R1967&amp;AS[[#This Row],[Age Band Code]]&amp;"; "&amp;S1967&amp;AS[[#This Row],[Sex Code]]</f>
        <v xml:space="preserve">Insurer Code ; Reporting Year ; Insurance Category Code ; Large Provider Entity Code ; Age Band Code ; Sex Code </v>
      </c>
      <c r="N1967" s="297" t="s">
        <v>197</v>
      </c>
      <c r="O1967" s="297" t="s">
        <v>198</v>
      </c>
      <c r="P1967" s="297" t="s">
        <v>199</v>
      </c>
      <c r="Q1967" s="297" t="s">
        <v>200</v>
      </c>
      <c r="R1967" s="297" t="s">
        <v>213</v>
      </c>
      <c r="S1967" s="297" t="s">
        <v>214</v>
      </c>
    </row>
    <row r="1968" spans="1:19" x14ac:dyDescent="0.4">
      <c r="A1968" s="291"/>
      <c r="B1968" s="292"/>
      <c r="C1968" s="312"/>
      <c r="D1968" s="292"/>
      <c r="E1968" s="489"/>
      <c r="F1968" s="489"/>
      <c r="G1968" s="490"/>
      <c r="H1968" s="520"/>
      <c r="I1968" s="523"/>
      <c r="J1968" s="521"/>
      <c r="K1968" s="522"/>
      <c r="M1968" s="301" t="str">
        <f>N1968&amp;AS[[#This Row],[Insurer Code]]&amp;"; "&amp;O1968&amp;AS[[#This Row],[Reporting Year]]&amp;"; "&amp;P1968&amp;AS[[#This Row],[Insurance Category Code]]&amp;"; "&amp;Q1968&amp;AS[[#This Row],[Large Provider Entity Code]]&amp;"; "&amp;R1968&amp;AS[[#This Row],[Age Band Code]]&amp;"; "&amp;S1968&amp;AS[[#This Row],[Sex Code]]</f>
        <v xml:space="preserve">Insurer Code ; Reporting Year ; Insurance Category Code ; Large Provider Entity Code ; Age Band Code ; Sex Code </v>
      </c>
      <c r="N1968" s="297" t="s">
        <v>197</v>
      </c>
      <c r="O1968" s="297" t="s">
        <v>198</v>
      </c>
      <c r="P1968" s="297" t="s">
        <v>199</v>
      </c>
      <c r="Q1968" s="297" t="s">
        <v>200</v>
      </c>
      <c r="R1968" s="297" t="s">
        <v>213</v>
      </c>
      <c r="S1968" s="297" t="s">
        <v>214</v>
      </c>
    </row>
    <row r="1969" spans="1:19" x14ac:dyDescent="0.4">
      <c r="A1969" s="291"/>
      <c r="B1969" s="292"/>
      <c r="C1969" s="312"/>
      <c r="D1969" s="292"/>
      <c r="E1969" s="489"/>
      <c r="F1969" s="489"/>
      <c r="G1969" s="490"/>
      <c r="H1969" s="520"/>
      <c r="I1969" s="523"/>
      <c r="J1969" s="521"/>
      <c r="K1969" s="522"/>
      <c r="M1969" s="301" t="str">
        <f>N1969&amp;AS[[#This Row],[Insurer Code]]&amp;"; "&amp;O1969&amp;AS[[#This Row],[Reporting Year]]&amp;"; "&amp;P1969&amp;AS[[#This Row],[Insurance Category Code]]&amp;"; "&amp;Q1969&amp;AS[[#This Row],[Large Provider Entity Code]]&amp;"; "&amp;R1969&amp;AS[[#This Row],[Age Band Code]]&amp;"; "&amp;S1969&amp;AS[[#This Row],[Sex Code]]</f>
        <v xml:space="preserve">Insurer Code ; Reporting Year ; Insurance Category Code ; Large Provider Entity Code ; Age Band Code ; Sex Code </v>
      </c>
      <c r="N1969" s="297" t="s">
        <v>197</v>
      </c>
      <c r="O1969" s="297" t="s">
        <v>198</v>
      </c>
      <c r="P1969" s="297" t="s">
        <v>199</v>
      </c>
      <c r="Q1969" s="297" t="s">
        <v>200</v>
      </c>
      <c r="R1969" s="297" t="s">
        <v>213</v>
      </c>
      <c r="S1969" s="297" t="s">
        <v>214</v>
      </c>
    </row>
    <row r="1970" spans="1:19" x14ac:dyDescent="0.4">
      <c r="A1970" s="291"/>
      <c r="B1970" s="292"/>
      <c r="C1970" s="312"/>
      <c r="D1970" s="292"/>
      <c r="E1970" s="489"/>
      <c r="F1970" s="489"/>
      <c r="G1970" s="490"/>
      <c r="H1970" s="520"/>
      <c r="I1970" s="523"/>
      <c r="J1970" s="521"/>
      <c r="K1970" s="522"/>
      <c r="M1970" s="301" t="str">
        <f>N1970&amp;AS[[#This Row],[Insurer Code]]&amp;"; "&amp;O1970&amp;AS[[#This Row],[Reporting Year]]&amp;"; "&amp;P1970&amp;AS[[#This Row],[Insurance Category Code]]&amp;"; "&amp;Q1970&amp;AS[[#This Row],[Large Provider Entity Code]]&amp;"; "&amp;R1970&amp;AS[[#This Row],[Age Band Code]]&amp;"; "&amp;S1970&amp;AS[[#This Row],[Sex Code]]</f>
        <v xml:space="preserve">Insurer Code ; Reporting Year ; Insurance Category Code ; Large Provider Entity Code ; Age Band Code ; Sex Code </v>
      </c>
      <c r="N1970" s="297" t="s">
        <v>197</v>
      </c>
      <c r="O1970" s="297" t="s">
        <v>198</v>
      </c>
      <c r="P1970" s="297" t="s">
        <v>199</v>
      </c>
      <c r="Q1970" s="297" t="s">
        <v>200</v>
      </c>
      <c r="R1970" s="297" t="s">
        <v>213</v>
      </c>
      <c r="S1970" s="297" t="s">
        <v>214</v>
      </c>
    </row>
    <row r="1971" spans="1:19" x14ac:dyDescent="0.4">
      <c r="A1971" s="291"/>
      <c r="B1971" s="292"/>
      <c r="C1971" s="312"/>
      <c r="D1971" s="292"/>
      <c r="E1971" s="489"/>
      <c r="F1971" s="489"/>
      <c r="G1971" s="490"/>
      <c r="H1971" s="520"/>
      <c r="I1971" s="523"/>
      <c r="J1971" s="521"/>
      <c r="K1971" s="522"/>
      <c r="M1971" s="301" t="str">
        <f>N1971&amp;AS[[#This Row],[Insurer Code]]&amp;"; "&amp;O1971&amp;AS[[#This Row],[Reporting Year]]&amp;"; "&amp;P1971&amp;AS[[#This Row],[Insurance Category Code]]&amp;"; "&amp;Q1971&amp;AS[[#This Row],[Large Provider Entity Code]]&amp;"; "&amp;R1971&amp;AS[[#This Row],[Age Band Code]]&amp;"; "&amp;S1971&amp;AS[[#This Row],[Sex Code]]</f>
        <v xml:space="preserve">Insurer Code ; Reporting Year ; Insurance Category Code ; Large Provider Entity Code ; Age Band Code ; Sex Code </v>
      </c>
      <c r="N1971" s="297" t="s">
        <v>197</v>
      </c>
      <c r="O1971" s="297" t="s">
        <v>198</v>
      </c>
      <c r="P1971" s="297" t="s">
        <v>199</v>
      </c>
      <c r="Q1971" s="297" t="s">
        <v>200</v>
      </c>
      <c r="R1971" s="297" t="s">
        <v>213</v>
      </c>
      <c r="S1971" s="297" t="s">
        <v>214</v>
      </c>
    </row>
    <row r="1972" spans="1:19" x14ac:dyDescent="0.4">
      <c r="A1972" s="291"/>
      <c r="B1972" s="292"/>
      <c r="C1972" s="312"/>
      <c r="D1972" s="292"/>
      <c r="E1972" s="489"/>
      <c r="F1972" s="489"/>
      <c r="G1972" s="490"/>
      <c r="H1972" s="520"/>
      <c r="I1972" s="523"/>
      <c r="J1972" s="521"/>
      <c r="K1972" s="522"/>
      <c r="M1972" s="301" t="str">
        <f>N1972&amp;AS[[#This Row],[Insurer Code]]&amp;"; "&amp;O1972&amp;AS[[#This Row],[Reporting Year]]&amp;"; "&amp;P1972&amp;AS[[#This Row],[Insurance Category Code]]&amp;"; "&amp;Q1972&amp;AS[[#This Row],[Large Provider Entity Code]]&amp;"; "&amp;R1972&amp;AS[[#This Row],[Age Band Code]]&amp;"; "&amp;S1972&amp;AS[[#This Row],[Sex Code]]</f>
        <v xml:space="preserve">Insurer Code ; Reporting Year ; Insurance Category Code ; Large Provider Entity Code ; Age Band Code ; Sex Code </v>
      </c>
      <c r="N1972" s="297" t="s">
        <v>197</v>
      </c>
      <c r="O1972" s="297" t="s">
        <v>198</v>
      </c>
      <c r="P1972" s="297" t="s">
        <v>199</v>
      </c>
      <c r="Q1972" s="297" t="s">
        <v>200</v>
      </c>
      <c r="R1972" s="297" t="s">
        <v>213</v>
      </c>
      <c r="S1972" s="297" t="s">
        <v>214</v>
      </c>
    </row>
    <row r="1973" spans="1:19" x14ac:dyDescent="0.4">
      <c r="A1973" s="291"/>
      <c r="B1973" s="292"/>
      <c r="C1973" s="312"/>
      <c r="D1973" s="292"/>
      <c r="E1973" s="489"/>
      <c r="F1973" s="489"/>
      <c r="G1973" s="490"/>
      <c r="H1973" s="520"/>
      <c r="I1973" s="523"/>
      <c r="J1973" s="521"/>
      <c r="K1973" s="522"/>
      <c r="M1973" s="301" t="str">
        <f>N1973&amp;AS[[#This Row],[Insurer Code]]&amp;"; "&amp;O1973&amp;AS[[#This Row],[Reporting Year]]&amp;"; "&amp;P1973&amp;AS[[#This Row],[Insurance Category Code]]&amp;"; "&amp;Q1973&amp;AS[[#This Row],[Large Provider Entity Code]]&amp;"; "&amp;R1973&amp;AS[[#This Row],[Age Band Code]]&amp;"; "&amp;S1973&amp;AS[[#This Row],[Sex Code]]</f>
        <v xml:space="preserve">Insurer Code ; Reporting Year ; Insurance Category Code ; Large Provider Entity Code ; Age Band Code ; Sex Code </v>
      </c>
      <c r="N1973" s="297" t="s">
        <v>197</v>
      </c>
      <c r="O1973" s="297" t="s">
        <v>198</v>
      </c>
      <c r="P1973" s="297" t="s">
        <v>199</v>
      </c>
      <c r="Q1973" s="297" t="s">
        <v>200</v>
      </c>
      <c r="R1973" s="297" t="s">
        <v>213</v>
      </c>
      <c r="S1973" s="297" t="s">
        <v>214</v>
      </c>
    </row>
    <row r="1974" spans="1:19" x14ac:dyDescent="0.4">
      <c r="A1974" s="291"/>
      <c r="B1974" s="292"/>
      <c r="C1974" s="312"/>
      <c r="D1974" s="292"/>
      <c r="E1974" s="489"/>
      <c r="F1974" s="489"/>
      <c r="G1974" s="490"/>
      <c r="H1974" s="520"/>
      <c r="I1974" s="523"/>
      <c r="J1974" s="521"/>
      <c r="K1974" s="522"/>
      <c r="M1974" s="301" t="str">
        <f>N1974&amp;AS[[#This Row],[Insurer Code]]&amp;"; "&amp;O1974&amp;AS[[#This Row],[Reporting Year]]&amp;"; "&amp;P1974&amp;AS[[#This Row],[Insurance Category Code]]&amp;"; "&amp;Q1974&amp;AS[[#This Row],[Large Provider Entity Code]]&amp;"; "&amp;R1974&amp;AS[[#This Row],[Age Band Code]]&amp;"; "&amp;S1974&amp;AS[[#This Row],[Sex Code]]</f>
        <v xml:space="preserve">Insurer Code ; Reporting Year ; Insurance Category Code ; Large Provider Entity Code ; Age Band Code ; Sex Code </v>
      </c>
      <c r="N1974" s="297" t="s">
        <v>197</v>
      </c>
      <c r="O1974" s="297" t="s">
        <v>198</v>
      </c>
      <c r="P1974" s="297" t="s">
        <v>199</v>
      </c>
      <c r="Q1974" s="297" t="s">
        <v>200</v>
      </c>
      <c r="R1974" s="297" t="s">
        <v>213</v>
      </c>
      <c r="S1974" s="297" t="s">
        <v>214</v>
      </c>
    </row>
    <row r="1975" spans="1:19" x14ac:dyDescent="0.4">
      <c r="A1975" s="291"/>
      <c r="B1975" s="292"/>
      <c r="C1975" s="312"/>
      <c r="D1975" s="292"/>
      <c r="E1975" s="489"/>
      <c r="F1975" s="489"/>
      <c r="G1975" s="490"/>
      <c r="H1975" s="520"/>
      <c r="I1975" s="523"/>
      <c r="J1975" s="521"/>
      <c r="K1975" s="522"/>
      <c r="M1975" s="301" t="str">
        <f>N1975&amp;AS[[#This Row],[Insurer Code]]&amp;"; "&amp;O1975&amp;AS[[#This Row],[Reporting Year]]&amp;"; "&amp;P1975&amp;AS[[#This Row],[Insurance Category Code]]&amp;"; "&amp;Q1975&amp;AS[[#This Row],[Large Provider Entity Code]]&amp;"; "&amp;R1975&amp;AS[[#This Row],[Age Band Code]]&amp;"; "&amp;S1975&amp;AS[[#This Row],[Sex Code]]</f>
        <v xml:space="preserve">Insurer Code ; Reporting Year ; Insurance Category Code ; Large Provider Entity Code ; Age Band Code ; Sex Code </v>
      </c>
      <c r="N1975" s="297" t="s">
        <v>197</v>
      </c>
      <c r="O1975" s="297" t="s">
        <v>198</v>
      </c>
      <c r="P1975" s="297" t="s">
        <v>199</v>
      </c>
      <c r="Q1975" s="297" t="s">
        <v>200</v>
      </c>
      <c r="R1975" s="297" t="s">
        <v>213</v>
      </c>
      <c r="S1975" s="297" t="s">
        <v>214</v>
      </c>
    </row>
    <row r="1976" spans="1:19" x14ac:dyDescent="0.4">
      <c r="A1976" s="291"/>
      <c r="B1976" s="292"/>
      <c r="C1976" s="312"/>
      <c r="D1976" s="292"/>
      <c r="E1976" s="489"/>
      <c r="F1976" s="489"/>
      <c r="G1976" s="490"/>
      <c r="H1976" s="520"/>
      <c r="I1976" s="523"/>
      <c r="J1976" s="521"/>
      <c r="K1976" s="522"/>
      <c r="M1976" s="301" t="str">
        <f>N1976&amp;AS[[#This Row],[Insurer Code]]&amp;"; "&amp;O1976&amp;AS[[#This Row],[Reporting Year]]&amp;"; "&amp;P1976&amp;AS[[#This Row],[Insurance Category Code]]&amp;"; "&amp;Q1976&amp;AS[[#This Row],[Large Provider Entity Code]]&amp;"; "&amp;R1976&amp;AS[[#This Row],[Age Band Code]]&amp;"; "&amp;S1976&amp;AS[[#This Row],[Sex Code]]</f>
        <v xml:space="preserve">Insurer Code ; Reporting Year ; Insurance Category Code ; Large Provider Entity Code ; Age Band Code ; Sex Code </v>
      </c>
      <c r="N1976" s="297" t="s">
        <v>197</v>
      </c>
      <c r="O1976" s="297" t="s">
        <v>198</v>
      </c>
      <c r="P1976" s="297" t="s">
        <v>199</v>
      </c>
      <c r="Q1976" s="297" t="s">
        <v>200</v>
      </c>
      <c r="R1976" s="297" t="s">
        <v>213</v>
      </c>
      <c r="S1976" s="297" t="s">
        <v>214</v>
      </c>
    </row>
    <row r="1977" spans="1:19" x14ac:dyDescent="0.4">
      <c r="A1977" s="291"/>
      <c r="B1977" s="292"/>
      <c r="C1977" s="312"/>
      <c r="D1977" s="292"/>
      <c r="E1977" s="489"/>
      <c r="F1977" s="489"/>
      <c r="G1977" s="490"/>
      <c r="H1977" s="520"/>
      <c r="I1977" s="523"/>
      <c r="J1977" s="521"/>
      <c r="K1977" s="522"/>
      <c r="M1977" s="301" t="str">
        <f>N1977&amp;AS[[#This Row],[Insurer Code]]&amp;"; "&amp;O1977&amp;AS[[#This Row],[Reporting Year]]&amp;"; "&amp;P1977&amp;AS[[#This Row],[Insurance Category Code]]&amp;"; "&amp;Q1977&amp;AS[[#This Row],[Large Provider Entity Code]]&amp;"; "&amp;R1977&amp;AS[[#This Row],[Age Band Code]]&amp;"; "&amp;S1977&amp;AS[[#This Row],[Sex Code]]</f>
        <v xml:space="preserve">Insurer Code ; Reporting Year ; Insurance Category Code ; Large Provider Entity Code ; Age Band Code ; Sex Code </v>
      </c>
      <c r="N1977" s="297" t="s">
        <v>197</v>
      </c>
      <c r="O1977" s="297" t="s">
        <v>198</v>
      </c>
      <c r="P1977" s="297" t="s">
        <v>199</v>
      </c>
      <c r="Q1977" s="297" t="s">
        <v>200</v>
      </c>
      <c r="R1977" s="297" t="s">
        <v>213</v>
      </c>
      <c r="S1977" s="297" t="s">
        <v>214</v>
      </c>
    </row>
    <row r="1978" spans="1:19" x14ac:dyDescent="0.4">
      <c r="A1978" s="291"/>
      <c r="B1978" s="292"/>
      <c r="C1978" s="312"/>
      <c r="D1978" s="292"/>
      <c r="E1978" s="489"/>
      <c r="F1978" s="489"/>
      <c r="G1978" s="490"/>
      <c r="H1978" s="520"/>
      <c r="I1978" s="523"/>
      <c r="J1978" s="521"/>
      <c r="K1978" s="522"/>
      <c r="M1978" s="301" t="str">
        <f>N1978&amp;AS[[#This Row],[Insurer Code]]&amp;"; "&amp;O1978&amp;AS[[#This Row],[Reporting Year]]&amp;"; "&amp;P1978&amp;AS[[#This Row],[Insurance Category Code]]&amp;"; "&amp;Q1978&amp;AS[[#This Row],[Large Provider Entity Code]]&amp;"; "&amp;R1978&amp;AS[[#This Row],[Age Band Code]]&amp;"; "&amp;S1978&amp;AS[[#This Row],[Sex Code]]</f>
        <v xml:space="preserve">Insurer Code ; Reporting Year ; Insurance Category Code ; Large Provider Entity Code ; Age Band Code ; Sex Code </v>
      </c>
      <c r="N1978" s="297" t="s">
        <v>197</v>
      </c>
      <c r="O1978" s="297" t="s">
        <v>198</v>
      </c>
      <c r="P1978" s="297" t="s">
        <v>199</v>
      </c>
      <c r="Q1978" s="297" t="s">
        <v>200</v>
      </c>
      <c r="R1978" s="297" t="s">
        <v>213</v>
      </c>
      <c r="S1978" s="297" t="s">
        <v>214</v>
      </c>
    </row>
    <row r="1979" spans="1:19" x14ac:dyDescent="0.4">
      <c r="A1979" s="291"/>
      <c r="B1979" s="292"/>
      <c r="C1979" s="312"/>
      <c r="D1979" s="292"/>
      <c r="E1979" s="489"/>
      <c r="F1979" s="489"/>
      <c r="G1979" s="490"/>
      <c r="H1979" s="520"/>
      <c r="I1979" s="523"/>
      <c r="J1979" s="521"/>
      <c r="K1979" s="522"/>
      <c r="M1979" s="301" t="str">
        <f>N1979&amp;AS[[#This Row],[Insurer Code]]&amp;"; "&amp;O1979&amp;AS[[#This Row],[Reporting Year]]&amp;"; "&amp;P1979&amp;AS[[#This Row],[Insurance Category Code]]&amp;"; "&amp;Q1979&amp;AS[[#This Row],[Large Provider Entity Code]]&amp;"; "&amp;R1979&amp;AS[[#This Row],[Age Band Code]]&amp;"; "&amp;S1979&amp;AS[[#This Row],[Sex Code]]</f>
        <v xml:space="preserve">Insurer Code ; Reporting Year ; Insurance Category Code ; Large Provider Entity Code ; Age Band Code ; Sex Code </v>
      </c>
      <c r="N1979" s="297" t="s">
        <v>197</v>
      </c>
      <c r="O1979" s="297" t="s">
        <v>198</v>
      </c>
      <c r="P1979" s="297" t="s">
        <v>199</v>
      </c>
      <c r="Q1979" s="297" t="s">
        <v>200</v>
      </c>
      <c r="R1979" s="297" t="s">
        <v>213</v>
      </c>
      <c r="S1979" s="297" t="s">
        <v>214</v>
      </c>
    </row>
    <row r="1980" spans="1:19" x14ac:dyDescent="0.4">
      <c r="A1980" s="291"/>
      <c r="B1980" s="292"/>
      <c r="C1980" s="312"/>
      <c r="D1980" s="292"/>
      <c r="E1980" s="489"/>
      <c r="F1980" s="489"/>
      <c r="G1980" s="490"/>
      <c r="H1980" s="520"/>
      <c r="I1980" s="523"/>
      <c r="J1980" s="521"/>
      <c r="K1980" s="522"/>
      <c r="M1980" s="301" t="str">
        <f>N1980&amp;AS[[#This Row],[Insurer Code]]&amp;"; "&amp;O1980&amp;AS[[#This Row],[Reporting Year]]&amp;"; "&amp;P1980&amp;AS[[#This Row],[Insurance Category Code]]&amp;"; "&amp;Q1980&amp;AS[[#This Row],[Large Provider Entity Code]]&amp;"; "&amp;R1980&amp;AS[[#This Row],[Age Band Code]]&amp;"; "&amp;S1980&amp;AS[[#This Row],[Sex Code]]</f>
        <v xml:space="preserve">Insurer Code ; Reporting Year ; Insurance Category Code ; Large Provider Entity Code ; Age Band Code ; Sex Code </v>
      </c>
      <c r="N1980" s="297" t="s">
        <v>197</v>
      </c>
      <c r="O1980" s="297" t="s">
        <v>198</v>
      </c>
      <c r="P1980" s="297" t="s">
        <v>199</v>
      </c>
      <c r="Q1980" s="297" t="s">
        <v>200</v>
      </c>
      <c r="R1980" s="297" t="s">
        <v>213</v>
      </c>
      <c r="S1980" s="297" t="s">
        <v>214</v>
      </c>
    </row>
    <row r="1981" spans="1:19" x14ac:dyDescent="0.4">
      <c r="A1981" s="291"/>
      <c r="B1981" s="292"/>
      <c r="C1981" s="312"/>
      <c r="D1981" s="292"/>
      <c r="E1981" s="489"/>
      <c r="F1981" s="489"/>
      <c r="G1981" s="490"/>
      <c r="H1981" s="520"/>
      <c r="I1981" s="523"/>
      <c r="J1981" s="521"/>
      <c r="K1981" s="522"/>
      <c r="M1981" s="301" t="str">
        <f>N1981&amp;AS[[#This Row],[Insurer Code]]&amp;"; "&amp;O1981&amp;AS[[#This Row],[Reporting Year]]&amp;"; "&amp;P1981&amp;AS[[#This Row],[Insurance Category Code]]&amp;"; "&amp;Q1981&amp;AS[[#This Row],[Large Provider Entity Code]]&amp;"; "&amp;R1981&amp;AS[[#This Row],[Age Band Code]]&amp;"; "&amp;S1981&amp;AS[[#This Row],[Sex Code]]</f>
        <v xml:space="preserve">Insurer Code ; Reporting Year ; Insurance Category Code ; Large Provider Entity Code ; Age Band Code ; Sex Code </v>
      </c>
      <c r="N1981" s="297" t="s">
        <v>197</v>
      </c>
      <c r="O1981" s="297" t="s">
        <v>198</v>
      </c>
      <c r="P1981" s="297" t="s">
        <v>199</v>
      </c>
      <c r="Q1981" s="297" t="s">
        <v>200</v>
      </c>
      <c r="R1981" s="297" t="s">
        <v>213</v>
      </c>
      <c r="S1981" s="297" t="s">
        <v>214</v>
      </c>
    </row>
    <row r="1982" spans="1:19" x14ac:dyDescent="0.4">
      <c r="A1982" s="291"/>
      <c r="B1982" s="292"/>
      <c r="C1982" s="312"/>
      <c r="D1982" s="292"/>
      <c r="E1982" s="489"/>
      <c r="F1982" s="489"/>
      <c r="G1982" s="490"/>
      <c r="H1982" s="520"/>
      <c r="I1982" s="523"/>
      <c r="J1982" s="521"/>
      <c r="K1982" s="522"/>
      <c r="M1982" s="301" t="str">
        <f>N1982&amp;AS[[#This Row],[Insurer Code]]&amp;"; "&amp;O1982&amp;AS[[#This Row],[Reporting Year]]&amp;"; "&amp;P1982&amp;AS[[#This Row],[Insurance Category Code]]&amp;"; "&amp;Q1982&amp;AS[[#This Row],[Large Provider Entity Code]]&amp;"; "&amp;R1982&amp;AS[[#This Row],[Age Band Code]]&amp;"; "&amp;S1982&amp;AS[[#This Row],[Sex Code]]</f>
        <v xml:space="preserve">Insurer Code ; Reporting Year ; Insurance Category Code ; Large Provider Entity Code ; Age Band Code ; Sex Code </v>
      </c>
      <c r="N1982" s="297" t="s">
        <v>197</v>
      </c>
      <c r="O1982" s="297" t="s">
        <v>198</v>
      </c>
      <c r="P1982" s="297" t="s">
        <v>199</v>
      </c>
      <c r="Q1982" s="297" t="s">
        <v>200</v>
      </c>
      <c r="R1982" s="297" t="s">
        <v>213</v>
      </c>
      <c r="S1982" s="297" t="s">
        <v>214</v>
      </c>
    </row>
    <row r="1983" spans="1:19" x14ac:dyDescent="0.4">
      <c r="A1983" s="291"/>
      <c r="B1983" s="292"/>
      <c r="C1983" s="312"/>
      <c r="D1983" s="292"/>
      <c r="E1983" s="489"/>
      <c r="F1983" s="489"/>
      <c r="G1983" s="490"/>
      <c r="H1983" s="520"/>
      <c r="I1983" s="523"/>
      <c r="J1983" s="521"/>
      <c r="K1983" s="522"/>
      <c r="M1983" s="301" t="str">
        <f>N1983&amp;AS[[#This Row],[Insurer Code]]&amp;"; "&amp;O1983&amp;AS[[#This Row],[Reporting Year]]&amp;"; "&amp;P1983&amp;AS[[#This Row],[Insurance Category Code]]&amp;"; "&amp;Q1983&amp;AS[[#This Row],[Large Provider Entity Code]]&amp;"; "&amp;R1983&amp;AS[[#This Row],[Age Band Code]]&amp;"; "&amp;S1983&amp;AS[[#This Row],[Sex Code]]</f>
        <v xml:space="preserve">Insurer Code ; Reporting Year ; Insurance Category Code ; Large Provider Entity Code ; Age Band Code ; Sex Code </v>
      </c>
      <c r="N1983" s="297" t="s">
        <v>197</v>
      </c>
      <c r="O1983" s="297" t="s">
        <v>198</v>
      </c>
      <c r="P1983" s="297" t="s">
        <v>199</v>
      </c>
      <c r="Q1983" s="297" t="s">
        <v>200</v>
      </c>
      <c r="R1983" s="297" t="s">
        <v>213</v>
      </c>
      <c r="S1983" s="297" t="s">
        <v>214</v>
      </c>
    </row>
    <row r="1984" spans="1:19" x14ac:dyDescent="0.4">
      <c r="A1984" s="291"/>
      <c r="B1984" s="292"/>
      <c r="C1984" s="312"/>
      <c r="D1984" s="292"/>
      <c r="E1984" s="489"/>
      <c r="F1984" s="489"/>
      <c r="G1984" s="490"/>
      <c r="H1984" s="520"/>
      <c r="I1984" s="523"/>
      <c r="J1984" s="521"/>
      <c r="K1984" s="522"/>
      <c r="M1984" s="301" t="str">
        <f>N1984&amp;AS[[#This Row],[Insurer Code]]&amp;"; "&amp;O1984&amp;AS[[#This Row],[Reporting Year]]&amp;"; "&amp;P1984&amp;AS[[#This Row],[Insurance Category Code]]&amp;"; "&amp;Q1984&amp;AS[[#This Row],[Large Provider Entity Code]]&amp;"; "&amp;R1984&amp;AS[[#This Row],[Age Band Code]]&amp;"; "&amp;S1984&amp;AS[[#This Row],[Sex Code]]</f>
        <v xml:space="preserve">Insurer Code ; Reporting Year ; Insurance Category Code ; Large Provider Entity Code ; Age Band Code ; Sex Code </v>
      </c>
      <c r="N1984" s="297" t="s">
        <v>197</v>
      </c>
      <c r="O1984" s="297" t="s">
        <v>198</v>
      </c>
      <c r="P1984" s="297" t="s">
        <v>199</v>
      </c>
      <c r="Q1984" s="297" t="s">
        <v>200</v>
      </c>
      <c r="R1984" s="297" t="s">
        <v>213</v>
      </c>
      <c r="S1984" s="297" t="s">
        <v>214</v>
      </c>
    </row>
    <row r="1985" spans="1:19" x14ac:dyDescent="0.4">
      <c r="A1985" s="291"/>
      <c r="B1985" s="292"/>
      <c r="C1985" s="312"/>
      <c r="D1985" s="292"/>
      <c r="E1985" s="489"/>
      <c r="F1985" s="489"/>
      <c r="G1985" s="490"/>
      <c r="H1985" s="520"/>
      <c r="I1985" s="523"/>
      <c r="J1985" s="521"/>
      <c r="K1985" s="522"/>
      <c r="M1985" s="301" t="str">
        <f>N1985&amp;AS[[#This Row],[Insurer Code]]&amp;"; "&amp;O1985&amp;AS[[#This Row],[Reporting Year]]&amp;"; "&amp;P1985&amp;AS[[#This Row],[Insurance Category Code]]&amp;"; "&amp;Q1985&amp;AS[[#This Row],[Large Provider Entity Code]]&amp;"; "&amp;R1985&amp;AS[[#This Row],[Age Band Code]]&amp;"; "&amp;S1985&amp;AS[[#This Row],[Sex Code]]</f>
        <v xml:space="preserve">Insurer Code ; Reporting Year ; Insurance Category Code ; Large Provider Entity Code ; Age Band Code ; Sex Code </v>
      </c>
      <c r="N1985" s="297" t="s">
        <v>197</v>
      </c>
      <c r="O1985" s="297" t="s">
        <v>198</v>
      </c>
      <c r="P1985" s="297" t="s">
        <v>199</v>
      </c>
      <c r="Q1985" s="297" t="s">
        <v>200</v>
      </c>
      <c r="R1985" s="297" t="s">
        <v>213</v>
      </c>
      <c r="S1985" s="297" t="s">
        <v>214</v>
      </c>
    </row>
    <row r="1986" spans="1:19" x14ac:dyDescent="0.4">
      <c r="A1986" s="291"/>
      <c r="B1986" s="292"/>
      <c r="C1986" s="312"/>
      <c r="D1986" s="292"/>
      <c r="E1986" s="489"/>
      <c r="F1986" s="489"/>
      <c r="G1986" s="490"/>
      <c r="H1986" s="520"/>
      <c r="I1986" s="523"/>
      <c r="J1986" s="521"/>
      <c r="K1986" s="522"/>
      <c r="M1986" s="301" t="str">
        <f>N1986&amp;AS[[#This Row],[Insurer Code]]&amp;"; "&amp;O1986&amp;AS[[#This Row],[Reporting Year]]&amp;"; "&amp;P1986&amp;AS[[#This Row],[Insurance Category Code]]&amp;"; "&amp;Q1986&amp;AS[[#This Row],[Large Provider Entity Code]]&amp;"; "&amp;R1986&amp;AS[[#This Row],[Age Band Code]]&amp;"; "&amp;S1986&amp;AS[[#This Row],[Sex Code]]</f>
        <v xml:space="preserve">Insurer Code ; Reporting Year ; Insurance Category Code ; Large Provider Entity Code ; Age Band Code ; Sex Code </v>
      </c>
      <c r="N1986" s="297" t="s">
        <v>197</v>
      </c>
      <c r="O1986" s="297" t="s">
        <v>198</v>
      </c>
      <c r="P1986" s="297" t="s">
        <v>199</v>
      </c>
      <c r="Q1986" s="297" t="s">
        <v>200</v>
      </c>
      <c r="R1986" s="297" t="s">
        <v>213</v>
      </c>
      <c r="S1986" s="297" t="s">
        <v>214</v>
      </c>
    </row>
    <row r="1987" spans="1:19" x14ac:dyDescent="0.4">
      <c r="A1987" s="291"/>
      <c r="B1987" s="292"/>
      <c r="C1987" s="312"/>
      <c r="D1987" s="292"/>
      <c r="E1987" s="489"/>
      <c r="F1987" s="489"/>
      <c r="G1987" s="490"/>
      <c r="H1987" s="520"/>
      <c r="I1987" s="523"/>
      <c r="J1987" s="521"/>
      <c r="K1987" s="522"/>
      <c r="M1987" s="301" t="str">
        <f>N1987&amp;AS[[#This Row],[Insurer Code]]&amp;"; "&amp;O1987&amp;AS[[#This Row],[Reporting Year]]&amp;"; "&amp;P1987&amp;AS[[#This Row],[Insurance Category Code]]&amp;"; "&amp;Q1987&amp;AS[[#This Row],[Large Provider Entity Code]]&amp;"; "&amp;R1987&amp;AS[[#This Row],[Age Band Code]]&amp;"; "&amp;S1987&amp;AS[[#This Row],[Sex Code]]</f>
        <v xml:space="preserve">Insurer Code ; Reporting Year ; Insurance Category Code ; Large Provider Entity Code ; Age Band Code ; Sex Code </v>
      </c>
      <c r="N1987" s="297" t="s">
        <v>197</v>
      </c>
      <c r="O1987" s="297" t="s">
        <v>198</v>
      </c>
      <c r="P1987" s="297" t="s">
        <v>199</v>
      </c>
      <c r="Q1987" s="297" t="s">
        <v>200</v>
      </c>
      <c r="R1987" s="297" t="s">
        <v>213</v>
      </c>
      <c r="S1987" s="297" t="s">
        <v>214</v>
      </c>
    </row>
    <row r="1988" spans="1:19" x14ac:dyDescent="0.4">
      <c r="A1988" s="291"/>
      <c r="B1988" s="292"/>
      <c r="C1988" s="312"/>
      <c r="D1988" s="292"/>
      <c r="E1988" s="489"/>
      <c r="F1988" s="489"/>
      <c r="G1988" s="490"/>
      <c r="H1988" s="520"/>
      <c r="I1988" s="523"/>
      <c r="J1988" s="521"/>
      <c r="K1988" s="522"/>
      <c r="M1988" s="301" t="str">
        <f>N1988&amp;AS[[#This Row],[Insurer Code]]&amp;"; "&amp;O1988&amp;AS[[#This Row],[Reporting Year]]&amp;"; "&amp;P1988&amp;AS[[#This Row],[Insurance Category Code]]&amp;"; "&amp;Q1988&amp;AS[[#This Row],[Large Provider Entity Code]]&amp;"; "&amp;R1988&amp;AS[[#This Row],[Age Band Code]]&amp;"; "&amp;S1988&amp;AS[[#This Row],[Sex Code]]</f>
        <v xml:space="preserve">Insurer Code ; Reporting Year ; Insurance Category Code ; Large Provider Entity Code ; Age Band Code ; Sex Code </v>
      </c>
      <c r="N1988" s="297" t="s">
        <v>197</v>
      </c>
      <c r="O1988" s="297" t="s">
        <v>198</v>
      </c>
      <c r="P1988" s="297" t="s">
        <v>199</v>
      </c>
      <c r="Q1988" s="297" t="s">
        <v>200</v>
      </c>
      <c r="R1988" s="297" t="s">
        <v>213</v>
      </c>
      <c r="S1988" s="297" t="s">
        <v>214</v>
      </c>
    </row>
    <row r="1989" spans="1:19" x14ac:dyDescent="0.4">
      <c r="A1989" s="291"/>
      <c r="B1989" s="292"/>
      <c r="C1989" s="312"/>
      <c r="D1989" s="292"/>
      <c r="E1989" s="489"/>
      <c r="F1989" s="489"/>
      <c r="G1989" s="490"/>
      <c r="H1989" s="520"/>
      <c r="I1989" s="523"/>
      <c r="J1989" s="521"/>
      <c r="K1989" s="522"/>
      <c r="M1989" s="301" t="str">
        <f>N1989&amp;AS[[#This Row],[Insurer Code]]&amp;"; "&amp;O1989&amp;AS[[#This Row],[Reporting Year]]&amp;"; "&amp;P1989&amp;AS[[#This Row],[Insurance Category Code]]&amp;"; "&amp;Q1989&amp;AS[[#This Row],[Large Provider Entity Code]]&amp;"; "&amp;R1989&amp;AS[[#This Row],[Age Band Code]]&amp;"; "&amp;S1989&amp;AS[[#This Row],[Sex Code]]</f>
        <v xml:space="preserve">Insurer Code ; Reporting Year ; Insurance Category Code ; Large Provider Entity Code ; Age Band Code ; Sex Code </v>
      </c>
      <c r="N1989" s="297" t="s">
        <v>197</v>
      </c>
      <c r="O1989" s="297" t="s">
        <v>198</v>
      </c>
      <c r="P1989" s="297" t="s">
        <v>199</v>
      </c>
      <c r="Q1989" s="297" t="s">
        <v>200</v>
      </c>
      <c r="R1989" s="297" t="s">
        <v>213</v>
      </c>
      <c r="S1989" s="297" t="s">
        <v>214</v>
      </c>
    </row>
    <row r="1990" spans="1:19" x14ac:dyDescent="0.4">
      <c r="A1990" s="291"/>
      <c r="B1990" s="292"/>
      <c r="C1990" s="312"/>
      <c r="D1990" s="292"/>
      <c r="E1990" s="489"/>
      <c r="F1990" s="489"/>
      <c r="G1990" s="490"/>
      <c r="H1990" s="520"/>
      <c r="I1990" s="523"/>
      <c r="J1990" s="521"/>
      <c r="K1990" s="522"/>
      <c r="M1990" s="301" t="str">
        <f>N1990&amp;AS[[#This Row],[Insurer Code]]&amp;"; "&amp;O1990&amp;AS[[#This Row],[Reporting Year]]&amp;"; "&amp;P1990&amp;AS[[#This Row],[Insurance Category Code]]&amp;"; "&amp;Q1990&amp;AS[[#This Row],[Large Provider Entity Code]]&amp;"; "&amp;R1990&amp;AS[[#This Row],[Age Band Code]]&amp;"; "&amp;S1990&amp;AS[[#This Row],[Sex Code]]</f>
        <v xml:space="preserve">Insurer Code ; Reporting Year ; Insurance Category Code ; Large Provider Entity Code ; Age Band Code ; Sex Code </v>
      </c>
      <c r="N1990" s="297" t="s">
        <v>197</v>
      </c>
      <c r="O1990" s="297" t="s">
        <v>198</v>
      </c>
      <c r="P1990" s="297" t="s">
        <v>199</v>
      </c>
      <c r="Q1990" s="297" t="s">
        <v>200</v>
      </c>
      <c r="R1990" s="297" t="s">
        <v>213</v>
      </c>
      <c r="S1990" s="297" t="s">
        <v>214</v>
      </c>
    </row>
    <row r="1991" spans="1:19" x14ac:dyDescent="0.4">
      <c r="A1991" s="291"/>
      <c r="B1991" s="292"/>
      <c r="C1991" s="312"/>
      <c r="D1991" s="292"/>
      <c r="E1991" s="489"/>
      <c r="F1991" s="489"/>
      <c r="G1991" s="490"/>
      <c r="H1991" s="520"/>
      <c r="I1991" s="523"/>
      <c r="J1991" s="521"/>
      <c r="K1991" s="522"/>
      <c r="M1991" s="301" t="str">
        <f>N1991&amp;AS[[#This Row],[Insurer Code]]&amp;"; "&amp;O1991&amp;AS[[#This Row],[Reporting Year]]&amp;"; "&amp;P1991&amp;AS[[#This Row],[Insurance Category Code]]&amp;"; "&amp;Q1991&amp;AS[[#This Row],[Large Provider Entity Code]]&amp;"; "&amp;R1991&amp;AS[[#This Row],[Age Band Code]]&amp;"; "&amp;S1991&amp;AS[[#This Row],[Sex Code]]</f>
        <v xml:space="preserve">Insurer Code ; Reporting Year ; Insurance Category Code ; Large Provider Entity Code ; Age Band Code ; Sex Code </v>
      </c>
      <c r="N1991" s="297" t="s">
        <v>197</v>
      </c>
      <c r="O1991" s="297" t="s">
        <v>198</v>
      </c>
      <c r="P1991" s="297" t="s">
        <v>199</v>
      </c>
      <c r="Q1991" s="297" t="s">
        <v>200</v>
      </c>
      <c r="R1991" s="297" t="s">
        <v>213</v>
      </c>
      <c r="S1991" s="297" t="s">
        <v>214</v>
      </c>
    </row>
    <row r="1992" spans="1:19" x14ac:dyDescent="0.4">
      <c r="A1992" s="291"/>
      <c r="B1992" s="292"/>
      <c r="C1992" s="312"/>
      <c r="D1992" s="292"/>
      <c r="E1992" s="489"/>
      <c r="F1992" s="489"/>
      <c r="G1992" s="490"/>
      <c r="H1992" s="520"/>
      <c r="I1992" s="523"/>
      <c r="J1992" s="521"/>
      <c r="K1992" s="522"/>
      <c r="M1992" s="301" t="str">
        <f>N1992&amp;AS[[#This Row],[Insurer Code]]&amp;"; "&amp;O1992&amp;AS[[#This Row],[Reporting Year]]&amp;"; "&amp;P1992&amp;AS[[#This Row],[Insurance Category Code]]&amp;"; "&amp;Q1992&amp;AS[[#This Row],[Large Provider Entity Code]]&amp;"; "&amp;R1992&amp;AS[[#This Row],[Age Band Code]]&amp;"; "&amp;S1992&amp;AS[[#This Row],[Sex Code]]</f>
        <v xml:space="preserve">Insurer Code ; Reporting Year ; Insurance Category Code ; Large Provider Entity Code ; Age Band Code ; Sex Code </v>
      </c>
      <c r="N1992" s="297" t="s">
        <v>197</v>
      </c>
      <c r="O1992" s="297" t="s">
        <v>198</v>
      </c>
      <c r="P1992" s="297" t="s">
        <v>199</v>
      </c>
      <c r="Q1992" s="297" t="s">
        <v>200</v>
      </c>
      <c r="R1992" s="297" t="s">
        <v>213</v>
      </c>
      <c r="S1992" s="297" t="s">
        <v>214</v>
      </c>
    </row>
    <row r="1993" spans="1:19" x14ac:dyDescent="0.4">
      <c r="A1993" s="291"/>
      <c r="B1993" s="292"/>
      <c r="C1993" s="312"/>
      <c r="D1993" s="292"/>
      <c r="E1993" s="489"/>
      <c r="F1993" s="489"/>
      <c r="G1993" s="490"/>
      <c r="H1993" s="520"/>
      <c r="I1993" s="523"/>
      <c r="J1993" s="521"/>
      <c r="K1993" s="522"/>
      <c r="M1993" s="301" t="str">
        <f>N1993&amp;AS[[#This Row],[Insurer Code]]&amp;"; "&amp;O1993&amp;AS[[#This Row],[Reporting Year]]&amp;"; "&amp;P1993&amp;AS[[#This Row],[Insurance Category Code]]&amp;"; "&amp;Q1993&amp;AS[[#This Row],[Large Provider Entity Code]]&amp;"; "&amp;R1993&amp;AS[[#This Row],[Age Band Code]]&amp;"; "&amp;S1993&amp;AS[[#This Row],[Sex Code]]</f>
        <v xml:space="preserve">Insurer Code ; Reporting Year ; Insurance Category Code ; Large Provider Entity Code ; Age Band Code ; Sex Code </v>
      </c>
      <c r="N1993" s="297" t="s">
        <v>197</v>
      </c>
      <c r="O1993" s="297" t="s">
        <v>198</v>
      </c>
      <c r="P1993" s="297" t="s">
        <v>199</v>
      </c>
      <c r="Q1993" s="297" t="s">
        <v>200</v>
      </c>
      <c r="R1993" s="297" t="s">
        <v>213</v>
      </c>
      <c r="S1993" s="297" t="s">
        <v>214</v>
      </c>
    </row>
    <row r="1994" spans="1:19" x14ac:dyDescent="0.4">
      <c r="A1994" s="291"/>
      <c r="B1994" s="292"/>
      <c r="C1994" s="312"/>
      <c r="D1994" s="292"/>
      <c r="E1994" s="489"/>
      <c r="F1994" s="489"/>
      <c r="G1994" s="490"/>
      <c r="H1994" s="520"/>
      <c r="I1994" s="523"/>
      <c r="J1994" s="521"/>
      <c r="K1994" s="522"/>
      <c r="M1994" s="301" t="str">
        <f>N1994&amp;AS[[#This Row],[Insurer Code]]&amp;"; "&amp;O1994&amp;AS[[#This Row],[Reporting Year]]&amp;"; "&amp;P1994&amp;AS[[#This Row],[Insurance Category Code]]&amp;"; "&amp;Q1994&amp;AS[[#This Row],[Large Provider Entity Code]]&amp;"; "&amp;R1994&amp;AS[[#This Row],[Age Band Code]]&amp;"; "&amp;S1994&amp;AS[[#This Row],[Sex Code]]</f>
        <v xml:space="preserve">Insurer Code ; Reporting Year ; Insurance Category Code ; Large Provider Entity Code ; Age Band Code ; Sex Code </v>
      </c>
      <c r="N1994" s="297" t="s">
        <v>197</v>
      </c>
      <c r="O1994" s="297" t="s">
        <v>198</v>
      </c>
      <c r="P1994" s="297" t="s">
        <v>199</v>
      </c>
      <c r="Q1994" s="297" t="s">
        <v>200</v>
      </c>
      <c r="R1994" s="297" t="s">
        <v>213</v>
      </c>
      <c r="S1994" s="297" t="s">
        <v>214</v>
      </c>
    </row>
    <row r="1995" spans="1:19" x14ac:dyDescent="0.4">
      <c r="A1995" s="291"/>
      <c r="B1995" s="292"/>
      <c r="C1995" s="312"/>
      <c r="D1995" s="292"/>
      <c r="E1995" s="489"/>
      <c r="F1995" s="489"/>
      <c r="G1995" s="490"/>
      <c r="H1995" s="520"/>
      <c r="I1995" s="523"/>
      <c r="J1995" s="521"/>
      <c r="K1995" s="522"/>
      <c r="M1995" s="301" t="str">
        <f>N1995&amp;AS[[#This Row],[Insurer Code]]&amp;"; "&amp;O1995&amp;AS[[#This Row],[Reporting Year]]&amp;"; "&amp;P1995&amp;AS[[#This Row],[Insurance Category Code]]&amp;"; "&amp;Q1995&amp;AS[[#This Row],[Large Provider Entity Code]]&amp;"; "&amp;R1995&amp;AS[[#This Row],[Age Band Code]]&amp;"; "&amp;S1995&amp;AS[[#This Row],[Sex Code]]</f>
        <v xml:space="preserve">Insurer Code ; Reporting Year ; Insurance Category Code ; Large Provider Entity Code ; Age Band Code ; Sex Code </v>
      </c>
      <c r="N1995" s="297" t="s">
        <v>197</v>
      </c>
      <c r="O1995" s="297" t="s">
        <v>198</v>
      </c>
      <c r="P1995" s="297" t="s">
        <v>199</v>
      </c>
      <c r="Q1995" s="297" t="s">
        <v>200</v>
      </c>
      <c r="R1995" s="297" t="s">
        <v>213</v>
      </c>
      <c r="S1995" s="297" t="s">
        <v>214</v>
      </c>
    </row>
    <row r="1996" spans="1:19" x14ac:dyDescent="0.4">
      <c r="A1996" s="291"/>
      <c r="B1996" s="292"/>
      <c r="C1996" s="312"/>
      <c r="D1996" s="292"/>
      <c r="E1996" s="489"/>
      <c r="F1996" s="489"/>
      <c r="G1996" s="490"/>
      <c r="H1996" s="520"/>
      <c r="I1996" s="523"/>
      <c r="J1996" s="521"/>
      <c r="K1996" s="522"/>
      <c r="M1996" s="301" t="str">
        <f>N1996&amp;AS[[#This Row],[Insurer Code]]&amp;"; "&amp;O1996&amp;AS[[#This Row],[Reporting Year]]&amp;"; "&amp;P1996&amp;AS[[#This Row],[Insurance Category Code]]&amp;"; "&amp;Q1996&amp;AS[[#This Row],[Large Provider Entity Code]]&amp;"; "&amp;R1996&amp;AS[[#This Row],[Age Band Code]]&amp;"; "&amp;S1996&amp;AS[[#This Row],[Sex Code]]</f>
        <v xml:space="preserve">Insurer Code ; Reporting Year ; Insurance Category Code ; Large Provider Entity Code ; Age Band Code ; Sex Code </v>
      </c>
      <c r="N1996" s="297" t="s">
        <v>197</v>
      </c>
      <c r="O1996" s="297" t="s">
        <v>198</v>
      </c>
      <c r="P1996" s="297" t="s">
        <v>199</v>
      </c>
      <c r="Q1996" s="297" t="s">
        <v>200</v>
      </c>
      <c r="R1996" s="297" t="s">
        <v>213</v>
      </c>
      <c r="S1996" s="297" t="s">
        <v>214</v>
      </c>
    </row>
    <row r="1997" spans="1:19" x14ac:dyDescent="0.4">
      <c r="A1997" s="291"/>
      <c r="B1997" s="292"/>
      <c r="C1997" s="312"/>
      <c r="D1997" s="292"/>
      <c r="E1997" s="489"/>
      <c r="F1997" s="489"/>
      <c r="G1997" s="490"/>
      <c r="H1997" s="520"/>
      <c r="I1997" s="523"/>
      <c r="J1997" s="521"/>
      <c r="K1997" s="522"/>
      <c r="M1997" s="301" t="str">
        <f>N1997&amp;AS[[#This Row],[Insurer Code]]&amp;"; "&amp;O1997&amp;AS[[#This Row],[Reporting Year]]&amp;"; "&amp;P1997&amp;AS[[#This Row],[Insurance Category Code]]&amp;"; "&amp;Q1997&amp;AS[[#This Row],[Large Provider Entity Code]]&amp;"; "&amp;R1997&amp;AS[[#This Row],[Age Band Code]]&amp;"; "&amp;S1997&amp;AS[[#This Row],[Sex Code]]</f>
        <v xml:space="preserve">Insurer Code ; Reporting Year ; Insurance Category Code ; Large Provider Entity Code ; Age Band Code ; Sex Code </v>
      </c>
      <c r="N1997" s="297" t="s">
        <v>197</v>
      </c>
      <c r="O1997" s="297" t="s">
        <v>198</v>
      </c>
      <c r="P1997" s="297" t="s">
        <v>199</v>
      </c>
      <c r="Q1997" s="297" t="s">
        <v>200</v>
      </c>
      <c r="R1997" s="297" t="s">
        <v>213</v>
      </c>
      <c r="S1997" s="297" t="s">
        <v>214</v>
      </c>
    </row>
    <row r="1998" spans="1:19" x14ac:dyDescent="0.4">
      <c r="A1998" s="291"/>
      <c r="B1998" s="292"/>
      <c r="C1998" s="312"/>
      <c r="D1998" s="292"/>
      <c r="E1998" s="489"/>
      <c r="F1998" s="489"/>
      <c r="G1998" s="490"/>
      <c r="H1998" s="520"/>
      <c r="I1998" s="523"/>
      <c r="J1998" s="521"/>
      <c r="K1998" s="522"/>
      <c r="M1998" s="301" t="str">
        <f>N1998&amp;AS[[#This Row],[Insurer Code]]&amp;"; "&amp;O1998&amp;AS[[#This Row],[Reporting Year]]&amp;"; "&amp;P1998&amp;AS[[#This Row],[Insurance Category Code]]&amp;"; "&amp;Q1998&amp;AS[[#This Row],[Large Provider Entity Code]]&amp;"; "&amp;R1998&amp;AS[[#This Row],[Age Band Code]]&amp;"; "&amp;S1998&amp;AS[[#This Row],[Sex Code]]</f>
        <v xml:space="preserve">Insurer Code ; Reporting Year ; Insurance Category Code ; Large Provider Entity Code ; Age Band Code ; Sex Code </v>
      </c>
      <c r="N1998" s="297" t="s">
        <v>197</v>
      </c>
      <c r="O1998" s="297" t="s">
        <v>198</v>
      </c>
      <c r="P1998" s="297" t="s">
        <v>199</v>
      </c>
      <c r="Q1998" s="297" t="s">
        <v>200</v>
      </c>
      <c r="R1998" s="297" t="s">
        <v>213</v>
      </c>
      <c r="S1998" s="297" t="s">
        <v>214</v>
      </c>
    </row>
    <row r="1999" spans="1:19" x14ac:dyDescent="0.4">
      <c r="A1999" s="291"/>
      <c r="B1999" s="292"/>
      <c r="C1999" s="312"/>
      <c r="D1999" s="292"/>
      <c r="E1999" s="489"/>
      <c r="F1999" s="489"/>
      <c r="G1999" s="490"/>
      <c r="H1999" s="520"/>
      <c r="I1999" s="523"/>
      <c r="J1999" s="521"/>
      <c r="K1999" s="522"/>
      <c r="M1999" s="301" t="str">
        <f>N1999&amp;AS[[#This Row],[Insurer Code]]&amp;"; "&amp;O1999&amp;AS[[#This Row],[Reporting Year]]&amp;"; "&amp;P1999&amp;AS[[#This Row],[Insurance Category Code]]&amp;"; "&amp;Q1999&amp;AS[[#This Row],[Large Provider Entity Code]]&amp;"; "&amp;R1999&amp;AS[[#This Row],[Age Band Code]]&amp;"; "&amp;S1999&amp;AS[[#This Row],[Sex Code]]</f>
        <v xml:space="preserve">Insurer Code ; Reporting Year ; Insurance Category Code ; Large Provider Entity Code ; Age Band Code ; Sex Code </v>
      </c>
      <c r="N1999" s="297" t="s">
        <v>197</v>
      </c>
      <c r="O1999" s="297" t="s">
        <v>198</v>
      </c>
      <c r="P1999" s="297" t="s">
        <v>199</v>
      </c>
      <c r="Q1999" s="297" t="s">
        <v>200</v>
      </c>
      <c r="R1999" s="297" t="s">
        <v>213</v>
      </c>
      <c r="S1999" s="297" t="s">
        <v>214</v>
      </c>
    </row>
    <row r="2000" spans="1:19" x14ac:dyDescent="0.4">
      <c r="A2000" s="291"/>
      <c r="B2000" s="292"/>
      <c r="C2000" s="312"/>
      <c r="D2000" s="292"/>
      <c r="E2000" s="489"/>
      <c r="F2000" s="489"/>
      <c r="G2000" s="490"/>
      <c r="H2000" s="520"/>
      <c r="I2000" s="523"/>
      <c r="J2000" s="521"/>
      <c r="K2000" s="522"/>
      <c r="M2000" s="301" t="str">
        <f>N2000&amp;AS[[#This Row],[Insurer Code]]&amp;"; "&amp;O2000&amp;AS[[#This Row],[Reporting Year]]&amp;"; "&amp;P2000&amp;AS[[#This Row],[Insurance Category Code]]&amp;"; "&amp;Q2000&amp;AS[[#This Row],[Large Provider Entity Code]]&amp;"; "&amp;R2000&amp;AS[[#This Row],[Age Band Code]]&amp;"; "&amp;S2000&amp;AS[[#This Row],[Sex Code]]</f>
        <v xml:space="preserve">Insurer Code ; Reporting Year ; Insurance Category Code ; Large Provider Entity Code ; Age Band Code ; Sex Code </v>
      </c>
      <c r="N2000" s="297" t="s">
        <v>197</v>
      </c>
      <c r="O2000" s="297" t="s">
        <v>198</v>
      </c>
      <c r="P2000" s="297" t="s">
        <v>199</v>
      </c>
      <c r="Q2000" s="297" t="s">
        <v>200</v>
      </c>
      <c r="R2000" s="297" t="s">
        <v>213</v>
      </c>
      <c r="S2000" s="297" t="s">
        <v>214</v>
      </c>
    </row>
    <row r="2001" spans="1:19" x14ac:dyDescent="0.4">
      <c r="A2001" s="291"/>
      <c r="B2001" s="292"/>
      <c r="C2001" s="312"/>
      <c r="D2001" s="292"/>
      <c r="E2001" s="489"/>
      <c r="F2001" s="489"/>
      <c r="G2001" s="490"/>
      <c r="H2001" s="520"/>
      <c r="I2001" s="523"/>
      <c r="J2001" s="521"/>
      <c r="K2001" s="522"/>
      <c r="M2001" s="301" t="str">
        <f>N2001&amp;AS[[#This Row],[Insurer Code]]&amp;"; "&amp;O2001&amp;AS[[#This Row],[Reporting Year]]&amp;"; "&amp;P2001&amp;AS[[#This Row],[Insurance Category Code]]&amp;"; "&amp;Q2001&amp;AS[[#This Row],[Large Provider Entity Code]]&amp;"; "&amp;R2001&amp;AS[[#This Row],[Age Band Code]]&amp;"; "&amp;S2001&amp;AS[[#This Row],[Sex Code]]</f>
        <v xml:space="preserve">Insurer Code ; Reporting Year ; Insurance Category Code ; Large Provider Entity Code ; Age Band Code ; Sex Code </v>
      </c>
      <c r="N2001" s="297" t="s">
        <v>197</v>
      </c>
      <c r="O2001" s="297" t="s">
        <v>198</v>
      </c>
      <c r="P2001" s="297" t="s">
        <v>199</v>
      </c>
      <c r="Q2001" s="297" t="s">
        <v>200</v>
      </c>
      <c r="R2001" s="297" t="s">
        <v>213</v>
      </c>
      <c r="S2001" s="297" t="s">
        <v>214</v>
      </c>
    </row>
    <row r="2002" spans="1:19" x14ac:dyDescent="0.4">
      <c r="A2002" s="291"/>
      <c r="B2002" s="292"/>
      <c r="C2002" s="312"/>
      <c r="D2002" s="292"/>
      <c r="E2002" s="489"/>
      <c r="F2002" s="489"/>
      <c r="G2002" s="490"/>
      <c r="H2002" s="520"/>
      <c r="I2002" s="523"/>
      <c r="J2002" s="521"/>
      <c r="K2002" s="522"/>
      <c r="M2002" s="301" t="str">
        <f>N2002&amp;AS[[#This Row],[Insurer Code]]&amp;"; "&amp;O2002&amp;AS[[#This Row],[Reporting Year]]&amp;"; "&amp;P2002&amp;AS[[#This Row],[Insurance Category Code]]&amp;"; "&amp;Q2002&amp;AS[[#This Row],[Large Provider Entity Code]]&amp;"; "&amp;R2002&amp;AS[[#This Row],[Age Band Code]]&amp;"; "&amp;S2002&amp;AS[[#This Row],[Sex Code]]</f>
        <v xml:space="preserve">Insurer Code ; Reporting Year ; Insurance Category Code ; Large Provider Entity Code ; Age Band Code ; Sex Code </v>
      </c>
      <c r="N2002" s="297" t="s">
        <v>197</v>
      </c>
      <c r="O2002" s="297" t="s">
        <v>198</v>
      </c>
      <c r="P2002" s="297" t="s">
        <v>199</v>
      </c>
      <c r="Q2002" s="297" t="s">
        <v>200</v>
      </c>
      <c r="R2002" s="297" t="s">
        <v>213</v>
      </c>
      <c r="S2002" s="297" t="s">
        <v>214</v>
      </c>
    </row>
    <row r="2003" spans="1:19" x14ac:dyDescent="0.4">
      <c r="A2003" s="291"/>
      <c r="B2003" s="292"/>
      <c r="C2003" s="312"/>
      <c r="D2003" s="292"/>
      <c r="E2003" s="489"/>
      <c r="F2003" s="489"/>
      <c r="G2003" s="490"/>
      <c r="H2003" s="520"/>
      <c r="I2003" s="523"/>
      <c r="J2003" s="521"/>
      <c r="K2003" s="522"/>
      <c r="M2003" s="301" t="str">
        <f>N2003&amp;AS[[#This Row],[Insurer Code]]&amp;"; "&amp;O2003&amp;AS[[#This Row],[Reporting Year]]&amp;"; "&amp;P2003&amp;AS[[#This Row],[Insurance Category Code]]&amp;"; "&amp;Q2003&amp;AS[[#This Row],[Large Provider Entity Code]]&amp;"; "&amp;R2003&amp;AS[[#This Row],[Age Band Code]]&amp;"; "&amp;S2003&amp;AS[[#This Row],[Sex Code]]</f>
        <v xml:space="preserve">Insurer Code ; Reporting Year ; Insurance Category Code ; Large Provider Entity Code ; Age Band Code ; Sex Code </v>
      </c>
      <c r="N2003" s="297" t="s">
        <v>197</v>
      </c>
      <c r="O2003" s="297" t="s">
        <v>198</v>
      </c>
      <c r="P2003" s="297" t="s">
        <v>199</v>
      </c>
      <c r="Q2003" s="297" t="s">
        <v>200</v>
      </c>
      <c r="R2003" s="297" t="s">
        <v>213</v>
      </c>
      <c r="S2003" s="297" t="s">
        <v>214</v>
      </c>
    </row>
    <row r="2004" spans="1:19" x14ac:dyDescent="0.4">
      <c r="A2004" s="291"/>
      <c r="B2004" s="292"/>
      <c r="C2004" s="312"/>
      <c r="D2004" s="292"/>
      <c r="E2004" s="489"/>
      <c r="F2004" s="489"/>
      <c r="G2004" s="490"/>
      <c r="H2004" s="520"/>
      <c r="I2004" s="523"/>
      <c r="J2004" s="521"/>
      <c r="K2004" s="522"/>
      <c r="M2004" s="301" t="str">
        <f>N2004&amp;AS[[#This Row],[Insurer Code]]&amp;"; "&amp;O2004&amp;AS[[#This Row],[Reporting Year]]&amp;"; "&amp;P2004&amp;AS[[#This Row],[Insurance Category Code]]&amp;"; "&amp;Q2004&amp;AS[[#This Row],[Large Provider Entity Code]]&amp;"; "&amp;R2004&amp;AS[[#This Row],[Age Band Code]]&amp;"; "&amp;S2004&amp;AS[[#This Row],[Sex Code]]</f>
        <v xml:space="preserve">Insurer Code ; Reporting Year ; Insurance Category Code ; Large Provider Entity Code ; Age Band Code ; Sex Code </v>
      </c>
      <c r="N2004" s="297" t="s">
        <v>197</v>
      </c>
      <c r="O2004" s="297" t="s">
        <v>198</v>
      </c>
      <c r="P2004" s="297" t="s">
        <v>199</v>
      </c>
      <c r="Q2004" s="297" t="s">
        <v>200</v>
      </c>
      <c r="R2004" s="297" t="s">
        <v>213</v>
      </c>
      <c r="S2004" s="297" t="s">
        <v>214</v>
      </c>
    </row>
    <row r="2005" spans="1:19" x14ac:dyDescent="0.4">
      <c r="A2005" s="291"/>
      <c r="B2005" s="292"/>
      <c r="C2005" s="312"/>
      <c r="D2005" s="292"/>
      <c r="E2005" s="489"/>
      <c r="F2005" s="489"/>
      <c r="G2005" s="490"/>
      <c r="H2005" s="520"/>
      <c r="I2005" s="523"/>
      <c r="J2005" s="521"/>
      <c r="K2005" s="522"/>
      <c r="M2005" s="301" t="str">
        <f>N2005&amp;AS[[#This Row],[Insurer Code]]&amp;"; "&amp;O2005&amp;AS[[#This Row],[Reporting Year]]&amp;"; "&amp;P2005&amp;AS[[#This Row],[Insurance Category Code]]&amp;"; "&amp;Q2005&amp;AS[[#This Row],[Large Provider Entity Code]]&amp;"; "&amp;R2005&amp;AS[[#This Row],[Age Band Code]]&amp;"; "&amp;S2005&amp;AS[[#This Row],[Sex Code]]</f>
        <v xml:space="preserve">Insurer Code ; Reporting Year ; Insurance Category Code ; Large Provider Entity Code ; Age Band Code ; Sex Code </v>
      </c>
      <c r="N2005" s="297" t="s">
        <v>197</v>
      </c>
      <c r="O2005" s="297" t="s">
        <v>198</v>
      </c>
      <c r="P2005" s="297" t="s">
        <v>199</v>
      </c>
      <c r="Q2005" s="297" t="s">
        <v>200</v>
      </c>
      <c r="R2005" s="297" t="s">
        <v>213</v>
      </c>
      <c r="S2005" s="297" t="s">
        <v>214</v>
      </c>
    </row>
    <row r="2006" spans="1:19" x14ac:dyDescent="0.4">
      <c r="A2006" s="291"/>
      <c r="B2006" s="292"/>
      <c r="C2006" s="312"/>
      <c r="D2006" s="292"/>
      <c r="E2006" s="489"/>
      <c r="F2006" s="489"/>
      <c r="G2006" s="490"/>
      <c r="H2006" s="520"/>
      <c r="I2006" s="523"/>
      <c r="J2006" s="521"/>
      <c r="K2006" s="522"/>
      <c r="M2006" s="301" t="str">
        <f>N2006&amp;AS[[#This Row],[Insurer Code]]&amp;"; "&amp;O2006&amp;AS[[#This Row],[Reporting Year]]&amp;"; "&amp;P2006&amp;AS[[#This Row],[Insurance Category Code]]&amp;"; "&amp;Q2006&amp;AS[[#This Row],[Large Provider Entity Code]]&amp;"; "&amp;R2006&amp;AS[[#This Row],[Age Band Code]]&amp;"; "&amp;S2006&amp;AS[[#This Row],[Sex Code]]</f>
        <v xml:space="preserve">Insurer Code ; Reporting Year ; Insurance Category Code ; Large Provider Entity Code ; Age Band Code ; Sex Code </v>
      </c>
      <c r="N2006" s="297" t="s">
        <v>197</v>
      </c>
      <c r="O2006" s="297" t="s">
        <v>198</v>
      </c>
      <c r="P2006" s="297" t="s">
        <v>199</v>
      </c>
      <c r="Q2006" s="297" t="s">
        <v>200</v>
      </c>
      <c r="R2006" s="297" t="s">
        <v>213</v>
      </c>
      <c r="S2006" s="297" t="s">
        <v>214</v>
      </c>
    </row>
    <row r="2007" spans="1:19" x14ac:dyDescent="0.4">
      <c r="A2007" s="291"/>
      <c r="B2007" s="292"/>
      <c r="C2007" s="312"/>
      <c r="D2007" s="292"/>
      <c r="E2007" s="489"/>
      <c r="F2007" s="489"/>
      <c r="G2007" s="490"/>
      <c r="H2007" s="520"/>
      <c r="I2007" s="523"/>
      <c r="J2007" s="521"/>
      <c r="K2007" s="522"/>
      <c r="M2007" s="301" t="str">
        <f>N2007&amp;AS[[#This Row],[Insurer Code]]&amp;"; "&amp;O2007&amp;AS[[#This Row],[Reporting Year]]&amp;"; "&amp;P2007&amp;AS[[#This Row],[Insurance Category Code]]&amp;"; "&amp;Q2007&amp;AS[[#This Row],[Large Provider Entity Code]]&amp;"; "&amp;R2007&amp;AS[[#This Row],[Age Band Code]]&amp;"; "&amp;S2007&amp;AS[[#This Row],[Sex Code]]</f>
        <v xml:space="preserve">Insurer Code ; Reporting Year ; Insurance Category Code ; Large Provider Entity Code ; Age Band Code ; Sex Code </v>
      </c>
      <c r="N2007" s="297" t="s">
        <v>197</v>
      </c>
      <c r="O2007" s="297" t="s">
        <v>198</v>
      </c>
      <c r="P2007" s="297" t="s">
        <v>199</v>
      </c>
      <c r="Q2007" s="297" t="s">
        <v>200</v>
      </c>
      <c r="R2007" s="297" t="s">
        <v>213</v>
      </c>
      <c r="S2007" s="297" t="s">
        <v>214</v>
      </c>
    </row>
    <row r="2008" spans="1:19" x14ac:dyDescent="0.4">
      <c r="A2008" s="291"/>
      <c r="B2008" s="292"/>
      <c r="C2008" s="312"/>
      <c r="D2008" s="292"/>
      <c r="E2008" s="489"/>
      <c r="F2008" s="489"/>
      <c r="G2008" s="490"/>
      <c r="H2008" s="520"/>
      <c r="I2008" s="523"/>
      <c r="J2008" s="521"/>
      <c r="K2008" s="522"/>
      <c r="M2008" s="301" t="str">
        <f>N2008&amp;AS[[#This Row],[Insurer Code]]&amp;"; "&amp;O2008&amp;AS[[#This Row],[Reporting Year]]&amp;"; "&amp;P2008&amp;AS[[#This Row],[Insurance Category Code]]&amp;"; "&amp;Q2008&amp;AS[[#This Row],[Large Provider Entity Code]]&amp;"; "&amp;R2008&amp;AS[[#This Row],[Age Band Code]]&amp;"; "&amp;S2008&amp;AS[[#This Row],[Sex Code]]</f>
        <v xml:space="preserve">Insurer Code ; Reporting Year ; Insurance Category Code ; Large Provider Entity Code ; Age Band Code ; Sex Code </v>
      </c>
      <c r="N2008" s="297" t="s">
        <v>197</v>
      </c>
      <c r="O2008" s="297" t="s">
        <v>198</v>
      </c>
      <c r="P2008" s="297" t="s">
        <v>199</v>
      </c>
      <c r="Q2008" s="297" t="s">
        <v>200</v>
      </c>
      <c r="R2008" s="297" t="s">
        <v>213</v>
      </c>
      <c r="S2008" s="297" t="s">
        <v>214</v>
      </c>
    </row>
    <row r="2009" spans="1:19" x14ac:dyDescent="0.4">
      <c r="A2009" s="291"/>
      <c r="B2009" s="292"/>
      <c r="C2009" s="312"/>
      <c r="D2009" s="292"/>
      <c r="E2009" s="489"/>
      <c r="F2009" s="489"/>
      <c r="G2009" s="490"/>
      <c r="H2009" s="520"/>
      <c r="I2009" s="523"/>
      <c r="J2009" s="521"/>
      <c r="K2009" s="522"/>
      <c r="M2009" s="301" t="str">
        <f>N2009&amp;AS[[#This Row],[Insurer Code]]&amp;"; "&amp;O2009&amp;AS[[#This Row],[Reporting Year]]&amp;"; "&amp;P2009&amp;AS[[#This Row],[Insurance Category Code]]&amp;"; "&amp;Q2009&amp;AS[[#This Row],[Large Provider Entity Code]]&amp;"; "&amp;R2009&amp;AS[[#This Row],[Age Band Code]]&amp;"; "&amp;S2009&amp;AS[[#This Row],[Sex Code]]</f>
        <v xml:space="preserve">Insurer Code ; Reporting Year ; Insurance Category Code ; Large Provider Entity Code ; Age Band Code ; Sex Code </v>
      </c>
      <c r="N2009" s="297" t="s">
        <v>197</v>
      </c>
      <c r="O2009" s="297" t="s">
        <v>198</v>
      </c>
      <c r="P2009" s="297" t="s">
        <v>199</v>
      </c>
      <c r="Q2009" s="297" t="s">
        <v>200</v>
      </c>
      <c r="R2009" s="297" t="s">
        <v>213</v>
      </c>
      <c r="S2009" s="297" t="s">
        <v>214</v>
      </c>
    </row>
    <row r="2010" spans="1:19" x14ac:dyDescent="0.4">
      <c r="A2010" s="291"/>
      <c r="B2010" s="292"/>
      <c r="C2010" s="312"/>
      <c r="D2010" s="292"/>
      <c r="E2010" s="489"/>
      <c r="F2010" s="489"/>
      <c r="G2010" s="490"/>
      <c r="H2010" s="520"/>
      <c r="I2010" s="523"/>
      <c r="J2010" s="521"/>
      <c r="K2010" s="522"/>
      <c r="M2010" s="301" t="str">
        <f>N2010&amp;AS[[#This Row],[Insurer Code]]&amp;"; "&amp;O2010&amp;AS[[#This Row],[Reporting Year]]&amp;"; "&amp;P2010&amp;AS[[#This Row],[Insurance Category Code]]&amp;"; "&amp;Q2010&amp;AS[[#This Row],[Large Provider Entity Code]]&amp;"; "&amp;R2010&amp;AS[[#This Row],[Age Band Code]]&amp;"; "&amp;S2010&amp;AS[[#This Row],[Sex Code]]</f>
        <v xml:space="preserve">Insurer Code ; Reporting Year ; Insurance Category Code ; Large Provider Entity Code ; Age Band Code ; Sex Code </v>
      </c>
      <c r="N2010" s="297" t="s">
        <v>197</v>
      </c>
      <c r="O2010" s="297" t="s">
        <v>198</v>
      </c>
      <c r="P2010" s="297" t="s">
        <v>199</v>
      </c>
      <c r="Q2010" s="297" t="s">
        <v>200</v>
      </c>
      <c r="R2010" s="297" t="s">
        <v>213</v>
      </c>
      <c r="S2010" s="297" t="s">
        <v>214</v>
      </c>
    </row>
    <row r="2011" spans="1:19" x14ac:dyDescent="0.4">
      <c r="A2011" s="291"/>
      <c r="B2011" s="292"/>
      <c r="C2011" s="312"/>
      <c r="D2011" s="292"/>
      <c r="E2011" s="489"/>
      <c r="F2011" s="489"/>
      <c r="G2011" s="490"/>
      <c r="H2011" s="520"/>
      <c r="I2011" s="523"/>
      <c r="J2011" s="521"/>
      <c r="K2011" s="522"/>
      <c r="M2011" s="301" t="str">
        <f>N2011&amp;AS[[#This Row],[Insurer Code]]&amp;"; "&amp;O2011&amp;AS[[#This Row],[Reporting Year]]&amp;"; "&amp;P2011&amp;AS[[#This Row],[Insurance Category Code]]&amp;"; "&amp;Q2011&amp;AS[[#This Row],[Large Provider Entity Code]]&amp;"; "&amp;R2011&amp;AS[[#This Row],[Age Band Code]]&amp;"; "&amp;S2011&amp;AS[[#This Row],[Sex Code]]</f>
        <v xml:space="preserve">Insurer Code ; Reporting Year ; Insurance Category Code ; Large Provider Entity Code ; Age Band Code ; Sex Code </v>
      </c>
      <c r="N2011" s="297" t="s">
        <v>197</v>
      </c>
      <c r="O2011" s="297" t="s">
        <v>198</v>
      </c>
      <c r="P2011" s="297" t="s">
        <v>199</v>
      </c>
      <c r="Q2011" s="297" t="s">
        <v>200</v>
      </c>
      <c r="R2011" s="297" t="s">
        <v>213</v>
      </c>
      <c r="S2011" s="297" t="s">
        <v>214</v>
      </c>
    </row>
    <row r="2012" spans="1:19" x14ac:dyDescent="0.4">
      <c r="A2012" s="291"/>
      <c r="B2012" s="292"/>
      <c r="C2012" s="312"/>
      <c r="D2012" s="292"/>
      <c r="E2012" s="489"/>
      <c r="F2012" s="489"/>
      <c r="G2012" s="490"/>
      <c r="H2012" s="520"/>
      <c r="I2012" s="523"/>
      <c r="J2012" s="521"/>
      <c r="K2012" s="522"/>
      <c r="M2012" s="301" t="str">
        <f>N2012&amp;AS[[#This Row],[Insurer Code]]&amp;"; "&amp;O2012&amp;AS[[#This Row],[Reporting Year]]&amp;"; "&amp;P2012&amp;AS[[#This Row],[Insurance Category Code]]&amp;"; "&amp;Q2012&amp;AS[[#This Row],[Large Provider Entity Code]]&amp;"; "&amp;R2012&amp;AS[[#This Row],[Age Band Code]]&amp;"; "&amp;S2012&amp;AS[[#This Row],[Sex Code]]</f>
        <v xml:space="preserve">Insurer Code ; Reporting Year ; Insurance Category Code ; Large Provider Entity Code ; Age Band Code ; Sex Code </v>
      </c>
      <c r="N2012" s="297" t="s">
        <v>197</v>
      </c>
      <c r="O2012" s="297" t="s">
        <v>198</v>
      </c>
      <c r="P2012" s="297" t="s">
        <v>199</v>
      </c>
      <c r="Q2012" s="297" t="s">
        <v>200</v>
      </c>
      <c r="R2012" s="297" t="s">
        <v>213</v>
      </c>
      <c r="S2012" s="297" t="s">
        <v>214</v>
      </c>
    </row>
    <row r="2013" spans="1:19" x14ac:dyDescent="0.4">
      <c r="A2013" s="291"/>
      <c r="B2013" s="292"/>
      <c r="C2013" s="312"/>
      <c r="D2013" s="292"/>
      <c r="E2013" s="489"/>
      <c r="F2013" s="489"/>
      <c r="G2013" s="490"/>
      <c r="H2013" s="520"/>
      <c r="I2013" s="523"/>
      <c r="J2013" s="521"/>
      <c r="K2013" s="522"/>
      <c r="M2013" s="301" t="str">
        <f>N2013&amp;AS[[#This Row],[Insurer Code]]&amp;"; "&amp;O2013&amp;AS[[#This Row],[Reporting Year]]&amp;"; "&amp;P2013&amp;AS[[#This Row],[Insurance Category Code]]&amp;"; "&amp;Q2013&amp;AS[[#This Row],[Large Provider Entity Code]]&amp;"; "&amp;R2013&amp;AS[[#This Row],[Age Band Code]]&amp;"; "&amp;S2013&amp;AS[[#This Row],[Sex Code]]</f>
        <v xml:space="preserve">Insurer Code ; Reporting Year ; Insurance Category Code ; Large Provider Entity Code ; Age Band Code ; Sex Code </v>
      </c>
      <c r="N2013" s="297" t="s">
        <v>197</v>
      </c>
      <c r="O2013" s="297" t="s">
        <v>198</v>
      </c>
      <c r="P2013" s="297" t="s">
        <v>199</v>
      </c>
      <c r="Q2013" s="297" t="s">
        <v>200</v>
      </c>
      <c r="R2013" s="297" t="s">
        <v>213</v>
      </c>
      <c r="S2013" s="297" t="s">
        <v>214</v>
      </c>
    </row>
    <row r="2014" spans="1:19" x14ac:dyDescent="0.4">
      <c r="A2014" s="291"/>
      <c r="B2014" s="292"/>
      <c r="C2014" s="312"/>
      <c r="D2014" s="292"/>
      <c r="E2014" s="489"/>
      <c r="F2014" s="489"/>
      <c r="G2014" s="490"/>
      <c r="H2014" s="520"/>
      <c r="I2014" s="523"/>
      <c r="J2014" s="521"/>
      <c r="K2014" s="522"/>
      <c r="M2014" s="301" t="str">
        <f>N2014&amp;AS[[#This Row],[Insurer Code]]&amp;"; "&amp;O2014&amp;AS[[#This Row],[Reporting Year]]&amp;"; "&amp;P2014&amp;AS[[#This Row],[Insurance Category Code]]&amp;"; "&amp;Q2014&amp;AS[[#This Row],[Large Provider Entity Code]]&amp;"; "&amp;R2014&amp;AS[[#This Row],[Age Band Code]]&amp;"; "&amp;S2014&amp;AS[[#This Row],[Sex Code]]</f>
        <v xml:space="preserve">Insurer Code ; Reporting Year ; Insurance Category Code ; Large Provider Entity Code ; Age Band Code ; Sex Code </v>
      </c>
      <c r="N2014" s="297" t="s">
        <v>197</v>
      </c>
      <c r="O2014" s="297" t="s">
        <v>198</v>
      </c>
      <c r="P2014" s="297" t="s">
        <v>199</v>
      </c>
      <c r="Q2014" s="297" t="s">
        <v>200</v>
      </c>
      <c r="R2014" s="297" t="s">
        <v>213</v>
      </c>
      <c r="S2014" s="297" t="s">
        <v>214</v>
      </c>
    </row>
    <row r="2015" spans="1:19" x14ac:dyDescent="0.4">
      <c r="A2015" s="291"/>
      <c r="B2015" s="292"/>
      <c r="C2015" s="312"/>
      <c r="D2015" s="292"/>
      <c r="E2015" s="489"/>
      <c r="F2015" s="489"/>
      <c r="G2015" s="490"/>
      <c r="H2015" s="520"/>
      <c r="I2015" s="523"/>
      <c r="J2015" s="521"/>
      <c r="K2015" s="522"/>
      <c r="M2015" s="301" t="str">
        <f>N2015&amp;AS[[#This Row],[Insurer Code]]&amp;"; "&amp;O2015&amp;AS[[#This Row],[Reporting Year]]&amp;"; "&amp;P2015&amp;AS[[#This Row],[Insurance Category Code]]&amp;"; "&amp;Q2015&amp;AS[[#This Row],[Large Provider Entity Code]]&amp;"; "&amp;R2015&amp;AS[[#This Row],[Age Band Code]]&amp;"; "&amp;S2015&amp;AS[[#This Row],[Sex Code]]</f>
        <v xml:space="preserve">Insurer Code ; Reporting Year ; Insurance Category Code ; Large Provider Entity Code ; Age Band Code ; Sex Code </v>
      </c>
      <c r="N2015" s="297" t="s">
        <v>197</v>
      </c>
      <c r="O2015" s="297" t="s">
        <v>198</v>
      </c>
      <c r="P2015" s="297" t="s">
        <v>199</v>
      </c>
      <c r="Q2015" s="297" t="s">
        <v>200</v>
      </c>
      <c r="R2015" s="297" t="s">
        <v>213</v>
      </c>
      <c r="S2015" s="297" t="s">
        <v>214</v>
      </c>
    </row>
    <row r="2016" spans="1:19" x14ac:dyDescent="0.4">
      <c r="A2016" s="291"/>
      <c r="B2016" s="292"/>
      <c r="C2016" s="312"/>
      <c r="D2016" s="292"/>
      <c r="E2016" s="489"/>
      <c r="F2016" s="489"/>
      <c r="G2016" s="490"/>
      <c r="H2016" s="520"/>
      <c r="I2016" s="523"/>
      <c r="J2016" s="521"/>
      <c r="K2016" s="522"/>
      <c r="M2016" s="301" t="str">
        <f>N2016&amp;AS[[#This Row],[Insurer Code]]&amp;"; "&amp;O2016&amp;AS[[#This Row],[Reporting Year]]&amp;"; "&amp;P2016&amp;AS[[#This Row],[Insurance Category Code]]&amp;"; "&amp;Q2016&amp;AS[[#This Row],[Large Provider Entity Code]]&amp;"; "&amp;R2016&amp;AS[[#This Row],[Age Band Code]]&amp;"; "&amp;S2016&amp;AS[[#This Row],[Sex Code]]</f>
        <v xml:space="preserve">Insurer Code ; Reporting Year ; Insurance Category Code ; Large Provider Entity Code ; Age Band Code ; Sex Code </v>
      </c>
      <c r="N2016" s="297" t="s">
        <v>197</v>
      </c>
      <c r="O2016" s="297" t="s">
        <v>198</v>
      </c>
      <c r="P2016" s="297" t="s">
        <v>199</v>
      </c>
      <c r="Q2016" s="297" t="s">
        <v>200</v>
      </c>
      <c r="R2016" s="297" t="s">
        <v>213</v>
      </c>
      <c r="S2016" s="297" t="s">
        <v>214</v>
      </c>
    </row>
    <row r="2017" spans="1:19" x14ac:dyDescent="0.4">
      <c r="A2017" s="291"/>
      <c r="B2017" s="292"/>
      <c r="C2017" s="312"/>
      <c r="D2017" s="292"/>
      <c r="E2017" s="489"/>
      <c r="F2017" s="489"/>
      <c r="G2017" s="490"/>
      <c r="H2017" s="520"/>
      <c r="I2017" s="523"/>
      <c r="J2017" s="521"/>
      <c r="K2017" s="522"/>
      <c r="M2017" s="301" t="str">
        <f>N2017&amp;AS[[#This Row],[Insurer Code]]&amp;"; "&amp;O2017&amp;AS[[#This Row],[Reporting Year]]&amp;"; "&amp;P2017&amp;AS[[#This Row],[Insurance Category Code]]&amp;"; "&amp;Q2017&amp;AS[[#This Row],[Large Provider Entity Code]]&amp;"; "&amp;R2017&amp;AS[[#This Row],[Age Band Code]]&amp;"; "&amp;S2017&amp;AS[[#This Row],[Sex Code]]</f>
        <v xml:space="preserve">Insurer Code ; Reporting Year ; Insurance Category Code ; Large Provider Entity Code ; Age Band Code ; Sex Code </v>
      </c>
      <c r="N2017" s="297" t="s">
        <v>197</v>
      </c>
      <c r="O2017" s="297" t="s">
        <v>198</v>
      </c>
      <c r="P2017" s="297" t="s">
        <v>199</v>
      </c>
      <c r="Q2017" s="297" t="s">
        <v>200</v>
      </c>
      <c r="R2017" s="297" t="s">
        <v>213</v>
      </c>
      <c r="S2017" s="297" t="s">
        <v>214</v>
      </c>
    </row>
    <row r="2018" spans="1:19" x14ac:dyDescent="0.4">
      <c r="A2018" s="291"/>
      <c r="B2018" s="292"/>
      <c r="C2018" s="312"/>
      <c r="D2018" s="292"/>
      <c r="E2018" s="489"/>
      <c r="F2018" s="489"/>
      <c r="G2018" s="490"/>
      <c r="H2018" s="520"/>
      <c r="I2018" s="523"/>
      <c r="J2018" s="521"/>
      <c r="K2018" s="522"/>
      <c r="M2018" s="301" t="str">
        <f>N2018&amp;AS[[#This Row],[Insurer Code]]&amp;"; "&amp;O2018&amp;AS[[#This Row],[Reporting Year]]&amp;"; "&amp;P2018&amp;AS[[#This Row],[Insurance Category Code]]&amp;"; "&amp;Q2018&amp;AS[[#This Row],[Large Provider Entity Code]]&amp;"; "&amp;R2018&amp;AS[[#This Row],[Age Band Code]]&amp;"; "&amp;S2018&amp;AS[[#This Row],[Sex Code]]</f>
        <v xml:space="preserve">Insurer Code ; Reporting Year ; Insurance Category Code ; Large Provider Entity Code ; Age Band Code ; Sex Code </v>
      </c>
      <c r="N2018" s="297" t="s">
        <v>197</v>
      </c>
      <c r="O2018" s="297" t="s">
        <v>198</v>
      </c>
      <c r="P2018" s="297" t="s">
        <v>199</v>
      </c>
      <c r="Q2018" s="297" t="s">
        <v>200</v>
      </c>
      <c r="R2018" s="297" t="s">
        <v>213</v>
      </c>
      <c r="S2018" s="297" t="s">
        <v>214</v>
      </c>
    </row>
    <row r="2019" spans="1:19" x14ac:dyDescent="0.4">
      <c r="A2019" s="291"/>
      <c r="B2019" s="292"/>
      <c r="C2019" s="312"/>
      <c r="D2019" s="292"/>
      <c r="E2019" s="489"/>
      <c r="F2019" s="489"/>
      <c r="G2019" s="490"/>
      <c r="H2019" s="520"/>
      <c r="I2019" s="523"/>
      <c r="J2019" s="521"/>
      <c r="K2019" s="522"/>
      <c r="M2019" s="301" t="str">
        <f>N2019&amp;AS[[#This Row],[Insurer Code]]&amp;"; "&amp;O2019&amp;AS[[#This Row],[Reporting Year]]&amp;"; "&amp;P2019&amp;AS[[#This Row],[Insurance Category Code]]&amp;"; "&amp;Q2019&amp;AS[[#This Row],[Large Provider Entity Code]]&amp;"; "&amp;R2019&amp;AS[[#This Row],[Age Band Code]]&amp;"; "&amp;S2019&amp;AS[[#This Row],[Sex Code]]</f>
        <v xml:space="preserve">Insurer Code ; Reporting Year ; Insurance Category Code ; Large Provider Entity Code ; Age Band Code ; Sex Code </v>
      </c>
      <c r="N2019" s="297" t="s">
        <v>197</v>
      </c>
      <c r="O2019" s="297" t="s">
        <v>198</v>
      </c>
      <c r="P2019" s="297" t="s">
        <v>199</v>
      </c>
      <c r="Q2019" s="297" t="s">
        <v>200</v>
      </c>
      <c r="R2019" s="297" t="s">
        <v>213</v>
      </c>
      <c r="S2019" s="297" t="s">
        <v>214</v>
      </c>
    </row>
    <row r="2020" spans="1:19" x14ac:dyDescent="0.4">
      <c r="A2020" s="291"/>
      <c r="B2020" s="292"/>
      <c r="C2020" s="312"/>
      <c r="D2020" s="292"/>
      <c r="E2020" s="489"/>
      <c r="F2020" s="489"/>
      <c r="G2020" s="490"/>
      <c r="H2020" s="520"/>
      <c r="I2020" s="523"/>
      <c r="J2020" s="521"/>
      <c r="K2020" s="522"/>
      <c r="M2020" s="301" t="str">
        <f>N2020&amp;AS[[#This Row],[Insurer Code]]&amp;"; "&amp;O2020&amp;AS[[#This Row],[Reporting Year]]&amp;"; "&amp;P2020&amp;AS[[#This Row],[Insurance Category Code]]&amp;"; "&amp;Q2020&amp;AS[[#This Row],[Large Provider Entity Code]]&amp;"; "&amp;R2020&amp;AS[[#This Row],[Age Band Code]]&amp;"; "&amp;S2020&amp;AS[[#This Row],[Sex Code]]</f>
        <v xml:space="preserve">Insurer Code ; Reporting Year ; Insurance Category Code ; Large Provider Entity Code ; Age Band Code ; Sex Code </v>
      </c>
      <c r="N2020" s="297" t="s">
        <v>197</v>
      </c>
      <c r="O2020" s="297" t="s">
        <v>198</v>
      </c>
      <c r="P2020" s="297" t="s">
        <v>199</v>
      </c>
      <c r="Q2020" s="297" t="s">
        <v>200</v>
      </c>
      <c r="R2020" s="297" t="s">
        <v>213</v>
      </c>
      <c r="S2020" s="297" t="s">
        <v>214</v>
      </c>
    </row>
    <row r="2021" spans="1:19" x14ac:dyDescent="0.4">
      <c r="A2021" s="291"/>
      <c r="B2021" s="292"/>
      <c r="C2021" s="312"/>
      <c r="D2021" s="292"/>
      <c r="E2021" s="489"/>
      <c r="F2021" s="489"/>
      <c r="G2021" s="490"/>
      <c r="H2021" s="520"/>
      <c r="I2021" s="523"/>
      <c r="J2021" s="521"/>
      <c r="K2021" s="522"/>
      <c r="M2021" s="301" t="str">
        <f>N2021&amp;AS[[#This Row],[Insurer Code]]&amp;"; "&amp;O2021&amp;AS[[#This Row],[Reporting Year]]&amp;"; "&amp;P2021&amp;AS[[#This Row],[Insurance Category Code]]&amp;"; "&amp;Q2021&amp;AS[[#This Row],[Large Provider Entity Code]]&amp;"; "&amp;R2021&amp;AS[[#This Row],[Age Band Code]]&amp;"; "&amp;S2021&amp;AS[[#This Row],[Sex Code]]</f>
        <v xml:space="preserve">Insurer Code ; Reporting Year ; Insurance Category Code ; Large Provider Entity Code ; Age Band Code ; Sex Code </v>
      </c>
      <c r="N2021" s="297" t="s">
        <v>197</v>
      </c>
      <c r="O2021" s="297" t="s">
        <v>198</v>
      </c>
      <c r="P2021" s="297" t="s">
        <v>199</v>
      </c>
      <c r="Q2021" s="297" t="s">
        <v>200</v>
      </c>
      <c r="R2021" s="297" t="s">
        <v>213</v>
      </c>
      <c r="S2021" s="297" t="s">
        <v>214</v>
      </c>
    </row>
    <row r="2022" spans="1:19" x14ac:dyDescent="0.4">
      <c r="A2022" s="291"/>
      <c r="B2022" s="292"/>
      <c r="C2022" s="312"/>
      <c r="D2022" s="292"/>
      <c r="E2022" s="489"/>
      <c r="F2022" s="489"/>
      <c r="G2022" s="490"/>
      <c r="H2022" s="520"/>
      <c r="I2022" s="523"/>
      <c r="J2022" s="521"/>
      <c r="K2022" s="522"/>
      <c r="M2022" s="301" t="str">
        <f>N2022&amp;AS[[#This Row],[Insurer Code]]&amp;"; "&amp;O2022&amp;AS[[#This Row],[Reporting Year]]&amp;"; "&amp;P2022&amp;AS[[#This Row],[Insurance Category Code]]&amp;"; "&amp;Q2022&amp;AS[[#This Row],[Large Provider Entity Code]]&amp;"; "&amp;R2022&amp;AS[[#This Row],[Age Band Code]]&amp;"; "&amp;S2022&amp;AS[[#This Row],[Sex Code]]</f>
        <v xml:space="preserve">Insurer Code ; Reporting Year ; Insurance Category Code ; Large Provider Entity Code ; Age Band Code ; Sex Code </v>
      </c>
      <c r="N2022" s="297" t="s">
        <v>197</v>
      </c>
      <c r="O2022" s="297" t="s">
        <v>198</v>
      </c>
      <c r="P2022" s="297" t="s">
        <v>199</v>
      </c>
      <c r="Q2022" s="297" t="s">
        <v>200</v>
      </c>
      <c r="R2022" s="297" t="s">
        <v>213</v>
      </c>
      <c r="S2022" s="297" t="s">
        <v>214</v>
      </c>
    </row>
    <row r="2023" spans="1:19" x14ac:dyDescent="0.4">
      <c r="A2023" s="291"/>
      <c r="B2023" s="292"/>
      <c r="C2023" s="312"/>
      <c r="D2023" s="292"/>
      <c r="E2023" s="489"/>
      <c r="F2023" s="489"/>
      <c r="G2023" s="490"/>
      <c r="H2023" s="520"/>
      <c r="I2023" s="523"/>
      <c r="J2023" s="521"/>
      <c r="K2023" s="522"/>
      <c r="M2023" s="301" t="str">
        <f>N2023&amp;AS[[#This Row],[Insurer Code]]&amp;"; "&amp;O2023&amp;AS[[#This Row],[Reporting Year]]&amp;"; "&amp;P2023&amp;AS[[#This Row],[Insurance Category Code]]&amp;"; "&amp;Q2023&amp;AS[[#This Row],[Large Provider Entity Code]]&amp;"; "&amp;R2023&amp;AS[[#This Row],[Age Band Code]]&amp;"; "&amp;S2023&amp;AS[[#This Row],[Sex Code]]</f>
        <v xml:space="preserve">Insurer Code ; Reporting Year ; Insurance Category Code ; Large Provider Entity Code ; Age Band Code ; Sex Code </v>
      </c>
      <c r="N2023" s="297" t="s">
        <v>197</v>
      </c>
      <c r="O2023" s="297" t="s">
        <v>198</v>
      </c>
      <c r="P2023" s="297" t="s">
        <v>199</v>
      </c>
      <c r="Q2023" s="297" t="s">
        <v>200</v>
      </c>
      <c r="R2023" s="297" t="s">
        <v>213</v>
      </c>
      <c r="S2023" s="297" t="s">
        <v>214</v>
      </c>
    </row>
    <row r="2024" spans="1:19" x14ac:dyDescent="0.4">
      <c r="A2024" s="291"/>
      <c r="B2024" s="292"/>
      <c r="C2024" s="312"/>
      <c r="D2024" s="292"/>
      <c r="E2024" s="489"/>
      <c r="F2024" s="489"/>
      <c r="G2024" s="490"/>
      <c r="H2024" s="520"/>
      <c r="I2024" s="523"/>
      <c r="J2024" s="521"/>
      <c r="K2024" s="522"/>
      <c r="M2024" s="301" t="str">
        <f>N2024&amp;AS[[#This Row],[Insurer Code]]&amp;"; "&amp;O2024&amp;AS[[#This Row],[Reporting Year]]&amp;"; "&amp;P2024&amp;AS[[#This Row],[Insurance Category Code]]&amp;"; "&amp;Q2024&amp;AS[[#This Row],[Large Provider Entity Code]]&amp;"; "&amp;R2024&amp;AS[[#This Row],[Age Band Code]]&amp;"; "&amp;S2024&amp;AS[[#This Row],[Sex Code]]</f>
        <v xml:space="preserve">Insurer Code ; Reporting Year ; Insurance Category Code ; Large Provider Entity Code ; Age Band Code ; Sex Code </v>
      </c>
      <c r="N2024" s="297" t="s">
        <v>197</v>
      </c>
      <c r="O2024" s="297" t="s">
        <v>198</v>
      </c>
      <c r="P2024" s="297" t="s">
        <v>199</v>
      </c>
      <c r="Q2024" s="297" t="s">
        <v>200</v>
      </c>
      <c r="R2024" s="297" t="s">
        <v>213</v>
      </c>
      <c r="S2024" s="297" t="s">
        <v>214</v>
      </c>
    </row>
    <row r="2025" spans="1:19" x14ac:dyDescent="0.4">
      <c r="A2025" s="291"/>
      <c r="B2025" s="292"/>
      <c r="C2025" s="312"/>
      <c r="D2025" s="292"/>
      <c r="E2025" s="489"/>
      <c r="F2025" s="489"/>
      <c r="G2025" s="490"/>
      <c r="H2025" s="520"/>
      <c r="I2025" s="523"/>
      <c r="J2025" s="521"/>
      <c r="K2025" s="522"/>
      <c r="M2025" s="301" t="str">
        <f>N2025&amp;AS[[#This Row],[Insurer Code]]&amp;"; "&amp;O2025&amp;AS[[#This Row],[Reporting Year]]&amp;"; "&amp;P2025&amp;AS[[#This Row],[Insurance Category Code]]&amp;"; "&amp;Q2025&amp;AS[[#This Row],[Large Provider Entity Code]]&amp;"; "&amp;R2025&amp;AS[[#This Row],[Age Band Code]]&amp;"; "&amp;S2025&amp;AS[[#This Row],[Sex Code]]</f>
        <v xml:space="preserve">Insurer Code ; Reporting Year ; Insurance Category Code ; Large Provider Entity Code ; Age Band Code ; Sex Code </v>
      </c>
      <c r="N2025" s="297" t="s">
        <v>197</v>
      </c>
      <c r="O2025" s="297" t="s">
        <v>198</v>
      </c>
      <c r="P2025" s="297" t="s">
        <v>199</v>
      </c>
      <c r="Q2025" s="297" t="s">
        <v>200</v>
      </c>
      <c r="R2025" s="297" t="s">
        <v>213</v>
      </c>
      <c r="S2025" s="297" t="s">
        <v>214</v>
      </c>
    </row>
    <row r="2026" spans="1:19" x14ac:dyDescent="0.4">
      <c r="A2026" s="291"/>
      <c r="B2026" s="292"/>
      <c r="C2026" s="312"/>
      <c r="D2026" s="292"/>
      <c r="E2026" s="489"/>
      <c r="F2026" s="489"/>
      <c r="G2026" s="490"/>
      <c r="H2026" s="520"/>
      <c r="I2026" s="523"/>
      <c r="J2026" s="521"/>
      <c r="K2026" s="522"/>
      <c r="M2026" s="301" t="str">
        <f>N2026&amp;AS[[#This Row],[Insurer Code]]&amp;"; "&amp;O2026&amp;AS[[#This Row],[Reporting Year]]&amp;"; "&amp;P2026&amp;AS[[#This Row],[Insurance Category Code]]&amp;"; "&amp;Q2026&amp;AS[[#This Row],[Large Provider Entity Code]]&amp;"; "&amp;R2026&amp;AS[[#This Row],[Age Band Code]]&amp;"; "&amp;S2026&amp;AS[[#This Row],[Sex Code]]</f>
        <v xml:space="preserve">Insurer Code ; Reporting Year ; Insurance Category Code ; Large Provider Entity Code ; Age Band Code ; Sex Code </v>
      </c>
      <c r="N2026" s="297" t="s">
        <v>197</v>
      </c>
      <c r="O2026" s="297" t="s">
        <v>198</v>
      </c>
      <c r="P2026" s="297" t="s">
        <v>199</v>
      </c>
      <c r="Q2026" s="297" t="s">
        <v>200</v>
      </c>
      <c r="R2026" s="297" t="s">
        <v>213</v>
      </c>
      <c r="S2026" s="297" t="s">
        <v>214</v>
      </c>
    </row>
    <row r="2027" spans="1:19" x14ac:dyDescent="0.4">
      <c r="A2027" s="291"/>
      <c r="B2027" s="292"/>
      <c r="C2027" s="312"/>
      <c r="D2027" s="292"/>
      <c r="E2027" s="489"/>
      <c r="F2027" s="489"/>
      <c r="G2027" s="490"/>
      <c r="H2027" s="520"/>
      <c r="I2027" s="523"/>
      <c r="J2027" s="521"/>
      <c r="K2027" s="522"/>
      <c r="M2027" s="301" t="str">
        <f>N2027&amp;AS[[#This Row],[Insurer Code]]&amp;"; "&amp;O2027&amp;AS[[#This Row],[Reporting Year]]&amp;"; "&amp;P2027&amp;AS[[#This Row],[Insurance Category Code]]&amp;"; "&amp;Q2027&amp;AS[[#This Row],[Large Provider Entity Code]]&amp;"; "&amp;R2027&amp;AS[[#This Row],[Age Band Code]]&amp;"; "&amp;S2027&amp;AS[[#This Row],[Sex Code]]</f>
        <v xml:space="preserve">Insurer Code ; Reporting Year ; Insurance Category Code ; Large Provider Entity Code ; Age Band Code ; Sex Code </v>
      </c>
      <c r="N2027" s="297" t="s">
        <v>197</v>
      </c>
      <c r="O2027" s="297" t="s">
        <v>198</v>
      </c>
      <c r="P2027" s="297" t="s">
        <v>199</v>
      </c>
      <c r="Q2027" s="297" t="s">
        <v>200</v>
      </c>
      <c r="R2027" s="297" t="s">
        <v>213</v>
      </c>
      <c r="S2027" s="297" t="s">
        <v>214</v>
      </c>
    </row>
    <row r="2028" spans="1:19" x14ac:dyDescent="0.4">
      <c r="A2028" s="291"/>
      <c r="B2028" s="292"/>
      <c r="C2028" s="312"/>
      <c r="D2028" s="292"/>
      <c r="E2028" s="489"/>
      <c r="F2028" s="489"/>
      <c r="G2028" s="490"/>
      <c r="H2028" s="520"/>
      <c r="I2028" s="523"/>
      <c r="J2028" s="521"/>
      <c r="K2028" s="522"/>
      <c r="M2028" s="301" t="str">
        <f>N2028&amp;AS[[#This Row],[Insurer Code]]&amp;"; "&amp;O2028&amp;AS[[#This Row],[Reporting Year]]&amp;"; "&amp;P2028&amp;AS[[#This Row],[Insurance Category Code]]&amp;"; "&amp;Q2028&amp;AS[[#This Row],[Large Provider Entity Code]]&amp;"; "&amp;R2028&amp;AS[[#This Row],[Age Band Code]]&amp;"; "&amp;S2028&amp;AS[[#This Row],[Sex Code]]</f>
        <v xml:space="preserve">Insurer Code ; Reporting Year ; Insurance Category Code ; Large Provider Entity Code ; Age Band Code ; Sex Code </v>
      </c>
      <c r="N2028" s="297" t="s">
        <v>197</v>
      </c>
      <c r="O2028" s="297" t="s">
        <v>198</v>
      </c>
      <c r="P2028" s="297" t="s">
        <v>199</v>
      </c>
      <c r="Q2028" s="297" t="s">
        <v>200</v>
      </c>
      <c r="R2028" s="297" t="s">
        <v>213</v>
      </c>
      <c r="S2028" s="297" t="s">
        <v>214</v>
      </c>
    </row>
    <row r="2029" spans="1:19" x14ac:dyDescent="0.4">
      <c r="A2029" s="291"/>
      <c r="B2029" s="292"/>
      <c r="C2029" s="312"/>
      <c r="D2029" s="292"/>
      <c r="E2029" s="489"/>
      <c r="F2029" s="489"/>
      <c r="G2029" s="490"/>
      <c r="H2029" s="520"/>
      <c r="I2029" s="523"/>
      <c r="J2029" s="521"/>
      <c r="K2029" s="522"/>
      <c r="M2029" s="301" t="str">
        <f>N2029&amp;AS[[#This Row],[Insurer Code]]&amp;"; "&amp;O2029&amp;AS[[#This Row],[Reporting Year]]&amp;"; "&amp;P2029&amp;AS[[#This Row],[Insurance Category Code]]&amp;"; "&amp;Q2029&amp;AS[[#This Row],[Large Provider Entity Code]]&amp;"; "&amp;R2029&amp;AS[[#This Row],[Age Band Code]]&amp;"; "&amp;S2029&amp;AS[[#This Row],[Sex Code]]</f>
        <v xml:space="preserve">Insurer Code ; Reporting Year ; Insurance Category Code ; Large Provider Entity Code ; Age Band Code ; Sex Code </v>
      </c>
      <c r="N2029" s="297" t="s">
        <v>197</v>
      </c>
      <c r="O2029" s="297" t="s">
        <v>198</v>
      </c>
      <c r="P2029" s="297" t="s">
        <v>199</v>
      </c>
      <c r="Q2029" s="297" t="s">
        <v>200</v>
      </c>
      <c r="R2029" s="297" t="s">
        <v>213</v>
      </c>
      <c r="S2029" s="297" t="s">
        <v>214</v>
      </c>
    </row>
    <row r="2030" spans="1:19" x14ac:dyDescent="0.4">
      <c r="A2030" s="291"/>
      <c r="B2030" s="292"/>
      <c r="C2030" s="312"/>
      <c r="D2030" s="292"/>
      <c r="E2030" s="489"/>
      <c r="F2030" s="489"/>
      <c r="G2030" s="490"/>
      <c r="H2030" s="520"/>
      <c r="I2030" s="523"/>
      <c r="J2030" s="521"/>
      <c r="K2030" s="522"/>
      <c r="M2030" s="301" t="str">
        <f>N2030&amp;AS[[#This Row],[Insurer Code]]&amp;"; "&amp;O2030&amp;AS[[#This Row],[Reporting Year]]&amp;"; "&amp;P2030&amp;AS[[#This Row],[Insurance Category Code]]&amp;"; "&amp;Q2030&amp;AS[[#This Row],[Large Provider Entity Code]]&amp;"; "&amp;R2030&amp;AS[[#This Row],[Age Band Code]]&amp;"; "&amp;S2030&amp;AS[[#This Row],[Sex Code]]</f>
        <v xml:space="preserve">Insurer Code ; Reporting Year ; Insurance Category Code ; Large Provider Entity Code ; Age Band Code ; Sex Code </v>
      </c>
      <c r="N2030" s="297" t="s">
        <v>197</v>
      </c>
      <c r="O2030" s="297" t="s">
        <v>198</v>
      </c>
      <c r="P2030" s="297" t="s">
        <v>199</v>
      </c>
      <c r="Q2030" s="297" t="s">
        <v>200</v>
      </c>
      <c r="R2030" s="297" t="s">
        <v>213</v>
      </c>
      <c r="S2030" s="297" t="s">
        <v>214</v>
      </c>
    </row>
    <row r="2031" spans="1:19" x14ac:dyDescent="0.4">
      <c r="A2031" s="291"/>
      <c r="B2031" s="292"/>
      <c r="C2031" s="312"/>
      <c r="D2031" s="292"/>
      <c r="E2031" s="489"/>
      <c r="F2031" s="489"/>
      <c r="G2031" s="490"/>
      <c r="H2031" s="520"/>
      <c r="I2031" s="523"/>
      <c r="J2031" s="521"/>
      <c r="K2031" s="522"/>
      <c r="M2031" s="301" t="str">
        <f>N2031&amp;AS[[#This Row],[Insurer Code]]&amp;"; "&amp;O2031&amp;AS[[#This Row],[Reporting Year]]&amp;"; "&amp;P2031&amp;AS[[#This Row],[Insurance Category Code]]&amp;"; "&amp;Q2031&amp;AS[[#This Row],[Large Provider Entity Code]]&amp;"; "&amp;R2031&amp;AS[[#This Row],[Age Band Code]]&amp;"; "&amp;S2031&amp;AS[[#This Row],[Sex Code]]</f>
        <v xml:space="preserve">Insurer Code ; Reporting Year ; Insurance Category Code ; Large Provider Entity Code ; Age Band Code ; Sex Code </v>
      </c>
      <c r="N2031" s="297" t="s">
        <v>197</v>
      </c>
      <c r="O2031" s="297" t="s">
        <v>198</v>
      </c>
      <c r="P2031" s="297" t="s">
        <v>199</v>
      </c>
      <c r="Q2031" s="297" t="s">
        <v>200</v>
      </c>
      <c r="R2031" s="297" t="s">
        <v>213</v>
      </c>
      <c r="S2031" s="297" t="s">
        <v>214</v>
      </c>
    </row>
    <row r="2032" spans="1:19" x14ac:dyDescent="0.4">
      <c r="A2032" s="291"/>
      <c r="B2032" s="292"/>
      <c r="C2032" s="312"/>
      <c r="D2032" s="292"/>
      <c r="E2032" s="489"/>
      <c r="F2032" s="489"/>
      <c r="G2032" s="490"/>
      <c r="H2032" s="520"/>
      <c r="I2032" s="523"/>
      <c r="J2032" s="521"/>
      <c r="K2032" s="522"/>
      <c r="M2032" s="301" t="str">
        <f>N2032&amp;AS[[#This Row],[Insurer Code]]&amp;"; "&amp;O2032&amp;AS[[#This Row],[Reporting Year]]&amp;"; "&amp;P2032&amp;AS[[#This Row],[Insurance Category Code]]&amp;"; "&amp;Q2032&amp;AS[[#This Row],[Large Provider Entity Code]]&amp;"; "&amp;R2032&amp;AS[[#This Row],[Age Band Code]]&amp;"; "&amp;S2032&amp;AS[[#This Row],[Sex Code]]</f>
        <v xml:space="preserve">Insurer Code ; Reporting Year ; Insurance Category Code ; Large Provider Entity Code ; Age Band Code ; Sex Code </v>
      </c>
      <c r="N2032" s="297" t="s">
        <v>197</v>
      </c>
      <c r="O2032" s="297" t="s">
        <v>198</v>
      </c>
      <c r="P2032" s="297" t="s">
        <v>199</v>
      </c>
      <c r="Q2032" s="297" t="s">
        <v>200</v>
      </c>
      <c r="R2032" s="297" t="s">
        <v>213</v>
      </c>
      <c r="S2032" s="297" t="s">
        <v>214</v>
      </c>
    </row>
    <row r="2033" spans="1:19" x14ac:dyDescent="0.4">
      <c r="A2033" s="291"/>
      <c r="B2033" s="292"/>
      <c r="C2033" s="312"/>
      <c r="D2033" s="292"/>
      <c r="E2033" s="489"/>
      <c r="F2033" s="489"/>
      <c r="G2033" s="490"/>
      <c r="H2033" s="520"/>
      <c r="I2033" s="523"/>
      <c r="J2033" s="521"/>
      <c r="K2033" s="522"/>
      <c r="M2033" s="301" t="str">
        <f>N2033&amp;AS[[#This Row],[Insurer Code]]&amp;"; "&amp;O2033&amp;AS[[#This Row],[Reporting Year]]&amp;"; "&amp;P2033&amp;AS[[#This Row],[Insurance Category Code]]&amp;"; "&amp;Q2033&amp;AS[[#This Row],[Large Provider Entity Code]]&amp;"; "&amp;R2033&amp;AS[[#This Row],[Age Band Code]]&amp;"; "&amp;S2033&amp;AS[[#This Row],[Sex Code]]</f>
        <v xml:space="preserve">Insurer Code ; Reporting Year ; Insurance Category Code ; Large Provider Entity Code ; Age Band Code ; Sex Code </v>
      </c>
      <c r="N2033" s="297" t="s">
        <v>197</v>
      </c>
      <c r="O2033" s="297" t="s">
        <v>198</v>
      </c>
      <c r="P2033" s="297" t="s">
        <v>199</v>
      </c>
      <c r="Q2033" s="297" t="s">
        <v>200</v>
      </c>
      <c r="R2033" s="297" t="s">
        <v>213</v>
      </c>
      <c r="S2033" s="297" t="s">
        <v>214</v>
      </c>
    </row>
    <row r="2034" spans="1:19" x14ac:dyDescent="0.4">
      <c r="A2034" s="291"/>
      <c r="B2034" s="292"/>
      <c r="C2034" s="312"/>
      <c r="D2034" s="292"/>
      <c r="E2034" s="489"/>
      <c r="F2034" s="489"/>
      <c r="G2034" s="490"/>
      <c r="H2034" s="520"/>
      <c r="I2034" s="523"/>
      <c r="J2034" s="521"/>
      <c r="K2034" s="522"/>
      <c r="M2034" s="301" t="str">
        <f>N2034&amp;AS[[#This Row],[Insurer Code]]&amp;"; "&amp;O2034&amp;AS[[#This Row],[Reporting Year]]&amp;"; "&amp;P2034&amp;AS[[#This Row],[Insurance Category Code]]&amp;"; "&amp;Q2034&amp;AS[[#This Row],[Large Provider Entity Code]]&amp;"; "&amp;R2034&amp;AS[[#This Row],[Age Band Code]]&amp;"; "&amp;S2034&amp;AS[[#This Row],[Sex Code]]</f>
        <v xml:space="preserve">Insurer Code ; Reporting Year ; Insurance Category Code ; Large Provider Entity Code ; Age Band Code ; Sex Code </v>
      </c>
      <c r="N2034" s="297" t="s">
        <v>197</v>
      </c>
      <c r="O2034" s="297" t="s">
        <v>198</v>
      </c>
      <c r="P2034" s="297" t="s">
        <v>199</v>
      </c>
      <c r="Q2034" s="297" t="s">
        <v>200</v>
      </c>
      <c r="R2034" s="297" t="s">
        <v>213</v>
      </c>
      <c r="S2034" s="297" t="s">
        <v>214</v>
      </c>
    </row>
    <row r="2035" spans="1:19" x14ac:dyDescent="0.4">
      <c r="A2035" s="291"/>
      <c r="B2035" s="292"/>
      <c r="C2035" s="312"/>
      <c r="D2035" s="292"/>
      <c r="E2035" s="489"/>
      <c r="F2035" s="489"/>
      <c r="G2035" s="490"/>
      <c r="H2035" s="520"/>
      <c r="I2035" s="523"/>
      <c r="J2035" s="521"/>
      <c r="K2035" s="522"/>
      <c r="M2035" s="301" t="str">
        <f>N2035&amp;AS[[#This Row],[Insurer Code]]&amp;"; "&amp;O2035&amp;AS[[#This Row],[Reporting Year]]&amp;"; "&amp;P2035&amp;AS[[#This Row],[Insurance Category Code]]&amp;"; "&amp;Q2035&amp;AS[[#This Row],[Large Provider Entity Code]]&amp;"; "&amp;R2035&amp;AS[[#This Row],[Age Band Code]]&amp;"; "&amp;S2035&amp;AS[[#This Row],[Sex Code]]</f>
        <v xml:space="preserve">Insurer Code ; Reporting Year ; Insurance Category Code ; Large Provider Entity Code ; Age Band Code ; Sex Code </v>
      </c>
      <c r="N2035" s="297" t="s">
        <v>197</v>
      </c>
      <c r="O2035" s="297" t="s">
        <v>198</v>
      </c>
      <c r="P2035" s="297" t="s">
        <v>199</v>
      </c>
      <c r="Q2035" s="297" t="s">
        <v>200</v>
      </c>
      <c r="R2035" s="297" t="s">
        <v>213</v>
      </c>
      <c r="S2035" s="297" t="s">
        <v>214</v>
      </c>
    </row>
    <row r="2036" spans="1:19" x14ac:dyDescent="0.4">
      <c r="A2036" s="291"/>
      <c r="B2036" s="292"/>
      <c r="C2036" s="312"/>
      <c r="D2036" s="292"/>
      <c r="E2036" s="489"/>
      <c r="F2036" s="489"/>
      <c r="G2036" s="490"/>
      <c r="H2036" s="520"/>
      <c r="I2036" s="523"/>
      <c r="J2036" s="521"/>
      <c r="K2036" s="522"/>
      <c r="M2036" s="301" t="str">
        <f>N2036&amp;AS[[#This Row],[Insurer Code]]&amp;"; "&amp;O2036&amp;AS[[#This Row],[Reporting Year]]&amp;"; "&amp;P2036&amp;AS[[#This Row],[Insurance Category Code]]&amp;"; "&amp;Q2036&amp;AS[[#This Row],[Large Provider Entity Code]]&amp;"; "&amp;R2036&amp;AS[[#This Row],[Age Band Code]]&amp;"; "&amp;S2036&amp;AS[[#This Row],[Sex Code]]</f>
        <v xml:space="preserve">Insurer Code ; Reporting Year ; Insurance Category Code ; Large Provider Entity Code ; Age Band Code ; Sex Code </v>
      </c>
      <c r="N2036" s="297" t="s">
        <v>197</v>
      </c>
      <c r="O2036" s="297" t="s">
        <v>198</v>
      </c>
      <c r="P2036" s="297" t="s">
        <v>199</v>
      </c>
      <c r="Q2036" s="297" t="s">
        <v>200</v>
      </c>
      <c r="R2036" s="297" t="s">
        <v>213</v>
      </c>
      <c r="S2036" s="297" t="s">
        <v>214</v>
      </c>
    </row>
    <row r="2037" spans="1:19" x14ac:dyDescent="0.4">
      <c r="A2037" s="291"/>
      <c r="B2037" s="292"/>
      <c r="C2037" s="312"/>
      <c r="D2037" s="292"/>
      <c r="E2037" s="489"/>
      <c r="F2037" s="489"/>
      <c r="G2037" s="490"/>
      <c r="H2037" s="520"/>
      <c r="I2037" s="523"/>
      <c r="J2037" s="521"/>
      <c r="K2037" s="522"/>
      <c r="M2037" s="301" t="str">
        <f>N2037&amp;AS[[#This Row],[Insurer Code]]&amp;"; "&amp;O2037&amp;AS[[#This Row],[Reporting Year]]&amp;"; "&amp;P2037&amp;AS[[#This Row],[Insurance Category Code]]&amp;"; "&amp;Q2037&amp;AS[[#This Row],[Large Provider Entity Code]]&amp;"; "&amp;R2037&amp;AS[[#This Row],[Age Band Code]]&amp;"; "&amp;S2037&amp;AS[[#This Row],[Sex Code]]</f>
        <v xml:space="preserve">Insurer Code ; Reporting Year ; Insurance Category Code ; Large Provider Entity Code ; Age Band Code ; Sex Code </v>
      </c>
      <c r="N2037" s="297" t="s">
        <v>197</v>
      </c>
      <c r="O2037" s="297" t="s">
        <v>198</v>
      </c>
      <c r="P2037" s="297" t="s">
        <v>199</v>
      </c>
      <c r="Q2037" s="297" t="s">
        <v>200</v>
      </c>
      <c r="R2037" s="297" t="s">
        <v>213</v>
      </c>
      <c r="S2037" s="297" t="s">
        <v>214</v>
      </c>
    </row>
    <row r="2038" spans="1:19" x14ac:dyDescent="0.4">
      <c r="A2038" s="291"/>
      <c r="B2038" s="292"/>
      <c r="C2038" s="312"/>
      <c r="D2038" s="292"/>
      <c r="E2038" s="489"/>
      <c r="F2038" s="489"/>
      <c r="G2038" s="490"/>
      <c r="H2038" s="520"/>
      <c r="I2038" s="523"/>
      <c r="J2038" s="521"/>
      <c r="K2038" s="522"/>
      <c r="M2038" s="301" t="str">
        <f>N2038&amp;AS[[#This Row],[Insurer Code]]&amp;"; "&amp;O2038&amp;AS[[#This Row],[Reporting Year]]&amp;"; "&amp;P2038&amp;AS[[#This Row],[Insurance Category Code]]&amp;"; "&amp;Q2038&amp;AS[[#This Row],[Large Provider Entity Code]]&amp;"; "&amp;R2038&amp;AS[[#This Row],[Age Band Code]]&amp;"; "&amp;S2038&amp;AS[[#This Row],[Sex Code]]</f>
        <v xml:space="preserve">Insurer Code ; Reporting Year ; Insurance Category Code ; Large Provider Entity Code ; Age Band Code ; Sex Code </v>
      </c>
      <c r="N2038" s="297" t="s">
        <v>197</v>
      </c>
      <c r="O2038" s="297" t="s">
        <v>198</v>
      </c>
      <c r="P2038" s="297" t="s">
        <v>199</v>
      </c>
      <c r="Q2038" s="297" t="s">
        <v>200</v>
      </c>
      <c r="R2038" s="297" t="s">
        <v>213</v>
      </c>
      <c r="S2038" s="297" t="s">
        <v>214</v>
      </c>
    </row>
    <row r="2039" spans="1:19" x14ac:dyDescent="0.4">
      <c r="A2039" s="291"/>
      <c r="B2039" s="292"/>
      <c r="C2039" s="312"/>
      <c r="D2039" s="292"/>
      <c r="E2039" s="489"/>
      <c r="F2039" s="489"/>
      <c r="G2039" s="490"/>
      <c r="H2039" s="520"/>
      <c r="I2039" s="523"/>
      <c r="J2039" s="521"/>
      <c r="K2039" s="522"/>
      <c r="M2039" s="301" t="str">
        <f>N2039&amp;AS[[#This Row],[Insurer Code]]&amp;"; "&amp;O2039&amp;AS[[#This Row],[Reporting Year]]&amp;"; "&amp;P2039&amp;AS[[#This Row],[Insurance Category Code]]&amp;"; "&amp;Q2039&amp;AS[[#This Row],[Large Provider Entity Code]]&amp;"; "&amp;R2039&amp;AS[[#This Row],[Age Band Code]]&amp;"; "&amp;S2039&amp;AS[[#This Row],[Sex Code]]</f>
        <v xml:space="preserve">Insurer Code ; Reporting Year ; Insurance Category Code ; Large Provider Entity Code ; Age Band Code ; Sex Code </v>
      </c>
      <c r="N2039" s="297" t="s">
        <v>197</v>
      </c>
      <c r="O2039" s="297" t="s">
        <v>198</v>
      </c>
      <c r="P2039" s="297" t="s">
        <v>199</v>
      </c>
      <c r="Q2039" s="297" t="s">
        <v>200</v>
      </c>
      <c r="R2039" s="297" t="s">
        <v>213</v>
      </c>
      <c r="S2039" s="297" t="s">
        <v>214</v>
      </c>
    </row>
    <row r="2040" spans="1:19" x14ac:dyDescent="0.4">
      <c r="A2040" s="291"/>
      <c r="B2040" s="292"/>
      <c r="C2040" s="312"/>
      <c r="D2040" s="292"/>
      <c r="E2040" s="489"/>
      <c r="F2040" s="489"/>
      <c r="G2040" s="490"/>
      <c r="H2040" s="520"/>
      <c r="I2040" s="523"/>
      <c r="J2040" s="521"/>
      <c r="K2040" s="522"/>
      <c r="M2040" s="301" t="str">
        <f>N2040&amp;AS[[#This Row],[Insurer Code]]&amp;"; "&amp;O2040&amp;AS[[#This Row],[Reporting Year]]&amp;"; "&amp;P2040&amp;AS[[#This Row],[Insurance Category Code]]&amp;"; "&amp;Q2040&amp;AS[[#This Row],[Large Provider Entity Code]]&amp;"; "&amp;R2040&amp;AS[[#This Row],[Age Band Code]]&amp;"; "&amp;S2040&amp;AS[[#This Row],[Sex Code]]</f>
        <v xml:space="preserve">Insurer Code ; Reporting Year ; Insurance Category Code ; Large Provider Entity Code ; Age Band Code ; Sex Code </v>
      </c>
      <c r="N2040" s="297" t="s">
        <v>197</v>
      </c>
      <c r="O2040" s="297" t="s">
        <v>198</v>
      </c>
      <c r="P2040" s="297" t="s">
        <v>199</v>
      </c>
      <c r="Q2040" s="297" t="s">
        <v>200</v>
      </c>
      <c r="R2040" s="297" t="s">
        <v>213</v>
      </c>
      <c r="S2040" s="297" t="s">
        <v>214</v>
      </c>
    </row>
    <row r="2041" spans="1:19" x14ac:dyDescent="0.4">
      <c r="A2041" s="291"/>
      <c r="B2041" s="292"/>
      <c r="C2041" s="312"/>
      <c r="D2041" s="292"/>
      <c r="E2041" s="489"/>
      <c r="F2041" s="489"/>
      <c r="G2041" s="490"/>
      <c r="H2041" s="520"/>
      <c r="I2041" s="523"/>
      <c r="J2041" s="521"/>
      <c r="K2041" s="522"/>
      <c r="M2041" s="301" t="str">
        <f>N2041&amp;AS[[#This Row],[Insurer Code]]&amp;"; "&amp;O2041&amp;AS[[#This Row],[Reporting Year]]&amp;"; "&amp;P2041&amp;AS[[#This Row],[Insurance Category Code]]&amp;"; "&amp;Q2041&amp;AS[[#This Row],[Large Provider Entity Code]]&amp;"; "&amp;R2041&amp;AS[[#This Row],[Age Band Code]]&amp;"; "&amp;S2041&amp;AS[[#This Row],[Sex Code]]</f>
        <v xml:space="preserve">Insurer Code ; Reporting Year ; Insurance Category Code ; Large Provider Entity Code ; Age Band Code ; Sex Code </v>
      </c>
      <c r="N2041" s="297" t="s">
        <v>197</v>
      </c>
      <c r="O2041" s="297" t="s">
        <v>198</v>
      </c>
      <c r="P2041" s="297" t="s">
        <v>199</v>
      </c>
      <c r="Q2041" s="297" t="s">
        <v>200</v>
      </c>
      <c r="R2041" s="297" t="s">
        <v>213</v>
      </c>
      <c r="S2041" s="297" t="s">
        <v>214</v>
      </c>
    </row>
    <row r="2042" spans="1:19" x14ac:dyDescent="0.4">
      <c r="A2042" s="291"/>
      <c r="B2042" s="292"/>
      <c r="C2042" s="312"/>
      <c r="D2042" s="292"/>
      <c r="E2042" s="489"/>
      <c r="F2042" s="489"/>
      <c r="G2042" s="490"/>
      <c r="H2042" s="520"/>
      <c r="I2042" s="523"/>
      <c r="J2042" s="521"/>
      <c r="K2042" s="522"/>
      <c r="M2042" s="301" t="str">
        <f>N2042&amp;AS[[#This Row],[Insurer Code]]&amp;"; "&amp;O2042&amp;AS[[#This Row],[Reporting Year]]&amp;"; "&amp;P2042&amp;AS[[#This Row],[Insurance Category Code]]&amp;"; "&amp;Q2042&amp;AS[[#This Row],[Large Provider Entity Code]]&amp;"; "&amp;R2042&amp;AS[[#This Row],[Age Band Code]]&amp;"; "&amp;S2042&amp;AS[[#This Row],[Sex Code]]</f>
        <v xml:space="preserve">Insurer Code ; Reporting Year ; Insurance Category Code ; Large Provider Entity Code ; Age Band Code ; Sex Code </v>
      </c>
      <c r="N2042" s="297" t="s">
        <v>197</v>
      </c>
      <c r="O2042" s="297" t="s">
        <v>198</v>
      </c>
      <c r="P2042" s="297" t="s">
        <v>199</v>
      </c>
      <c r="Q2042" s="297" t="s">
        <v>200</v>
      </c>
      <c r="R2042" s="297" t="s">
        <v>213</v>
      </c>
      <c r="S2042" s="297" t="s">
        <v>214</v>
      </c>
    </row>
    <row r="2043" spans="1:19" x14ac:dyDescent="0.4">
      <c r="A2043" s="291"/>
      <c r="B2043" s="292"/>
      <c r="C2043" s="312"/>
      <c r="D2043" s="292"/>
      <c r="E2043" s="489"/>
      <c r="F2043" s="489"/>
      <c r="G2043" s="490"/>
      <c r="H2043" s="520"/>
      <c r="I2043" s="523"/>
      <c r="J2043" s="521"/>
      <c r="K2043" s="522"/>
      <c r="M2043" s="301" t="str">
        <f>N2043&amp;AS[[#This Row],[Insurer Code]]&amp;"; "&amp;O2043&amp;AS[[#This Row],[Reporting Year]]&amp;"; "&amp;P2043&amp;AS[[#This Row],[Insurance Category Code]]&amp;"; "&amp;Q2043&amp;AS[[#This Row],[Large Provider Entity Code]]&amp;"; "&amp;R2043&amp;AS[[#This Row],[Age Band Code]]&amp;"; "&amp;S2043&amp;AS[[#This Row],[Sex Code]]</f>
        <v xml:space="preserve">Insurer Code ; Reporting Year ; Insurance Category Code ; Large Provider Entity Code ; Age Band Code ; Sex Code </v>
      </c>
      <c r="N2043" s="297" t="s">
        <v>197</v>
      </c>
      <c r="O2043" s="297" t="s">
        <v>198</v>
      </c>
      <c r="P2043" s="297" t="s">
        <v>199</v>
      </c>
      <c r="Q2043" s="297" t="s">
        <v>200</v>
      </c>
      <c r="R2043" s="297" t="s">
        <v>213</v>
      </c>
      <c r="S2043" s="297" t="s">
        <v>214</v>
      </c>
    </row>
    <row r="2044" spans="1:19" x14ac:dyDescent="0.4">
      <c r="A2044" s="291"/>
      <c r="B2044" s="292"/>
      <c r="C2044" s="312"/>
      <c r="D2044" s="292"/>
      <c r="E2044" s="489"/>
      <c r="F2044" s="489"/>
      <c r="G2044" s="490"/>
      <c r="H2044" s="520"/>
      <c r="I2044" s="523"/>
      <c r="J2044" s="521"/>
      <c r="K2044" s="522"/>
      <c r="M2044" s="301" t="str">
        <f>N2044&amp;AS[[#This Row],[Insurer Code]]&amp;"; "&amp;O2044&amp;AS[[#This Row],[Reporting Year]]&amp;"; "&amp;P2044&amp;AS[[#This Row],[Insurance Category Code]]&amp;"; "&amp;Q2044&amp;AS[[#This Row],[Large Provider Entity Code]]&amp;"; "&amp;R2044&amp;AS[[#This Row],[Age Band Code]]&amp;"; "&amp;S2044&amp;AS[[#This Row],[Sex Code]]</f>
        <v xml:space="preserve">Insurer Code ; Reporting Year ; Insurance Category Code ; Large Provider Entity Code ; Age Band Code ; Sex Code </v>
      </c>
      <c r="N2044" s="297" t="s">
        <v>197</v>
      </c>
      <c r="O2044" s="297" t="s">
        <v>198</v>
      </c>
      <c r="P2044" s="297" t="s">
        <v>199</v>
      </c>
      <c r="Q2044" s="297" t="s">
        <v>200</v>
      </c>
      <c r="R2044" s="297" t="s">
        <v>213</v>
      </c>
      <c r="S2044" s="297" t="s">
        <v>214</v>
      </c>
    </row>
    <row r="2045" spans="1:19" x14ac:dyDescent="0.4">
      <c r="A2045" s="291"/>
      <c r="B2045" s="292"/>
      <c r="C2045" s="312"/>
      <c r="D2045" s="292"/>
      <c r="E2045" s="489"/>
      <c r="F2045" s="489"/>
      <c r="G2045" s="490"/>
      <c r="H2045" s="520"/>
      <c r="I2045" s="523"/>
      <c r="J2045" s="521"/>
      <c r="K2045" s="522"/>
      <c r="M2045" s="301" t="str">
        <f>N2045&amp;AS[[#This Row],[Insurer Code]]&amp;"; "&amp;O2045&amp;AS[[#This Row],[Reporting Year]]&amp;"; "&amp;P2045&amp;AS[[#This Row],[Insurance Category Code]]&amp;"; "&amp;Q2045&amp;AS[[#This Row],[Large Provider Entity Code]]&amp;"; "&amp;R2045&amp;AS[[#This Row],[Age Band Code]]&amp;"; "&amp;S2045&amp;AS[[#This Row],[Sex Code]]</f>
        <v xml:space="preserve">Insurer Code ; Reporting Year ; Insurance Category Code ; Large Provider Entity Code ; Age Band Code ; Sex Code </v>
      </c>
      <c r="N2045" s="297" t="s">
        <v>197</v>
      </c>
      <c r="O2045" s="297" t="s">
        <v>198</v>
      </c>
      <c r="P2045" s="297" t="s">
        <v>199</v>
      </c>
      <c r="Q2045" s="297" t="s">
        <v>200</v>
      </c>
      <c r="R2045" s="297" t="s">
        <v>213</v>
      </c>
      <c r="S2045" s="297" t="s">
        <v>214</v>
      </c>
    </row>
    <row r="2046" spans="1:19" x14ac:dyDescent="0.4">
      <c r="A2046" s="291"/>
      <c r="B2046" s="292"/>
      <c r="C2046" s="312"/>
      <c r="D2046" s="292"/>
      <c r="E2046" s="489"/>
      <c r="F2046" s="489"/>
      <c r="G2046" s="490"/>
      <c r="H2046" s="520"/>
      <c r="I2046" s="523"/>
      <c r="J2046" s="521"/>
      <c r="K2046" s="522"/>
      <c r="M2046" s="301" t="str">
        <f>N2046&amp;AS[[#This Row],[Insurer Code]]&amp;"; "&amp;O2046&amp;AS[[#This Row],[Reporting Year]]&amp;"; "&amp;P2046&amp;AS[[#This Row],[Insurance Category Code]]&amp;"; "&amp;Q2046&amp;AS[[#This Row],[Large Provider Entity Code]]&amp;"; "&amp;R2046&amp;AS[[#This Row],[Age Band Code]]&amp;"; "&amp;S2046&amp;AS[[#This Row],[Sex Code]]</f>
        <v xml:space="preserve">Insurer Code ; Reporting Year ; Insurance Category Code ; Large Provider Entity Code ; Age Band Code ; Sex Code </v>
      </c>
      <c r="N2046" s="297" t="s">
        <v>197</v>
      </c>
      <c r="O2046" s="297" t="s">
        <v>198</v>
      </c>
      <c r="P2046" s="297" t="s">
        <v>199</v>
      </c>
      <c r="Q2046" s="297" t="s">
        <v>200</v>
      </c>
      <c r="R2046" s="297" t="s">
        <v>213</v>
      </c>
      <c r="S2046" s="297" t="s">
        <v>214</v>
      </c>
    </row>
    <row r="2047" spans="1:19" x14ac:dyDescent="0.4">
      <c r="A2047" s="291"/>
      <c r="B2047" s="292"/>
      <c r="C2047" s="312"/>
      <c r="D2047" s="292"/>
      <c r="E2047" s="489"/>
      <c r="F2047" s="489"/>
      <c r="G2047" s="490"/>
      <c r="H2047" s="520"/>
      <c r="I2047" s="523"/>
      <c r="J2047" s="521"/>
      <c r="K2047" s="522"/>
      <c r="M2047" s="301" t="str">
        <f>N2047&amp;AS[[#This Row],[Insurer Code]]&amp;"; "&amp;O2047&amp;AS[[#This Row],[Reporting Year]]&amp;"; "&amp;P2047&amp;AS[[#This Row],[Insurance Category Code]]&amp;"; "&amp;Q2047&amp;AS[[#This Row],[Large Provider Entity Code]]&amp;"; "&amp;R2047&amp;AS[[#This Row],[Age Band Code]]&amp;"; "&amp;S2047&amp;AS[[#This Row],[Sex Code]]</f>
        <v xml:space="preserve">Insurer Code ; Reporting Year ; Insurance Category Code ; Large Provider Entity Code ; Age Band Code ; Sex Code </v>
      </c>
      <c r="N2047" s="297" t="s">
        <v>197</v>
      </c>
      <c r="O2047" s="297" t="s">
        <v>198</v>
      </c>
      <c r="P2047" s="297" t="s">
        <v>199</v>
      </c>
      <c r="Q2047" s="297" t="s">
        <v>200</v>
      </c>
      <c r="R2047" s="297" t="s">
        <v>213</v>
      </c>
      <c r="S2047" s="297" t="s">
        <v>214</v>
      </c>
    </row>
    <row r="2048" spans="1:19" x14ac:dyDescent="0.4">
      <c r="A2048" s="291"/>
      <c r="B2048" s="292"/>
      <c r="C2048" s="312"/>
      <c r="D2048" s="292"/>
      <c r="E2048" s="489"/>
      <c r="F2048" s="489"/>
      <c r="G2048" s="490"/>
      <c r="H2048" s="520"/>
      <c r="I2048" s="523"/>
      <c r="J2048" s="521"/>
      <c r="K2048" s="522"/>
      <c r="M2048" s="301" t="str">
        <f>N2048&amp;AS[[#This Row],[Insurer Code]]&amp;"; "&amp;O2048&amp;AS[[#This Row],[Reporting Year]]&amp;"; "&amp;P2048&amp;AS[[#This Row],[Insurance Category Code]]&amp;"; "&amp;Q2048&amp;AS[[#This Row],[Large Provider Entity Code]]&amp;"; "&amp;R2048&amp;AS[[#This Row],[Age Band Code]]&amp;"; "&amp;S2048&amp;AS[[#This Row],[Sex Code]]</f>
        <v xml:space="preserve">Insurer Code ; Reporting Year ; Insurance Category Code ; Large Provider Entity Code ; Age Band Code ; Sex Code </v>
      </c>
      <c r="N2048" s="297" t="s">
        <v>197</v>
      </c>
      <c r="O2048" s="297" t="s">
        <v>198</v>
      </c>
      <c r="P2048" s="297" t="s">
        <v>199</v>
      </c>
      <c r="Q2048" s="297" t="s">
        <v>200</v>
      </c>
      <c r="R2048" s="297" t="s">
        <v>213</v>
      </c>
      <c r="S2048" s="297" t="s">
        <v>214</v>
      </c>
    </row>
    <row r="2049" spans="1:19" x14ac:dyDescent="0.4">
      <c r="A2049" s="291"/>
      <c r="B2049" s="292"/>
      <c r="C2049" s="312"/>
      <c r="D2049" s="292"/>
      <c r="E2049" s="489"/>
      <c r="F2049" s="489"/>
      <c r="G2049" s="490"/>
      <c r="H2049" s="520"/>
      <c r="I2049" s="523"/>
      <c r="J2049" s="521"/>
      <c r="K2049" s="522"/>
      <c r="M2049" s="301" t="str">
        <f>N2049&amp;AS[[#This Row],[Insurer Code]]&amp;"; "&amp;O2049&amp;AS[[#This Row],[Reporting Year]]&amp;"; "&amp;P2049&amp;AS[[#This Row],[Insurance Category Code]]&amp;"; "&amp;Q2049&amp;AS[[#This Row],[Large Provider Entity Code]]&amp;"; "&amp;R2049&amp;AS[[#This Row],[Age Band Code]]&amp;"; "&amp;S2049&amp;AS[[#This Row],[Sex Code]]</f>
        <v xml:space="preserve">Insurer Code ; Reporting Year ; Insurance Category Code ; Large Provider Entity Code ; Age Band Code ; Sex Code </v>
      </c>
      <c r="N2049" s="297" t="s">
        <v>197</v>
      </c>
      <c r="O2049" s="297" t="s">
        <v>198</v>
      </c>
      <c r="P2049" s="297" t="s">
        <v>199</v>
      </c>
      <c r="Q2049" s="297" t="s">
        <v>200</v>
      </c>
      <c r="R2049" s="297" t="s">
        <v>213</v>
      </c>
      <c r="S2049" s="297" t="s">
        <v>214</v>
      </c>
    </row>
    <row r="2050" spans="1:19" x14ac:dyDescent="0.4">
      <c r="A2050" s="291"/>
      <c r="B2050" s="292"/>
      <c r="C2050" s="312"/>
      <c r="D2050" s="292"/>
      <c r="E2050" s="489"/>
      <c r="F2050" s="489"/>
      <c r="G2050" s="490"/>
      <c r="H2050" s="520"/>
      <c r="I2050" s="523"/>
      <c r="J2050" s="521"/>
      <c r="K2050" s="522"/>
      <c r="M2050" s="301" t="str">
        <f>N2050&amp;AS[[#This Row],[Insurer Code]]&amp;"; "&amp;O2050&amp;AS[[#This Row],[Reporting Year]]&amp;"; "&amp;P2050&amp;AS[[#This Row],[Insurance Category Code]]&amp;"; "&amp;Q2050&amp;AS[[#This Row],[Large Provider Entity Code]]&amp;"; "&amp;R2050&amp;AS[[#This Row],[Age Band Code]]&amp;"; "&amp;S2050&amp;AS[[#This Row],[Sex Code]]</f>
        <v xml:space="preserve">Insurer Code ; Reporting Year ; Insurance Category Code ; Large Provider Entity Code ; Age Band Code ; Sex Code </v>
      </c>
      <c r="N2050" s="297" t="s">
        <v>197</v>
      </c>
      <c r="O2050" s="297" t="s">
        <v>198</v>
      </c>
      <c r="P2050" s="297" t="s">
        <v>199</v>
      </c>
      <c r="Q2050" s="297" t="s">
        <v>200</v>
      </c>
      <c r="R2050" s="297" t="s">
        <v>213</v>
      </c>
      <c r="S2050" s="297" t="s">
        <v>214</v>
      </c>
    </row>
    <row r="2051" spans="1:19" x14ac:dyDescent="0.4">
      <c r="A2051" s="291"/>
      <c r="B2051" s="292"/>
      <c r="C2051" s="312"/>
      <c r="D2051" s="292"/>
      <c r="E2051" s="489"/>
      <c r="F2051" s="489"/>
      <c r="G2051" s="490"/>
      <c r="H2051" s="520"/>
      <c r="I2051" s="523"/>
      <c r="J2051" s="521"/>
      <c r="K2051" s="522"/>
      <c r="M2051" s="301" t="str">
        <f>N2051&amp;AS[[#This Row],[Insurer Code]]&amp;"; "&amp;O2051&amp;AS[[#This Row],[Reporting Year]]&amp;"; "&amp;P2051&amp;AS[[#This Row],[Insurance Category Code]]&amp;"; "&amp;Q2051&amp;AS[[#This Row],[Large Provider Entity Code]]&amp;"; "&amp;R2051&amp;AS[[#This Row],[Age Band Code]]&amp;"; "&amp;S2051&amp;AS[[#This Row],[Sex Code]]</f>
        <v xml:space="preserve">Insurer Code ; Reporting Year ; Insurance Category Code ; Large Provider Entity Code ; Age Band Code ; Sex Code </v>
      </c>
      <c r="N2051" s="297" t="s">
        <v>197</v>
      </c>
      <c r="O2051" s="297" t="s">
        <v>198</v>
      </c>
      <c r="P2051" s="297" t="s">
        <v>199</v>
      </c>
      <c r="Q2051" s="297" t="s">
        <v>200</v>
      </c>
      <c r="R2051" s="297" t="s">
        <v>213</v>
      </c>
      <c r="S2051" s="297" t="s">
        <v>214</v>
      </c>
    </row>
    <row r="2052" spans="1:19" x14ac:dyDescent="0.4">
      <c r="A2052" s="291"/>
      <c r="B2052" s="292"/>
      <c r="C2052" s="312"/>
      <c r="D2052" s="292"/>
      <c r="E2052" s="489"/>
      <c r="F2052" s="489"/>
      <c r="G2052" s="490"/>
      <c r="H2052" s="520"/>
      <c r="I2052" s="523"/>
      <c r="J2052" s="521"/>
      <c r="K2052" s="522"/>
      <c r="M2052" s="301" t="str">
        <f>N2052&amp;AS[[#This Row],[Insurer Code]]&amp;"; "&amp;O2052&amp;AS[[#This Row],[Reporting Year]]&amp;"; "&amp;P2052&amp;AS[[#This Row],[Insurance Category Code]]&amp;"; "&amp;Q2052&amp;AS[[#This Row],[Large Provider Entity Code]]&amp;"; "&amp;R2052&amp;AS[[#This Row],[Age Band Code]]&amp;"; "&amp;S2052&amp;AS[[#This Row],[Sex Code]]</f>
        <v xml:space="preserve">Insurer Code ; Reporting Year ; Insurance Category Code ; Large Provider Entity Code ; Age Band Code ; Sex Code </v>
      </c>
      <c r="N2052" s="297" t="s">
        <v>197</v>
      </c>
      <c r="O2052" s="297" t="s">
        <v>198</v>
      </c>
      <c r="P2052" s="297" t="s">
        <v>199</v>
      </c>
      <c r="Q2052" s="297" t="s">
        <v>200</v>
      </c>
      <c r="R2052" s="297" t="s">
        <v>213</v>
      </c>
      <c r="S2052" s="297" t="s">
        <v>214</v>
      </c>
    </row>
    <row r="2053" spans="1:19" x14ac:dyDescent="0.4">
      <c r="A2053" s="291"/>
      <c r="B2053" s="292"/>
      <c r="C2053" s="312"/>
      <c r="D2053" s="292"/>
      <c r="E2053" s="489"/>
      <c r="F2053" s="489"/>
      <c r="G2053" s="490"/>
      <c r="H2053" s="520"/>
      <c r="I2053" s="523"/>
      <c r="J2053" s="521"/>
      <c r="K2053" s="522"/>
      <c r="M2053" s="301" t="str">
        <f>N2053&amp;AS[[#This Row],[Insurer Code]]&amp;"; "&amp;O2053&amp;AS[[#This Row],[Reporting Year]]&amp;"; "&amp;P2053&amp;AS[[#This Row],[Insurance Category Code]]&amp;"; "&amp;Q2053&amp;AS[[#This Row],[Large Provider Entity Code]]&amp;"; "&amp;R2053&amp;AS[[#This Row],[Age Band Code]]&amp;"; "&amp;S2053&amp;AS[[#This Row],[Sex Code]]</f>
        <v xml:space="preserve">Insurer Code ; Reporting Year ; Insurance Category Code ; Large Provider Entity Code ; Age Band Code ; Sex Code </v>
      </c>
      <c r="N2053" s="297" t="s">
        <v>197</v>
      </c>
      <c r="O2053" s="297" t="s">
        <v>198</v>
      </c>
      <c r="P2053" s="297" t="s">
        <v>199</v>
      </c>
      <c r="Q2053" s="297" t="s">
        <v>200</v>
      </c>
      <c r="R2053" s="297" t="s">
        <v>213</v>
      </c>
      <c r="S2053" s="297" t="s">
        <v>214</v>
      </c>
    </row>
    <row r="2054" spans="1:19" x14ac:dyDescent="0.4">
      <c r="A2054" s="291"/>
      <c r="B2054" s="292"/>
      <c r="C2054" s="312"/>
      <c r="D2054" s="292"/>
      <c r="E2054" s="489"/>
      <c r="F2054" s="489"/>
      <c r="G2054" s="490"/>
      <c r="H2054" s="520"/>
      <c r="I2054" s="523"/>
      <c r="J2054" s="521"/>
      <c r="K2054" s="522"/>
      <c r="M2054" s="301" t="str">
        <f>N2054&amp;AS[[#This Row],[Insurer Code]]&amp;"; "&amp;O2054&amp;AS[[#This Row],[Reporting Year]]&amp;"; "&amp;P2054&amp;AS[[#This Row],[Insurance Category Code]]&amp;"; "&amp;Q2054&amp;AS[[#This Row],[Large Provider Entity Code]]&amp;"; "&amp;R2054&amp;AS[[#This Row],[Age Band Code]]&amp;"; "&amp;S2054&amp;AS[[#This Row],[Sex Code]]</f>
        <v xml:space="preserve">Insurer Code ; Reporting Year ; Insurance Category Code ; Large Provider Entity Code ; Age Band Code ; Sex Code </v>
      </c>
      <c r="N2054" s="297" t="s">
        <v>197</v>
      </c>
      <c r="O2054" s="297" t="s">
        <v>198</v>
      </c>
      <c r="P2054" s="297" t="s">
        <v>199</v>
      </c>
      <c r="Q2054" s="297" t="s">
        <v>200</v>
      </c>
      <c r="R2054" s="297" t="s">
        <v>213</v>
      </c>
      <c r="S2054" s="297" t="s">
        <v>214</v>
      </c>
    </row>
    <row r="2055" spans="1:19" x14ac:dyDescent="0.4">
      <c r="A2055" s="291"/>
      <c r="B2055" s="292"/>
      <c r="C2055" s="312"/>
      <c r="D2055" s="292"/>
      <c r="E2055" s="489"/>
      <c r="F2055" s="489"/>
      <c r="G2055" s="490"/>
      <c r="H2055" s="520"/>
      <c r="I2055" s="523"/>
      <c r="J2055" s="521"/>
      <c r="K2055" s="522"/>
      <c r="M2055" s="301" t="str">
        <f>N2055&amp;AS[[#This Row],[Insurer Code]]&amp;"; "&amp;O2055&amp;AS[[#This Row],[Reporting Year]]&amp;"; "&amp;P2055&amp;AS[[#This Row],[Insurance Category Code]]&amp;"; "&amp;Q2055&amp;AS[[#This Row],[Large Provider Entity Code]]&amp;"; "&amp;R2055&amp;AS[[#This Row],[Age Band Code]]&amp;"; "&amp;S2055&amp;AS[[#This Row],[Sex Code]]</f>
        <v xml:space="preserve">Insurer Code ; Reporting Year ; Insurance Category Code ; Large Provider Entity Code ; Age Band Code ; Sex Code </v>
      </c>
      <c r="N2055" s="297" t="s">
        <v>197</v>
      </c>
      <c r="O2055" s="297" t="s">
        <v>198</v>
      </c>
      <c r="P2055" s="297" t="s">
        <v>199</v>
      </c>
      <c r="Q2055" s="297" t="s">
        <v>200</v>
      </c>
      <c r="R2055" s="297" t="s">
        <v>213</v>
      </c>
      <c r="S2055" s="297" t="s">
        <v>214</v>
      </c>
    </row>
    <row r="2056" spans="1:19" x14ac:dyDescent="0.4">
      <c r="A2056" s="291"/>
      <c r="B2056" s="292"/>
      <c r="C2056" s="312"/>
      <c r="D2056" s="292"/>
      <c r="E2056" s="489"/>
      <c r="F2056" s="489"/>
      <c r="G2056" s="490"/>
      <c r="H2056" s="520"/>
      <c r="I2056" s="523"/>
      <c r="J2056" s="521"/>
      <c r="K2056" s="522"/>
      <c r="M2056" s="301" t="str">
        <f>N2056&amp;AS[[#This Row],[Insurer Code]]&amp;"; "&amp;O2056&amp;AS[[#This Row],[Reporting Year]]&amp;"; "&amp;P2056&amp;AS[[#This Row],[Insurance Category Code]]&amp;"; "&amp;Q2056&amp;AS[[#This Row],[Large Provider Entity Code]]&amp;"; "&amp;R2056&amp;AS[[#This Row],[Age Band Code]]&amp;"; "&amp;S2056&amp;AS[[#This Row],[Sex Code]]</f>
        <v xml:space="preserve">Insurer Code ; Reporting Year ; Insurance Category Code ; Large Provider Entity Code ; Age Band Code ; Sex Code </v>
      </c>
      <c r="N2056" s="297" t="s">
        <v>197</v>
      </c>
      <c r="O2056" s="297" t="s">
        <v>198</v>
      </c>
      <c r="P2056" s="297" t="s">
        <v>199</v>
      </c>
      <c r="Q2056" s="297" t="s">
        <v>200</v>
      </c>
      <c r="R2056" s="297" t="s">
        <v>213</v>
      </c>
      <c r="S2056" s="297" t="s">
        <v>214</v>
      </c>
    </row>
    <row r="2057" spans="1:19" x14ac:dyDescent="0.4">
      <c r="A2057" s="291"/>
      <c r="B2057" s="292"/>
      <c r="C2057" s="312"/>
      <c r="D2057" s="292"/>
      <c r="E2057" s="489"/>
      <c r="F2057" s="489"/>
      <c r="G2057" s="490"/>
      <c r="H2057" s="520"/>
      <c r="I2057" s="523"/>
      <c r="J2057" s="521"/>
      <c r="K2057" s="522"/>
      <c r="M2057" s="301" t="str">
        <f>N2057&amp;AS[[#This Row],[Insurer Code]]&amp;"; "&amp;O2057&amp;AS[[#This Row],[Reporting Year]]&amp;"; "&amp;P2057&amp;AS[[#This Row],[Insurance Category Code]]&amp;"; "&amp;Q2057&amp;AS[[#This Row],[Large Provider Entity Code]]&amp;"; "&amp;R2057&amp;AS[[#This Row],[Age Band Code]]&amp;"; "&amp;S2057&amp;AS[[#This Row],[Sex Code]]</f>
        <v xml:space="preserve">Insurer Code ; Reporting Year ; Insurance Category Code ; Large Provider Entity Code ; Age Band Code ; Sex Code </v>
      </c>
      <c r="N2057" s="297" t="s">
        <v>197</v>
      </c>
      <c r="O2057" s="297" t="s">
        <v>198</v>
      </c>
      <c r="P2057" s="297" t="s">
        <v>199</v>
      </c>
      <c r="Q2057" s="297" t="s">
        <v>200</v>
      </c>
      <c r="R2057" s="297" t="s">
        <v>213</v>
      </c>
      <c r="S2057" s="297" t="s">
        <v>214</v>
      </c>
    </row>
    <row r="2058" spans="1:19" x14ac:dyDescent="0.4">
      <c r="A2058" s="291"/>
      <c r="B2058" s="292"/>
      <c r="C2058" s="312"/>
      <c r="D2058" s="292"/>
      <c r="E2058" s="489"/>
      <c r="F2058" s="489"/>
      <c r="G2058" s="490"/>
      <c r="H2058" s="520"/>
      <c r="I2058" s="523"/>
      <c r="J2058" s="521"/>
      <c r="K2058" s="522"/>
      <c r="M2058" s="301" t="str">
        <f>N2058&amp;AS[[#This Row],[Insurer Code]]&amp;"; "&amp;O2058&amp;AS[[#This Row],[Reporting Year]]&amp;"; "&amp;P2058&amp;AS[[#This Row],[Insurance Category Code]]&amp;"; "&amp;Q2058&amp;AS[[#This Row],[Large Provider Entity Code]]&amp;"; "&amp;R2058&amp;AS[[#This Row],[Age Band Code]]&amp;"; "&amp;S2058&amp;AS[[#This Row],[Sex Code]]</f>
        <v xml:space="preserve">Insurer Code ; Reporting Year ; Insurance Category Code ; Large Provider Entity Code ; Age Band Code ; Sex Code </v>
      </c>
      <c r="N2058" s="297" t="s">
        <v>197</v>
      </c>
      <c r="O2058" s="297" t="s">
        <v>198</v>
      </c>
      <c r="P2058" s="297" t="s">
        <v>199</v>
      </c>
      <c r="Q2058" s="297" t="s">
        <v>200</v>
      </c>
      <c r="R2058" s="297" t="s">
        <v>213</v>
      </c>
      <c r="S2058" s="297" t="s">
        <v>214</v>
      </c>
    </row>
    <row r="2059" spans="1:19" x14ac:dyDescent="0.4">
      <c r="A2059" s="291"/>
      <c r="B2059" s="292"/>
      <c r="C2059" s="312"/>
      <c r="D2059" s="292"/>
      <c r="E2059" s="489"/>
      <c r="F2059" s="489"/>
      <c r="G2059" s="490"/>
      <c r="H2059" s="520"/>
      <c r="I2059" s="523"/>
      <c r="J2059" s="521"/>
      <c r="K2059" s="522"/>
      <c r="M2059" s="301" t="str">
        <f>N2059&amp;AS[[#This Row],[Insurer Code]]&amp;"; "&amp;O2059&amp;AS[[#This Row],[Reporting Year]]&amp;"; "&amp;P2059&amp;AS[[#This Row],[Insurance Category Code]]&amp;"; "&amp;Q2059&amp;AS[[#This Row],[Large Provider Entity Code]]&amp;"; "&amp;R2059&amp;AS[[#This Row],[Age Band Code]]&amp;"; "&amp;S2059&amp;AS[[#This Row],[Sex Code]]</f>
        <v xml:space="preserve">Insurer Code ; Reporting Year ; Insurance Category Code ; Large Provider Entity Code ; Age Band Code ; Sex Code </v>
      </c>
      <c r="N2059" s="297" t="s">
        <v>197</v>
      </c>
      <c r="O2059" s="297" t="s">
        <v>198</v>
      </c>
      <c r="P2059" s="297" t="s">
        <v>199</v>
      </c>
      <c r="Q2059" s="297" t="s">
        <v>200</v>
      </c>
      <c r="R2059" s="297" t="s">
        <v>213</v>
      </c>
      <c r="S2059" s="297" t="s">
        <v>214</v>
      </c>
    </row>
    <row r="2060" spans="1:19" x14ac:dyDescent="0.4">
      <c r="A2060" s="291"/>
      <c r="B2060" s="292"/>
      <c r="C2060" s="312"/>
      <c r="D2060" s="292"/>
      <c r="E2060" s="489"/>
      <c r="F2060" s="489"/>
      <c r="G2060" s="490"/>
      <c r="H2060" s="520"/>
      <c r="I2060" s="523"/>
      <c r="J2060" s="521"/>
      <c r="K2060" s="522"/>
      <c r="M2060" s="301" t="str">
        <f>N2060&amp;AS[[#This Row],[Insurer Code]]&amp;"; "&amp;O2060&amp;AS[[#This Row],[Reporting Year]]&amp;"; "&amp;P2060&amp;AS[[#This Row],[Insurance Category Code]]&amp;"; "&amp;Q2060&amp;AS[[#This Row],[Large Provider Entity Code]]&amp;"; "&amp;R2060&amp;AS[[#This Row],[Age Band Code]]&amp;"; "&amp;S2060&amp;AS[[#This Row],[Sex Code]]</f>
        <v xml:space="preserve">Insurer Code ; Reporting Year ; Insurance Category Code ; Large Provider Entity Code ; Age Band Code ; Sex Code </v>
      </c>
      <c r="N2060" s="297" t="s">
        <v>197</v>
      </c>
      <c r="O2060" s="297" t="s">
        <v>198</v>
      </c>
      <c r="P2060" s="297" t="s">
        <v>199</v>
      </c>
      <c r="Q2060" s="297" t="s">
        <v>200</v>
      </c>
      <c r="R2060" s="297" t="s">
        <v>213</v>
      </c>
      <c r="S2060" s="297" t="s">
        <v>214</v>
      </c>
    </row>
    <row r="2061" spans="1:19" x14ac:dyDescent="0.4">
      <c r="A2061" s="291"/>
      <c r="B2061" s="292"/>
      <c r="C2061" s="312"/>
      <c r="D2061" s="292"/>
      <c r="E2061" s="489"/>
      <c r="F2061" s="489"/>
      <c r="G2061" s="490"/>
      <c r="H2061" s="520"/>
      <c r="I2061" s="523"/>
      <c r="J2061" s="521"/>
      <c r="K2061" s="522"/>
      <c r="M2061" s="301" t="str">
        <f>N2061&amp;AS[[#This Row],[Insurer Code]]&amp;"; "&amp;O2061&amp;AS[[#This Row],[Reporting Year]]&amp;"; "&amp;P2061&amp;AS[[#This Row],[Insurance Category Code]]&amp;"; "&amp;Q2061&amp;AS[[#This Row],[Large Provider Entity Code]]&amp;"; "&amp;R2061&amp;AS[[#This Row],[Age Band Code]]&amp;"; "&amp;S2061&amp;AS[[#This Row],[Sex Code]]</f>
        <v xml:space="preserve">Insurer Code ; Reporting Year ; Insurance Category Code ; Large Provider Entity Code ; Age Band Code ; Sex Code </v>
      </c>
      <c r="N2061" s="297" t="s">
        <v>197</v>
      </c>
      <c r="O2061" s="297" t="s">
        <v>198</v>
      </c>
      <c r="P2061" s="297" t="s">
        <v>199</v>
      </c>
      <c r="Q2061" s="297" t="s">
        <v>200</v>
      </c>
      <c r="R2061" s="297" t="s">
        <v>213</v>
      </c>
      <c r="S2061" s="297" t="s">
        <v>214</v>
      </c>
    </row>
    <row r="2062" spans="1:19" x14ac:dyDescent="0.4">
      <c r="A2062" s="291"/>
      <c r="B2062" s="292"/>
      <c r="C2062" s="312"/>
      <c r="D2062" s="292"/>
      <c r="E2062" s="489"/>
      <c r="F2062" s="489"/>
      <c r="G2062" s="490"/>
      <c r="H2062" s="520"/>
      <c r="I2062" s="523"/>
      <c r="J2062" s="521"/>
      <c r="K2062" s="522"/>
      <c r="M2062" s="301" t="str">
        <f>N2062&amp;AS[[#This Row],[Insurer Code]]&amp;"; "&amp;O2062&amp;AS[[#This Row],[Reporting Year]]&amp;"; "&amp;P2062&amp;AS[[#This Row],[Insurance Category Code]]&amp;"; "&amp;Q2062&amp;AS[[#This Row],[Large Provider Entity Code]]&amp;"; "&amp;R2062&amp;AS[[#This Row],[Age Band Code]]&amp;"; "&amp;S2062&amp;AS[[#This Row],[Sex Code]]</f>
        <v xml:space="preserve">Insurer Code ; Reporting Year ; Insurance Category Code ; Large Provider Entity Code ; Age Band Code ; Sex Code </v>
      </c>
      <c r="N2062" s="297" t="s">
        <v>197</v>
      </c>
      <c r="O2062" s="297" t="s">
        <v>198</v>
      </c>
      <c r="P2062" s="297" t="s">
        <v>199</v>
      </c>
      <c r="Q2062" s="297" t="s">
        <v>200</v>
      </c>
      <c r="R2062" s="297" t="s">
        <v>213</v>
      </c>
      <c r="S2062" s="297" t="s">
        <v>214</v>
      </c>
    </row>
    <row r="2063" spans="1:19" x14ac:dyDescent="0.4">
      <c r="A2063" s="291"/>
      <c r="B2063" s="292"/>
      <c r="C2063" s="312"/>
      <c r="D2063" s="292"/>
      <c r="E2063" s="489"/>
      <c r="F2063" s="489"/>
      <c r="G2063" s="490"/>
      <c r="H2063" s="520"/>
      <c r="I2063" s="523"/>
      <c r="J2063" s="521"/>
      <c r="K2063" s="522"/>
      <c r="M2063" s="301" t="str">
        <f>N2063&amp;AS[[#This Row],[Insurer Code]]&amp;"; "&amp;O2063&amp;AS[[#This Row],[Reporting Year]]&amp;"; "&amp;P2063&amp;AS[[#This Row],[Insurance Category Code]]&amp;"; "&amp;Q2063&amp;AS[[#This Row],[Large Provider Entity Code]]&amp;"; "&amp;R2063&amp;AS[[#This Row],[Age Band Code]]&amp;"; "&amp;S2063&amp;AS[[#This Row],[Sex Code]]</f>
        <v xml:space="preserve">Insurer Code ; Reporting Year ; Insurance Category Code ; Large Provider Entity Code ; Age Band Code ; Sex Code </v>
      </c>
      <c r="N2063" s="297" t="s">
        <v>197</v>
      </c>
      <c r="O2063" s="297" t="s">
        <v>198</v>
      </c>
      <c r="P2063" s="297" t="s">
        <v>199</v>
      </c>
      <c r="Q2063" s="297" t="s">
        <v>200</v>
      </c>
      <c r="R2063" s="297" t="s">
        <v>213</v>
      </c>
      <c r="S2063" s="297" t="s">
        <v>214</v>
      </c>
    </row>
    <row r="2064" spans="1:19" x14ac:dyDescent="0.4">
      <c r="A2064" s="291"/>
      <c r="B2064" s="292"/>
      <c r="C2064" s="312"/>
      <c r="D2064" s="292"/>
      <c r="E2064" s="489"/>
      <c r="F2064" s="489"/>
      <c r="G2064" s="490"/>
      <c r="H2064" s="520"/>
      <c r="I2064" s="523"/>
      <c r="J2064" s="521"/>
      <c r="K2064" s="522"/>
      <c r="M2064" s="301" t="str">
        <f>N2064&amp;AS[[#This Row],[Insurer Code]]&amp;"; "&amp;O2064&amp;AS[[#This Row],[Reporting Year]]&amp;"; "&amp;P2064&amp;AS[[#This Row],[Insurance Category Code]]&amp;"; "&amp;Q2064&amp;AS[[#This Row],[Large Provider Entity Code]]&amp;"; "&amp;R2064&amp;AS[[#This Row],[Age Band Code]]&amp;"; "&amp;S2064&amp;AS[[#This Row],[Sex Code]]</f>
        <v xml:space="preserve">Insurer Code ; Reporting Year ; Insurance Category Code ; Large Provider Entity Code ; Age Band Code ; Sex Code </v>
      </c>
      <c r="N2064" s="297" t="s">
        <v>197</v>
      </c>
      <c r="O2064" s="297" t="s">
        <v>198</v>
      </c>
      <c r="P2064" s="297" t="s">
        <v>199</v>
      </c>
      <c r="Q2064" s="297" t="s">
        <v>200</v>
      </c>
      <c r="R2064" s="297" t="s">
        <v>213</v>
      </c>
      <c r="S2064" s="297" t="s">
        <v>214</v>
      </c>
    </row>
    <row r="2065" spans="1:19" x14ac:dyDescent="0.4">
      <c r="A2065" s="291"/>
      <c r="B2065" s="292"/>
      <c r="C2065" s="312"/>
      <c r="D2065" s="292"/>
      <c r="E2065" s="489"/>
      <c r="F2065" s="489"/>
      <c r="G2065" s="490"/>
      <c r="H2065" s="520"/>
      <c r="I2065" s="523"/>
      <c r="J2065" s="521"/>
      <c r="K2065" s="522"/>
      <c r="M2065" s="301" t="str">
        <f>N2065&amp;AS[[#This Row],[Insurer Code]]&amp;"; "&amp;O2065&amp;AS[[#This Row],[Reporting Year]]&amp;"; "&amp;P2065&amp;AS[[#This Row],[Insurance Category Code]]&amp;"; "&amp;Q2065&amp;AS[[#This Row],[Large Provider Entity Code]]&amp;"; "&amp;R2065&amp;AS[[#This Row],[Age Band Code]]&amp;"; "&amp;S2065&amp;AS[[#This Row],[Sex Code]]</f>
        <v xml:space="preserve">Insurer Code ; Reporting Year ; Insurance Category Code ; Large Provider Entity Code ; Age Band Code ; Sex Code </v>
      </c>
      <c r="N2065" s="297" t="s">
        <v>197</v>
      </c>
      <c r="O2065" s="297" t="s">
        <v>198</v>
      </c>
      <c r="P2065" s="297" t="s">
        <v>199</v>
      </c>
      <c r="Q2065" s="297" t="s">
        <v>200</v>
      </c>
      <c r="R2065" s="297" t="s">
        <v>213</v>
      </c>
      <c r="S2065" s="297" t="s">
        <v>214</v>
      </c>
    </row>
    <row r="2066" spans="1:19" x14ac:dyDescent="0.4">
      <c r="A2066" s="291"/>
      <c r="B2066" s="292"/>
      <c r="C2066" s="312"/>
      <c r="D2066" s="292"/>
      <c r="E2066" s="489"/>
      <c r="F2066" s="489"/>
      <c r="G2066" s="490"/>
      <c r="H2066" s="520"/>
      <c r="I2066" s="523"/>
      <c r="J2066" s="521"/>
      <c r="K2066" s="522"/>
      <c r="M2066" s="301" t="str">
        <f>N2066&amp;AS[[#This Row],[Insurer Code]]&amp;"; "&amp;O2066&amp;AS[[#This Row],[Reporting Year]]&amp;"; "&amp;P2066&amp;AS[[#This Row],[Insurance Category Code]]&amp;"; "&amp;Q2066&amp;AS[[#This Row],[Large Provider Entity Code]]&amp;"; "&amp;R2066&amp;AS[[#This Row],[Age Band Code]]&amp;"; "&amp;S2066&amp;AS[[#This Row],[Sex Code]]</f>
        <v xml:space="preserve">Insurer Code ; Reporting Year ; Insurance Category Code ; Large Provider Entity Code ; Age Band Code ; Sex Code </v>
      </c>
      <c r="N2066" s="297" t="s">
        <v>197</v>
      </c>
      <c r="O2066" s="297" t="s">
        <v>198</v>
      </c>
      <c r="P2066" s="297" t="s">
        <v>199</v>
      </c>
      <c r="Q2066" s="297" t="s">
        <v>200</v>
      </c>
      <c r="R2066" s="297" t="s">
        <v>213</v>
      </c>
      <c r="S2066" s="297" t="s">
        <v>214</v>
      </c>
    </row>
    <row r="2067" spans="1:19" x14ac:dyDescent="0.4">
      <c r="A2067" s="291"/>
      <c r="B2067" s="292"/>
      <c r="C2067" s="312"/>
      <c r="D2067" s="292"/>
      <c r="E2067" s="489"/>
      <c r="F2067" s="489"/>
      <c r="G2067" s="490"/>
      <c r="H2067" s="520"/>
      <c r="I2067" s="523"/>
      <c r="J2067" s="521"/>
      <c r="K2067" s="522"/>
      <c r="M2067" s="301" t="str">
        <f>N2067&amp;AS[[#This Row],[Insurer Code]]&amp;"; "&amp;O2067&amp;AS[[#This Row],[Reporting Year]]&amp;"; "&amp;P2067&amp;AS[[#This Row],[Insurance Category Code]]&amp;"; "&amp;Q2067&amp;AS[[#This Row],[Large Provider Entity Code]]&amp;"; "&amp;R2067&amp;AS[[#This Row],[Age Band Code]]&amp;"; "&amp;S2067&amp;AS[[#This Row],[Sex Code]]</f>
        <v xml:space="preserve">Insurer Code ; Reporting Year ; Insurance Category Code ; Large Provider Entity Code ; Age Band Code ; Sex Code </v>
      </c>
      <c r="N2067" s="297" t="s">
        <v>197</v>
      </c>
      <c r="O2067" s="297" t="s">
        <v>198</v>
      </c>
      <c r="P2067" s="297" t="s">
        <v>199</v>
      </c>
      <c r="Q2067" s="297" t="s">
        <v>200</v>
      </c>
      <c r="R2067" s="297" t="s">
        <v>213</v>
      </c>
      <c r="S2067" s="297" t="s">
        <v>214</v>
      </c>
    </row>
    <row r="2068" spans="1:19" x14ac:dyDescent="0.4">
      <c r="A2068" s="291"/>
      <c r="B2068" s="292"/>
      <c r="C2068" s="312"/>
      <c r="D2068" s="292"/>
      <c r="E2068" s="489"/>
      <c r="F2068" s="489"/>
      <c r="G2068" s="490"/>
      <c r="H2068" s="520"/>
      <c r="I2068" s="523"/>
      <c r="J2068" s="521"/>
      <c r="K2068" s="522"/>
      <c r="M2068" s="301" t="str">
        <f>N2068&amp;AS[[#This Row],[Insurer Code]]&amp;"; "&amp;O2068&amp;AS[[#This Row],[Reporting Year]]&amp;"; "&amp;P2068&amp;AS[[#This Row],[Insurance Category Code]]&amp;"; "&amp;Q2068&amp;AS[[#This Row],[Large Provider Entity Code]]&amp;"; "&amp;R2068&amp;AS[[#This Row],[Age Band Code]]&amp;"; "&amp;S2068&amp;AS[[#This Row],[Sex Code]]</f>
        <v xml:space="preserve">Insurer Code ; Reporting Year ; Insurance Category Code ; Large Provider Entity Code ; Age Band Code ; Sex Code </v>
      </c>
      <c r="N2068" s="297" t="s">
        <v>197</v>
      </c>
      <c r="O2068" s="297" t="s">
        <v>198</v>
      </c>
      <c r="P2068" s="297" t="s">
        <v>199</v>
      </c>
      <c r="Q2068" s="297" t="s">
        <v>200</v>
      </c>
      <c r="R2068" s="297" t="s">
        <v>213</v>
      </c>
      <c r="S2068" s="297" t="s">
        <v>214</v>
      </c>
    </row>
    <row r="2069" spans="1:19" x14ac:dyDescent="0.4">
      <c r="A2069" s="291"/>
      <c r="B2069" s="292"/>
      <c r="C2069" s="312"/>
      <c r="D2069" s="292"/>
      <c r="E2069" s="489"/>
      <c r="F2069" s="489"/>
      <c r="G2069" s="490"/>
      <c r="H2069" s="520"/>
      <c r="I2069" s="523"/>
      <c r="J2069" s="521"/>
      <c r="K2069" s="522"/>
      <c r="M2069" s="301" t="str">
        <f>N2069&amp;AS[[#This Row],[Insurer Code]]&amp;"; "&amp;O2069&amp;AS[[#This Row],[Reporting Year]]&amp;"; "&amp;P2069&amp;AS[[#This Row],[Insurance Category Code]]&amp;"; "&amp;Q2069&amp;AS[[#This Row],[Large Provider Entity Code]]&amp;"; "&amp;R2069&amp;AS[[#This Row],[Age Band Code]]&amp;"; "&amp;S2069&amp;AS[[#This Row],[Sex Code]]</f>
        <v xml:space="preserve">Insurer Code ; Reporting Year ; Insurance Category Code ; Large Provider Entity Code ; Age Band Code ; Sex Code </v>
      </c>
      <c r="N2069" s="297" t="s">
        <v>197</v>
      </c>
      <c r="O2069" s="297" t="s">
        <v>198</v>
      </c>
      <c r="P2069" s="297" t="s">
        <v>199</v>
      </c>
      <c r="Q2069" s="297" t="s">
        <v>200</v>
      </c>
      <c r="R2069" s="297" t="s">
        <v>213</v>
      </c>
      <c r="S2069" s="297" t="s">
        <v>214</v>
      </c>
    </row>
    <row r="2070" spans="1:19" x14ac:dyDescent="0.4">
      <c r="A2070" s="291"/>
      <c r="B2070" s="292"/>
      <c r="C2070" s="312"/>
      <c r="D2070" s="292"/>
      <c r="E2070" s="489"/>
      <c r="F2070" s="489"/>
      <c r="G2070" s="490"/>
      <c r="H2070" s="520"/>
      <c r="I2070" s="523"/>
      <c r="J2070" s="521"/>
      <c r="K2070" s="522"/>
      <c r="M2070" s="301" t="str">
        <f>N2070&amp;AS[[#This Row],[Insurer Code]]&amp;"; "&amp;O2070&amp;AS[[#This Row],[Reporting Year]]&amp;"; "&amp;P2070&amp;AS[[#This Row],[Insurance Category Code]]&amp;"; "&amp;Q2070&amp;AS[[#This Row],[Large Provider Entity Code]]&amp;"; "&amp;R2070&amp;AS[[#This Row],[Age Band Code]]&amp;"; "&amp;S2070&amp;AS[[#This Row],[Sex Code]]</f>
        <v xml:space="preserve">Insurer Code ; Reporting Year ; Insurance Category Code ; Large Provider Entity Code ; Age Band Code ; Sex Code </v>
      </c>
      <c r="N2070" s="297" t="s">
        <v>197</v>
      </c>
      <c r="O2070" s="297" t="s">
        <v>198</v>
      </c>
      <c r="P2070" s="297" t="s">
        <v>199</v>
      </c>
      <c r="Q2070" s="297" t="s">
        <v>200</v>
      </c>
      <c r="R2070" s="297" t="s">
        <v>213</v>
      </c>
      <c r="S2070" s="297" t="s">
        <v>214</v>
      </c>
    </row>
    <row r="2071" spans="1:19" x14ac:dyDescent="0.4">
      <c r="A2071" s="291"/>
      <c r="B2071" s="292"/>
      <c r="C2071" s="312"/>
      <c r="D2071" s="292"/>
      <c r="E2071" s="489"/>
      <c r="F2071" s="489"/>
      <c r="G2071" s="490"/>
      <c r="H2071" s="520"/>
      <c r="I2071" s="523"/>
      <c r="J2071" s="521"/>
      <c r="K2071" s="522"/>
      <c r="M2071" s="301" t="str">
        <f>N2071&amp;AS[[#This Row],[Insurer Code]]&amp;"; "&amp;O2071&amp;AS[[#This Row],[Reporting Year]]&amp;"; "&amp;P2071&amp;AS[[#This Row],[Insurance Category Code]]&amp;"; "&amp;Q2071&amp;AS[[#This Row],[Large Provider Entity Code]]&amp;"; "&amp;R2071&amp;AS[[#This Row],[Age Band Code]]&amp;"; "&amp;S2071&amp;AS[[#This Row],[Sex Code]]</f>
        <v xml:space="preserve">Insurer Code ; Reporting Year ; Insurance Category Code ; Large Provider Entity Code ; Age Band Code ; Sex Code </v>
      </c>
      <c r="N2071" s="297" t="s">
        <v>197</v>
      </c>
      <c r="O2071" s="297" t="s">
        <v>198</v>
      </c>
      <c r="P2071" s="297" t="s">
        <v>199</v>
      </c>
      <c r="Q2071" s="297" t="s">
        <v>200</v>
      </c>
      <c r="R2071" s="297" t="s">
        <v>213</v>
      </c>
      <c r="S2071" s="297" t="s">
        <v>214</v>
      </c>
    </row>
    <row r="2072" spans="1:19" x14ac:dyDescent="0.4">
      <c r="A2072" s="291"/>
      <c r="B2072" s="292"/>
      <c r="C2072" s="312"/>
      <c r="D2072" s="292"/>
      <c r="E2072" s="489"/>
      <c r="F2072" s="489"/>
      <c r="G2072" s="490"/>
      <c r="H2072" s="520"/>
      <c r="I2072" s="523"/>
      <c r="J2072" s="521"/>
      <c r="K2072" s="522"/>
      <c r="M2072" s="301" t="str">
        <f>N2072&amp;AS[[#This Row],[Insurer Code]]&amp;"; "&amp;O2072&amp;AS[[#This Row],[Reporting Year]]&amp;"; "&amp;P2072&amp;AS[[#This Row],[Insurance Category Code]]&amp;"; "&amp;Q2072&amp;AS[[#This Row],[Large Provider Entity Code]]&amp;"; "&amp;R2072&amp;AS[[#This Row],[Age Band Code]]&amp;"; "&amp;S2072&amp;AS[[#This Row],[Sex Code]]</f>
        <v xml:space="preserve">Insurer Code ; Reporting Year ; Insurance Category Code ; Large Provider Entity Code ; Age Band Code ; Sex Code </v>
      </c>
      <c r="N2072" s="297" t="s">
        <v>197</v>
      </c>
      <c r="O2072" s="297" t="s">
        <v>198</v>
      </c>
      <c r="P2072" s="297" t="s">
        <v>199</v>
      </c>
      <c r="Q2072" s="297" t="s">
        <v>200</v>
      </c>
      <c r="R2072" s="297" t="s">
        <v>213</v>
      </c>
      <c r="S2072" s="297" t="s">
        <v>214</v>
      </c>
    </row>
    <row r="2073" spans="1:19" x14ac:dyDescent="0.4">
      <c r="A2073" s="291"/>
      <c r="B2073" s="292"/>
      <c r="C2073" s="312"/>
      <c r="D2073" s="292"/>
      <c r="E2073" s="489"/>
      <c r="F2073" s="489"/>
      <c r="G2073" s="490"/>
      <c r="H2073" s="520"/>
      <c r="I2073" s="523"/>
      <c r="J2073" s="521"/>
      <c r="K2073" s="522"/>
      <c r="M2073" s="301" t="str">
        <f>N2073&amp;AS[[#This Row],[Insurer Code]]&amp;"; "&amp;O2073&amp;AS[[#This Row],[Reporting Year]]&amp;"; "&amp;P2073&amp;AS[[#This Row],[Insurance Category Code]]&amp;"; "&amp;Q2073&amp;AS[[#This Row],[Large Provider Entity Code]]&amp;"; "&amp;R2073&amp;AS[[#This Row],[Age Band Code]]&amp;"; "&amp;S2073&amp;AS[[#This Row],[Sex Code]]</f>
        <v xml:space="preserve">Insurer Code ; Reporting Year ; Insurance Category Code ; Large Provider Entity Code ; Age Band Code ; Sex Code </v>
      </c>
      <c r="N2073" s="297" t="s">
        <v>197</v>
      </c>
      <c r="O2073" s="297" t="s">
        <v>198</v>
      </c>
      <c r="P2073" s="297" t="s">
        <v>199</v>
      </c>
      <c r="Q2073" s="297" t="s">
        <v>200</v>
      </c>
      <c r="R2073" s="297" t="s">
        <v>213</v>
      </c>
      <c r="S2073" s="297" t="s">
        <v>214</v>
      </c>
    </row>
    <row r="2074" spans="1:19" x14ac:dyDescent="0.4">
      <c r="A2074" s="291"/>
      <c r="B2074" s="292"/>
      <c r="C2074" s="312"/>
      <c r="D2074" s="292"/>
      <c r="E2074" s="489"/>
      <c r="F2074" s="489"/>
      <c r="G2074" s="490"/>
      <c r="H2074" s="520"/>
      <c r="I2074" s="523"/>
      <c r="J2074" s="521"/>
      <c r="K2074" s="522"/>
      <c r="M2074" s="301" t="str">
        <f>N2074&amp;AS[[#This Row],[Insurer Code]]&amp;"; "&amp;O2074&amp;AS[[#This Row],[Reporting Year]]&amp;"; "&amp;P2074&amp;AS[[#This Row],[Insurance Category Code]]&amp;"; "&amp;Q2074&amp;AS[[#This Row],[Large Provider Entity Code]]&amp;"; "&amp;R2074&amp;AS[[#This Row],[Age Band Code]]&amp;"; "&amp;S2074&amp;AS[[#This Row],[Sex Code]]</f>
        <v xml:space="preserve">Insurer Code ; Reporting Year ; Insurance Category Code ; Large Provider Entity Code ; Age Band Code ; Sex Code </v>
      </c>
      <c r="N2074" s="297" t="s">
        <v>197</v>
      </c>
      <c r="O2074" s="297" t="s">
        <v>198</v>
      </c>
      <c r="P2074" s="297" t="s">
        <v>199</v>
      </c>
      <c r="Q2074" s="297" t="s">
        <v>200</v>
      </c>
      <c r="R2074" s="297" t="s">
        <v>213</v>
      </c>
      <c r="S2074" s="297" t="s">
        <v>214</v>
      </c>
    </row>
    <row r="2075" spans="1:19" x14ac:dyDescent="0.4">
      <c r="A2075" s="291"/>
      <c r="B2075" s="292"/>
      <c r="C2075" s="312"/>
      <c r="D2075" s="292"/>
      <c r="E2075" s="489"/>
      <c r="F2075" s="489"/>
      <c r="G2075" s="490"/>
      <c r="H2075" s="520"/>
      <c r="I2075" s="523"/>
      <c r="J2075" s="521"/>
      <c r="K2075" s="522"/>
      <c r="M2075" s="301" t="str">
        <f>N2075&amp;AS[[#This Row],[Insurer Code]]&amp;"; "&amp;O2075&amp;AS[[#This Row],[Reporting Year]]&amp;"; "&amp;P2075&amp;AS[[#This Row],[Insurance Category Code]]&amp;"; "&amp;Q2075&amp;AS[[#This Row],[Large Provider Entity Code]]&amp;"; "&amp;R2075&amp;AS[[#This Row],[Age Band Code]]&amp;"; "&amp;S2075&amp;AS[[#This Row],[Sex Code]]</f>
        <v xml:space="preserve">Insurer Code ; Reporting Year ; Insurance Category Code ; Large Provider Entity Code ; Age Band Code ; Sex Code </v>
      </c>
      <c r="N2075" s="297" t="s">
        <v>197</v>
      </c>
      <c r="O2075" s="297" t="s">
        <v>198</v>
      </c>
      <c r="P2075" s="297" t="s">
        <v>199</v>
      </c>
      <c r="Q2075" s="297" t="s">
        <v>200</v>
      </c>
      <c r="R2075" s="297" t="s">
        <v>213</v>
      </c>
      <c r="S2075" s="297" t="s">
        <v>214</v>
      </c>
    </row>
    <row r="2076" spans="1:19" x14ac:dyDescent="0.4">
      <c r="A2076" s="291"/>
      <c r="B2076" s="292"/>
      <c r="C2076" s="312"/>
      <c r="D2076" s="292"/>
      <c r="E2076" s="489"/>
      <c r="F2076" s="489"/>
      <c r="G2076" s="490"/>
      <c r="H2076" s="520"/>
      <c r="I2076" s="523"/>
      <c r="J2076" s="521"/>
      <c r="K2076" s="522"/>
      <c r="M2076" s="301" t="str">
        <f>N2076&amp;AS[[#This Row],[Insurer Code]]&amp;"; "&amp;O2076&amp;AS[[#This Row],[Reporting Year]]&amp;"; "&amp;P2076&amp;AS[[#This Row],[Insurance Category Code]]&amp;"; "&amp;Q2076&amp;AS[[#This Row],[Large Provider Entity Code]]&amp;"; "&amp;R2076&amp;AS[[#This Row],[Age Band Code]]&amp;"; "&amp;S2076&amp;AS[[#This Row],[Sex Code]]</f>
        <v xml:space="preserve">Insurer Code ; Reporting Year ; Insurance Category Code ; Large Provider Entity Code ; Age Band Code ; Sex Code </v>
      </c>
      <c r="N2076" s="297" t="s">
        <v>197</v>
      </c>
      <c r="O2076" s="297" t="s">
        <v>198</v>
      </c>
      <c r="P2076" s="297" t="s">
        <v>199</v>
      </c>
      <c r="Q2076" s="297" t="s">
        <v>200</v>
      </c>
      <c r="R2076" s="297" t="s">
        <v>213</v>
      </c>
      <c r="S2076" s="297" t="s">
        <v>214</v>
      </c>
    </row>
    <row r="2077" spans="1:19" x14ac:dyDescent="0.4">
      <c r="A2077" s="291"/>
      <c r="B2077" s="292"/>
      <c r="C2077" s="312"/>
      <c r="D2077" s="292"/>
      <c r="E2077" s="489"/>
      <c r="F2077" s="489"/>
      <c r="G2077" s="490"/>
      <c r="H2077" s="520"/>
      <c r="I2077" s="523"/>
      <c r="J2077" s="521"/>
      <c r="K2077" s="522"/>
      <c r="M2077" s="301" t="str">
        <f>N2077&amp;AS[[#This Row],[Insurer Code]]&amp;"; "&amp;O2077&amp;AS[[#This Row],[Reporting Year]]&amp;"; "&amp;P2077&amp;AS[[#This Row],[Insurance Category Code]]&amp;"; "&amp;Q2077&amp;AS[[#This Row],[Large Provider Entity Code]]&amp;"; "&amp;R2077&amp;AS[[#This Row],[Age Band Code]]&amp;"; "&amp;S2077&amp;AS[[#This Row],[Sex Code]]</f>
        <v xml:space="preserve">Insurer Code ; Reporting Year ; Insurance Category Code ; Large Provider Entity Code ; Age Band Code ; Sex Code </v>
      </c>
      <c r="N2077" s="297" t="s">
        <v>197</v>
      </c>
      <c r="O2077" s="297" t="s">
        <v>198</v>
      </c>
      <c r="P2077" s="297" t="s">
        <v>199</v>
      </c>
      <c r="Q2077" s="297" t="s">
        <v>200</v>
      </c>
      <c r="R2077" s="297" t="s">
        <v>213</v>
      </c>
      <c r="S2077" s="297" t="s">
        <v>214</v>
      </c>
    </row>
    <row r="2078" spans="1:19" x14ac:dyDescent="0.4">
      <c r="A2078" s="291"/>
      <c r="B2078" s="292"/>
      <c r="C2078" s="312"/>
      <c r="D2078" s="292"/>
      <c r="E2078" s="489"/>
      <c r="F2078" s="489"/>
      <c r="G2078" s="490"/>
      <c r="H2078" s="520"/>
      <c r="I2078" s="523"/>
      <c r="J2078" s="521"/>
      <c r="K2078" s="522"/>
      <c r="M2078" s="301" t="str">
        <f>N2078&amp;AS[[#This Row],[Insurer Code]]&amp;"; "&amp;O2078&amp;AS[[#This Row],[Reporting Year]]&amp;"; "&amp;P2078&amp;AS[[#This Row],[Insurance Category Code]]&amp;"; "&amp;Q2078&amp;AS[[#This Row],[Large Provider Entity Code]]&amp;"; "&amp;R2078&amp;AS[[#This Row],[Age Band Code]]&amp;"; "&amp;S2078&amp;AS[[#This Row],[Sex Code]]</f>
        <v xml:space="preserve">Insurer Code ; Reporting Year ; Insurance Category Code ; Large Provider Entity Code ; Age Band Code ; Sex Code </v>
      </c>
      <c r="N2078" s="297" t="s">
        <v>197</v>
      </c>
      <c r="O2078" s="297" t="s">
        <v>198</v>
      </c>
      <c r="P2078" s="297" t="s">
        <v>199</v>
      </c>
      <c r="Q2078" s="297" t="s">
        <v>200</v>
      </c>
      <c r="R2078" s="297" t="s">
        <v>213</v>
      </c>
      <c r="S2078" s="297" t="s">
        <v>214</v>
      </c>
    </row>
    <row r="2079" spans="1:19" x14ac:dyDescent="0.4">
      <c r="A2079" s="291"/>
      <c r="B2079" s="292"/>
      <c r="C2079" s="312"/>
      <c r="D2079" s="292"/>
      <c r="E2079" s="489"/>
      <c r="F2079" s="489"/>
      <c r="G2079" s="490"/>
      <c r="H2079" s="520"/>
      <c r="I2079" s="523"/>
      <c r="J2079" s="521"/>
      <c r="K2079" s="522"/>
      <c r="M2079" s="301" t="str">
        <f>N2079&amp;AS[[#This Row],[Insurer Code]]&amp;"; "&amp;O2079&amp;AS[[#This Row],[Reporting Year]]&amp;"; "&amp;P2079&amp;AS[[#This Row],[Insurance Category Code]]&amp;"; "&amp;Q2079&amp;AS[[#This Row],[Large Provider Entity Code]]&amp;"; "&amp;R2079&amp;AS[[#This Row],[Age Band Code]]&amp;"; "&amp;S2079&amp;AS[[#This Row],[Sex Code]]</f>
        <v xml:space="preserve">Insurer Code ; Reporting Year ; Insurance Category Code ; Large Provider Entity Code ; Age Band Code ; Sex Code </v>
      </c>
      <c r="N2079" s="297" t="s">
        <v>197</v>
      </c>
      <c r="O2079" s="297" t="s">
        <v>198</v>
      </c>
      <c r="P2079" s="297" t="s">
        <v>199</v>
      </c>
      <c r="Q2079" s="297" t="s">
        <v>200</v>
      </c>
      <c r="R2079" s="297" t="s">
        <v>213</v>
      </c>
      <c r="S2079" s="297" t="s">
        <v>214</v>
      </c>
    </row>
    <row r="2080" spans="1:19" x14ac:dyDescent="0.4">
      <c r="A2080" s="291"/>
      <c r="B2080" s="292"/>
      <c r="C2080" s="312"/>
      <c r="D2080" s="292"/>
      <c r="E2080" s="489"/>
      <c r="F2080" s="489"/>
      <c r="G2080" s="490"/>
      <c r="H2080" s="520"/>
      <c r="I2080" s="523"/>
      <c r="J2080" s="521"/>
      <c r="K2080" s="522"/>
      <c r="M2080" s="301" t="str">
        <f>N2080&amp;AS[[#This Row],[Insurer Code]]&amp;"; "&amp;O2080&amp;AS[[#This Row],[Reporting Year]]&amp;"; "&amp;P2080&amp;AS[[#This Row],[Insurance Category Code]]&amp;"; "&amp;Q2080&amp;AS[[#This Row],[Large Provider Entity Code]]&amp;"; "&amp;R2080&amp;AS[[#This Row],[Age Band Code]]&amp;"; "&amp;S2080&amp;AS[[#This Row],[Sex Code]]</f>
        <v xml:space="preserve">Insurer Code ; Reporting Year ; Insurance Category Code ; Large Provider Entity Code ; Age Band Code ; Sex Code </v>
      </c>
      <c r="N2080" s="297" t="s">
        <v>197</v>
      </c>
      <c r="O2080" s="297" t="s">
        <v>198</v>
      </c>
      <c r="P2080" s="297" t="s">
        <v>199</v>
      </c>
      <c r="Q2080" s="297" t="s">
        <v>200</v>
      </c>
      <c r="R2080" s="297" t="s">
        <v>213</v>
      </c>
      <c r="S2080" s="297" t="s">
        <v>214</v>
      </c>
    </row>
    <row r="2081" spans="1:19" x14ac:dyDescent="0.4">
      <c r="A2081" s="291"/>
      <c r="B2081" s="292"/>
      <c r="C2081" s="312"/>
      <c r="D2081" s="292"/>
      <c r="E2081" s="489"/>
      <c r="F2081" s="489"/>
      <c r="G2081" s="490"/>
      <c r="H2081" s="520"/>
      <c r="I2081" s="523"/>
      <c r="J2081" s="521"/>
      <c r="K2081" s="522"/>
      <c r="M2081" s="301" t="str">
        <f>N2081&amp;AS[[#This Row],[Insurer Code]]&amp;"; "&amp;O2081&amp;AS[[#This Row],[Reporting Year]]&amp;"; "&amp;P2081&amp;AS[[#This Row],[Insurance Category Code]]&amp;"; "&amp;Q2081&amp;AS[[#This Row],[Large Provider Entity Code]]&amp;"; "&amp;R2081&amp;AS[[#This Row],[Age Band Code]]&amp;"; "&amp;S2081&amp;AS[[#This Row],[Sex Code]]</f>
        <v xml:space="preserve">Insurer Code ; Reporting Year ; Insurance Category Code ; Large Provider Entity Code ; Age Band Code ; Sex Code </v>
      </c>
      <c r="N2081" s="297" t="s">
        <v>197</v>
      </c>
      <c r="O2081" s="297" t="s">
        <v>198</v>
      </c>
      <c r="P2081" s="297" t="s">
        <v>199</v>
      </c>
      <c r="Q2081" s="297" t="s">
        <v>200</v>
      </c>
      <c r="R2081" s="297" t="s">
        <v>213</v>
      </c>
      <c r="S2081" s="297" t="s">
        <v>214</v>
      </c>
    </row>
    <row r="2082" spans="1:19" x14ac:dyDescent="0.4">
      <c r="A2082" s="291"/>
      <c r="B2082" s="292"/>
      <c r="C2082" s="312"/>
      <c r="D2082" s="292"/>
      <c r="E2082" s="489"/>
      <c r="F2082" s="489"/>
      <c r="G2082" s="490"/>
      <c r="H2082" s="520"/>
      <c r="I2082" s="523"/>
      <c r="J2082" s="521"/>
      <c r="K2082" s="522"/>
      <c r="M2082" s="301" t="str">
        <f>N2082&amp;AS[[#This Row],[Insurer Code]]&amp;"; "&amp;O2082&amp;AS[[#This Row],[Reporting Year]]&amp;"; "&amp;P2082&amp;AS[[#This Row],[Insurance Category Code]]&amp;"; "&amp;Q2082&amp;AS[[#This Row],[Large Provider Entity Code]]&amp;"; "&amp;R2082&amp;AS[[#This Row],[Age Band Code]]&amp;"; "&amp;S2082&amp;AS[[#This Row],[Sex Code]]</f>
        <v xml:space="preserve">Insurer Code ; Reporting Year ; Insurance Category Code ; Large Provider Entity Code ; Age Band Code ; Sex Code </v>
      </c>
      <c r="N2082" s="297" t="s">
        <v>197</v>
      </c>
      <c r="O2082" s="297" t="s">
        <v>198</v>
      </c>
      <c r="P2082" s="297" t="s">
        <v>199</v>
      </c>
      <c r="Q2082" s="297" t="s">
        <v>200</v>
      </c>
      <c r="R2082" s="297" t="s">
        <v>213</v>
      </c>
      <c r="S2082" s="297" t="s">
        <v>214</v>
      </c>
    </row>
    <row r="2083" spans="1:19" x14ac:dyDescent="0.4">
      <c r="A2083" s="291"/>
      <c r="B2083" s="292"/>
      <c r="C2083" s="312"/>
      <c r="D2083" s="292"/>
      <c r="E2083" s="489"/>
      <c r="F2083" s="489"/>
      <c r="G2083" s="490"/>
      <c r="H2083" s="520"/>
      <c r="I2083" s="523"/>
      <c r="J2083" s="521"/>
      <c r="K2083" s="522"/>
      <c r="M2083" s="301" t="str">
        <f>N2083&amp;AS[[#This Row],[Insurer Code]]&amp;"; "&amp;O2083&amp;AS[[#This Row],[Reporting Year]]&amp;"; "&amp;P2083&amp;AS[[#This Row],[Insurance Category Code]]&amp;"; "&amp;Q2083&amp;AS[[#This Row],[Large Provider Entity Code]]&amp;"; "&amp;R2083&amp;AS[[#This Row],[Age Band Code]]&amp;"; "&amp;S2083&amp;AS[[#This Row],[Sex Code]]</f>
        <v xml:space="preserve">Insurer Code ; Reporting Year ; Insurance Category Code ; Large Provider Entity Code ; Age Band Code ; Sex Code </v>
      </c>
      <c r="N2083" s="297" t="s">
        <v>197</v>
      </c>
      <c r="O2083" s="297" t="s">
        <v>198</v>
      </c>
      <c r="P2083" s="297" t="s">
        <v>199</v>
      </c>
      <c r="Q2083" s="297" t="s">
        <v>200</v>
      </c>
      <c r="R2083" s="297" t="s">
        <v>213</v>
      </c>
      <c r="S2083" s="297" t="s">
        <v>214</v>
      </c>
    </row>
    <row r="2084" spans="1:19" x14ac:dyDescent="0.4">
      <c r="A2084" s="291"/>
      <c r="B2084" s="292"/>
      <c r="C2084" s="312"/>
      <c r="D2084" s="292"/>
      <c r="E2084" s="489"/>
      <c r="F2084" s="489"/>
      <c r="G2084" s="490"/>
      <c r="H2084" s="520"/>
      <c r="I2084" s="523"/>
      <c r="J2084" s="521"/>
      <c r="K2084" s="522"/>
      <c r="M2084" s="301" t="str">
        <f>N2084&amp;AS[[#This Row],[Insurer Code]]&amp;"; "&amp;O2084&amp;AS[[#This Row],[Reporting Year]]&amp;"; "&amp;P2084&amp;AS[[#This Row],[Insurance Category Code]]&amp;"; "&amp;Q2084&amp;AS[[#This Row],[Large Provider Entity Code]]&amp;"; "&amp;R2084&amp;AS[[#This Row],[Age Band Code]]&amp;"; "&amp;S2084&amp;AS[[#This Row],[Sex Code]]</f>
        <v xml:space="preserve">Insurer Code ; Reporting Year ; Insurance Category Code ; Large Provider Entity Code ; Age Band Code ; Sex Code </v>
      </c>
      <c r="N2084" s="297" t="s">
        <v>197</v>
      </c>
      <c r="O2084" s="297" t="s">
        <v>198</v>
      </c>
      <c r="P2084" s="297" t="s">
        <v>199</v>
      </c>
      <c r="Q2084" s="297" t="s">
        <v>200</v>
      </c>
      <c r="R2084" s="297" t="s">
        <v>213</v>
      </c>
      <c r="S2084" s="297" t="s">
        <v>214</v>
      </c>
    </row>
    <row r="2085" spans="1:19" x14ac:dyDescent="0.4">
      <c r="A2085" s="291"/>
      <c r="B2085" s="292"/>
      <c r="C2085" s="312"/>
      <c r="D2085" s="292"/>
      <c r="E2085" s="489"/>
      <c r="F2085" s="489"/>
      <c r="G2085" s="490"/>
      <c r="H2085" s="520"/>
      <c r="I2085" s="523"/>
      <c r="J2085" s="521"/>
      <c r="K2085" s="522"/>
      <c r="M2085" s="301" t="str">
        <f>N2085&amp;AS[[#This Row],[Insurer Code]]&amp;"; "&amp;O2085&amp;AS[[#This Row],[Reporting Year]]&amp;"; "&amp;P2085&amp;AS[[#This Row],[Insurance Category Code]]&amp;"; "&amp;Q2085&amp;AS[[#This Row],[Large Provider Entity Code]]&amp;"; "&amp;R2085&amp;AS[[#This Row],[Age Band Code]]&amp;"; "&amp;S2085&amp;AS[[#This Row],[Sex Code]]</f>
        <v xml:space="preserve">Insurer Code ; Reporting Year ; Insurance Category Code ; Large Provider Entity Code ; Age Band Code ; Sex Code </v>
      </c>
      <c r="N2085" s="297" t="s">
        <v>197</v>
      </c>
      <c r="O2085" s="297" t="s">
        <v>198</v>
      </c>
      <c r="P2085" s="297" t="s">
        <v>199</v>
      </c>
      <c r="Q2085" s="297" t="s">
        <v>200</v>
      </c>
      <c r="R2085" s="297" t="s">
        <v>213</v>
      </c>
      <c r="S2085" s="297" t="s">
        <v>214</v>
      </c>
    </row>
    <row r="2086" spans="1:19" x14ac:dyDescent="0.4">
      <c r="A2086" s="291"/>
      <c r="B2086" s="292"/>
      <c r="C2086" s="312"/>
      <c r="D2086" s="292"/>
      <c r="E2086" s="489"/>
      <c r="F2086" s="489"/>
      <c r="G2086" s="490"/>
      <c r="H2086" s="520"/>
      <c r="I2086" s="523"/>
      <c r="J2086" s="521"/>
      <c r="K2086" s="522"/>
      <c r="M2086" s="301" t="str">
        <f>N2086&amp;AS[[#This Row],[Insurer Code]]&amp;"; "&amp;O2086&amp;AS[[#This Row],[Reporting Year]]&amp;"; "&amp;P2086&amp;AS[[#This Row],[Insurance Category Code]]&amp;"; "&amp;Q2086&amp;AS[[#This Row],[Large Provider Entity Code]]&amp;"; "&amp;R2086&amp;AS[[#This Row],[Age Band Code]]&amp;"; "&amp;S2086&amp;AS[[#This Row],[Sex Code]]</f>
        <v xml:space="preserve">Insurer Code ; Reporting Year ; Insurance Category Code ; Large Provider Entity Code ; Age Band Code ; Sex Code </v>
      </c>
      <c r="N2086" s="297" t="s">
        <v>197</v>
      </c>
      <c r="O2086" s="297" t="s">
        <v>198</v>
      </c>
      <c r="P2086" s="297" t="s">
        <v>199</v>
      </c>
      <c r="Q2086" s="297" t="s">
        <v>200</v>
      </c>
      <c r="R2086" s="297" t="s">
        <v>213</v>
      </c>
      <c r="S2086" s="297" t="s">
        <v>214</v>
      </c>
    </row>
    <row r="2087" spans="1:19" x14ac:dyDescent="0.4">
      <c r="A2087" s="291"/>
      <c r="B2087" s="292"/>
      <c r="C2087" s="312"/>
      <c r="D2087" s="292"/>
      <c r="E2087" s="489"/>
      <c r="F2087" s="489"/>
      <c r="G2087" s="490"/>
      <c r="H2087" s="520"/>
      <c r="I2087" s="523"/>
      <c r="J2087" s="521"/>
      <c r="K2087" s="522"/>
      <c r="M2087" s="301" t="str">
        <f>N2087&amp;AS[[#This Row],[Insurer Code]]&amp;"; "&amp;O2087&amp;AS[[#This Row],[Reporting Year]]&amp;"; "&amp;P2087&amp;AS[[#This Row],[Insurance Category Code]]&amp;"; "&amp;Q2087&amp;AS[[#This Row],[Large Provider Entity Code]]&amp;"; "&amp;R2087&amp;AS[[#This Row],[Age Band Code]]&amp;"; "&amp;S2087&amp;AS[[#This Row],[Sex Code]]</f>
        <v xml:space="preserve">Insurer Code ; Reporting Year ; Insurance Category Code ; Large Provider Entity Code ; Age Band Code ; Sex Code </v>
      </c>
      <c r="N2087" s="297" t="s">
        <v>197</v>
      </c>
      <c r="O2087" s="297" t="s">
        <v>198</v>
      </c>
      <c r="P2087" s="297" t="s">
        <v>199</v>
      </c>
      <c r="Q2087" s="297" t="s">
        <v>200</v>
      </c>
      <c r="R2087" s="297" t="s">
        <v>213</v>
      </c>
      <c r="S2087" s="297" t="s">
        <v>214</v>
      </c>
    </row>
    <row r="2088" spans="1:19" x14ac:dyDescent="0.4">
      <c r="A2088" s="291"/>
      <c r="B2088" s="292"/>
      <c r="C2088" s="312"/>
      <c r="D2088" s="292"/>
      <c r="E2088" s="489"/>
      <c r="F2088" s="489"/>
      <c r="G2088" s="490"/>
      <c r="H2088" s="520"/>
      <c r="I2088" s="523"/>
      <c r="J2088" s="521"/>
      <c r="K2088" s="522"/>
      <c r="M2088" s="301" t="str">
        <f>N2088&amp;AS[[#This Row],[Insurer Code]]&amp;"; "&amp;O2088&amp;AS[[#This Row],[Reporting Year]]&amp;"; "&amp;P2088&amp;AS[[#This Row],[Insurance Category Code]]&amp;"; "&amp;Q2088&amp;AS[[#This Row],[Large Provider Entity Code]]&amp;"; "&amp;R2088&amp;AS[[#This Row],[Age Band Code]]&amp;"; "&amp;S2088&amp;AS[[#This Row],[Sex Code]]</f>
        <v xml:space="preserve">Insurer Code ; Reporting Year ; Insurance Category Code ; Large Provider Entity Code ; Age Band Code ; Sex Code </v>
      </c>
      <c r="N2088" s="297" t="s">
        <v>197</v>
      </c>
      <c r="O2088" s="297" t="s">
        <v>198</v>
      </c>
      <c r="P2088" s="297" t="s">
        <v>199</v>
      </c>
      <c r="Q2088" s="297" t="s">
        <v>200</v>
      </c>
      <c r="R2088" s="297" t="s">
        <v>213</v>
      </c>
      <c r="S2088" s="297" t="s">
        <v>214</v>
      </c>
    </row>
    <row r="2089" spans="1:19" x14ac:dyDescent="0.4">
      <c r="A2089" s="291"/>
      <c r="B2089" s="292"/>
      <c r="C2089" s="312"/>
      <c r="D2089" s="292"/>
      <c r="E2089" s="489"/>
      <c r="F2089" s="489"/>
      <c r="G2089" s="490"/>
      <c r="H2089" s="520"/>
      <c r="I2089" s="523"/>
      <c r="J2089" s="521"/>
      <c r="K2089" s="522"/>
      <c r="M2089" s="301" t="str">
        <f>N2089&amp;AS[[#This Row],[Insurer Code]]&amp;"; "&amp;O2089&amp;AS[[#This Row],[Reporting Year]]&amp;"; "&amp;P2089&amp;AS[[#This Row],[Insurance Category Code]]&amp;"; "&amp;Q2089&amp;AS[[#This Row],[Large Provider Entity Code]]&amp;"; "&amp;R2089&amp;AS[[#This Row],[Age Band Code]]&amp;"; "&amp;S2089&amp;AS[[#This Row],[Sex Code]]</f>
        <v xml:space="preserve">Insurer Code ; Reporting Year ; Insurance Category Code ; Large Provider Entity Code ; Age Band Code ; Sex Code </v>
      </c>
      <c r="N2089" s="297" t="s">
        <v>197</v>
      </c>
      <c r="O2089" s="297" t="s">
        <v>198</v>
      </c>
      <c r="P2089" s="297" t="s">
        <v>199</v>
      </c>
      <c r="Q2089" s="297" t="s">
        <v>200</v>
      </c>
      <c r="R2089" s="297" t="s">
        <v>213</v>
      </c>
      <c r="S2089" s="297" t="s">
        <v>214</v>
      </c>
    </row>
    <row r="2090" spans="1:19" x14ac:dyDescent="0.4">
      <c r="A2090" s="291"/>
      <c r="B2090" s="292"/>
      <c r="C2090" s="312"/>
      <c r="D2090" s="292"/>
      <c r="E2090" s="489"/>
      <c r="F2090" s="489"/>
      <c r="G2090" s="490"/>
      <c r="H2090" s="520"/>
      <c r="I2090" s="523"/>
      <c r="J2090" s="521"/>
      <c r="K2090" s="522"/>
      <c r="M2090" s="301" t="str">
        <f>N2090&amp;AS[[#This Row],[Insurer Code]]&amp;"; "&amp;O2090&amp;AS[[#This Row],[Reporting Year]]&amp;"; "&amp;P2090&amp;AS[[#This Row],[Insurance Category Code]]&amp;"; "&amp;Q2090&amp;AS[[#This Row],[Large Provider Entity Code]]&amp;"; "&amp;R2090&amp;AS[[#This Row],[Age Band Code]]&amp;"; "&amp;S2090&amp;AS[[#This Row],[Sex Code]]</f>
        <v xml:space="preserve">Insurer Code ; Reporting Year ; Insurance Category Code ; Large Provider Entity Code ; Age Band Code ; Sex Code </v>
      </c>
      <c r="N2090" s="297" t="s">
        <v>197</v>
      </c>
      <c r="O2090" s="297" t="s">
        <v>198</v>
      </c>
      <c r="P2090" s="297" t="s">
        <v>199</v>
      </c>
      <c r="Q2090" s="297" t="s">
        <v>200</v>
      </c>
      <c r="R2090" s="297" t="s">
        <v>213</v>
      </c>
      <c r="S2090" s="297" t="s">
        <v>214</v>
      </c>
    </row>
    <row r="2091" spans="1:19" x14ac:dyDescent="0.4">
      <c r="A2091" s="291"/>
      <c r="B2091" s="292"/>
      <c r="C2091" s="312"/>
      <c r="D2091" s="292"/>
      <c r="E2091" s="489"/>
      <c r="F2091" s="489"/>
      <c r="G2091" s="490"/>
      <c r="H2091" s="520"/>
      <c r="I2091" s="523"/>
      <c r="J2091" s="521"/>
      <c r="K2091" s="522"/>
      <c r="M2091" s="301" t="str">
        <f>N2091&amp;AS[[#This Row],[Insurer Code]]&amp;"; "&amp;O2091&amp;AS[[#This Row],[Reporting Year]]&amp;"; "&amp;P2091&amp;AS[[#This Row],[Insurance Category Code]]&amp;"; "&amp;Q2091&amp;AS[[#This Row],[Large Provider Entity Code]]&amp;"; "&amp;R2091&amp;AS[[#This Row],[Age Band Code]]&amp;"; "&amp;S2091&amp;AS[[#This Row],[Sex Code]]</f>
        <v xml:space="preserve">Insurer Code ; Reporting Year ; Insurance Category Code ; Large Provider Entity Code ; Age Band Code ; Sex Code </v>
      </c>
      <c r="N2091" s="297" t="s">
        <v>197</v>
      </c>
      <c r="O2091" s="297" t="s">
        <v>198</v>
      </c>
      <c r="P2091" s="297" t="s">
        <v>199</v>
      </c>
      <c r="Q2091" s="297" t="s">
        <v>200</v>
      </c>
      <c r="R2091" s="297" t="s">
        <v>213</v>
      </c>
      <c r="S2091" s="297" t="s">
        <v>214</v>
      </c>
    </row>
    <row r="2092" spans="1:19" x14ac:dyDescent="0.4">
      <c r="A2092" s="291"/>
      <c r="B2092" s="292"/>
      <c r="C2092" s="312"/>
      <c r="D2092" s="292"/>
      <c r="E2092" s="489"/>
      <c r="F2092" s="489"/>
      <c r="G2092" s="490"/>
      <c r="H2092" s="520"/>
      <c r="I2092" s="523"/>
      <c r="J2092" s="521"/>
      <c r="K2092" s="522"/>
      <c r="M2092" s="301" t="str">
        <f>N2092&amp;AS[[#This Row],[Insurer Code]]&amp;"; "&amp;O2092&amp;AS[[#This Row],[Reporting Year]]&amp;"; "&amp;P2092&amp;AS[[#This Row],[Insurance Category Code]]&amp;"; "&amp;Q2092&amp;AS[[#This Row],[Large Provider Entity Code]]&amp;"; "&amp;R2092&amp;AS[[#This Row],[Age Band Code]]&amp;"; "&amp;S2092&amp;AS[[#This Row],[Sex Code]]</f>
        <v xml:space="preserve">Insurer Code ; Reporting Year ; Insurance Category Code ; Large Provider Entity Code ; Age Band Code ; Sex Code </v>
      </c>
      <c r="N2092" s="297" t="s">
        <v>197</v>
      </c>
      <c r="O2092" s="297" t="s">
        <v>198</v>
      </c>
      <c r="P2092" s="297" t="s">
        <v>199</v>
      </c>
      <c r="Q2092" s="297" t="s">
        <v>200</v>
      </c>
      <c r="R2092" s="297" t="s">
        <v>213</v>
      </c>
      <c r="S2092" s="297" t="s">
        <v>214</v>
      </c>
    </row>
    <row r="2093" spans="1:19" x14ac:dyDescent="0.4">
      <c r="A2093" s="291"/>
      <c r="B2093" s="292"/>
      <c r="C2093" s="312"/>
      <c r="D2093" s="292"/>
      <c r="E2093" s="489"/>
      <c r="F2093" s="489"/>
      <c r="G2093" s="490"/>
      <c r="H2093" s="520"/>
      <c r="I2093" s="523"/>
      <c r="J2093" s="521"/>
      <c r="K2093" s="522"/>
      <c r="M2093" s="301" t="str">
        <f>N2093&amp;AS[[#This Row],[Insurer Code]]&amp;"; "&amp;O2093&amp;AS[[#This Row],[Reporting Year]]&amp;"; "&amp;P2093&amp;AS[[#This Row],[Insurance Category Code]]&amp;"; "&amp;Q2093&amp;AS[[#This Row],[Large Provider Entity Code]]&amp;"; "&amp;R2093&amp;AS[[#This Row],[Age Band Code]]&amp;"; "&amp;S2093&amp;AS[[#This Row],[Sex Code]]</f>
        <v xml:space="preserve">Insurer Code ; Reporting Year ; Insurance Category Code ; Large Provider Entity Code ; Age Band Code ; Sex Code </v>
      </c>
      <c r="N2093" s="297" t="s">
        <v>197</v>
      </c>
      <c r="O2093" s="297" t="s">
        <v>198</v>
      </c>
      <c r="P2093" s="297" t="s">
        <v>199</v>
      </c>
      <c r="Q2093" s="297" t="s">
        <v>200</v>
      </c>
      <c r="R2093" s="297" t="s">
        <v>213</v>
      </c>
      <c r="S2093" s="297" t="s">
        <v>214</v>
      </c>
    </row>
    <row r="2094" spans="1:19" x14ac:dyDescent="0.4">
      <c r="A2094" s="291"/>
      <c r="B2094" s="292"/>
      <c r="C2094" s="312"/>
      <c r="D2094" s="292"/>
      <c r="E2094" s="489"/>
      <c r="F2094" s="489"/>
      <c r="G2094" s="490"/>
      <c r="H2094" s="520"/>
      <c r="I2094" s="523"/>
      <c r="J2094" s="521"/>
      <c r="K2094" s="522"/>
      <c r="M2094" s="301" t="str">
        <f>N2094&amp;AS[[#This Row],[Insurer Code]]&amp;"; "&amp;O2094&amp;AS[[#This Row],[Reporting Year]]&amp;"; "&amp;P2094&amp;AS[[#This Row],[Insurance Category Code]]&amp;"; "&amp;Q2094&amp;AS[[#This Row],[Large Provider Entity Code]]&amp;"; "&amp;R2094&amp;AS[[#This Row],[Age Band Code]]&amp;"; "&amp;S2094&amp;AS[[#This Row],[Sex Code]]</f>
        <v xml:space="preserve">Insurer Code ; Reporting Year ; Insurance Category Code ; Large Provider Entity Code ; Age Band Code ; Sex Code </v>
      </c>
      <c r="N2094" s="297" t="s">
        <v>197</v>
      </c>
      <c r="O2094" s="297" t="s">
        <v>198</v>
      </c>
      <c r="P2094" s="297" t="s">
        <v>199</v>
      </c>
      <c r="Q2094" s="297" t="s">
        <v>200</v>
      </c>
      <c r="R2094" s="297" t="s">
        <v>213</v>
      </c>
      <c r="S2094" s="297" t="s">
        <v>214</v>
      </c>
    </row>
    <row r="2095" spans="1:19" x14ac:dyDescent="0.4">
      <c r="A2095" s="291"/>
      <c r="B2095" s="292"/>
      <c r="C2095" s="312"/>
      <c r="D2095" s="292"/>
      <c r="E2095" s="489"/>
      <c r="F2095" s="489"/>
      <c r="G2095" s="490"/>
      <c r="H2095" s="520"/>
      <c r="I2095" s="523"/>
      <c r="J2095" s="521"/>
      <c r="K2095" s="522"/>
      <c r="M2095" s="301" t="str">
        <f>N2095&amp;AS[[#This Row],[Insurer Code]]&amp;"; "&amp;O2095&amp;AS[[#This Row],[Reporting Year]]&amp;"; "&amp;P2095&amp;AS[[#This Row],[Insurance Category Code]]&amp;"; "&amp;Q2095&amp;AS[[#This Row],[Large Provider Entity Code]]&amp;"; "&amp;R2095&amp;AS[[#This Row],[Age Band Code]]&amp;"; "&amp;S2095&amp;AS[[#This Row],[Sex Code]]</f>
        <v xml:space="preserve">Insurer Code ; Reporting Year ; Insurance Category Code ; Large Provider Entity Code ; Age Band Code ; Sex Code </v>
      </c>
      <c r="N2095" s="297" t="s">
        <v>197</v>
      </c>
      <c r="O2095" s="297" t="s">
        <v>198</v>
      </c>
      <c r="P2095" s="297" t="s">
        <v>199</v>
      </c>
      <c r="Q2095" s="297" t="s">
        <v>200</v>
      </c>
      <c r="R2095" s="297" t="s">
        <v>213</v>
      </c>
      <c r="S2095" s="297" t="s">
        <v>214</v>
      </c>
    </row>
    <row r="2096" spans="1:19" x14ac:dyDescent="0.4">
      <c r="A2096" s="291"/>
      <c r="B2096" s="292"/>
      <c r="C2096" s="312"/>
      <c r="D2096" s="292"/>
      <c r="E2096" s="489"/>
      <c r="F2096" s="489"/>
      <c r="G2096" s="490"/>
      <c r="H2096" s="520"/>
      <c r="I2096" s="523"/>
      <c r="J2096" s="521"/>
      <c r="K2096" s="522"/>
      <c r="M2096" s="301" t="str">
        <f>N2096&amp;AS[[#This Row],[Insurer Code]]&amp;"; "&amp;O2096&amp;AS[[#This Row],[Reporting Year]]&amp;"; "&amp;P2096&amp;AS[[#This Row],[Insurance Category Code]]&amp;"; "&amp;Q2096&amp;AS[[#This Row],[Large Provider Entity Code]]&amp;"; "&amp;R2096&amp;AS[[#This Row],[Age Band Code]]&amp;"; "&amp;S2096&amp;AS[[#This Row],[Sex Code]]</f>
        <v xml:space="preserve">Insurer Code ; Reporting Year ; Insurance Category Code ; Large Provider Entity Code ; Age Band Code ; Sex Code </v>
      </c>
      <c r="N2096" s="297" t="s">
        <v>197</v>
      </c>
      <c r="O2096" s="297" t="s">
        <v>198</v>
      </c>
      <c r="P2096" s="297" t="s">
        <v>199</v>
      </c>
      <c r="Q2096" s="297" t="s">
        <v>200</v>
      </c>
      <c r="R2096" s="297" t="s">
        <v>213</v>
      </c>
      <c r="S2096" s="297" t="s">
        <v>214</v>
      </c>
    </row>
    <row r="2097" spans="1:19" x14ac:dyDescent="0.4">
      <c r="A2097" s="291"/>
      <c r="B2097" s="292"/>
      <c r="C2097" s="312"/>
      <c r="D2097" s="292"/>
      <c r="E2097" s="489"/>
      <c r="F2097" s="489"/>
      <c r="G2097" s="490"/>
      <c r="H2097" s="520"/>
      <c r="I2097" s="523"/>
      <c r="J2097" s="521"/>
      <c r="K2097" s="522"/>
      <c r="M2097" s="301" t="str">
        <f>N2097&amp;AS[[#This Row],[Insurer Code]]&amp;"; "&amp;O2097&amp;AS[[#This Row],[Reporting Year]]&amp;"; "&amp;P2097&amp;AS[[#This Row],[Insurance Category Code]]&amp;"; "&amp;Q2097&amp;AS[[#This Row],[Large Provider Entity Code]]&amp;"; "&amp;R2097&amp;AS[[#This Row],[Age Band Code]]&amp;"; "&amp;S2097&amp;AS[[#This Row],[Sex Code]]</f>
        <v xml:space="preserve">Insurer Code ; Reporting Year ; Insurance Category Code ; Large Provider Entity Code ; Age Band Code ; Sex Code </v>
      </c>
      <c r="N2097" s="297" t="s">
        <v>197</v>
      </c>
      <c r="O2097" s="297" t="s">
        <v>198</v>
      </c>
      <c r="P2097" s="297" t="s">
        <v>199</v>
      </c>
      <c r="Q2097" s="297" t="s">
        <v>200</v>
      </c>
      <c r="R2097" s="297" t="s">
        <v>213</v>
      </c>
      <c r="S2097" s="297" t="s">
        <v>214</v>
      </c>
    </row>
    <row r="2098" spans="1:19" x14ac:dyDescent="0.4">
      <c r="A2098" s="291"/>
      <c r="B2098" s="292"/>
      <c r="C2098" s="312"/>
      <c r="D2098" s="292"/>
      <c r="E2098" s="489"/>
      <c r="F2098" s="489"/>
      <c r="G2098" s="490"/>
      <c r="H2098" s="520"/>
      <c r="I2098" s="523"/>
      <c r="J2098" s="521"/>
      <c r="K2098" s="522"/>
      <c r="M2098" s="301" t="str">
        <f>N2098&amp;AS[[#This Row],[Insurer Code]]&amp;"; "&amp;O2098&amp;AS[[#This Row],[Reporting Year]]&amp;"; "&amp;P2098&amp;AS[[#This Row],[Insurance Category Code]]&amp;"; "&amp;Q2098&amp;AS[[#This Row],[Large Provider Entity Code]]&amp;"; "&amp;R2098&amp;AS[[#This Row],[Age Band Code]]&amp;"; "&amp;S2098&amp;AS[[#This Row],[Sex Code]]</f>
        <v xml:space="preserve">Insurer Code ; Reporting Year ; Insurance Category Code ; Large Provider Entity Code ; Age Band Code ; Sex Code </v>
      </c>
      <c r="N2098" s="297" t="s">
        <v>197</v>
      </c>
      <c r="O2098" s="297" t="s">
        <v>198</v>
      </c>
      <c r="P2098" s="297" t="s">
        <v>199</v>
      </c>
      <c r="Q2098" s="297" t="s">
        <v>200</v>
      </c>
      <c r="R2098" s="297" t="s">
        <v>213</v>
      </c>
      <c r="S2098" s="297" t="s">
        <v>214</v>
      </c>
    </row>
    <row r="2099" spans="1:19" x14ac:dyDescent="0.4">
      <c r="A2099" s="291"/>
      <c r="B2099" s="292"/>
      <c r="C2099" s="312"/>
      <c r="D2099" s="292"/>
      <c r="E2099" s="489"/>
      <c r="F2099" s="489"/>
      <c r="G2099" s="490"/>
      <c r="H2099" s="520"/>
      <c r="I2099" s="523"/>
      <c r="J2099" s="521"/>
      <c r="K2099" s="522"/>
      <c r="M2099" s="301" t="str">
        <f>N2099&amp;AS[[#This Row],[Insurer Code]]&amp;"; "&amp;O2099&amp;AS[[#This Row],[Reporting Year]]&amp;"; "&amp;P2099&amp;AS[[#This Row],[Insurance Category Code]]&amp;"; "&amp;Q2099&amp;AS[[#This Row],[Large Provider Entity Code]]&amp;"; "&amp;R2099&amp;AS[[#This Row],[Age Band Code]]&amp;"; "&amp;S2099&amp;AS[[#This Row],[Sex Code]]</f>
        <v xml:space="preserve">Insurer Code ; Reporting Year ; Insurance Category Code ; Large Provider Entity Code ; Age Band Code ; Sex Code </v>
      </c>
      <c r="N2099" s="297" t="s">
        <v>197</v>
      </c>
      <c r="O2099" s="297" t="s">
        <v>198</v>
      </c>
      <c r="P2099" s="297" t="s">
        <v>199</v>
      </c>
      <c r="Q2099" s="297" t="s">
        <v>200</v>
      </c>
      <c r="R2099" s="297" t="s">
        <v>213</v>
      </c>
      <c r="S2099" s="297" t="s">
        <v>214</v>
      </c>
    </row>
    <row r="2100" spans="1:19" x14ac:dyDescent="0.4">
      <c r="A2100" s="291"/>
      <c r="B2100" s="292"/>
      <c r="C2100" s="312"/>
      <c r="D2100" s="292"/>
      <c r="E2100" s="489"/>
      <c r="F2100" s="489"/>
      <c r="G2100" s="490"/>
      <c r="H2100" s="520"/>
      <c r="I2100" s="523"/>
      <c r="J2100" s="521"/>
      <c r="K2100" s="522"/>
      <c r="M2100" s="301" t="str">
        <f>N2100&amp;AS[[#This Row],[Insurer Code]]&amp;"; "&amp;O2100&amp;AS[[#This Row],[Reporting Year]]&amp;"; "&amp;P2100&amp;AS[[#This Row],[Insurance Category Code]]&amp;"; "&amp;Q2100&amp;AS[[#This Row],[Large Provider Entity Code]]&amp;"; "&amp;R2100&amp;AS[[#This Row],[Age Band Code]]&amp;"; "&amp;S2100&amp;AS[[#This Row],[Sex Code]]</f>
        <v xml:space="preserve">Insurer Code ; Reporting Year ; Insurance Category Code ; Large Provider Entity Code ; Age Band Code ; Sex Code </v>
      </c>
      <c r="N2100" s="297" t="s">
        <v>197</v>
      </c>
      <c r="O2100" s="297" t="s">
        <v>198</v>
      </c>
      <c r="P2100" s="297" t="s">
        <v>199</v>
      </c>
      <c r="Q2100" s="297" t="s">
        <v>200</v>
      </c>
      <c r="R2100" s="297" t="s">
        <v>213</v>
      </c>
      <c r="S2100" s="297" t="s">
        <v>214</v>
      </c>
    </row>
    <row r="2101" spans="1:19" x14ac:dyDescent="0.4">
      <c r="A2101" s="291"/>
      <c r="B2101" s="292"/>
      <c r="C2101" s="312"/>
      <c r="D2101" s="292"/>
      <c r="E2101" s="489"/>
      <c r="F2101" s="489"/>
      <c r="G2101" s="490"/>
      <c r="H2101" s="520"/>
      <c r="I2101" s="523"/>
      <c r="J2101" s="521"/>
      <c r="K2101" s="522"/>
      <c r="M2101" s="301" t="str">
        <f>N2101&amp;AS[[#This Row],[Insurer Code]]&amp;"; "&amp;O2101&amp;AS[[#This Row],[Reporting Year]]&amp;"; "&amp;P2101&amp;AS[[#This Row],[Insurance Category Code]]&amp;"; "&amp;Q2101&amp;AS[[#This Row],[Large Provider Entity Code]]&amp;"; "&amp;R2101&amp;AS[[#This Row],[Age Band Code]]&amp;"; "&amp;S2101&amp;AS[[#This Row],[Sex Code]]</f>
        <v xml:space="preserve">Insurer Code ; Reporting Year ; Insurance Category Code ; Large Provider Entity Code ; Age Band Code ; Sex Code </v>
      </c>
      <c r="N2101" s="297" t="s">
        <v>197</v>
      </c>
      <c r="O2101" s="297" t="s">
        <v>198</v>
      </c>
      <c r="P2101" s="297" t="s">
        <v>199</v>
      </c>
      <c r="Q2101" s="297" t="s">
        <v>200</v>
      </c>
      <c r="R2101" s="297" t="s">
        <v>213</v>
      </c>
      <c r="S2101" s="297" t="s">
        <v>214</v>
      </c>
    </row>
    <row r="2102" spans="1:19" x14ac:dyDescent="0.4">
      <c r="A2102" s="291"/>
      <c r="B2102" s="292"/>
      <c r="C2102" s="312"/>
      <c r="D2102" s="292"/>
      <c r="E2102" s="489"/>
      <c r="F2102" s="489"/>
      <c r="G2102" s="490"/>
      <c r="H2102" s="520"/>
      <c r="I2102" s="523"/>
      <c r="J2102" s="521"/>
      <c r="K2102" s="522"/>
      <c r="M2102" s="301" t="str">
        <f>N2102&amp;AS[[#This Row],[Insurer Code]]&amp;"; "&amp;O2102&amp;AS[[#This Row],[Reporting Year]]&amp;"; "&amp;P2102&amp;AS[[#This Row],[Insurance Category Code]]&amp;"; "&amp;Q2102&amp;AS[[#This Row],[Large Provider Entity Code]]&amp;"; "&amp;R2102&amp;AS[[#This Row],[Age Band Code]]&amp;"; "&amp;S2102&amp;AS[[#This Row],[Sex Code]]</f>
        <v xml:space="preserve">Insurer Code ; Reporting Year ; Insurance Category Code ; Large Provider Entity Code ; Age Band Code ; Sex Code </v>
      </c>
      <c r="N2102" s="297" t="s">
        <v>197</v>
      </c>
      <c r="O2102" s="297" t="s">
        <v>198</v>
      </c>
      <c r="P2102" s="297" t="s">
        <v>199</v>
      </c>
      <c r="Q2102" s="297" t="s">
        <v>200</v>
      </c>
      <c r="R2102" s="297" t="s">
        <v>213</v>
      </c>
      <c r="S2102" s="297" t="s">
        <v>214</v>
      </c>
    </row>
    <row r="2103" spans="1:19" x14ac:dyDescent="0.4">
      <c r="A2103" s="291"/>
      <c r="B2103" s="292"/>
      <c r="C2103" s="312"/>
      <c r="D2103" s="292"/>
      <c r="E2103" s="489"/>
      <c r="F2103" s="489"/>
      <c r="G2103" s="490"/>
      <c r="H2103" s="520"/>
      <c r="I2103" s="523"/>
      <c r="J2103" s="521"/>
      <c r="K2103" s="522"/>
      <c r="M2103" s="301" t="str">
        <f>N2103&amp;AS[[#This Row],[Insurer Code]]&amp;"; "&amp;O2103&amp;AS[[#This Row],[Reporting Year]]&amp;"; "&amp;P2103&amp;AS[[#This Row],[Insurance Category Code]]&amp;"; "&amp;Q2103&amp;AS[[#This Row],[Large Provider Entity Code]]&amp;"; "&amp;R2103&amp;AS[[#This Row],[Age Band Code]]&amp;"; "&amp;S2103&amp;AS[[#This Row],[Sex Code]]</f>
        <v xml:space="preserve">Insurer Code ; Reporting Year ; Insurance Category Code ; Large Provider Entity Code ; Age Band Code ; Sex Code </v>
      </c>
      <c r="N2103" s="297" t="s">
        <v>197</v>
      </c>
      <c r="O2103" s="297" t="s">
        <v>198</v>
      </c>
      <c r="P2103" s="297" t="s">
        <v>199</v>
      </c>
      <c r="Q2103" s="297" t="s">
        <v>200</v>
      </c>
      <c r="R2103" s="297" t="s">
        <v>213</v>
      </c>
      <c r="S2103" s="297" t="s">
        <v>214</v>
      </c>
    </row>
    <row r="2104" spans="1:19" x14ac:dyDescent="0.4">
      <c r="A2104" s="291"/>
      <c r="B2104" s="292"/>
      <c r="C2104" s="312"/>
      <c r="D2104" s="292"/>
      <c r="E2104" s="489"/>
      <c r="F2104" s="489"/>
      <c r="G2104" s="490"/>
      <c r="H2104" s="520"/>
      <c r="I2104" s="523"/>
      <c r="J2104" s="521"/>
      <c r="K2104" s="522"/>
      <c r="M2104" s="301" t="str">
        <f>N2104&amp;AS[[#This Row],[Insurer Code]]&amp;"; "&amp;O2104&amp;AS[[#This Row],[Reporting Year]]&amp;"; "&amp;P2104&amp;AS[[#This Row],[Insurance Category Code]]&amp;"; "&amp;Q2104&amp;AS[[#This Row],[Large Provider Entity Code]]&amp;"; "&amp;R2104&amp;AS[[#This Row],[Age Band Code]]&amp;"; "&amp;S2104&amp;AS[[#This Row],[Sex Code]]</f>
        <v xml:space="preserve">Insurer Code ; Reporting Year ; Insurance Category Code ; Large Provider Entity Code ; Age Band Code ; Sex Code </v>
      </c>
      <c r="N2104" s="297" t="s">
        <v>197</v>
      </c>
      <c r="O2104" s="297" t="s">
        <v>198</v>
      </c>
      <c r="P2104" s="297" t="s">
        <v>199</v>
      </c>
      <c r="Q2104" s="297" t="s">
        <v>200</v>
      </c>
      <c r="R2104" s="297" t="s">
        <v>213</v>
      </c>
      <c r="S2104" s="297" t="s">
        <v>214</v>
      </c>
    </row>
    <row r="2105" spans="1:19" x14ac:dyDescent="0.4">
      <c r="A2105" s="291"/>
      <c r="B2105" s="292"/>
      <c r="C2105" s="312"/>
      <c r="D2105" s="292"/>
      <c r="E2105" s="489"/>
      <c r="F2105" s="489"/>
      <c r="G2105" s="490"/>
      <c r="H2105" s="520"/>
      <c r="I2105" s="523"/>
      <c r="J2105" s="521"/>
      <c r="K2105" s="522"/>
      <c r="M2105" s="301" t="str">
        <f>N2105&amp;AS[[#This Row],[Insurer Code]]&amp;"; "&amp;O2105&amp;AS[[#This Row],[Reporting Year]]&amp;"; "&amp;P2105&amp;AS[[#This Row],[Insurance Category Code]]&amp;"; "&amp;Q2105&amp;AS[[#This Row],[Large Provider Entity Code]]&amp;"; "&amp;R2105&amp;AS[[#This Row],[Age Band Code]]&amp;"; "&amp;S2105&amp;AS[[#This Row],[Sex Code]]</f>
        <v xml:space="preserve">Insurer Code ; Reporting Year ; Insurance Category Code ; Large Provider Entity Code ; Age Band Code ; Sex Code </v>
      </c>
      <c r="N2105" s="297" t="s">
        <v>197</v>
      </c>
      <c r="O2105" s="297" t="s">
        <v>198</v>
      </c>
      <c r="P2105" s="297" t="s">
        <v>199</v>
      </c>
      <c r="Q2105" s="297" t="s">
        <v>200</v>
      </c>
      <c r="R2105" s="297" t="s">
        <v>213</v>
      </c>
      <c r="S2105" s="297" t="s">
        <v>214</v>
      </c>
    </row>
    <row r="2106" spans="1:19" x14ac:dyDescent="0.4">
      <c r="A2106" s="291"/>
      <c r="B2106" s="292"/>
      <c r="C2106" s="312"/>
      <c r="D2106" s="292"/>
      <c r="E2106" s="489"/>
      <c r="F2106" s="489"/>
      <c r="G2106" s="490"/>
      <c r="H2106" s="520"/>
      <c r="I2106" s="523"/>
      <c r="J2106" s="521"/>
      <c r="K2106" s="522"/>
      <c r="M2106" s="301" t="str">
        <f>N2106&amp;AS[[#This Row],[Insurer Code]]&amp;"; "&amp;O2106&amp;AS[[#This Row],[Reporting Year]]&amp;"; "&amp;P2106&amp;AS[[#This Row],[Insurance Category Code]]&amp;"; "&amp;Q2106&amp;AS[[#This Row],[Large Provider Entity Code]]&amp;"; "&amp;R2106&amp;AS[[#This Row],[Age Band Code]]&amp;"; "&amp;S2106&amp;AS[[#This Row],[Sex Code]]</f>
        <v xml:space="preserve">Insurer Code ; Reporting Year ; Insurance Category Code ; Large Provider Entity Code ; Age Band Code ; Sex Code </v>
      </c>
      <c r="N2106" s="297" t="s">
        <v>197</v>
      </c>
      <c r="O2106" s="297" t="s">
        <v>198</v>
      </c>
      <c r="P2106" s="297" t="s">
        <v>199</v>
      </c>
      <c r="Q2106" s="297" t="s">
        <v>200</v>
      </c>
      <c r="R2106" s="297" t="s">
        <v>213</v>
      </c>
      <c r="S2106" s="297" t="s">
        <v>214</v>
      </c>
    </row>
    <row r="2107" spans="1:19" x14ac:dyDescent="0.4">
      <c r="A2107" s="291"/>
      <c r="B2107" s="292"/>
      <c r="C2107" s="312"/>
      <c r="D2107" s="292"/>
      <c r="E2107" s="489"/>
      <c r="F2107" s="489"/>
      <c r="G2107" s="490"/>
      <c r="H2107" s="520"/>
      <c r="I2107" s="523"/>
      <c r="J2107" s="521"/>
      <c r="K2107" s="522"/>
      <c r="M2107" s="301" t="str">
        <f>N2107&amp;AS[[#This Row],[Insurer Code]]&amp;"; "&amp;O2107&amp;AS[[#This Row],[Reporting Year]]&amp;"; "&amp;P2107&amp;AS[[#This Row],[Insurance Category Code]]&amp;"; "&amp;Q2107&amp;AS[[#This Row],[Large Provider Entity Code]]&amp;"; "&amp;R2107&amp;AS[[#This Row],[Age Band Code]]&amp;"; "&amp;S2107&amp;AS[[#This Row],[Sex Code]]</f>
        <v xml:space="preserve">Insurer Code ; Reporting Year ; Insurance Category Code ; Large Provider Entity Code ; Age Band Code ; Sex Code </v>
      </c>
      <c r="N2107" s="297" t="s">
        <v>197</v>
      </c>
      <c r="O2107" s="297" t="s">
        <v>198</v>
      </c>
      <c r="P2107" s="297" t="s">
        <v>199</v>
      </c>
      <c r="Q2107" s="297" t="s">
        <v>200</v>
      </c>
      <c r="R2107" s="297" t="s">
        <v>213</v>
      </c>
      <c r="S2107" s="297" t="s">
        <v>214</v>
      </c>
    </row>
    <row r="2108" spans="1:19" x14ac:dyDescent="0.4">
      <c r="A2108" s="291"/>
      <c r="B2108" s="292"/>
      <c r="C2108" s="312"/>
      <c r="D2108" s="292"/>
      <c r="E2108" s="489"/>
      <c r="F2108" s="489"/>
      <c r="G2108" s="490"/>
      <c r="H2108" s="520"/>
      <c r="I2108" s="523"/>
      <c r="J2108" s="521"/>
      <c r="K2108" s="522"/>
      <c r="M2108" s="301" t="str">
        <f>N2108&amp;AS[[#This Row],[Insurer Code]]&amp;"; "&amp;O2108&amp;AS[[#This Row],[Reporting Year]]&amp;"; "&amp;P2108&amp;AS[[#This Row],[Insurance Category Code]]&amp;"; "&amp;Q2108&amp;AS[[#This Row],[Large Provider Entity Code]]&amp;"; "&amp;R2108&amp;AS[[#This Row],[Age Band Code]]&amp;"; "&amp;S2108&amp;AS[[#This Row],[Sex Code]]</f>
        <v xml:space="preserve">Insurer Code ; Reporting Year ; Insurance Category Code ; Large Provider Entity Code ; Age Band Code ; Sex Code </v>
      </c>
      <c r="N2108" s="297" t="s">
        <v>197</v>
      </c>
      <c r="O2108" s="297" t="s">
        <v>198</v>
      </c>
      <c r="P2108" s="297" t="s">
        <v>199</v>
      </c>
      <c r="Q2108" s="297" t="s">
        <v>200</v>
      </c>
      <c r="R2108" s="297" t="s">
        <v>213</v>
      </c>
      <c r="S2108" s="297" t="s">
        <v>214</v>
      </c>
    </row>
    <row r="2109" spans="1:19" x14ac:dyDescent="0.4">
      <c r="A2109" s="291"/>
      <c r="B2109" s="292"/>
      <c r="C2109" s="312"/>
      <c r="D2109" s="292"/>
      <c r="E2109" s="489"/>
      <c r="F2109" s="489"/>
      <c r="G2109" s="490"/>
      <c r="H2109" s="520"/>
      <c r="I2109" s="523"/>
      <c r="J2109" s="521"/>
      <c r="K2109" s="522"/>
      <c r="M2109" s="301" t="str">
        <f>N2109&amp;AS[[#This Row],[Insurer Code]]&amp;"; "&amp;O2109&amp;AS[[#This Row],[Reporting Year]]&amp;"; "&amp;P2109&amp;AS[[#This Row],[Insurance Category Code]]&amp;"; "&amp;Q2109&amp;AS[[#This Row],[Large Provider Entity Code]]&amp;"; "&amp;R2109&amp;AS[[#This Row],[Age Band Code]]&amp;"; "&amp;S2109&amp;AS[[#This Row],[Sex Code]]</f>
        <v xml:space="preserve">Insurer Code ; Reporting Year ; Insurance Category Code ; Large Provider Entity Code ; Age Band Code ; Sex Code </v>
      </c>
      <c r="N2109" s="297" t="s">
        <v>197</v>
      </c>
      <c r="O2109" s="297" t="s">
        <v>198</v>
      </c>
      <c r="P2109" s="297" t="s">
        <v>199</v>
      </c>
      <c r="Q2109" s="297" t="s">
        <v>200</v>
      </c>
      <c r="R2109" s="297" t="s">
        <v>213</v>
      </c>
      <c r="S2109" s="297" t="s">
        <v>214</v>
      </c>
    </row>
    <row r="2110" spans="1:19" x14ac:dyDescent="0.4">
      <c r="A2110" s="291"/>
      <c r="B2110" s="292"/>
      <c r="C2110" s="312"/>
      <c r="D2110" s="292"/>
      <c r="E2110" s="489"/>
      <c r="F2110" s="489"/>
      <c r="G2110" s="490"/>
      <c r="H2110" s="520"/>
      <c r="I2110" s="523"/>
      <c r="J2110" s="521"/>
      <c r="K2110" s="522"/>
      <c r="M2110" s="301" t="str">
        <f>N2110&amp;AS[[#This Row],[Insurer Code]]&amp;"; "&amp;O2110&amp;AS[[#This Row],[Reporting Year]]&amp;"; "&amp;P2110&amp;AS[[#This Row],[Insurance Category Code]]&amp;"; "&amp;Q2110&amp;AS[[#This Row],[Large Provider Entity Code]]&amp;"; "&amp;R2110&amp;AS[[#This Row],[Age Band Code]]&amp;"; "&amp;S2110&amp;AS[[#This Row],[Sex Code]]</f>
        <v xml:space="preserve">Insurer Code ; Reporting Year ; Insurance Category Code ; Large Provider Entity Code ; Age Band Code ; Sex Code </v>
      </c>
      <c r="N2110" s="297" t="s">
        <v>197</v>
      </c>
      <c r="O2110" s="297" t="s">
        <v>198</v>
      </c>
      <c r="P2110" s="297" t="s">
        <v>199</v>
      </c>
      <c r="Q2110" s="297" t="s">
        <v>200</v>
      </c>
      <c r="R2110" s="297" t="s">
        <v>213</v>
      </c>
      <c r="S2110" s="297" t="s">
        <v>214</v>
      </c>
    </row>
    <row r="2111" spans="1:19" x14ac:dyDescent="0.4">
      <c r="A2111" s="291"/>
      <c r="B2111" s="292"/>
      <c r="C2111" s="312"/>
      <c r="D2111" s="292"/>
      <c r="E2111" s="489"/>
      <c r="F2111" s="489"/>
      <c r="G2111" s="490"/>
      <c r="H2111" s="520"/>
      <c r="I2111" s="523"/>
      <c r="J2111" s="521"/>
      <c r="K2111" s="522"/>
      <c r="M2111" s="301" t="str">
        <f>N2111&amp;AS[[#This Row],[Insurer Code]]&amp;"; "&amp;O2111&amp;AS[[#This Row],[Reporting Year]]&amp;"; "&amp;P2111&amp;AS[[#This Row],[Insurance Category Code]]&amp;"; "&amp;Q2111&amp;AS[[#This Row],[Large Provider Entity Code]]&amp;"; "&amp;R2111&amp;AS[[#This Row],[Age Band Code]]&amp;"; "&amp;S2111&amp;AS[[#This Row],[Sex Code]]</f>
        <v xml:space="preserve">Insurer Code ; Reporting Year ; Insurance Category Code ; Large Provider Entity Code ; Age Band Code ; Sex Code </v>
      </c>
      <c r="N2111" s="297" t="s">
        <v>197</v>
      </c>
      <c r="O2111" s="297" t="s">
        <v>198</v>
      </c>
      <c r="P2111" s="297" t="s">
        <v>199</v>
      </c>
      <c r="Q2111" s="297" t="s">
        <v>200</v>
      </c>
      <c r="R2111" s="297" t="s">
        <v>213</v>
      </c>
      <c r="S2111" s="297" t="s">
        <v>214</v>
      </c>
    </row>
    <row r="2112" spans="1:19" x14ac:dyDescent="0.4">
      <c r="A2112" s="291"/>
      <c r="B2112" s="292"/>
      <c r="C2112" s="312"/>
      <c r="D2112" s="292"/>
      <c r="E2112" s="489"/>
      <c r="F2112" s="489"/>
      <c r="G2112" s="490"/>
      <c r="H2112" s="520"/>
      <c r="I2112" s="523"/>
      <c r="J2112" s="521"/>
      <c r="K2112" s="522"/>
      <c r="M2112" s="301" t="str">
        <f>N2112&amp;AS[[#This Row],[Insurer Code]]&amp;"; "&amp;O2112&amp;AS[[#This Row],[Reporting Year]]&amp;"; "&amp;P2112&amp;AS[[#This Row],[Insurance Category Code]]&amp;"; "&amp;Q2112&amp;AS[[#This Row],[Large Provider Entity Code]]&amp;"; "&amp;R2112&amp;AS[[#This Row],[Age Band Code]]&amp;"; "&amp;S2112&amp;AS[[#This Row],[Sex Code]]</f>
        <v xml:space="preserve">Insurer Code ; Reporting Year ; Insurance Category Code ; Large Provider Entity Code ; Age Band Code ; Sex Code </v>
      </c>
      <c r="N2112" s="297" t="s">
        <v>197</v>
      </c>
      <c r="O2112" s="297" t="s">
        <v>198</v>
      </c>
      <c r="P2112" s="297" t="s">
        <v>199</v>
      </c>
      <c r="Q2112" s="297" t="s">
        <v>200</v>
      </c>
      <c r="R2112" s="297" t="s">
        <v>213</v>
      </c>
      <c r="S2112" s="297" t="s">
        <v>214</v>
      </c>
    </row>
    <row r="2113" spans="1:19" x14ac:dyDescent="0.4">
      <c r="A2113" s="291"/>
      <c r="B2113" s="292"/>
      <c r="C2113" s="312"/>
      <c r="D2113" s="292"/>
      <c r="E2113" s="489"/>
      <c r="F2113" s="489"/>
      <c r="G2113" s="490"/>
      <c r="H2113" s="520"/>
      <c r="I2113" s="523"/>
      <c r="J2113" s="521"/>
      <c r="K2113" s="522"/>
      <c r="M2113" s="301" t="str">
        <f>N2113&amp;AS[[#This Row],[Insurer Code]]&amp;"; "&amp;O2113&amp;AS[[#This Row],[Reporting Year]]&amp;"; "&amp;P2113&amp;AS[[#This Row],[Insurance Category Code]]&amp;"; "&amp;Q2113&amp;AS[[#This Row],[Large Provider Entity Code]]&amp;"; "&amp;R2113&amp;AS[[#This Row],[Age Band Code]]&amp;"; "&amp;S2113&amp;AS[[#This Row],[Sex Code]]</f>
        <v xml:space="preserve">Insurer Code ; Reporting Year ; Insurance Category Code ; Large Provider Entity Code ; Age Band Code ; Sex Code </v>
      </c>
      <c r="N2113" s="297" t="s">
        <v>197</v>
      </c>
      <c r="O2113" s="297" t="s">
        <v>198</v>
      </c>
      <c r="P2113" s="297" t="s">
        <v>199</v>
      </c>
      <c r="Q2113" s="297" t="s">
        <v>200</v>
      </c>
      <c r="R2113" s="297" t="s">
        <v>213</v>
      </c>
      <c r="S2113" s="297" t="s">
        <v>214</v>
      </c>
    </row>
    <row r="2114" spans="1:19" x14ac:dyDescent="0.4">
      <c r="A2114" s="291"/>
      <c r="B2114" s="292"/>
      <c r="C2114" s="312"/>
      <c r="D2114" s="292"/>
      <c r="E2114" s="489"/>
      <c r="F2114" s="489"/>
      <c r="G2114" s="490"/>
      <c r="H2114" s="520"/>
      <c r="I2114" s="523"/>
      <c r="J2114" s="521"/>
      <c r="K2114" s="522"/>
      <c r="M2114" s="301" t="str">
        <f>N2114&amp;AS[[#This Row],[Insurer Code]]&amp;"; "&amp;O2114&amp;AS[[#This Row],[Reporting Year]]&amp;"; "&amp;P2114&amp;AS[[#This Row],[Insurance Category Code]]&amp;"; "&amp;Q2114&amp;AS[[#This Row],[Large Provider Entity Code]]&amp;"; "&amp;R2114&amp;AS[[#This Row],[Age Band Code]]&amp;"; "&amp;S2114&amp;AS[[#This Row],[Sex Code]]</f>
        <v xml:space="preserve">Insurer Code ; Reporting Year ; Insurance Category Code ; Large Provider Entity Code ; Age Band Code ; Sex Code </v>
      </c>
      <c r="N2114" s="297" t="s">
        <v>197</v>
      </c>
      <c r="O2114" s="297" t="s">
        <v>198</v>
      </c>
      <c r="P2114" s="297" t="s">
        <v>199</v>
      </c>
      <c r="Q2114" s="297" t="s">
        <v>200</v>
      </c>
      <c r="R2114" s="297" t="s">
        <v>213</v>
      </c>
      <c r="S2114" s="297" t="s">
        <v>214</v>
      </c>
    </row>
    <row r="2115" spans="1:19" x14ac:dyDescent="0.4">
      <c r="A2115" s="291"/>
      <c r="B2115" s="292"/>
      <c r="C2115" s="312"/>
      <c r="D2115" s="292"/>
      <c r="E2115" s="489"/>
      <c r="F2115" s="489"/>
      <c r="G2115" s="490"/>
      <c r="H2115" s="520"/>
      <c r="I2115" s="523"/>
      <c r="J2115" s="521"/>
      <c r="K2115" s="522"/>
      <c r="M2115" s="301" t="str">
        <f>N2115&amp;AS[[#This Row],[Insurer Code]]&amp;"; "&amp;O2115&amp;AS[[#This Row],[Reporting Year]]&amp;"; "&amp;P2115&amp;AS[[#This Row],[Insurance Category Code]]&amp;"; "&amp;Q2115&amp;AS[[#This Row],[Large Provider Entity Code]]&amp;"; "&amp;R2115&amp;AS[[#This Row],[Age Band Code]]&amp;"; "&amp;S2115&amp;AS[[#This Row],[Sex Code]]</f>
        <v xml:space="preserve">Insurer Code ; Reporting Year ; Insurance Category Code ; Large Provider Entity Code ; Age Band Code ; Sex Code </v>
      </c>
      <c r="N2115" s="297" t="s">
        <v>197</v>
      </c>
      <c r="O2115" s="297" t="s">
        <v>198</v>
      </c>
      <c r="P2115" s="297" t="s">
        <v>199</v>
      </c>
      <c r="Q2115" s="297" t="s">
        <v>200</v>
      </c>
      <c r="R2115" s="297" t="s">
        <v>213</v>
      </c>
      <c r="S2115" s="297" t="s">
        <v>214</v>
      </c>
    </row>
    <row r="2116" spans="1:19" x14ac:dyDescent="0.4">
      <c r="A2116" s="291"/>
      <c r="B2116" s="292"/>
      <c r="C2116" s="312"/>
      <c r="D2116" s="292"/>
      <c r="E2116" s="489"/>
      <c r="F2116" s="489"/>
      <c r="G2116" s="490"/>
      <c r="H2116" s="520"/>
      <c r="I2116" s="523"/>
      <c r="J2116" s="521"/>
      <c r="K2116" s="522"/>
      <c r="M2116" s="301" t="str">
        <f>N2116&amp;AS[[#This Row],[Insurer Code]]&amp;"; "&amp;O2116&amp;AS[[#This Row],[Reporting Year]]&amp;"; "&amp;P2116&amp;AS[[#This Row],[Insurance Category Code]]&amp;"; "&amp;Q2116&amp;AS[[#This Row],[Large Provider Entity Code]]&amp;"; "&amp;R2116&amp;AS[[#This Row],[Age Band Code]]&amp;"; "&amp;S2116&amp;AS[[#This Row],[Sex Code]]</f>
        <v xml:space="preserve">Insurer Code ; Reporting Year ; Insurance Category Code ; Large Provider Entity Code ; Age Band Code ; Sex Code </v>
      </c>
      <c r="N2116" s="297" t="s">
        <v>197</v>
      </c>
      <c r="O2116" s="297" t="s">
        <v>198</v>
      </c>
      <c r="P2116" s="297" t="s">
        <v>199</v>
      </c>
      <c r="Q2116" s="297" t="s">
        <v>200</v>
      </c>
      <c r="R2116" s="297" t="s">
        <v>213</v>
      </c>
      <c r="S2116" s="297" t="s">
        <v>214</v>
      </c>
    </row>
    <row r="2117" spans="1:19" x14ac:dyDescent="0.4">
      <c r="A2117" s="291"/>
      <c r="B2117" s="292"/>
      <c r="C2117" s="312"/>
      <c r="D2117" s="292"/>
      <c r="E2117" s="489"/>
      <c r="F2117" s="489"/>
      <c r="G2117" s="490"/>
      <c r="H2117" s="520"/>
      <c r="I2117" s="523"/>
      <c r="J2117" s="521"/>
      <c r="K2117" s="522"/>
      <c r="M2117" s="301" t="str">
        <f>N2117&amp;AS[[#This Row],[Insurer Code]]&amp;"; "&amp;O2117&amp;AS[[#This Row],[Reporting Year]]&amp;"; "&amp;P2117&amp;AS[[#This Row],[Insurance Category Code]]&amp;"; "&amp;Q2117&amp;AS[[#This Row],[Large Provider Entity Code]]&amp;"; "&amp;R2117&amp;AS[[#This Row],[Age Band Code]]&amp;"; "&amp;S2117&amp;AS[[#This Row],[Sex Code]]</f>
        <v xml:space="preserve">Insurer Code ; Reporting Year ; Insurance Category Code ; Large Provider Entity Code ; Age Band Code ; Sex Code </v>
      </c>
      <c r="N2117" s="297" t="s">
        <v>197</v>
      </c>
      <c r="O2117" s="297" t="s">
        <v>198</v>
      </c>
      <c r="P2117" s="297" t="s">
        <v>199</v>
      </c>
      <c r="Q2117" s="297" t="s">
        <v>200</v>
      </c>
      <c r="R2117" s="297" t="s">
        <v>213</v>
      </c>
      <c r="S2117" s="297" t="s">
        <v>214</v>
      </c>
    </row>
    <row r="2118" spans="1:19" x14ac:dyDescent="0.4">
      <c r="A2118" s="291"/>
      <c r="B2118" s="292"/>
      <c r="C2118" s="312"/>
      <c r="D2118" s="292"/>
      <c r="E2118" s="489"/>
      <c r="F2118" s="489"/>
      <c r="G2118" s="490"/>
      <c r="H2118" s="520"/>
      <c r="I2118" s="523"/>
      <c r="J2118" s="521"/>
      <c r="K2118" s="522"/>
      <c r="M2118" s="301" t="str">
        <f>N2118&amp;AS[[#This Row],[Insurer Code]]&amp;"; "&amp;O2118&amp;AS[[#This Row],[Reporting Year]]&amp;"; "&amp;P2118&amp;AS[[#This Row],[Insurance Category Code]]&amp;"; "&amp;Q2118&amp;AS[[#This Row],[Large Provider Entity Code]]&amp;"; "&amp;R2118&amp;AS[[#This Row],[Age Band Code]]&amp;"; "&amp;S2118&amp;AS[[#This Row],[Sex Code]]</f>
        <v xml:space="preserve">Insurer Code ; Reporting Year ; Insurance Category Code ; Large Provider Entity Code ; Age Band Code ; Sex Code </v>
      </c>
      <c r="N2118" s="297" t="s">
        <v>197</v>
      </c>
      <c r="O2118" s="297" t="s">
        <v>198</v>
      </c>
      <c r="P2118" s="297" t="s">
        <v>199</v>
      </c>
      <c r="Q2118" s="297" t="s">
        <v>200</v>
      </c>
      <c r="R2118" s="297" t="s">
        <v>213</v>
      </c>
      <c r="S2118" s="297" t="s">
        <v>214</v>
      </c>
    </row>
    <row r="2119" spans="1:19" x14ac:dyDescent="0.4">
      <c r="A2119" s="291"/>
      <c r="B2119" s="292"/>
      <c r="C2119" s="312"/>
      <c r="D2119" s="292"/>
      <c r="E2119" s="489"/>
      <c r="F2119" s="489"/>
      <c r="G2119" s="490"/>
      <c r="H2119" s="520"/>
      <c r="I2119" s="523"/>
      <c r="J2119" s="521"/>
      <c r="K2119" s="522"/>
      <c r="M2119" s="301" t="str">
        <f>N2119&amp;AS[[#This Row],[Insurer Code]]&amp;"; "&amp;O2119&amp;AS[[#This Row],[Reporting Year]]&amp;"; "&amp;P2119&amp;AS[[#This Row],[Insurance Category Code]]&amp;"; "&amp;Q2119&amp;AS[[#This Row],[Large Provider Entity Code]]&amp;"; "&amp;R2119&amp;AS[[#This Row],[Age Band Code]]&amp;"; "&amp;S2119&amp;AS[[#This Row],[Sex Code]]</f>
        <v xml:space="preserve">Insurer Code ; Reporting Year ; Insurance Category Code ; Large Provider Entity Code ; Age Band Code ; Sex Code </v>
      </c>
      <c r="N2119" s="297" t="s">
        <v>197</v>
      </c>
      <c r="O2119" s="297" t="s">
        <v>198</v>
      </c>
      <c r="P2119" s="297" t="s">
        <v>199</v>
      </c>
      <c r="Q2119" s="297" t="s">
        <v>200</v>
      </c>
      <c r="R2119" s="297" t="s">
        <v>213</v>
      </c>
      <c r="S2119" s="297" t="s">
        <v>214</v>
      </c>
    </row>
    <row r="2120" spans="1:19" x14ac:dyDescent="0.4">
      <c r="A2120" s="291"/>
      <c r="B2120" s="292"/>
      <c r="C2120" s="312"/>
      <c r="D2120" s="292"/>
      <c r="E2120" s="489"/>
      <c r="F2120" s="489"/>
      <c r="G2120" s="490"/>
      <c r="H2120" s="520"/>
      <c r="I2120" s="523"/>
      <c r="J2120" s="521"/>
      <c r="K2120" s="522"/>
      <c r="M2120" s="301" t="str">
        <f>N2120&amp;AS[[#This Row],[Insurer Code]]&amp;"; "&amp;O2120&amp;AS[[#This Row],[Reporting Year]]&amp;"; "&amp;P2120&amp;AS[[#This Row],[Insurance Category Code]]&amp;"; "&amp;Q2120&amp;AS[[#This Row],[Large Provider Entity Code]]&amp;"; "&amp;R2120&amp;AS[[#This Row],[Age Band Code]]&amp;"; "&amp;S2120&amp;AS[[#This Row],[Sex Code]]</f>
        <v xml:space="preserve">Insurer Code ; Reporting Year ; Insurance Category Code ; Large Provider Entity Code ; Age Band Code ; Sex Code </v>
      </c>
      <c r="N2120" s="297" t="s">
        <v>197</v>
      </c>
      <c r="O2120" s="297" t="s">
        <v>198</v>
      </c>
      <c r="P2120" s="297" t="s">
        <v>199</v>
      </c>
      <c r="Q2120" s="297" t="s">
        <v>200</v>
      </c>
      <c r="R2120" s="297" t="s">
        <v>213</v>
      </c>
      <c r="S2120" s="297" t="s">
        <v>214</v>
      </c>
    </row>
    <row r="2121" spans="1:19" x14ac:dyDescent="0.4">
      <c r="A2121" s="291"/>
      <c r="B2121" s="292"/>
      <c r="C2121" s="312"/>
      <c r="D2121" s="292"/>
      <c r="E2121" s="489"/>
      <c r="F2121" s="489"/>
      <c r="G2121" s="490"/>
      <c r="H2121" s="520"/>
      <c r="I2121" s="523"/>
      <c r="J2121" s="521"/>
      <c r="K2121" s="522"/>
      <c r="M2121" s="301" t="str">
        <f>N2121&amp;AS[[#This Row],[Insurer Code]]&amp;"; "&amp;O2121&amp;AS[[#This Row],[Reporting Year]]&amp;"; "&amp;P2121&amp;AS[[#This Row],[Insurance Category Code]]&amp;"; "&amp;Q2121&amp;AS[[#This Row],[Large Provider Entity Code]]&amp;"; "&amp;R2121&amp;AS[[#This Row],[Age Band Code]]&amp;"; "&amp;S2121&amp;AS[[#This Row],[Sex Code]]</f>
        <v xml:space="preserve">Insurer Code ; Reporting Year ; Insurance Category Code ; Large Provider Entity Code ; Age Band Code ; Sex Code </v>
      </c>
      <c r="N2121" s="297" t="s">
        <v>197</v>
      </c>
      <c r="O2121" s="297" t="s">
        <v>198</v>
      </c>
      <c r="P2121" s="297" t="s">
        <v>199</v>
      </c>
      <c r="Q2121" s="297" t="s">
        <v>200</v>
      </c>
      <c r="R2121" s="297" t="s">
        <v>213</v>
      </c>
      <c r="S2121" s="297" t="s">
        <v>214</v>
      </c>
    </row>
    <row r="2122" spans="1:19" x14ac:dyDescent="0.4">
      <c r="A2122" s="291"/>
      <c r="B2122" s="292"/>
      <c r="C2122" s="312"/>
      <c r="D2122" s="292"/>
      <c r="E2122" s="489"/>
      <c r="F2122" s="489"/>
      <c r="G2122" s="490"/>
      <c r="H2122" s="520"/>
      <c r="I2122" s="523"/>
      <c r="J2122" s="521"/>
      <c r="K2122" s="522"/>
      <c r="M2122" s="301" t="str">
        <f>N2122&amp;AS[[#This Row],[Insurer Code]]&amp;"; "&amp;O2122&amp;AS[[#This Row],[Reporting Year]]&amp;"; "&amp;P2122&amp;AS[[#This Row],[Insurance Category Code]]&amp;"; "&amp;Q2122&amp;AS[[#This Row],[Large Provider Entity Code]]&amp;"; "&amp;R2122&amp;AS[[#This Row],[Age Band Code]]&amp;"; "&amp;S2122&amp;AS[[#This Row],[Sex Code]]</f>
        <v xml:space="preserve">Insurer Code ; Reporting Year ; Insurance Category Code ; Large Provider Entity Code ; Age Band Code ; Sex Code </v>
      </c>
      <c r="N2122" s="297" t="s">
        <v>197</v>
      </c>
      <c r="O2122" s="297" t="s">
        <v>198</v>
      </c>
      <c r="P2122" s="297" t="s">
        <v>199</v>
      </c>
      <c r="Q2122" s="297" t="s">
        <v>200</v>
      </c>
      <c r="R2122" s="297" t="s">
        <v>213</v>
      </c>
      <c r="S2122" s="297" t="s">
        <v>214</v>
      </c>
    </row>
    <row r="2123" spans="1:19" x14ac:dyDescent="0.4">
      <c r="A2123" s="291"/>
      <c r="B2123" s="292"/>
      <c r="C2123" s="312"/>
      <c r="D2123" s="292"/>
      <c r="E2123" s="489"/>
      <c r="F2123" s="489"/>
      <c r="G2123" s="490"/>
      <c r="H2123" s="520"/>
      <c r="I2123" s="523"/>
      <c r="J2123" s="521"/>
      <c r="K2123" s="522"/>
      <c r="M2123" s="301" t="str">
        <f>N2123&amp;AS[[#This Row],[Insurer Code]]&amp;"; "&amp;O2123&amp;AS[[#This Row],[Reporting Year]]&amp;"; "&amp;P2123&amp;AS[[#This Row],[Insurance Category Code]]&amp;"; "&amp;Q2123&amp;AS[[#This Row],[Large Provider Entity Code]]&amp;"; "&amp;R2123&amp;AS[[#This Row],[Age Band Code]]&amp;"; "&amp;S2123&amp;AS[[#This Row],[Sex Code]]</f>
        <v xml:space="preserve">Insurer Code ; Reporting Year ; Insurance Category Code ; Large Provider Entity Code ; Age Band Code ; Sex Code </v>
      </c>
      <c r="N2123" s="297" t="s">
        <v>197</v>
      </c>
      <c r="O2123" s="297" t="s">
        <v>198</v>
      </c>
      <c r="P2123" s="297" t="s">
        <v>199</v>
      </c>
      <c r="Q2123" s="297" t="s">
        <v>200</v>
      </c>
      <c r="R2123" s="297" t="s">
        <v>213</v>
      </c>
      <c r="S2123" s="297" t="s">
        <v>214</v>
      </c>
    </row>
    <row r="2124" spans="1:19" x14ac:dyDescent="0.4">
      <c r="A2124" s="291"/>
      <c r="B2124" s="292"/>
      <c r="C2124" s="312"/>
      <c r="D2124" s="292"/>
      <c r="E2124" s="489"/>
      <c r="F2124" s="489"/>
      <c r="G2124" s="490"/>
      <c r="H2124" s="520"/>
      <c r="I2124" s="523"/>
      <c r="J2124" s="521"/>
      <c r="K2124" s="522"/>
      <c r="M2124" s="301" t="str">
        <f>N2124&amp;AS[[#This Row],[Insurer Code]]&amp;"; "&amp;O2124&amp;AS[[#This Row],[Reporting Year]]&amp;"; "&amp;P2124&amp;AS[[#This Row],[Insurance Category Code]]&amp;"; "&amp;Q2124&amp;AS[[#This Row],[Large Provider Entity Code]]&amp;"; "&amp;R2124&amp;AS[[#This Row],[Age Band Code]]&amp;"; "&amp;S2124&amp;AS[[#This Row],[Sex Code]]</f>
        <v xml:space="preserve">Insurer Code ; Reporting Year ; Insurance Category Code ; Large Provider Entity Code ; Age Band Code ; Sex Code </v>
      </c>
      <c r="N2124" s="297" t="s">
        <v>197</v>
      </c>
      <c r="O2124" s="297" t="s">
        <v>198</v>
      </c>
      <c r="P2124" s="297" t="s">
        <v>199</v>
      </c>
      <c r="Q2124" s="297" t="s">
        <v>200</v>
      </c>
      <c r="R2124" s="297" t="s">
        <v>213</v>
      </c>
      <c r="S2124" s="297" t="s">
        <v>214</v>
      </c>
    </row>
    <row r="2125" spans="1:19" x14ac:dyDescent="0.4">
      <c r="A2125" s="291"/>
      <c r="B2125" s="292"/>
      <c r="C2125" s="312"/>
      <c r="D2125" s="292"/>
      <c r="E2125" s="489"/>
      <c r="F2125" s="489"/>
      <c r="G2125" s="490"/>
      <c r="H2125" s="520"/>
      <c r="I2125" s="523"/>
      <c r="J2125" s="521"/>
      <c r="K2125" s="522"/>
      <c r="M2125" s="301" t="str">
        <f>N2125&amp;AS[[#This Row],[Insurer Code]]&amp;"; "&amp;O2125&amp;AS[[#This Row],[Reporting Year]]&amp;"; "&amp;P2125&amp;AS[[#This Row],[Insurance Category Code]]&amp;"; "&amp;Q2125&amp;AS[[#This Row],[Large Provider Entity Code]]&amp;"; "&amp;R2125&amp;AS[[#This Row],[Age Band Code]]&amp;"; "&amp;S2125&amp;AS[[#This Row],[Sex Code]]</f>
        <v xml:space="preserve">Insurer Code ; Reporting Year ; Insurance Category Code ; Large Provider Entity Code ; Age Band Code ; Sex Code </v>
      </c>
      <c r="N2125" s="297" t="s">
        <v>197</v>
      </c>
      <c r="O2125" s="297" t="s">
        <v>198</v>
      </c>
      <c r="P2125" s="297" t="s">
        <v>199</v>
      </c>
      <c r="Q2125" s="297" t="s">
        <v>200</v>
      </c>
      <c r="R2125" s="297" t="s">
        <v>213</v>
      </c>
      <c r="S2125" s="297" t="s">
        <v>214</v>
      </c>
    </row>
    <row r="2126" spans="1:19" x14ac:dyDescent="0.4">
      <c r="A2126" s="291"/>
      <c r="B2126" s="292"/>
      <c r="C2126" s="312"/>
      <c r="D2126" s="292"/>
      <c r="E2126" s="489"/>
      <c r="F2126" s="489"/>
      <c r="G2126" s="490"/>
      <c r="H2126" s="520"/>
      <c r="I2126" s="523"/>
      <c r="J2126" s="521"/>
      <c r="K2126" s="522"/>
      <c r="M2126" s="301" t="str">
        <f>N2126&amp;AS[[#This Row],[Insurer Code]]&amp;"; "&amp;O2126&amp;AS[[#This Row],[Reporting Year]]&amp;"; "&amp;P2126&amp;AS[[#This Row],[Insurance Category Code]]&amp;"; "&amp;Q2126&amp;AS[[#This Row],[Large Provider Entity Code]]&amp;"; "&amp;R2126&amp;AS[[#This Row],[Age Band Code]]&amp;"; "&amp;S2126&amp;AS[[#This Row],[Sex Code]]</f>
        <v xml:space="preserve">Insurer Code ; Reporting Year ; Insurance Category Code ; Large Provider Entity Code ; Age Band Code ; Sex Code </v>
      </c>
      <c r="N2126" s="297" t="s">
        <v>197</v>
      </c>
      <c r="O2126" s="297" t="s">
        <v>198</v>
      </c>
      <c r="P2126" s="297" t="s">
        <v>199</v>
      </c>
      <c r="Q2126" s="297" t="s">
        <v>200</v>
      </c>
      <c r="R2126" s="297" t="s">
        <v>213</v>
      </c>
      <c r="S2126" s="297" t="s">
        <v>214</v>
      </c>
    </row>
    <row r="2127" spans="1:19" x14ac:dyDescent="0.4">
      <c r="A2127" s="291"/>
      <c r="B2127" s="292"/>
      <c r="C2127" s="312"/>
      <c r="D2127" s="292"/>
      <c r="E2127" s="489"/>
      <c r="F2127" s="489"/>
      <c r="G2127" s="490"/>
      <c r="H2127" s="520"/>
      <c r="I2127" s="523"/>
      <c r="J2127" s="521"/>
      <c r="K2127" s="522"/>
      <c r="M2127" s="301" t="str">
        <f>N2127&amp;AS[[#This Row],[Insurer Code]]&amp;"; "&amp;O2127&amp;AS[[#This Row],[Reporting Year]]&amp;"; "&amp;P2127&amp;AS[[#This Row],[Insurance Category Code]]&amp;"; "&amp;Q2127&amp;AS[[#This Row],[Large Provider Entity Code]]&amp;"; "&amp;R2127&amp;AS[[#This Row],[Age Band Code]]&amp;"; "&amp;S2127&amp;AS[[#This Row],[Sex Code]]</f>
        <v xml:space="preserve">Insurer Code ; Reporting Year ; Insurance Category Code ; Large Provider Entity Code ; Age Band Code ; Sex Code </v>
      </c>
      <c r="N2127" s="297" t="s">
        <v>197</v>
      </c>
      <c r="O2127" s="297" t="s">
        <v>198</v>
      </c>
      <c r="P2127" s="297" t="s">
        <v>199</v>
      </c>
      <c r="Q2127" s="297" t="s">
        <v>200</v>
      </c>
      <c r="R2127" s="297" t="s">
        <v>213</v>
      </c>
      <c r="S2127" s="297" t="s">
        <v>214</v>
      </c>
    </row>
    <row r="2128" spans="1:19" x14ac:dyDescent="0.4">
      <c r="A2128" s="291"/>
      <c r="B2128" s="292"/>
      <c r="C2128" s="312"/>
      <c r="D2128" s="292"/>
      <c r="E2128" s="489"/>
      <c r="F2128" s="489"/>
      <c r="G2128" s="490"/>
      <c r="H2128" s="520"/>
      <c r="I2128" s="523"/>
      <c r="J2128" s="521"/>
      <c r="K2128" s="522"/>
      <c r="M2128" s="301" t="str">
        <f>N2128&amp;AS[[#This Row],[Insurer Code]]&amp;"; "&amp;O2128&amp;AS[[#This Row],[Reporting Year]]&amp;"; "&amp;P2128&amp;AS[[#This Row],[Insurance Category Code]]&amp;"; "&amp;Q2128&amp;AS[[#This Row],[Large Provider Entity Code]]&amp;"; "&amp;R2128&amp;AS[[#This Row],[Age Band Code]]&amp;"; "&amp;S2128&amp;AS[[#This Row],[Sex Code]]</f>
        <v xml:space="preserve">Insurer Code ; Reporting Year ; Insurance Category Code ; Large Provider Entity Code ; Age Band Code ; Sex Code </v>
      </c>
      <c r="N2128" s="297" t="s">
        <v>197</v>
      </c>
      <c r="O2128" s="297" t="s">
        <v>198</v>
      </c>
      <c r="P2128" s="297" t="s">
        <v>199</v>
      </c>
      <c r="Q2128" s="297" t="s">
        <v>200</v>
      </c>
      <c r="R2128" s="297" t="s">
        <v>213</v>
      </c>
      <c r="S2128" s="297" t="s">
        <v>214</v>
      </c>
    </row>
    <row r="2129" spans="1:19" x14ac:dyDescent="0.4">
      <c r="A2129" s="291"/>
      <c r="B2129" s="292"/>
      <c r="C2129" s="312"/>
      <c r="D2129" s="292"/>
      <c r="E2129" s="489"/>
      <c r="F2129" s="489"/>
      <c r="G2129" s="490"/>
      <c r="H2129" s="520"/>
      <c r="I2129" s="523"/>
      <c r="J2129" s="521"/>
      <c r="K2129" s="522"/>
      <c r="M2129" s="301" t="str">
        <f>N2129&amp;AS[[#This Row],[Insurer Code]]&amp;"; "&amp;O2129&amp;AS[[#This Row],[Reporting Year]]&amp;"; "&amp;P2129&amp;AS[[#This Row],[Insurance Category Code]]&amp;"; "&amp;Q2129&amp;AS[[#This Row],[Large Provider Entity Code]]&amp;"; "&amp;R2129&amp;AS[[#This Row],[Age Band Code]]&amp;"; "&amp;S2129&amp;AS[[#This Row],[Sex Code]]</f>
        <v xml:space="preserve">Insurer Code ; Reporting Year ; Insurance Category Code ; Large Provider Entity Code ; Age Band Code ; Sex Code </v>
      </c>
      <c r="N2129" s="297" t="s">
        <v>197</v>
      </c>
      <c r="O2129" s="297" t="s">
        <v>198</v>
      </c>
      <c r="P2129" s="297" t="s">
        <v>199</v>
      </c>
      <c r="Q2129" s="297" t="s">
        <v>200</v>
      </c>
      <c r="R2129" s="297" t="s">
        <v>213</v>
      </c>
      <c r="S2129" s="297" t="s">
        <v>214</v>
      </c>
    </row>
    <row r="2130" spans="1:19" x14ac:dyDescent="0.4">
      <c r="A2130" s="291"/>
      <c r="B2130" s="292"/>
      <c r="C2130" s="312"/>
      <c r="D2130" s="292"/>
      <c r="E2130" s="489"/>
      <c r="F2130" s="489"/>
      <c r="G2130" s="490"/>
      <c r="H2130" s="520"/>
      <c r="I2130" s="523"/>
      <c r="J2130" s="521"/>
      <c r="K2130" s="522"/>
      <c r="M2130" s="301" t="str">
        <f>N2130&amp;AS[[#This Row],[Insurer Code]]&amp;"; "&amp;O2130&amp;AS[[#This Row],[Reporting Year]]&amp;"; "&amp;P2130&amp;AS[[#This Row],[Insurance Category Code]]&amp;"; "&amp;Q2130&amp;AS[[#This Row],[Large Provider Entity Code]]&amp;"; "&amp;R2130&amp;AS[[#This Row],[Age Band Code]]&amp;"; "&amp;S2130&amp;AS[[#This Row],[Sex Code]]</f>
        <v xml:space="preserve">Insurer Code ; Reporting Year ; Insurance Category Code ; Large Provider Entity Code ; Age Band Code ; Sex Code </v>
      </c>
      <c r="N2130" s="297" t="s">
        <v>197</v>
      </c>
      <c r="O2130" s="297" t="s">
        <v>198</v>
      </c>
      <c r="P2130" s="297" t="s">
        <v>199</v>
      </c>
      <c r="Q2130" s="297" t="s">
        <v>200</v>
      </c>
      <c r="R2130" s="297" t="s">
        <v>213</v>
      </c>
      <c r="S2130" s="297" t="s">
        <v>214</v>
      </c>
    </row>
    <row r="2131" spans="1:19" x14ac:dyDescent="0.4">
      <c r="A2131" s="291"/>
      <c r="B2131" s="292"/>
      <c r="C2131" s="312"/>
      <c r="D2131" s="292"/>
      <c r="E2131" s="489"/>
      <c r="F2131" s="489"/>
      <c r="G2131" s="490"/>
      <c r="H2131" s="520"/>
      <c r="I2131" s="523"/>
      <c r="J2131" s="521"/>
      <c r="K2131" s="522"/>
      <c r="M2131" s="301" t="str">
        <f>N2131&amp;AS[[#This Row],[Insurer Code]]&amp;"; "&amp;O2131&amp;AS[[#This Row],[Reporting Year]]&amp;"; "&amp;P2131&amp;AS[[#This Row],[Insurance Category Code]]&amp;"; "&amp;Q2131&amp;AS[[#This Row],[Large Provider Entity Code]]&amp;"; "&amp;R2131&amp;AS[[#This Row],[Age Band Code]]&amp;"; "&amp;S2131&amp;AS[[#This Row],[Sex Code]]</f>
        <v xml:space="preserve">Insurer Code ; Reporting Year ; Insurance Category Code ; Large Provider Entity Code ; Age Band Code ; Sex Code </v>
      </c>
      <c r="N2131" s="297" t="s">
        <v>197</v>
      </c>
      <c r="O2131" s="297" t="s">
        <v>198</v>
      </c>
      <c r="P2131" s="297" t="s">
        <v>199</v>
      </c>
      <c r="Q2131" s="297" t="s">
        <v>200</v>
      </c>
      <c r="R2131" s="297" t="s">
        <v>213</v>
      </c>
      <c r="S2131" s="297" t="s">
        <v>214</v>
      </c>
    </row>
    <row r="2132" spans="1:19" x14ac:dyDescent="0.4">
      <c r="A2132" s="291"/>
      <c r="B2132" s="292"/>
      <c r="C2132" s="312"/>
      <c r="D2132" s="292"/>
      <c r="E2132" s="489"/>
      <c r="F2132" s="489"/>
      <c r="G2132" s="490"/>
      <c r="H2132" s="520"/>
      <c r="I2132" s="523"/>
      <c r="J2132" s="521"/>
      <c r="K2132" s="522"/>
      <c r="M2132" s="301" t="str">
        <f>N2132&amp;AS[[#This Row],[Insurer Code]]&amp;"; "&amp;O2132&amp;AS[[#This Row],[Reporting Year]]&amp;"; "&amp;P2132&amp;AS[[#This Row],[Insurance Category Code]]&amp;"; "&amp;Q2132&amp;AS[[#This Row],[Large Provider Entity Code]]&amp;"; "&amp;R2132&amp;AS[[#This Row],[Age Band Code]]&amp;"; "&amp;S2132&amp;AS[[#This Row],[Sex Code]]</f>
        <v xml:space="preserve">Insurer Code ; Reporting Year ; Insurance Category Code ; Large Provider Entity Code ; Age Band Code ; Sex Code </v>
      </c>
      <c r="N2132" s="297" t="s">
        <v>197</v>
      </c>
      <c r="O2132" s="297" t="s">
        <v>198</v>
      </c>
      <c r="P2132" s="297" t="s">
        <v>199</v>
      </c>
      <c r="Q2132" s="297" t="s">
        <v>200</v>
      </c>
      <c r="R2132" s="297" t="s">
        <v>213</v>
      </c>
      <c r="S2132" s="297" t="s">
        <v>214</v>
      </c>
    </row>
    <row r="2133" spans="1:19" x14ac:dyDescent="0.4">
      <c r="A2133" s="291"/>
      <c r="B2133" s="292"/>
      <c r="C2133" s="312"/>
      <c r="D2133" s="292"/>
      <c r="E2133" s="489"/>
      <c r="F2133" s="489"/>
      <c r="G2133" s="490"/>
      <c r="H2133" s="520"/>
      <c r="I2133" s="523"/>
      <c r="J2133" s="521"/>
      <c r="K2133" s="522"/>
      <c r="M2133" s="301" t="str">
        <f>N2133&amp;AS[[#This Row],[Insurer Code]]&amp;"; "&amp;O2133&amp;AS[[#This Row],[Reporting Year]]&amp;"; "&amp;P2133&amp;AS[[#This Row],[Insurance Category Code]]&amp;"; "&amp;Q2133&amp;AS[[#This Row],[Large Provider Entity Code]]&amp;"; "&amp;R2133&amp;AS[[#This Row],[Age Band Code]]&amp;"; "&amp;S2133&amp;AS[[#This Row],[Sex Code]]</f>
        <v xml:space="preserve">Insurer Code ; Reporting Year ; Insurance Category Code ; Large Provider Entity Code ; Age Band Code ; Sex Code </v>
      </c>
      <c r="N2133" s="297" t="s">
        <v>197</v>
      </c>
      <c r="O2133" s="297" t="s">
        <v>198</v>
      </c>
      <c r="P2133" s="297" t="s">
        <v>199</v>
      </c>
      <c r="Q2133" s="297" t="s">
        <v>200</v>
      </c>
      <c r="R2133" s="297" t="s">
        <v>213</v>
      </c>
      <c r="S2133" s="297" t="s">
        <v>214</v>
      </c>
    </row>
    <row r="2134" spans="1:19" x14ac:dyDescent="0.4">
      <c r="A2134" s="291"/>
      <c r="B2134" s="292"/>
      <c r="C2134" s="312"/>
      <c r="D2134" s="292"/>
      <c r="E2134" s="489"/>
      <c r="F2134" s="489"/>
      <c r="G2134" s="490"/>
      <c r="H2134" s="520"/>
      <c r="I2134" s="523"/>
      <c r="J2134" s="521"/>
      <c r="K2134" s="522"/>
      <c r="M2134" s="301" t="str">
        <f>N2134&amp;AS[[#This Row],[Insurer Code]]&amp;"; "&amp;O2134&amp;AS[[#This Row],[Reporting Year]]&amp;"; "&amp;P2134&amp;AS[[#This Row],[Insurance Category Code]]&amp;"; "&amp;Q2134&amp;AS[[#This Row],[Large Provider Entity Code]]&amp;"; "&amp;R2134&amp;AS[[#This Row],[Age Band Code]]&amp;"; "&amp;S2134&amp;AS[[#This Row],[Sex Code]]</f>
        <v xml:space="preserve">Insurer Code ; Reporting Year ; Insurance Category Code ; Large Provider Entity Code ; Age Band Code ; Sex Code </v>
      </c>
      <c r="N2134" s="297" t="s">
        <v>197</v>
      </c>
      <c r="O2134" s="297" t="s">
        <v>198</v>
      </c>
      <c r="P2134" s="297" t="s">
        <v>199</v>
      </c>
      <c r="Q2134" s="297" t="s">
        <v>200</v>
      </c>
      <c r="R2134" s="297" t="s">
        <v>213</v>
      </c>
      <c r="S2134" s="297" t="s">
        <v>214</v>
      </c>
    </row>
    <row r="2135" spans="1:19" x14ac:dyDescent="0.4">
      <c r="A2135" s="291"/>
      <c r="B2135" s="292"/>
      <c r="C2135" s="312"/>
      <c r="D2135" s="292"/>
      <c r="E2135" s="489"/>
      <c r="F2135" s="489"/>
      <c r="G2135" s="490"/>
      <c r="H2135" s="520"/>
      <c r="I2135" s="523"/>
      <c r="J2135" s="521"/>
      <c r="K2135" s="522"/>
      <c r="M2135" s="301" t="str">
        <f>N2135&amp;AS[[#This Row],[Insurer Code]]&amp;"; "&amp;O2135&amp;AS[[#This Row],[Reporting Year]]&amp;"; "&amp;P2135&amp;AS[[#This Row],[Insurance Category Code]]&amp;"; "&amp;Q2135&amp;AS[[#This Row],[Large Provider Entity Code]]&amp;"; "&amp;R2135&amp;AS[[#This Row],[Age Band Code]]&amp;"; "&amp;S2135&amp;AS[[#This Row],[Sex Code]]</f>
        <v xml:space="preserve">Insurer Code ; Reporting Year ; Insurance Category Code ; Large Provider Entity Code ; Age Band Code ; Sex Code </v>
      </c>
      <c r="N2135" s="297" t="s">
        <v>197</v>
      </c>
      <c r="O2135" s="297" t="s">
        <v>198</v>
      </c>
      <c r="P2135" s="297" t="s">
        <v>199</v>
      </c>
      <c r="Q2135" s="297" t="s">
        <v>200</v>
      </c>
      <c r="R2135" s="297" t="s">
        <v>213</v>
      </c>
      <c r="S2135" s="297" t="s">
        <v>214</v>
      </c>
    </row>
    <row r="2136" spans="1:19" x14ac:dyDescent="0.4">
      <c r="A2136" s="291"/>
      <c r="B2136" s="292"/>
      <c r="C2136" s="312"/>
      <c r="D2136" s="292"/>
      <c r="E2136" s="489"/>
      <c r="F2136" s="489"/>
      <c r="G2136" s="490"/>
      <c r="H2136" s="520"/>
      <c r="I2136" s="523"/>
      <c r="J2136" s="521"/>
      <c r="K2136" s="522"/>
      <c r="M2136" s="301" t="str">
        <f>N2136&amp;AS[[#This Row],[Insurer Code]]&amp;"; "&amp;O2136&amp;AS[[#This Row],[Reporting Year]]&amp;"; "&amp;P2136&amp;AS[[#This Row],[Insurance Category Code]]&amp;"; "&amp;Q2136&amp;AS[[#This Row],[Large Provider Entity Code]]&amp;"; "&amp;R2136&amp;AS[[#This Row],[Age Band Code]]&amp;"; "&amp;S2136&amp;AS[[#This Row],[Sex Code]]</f>
        <v xml:space="preserve">Insurer Code ; Reporting Year ; Insurance Category Code ; Large Provider Entity Code ; Age Band Code ; Sex Code </v>
      </c>
      <c r="N2136" s="297" t="s">
        <v>197</v>
      </c>
      <c r="O2136" s="297" t="s">
        <v>198</v>
      </c>
      <c r="P2136" s="297" t="s">
        <v>199</v>
      </c>
      <c r="Q2136" s="297" t="s">
        <v>200</v>
      </c>
      <c r="R2136" s="297" t="s">
        <v>213</v>
      </c>
      <c r="S2136" s="297" t="s">
        <v>214</v>
      </c>
    </row>
    <row r="2137" spans="1:19" x14ac:dyDescent="0.4">
      <c r="A2137" s="291"/>
      <c r="B2137" s="292"/>
      <c r="C2137" s="312"/>
      <c r="D2137" s="292"/>
      <c r="E2137" s="489"/>
      <c r="F2137" s="489"/>
      <c r="G2137" s="490"/>
      <c r="H2137" s="520"/>
      <c r="I2137" s="523"/>
      <c r="J2137" s="521"/>
      <c r="K2137" s="522"/>
      <c r="M2137" s="301" t="str">
        <f>N2137&amp;AS[[#This Row],[Insurer Code]]&amp;"; "&amp;O2137&amp;AS[[#This Row],[Reporting Year]]&amp;"; "&amp;P2137&amp;AS[[#This Row],[Insurance Category Code]]&amp;"; "&amp;Q2137&amp;AS[[#This Row],[Large Provider Entity Code]]&amp;"; "&amp;R2137&amp;AS[[#This Row],[Age Band Code]]&amp;"; "&amp;S2137&amp;AS[[#This Row],[Sex Code]]</f>
        <v xml:space="preserve">Insurer Code ; Reporting Year ; Insurance Category Code ; Large Provider Entity Code ; Age Band Code ; Sex Code </v>
      </c>
      <c r="N2137" s="297" t="s">
        <v>197</v>
      </c>
      <c r="O2137" s="297" t="s">
        <v>198</v>
      </c>
      <c r="P2137" s="297" t="s">
        <v>199</v>
      </c>
      <c r="Q2137" s="297" t="s">
        <v>200</v>
      </c>
      <c r="R2137" s="297" t="s">
        <v>213</v>
      </c>
      <c r="S2137" s="297" t="s">
        <v>214</v>
      </c>
    </row>
    <row r="2138" spans="1:19" x14ac:dyDescent="0.4">
      <c r="A2138" s="291"/>
      <c r="B2138" s="292"/>
      <c r="C2138" s="312"/>
      <c r="D2138" s="292"/>
      <c r="E2138" s="489"/>
      <c r="F2138" s="489"/>
      <c r="G2138" s="490"/>
      <c r="H2138" s="520"/>
      <c r="I2138" s="523"/>
      <c r="J2138" s="521"/>
      <c r="K2138" s="522"/>
      <c r="M2138" s="301" t="str">
        <f>N2138&amp;AS[[#This Row],[Insurer Code]]&amp;"; "&amp;O2138&amp;AS[[#This Row],[Reporting Year]]&amp;"; "&amp;P2138&amp;AS[[#This Row],[Insurance Category Code]]&amp;"; "&amp;Q2138&amp;AS[[#This Row],[Large Provider Entity Code]]&amp;"; "&amp;R2138&amp;AS[[#This Row],[Age Band Code]]&amp;"; "&amp;S2138&amp;AS[[#This Row],[Sex Code]]</f>
        <v xml:space="preserve">Insurer Code ; Reporting Year ; Insurance Category Code ; Large Provider Entity Code ; Age Band Code ; Sex Code </v>
      </c>
      <c r="N2138" s="297" t="s">
        <v>197</v>
      </c>
      <c r="O2138" s="297" t="s">
        <v>198</v>
      </c>
      <c r="P2138" s="297" t="s">
        <v>199</v>
      </c>
      <c r="Q2138" s="297" t="s">
        <v>200</v>
      </c>
      <c r="R2138" s="297" t="s">
        <v>213</v>
      </c>
      <c r="S2138" s="297" t="s">
        <v>214</v>
      </c>
    </row>
    <row r="2139" spans="1:19" x14ac:dyDescent="0.4">
      <c r="A2139" s="291"/>
      <c r="B2139" s="292"/>
      <c r="C2139" s="312"/>
      <c r="D2139" s="292"/>
      <c r="E2139" s="489"/>
      <c r="F2139" s="489"/>
      <c r="G2139" s="490"/>
      <c r="H2139" s="520"/>
      <c r="I2139" s="523"/>
      <c r="J2139" s="521"/>
      <c r="K2139" s="522"/>
      <c r="M2139" s="301" t="str">
        <f>N2139&amp;AS[[#This Row],[Insurer Code]]&amp;"; "&amp;O2139&amp;AS[[#This Row],[Reporting Year]]&amp;"; "&amp;P2139&amp;AS[[#This Row],[Insurance Category Code]]&amp;"; "&amp;Q2139&amp;AS[[#This Row],[Large Provider Entity Code]]&amp;"; "&amp;R2139&amp;AS[[#This Row],[Age Band Code]]&amp;"; "&amp;S2139&amp;AS[[#This Row],[Sex Code]]</f>
        <v xml:space="preserve">Insurer Code ; Reporting Year ; Insurance Category Code ; Large Provider Entity Code ; Age Band Code ; Sex Code </v>
      </c>
      <c r="N2139" s="297" t="s">
        <v>197</v>
      </c>
      <c r="O2139" s="297" t="s">
        <v>198</v>
      </c>
      <c r="P2139" s="297" t="s">
        <v>199</v>
      </c>
      <c r="Q2139" s="297" t="s">
        <v>200</v>
      </c>
      <c r="R2139" s="297" t="s">
        <v>213</v>
      </c>
      <c r="S2139" s="297" t="s">
        <v>214</v>
      </c>
    </row>
    <row r="2140" spans="1:19" x14ac:dyDescent="0.4">
      <c r="A2140" s="291"/>
      <c r="B2140" s="292"/>
      <c r="C2140" s="312"/>
      <c r="D2140" s="292"/>
      <c r="E2140" s="489"/>
      <c r="F2140" s="489"/>
      <c r="G2140" s="490"/>
      <c r="H2140" s="520"/>
      <c r="I2140" s="523"/>
      <c r="J2140" s="521"/>
      <c r="K2140" s="522"/>
      <c r="M2140" s="301" t="str">
        <f>N2140&amp;AS[[#This Row],[Insurer Code]]&amp;"; "&amp;O2140&amp;AS[[#This Row],[Reporting Year]]&amp;"; "&amp;P2140&amp;AS[[#This Row],[Insurance Category Code]]&amp;"; "&amp;Q2140&amp;AS[[#This Row],[Large Provider Entity Code]]&amp;"; "&amp;R2140&amp;AS[[#This Row],[Age Band Code]]&amp;"; "&amp;S2140&amp;AS[[#This Row],[Sex Code]]</f>
        <v xml:space="preserve">Insurer Code ; Reporting Year ; Insurance Category Code ; Large Provider Entity Code ; Age Band Code ; Sex Code </v>
      </c>
      <c r="N2140" s="297" t="s">
        <v>197</v>
      </c>
      <c r="O2140" s="297" t="s">
        <v>198</v>
      </c>
      <c r="P2140" s="297" t="s">
        <v>199</v>
      </c>
      <c r="Q2140" s="297" t="s">
        <v>200</v>
      </c>
      <c r="R2140" s="297" t="s">
        <v>213</v>
      </c>
      <c r="S2140" s="297" t="s">
        <v>214</v>
      </c>
    </row>
    <row r="2141" spans="1:19" x14ac:dyDescent="0.4">
      <c r="A2141" s="291"/>
      <c r="B2141" s="292"/>
      <c r="C2141" s="312"/>
      <c r="D2141" s="292"/>
      <c r="E2141" s="489"/>
      <c r="F2141" s="489"/>
      <c r="G2141" s="490"/>
      <c r="H2141" s="520"/>
      <c r="I2141" s="523"/>
      <c r="J2141" s="521"/>
      <c r="K2141" s="522"/>
      <c r="M2141" s="301" t="str">
        <f>N2141&amp;AS[[#This Row],[Insurer Code]]&amp;"; "&amp;O2141&amp;AS[[#This Row],[Reporting Year]]&amp;"; "&amp;P2141&amp;AS[[#This Row],[Insurance Category Code]]&amp;"; "&amp;Q2141&amp;AS[[#This Row],[Large Provider Entity Code]]&amp;"; "&amp;R2141&amp;AS[[#This Row],[Age Band Code]]&amp;"; "&amp;S2141&amp;AS[[#This Row],[Sex Code]]</f>
        <v xml:space="preserve">Insurer Code ; Reporting Year ; Insurance Category Code ; Large Provider Entity Code ; Age Band Code ; Sex Code </v>
      </c>
      <c r="N2141" s="297" t="s">
        <v>197</v>
      </c>
      <c r="O2141" s="297" t="s">
        <v>198</v>
      </c>
      <c r="P2141" s="297" t="s">
        <v>199</v>
      </c>
      <c r="Q2141" s="297" t="s">
        <v>200</v>
      </c>
      <c r="R2141" s="297" t="s">
        <v>213</v>
      </c>
      <c r="S2141" s="297" t="s">
        <v>214</v>
      </c>
    </row>
    <row r="2142" spans="1:19" x14ac:dyDescent="0.4">
      <c r="A2142" s="291"/>
      <c r="B2142" s="292"/>
      <c r="C2142" s="312"/>
      <c r="D2142" s="292"/>
      <c r="E2142" s="489"/>
      <c r="F2142" s="489"/>
      <c r="G2142" s="490"/>
      <c r="H2142" s="520"/>
      <c r="I2142" s="523"/>
      <c r="J2142" s="521"/>
      <c r="K2142" s="522"/>
      <c r="M2142" s="301" t="str">
        <f>N2142&amp;AS[[#This Row],[Insurer Code]]&amp;"; "&amp;O2142&amp;AS[[#This Row],[Reporting Year]]&amp;"; "&amp;P2142&amp;AS[[#This Row],[Insurance Category Code]]&amp;"; "&amp;Q2142&amp;AS[[#This Row],[Large Provider Entity Code]]&amp;"; "&amp;R2142&amp;AS[[#This Row],[Age Band Code]]&amp;"; "&amp;S2142&amp;AS[[#This Row],[Sex Code]]</f>
        <v xml:space="preserve">Insurer Code ; Reporting Year ; Insurance Category Code ; Large Provider Entity Code ; Age Band Code ; Sex Code </v>
      </c>
      <c r="N2142" s="297" t="s">
        <v>197</v>
      </c>
      <c r="O2142" s="297" t="s">
        <v>198</v>
      </c>
      <c r="P2142" s="297" t="s">
        <v>199</v>
      </c>
      <c r="Q2142" s="297" t="s">
        <v>200</v>
      </c>
      <c r="R2142" s="297" t="s">
        <v>213</v>
      </c>
      <c r="S2142" s="297" t="s">
        <v>214</v>
      </c>
    </row>
    <row r="2143" spans="1:19" x14ac:dyDescent="0.4">
      <c r="A2143" s="291"/>
      <c r="B2143" s="292"/>
      <c r="C2143" s="312"/>
      <c r="D2143" s="292"/>
      <c r="E2143" s="489"/>
      <c r="F2143" s="489"/>
      <c r="G2143" s="490"/>
      <c r="H2143" s="520"/>
      <c r="I2143" s="523"/>
      <c r="J2143" s="521"/>
      <c r="K2143" s="522"/>
      <c r="M2143" s="301" t="str">
        <f>N2143&amp;AS[[#This Row],[Insurer Code]]&amp;"; "&amp;O2143&amp;AS[[#This Row],[Reporting Year]]&amp;"; "&amp;P2143&amp;AS[[#This Row],[Insurance Category Code]]&amp;"; "&amp;Q2143&amp;AS[[#This Row],[Large Provider Entity Code]]&amp;"; "&amp;R2143&amp;AS[[#This Row],[Age Band Code]]&amp;"; "&amp;S2143&amp;AS[[#This Row],[Sex Code]]</f>
        <v xml:space="preserve">Insurer Code ; Reporting Year ; Insurance Category Code ; Large Provider Entity Code ; Age Band Code ; Sex Code </v>
      </c>
      <c r="N2143" s="297" t="s">
        <v>197</v>
      </c>
      <c r="O2143" s="297" t="s">
        <v>198</v>
      </c>
      <c r="P2143" s="297" t="s">
        <v>199</v>
      </c>
      <c r="Q2143" s="297" t="s">
        <v>200</v>
      </c>
      <c r="R2143" s="297" t="s">
        <v>213</v>
      </c>
      <c r="S2143" s="297" t="s">
        <v>214</v>
      </c>
    </row>
    <row r="2144" spans="1:19" x14ac:dyDescent="0.4">
      <c r="A2144" s="291"/>
      <c r="B2144" s="292"/>
      <c r="C2144" s="312"/>
      <c r="D2144" s="292"/>
      <c r="E2144" s="489"/>
      <c r="F2144" s="489"/>
      <c r="G2144" s="490"/>
      <c r="H2144" s="520"/>
      <c r="I2144" s="523"/>
      <c r="J2144" s="521"/>
      <c r="K2144" s="522"/>
      <c r="M2144" s="301" t="str">
        <f>N2144&amp;AS[[#This Row],[Insurer Code]]&amp;"; "&amp;O2144&amp;AS[[#This Row],[Reporting Year]]&amp;"; "&amp;P2144&amp;AS[[#This Row],[Insurance Category Code]]&amp;"; "&amp;Q2144&amp;AS[[#This Row],[Large Provider Entity Code]]&amp;"; "&amp;R2144&amp;AS[[#This Row],[Age Band Code]]&amp;"; "&amp;S2144&amp;AS[[#This Row],[Sex Code]]</f>
        <v xml:space="preserve">Insurer Code ; Reporting Year ; Insurance Category Code ; Large Provider Entity Code ; Age Band Code ; Sex Code </v>
      </c>
      <c r="N2144" s="297" t="s">
        <v>197</v>
      </c>
      <c r="O2144" s="297" t="s">
        <v>198</v>
      </c>
      <c r="P2144" s="297" t="s">
        <v>199</v>
      </c>
      <c r="Q2144" s="297" t="s">
        <v>200</v>
      </c>
      <c r="R2144" s="297" t="s">
        <v>213</v>
      </c>
      <c r="S2144" s="297" t="s">
        <v>214</v>
      </c>
    </row>
    <row r="2145" spans="1:19" x14ac:dyDescent="0.4">
      <c r="A2145" s="291"/>
      <c r="B2145" s="292"/>
      <c r="C2145" s="312"/>
      <c r="D2145" s="292"/>
      <c r="E2145" s="489"/>
      <c r="F2145" s="489"/>
      <c r="G2145" s="490"/>
      <c r="H2145" s="520"/>
      <c r="I2145" s="523"/>
      <c r="J2145" s="521"/>
      <c r="K2145" s="522"/>
      <c r="M2145" s="301" t="str">
        <f>N2145&amp;AS[[#This Row],[Insurer Code]]&amp;"; "&amp;O2145&amp;AS[[#This Row],[Reporting Year]]&amp;"; "&amp;P2145&amp;AS[[#This Row],[Insurance Category Code]]&amp;"; "&amp;Q2145&amp;AS[[#This Row],[Large Provider Entity Code]]&amp;"; "&amp;R2145&amp;AS[[#This Row],[Age Band Code]]&amp;"; "&amp;S2145&amp;AS[[#This Row],[Sex Code]]</f>
        <v xml:space="preserve">Insurer Code ; Reporting Year ; Insurance Category Code ; Large Provider Entity Code ; Age Band Code ; Sex Code </v>
      </c>
      <c r="N2145" s="297" t="s">
        <v>197</v>
      </c>
      <c r="O2145" s="297" t="s">
        <v>198</v>
      </c>
      <c r="P2145" s="297" t="s">
        <v>199</v>
      </c>
      <c r="Q2145" s="297" t="s">
        <v>200</v>
      </c>
      <c r="R2145" s="297" t="s">
        <v>213</v>
      </c>
      <c r="S2145" s="297" t="s">
        <v>214</v>
      </c>
    </row>
    <row r="2146" spans="1:19" x14ac:dyDescent="0.4">
      <c r="A2146" s="291"/>
      <c r="B2146" s="292"/>
      <c r="C2146" s="312"/>
      <c r="D2146" s="292"/>
      <c r="E2146" s="489"/>
      <c r="F2146" s="489"/>
      <c r="G2146" s="490"/>
      <c r="H2146" s="520"/>
      <c r="I2146" s="523"/>
      <c r="J2146" s="521"/>
      <c r="K2146" s="522"/>
      <c r="M2146" s="301" t="str">
        <f>N2146&amp;AS[[#This Row],[Insurer Code]]&amp;"; "&amp;O2146&amp;AS[[#This Row],[Reporting Year]]&amp;"; "&amp;P2146&amp;AS[[#This Row],[Insurance Category Code]]&amp;"; "&amp;Q2146&amp;AS[[#This Row],[Large Provider Entity Code]]&amp;"; "&amp;R2146&amp;AS[[#This Row],[Age Band Code]]&amp;"; "&amp;S2146&amp;AS[[#This Row],[Sex Code]]</f>
        <v xml:space="preserve">Insurer Code ; Reporting Year ; Insurance Category Code ; Large Provider Entity Code ; Age Band Code ; Sex Code </v>
      </c>
      <c r="N2146" s="297" t="s">
        <v>197</v>
      </c>
      <c r="O2146" s="297" t="s">
        <v>198</v>
      </c>
      <c r="P2146" s="297" t="s">
        <v>199</v>
      </c>
      <c r="Q2146" s="297" t="s">
        <v>200</v>
      </c>
      <c r="R2146" s="297" t="s">
        <v>213</v>
      </c>
      <c r="S2146" s="297" t="s">
        <v>214</v>
      </c>
    </row>
    <row r="2147" spans="1:19" x14ac:dyDescent="0.4">
      <c r="A2147" s="291"/>
      <c r="B2147" s="292"/>
      <c r="C2147" s="312"/>
      <c r="D2147" s="292"/>
      <c r="E2147" s="489"/>
      <c r="F2147" s="489"/>
      <c r="G2147" s="490"/>
      <c r="H2147" s="520"/>
      <c r="I2147" s="523"/>
      <c r="J2147" s="521"/>
      <c r="K2147" s="522"/>
      <c r="M2147" s="301" t="str">
        <f>N2147&amp;AS[[#This Row],[Insurer Code]]&amp;"; "&amp;O2147&amp;AS[[#This Row],[Reporting Year]]&amp;"; "&amp;P2147&amp;AS[[#This Row],[Insurance Category Code]]&amp;"; "&amp;Q2147&amp;AS[[#This Row],[Large Provider Entity Code]]&amp;"; "&amp;R2147&amp;AS[[#This Row],[Age Band Code]]&amp;"; "&amp;S2147&amp;AS[[#This Row],[Sex Code]]</f>
        <v xml:space="preserve">Insurer Code ; Reporting Year ; Insurance Category Code ; Large Provider Entity Code ; Age Band Code ; Sex Code </v>
      </c>
      <c r="N2147" s="297" t="s">
        <v>197</v>
      </c>
      <c r="O2147" s="297" t="s">
        <v>198</v>
      </c>
      <c r="P2147" s="297" t="s">
        <v>199</v>
      </c>
      <c r="Q2147" s="297" t="s">
        <v>200</v>
      </c>
      <c r="R2147" s="297" t="s">
        <v>213</v>
      </c>
      <c r="S2147" s="297" t="s">
        <v>214</v>
      </c>
    </row>
    <row r="2148" spans="1:19" x14ac:dyDescent="0.4">
      <c r="A2148" s="291"/>
      <c r="B2148" s="292"/>
      <c r="C2148" s="312"/>
      <c r="D2148" s="292"/>
      <c r="E2148" s="489"/>
      <c r="F2148" s="489"/>
      <c r="G2148" s="490"/>
      <c r="H2148" s="520"/>
      <c r="I2148" s="523"/>
      <c r="J2148" s="521"/>
      <c r="K2148" s="522"/>
      <c r="M2148" s="301" t="str">
        <f>N2148&amp;AS[[#This Row],[Insurer Code]]&amp;"; "&amp;O2148&amp;AS[[#This Row],[Reporting Year]]&amp;"; "&amp;P2148&amp;AS[[#This Row],[Insurance Category Code]]&amp;"; "&amp;Q2148&amp;AS[[#This Row],[Large Provider Entity Code]]&amp;"; "&amp;R2148&amp;AS[[#This Row],[Age Band Code]]&amp;"; "&amp;S2148&amp;AS[[#This Row],[Sex Code]]</f>
        <v xml:space="preserve">Insurer Code ; Reporting Year ; Insurance Category Code ; Large Provider Entity Code ; Age Band Code ; Sex Code </v>
      </c>
      <c r="N2148" s="297" t="s">
        <v>197</v>
      </c>
      <c r="O2148" s="297" t="s">
        <v>198</v>
      </c>
      <c r="P2148" s="297" t="s">
        <v>199</v>
      </c>
      <c r="Q2148" s="297" t="s">
        <v>200</v>
      </c>
      <c r="R2148" s="297" t="s">
        <v>213</v>
      </c>
      <c r="S2148" s="297" t="s">
        <v>214</v>
      </c>
    </row>
    <row r="2149" spans="1:19" x14ac:dyDescent="0.4">
      <c r="A2149" s="291"/>
      <c r="B2149" s="292"/>
      <c r="C2149" s="312"/>
      <c r="D2149" s="292"/>
      <c r="E2149" s="489"/>
      <c r="F2149" s="489"/>
      <c r="G2149" s="490"/>
      <c r="H2149" s="520"/>
      <c r="I2149" s="523"/>
      <c r="J2149" s="521"/>
      <c r="K2149" s="522"/>
      <c r="M2149" s="301" t="str">
        <f>N2149&amp;AS[[#This Row],[Insurer Code]]&amp;"; "&amp;O2149&amp;AS[[#This Row],[Reporting Year]]&amp;"; "&amp;P2149&amp;AS[[#This Row],[Insurance Category Code]]&amp;"; "&amp;Q2149&amp;AS[[#This Row],[Large Provider Entity Code]]&amp;"; "&amp;R2149&amp;AS[[#This Row],[Age Band Code]]&amp;"; "&amp;S2149&amp;AS[[#This Row],[Sex Code]]</f>
        <v xml:space="preserve">Insurer Code ; Reporting Year ; Insurance Category Code ; Large Provider Entity Code ; Age Band Code ; Sex Code </v>
      </c>
      <c r="N2149" s="297" t="s">
        <v>197</v>
      </c>
      <c r="O2149" s="297" t="s">
        <v>198</v>
      </c>
      <c r="P2149" s="297" t="s">
        <v>199</v>
      </c>
      <c r="Q2149" s="297" t="s">
        <v>200</v>
      </c>
      <c r="R2149" s="297" t="s">
        <v>213</v>
      </c>
      <c r="S2149" s="297" t="s">
        <v>214</v>
      </c>
    </row>
    <row r="2150" spans="1:19" x14ac:dyDescent="0.4">
      <c r="A2150" s="291"/>
      <c r="B2150" s="292"/>
      <c r="C2150" s="312"/>
      <c r="D2150" s="292"/>
      <c r="E2150" s="489"/>
      <c r="F2150" s="489"/>
      <c r="G2150" s="490"/>
      <c r="H2150" s="520"/>
      <c r="I2150" s="523"/>
      <c r="J2150" s="521"/>
      <c r="K2150" s="522"/>
      <c r="M2150" s="301" t="str">
        <f>N2150&amp;AS[[#This Row],[Insurer Code]]&amp;"; "&amp;O2150&amp;AS[[#This Row],[Reporting Year]]&amp;"; "&amp;P2150&amp;AS[[#This Row],[Insurance Category Code]]&amp;"; "&amp;Q2150&amp;AS[[#This Row],[Large Provider Entity Code]]&amp;"; "&amp;R2150&amp;AS[[#This Row],[Age Band Code]]&amp;"; "&amp;S2150&amp;AS[[#This Row],[Sex Code]]</f>
        <v xml:space="preserve">Insurer Code ; Reporting Year ; Insurance Category Code ; Large Provider Entity Code ; Age Band Code ; Sex Code </v>
      </c>
      <c r="N2150" s="297" t="s">
        <v>197</v>
      </c>
      <c r="O2150" s="297" t="s">
        <v>198</v>
      </c>
      <c r="P2150" s="297" t="s">
        <v>199</v>
      </c>
      <c r="Q2150" s="297" t="s">
        <v>200</v>
      </c>
      <c r="R2150" s="297" t="s">
        <v>213</v>
      </c>
      <c r="S2150" s="297" t="s">
        <v>214</v>
      </c>
    </row>
    <row r="2151" spans="1:19" x14ac:dyDescent="0.4">
      <c r="A2151" s="291"/>
      <c r="B2151" s="292"/>
      <c r="C2151" s="312"/>
      <c r="D2151" s="292"/>
      <c r="E2151" s="489"/>
      <c r="F2151" s="489"/>
      <c r="G2151" s="490"/>
      <c r="H2151" s="520"/>
      <c r="I2151" s="523"/>
      <c r="J2151" s="521"/>
      <c r="K2151" s="522"/>
      <c r="M2151" s="301" t="str">
        <f>N2151&amp;AS[[#This Row],[Insurer Code]]&amp;"; "&amp;O2151&amp;AS[[#This Row],[Reporting Year]]&amp;"; "&amp;P2151&amp;AS[[#This Row],[Insurance Category Code]]&amp;"; "&amp;Q2151&amp;AS[[#This Row],[Large Provider Entity Code]]&amp;"; "&amp;R2151&amp;AS[[#This Row],[Age Band Code]]&amp;"; "&amp;S2151&amp;AS[[#This Row],[Sex Code]]</f>
        <v xml:space="preserve">Insurer Code ; Reporting Year ; Insurance Category Code ; Large Provider Entity Code ; Age Band Code ; Sex Code </v>
      </c>
      <c r="N2151" s="297" t="s">
        <v>197</v>
      </c>
      <c r="O2151" s="297" t="s">
        <v>198</v>
      </c>
      <c r="P2151" s="297" t="s">
        <v>199</v>
      </c>
      <c r="Q2151" s="297" t="s">
        <v>200</v>
      </c>
      <c r="R2151" s="297" t="s">
        <v>213</v>
      </c>
      <c r="S2151" s="297" t="s">
        <v>214</v>
      </c>
    </row>
    <row r="2152" spans="1:19" x14ac:dyDescent="0.4">
      <c r="A2152" s="291"/>
      <c r="B2152" s="292"/>
      <c r="C2152" s="312"/>
      <c r="D2152" s="292"/>
      <c r="E2152" s="489"/>
      <c r="F2152" s="489"/>
      <c r="G2152" s="490"/>
      <c r="H2152" s="520"/>
      <c r="I2152" s="523"/>
      <c r="J2152" s="521"/>
      <c r="K2152" s="522"/>
      <c r="M2152" s="301" t="str">
        <f>N2152&amp;AS[[#This Row],[Insurer Code]]&amp;"; "&amp;O2152&amp;AS[[#This Row],[Reporting Year]]&amp;"; "&amp;P2152&amp;AS[[#This Row],[Insurance Category Code]]&amp;"; "&amp;Q2152&amp;AS[[#This Row],[Large Provider Entity Code]]&amp;"; "&amp;R2152&amp;AS[[#This Row],[Age Band Code]]&amp;"; "&amp;S2152&amp;AS[[#This Row],[Sex Code]]</f>
        <v xml:space="preserve">Insurer Code ; Reporting Year ; Insurance Category Code ; Large Provider Entity Code ; Age Band Code ; Sex Code </v>
      </c>
      <c r="N2152" s="297" t="s">
        <v>197</v>
      </c>
      <c r="O2152" s="297" t="s">
        <v>198</v>
      </c>
      <c r="P2152" s="297" t="s">
        <v>199</v>
      </c>
      <c r="Q2152" s="297" t="s">
        <v>200</v>
      </c>
      <c r="R2152" s="297" t="s">
        <v>213</v>
      </c>
      <c r="S2152" s="297" t="s">
        <v>214</v>
      </c>
    </row>
    <row r="2153" spans="1:19" x14ac:dyDescent="0.4">
      <c r="A2153" s="291"/>
      <c r="B2153" s="292"/>
      <c r="C2153" s="312"/>
      <c r="D2153" s="292"/>
      <c r="E2153" s="489"/>
      <c r="F2153" s="489"/>
      <c r="G2153" s="490"/>
      <c r="H2153" s="520"/>
      <c r="I2153" s="523"/>
      <c r="J2153" s="521"/>
      <c r="K2153" s="522"/>
      <c r="M2153" s="301" t="str">
        <f>N2153&amp;AS[[#This Row],[Insurer Code]]&amp;"; "&amp;O2153&amp;AS[[#This Row],[Reporting Year]]&amp;"; "&amp;P2153&amp;AS[[#This Row],[Insurance Category Code]]&amp;"; "&amp;Q2153&amp;AS[[#This Row],[Large Provider Entity Code]]&amp;"; "&amp;R2153&amp;AS[[#This Row],[Age Band Code]]&amp;"; "&amp;S2153&amp;AS[[#This Row],[Sex Code]]</f>
        <v xml:space="preserve">Insurer Code ; Reporting Year ; Insurance Category Code ; Large Provider Entity Code ; Age Band Code ; Sex Code </v>
      </c>
      <c r="N2153" s="297" t="s">
        <v>197</v>
      </c>
      <c r="O2153" s="297" t="s">
        <v>198</v>
      </c>
      <c r="P2153" s="297" t="s">
        <v>199</v>
      </c>
      <c r="Q2153" s="297" t="s">
        <v>200</v>
      </c>
      <c r="R2153" s="297" t="s">
        <v>213</v>
      </c>
      <c r="S2153" s="297" t="s">
        <v>214</v>
      </c>
    </row>
    <row r="2154" spans="1:19" x14ac:dyDescent="0.4">
      <c r="A2154" s="291"/>
      <c r="B2154" s="292"/>
      <c r="C2154" s="312"/>
      <c r="D2154" s="292"/>
      <c r="E2154" s="489"/>
      <c r="F2154" s="489"/>
      <c r="G2154" s="490"/>
      <c r="H2154" s="520"/>
      <c r="I2154" s="523"/>
      <c r="J2154" s="521"/>
      <c r="K2154" s="522"/>
      <c r="M2154" s="301" t="str">
        <f>N2154&amp;AS[[#This Row],[Insurer Code]]&amp;"; "&amp;O2154&amp;AS[[#This Row],[Reporting Year]]&amp;"; "&amp;P2154&amp;AS[[#This Row],[Insurance Category Code]]&amp;"; "&amp;Q2154&amp;AS[[#This Row],[Large Provider Entity Code]]&amp;"; "&amp;R2154&amp;AS[[#This Row],[Age Band Code]]&amp;"; "&amp;S2154&amp;AS[[#This Row],[Sex Code]]</f>
        <v xml:space="preserve">Insurer Code ; Reporting Year ; Insurance Category Code ; Large Provider Entity Code ; Age Band Code ; Sex Code </v>
      </c>
      <c r="N2154" s="297" t="s">
        <v>197</v>
      </c>
      <c r="O2154" s="297" t="s">
        <v>198</v>
      </c>
      <c r="P2154" s="297" t="s">
        <v>199</v>
      </c>
      <c r="Q2154" s="297" t="s">
        <v>200</v>
      </c>
      <c r="R2154" s="297" t="s">
        <v>213</v>
      </c>
      <c r="S2154" s="297" t="s">
        <v>214</v>
      </c>
    </row>
    <row r="2155" spans="1:19" x14ac:dyDescent="0.4">
      <c r="A2155" s="291"/>
      <c r="B2155" s="292"/>
      <c r="C2155" s="312"/>
      <c r="D2155" s="292"/>
      <c r="E2155" s="489"/>
      <c r="F2155" s="489"/>
      <c r="G2155" s="490"/>
      <c r="H2155" s="520"/>
      <c r="I2155" s="523"/>
      <c r="J2155" s="521"/>
      <c r="K2155" s="522"/>
      <c r="M2155" s="301" t="str">
        <f>N2155&amp;AS[[#This Row],[Insurer Code]]&amp;"; "&amp;O2155&amp;AS[[#This Row],[Reporting Year]]&amp;"; "&amp;P2155&amp;AS[[#This Row],[Insurance Category Code]]&amp;"; "&amp;Q2155&amp;AS[[#This Row],[Large Provider Entity Code]]&amp;"; "&amp;R2155&amp;AS[[#This Row],[Age Band Code]]&amp;"; "&amp;S2155&amp;AS[[#This Row],[Sex Code]]</f>
        <v xml:space="preserve">Insurer Code ; Reporting Year ; Insurance Category Code ; Large Provider Entity Code ; Age Band Code ; Sex Code </v>
      </c>
      <c r="N2155" s="297" t="s">
        <v>197</v>
      </c>
      <c r="O2155" s="297" t="s">
        <v>198</v>
      </c>
      <c r="P2155" s="297" t="s">
        <v>199</v>
      </c>
      <c r="Q2155" s="297" t="s">
        <v>200</v>
      </c>
      <c r="R2155" s="297" t="s">
        <v>213</v>
      </c>
      <c r="S2155" s="297" t="s">
        <v>214</v>
      </c>
    </row>
    <row r="2156" spans="1:19" x14ac:dyDescent="0.4">
      <c r="A2156" s="291"/>
      <c r="B2156" s="292"/>
      <c r="C2156" s="312"/>
      <c r="D2156" s="292"/>
      <c r="E2156" s="489"/>
      <c r="F2156" s="489"/>
      <c r="G2156" s="490"/>
      <c r="H2156" s="520"/>
      <c r="I2156" s="523"/>
      <c r="J2156" s="521"/>
      <c r="K2156" s="522"/>
      <c r="M2156" s="301" t="str">
        <f>N2156&amp;AS[[#This Row],[Insurer Code]]&amp;"; "&amp;O2156&amp;AS[[#This Row],[Reporting Year]]&amp;"; "&amp;P2156&amp;AS[[#This Row],[Insurance Category Code]]&amp;"; "&amp;Q2156&amp;AS[[#This Row],[Large Provider Entity Code]]&amp;"; "&amp;R2156&amp;AS[[#This Row],[Age Band Code]]&amp;"; "&amp;S2156&amp;AS[[#This Row],[Sex Code]]</f>
        <v xml:space="preserve">Insurer Code ; Reporting Year ; Insurance Category Code ; Large Provider Entity Code ; Age Band Code ; Sex Code </v>
      </c>
      <c r="N2156" s="297" t="s">
        <v>197</v>
      </c>
      <c r="O2156" s="297" t="s">
        <v>198</v>
      </c>
      <c r="P2156" s="297" t="s">
        <v>199</v>
      </c>
      <c r="Q2156" s="297" t="s">
        <v>200</v>
      </c>
      <c r="R2156" s="297" t="s">
        <v>213</v>
      </c>
      <c r="S2156" s="297" t="s">
        <v>214</v>
      </c>
    </row>
    <row r="2157" spans="1:19" x14ac:dyDescent="0.4">
      <c r="A2157" s="291"/>
      <c r="B2157" s="292"/>
      <c r="C2157" s="312"/>
      <c r="D2157" s="292"/>
      <c r="E2157" s="489"/>
      <c r="F2157" s="489"/>
      <c r="G2157" s="490"/>
      <c r="H2157" s="520"/>
      <c r="I2157" s="523"/>
      <c r="J2157" s="521"/>
      <c r="K2157" s="522"/>
      <c r="M2157" s="301" t="str">
        <f>N2157&amp;AS[[#This Row],[Insurer Code]]&amp;"; "&amp;O2157&amp;AS[[#This Row],[Reporting Year]]&amp;"; "&amp;P2157&amp;AS[[#This Row],[Insurance Category Code]]&amp;"; "&amp;Q2157&amp;AS[[#This Row],[Large Provider Entity Code]]&amp;"; "&amp;R2157&amp;AS[[#This Row],[Age Band Code]]&amp;"; "&amp;S2157&amp;AS[[#This Row],[Sex Code]]</f>
        <v xml:space="preserve">Insurer Code ; Reporting Year ; Insurance Category Code ; Large Provider Entity Code ; Age Band Code ; Sex Code </v>
      </c>
      <c r="N2157" s="297" t="s">
        <v>197</v>
      </c>
      <c r="O2157" s="297" t="s">
        <v>198</v>
      </c>
      <c r="P2157" s="297" t="s">
        <v>199</v>
      </c>
      <c r="Q2157" s="297" t="s">
        <v>200</v>
      </c>
      <c r="R2157" s="297" t="s">
        <v>213</v>
      </c>
      <c r="S2157" s="297" t="s">
        <v>214</v>
      </c>
    </row>
    <row r="2158" spans="1:19" x14ac:dyDescent="0.4">
      <c r="A2158" s="291"/>
      <c r="B2158" s="292"/>
      <c r="C2158" s="312"/>
      <c r="D2158" s="292"/>
      <c r="E2158" s="489"/>
      <c r="F2158" s="489"/>
      <c r="G2158" s="490"/>
      <c r="H2158" s="520"/>
      <c r="I2158" s="523"/>
      <c r="J2158" s="521"/>
      <c r="K2158" s="522"/>
      <c r="M2158" s="301" t="str">
        <f>N2158&amp;AS[[#This Row],[Insurer Code]]&amp;"; "&amp;O2158&amp;AS[[#This Row],[Reporting Year]]&amp;"; "&amp;P2158&amp;AS[[#This Row],[Insurance Category Code]]&amp;"; "&amp;Q2158&amp;AS[[#This Row],[Large Provider Entity Code]]&amp;"; "&amp;R2158&amp;AS[[#This Row],[Age Band Code]]&amp;"; "&amp;S2158&amp;AS[[#This Row],[Sex Code]]</f>
        <v xml:space="preserve">Insurer Code ; Reporting Year ; Insurance Category Code ; Large Provider Entity Code ; Age Band Code ; Sex Code </v>
      </c>
      <c r="N2158" s="297" t="s">
        <v>197</v>
      </c>
      <c r="O2158" s="297" t="s">
        <v>198</v>
      </c>
      <c r="P2158" s="297" t="s">
        <v>199</v>
      </c>
      <c r="Q2158" s="297" t="s">
        <v>200</v>
      </c>
      <c r="R2158" s="297" t="s">
        <v>213</v>
      </c>
      <c r="S2158" s="297" t="s">
        <v>214</v>
      </c>
    </row>
    <row r="2159" spans="1:19" x14ac:dyDescent="0.4">
      <c r="A2159" s="291"/>
      <c r="B2159" s="292"/>
      <c r="C2159" s="312"/>
      <c r="D2159" s="292"/>
      <c r="E2159" s="489"/>
      <c r="F2159" s="489"/>
      <c r="G2159" s="490"/>
      <c r="H2159" s="520"/>
      <c r="I2159" s="523"/>
      <c r="J2159" s="521"/>
      <c r="K2159" s="522"/>
      <c r="M2159" s="301" t="str">
        <f>N2159&amp;AS[[#This Row],[Insurer Code]]&amp;"; "&amp;O2159&amp;AS[[#This Row],[Reporting Year]]&amp;"; "&amp;P2159&amp;AS[[#This Row],[Insurance Category Code]]&amp;"; "&amp;Q2159&amp;AS[[#This Row],[Large Provider Entity Code]]&amp;"; "&amp;R2159&amp;AS[[#This Row],[Age Band Code]]&amp;"; "&amp;S2159&amp;AS[[#This Row],[Sex Code]]</f>
        <v xml:space="preserve">Insurer Code ; Reporting Year ; Insurance Category Code ; Large Provider Entity Code ; Age Band Code ; Sex Code </v>
      </c>
      <c r="N2159" s="297" t="s">
        <v>197</v>
      </c>
      <c r="O2159" s="297" t="s">
        <v>198</v>
      </c>
      <c r="P2159" s="297" t="s">
        <v>199</v>
      </c>
      <c r="Q2159" s="297" t="s">
        <v>200</v>
      </c>
      <c r="R2159" s="297" t="s">
        <v>213</v>
      </c>
      <c r="S2159" s="297" t="s">
        <v>214</v>
      </c>
    </row>
    <row r="2160" spans="1:19" x14ac:dyDescent="0.4">
      <c r="A2160" s="291"/>
      <c r="B2160" s="292"/>
      <c r="C2160" s="312"/>
      <c r="D2160" s="292"/>
      <c r="E2160" s="489"/>
      <c r="F2160" s="489"/>
      <c r="G2160" s="490"/>
      <c r="H2160" s="520"/>
      <c r="I2160" s="523"/>
      <c r="J2160" s="521"/>
      <c r="K2160" s="522"/>
      <c r="M2160" s="301" t="str">
        <f>N2160&amp;AS[[#This Row],[Insurer Code]]&amp;"; "&amp;O2160&amp;AS[[#This Row],[Reporting Year]]&amp;"; "&amp;P2160&amp;AS[[#This Row],[Insurance Category Code]]&amp;"; "&amp;Q2160&amp;AS[[#This Row],[Large Provider Entity Code]]&amp;"; "&amp;R2160&amp;AS[[#This Row],[Age Band Code]]&amp;"; "&amp;S2160&amp;AS[[#This Row],[Sex Code]]</f>
        <v xml:space="preserve">Insurer Code ; Reporting Year ; Insurance Category Code ; Large Provider Entity Code ; Age Band Code ; Sex Code </v>
      </c>
      <c r="N2160" s="297" t="s">
        <v>197</v>
      </c>
      <c r="O2160" s="297" t="s">
        <v>198</v>
      </c>
      <c r="P2160" s="297" t="s">
        <v>199</v>
      </c>
      <c r="Q2160" s="297" t="s">
        <v>200</v>
      </c>
      <c r="R2160" s="297" t="s">
        <v>213</v>
      </c>
      <c r="S2160" s="297" t="s">
        <v>214</v>
      </c>
    </row>
    <row r="2161" spans="1:19" x14ac:dyDescent="0.4">
      <c r="A2161" s="291"/>
      <c r="B2161" s="292"/>
      <c r="C2161" s="312"/>
      <c r="D2161" s="292"/>
      <c r="E2161" s="489"/>
      <c r="F2161" s="489"/>
      <c r="G2161" s="490"/>
      <c r="H2161" s="520"/>
      <c r="I2161" s="523"/>
      <c r="J2161" s="521"/>
      <c r="K2161" s="522"/>
      <c r="M2161" s="301" t="str">
        <f>N2161&amp;AS[[#This Row],[Insurer Code]]&amp;"; "&amp;O2161&amp;AS[[#This Row],[Reporting Year]]&amp;"; "&amp;P2161&amp;AS[[#This Row],[Insurance Category Code]]&amp;"; "&amp;Q2161&amp;AS[[#This Row],[Large Provider Entity Code]]&amp;"; "&amp;R2161&amp;AS[[#This Row],[Age Band Code]]&amp;"; "&amp;S2161&amp;AS[[#This Row],[Sex Code]]</f>
        <v xml:space="preserve">Insurer Code ; Reporting Year ; Insurance Category Code ; Large Provider Entity Code ; Age Band Code ; Sex Code </v>
      </c>
      <c r="N2161" s="297" t="s">
        <v>197</v>
      </c>
      <c r="O2161" s="297" t="s">
        <v>198</v>
      </c>
      <c r="P2161" s="297" t="s">
        <v>199</v>
      </c>
      <c r="Q2161" s="297" t="s">
        <v>200</v>
      </c>
      <c r="R2161" s="297" t="s">
        <v>213</v>
      </c>
      <c r="S2161" s="297" t="s">
        <v>214</v>
      </c>
    </row>
    <row r="2162" spans="1:19" x14ac:dyDescent="0.4">
      <c r="A2162" s="291"/>
      <c r="B2162" s="292"/>
      <c r="C2162" s="312"/>
      <c r="D2162" s="292"/>
      <c r="E2162" s="489"/>
      <c r="F2162" s="489"/>
      <c r="G2162" s="490"/>
      <c r="H2162" s="520"/>
      <c r="I2162" s="523"/>
      <c r="J2162" s="521"/>
      <c r="K2162" s="522"/>
      <c r="M2162" s="301" t="str">
        <f>N2162&amp;AS[[#This Row],[Insurer Code]]&amp;"; "&amp;O2162&amp;AS[[#This Row],[Reporting Year]]&amp;"; "&amp;P2162&amp;AS[[#This Row],[Insurance Category Code]]&amp;"; "&amp;Q2162&amp;AS[[#This Row],[Large Provider Entity Code]]&amp;"; "&amp;R2162&amp;AS[[#This Row],[Age Band Code]]&amp;"; "&amp;S2162&amp;AS[[#This Row],[Sex Code]]</f>
        <v xml:space="preserve">Insurer Code ; Reporting Year ; Insurance Category Code ; Large Provider Entity Code ; Age Band Code ; Sex Code </v>
      </c>
      <c r="N2162" s="297" t="s">
        <v>197</v>
      </c>
      <c r="O2162" s="297" t="s">
        <v>198</v>
      </c>
      <c r="P2162" s="297" t="s">
        <v>199</v>
      </c>
      <c r="Q2162" s="297" t="s">
        <v>200</v>
      </c>
      <c r="R2162" s="297" t="s">
        <v>213</v>
      </c>
      <c r="S2162" s="297" t="s">
        <v>214</v>
      </c>
    </row>
    <row r="2163" spans="1:19" x14ac:dyDescent="0.4">
      <c r="A2163" s="291"/>
      <c r="B2163" s="292"/>
      <c r="C2163" s="312"/>
      <c r="D2163" s="292"/>
      <c r="E2163" s="489"/>
      <c r="F2163" s="489"/>
      <c r="G2163" s="490"/>
      <c r="H2163" s="520"/>
      <c r="I2163" s="523"/>
      <c r="J2163" s="521"/>
      <c r="K2163" s="522"/>
      <c r="M2163" s="301" t="str">
        <f>N2163&amp;AS[[#This Row],[Insurer Code]]&amp;"; "&amp;O2163&amp;AS[[#This Row],[Reporting Year]]&amp;"; "&amp;P2163&amp;AS[[#This Row],[Insurance Category Code]]&amp;"; "&amp;Q2163&amp;AS[[#This Row],[Large Provider Entity Code]]&amp;"; "&amp;R2163&amp;AS[[#This Row],[Age Band Code]]&amp;"; "&amp;S2163&amp;AS[[#This Row],[Sex Code]]</f>
        <v xml:space="preserve">Insurer Code ; Reporting Year ; Insurance Category Code ; Large Provider Entity Code ; Age Band Code ; Sex Code </v>
      </c>
      <c r="N2163" s="297" t="s">
        <v>197</v>
      </c>
      <c r="O2163" s="297" t="s">
        <v>198</v>
      </c>
      <c r="P2163" s="297" t="s">
        <v>199</v>
      </c>
      <c r="Q2163" s="297" t="s">
        <v>200</v>
      </c>
      <c r="R2163" s="297" t="s">
        <v>213</v>
      </c>
      <c r="S2163" s="297" t="s">
        <v>214</v>
      </c>
    </row>
    <row r="2164" spans="1:19" x14ac:dyDescent="0.4">
      <c r="A2164" s="291"/>
      <c r="B2164" s="292"/>
      <c r="C2164" s="312"/>
      <c r="D2164" s="292"/>
      <c r="E2164" s="489"/>
      <c r="F2164" s="489"/>
      <c r="G2164" s="490"/>
      <c r="H2164" s="520"/>
      <c r="I2164" s="523"/>
      <c r="J2164" s="521"/>
      <c r="K2164" s="522"/>
      <c r="M2164" s="301" t="str">
        <f>N2164&amp;AS[[#This Row],[Insurer Code]]&amp;"; "&amp;O2164&amp;AS[[#This Row],[Reporting Year]]&amp;"; "&amp;P2164&amp;AS[[#This Row],[Insurance Category Code]]&amp;"; "&amp;Q2164&amp;AS[[#This Row],[Large Provider Entity Code]]&amp;"; "&amp;R2164&amp;AS[[#This Row],[Age Band Code]]&amp;"; "&amp;S2164&amp;AS[[#This Row],[Sex Code]]</f>
        <v xml:space="preserve">Insurer Code ; Reporting Year ; Insurance Category Code ; Large Provider Entity Code ; Age Band Code ; Sex Code </v>
      </c>
      <c r="N2164" s="297" t="s">
        <v>197</v>
      </c>
      <c r="O2164" s="297" t="s">
        <v>198</v>
      </c>
      <c r="P2164" s="297" t="s">
        <v>199</v>
      </c>
      <c r="Q2164" s="297" t="s">
        <v>200</v>
      </c>
      <c r="R2164" s="297" t="s">
        <v>213</v>
      </c>
      <c r="S2164" s="297" t="s">
        <v>214</v>
      </c>
    </row>
    <row r="2165" spans="1:19" x14ac:dyDescent="0.4">
      <c r="A2165" s="291"/>
      <c r="B2165" s="292"/>
      <c r="C2165" s="312"/>
      <c r="D2165" s="292"/>
      <c r="E2165" s="489"/>
      <c r="F2165" s="489"/>
      <c r="G2165" s="490"/>
      <c r="H2165" s="520"/>
      <c r="I2165" s="523"/>
      <c r="J2165" s="521"/>
      <c r="K2165" s="522"/>
      <c r="M2165" s="301" t="str">
        <f>N2165&amp;AS[[#This Row],[Insurer Code]]&amp;"; "&amp;O2165&amp;AS[[#This Row],[Reporting Year]]&amp;"; "&amp;P2165&amp;AS[[#This Row],[Insurance Category Code]]&amp;"; "&amp;Q2165&amp;AS[[#This Row],[Large Provider Entity Code]]&amp;"; "&amp;R2165&amp;AS[[#This Row],[Age Band Code]]&amp;"; "&amp;S2165&amp;AS[[#This Row],[Sex Code]]</f>
        <v xml:space="preserve">Insurer Code ; Reporting Year ; Insurance Category Code ; Large Provider Entity Code ; Age Band Code ; Sex Code </v>
      </c>
      <c r="N2165" s="297" t="s">
        <v>197</v>
      </c>
      <c r="O2165" s="297" t="s">
        <v>198</v>
      </c>
      <c r="P2165" s="297" t="s">
        <v>199</v>
      </c>
      <c r="Q2165" s="297" t="s">
        <v>200</v>
      </c>
      <c r="R2165" s="297" t="s">
        <v>213</v>
      </c>
      <c r="S2165" s="297" t="s">
        <v>214</v>
      </c>
    </row>
    <row r="2166" spans="1:19" x14ac:dyDescent="0.4">
      <c r="A2166" s="291"/>
      <c r="B2166" s="292"/>
      <c r="C2166" s="312"/>
      <c r="D2166" s="292"/>
      <c r="E2166" s="489"/>
      <c r="F2166" s="489"/>
      <c r="G2166" s="490"/>
      <c r="H2166" s="520"/>
      <c r="I2166" s="523"/>
      <c r="J2166" s="521"/>
      <c r="K2166" s="522"/>
      <c r="M2166" s="301" t="str">
        <f>N2166&amp;AS[[#This Row],[Insurer Code]]&amp;"; "&amp;O2166&amp;AS[[#This Row],[Reporting Year]]&amp;"; "&amp;P2166&amp;AS[[#This Row],[Insurance Category Code]]&amp;"; "&amp;Q2166&amp;AS[[#This Row],[Large Provider Entity Code]]&amp;"; "&amp;R2166&amp;AS[[#This Row],[Age Band Code]]&amp;"; "&amp;S2166&amp;AS[[#This Row],[Sex Code]]</f>
        <v xml:space="preserve">Insurer Code ; Reporting Year ; Insurance Category Code ; Large Provider Entity Code ; Age Band Code ; Sex Code </v>
      </c>
      <c r="N2166" s="297" t="s">
        <v>197</v>
      </c>
      <c r="O2166" s="297" t="s">
        <v>198</v>
      </c>
      <c r="P2166" s="297" t="s">
        <v>199</v>
      </c>
      <c r="Q2166" s="297" t="s">
        <v>200</v>
      </c>
      <c r="R2166" s="297" t="s">
        <v>213</v>
      </c>
      <c r="S2166" s="297" t="s">
        <v>214</v>
      </c>
    </row>
    <row r="2167" spans="1:19" x14ac:dyDescent="0.4">
      <c r="A2167" s="291"/>
      <c r="B2167" s="292"/>
      <c r="C2167" s="312"/>
      <c r="D2167" s="292"/>
      <c r="E2167" s="489"/>
      <c r="F2167" s="489"/>
      <c r="G2167" s="490"/>
      <c r="H2167" s="520"/>
      <c r="I2167" s="523"/>
      <c r="J2167" s="521"/>
      <c r="K2167" s="522"/>
      <c r="M2167" s="301" t="str">
        <f>N2167&amp;AS[[#This Row],[Insurer Code]]&amp;"; "&amp;O2167&amp;AS[[#This Row],[Reporting Year]]&amp;"; "&amp;P2167&amp;AS[[#This Row],[Insurance Category Code]]&amp;"; "&amp;Q2167&amp;AS[[#This Row],[Large Provider Entity Code]]&amp;"; "&amp;R2167&amp;AS[[#This Row],[Age Band Code]]&amp;"; "&amp;S2167&amp;AS[[#This Row],[Sex Code]]</f>
        <v xml:space="preserve">Insurer Code ; Reporting Year ; Insurance Category Code ; Large Provider Entity Code ; Age Band Code ; Sex Code </v>
      </c>
      <c r="N2167" s="297" t="s">
        <v>197</v>
      </c>
      <c r="O2167" s="297" t="s">
        <v>198</v>
      </c>
      <c r="P2167" s="297" t="s">
        <v>199</v>
      </c>
      <c r="Q2167" s="297" t="s">
        <v>200</v>
      </c>
      <c r="R2167" s="297" t="s">
        <v>213</v>
      </c>
      <c r="S2167" s="297" t="s">
        <v>214</v>
      </c>
    </row>
    <row r="2168" spans="1:19" x14ac:dyDescent="0.4">
      <c r="A2168" s="291"/>
      <c r="B2168" s="292"/>
      <c r="C2168" s="312"/>
      <c r="D2168" s="292"/>
      <c r="E2168" s="489"/>
      <c r="F2168" s="489"/>
      <c r="G2168" s="490"/>
      <c r="H2168" s="520"/>
      <c r="I2168" s="523"/>
      <c r="J2168" s="521"/>
      <c r="K2168" s="522"/>
      <c r="M2168" s="301" t="str">
        <f>N2168&amp;AS[[#This Row],[Insurer Code]]&amp;"; "&amp;O2168&amp;AS[[#This Row],[Reporting Year]]&amp;"; "&amp;P2168&amp;AS[[#This Row],[Insurance Category Code]]&amp;"; "&amp;Q2168&amp;AS[[#This Row],[Large Provider Entity Code]]&amp;"; "&amp;R2168&amp;AS[[#This Row],[Age Band Code]]&amp;"; "&amp;S2168&amp;AS[[#This Row],[Sex Code]]</f>
        <v xml:space="preserve">Insurer Code ; Reporting Year ; Insurance Category Code ; Large Provider Entity Code ; Age Band Code ; Sex Code </v>
      </c>
      <c r="N2168" s="297" t="s">
        <v>197</v>
      </c>
      <c r="O2168" s="297" t="s">
        <v>198</v>
      </c>
      <c r="P2168" s="297" t="s">
        <v>199</v>
      </c>
      <c r="Q2168" s="297" t="s">
        <v>200</v>
      </c>
      <c r="R2168" s="297" t="s">
        <v>213</v>
      </c>
      <c r="S2168" s="297" t="s">
        <v>214</v>
      </c>
    </row>
    <row r="2169" spans="1:19" x14ac:dyDescent="0.4">
      <c r="A2169" s="291"/>
      <c r="B2169" s="292"/>
      <c r="C2169" s="312"/>
      <c r="D2169" s="292"/>
      <c r="E2169" s="489"/>
      <c r="F2169" s="489"/>
      <c r="G2169" s="490"/>
      <c r="H2169" s="520"/>
      <c r="I2169" s="523"/>
      <c r="J2169" s="521"/>
      <c r="K2169" s="522"/>
      <c r="M2169" s="301" t="str">
        <f>N2169&amp;AS[[#This Row],[Insurer Code]]&amp;"; "&amp;O2169&amp;AS[[#This Row],[Reporting Year]]&amp;"; "&amp;P2169&amp;AS[[#This Row],[Insurance Category Code]]&amp;"; "&amp;Q2169&amp;AS[[#This Row],[Large Provider Entity Code]]&amp;"; "&amp;R2169&amp;AS[[#This Row],[Age Band Code]]&amp;"; "&amp;S2169&amp;AS[[#This Row],[Sex Code]]</f>
        <v xml:space="preserve">Insurer Code ; Reporting Year ; Insurance Category Code ; Large Provider Entity Code ; Age Band Code ; Sex Code </v>
      </c>
      <c r="N2169" s="297" t="s">
        <v>197</v>
      </c>
      <c r="O2169" s="297" t="s">
        <v>198</v>
      </c>
      <c r="P2169" s="297" t="s">
        <v>199</v>
      </c>
      <c r="Q2169" s="297" t="s">
        <v>200</v>
      </c>
      <c r="R2169" s="297" t="s">
        <v>213</v>
      </c>
      <c r="S2169" s="297" t="s">
        <v>214</v>
      </c>
    </row>
    <row r="2170" spans="1:19" x14ac:dyDescent="0.4">
      <c r="A2170" s="291"/>
      <c r="B2170" s="292"/>
      <c r="C2170" s="312"/>
      <c r="D2170" s="292"/>
      <c r="E2170" s="489"/>
      <c r="F2170" s="489"/>
      <c r="G2170" s="490"/>
      <c r="H2170" s="520"/>
      <c r="I2170" s="523"/>
      <c r="J2170" s="521"/>
      <c r="K2170" s="522"/>
      <c r="M2170" s="301" t="str">
        <f>N2170&amp;AS[[#This Row],[Insurer Code]]&amp;"; "&amp;O2170&amp;AS[[#This Row],[Reporting Year]]&amp;"; "&amp;P2170&amp;AS[[#This Row],[Insurance Category Code]]&amp;"; "&amp;Q2170&amp;AS[[#This Row],[Large Provider Entity Code]]&amp;"; "&amp;R2170&amp;AS[[#This Row],[Age Band Code]]&amp;"; "&amp;S2170&amp;AS[[#This Row],[Sex Code]]</f>
        <v xml:space="preserve">Insurer Code ; Reporting Year ; Insurance Category Code ; Large Provider Entity Code ; Age Band Code ; Sex Code </v>
      </c>
      <c r="N2170" s="297" t="s">
        <v>197</v>
      </c>
      <c r="O2170" s="297" t="s">
        <v>198</v>
      </c>
      <c r="P2170" s="297" t="s">
        <v>199</v>
      </c>
      <c r="Q2170" s="297" t="s">
        <v>200</v>
      </c>
      <c r="R2170" s="297" t="s">
        <v>213</v>
      </c>
      <c r="S2170" s="297" t="s">
        <v>214</v>
      </c>
    </row>
    <row r="2171" spans="1:19" x14ac:dyDescent="0.4">
      <c r="A2171" s="291"/>
      <c r="B2171" s="292"/>
      <c r="C2171" s="312"/>
      <c r="D2171" s="292"/>
      <c r="E2171" s="489"/>
      <c r="F2171" s="489"/>
      <c r="G2171" s="490"/>
      <c r="H2171" s="520"/>
      <c r="I2171" s="523"/>
      <c r="J2171" s="521"/>
      <c r="K2171" s="522"/>
      <c r="M2171" s="301" t="str">
        <f>N2171&amp;AS[[#This Row],[Insurer Code]]&amp;"; "&amp;O2171&amp;AS[[#This Row],[Reporting Year]]&amp;"; "&amp;P2171&amp;AS[[#This Row],[Insurance Category Code]]&amp;"; "&amp;Q2171&amp;AS[[#This Row],[Large Provider Entity Code]]&amp;"; "&amp;R2171&amp;AS[[#This Row],[Age Band Code]]&amp;"; "&amp;S2171&amp;AS[[#This Row],[Sex Code]]</f>
        <v xml:space="preserve">Insurer Code ; Reporting Year ; Insurance Category Code ; Large Provider Entity Code ; Age Band Code ; Sex Code </v>
      </c>
      <c r="N2171" s="297" t="s">
        <v>197</v>
      </c>
      <c r="O2171" s="297" t="s">
        <v>198</v>
      </c>
      <c r="P2171" s="297" t="s">
        <v>199</v>
      </c>
      <c r="Q2171" s="297" t="s">
        <v>200</v>
      </c>
      <c r="R2171" s="297" t="s">
        <v>213</v>
      </c>
      <c r="S2171" s="297" t="s">
        <v>214</v>
      </c>
    </row>
    <row r="2172" spans="1:19" x14ac:dyDescent="0.4">
      <c r="A2172" s="291"/>
      <c r="B2172" s="292"/>
      <c r="C2172" s="312"/>
      <c r="D2172" s="292"/>
      <c r="E2172" s="489"/>
      <c r="F2172" s="489"/>
      <c r="G2172" s="490"/>
      <c r="H2172" s="520"/>
      <c r="I2172" s="523"/>
      <c r="J2172" s="521"/>
      <c r="K2172" s="522"/>
      <c r="M2172" s="301" t="str">
        <f>N2172&amp;AS[[#This Row],[Insurer Code]]&amp;"; "&amp;O2172&amp;AS[[#This Row],[Reporting Year]]&amp;"; "&amp;P2172&amp;AS[[#This Row],[Insurance Category Code]]&amp;"; "&amp;Q2172&amp;AS[[#This Row],[Large Provider Entity Code]]&amp;"; "&amp;R2172&amp;AS[[#This Row],[Age Band Code]]&amp;"; "&amp;S2172&amp;AS[[#This Row],[Sex Code]]</f>
        <v xml:space="preserve">Insurer Code ; Reporting Year ; Insurance Category Code ; Large Provider Entity Code ; Age Band Code ; Sex Code </v>
      </c>
      <c r="N2172" s="297" t="s">
        <v>197</v>
      </c>
      <c r="O2172" s="297" t="s">
        <v>198</v>
      </c>
      <c r="P2172" s="297" t="s">
        <v>199</v>
      </c>
      <c r="Q2172" s="297" t="s">
        <v>200</v>
      </c>
      <c r="R2172" s="297" t="s">
        <v>213</v>
      </c>
      <c r="S2172" s="297" t="s">
        <v>214</v>
      </c>
    </row>
    <row r="2173" spans="1:19" x14ac:dyDescent="0.4">
      <c r="A2173" s="291"/>
      <c r="B2173" s="292"/>
      <c r="C2173" s="312"/>
      <c r="D2173" s="292"/>
      <c r="E2173" s="489"/>
      <c r="F2173" s="489"/>
      <c r="G2173" s="490"/>
      <c r="H2173" s="520"/>
      <c r="I2173" s="523"/>
      <c r="J2173" s="521"/>
      <c r="K2173" s="522"/>
      <c r="M2173" s="301" t="str">
        <f>N2173&amp;AS[[#This Row],[Insurer Code]]&amp;"; "&amp;O2173&amp;AS[[#This Row],[Reporting Year]]&amp;"; "&amp;P2173&amp;AS[[#This Row],[Insurance Category Code]]&amp;"; "&amp;Q2173&amp;AS[[#This Row],[Large Provider Entity Code]]&amp;"; "&amp;R2173&amp;AS[[#This Row],[Age Band Code]]&amp;"; "&amp;S2173&amp;AS[[#This Row],[Sex Code]]</f>
        <v xml:space="preserve">Insurer Code ; Reporting Year ; Insurance Category Code ; Large Provider Entity Code ; Age Band Code ; Sex Code </v>
      </c>
      <c r="N2173" s="297" t="s">
        <v>197</v>
      </c>
      <c r="O2173" s="297" t="s">
        <v>198</v>
      </c>
      <c r="P2173" s="297" t="s">
        <v>199</v>
      </c>
      <c r="Q2173" s="297" t="s">
        <v>200</v>
      </c>
      <c r="R2173" s="297" t="s">
        <v>213</v>
      </c>
      <c r="S2173" s="297" t="s">
        <v>214</v>
      </c>
    </row>
    <row r="2174" spans="1:19" x14ac:dyDescent="0.4">
      <c r="A2174" s="291"/>
      <c r="B2174" s="292"/>
      <c r="C2174" s="312"/>
      <c r="D2174" s="292"/>
      <c r="E2174" s="489"/>
      <c r="F2174" s="489"/>
      <c r="G2174" s="490"/>
      <c r="H2174" s="520"/>
      <c r="I2174" s="523"/>
      <c r="J2174" s="521"/>
      <c r="K2174" s="522"/>
      <c r="M2174" s="301" t="str">
        <f>N2174&amp;AS[[#This Row],[Insurer Code]]&amp;"; "&amp;O2174&amp;AS[[#This Row],[Reporting Year]]&amp;"; "&amp;P2174&amp;AS[[#This Row],[Insurance Category Code]]&amp;"; "&amp;Q2174&amp;AS[[#This Row],[Large Provider Entity Code]]&amp;"; "&amp;R2174&amp;AS[[#This Row],[Age Band Code]]&amp;"; "&amp;S2174&amp;AS[[#This Row],[Sex Code]]</f>
        <v xml:space="preserve">Insurer Code ; Reporting Year ; Insurance Category Code ; Large Provider Entity Code ; Age Band Code ; Sex Code </v>
      </c>
      <c r="N2174" s="297" t="s">
        <v>197</v>
      </c>
      <c r="O2174" s="297" t="s">
        <v>198</v>
      </c>
      <c r="P2174" s="297" t="s">
        <v>199</v>
      </c>
      <c r="Q2174" s="297" t="s">
        <v>200</v>
      </c>
      <c r="R2174" s="297" t="s">
        <v>213</v>
      </c>
      <c r="S2174" s="297" t="s">
        <v>214</v>
      </c>
    </row>
    <row r="2175" spans="1:19" x14ac:dyDescent="0.4">
      <c r="A2175" s="291"/>
      <c r="B2175" s="292"/>
      <c r="C2175" s="312"/>
      <c r="D2175" s="292"/>
      <c r="E2175" s="489"/>
      <c r="F2175" s="489"/>
      <c r="G2175" s="490"/>
      <c r="H2175" s="520"/>
      <c r="I2175" s="523"/>
      <c r="J2175" s="521"/>
      <c r="K2175" s="522"/>
      <c r="M2175" s="301" t="str">
        <f>N2175&amp;AS[[#This Row],[Insurer Code]]&amp;"; "&amp;O2175&amp;AS[[#This Row],[Reporting Year]]&amp;"; "&amp;P2175&amp;AS[[#This Row],[Insurance Category Code]]&amp;"; "&amp;Q2175&amp;AS[[#This Row],[Large Provider Entity Code]]&amp;"; "&amp;R2175&amp;AS[[#This Row],[Age Band Code]]&amp;"; "&amp;S2175&amp;AS[[#This Row],[Sex Code]]</f>
        <v xml:space="preserve">Insurer Code ; Reporting Year ; Insurance Category Code ; Large Provider Entity Code ; Age Band Code ; Sex Code </v>
      </c>
      <c r="N2175" s="297" t="s">
        <v>197</v>
      </c>
      <c r="O2175" s="297" t="s">
        <v>198</v>
      </c>
      <c r="P2175" s="297" t="s">
        <v>199</v>
      </c>
      <c r="Q2175" s="297" t="s">
        <v>200</v>
      </c>
      <c r="R2175" s="297" t="s">
        <v>213</v>
      </c>
      <c r="S2175" s="297" t="s">
        <v>214</v>
      </c>
    </row>
    <row r="2176" spans="1:19" x14ac:dyDescent="0.4">
      <c r="A2176" s="291"/>
      <c r="B2176" s="292"/>
      <c r="C2176" s="312"/>
      <c r="D2176" s="292"/>
      <c r="E2176" s="489"/>
      <c r="F2176" s="489"/>
      <c r="G2176" s="490"/>
      <c r="H2176" s="520"/>
      <c r="I2176" s="523"/>
      <c r="J2176" s="521"/>
      <c r="K2176" s="522"/>
      <c r="M2176" s="301" t="str">
        <f>N2176&amp;AS[[#This Row],[Insurer Code]]&amp;"; "&amp;O2176&amp;AS[[#This Row],[Reporting Year]]&amp;"; "&amp;P2176&amp;AS[[#This Row],[Insurance Category Code]]&amp;"; "&amp;Q2176&amp;AS[[#This Row],[Large Provider Entity Code]]&amp;"; "&amp;R2176&amp;AS[[#This Row],[Age Band Code]]&amp;"; "&amp;S2176&amp;AS[[#This Row],[Sex Code]]</f>
        <v xml:space="preserve">Insurer Code ; Reporting Year ; Insurance Category Code ; Large Provider Entity Code ; Age Band Code ; Sex Code </v>
      </c>
      <c r="N2176" s="297" t="s">
        <v>197</v>
      </c>
      <c r="O2176" s="297" t="s">
        <v>198</v>
      </c>
      <c r="P2176" s="297" t="s">
        <v>199</v>
      </c>
      <c r="Q2176" s="297" t="s">
        <v>200</v>
      </c>
      <c r="R2176" s="297" t="s">
        <v>213</v>
      </c>
      <c r="S2176" s="297" t="s">
        <v>214</v>
      </c>
    </row>
    <row r="2177" spans="1:19" x14ac:dyDescent="0.4">
      <c r="A2177" s="291"/>
      <c r="B2177" s="292"/>
      <c r="C2177" s="312"/>
      <c r="D2177" s="292"/>
      <c r="E2177" s="489"/>
      <c r="F2177" s="489"/>
      <c r="G2177" s="490"/>
      <c r="H2177" s="520"/>
      <c r="I2177" s="523"/>
      <c r="J2177" s="521"/>
      <c r="K2177" s="522"/>
      <c r="M2177" s="301" t="str">
        <f>N2177&amp;AS[[#This Row],[Insurer Code]]&amp;"; "&amp;O2177&amp;AS[[#This Row],[Reporting Year]]&amp;"; "&amp;P2177&amp;AS[[#This Row],[Insurance Category Code]]&amp;"; "&amp;Q2177&amp;AS[[#This Row],[Large Provider Entity Code]]&amp;"; "&amp;R2177&amp;AS[[#This Row],[Age Band Code]]&amp;"; "&amp;S2177&amp;AS[[#This Row],[Sex Code]]</f>
        <v xml:space="preserve">Insurer Code ; Reporting Year ; Insurance Category Code ; Large Provider Entity Code ; Age Band Code ; Sex Code </v>
      </c>
      <c r="N2177" s="297" t="s">
        <v>197</v>
      </c>
      <c r="O2177" s="297" t="s">
        <v>198</v>
      </c>
      <c r="P2177" s="297" t="s">
        <v>199</v>
      </c>
      <c r="Q2177" s="297" t="s">
        <v>200</v>
      </c>
      <c r="R2177" s="297" t="s">
        <v>213</v>
      </c>
      <c r="S2177" s="297" t="s">
        <v>214</v>
      </c>
    </row>
    <row r="2178" spans="1:19" x14ac:dyDescent="0.4">
      <c r="A2178" s="291"/>
      <c r="B2178" s="292"/>
      <c r="C2178" s="312"/>
      <c r="D2178" s="292"/>
      <c r="E2178" s="489"/>
      <c r="F2178" s="489"/>
      <c r="G2178" s="490"/>
      <c r="H2178" s="520"/>
      <c r="I2178" s="523"/>
      <c r="J2178" s="521"/>
      <c r="K2178" s="522"/>
      <c r="M2178" s="301" t="str">
        <f>N2178&amp;AS[[#This Row],[Insurer Code]]&amp;"; "&amp;O2178&amp;AS[[#This Row],[Reporting Year]]&amp;"; "&amp;P2178&amp;AS[[#This Row],[Insurance Category Code]]&amp;"; "&amp;Q2178&amp;AS[[#This Row],[Large Provider Entity Code]]&amp;"; "&amp;R2178&amp;AS[[#This Row],[Age Band Code]]&amp;"; "&amp;S2178&amp;AS[[#This Row],[Sex Code]]</f>
        <v xml:space="preserve">Insurer Code ; Reporting Year ; Insurance Category Code ; Large Provider Entity Code ; Age Band Code ; Sex Code </v>
      </c>
      <c r="N2178" s="297" t="s">
        <v>197</v>
      </c>
      <c r="O2178" s="297" t="s">
        <v>198</v>
      </c>
      <c r="P2178" s="297" t="s">
        <v>199</v>
      </c>
      <c r="Q2178" s="297" t="s">
        <v>200</v>
      </c>
      <c r="R2178" s="297" t="s">
        <v>213</v>
      </c>
      <c r="S2178" s="297" t="s">
        <v>214</v>
      </c>
    </row>
    <row r="2179" spans="1:19" x14ac:dyDescent="0.4">
      <c r="A2179" s="291"/>
      <c r="B2179" s="292"/>
      <c r="C2179" s="312"/>
      <c r="D2179" s="292"/>
      <c r="E2179" s="489"/>
      <c r="F2179" s="489"/>
      <c r="G2179" s="490"/>
      <c r="H2179" s="520"/>
      <c r="I2179" s="523"/>
      <c r="J2179" s="521"/>
      <c r="K2179" s="522"/>
      <c r="M2179" s="301" t="str">
        <f>N2179&amp;AS[[#This Row],[Insurer Code]]&amp;"; "&amp;O2179&amp;AS[[#This Row],[Reporting Year]]&amp;"; "&amp;P2179&amp;AS[[#This Row],[Insurance Category Code]]&amp;"; "&amp;Q2179&amp;AS[[#This Row],[Large Provider Entity Code]]&amp;"; "&amp;R2179&amp;AS[[#This Row],[Age Band Code]]&amp;"; "&amp;S2179&amp;AS[[#This Row],[Sex Code]]</f>
        <v xml:space="preserve">Insurer Code ; Reporting Year ; Insurance Category Code ; Large Provider Entity Code ; Age Band Code ; Sex Code </v>
      </c>
      <c r="N2179" s="297" t="s">
        <v>197</v>
      </c>
      <c r="O2179" s="297" t="s">
        <v>198</v>
      </c>
      <c r="P2179" s="297" t="s">
        <v>199</v>
      </c>
      <c r="Q2179" s="297" t="s">
        <v>200</v>
      </c>
      <c r="R2179" s="297" t="s">
        <v>213</v>
      </c>
      <c r="S2179" s="297" t="s">
        <v>214</v>
      </c>
    </row>
    <row r="2180" spans="1:19" x14ac:dyDescent="0.4">
      <c r="A2180" s="291"/>
      <c r="B2180" s="292"/>
      <c r="C2180" s="312"/>
      <c r="D2180" s="292"/>
      <c r="E2180" s="489"/>
      <c r="F2180" s="489"/>
      <c r="G2180" s="490"/>
      <c r="H2180" s="520"/>
      <c r="I2180" s="523"/>
      <c r="J2180" s="521"/>
      <c r="K2180" s="522"/>
      <c r="M2180" s="301" t="str">
        <f>N2180&amp;AS[[#This Row],[Insurer Code]]&amp;"; "&amp;O2180&amp;AS[[#This Row],[Reporting Year]]&amp;"; "&amp;P2180&amp;AS[[#This Row],[Insurance Category Code]]&amp;"; "&amp;Q2180&amp;AS[[#This Row],[Large Provider Entity Code]]&amp;"; "&amp;R2180&amp;AS[[#This Row],[Age Band Code]]&amp;"; "&amp;S2180&amp;AS[[#This Row],[Sex Code]]</f>
        <v xml:space="preserve">Insurer Code ; Reporting Year ; Insurance Category Code ; Large Provider Entity Code ; Age Band Code ; Sex Code </v>
      </c>
      <c r="N2180" s="297" t="s">
        <v>197</v>
      </c>
      <c r="O2180" s="297" t="s">
        <v>198</v>
      </c>
      <c r="P2180" s="297" t="s">
        <v>199</v>
      </c>
      <c r="Q2180" s="297" t="s">
        <v>200</v>
      </c>
      <c r="R2180" s="297" t="s">
        <v>213</v>
      </c>
      <c r="S2180" s="297" t="s">
        <v>214</v>
      </c>
    </row>
    <row r="2181" spans="1:19" x14ac:dyDescent="0.4">
      <c r="A2181" s="291"/>
      <c r="B2181" s="292"/>
      <c r="C2181" s="312"/>
      <c r="D2181" s="292"/>
      <c r="E2181" s="489"/>
      <c r="F2181" s="489"/>
      <c r="G2181" s="490"/>
      <c r="H2181" s="520"/>
      <c r="I2181" s="523"/>
      <c r="J2181" s="521"/>
      <c r="K2181" s="522"/>
      <c r="M2181" s="301" t="str">
        <f>N2181&amp;AS[[#This Row],[Insurer Code]]&amp;"; "&amp;O2181&amp;AS[[#This Row],[Reporting Year]]&amp;"; "&amp;P2181&amp;AS[[#This Row],[Insurance Category Code]]&amp;"; "&amp;Q2181&amp;AS[[#This Row],[Large Provider Entity Code]]&amp;"; "&amp;R2181&amp;AS[[#This Row],[Age Band Code]]&amp;"; "&amp;S2181&amp;AS[[#This Row],[Sex Code]]</f>
        <v xml:space="preserve">Insurer Code ; Reporting Year ; Insurance Category Code ; Large Provider Entity Code ; Age Band Code ; Sex Code </v>
      </c>
      <c r="N2181" s="297" t="s">
        <v>197</v>
      </c>
      <c r="O2181" s="297" t="s">
        <v>198</v>
      </c>
      <c r="P2181" s="297" t="s">
        <v>199</v>
      </c>
      <c r="Q2181" s="297" t="s">
        <v>200</v>
      </c>
      <c r="R2181" s="297" t="s">
        <v>213</v>
      </c>
      <c r="S2181" s="297" t="s">
        <v>214</v>
      </c>
    </row>
    <row r="2182" spans="1:19" x14ac:dyDescent="0.4">
      <c r="A2182" s="291"/>
      <c r="B2182" s="292"/>
      <c r="C2182" s="312"/>
      <c r="D2182" s="292"/>
      <c r="E2182" s="489"/>
      <c r="F2182" s="489"/>
      <c r="G2182" s="490"/>
      <c r="H2182" s="520"/>
      <c r="I2182" s="523"/>
      <c r="J2182" s="521"/>
      <c r="K2182" s="522"/>
      <c r="M2182" s="301" t="str">
        <f>N2182&amp;AS[[#This Row],[Insurer Code]]&amp;"; "&amp;O2182&amp;AS[[#This Row],[Reporting Year]]&amp;"; "&amp;P2182&amp;AS[[#This Row],[Insurance Category Code]]&amp;"; "&amp;Q2182&amp;AS[[#This Row],[Large Provider Entity Code]]&amp;"; "&amp;R2182&amp;AS[[#This Row],[Age Band Code]]&amp;"; "&amp;S2182&amp;AS[[#This Row],[Sex Code]]</f>
        <v xml:space="preserve">Insurer Code ; Reporting Year ; Insurance Category Code ; Large Provider Entity Code ; Age Band Code ; Sex Code </v>
      </c>
      <c r="N2182" s="297" t="s">
        <v>197</v>
      </c>
      <c r="O2182" s="297" t="s">
        <v>198</v>
      </c>
      <c r="P2182" s="297" t="s">
        <v>199</v>
      </c>
      <c r="Q2182" s="297" t="s">
        <v>200</v>
      </c>
      <c r="R2182" s="297" t="s">
        <v>213</v>
      </c>
      <c r="S2182" s="297" t="s">
        <v>214</v>
      </c>
    </row>
    <row r="2183" spans="1:19" x14ac:dyDescent="0.4">
      <c r="A2183" s="291"/>
      <c r="B2183" s="292"/>
      <c r="C2183" s="312"/>
      <c r="D2183" s="292"/>
      <c r="E2183" s="489"/>
      <c r="F2183" s="489"/>
      <c r="G2183" s="490"/>
      <c r="H2183" s="520"/>
      <c r="I2183" s="523"/>
      <c r="J2183" s="521"/>
      <c r="K2183" s="522"/>
      <c r="M2183" s="301" t="str">
        <f>N2183&amp;AS[[#This Row],[Insurer Code]]&amp;"; "&amp;O2183&amp;AS[[#This Row],[Reporting Year]]&amp;"; "&amp;P2183&amp;AS[[#This Row],[Insurance Category Code]]&amp;"; "&amp;Q2183&amp;AS[[#This Row],[Large Provider Entity Code]]&amp;"; "&amp;R2183&amp;AS[[#This Row],[Age Band Code]]&amp;"; "&amp;S2183&amp;AS[[#This Row],[Sex Code]]</f>
        <v xml:space="preserve">Insurer Code ; Reporting Year ; Insurance Category Code ; Large Provider Entity Code ; Age Band Code ; Sex Code </v>
      </c>
      <c r="N2183" s="297" t="s">
        <v>197</v>
      </c>
      <c r="O2183" s="297" t="s">
        <v>198</v>
      </c>
      <c r="P2183" s="297" t="s">
        <v>199</v>
      </c>
      <c r="Q2183" s="297" t="s">
        <v>200</v>
      </c>
      <c r="R2183" s="297" t="s">
        <v>213</v>
      </c>
      <c r="S2183" s="297" t="s">
        <v>214</v>
      </c>
    </row>
    <row r="2184" spans="1:19" x14ac:dyDescent="0.4">
      <c r="A2184" s="291"/>
      <c r="B2184" s="292"/>
      <c r="C2184" s="312"/>
      <c r="D2184" s="292"/>
      <c r="E2184" s="489"/>
      <c r="F2184" s="489"/>
      <c r="G2184" s="490"/>
      <c r="H2184" s="520"/>
      <c r="I2184" s="523"/>
      <c r="J2184" s="521"/>
      <c r="K2184" s="522"/>
      <c r="M2184" s="301" t="str">
        <f>N2184&amp;AS[[#This Row],[Insurer Code]]&amp;"; "&amp;O2184&amp;AS[[#This Row],[Reporting Year]]&amp;"; "&amp;P2184&amp;AS[[#This Row],[Insurance Category Code]]&amp;"; "&amp;Q2184&amp;AS[[#This Row],[Large Provider Entity Code]]&amp;"; "&amp;R2184&amp;AS[[#This Row],[Age Band Code]]&amp;"; "&amp;S2184&amp;AS[[#This Row],[Sex Code]]</f>
        <v xml:space="preserve">Insurer Code ; Reporting Year ; Insurance Category Code ; Large Provider Entity Code ; Age Band Code ; Sex Code </v>
      </c>
      <c r="N2184" s="297" t="s">
        <v>197</v>
      </c>
      <c r="O2184" s="297" t="s">
        <v>198</v>
      </c>
      <c r="P2184" s="297" t="s">
        <v>199</v>
      </c>
      <c r="Q2184" s="297" t="s">
        <v>200</v>
      </c>
      <c r="R2184" s="297" t="s">
        <v>213</v>
      </c>
      <c r="S2184" s="297" t="s">
        <v>214</v>
      </c>
    </row>
    <row r="2185" spans="1:19" x14ac:dyDescent="0.4">
      <c r="A2185" s="291"/>
      <c r="B2185" s="292"/>
      <c r="C2185" s="312"/>
      <c r="D2185" s="292"/>
      <c r="E2185" s="489"/>
      <c r="F2185" s="489"/>
      <c r="G2185" s="490"/>
      <c r="H2185" s="520"/>
      <c r="I2185" s="523"/>
      <c r="J2185" s="521"/>
      <c r="K2185" s="522"/>
      <c r="M2185" s="301" t="str">
        <f>N2185&amp;AS[[#This Row],[Insurer Code]]&amp;"; "&amp;O2185&amp;AS[[#This Row],[Reporting Year]]&amp;"; "&amp;P2185&amp;AS[[#This Row],[Insurance Category Code]]&amp;"; "&amp;Q2185&amp;AS[[#This Row],[Large Provider Entity Code]]&amp;"; "&amp;R2185&amp;AS[[#This Row],[Age Band Code]]&amp;"; "&amp;S2185&amp;AS[[#This Row],[Sex Code]]</f>
        <v xml:space="preserve">Insurer Code ; Reporting Year ; Insurance Category Code ; Large Provider Entity Code ; Age Band Code ; Sex Code </v>
      </c>
      <c r="N2185" s="297" t="s">
        <v>197</v>
      </c>
      <c r="O2185" s="297" t="s">
        <v>198</v>
      </c>
      <c r="P2185" s="297" t="s">
        <v>199</v>
      </c>
      <c r="Q2185" s="297" t="s">
        <v>200</v>
      </c>
      <c r="R2185" s="297" t="s">
        <v>213</v>
      </c>
      <c r="S2185" s="297" t="s">
        <v>214</v>
      </c>
    </row>
    <row r="2186" spans="1:19" x14ac:dyDescent="0.4">
      <c r="A2186" s="291"/>
      <c r="B2186" s="292"/>
      <c r="C2186" s="312"/>
      <c r="D2186" s="292"/>
      <c r="E2186" s="489"/>
      <c r="F2186" s="489"/>
      <c r="G2186" s="490"/>
      <c r="H2186" s="520"/>
      <c r="I2186" s="523"/>
      <c r="J2186" s="521"/>
      <c r="K2186" s="522"/>
      <c r="M2186" s="301" t="str">
        <f>N2186&amp;AS[[#This Row],[Insurer Code]]&amp;"; "&amp;O2186&amp;AS[[#This Row],[Reporting Year]]&amp;"; "&amp;P2186&amp;AS[[#This Row],[Insurance Category Code]]&amp;"; "&amp;Q2186&amp;AS[[#This Row],[Large Provider Entity Code]]&amp;"; "&amp;R2186&amp;AS[[#This Row],[Age Band Code]]&amp;"; "&amp;S2186&amp;AS[[#This Row],[Sex Code]]</f>
        <v xml:space="preserve">Insurer Code ; Reporting Year ; Insurance Category Code ; Large Provider Entity Code ; Age Band Code ; Sex Code </v>
      </c>
      <c r="N2186" s="297" t="s">
        <v>197</v>
      </c>
      <c r="O2186" s="297" t="s">
        <v>198</v>
      </c>
      <c r="P2186" s="297" t="s">
        <v>199</v>
      </c>
      <c r="Q2186" s="297" t="s">
        <v>200</v>
      </c>
      <c r="R2186" s="297" t="s">
        <v>213</v>
      </c>
      <c r="S2186" s="297" t="s">
        <v>214</v>
      </c>
    </row>
    <row r="2187" spans="1:19" x14ac:dyDescent="0.4">
      <c r="A2187" s="291"/>
      <c r="B2187" s="292"/>
      <c r="C2187" s="312"/>
      <c r="D2187" s="292"/>
      <c r="E2187" s="489"/>
      <c r="F2187" s="489"/>
      <c r="G2187" s="490"/>
      <c r="H2187" s="520"/>
      <c r="I2187" s="523"/>
      <c r="J2187" s="521"/>
      <c r="K2187" s="522"/>
      <c r="M2187" s="301" t="str">
        <f>N2187&amp;AS[[#This Row],[Insurer Code]]&amp;"; "&amp;O2187&amp;AS[[#This Row],[Reporting Year]]&amp;"; "&amp;P2187&amp;AS[[#This Row],[Insurance Category Code]]&amp;"; "&amp;Q2187&amp;AS[[#This Row],[Large Provider Entity Code]]&amp;"; "&amp;R2187&amp;AS[[#This Row],[Age Band Code]]&amp;"; "&amp;S2187&amp;AS[[#This Row],[Sex Code]]</f>
        <v xml:space="preserve">Insurer Code ; Reporting Year ; Insurance Category Code ; Large Provider Entity Code ; Age Band Code ; Sex Code </v>
      </c>
      <c r="N2187" s="297" t="s">
        <v>197</v>
      </c>
      <c r="O2187" s="297" t="s">
        <v>198</v>
      </c>
      <c r="P2187" s="297" t="s">
        <v>199</v>
      </c>
      <c r="Q2187" s="297" t="s">
        <v>200</v>
      </c>
      <c r="R2187" s="297" t="s">
        <v>213</v>
      </c>
      <c r="S2187" s="297" t="s">
        <v>214</v>
      </c>
    </row>
    <row r="2188" spans="1:19" x14ac:dyDescent="0.4">
      <c r="A2188" s="291"/>
      <c r="B2188" s="292"/>
      <c r="C2188" s="312"/>
      <c r="D2188" s="292"/>
      <c r="E2188" s="489"/>
      <c r="F2188" s="489"/>
      <c r="G2188" s="490"/>
      <c r="H2188" s="520"/>
      <c r="I2188" s="523"/>
      <c r="J2188" s="521"/>
      <c r="K2188" s="522"/>
      <c r="M2188" s="301" t="str">
        <f>N2188&amp;AS[[#This Row],[Insurer Code]]&amp;"; "&amp;O2188&amp;AS[[#This Row],[Reporting Year]]&amp;"; "&amp;P2188&amp;AS[[#This Row],[Insurance Category Code]]&amp;"; "&amp;Q2188&amp;AS[[#This Row],[Large Provider Entity Code]]&amp;"; "&amp;R2188&amp;AS[[#This Row],[Age Band Code]]&amp;"; "&amp;S2188&amp;AS[[#This Row],[Sex Code]]</f>
        <v xml:space="preserve">Insurer Code ; Reporting Year ; Insurance Category Code ; Large Provider Entity Code ; Age Band Code ; Sex Code </v>
      </c>
      <c r="N2188" s="297" t="s">
        <v>197</v>
      </c>
      <c r="O2188" s="297" t="s">
        <v>198</v>
      </c>
      <c r="P2188" s="297" t="s">
        <v>199</v>
      </c>
      <c r="Q2188" s="297" t="s">
        <v>200</v>
      </c>
      <c r="R2188" s="297" t="s">
        <v>213</v>
      </c>
      <c r="S2188" s="297" t="s">
        <v>214</v>
      </c>
    </row>
    <row r="2189" spans="1:19" x14ac:dyDescent="0.4">
      <c r="A2189" s="291"/>
      <c r="B2189" s="292"/>
      <c r="C2189" s="312"/>
      <c r="D2189" s="292"/>
      <c r="E2189" s="489"/>
      <c r="F2189" s="489"/>
      <c r="G2189" s="490"/>
      <c r="H2189" s="520"/>
      <c r="I2189" s="523"/>
      <c r="J2189" s="521"/>
      <c r="K2189" s="522"/>
      <c r="M2189" s="301" t="str">
        <f>N2189&amp;AS[[#This Row],[Insurer Code]]&amp;"; "&amp;O2189&amp;AS[[#This Row],[Reporting Year]]&amp;"; "&amp;P2189&amp;AS[[#This Row],[Insurance Category Code]]&amp;"; "&amp;Q2189&amp;AS[[#This Row],[Large Provider Entity Code]]&amp;"; "&amp;R2189&amp;AS[[#This Row],[Age Band Code]]&amp;"; "&amp;S2189&amp;AS[[#This Row],[Sex Code]]</f>
        <v xml:space="preserve">Insurer Code ; Reporting Year ; Insurance Category Code ; Large Provider Entity Code ; Age Band Code ; Sex Code </v>
      </c>
      <c r="N2189" s="297" t="s">
        <v>197</v>
      </c>
      <c r="O2189" s="297" t="s">
        <v>198</v>
      </c>
      <c r="P2189" s="297" t="s">
        <v>199</v>
      </c>
      <c r="Q2189" s="297" t="s">
        <v>200</v>
      </c>
      <c r="R2189" s="297" t="s">
        <v>213</v>
      </c>
      <c r="S2189" s="297" t="s">
        <v>214</v>
      </c>
    </row>
    <row r="2190" spans="1:19" x14ac:dyDescent="0.4">
      <c r="A2190" s="291"/>
      <c r="B2190" s="292"/>
      <c r="C2190" s="312"/>
      <c r="D2190" s="292"/>
      <c r="E2190" s="489"/>
      <c r="F2190" s="489"/>
      <c r="G2190" s="490"/>
      <c r="H2190" s="520"/>
      <c r="I2190" s="523"/>
      <c r="J2190" s="521"/>
      <c r="K2190" s="522"/>
      <c r="M2190" s="301" t="str">
        <f>N2190&amp;AS[[#This Row],[Insurer Code]]&amp;"; "&amp;O2190&amp;AS[[#This Row],[Reporting Year]]&amp;"; "&amp;P2190&amp;AS[[#This Row],[Insurance Category Code]]&amp;"; "&amp;Q2190&amp;AS[[#This Row],[Large Provider Entity Code]]&amp;"; "&amp;R2190&amp;AS[[#This Row],[Age Band Code]]&amp;"; "&amp;S2190&amp;AS[[#This Row],[Sex Code]]</f>
        <v xml:space="preserve">Insurer Code ; Reporting Year ; Insurance Category Code ; Large Provider Entity Code ; Age Band Code ; Sex Code </v>
      </c>
      <c r="N2190" s="297" t="s">
        <v>197</v>
      </c>
      <c r="O2190" s="297" t="s">
        <v>198</v>
      </c>
      <c r="P2190" s="297" t="s">
        <v>199</v>
      </c>
      <c r="Q2190" s="297" t="s">
        <v>200</v>
      </c>
      <c r="R2190" s="297" t="s">
        <v>213</v>
      </c>
      <c r="S2190" s="297" t="s">
        <v>214</v>
      </c>
    </row>
    <row r="2191" spans="1:19" x14ac:dyDescent="0.4">
      <c r="A2191" s="291"/>
      <c r="B2191" s="292"/>
      <c r="C2191" s="312"/>
      <c r="D2191" s="292"/>
      <c r="E2191" s="489"/>
      <c r="F2191" s="489"/>
      <c r="G2191" s="490"/>
      <c r="H2191" s="520"/>
      <c r="I2191" s="523"/>
      <c r="J2191" s="521"/>
      <c r="K2191" s="522"/>
      <c r="M2191" s="301" t="str">
        <f>N2191&amp;AS[[#This Row],[Insurer Code]]&amp;"; "&amp;O2191&amp;AS[[#This Row],[Reporting Year]]&amp;"; "&amp;P2191&amp;AS[[#This Row],[Insurance Category Code]]&amp;"; "&amp;Q2191&amp;AS[[#This Row],[Large Provider Entity Code]]&amp;"; "&amp;R2191&amp;AS[[#This Row],[Age Band Code]]&amp;"; "&amp;S2191&amp;AS[[#This Row],[Sex Code]]</f>
        <v xml:space="preserve">Insurer Code ; Reporting Year ; Insurance Category Code ; Large Provider Entity Code ; Age Band Code ; Sex Code </v>
      </c>
      <c r="N2191" s="297" t="s">
        <v>197</v>
      </c>
      <c r="O2191" s="297" t="s">
        <v>198</v>
      </c>
      <c r="P2191" s="297" t="s">
        <v>199</v>
      </c>
      <c r="Q2191" s="297" t="s">
        <v>200</v>
      </c>
      <c r="R2191" s="297" t="s">
        <v>213</v>
      </c>
      <c r="S2191" s="297" t="s">
        <v>214</v>
      </c>
    </row>
    <row r="2192" spans="1:19" x14ac:dyDescent="0.4">
      <c r="A2192" s="291"/>
      <c r="B2192" s="292"/>
      <c r="C2192" s="312"/>
      <c r="D2192" s="292"/>
      <c r="E2192" s="489"/>
      <c r="F2192" s="489"/>
      <c r="G2192" s="490"/>
      <c r="H2192" s="520"/>
      <c r="I2192" s="523"/>
      <c r="J2192" s="521"/>
      <c r="K2192" s="522"/>
      <c r="M2192" s="301" t="str">
        <f>N2192&amp;AS[[#This Row],[Insurer Code]]&amp;"; "&amp;O2192&amp;AS[[#This Row],[Reporting Year]]&amp;"; "&amp;P2192&amp;AS[[#This Row],[Insurance Category Code]]&amp;"; "&amp;Q2192&amp;AS[[#This Row],[Large Provider Entity Code]]&amp;"; "&amp;R2192&amp;AS[[#This Row],[Age Band Code]]&amp;"; "&amp;S2192&amp;AS[[#This Row],[Sex Code]]</f>
        <v xml:space="preserve">Insurer Code ; Reporting Year ; Insurance Category Code ; Large Provider Entity Code ; Age Band Code ; Sex Code </v>
      </c>
      <c r="N2192" s="297" t="s">
        <v>197</v>
      </c>
      <c r="O2192" s="297" t="s">
        <v>198</v>
      </c>
      <c r="P2192" s="297" t="s">
        <v>199</v>
      </c>
      <c r="Q2192" s="297" t="s">
        <v>200</v>
      </c>
      <c r="R2192" s="297" t="s">
        <v>213</v>
      </c>
      <c r="S2192" s="297" t="s">
        <v>214</v>
      </c>
    </row>
    <row r="2193" spans="1:19" x14ac:dyDescent="0.4">
      <c r="A2193" s="291"/>
      <c r="B2193" s="292"/>
      <c r="C2193" s="312"/>
      <c r="D2193" s="292"/>
      <c r="E2193" s="489"/>
      <c r="F2193" s="489"/>
      <c r="G2193" s="490"/>
      <c r="H2193" s="520"/>
      <c r="I2193" s="523"/>
      <c r="J2193" s="521"/>
      <c r="K2193" s="522"/>
      <c r="M2193" s="301" t="str">
        <f>N2193&amp;AS[[#This Row],[Insurer Code]]&amp;"; "&amp;O2193&amp;AS[[#This Row],[Reporting Year]]&amp;"; "&amp;P2193&amp;AS[[#This Row],[Insurance Category Code]]&amp;"; "&amp;Q2193&amp;AS[[#This Row],[Large Provider Entity Code]]&amp;"; "&amp;R2193&amp;AS[[#This Row],[Age Band Code]]&amp;"; "&amp;S2193&amp;AS[[#This Row],[Sex Code]]</f>
        <v xml:space="preserve">Insurer Code ; Reporting Year ; Insurance Category Code ; Large Provider Entity Code ; Age Band Code ; Sex Code </v>
      </c>
      <c r="N2193" s="297" t="s">
        <v>197</v>
      </c>
      <c r="O2193" s="297" t="s">
        <v>198</v>
      </c>
      <c r="P2193" s="297" t="s">
        <v>199</v>
      </c>
      <c r="Q2193" s="297" t="s">
        <v>200</v>
      </c>
      <c r="R2193" s="297" t="s">
        <v>213</v>
      </c>
      <c r="S2193" s="297" t="s">
        <v>214</v>
      </c>
    </row>
    <row r="2194" spans="1:19" x14ac:dyDescent="0.4">
      <c r="A2194" s="291"/>
      <c r="B2194" s="292"/>
      <c r="C2194" s="312"/>
      <c r="D2194" s="292"/>
      <c r="E2194" s="489"/>
      <c r="F2194" s="489"/>
      <c r="G2194" s="490"/>
      <c r="H2194" s="520"/>
      <c r="I2194" s="523"/>
      <c r="J2194" s="521"/>
      <c r="K2194" s="522"/>
      <c r="M2194" s="301" t="str">
        <f>N2194&amp;AS[[#This Row],[Insurer Code]]&amp;"; "&amp;O2194&amp;AS[[#This Row],[Reporting Year]]&amp;"; "&amp;P2194&amp;AS[[#This Row],[Insurance Category Code]]&amp;"; "&amp;Q2194&amp;AS[[#This Row],[Large Provider Entity Code]]&amp;"; "&amp;R2194&amp;AS[[#This Row],[Age Band Code]]&amp;"; "&amp;S2194&amp;AS[[#This Row],[Sex Code]]</f>
        <v xml:space="preserve">Insurer Code ; Reporting Year ; Insurance Category Code ; Large Provider Entity Code ; Age Band Code ; Sex Code </v>
      </c>
      <c r="N2194" s="297" t="s">
        <v>197</v>
      </c>
      <c r="O2194" s="297" t="s">
        <v>198</v>
      </c>
      <c r="P2194" s="297" t="s">
        <v>199</v>
      </c>
      <c r="Q2194" s="297" t="s">
        <v>200</v>
      </c>
      <c r="R2194" s="297" t="s">
        <v>213</v>
      </c>
      <c r="S2194" s="297" t="s">
        <v>214</v>
      </c>
    </row>
    <row r="2195" spans="1:19" x14ac:dyDescent="0.4">
      <c r="A2195" s="291"/>
      <c r="B2195" s="292"/>
      <c r="C2195" s="312"/>
      <c r="D2195" s="292"/>
      <c r="E2195" s="489"/>
      <c r="F2195" s="489"/>
      <c r="G2195" s="490"/>
      <c r="H2195" s="520"/>
      <c r="I2195" s="523"/>
      <c r="J2195" s="521"/>
      <c r="K2195" s="522"/>
      <c r="M2195" s="301" t="str">
        <f>N2195&amp;AS[[#This Row],[Insurer Code]]&amp;"; "&amp;O2195&amp;AS[[#This Row],[Reporting Year]]&amp;"; "&amp;P2195&amp;AS[[#This Row],[Insurance Category Code]]&amp;"; "&amp;Q2195&amp;AS[[#This Row],[Large Provider Entity Code]]&amp;"; "&amp;R2195&amp;AS[[#This Row],[Age Band Code]]&amp;"; "&amp;S2195&amp;AS[[#This Row],[Sex Code]]</f>
        <v xml:space="preserve">Insurer Code ; Reporting Year ; Insurance Category Code ; Large Provider Entity Code ; Age Band Code ; Sex Code </v>
      </c>
      <c r="N2195" s="297" t="s">
        <v>197</v>
      </c>
      <c r="O2195" s="297" t="s">
        <v>198</v>
      </c>
      <c r="P2195" s="297" t="s">
        <v>199</v>
      </c>
      <c r="Q2195" s="297" t="s">
        <v>200</v>
      </c>
      <c r="R2195" s="297" t="s">
        <v>213</v>
      </c>
      <c r="S2195" s="297" t="s">
        <v>214</v>
      </c>
    </row>
    <row r="2196" spans="1:19" x14ac:dyDescent="0.4">
      <c r="A2196" s="291"/>
      <c r="B2196" s="292"/>
      <c r="C2196" s="312"/>
      <c r="D2196" s="292"/>
      <c r="E2196" s="489"/>
      <c r="F2196" s="489"/>
      <c r="G2196" s="490"/>
      <c r="H2196" s="520"/>
      <c r="I2196" s="523"/>
      <c r="J2196" s="521"/>
      <c r="K2196" s="522"/>
      <c r="M2196" s="301" t="str">
        <f>N2196&amp;AS[[#This Row],[Insurer Code]]&amp;"; "&amp;O2196&amp;AS[[#This Row],[Reporting Year]]&amp;"; "&amp;P2196&amp;AS[[#This Row],[Insurance Category Code]]&amp;"; "&amp;Q2196&amp;AS[[#This Row],[Large Provider Entity Code]]&amp;"; "&amp;R2196&amp;AS[[#This Row],[Age Band Code]]&amp;"; "&amp;S2196&amp;AS[[#This Row],[Sex Code]]</f>
        <v xml:space="preserve">Insurer Code ; Reporting Year ; Insurance Category Code ; Large Provider Entity Code ; Age Band Code ; Sex Code </v>
      </c>
      <c r="N2196" s="297" t="s">
        <v>197</v>
      </c>
      <c r="O2196" s="297" t="s">
        <v>198</v>
      </c>
      <c r="P2196" s="297" t="s">
        <v>199</v>
      </c>
      <c r="Q2196" s="297" t="s">
        <v>200</v>
      </c>
      <c r="R2196" s="297" t="s">
        <v>213</v>
      </c>
      <c r="S2196" s="297" t="s">
        <v>214</v>
      </c>
    </row>
    <row r="2197" spans="1:19" x14ac:dyDescent="0.4">
      <c r="A2197" s="291"/>
      <c r="B2197" s="292"/>
      <c r="C2197" s="312"/>
      <c r="D2197" s="292"/>
      <c r="E2197" s="489"/>
      <c r="F2197" s="489"/>
      <c r="G2197" s="490"/>
      <c r="H2197" s="520"/>
      <c r="I2197" s="523"/>
      <c r="J2197" s="521"/>
      <c r="K2197" s="522"/>
      <c r="M2197" s="301" t="str">
        <f>N2197&amp;AS[[#This Row],[Insurer Code]]&amp;"; "&amp;O2197&amp;AS[[#This Row],[Reporting Year]]&amp;"; "&amp;P2197&amp;AS[[#This Row],[Insurance Category Code]]&amp;"; "&amp;Q2197&amp;AS[[#This Row],[Large Provider Entity Code]]&amp;"; "&amp;R2197&amp;AS[[#This Row],[Age Band Code]]&amp;"; "&amp;S2197&amp;AS[[#This Row],[Sex Code]]</f>
        <v xml:space="preserve">Insurer Code ; Reporting Year ; Insurance Category Code ; Large Provider Entity Code ; Age Band Code ; Sex Code </v>
      </c>
      <c r="N2197" s="297" t="s">
        <v>197</v>
      </c>
      <c r="O2197" s="297" t="s">
        <v>198</v>
      </c>
      <c r="P2197" s="297" t="s">
        <v>199</v>
      </c>
      <c r="Q2197" s="297" t="s">
        <v>200</v>
      </c>
      <c r="R2197" s="297" t="s">
        <v>213</v>
      </c>
      <c r="S2197" s="297" t="s">
        <v>214</v>
      </c>
    </row>
    <row r="2198" spans="1:19" x14ac:dyDescent="0.4">
      <c r="A2198" s="291"/>
      <c r="B2198" s="292"/>
      <c r="C2198" s="312"/>
      <c r="D2198" s="292"/>
      <c r="E2198" s="489"/>
      <c r="F2198" s="489"/>
      <c r="G2198" s="490"/>
      <c r="H2198" s="520"/>
      <c r="I2198" s="523"/>
      <c r="J2198" s="521"/>
      <c r="K2198" s="522"/>
      <c r="M2198" s="301" t="str">
        <f>N2198&amp;AS[[#This Row],[Insurer Code]]&amp;"; "&amp;O2198&amp;AS[[#This Row],[Reporting Year]]&amp;"; "&amp;P2198&amp;AS[[#This Row],[Insurance Category Code]]&amp;"; "&amp;Q2198&amp;AS[[#This Row],[Large Provider Entity Code]]&amp;"; "&amp;R2198&amp;AS[[#This Row],[Age Band Code]]&amp;"; "&amp;S2198&amp;AS[[#This Row],[Sex Code]]</f>
        <v xml:space="preserve">Insurer Code ; Reporting Year ; Insurance Category Code ; Large Provider Entity Code ; Age Band Code ; Sex Code </v>
      </c>
      <c r="N2198" s="297" t="s">
        <v>197</v>
      </c>
      <c r="O2198" s="297" t="s">
        <v>198</v>
      </c>
      <c r="P2198" s="297" t="s">
        <v>199</v>
      </c>
      <c r="Q2198" s="297" t="s">
        <v>200</v>
      </c>
      <c r="R2198" s="297" t="s">
        <v>213</v>
      </c>
      <c r="S2198" s="297" t="s">
        <v>214</v>
      </c>
    </row>
    <row r="2199" spans="1:19" x14ac:dyDescent="0.4">
      <c r="A2199" s="291"/>
      <c r="B2199" s="292"/>
      <c r="C2199" s="312"/>
      <c r="D2199" s="292"/>
      <c r="E2199" s="489"/>
      <c r="F2199" s="489"/>
      <c r="G2199" s="490"/>
      <c r="H2199" s="520"/>
      <c r="I2199" s="523"/>
      <c r="J2199" s="521"/>
      <c r="K2199" s="522"/>
      <c r="M2199" s="301" t="str">
        <f>N2199&amp;AS[[#This Row],[Insurer Code]]&amp;"; "&amp;O2199&amp;AS[[#This Row],[Reporting Year]]&amp;"; "&amp;P2199&amp;AS[[#This Row],[Insurance Category Code]]&amp;"; "&amp;Q2199&amp;AS[[#This Row],[Large Provider Entity Code]]&amp;"; "&amp;R2199&amp;AS[[#This Row],[Age Band Code]]&amp;"; "&amp;S2199&amp;AS[[#This Row],[Sex Code]]</f>
        <v xml:space="preserve">Insurer Code ; Reporting Year ; Insurance Category Code ; Large Provider Entity Code ; Age Band Code ; Sex Code </v>
      </c>
      <c r="N2199" s="297" t="s">
        <v>197</v>
      </c>
      <c r="O2199" s="297" t="s">
        <v>198</v>
      </c>
      <c r="P2199" s="297" t="s">
        <v>199</v>
      </c>
      <c r="Q2199" s="297" t="s">
        <v>200</v>
      </c>
      <c r="R2199" s="297" t="s">
        <v>213</v>
      </c>
      <c r="S2199" s="297" t="s">
        <v>214</v>
      </c>
    </row>
    <row r="2200" spans="1:19" x14ac:dyDescent="0.4">
      <c r="A2200" s="291"/>
      <c r="B2200" s="292"/>
      <c r="C2200" s="312"/>
      <c r="D2200" s="292"/>
      <c r="E2200" s="489"/>
      <c r="F2200" s="489"/>
      <c r="G2200" s="490"/>
      <c r="H2200" s="520"/>
      <c r="I2200" s="523"/>
      <c r="J2200" s="521"/>
      <c r="K2200" s="522"/>
      <c r="M2200" s="301" t="str">
        <f>N2200&amp;AS[[#This Row],[Insurer Code]]&amp;"; "&amp;O2200&amp;AS[[#This Row],[Reporting Year]]&amp;"; "&amp;P2200&amp;AS[[#This Row],[Insurance Category Code]]&amp;"; "&amp;Q2200&amp;AS[[#This Row],[Large Provider Entity Code]]&amp;"; "&amp;R2200&amp;AS[[#This Row],[Age Band Code]]&amp;"; "&amp;S2200&amp;AS[[#This Row],[Sex Code]]</f>
        <v xml:space="preserve">Insurer Code ; Reporting Year ; Insurance Category Code ; Large Provider Entity Code ; Age Band Code ; Sex Code </v>
      </c>
      <c r="N2200" s="297" t="s">
        <v>197</v>
      </c>
      <c r="O2200" s="297" t="s">
        <v>198</v>
      </c>
      <c r="P2200" s="297" t="s">
        <v>199</v>
      </c>
      <c r="Q2200" s="297" t="s">
        <v>200</v>
      </c>
      <c r="R2200" s="297" t="s">
        <v>213</v>
      </c>
      <c r="S2200" s="297" t="s">
        <v>214</v>
      </c>
    </row>
    <row r="2201" spans="1:19" x14ac:dyDescent="0.4">
      <c r="A2201" s="291"/>
      <c r="B2201" s="292"/>
      <c r="C2201" s="312"/>
      <c r="D2201" s="292"/>
      <c r="E2201" s="489"/>
      <c r="F2201" s="489"/>
      <c r="G2201" s="490"/>
      <c r="H2201" s="520"/>
      <c r="I2201" s="523"/>
      <c r="J2201" s="521"/>
      <c r="K2201" s="522"/>
      <c r="M2201" s="301" t="str">
        <f>N2201&amp;AS[[#This Row],[Insurer Code]]&amp;"; "&amp;O2201&amp;AS[[#This Row],[Reporting Year]]&amp;"; "&amp;P2201&amp;AS[[#This Row],[Insurance Category Code]]&amp;"; "&amp;Q2201&amp;AS[[#This Row],[Large Provider Entity Code]]&amp;"; "&amp;R2201&amp;AS[[#This Row],[Age Band Code]]&amp;"; "&amp;S2201&amp;AS[[#This Row],[Sex Code]]</f>
        <v xml:space="preserve">Insurer Code ; Reporting Year ; Insurance Category Code ; Large Provider Entity Code ; Age Band Code ; Sex Code </v>
      </c>
      <c r="N2201" s="297" t="s">
        <v>197</v>
      </c>
      <c r="O2201" s="297" t="s">
        <v>198</v>
      </c>
      <c r="P2201" s="297" t="s">
        <v>199</v>
      </c>
      <c r="Q2201" s="297" t="s">
        <v>200</v>
      </c>
      <c r="R2201" s="297" t="s">
        <v>213</v>
      </c>
      <c r="S2201" s="297" t="s">
        <v>214</v>
      </c>
    </row>
    <row r="2202" spans="1:19" x14ac:dyDescent="0.4">
      <c r="A2202" s="291"/>
      <c r="B2202" s="292"/>
      <c r="C2202" s="312"/>
      <c r="D2202" s="292"/>
      <c r="E2202" s="489"/>
      <c r="F2202" s="489"/>
      <c r="G2202" s="490"/>
      <c r="H2202" s="520"/>
      <c r="I2202" s="523"/>
      <c r="J2202" s="521"/>
      <c r="K2202" s="522"/>
      <c r="M2202" s="301" t="str">
        <f>N2202&amp;AS[[#This Row],[Insurer Code]]&amp;"; "&amp;O2202&amp;AS[[#This Row],[Reporting Year]]&amp;"; "&amp;P2202&amp;AS[[#This Row],[Insurance Category Code]]&amp;"; "&amp;Q2202&amp;AS[[#This Row],[Large Provider Entity Code]]&amp;"; "&amp;R2202&amp;AS[[#This Row],[Age Band Code]]&amp;"; "&amp;S2202&amp;AS[[#This Row],[Sex Code]]</f>
        <v xml:space="preserve">Insurer Code ; Reporting Year ; Insurance Category Code ; Large Provider Entity Code ; Age Band Code ; Sex Code </v>
      </c>
      <c r="N2202" s="297" t="s">
        <v>197</v>
      </c>
      <c r="O2202" s="297" t="s">
        <v>198</v>
      </c>
      <c r="P2202" s="297" t="s">
        <v>199</v>
      </c>
      <c r="Q2202" s="297" t="s">
        <v>200</v>
      </c>
      <c r="R2202" s="297" t="s">
        <v>213</v>
      </c>
      <c r="S2202" s="297" t="s">
        <v>214</v>
      </c>
    </row>
    <row r="2203" spans="1:19" x14ac:dyDescent="0.4">
      <c r="A2203" s="291"/>
      <c r="B2203" s="292"/>
      <c r="C2203" s="312"/>
      <c r="D2203" s="292"/>
      <c r="E2203" s="489"/>
      <c r="F2203" s="489"/>
      <c r="G2203" s="490"/>
      <c r="H2203" s="520"/>
      <c r="I2203" s="523"/>
      <c r="J2203" s="521"/>
      <c r="K2203" s="522"/>
      <c r="M2203" s="301" t="str">
        <f>N2203&amp;AS[[#This Row],[Insurer Code]]&amp;"; "&amp;O2203&amp;AS[[#This Row],[Reporting Year]]&amp;"; "&amp;P2203&amp;AS[[#This Row],[Insurance Category Code]]&amp;"; "&amp;Q2203&amp;AS[[#This Row],[Large Provider Entity Code]]&amp;"; "&amp;R2203&amp;AS[[#This Row],[Age Band Code]]&amp;"; "&amp;S2203&amp;AS[[#This Row],[Sex Code]]</f>
        <v xml:space="preserve">Insurer Code ; Reporting Year ; Insurance Category Code ; Large Provider Entity Code ; Age Band Code ; Sex Code </v>
      </c>
      <c r="N2203" s="297" t="s">
        <v>197</v>
      </c>
      <c r="O2203" s="297" t="s">
        <v>198</v>
      </c>
      <c r="P2203" s="297" t="s">
        <v>199</v>
      </c>
      <c r="Q2203" s="297" t="s">
        <v>200</v>
      </c>
      <c r="R2203" s="297" t="s">
        <v>213</v>
      </c>
      <c r="S2203" s="297" t="s">
        <v>214</v>
      </c>
    </row>
    <row r="2204" spans="1:19" x14ac:dyDescent="0.4">
      <c r="A2204" s="291"/>
      <c r="B2204" s="292"/>
      <c r="C2204" s="312"/>
      <c r="D2204" s="292"/>
      <c r="E2204" s="489"/>
      <c r="F2204" s="489"/>
      <c r="G2204" s="490"/>
      <c r="H2204" s="520"/>
      <c r="I2204" s="523"/>
      <c r="J2204" s="521"/>
      <c r="K2204" s="522"/>
      <c r="M2204" s="301" t="str">
        <f>N2204&amp;AS[[#This Row],[Insurer Code]]&amp;"; "&amp;O2204&amp;AS[[#This Row],[Reporting Year]]&amp;"; "&amp;P2204&amp;AS[[#This Row],[Insurance Category Code]]&amp;"; "&amp;Q2204&amp;AS[[#This Row],[Large Provider Entity Code]]&amp;"; "&amp;R2204&amp;AS[[#This Row],[Age Band Code]]&amp;"; "&amp;S2204&amp;AS[[#This Row],[Sex Code]]</f>
        <v xml:space="preserve">Insurer Code ; Reporting Year ; Insurance Category Code ; Large Provider Entity Code ; Age Band Code ; Sex Code </v>
      </c>
      <c r="N2204" s="297" t="s">
        <v>197</v>
      </c>
      <c r="O2204" s="297" t="s">
        <v>198</v>
      </c>
      <c r="P2204" s="297" t="s">
        <v>199</v>
      </c>
      <c r="Q2204" s="297" t="s">
        <v>200</v>
      </c>
      <c r="R2204" s="297" t="s">
        <v>213</v>
      </c>
      <c r="S2204" s="297" t="s">
        <v>214</v>
      </c>
    </row>
    <row r="2205" spans="1:19" x14ac:dyDescent="0.4">
      <c r="A2205" s="291"/>
      <c r="B2205" s="292"/>
      <c r="C2205" s="312"/>
      <c r="D2205" s="292"/>
      <c r="E2205" s="489"/>
      <c r="F2205" s="489"/>
      <c r="G2205" s="490"/>
      <c r="H2205" s="520"/>
      <c r="I2205" s="523"/>
      <c r="J2205" s="521"/>
      <c r="K2205" s="522"/>
      <c r="M2205" s="301" t="str">
        <f>N2205&amp;AS[[#This Row],[Insurer Code]]&amp;"; "&amp;O2205&amp;AS[[#This Row],[Reporting Year]]&amp;"; "&amp;P2205&amp;AS[[#This Row],[Insurance Category Code]]&amp;"; "&amp;Q2205&amp;AS[[#This Row],[Large Provider Entity Code]]&amp;"; "&amp;R2205&amp;AS[[#This Row],[Age Band Code]]&amp;"; "&amp;S2205&amp;AS[[#This Row],[Sex Code]]</f>
        <v xml:space="preserve">Insurer Code ; Reporting Year ; Insurance Category Code ; Large Provider Entity Code ; Age Band Code ; Sex Code </v>
      </c>
      <c r="N2205" s="297" t="s">
        <v>197</v>
      </c>
      <c r="O2205" s="297" t="s">
        <v>198</v>
      </c>
      <c r="P2205" s="297" t="s">
        <v>199</v>
      </c>
      <c r="Q2205" s="297" t="s">
        <v>200</v>
      </c>
      <c r="R2205" s="297" t="s">
        <v>213</v>
      </c>
      <c r="S2205" s="297" t="s">
        <v>214</v>
      </c>
    </row>
    <row r="2206" spans="1:19" x14ac:dyDescent="0.4">
      <c r="A2206" s="291"/>
      <c r="B2206" s="292"/>
      <c r="C2206" s="312"/>
      <c r="D2206" s="292"/>
      <c r="E2206" s="489"/>
      <c r="F2206" s="489"/>
      <c r="G2206" s="490"/>
      <c r="H2206" s="520"/>
      <c r="I2206" s="523"/>
      <c r="J2206" s="521"/>
      <c r="K2206" s="522"/>
      <c r="M2206" s="301" t="str">
        <f>N2206&amp;AS[[#This Row],[Insurer Code]]&amp;"; "&amp;O2206&amp;AS[[#This Row],[Reporting Year]]&amp;"; "&amp;P2206&amp;AS[[#This Row],[Insurance Category Code]]&amp;"; "&amp;Q2206&amp;AS[[#This Row],[Large Provider Entity Code]]&amp;"; "&amp;R2206&amp;AS[[#This Row],[Age Band Code]]&amp;"; "&amp;S2206&amp;AS[[#This Row],[Sex Code]]</f>
        <v xml:space="preserve">Insurer Code ; Reporting Year ; Insurance Category Code ; Large Provider Entity Code ; Age Band Code ; Sex Code </v>
      </c>
      <c r="N2206" s="297" t="s">
        <v>197</v>
      </c>
      <c r="O2206" s="297" t="s">
        <v>198</v>
      </c>
      <c r="P2206" s="297" t="s">
        <v>199</v>
      </c>
      <c r="Q2206" s="297" t="s">
        <v>200</v>
      </c>
      <c r="R2206" s="297" t="s">
        <v>213</v>
      </c>
      <c r="S2206" s="297" t="s">
        <v>214</v>
      </c>
    </row>
    <row r="2207" spans="1:19" x14ac:dyDescent="0.4">
      <c r="A2207" s="291"/>
      <c r="B2207" s="292"/>
      <c r="C2207" s="312"/>
      <c r="D2207" s="292"/>
      <c r="E2207" s="489"/>
      <c r="F2207" s="489"/>
      <c r="G2207" s="490"/>
      <c r="H2207" s="520"/>
      <c r="I2207" s="523"/>
      <c r="J2207" s="521"/>
      <c r="K2207" s="522"/>
      <c r="M2207" s="301" t="str">
        <f>N2207&amp;AS[[#This Row],[Insurer Code]]&amp;"; "&amp;O2207&amp;AS[[#This Row],[Reporting Year]]&amp;"; "&amp;P2207&amp;AS[[#This Row],[Insurance Category Code]]&amp;"; "&amp;Q2207&amp;AS[[#This Row],[Large Provider Entity Code]]&amp;"; "&amp;R2207&amp;AS[[#This Row],[Age Band Code]]&amp;"; "&amp;S2207&amp;AS[[#This Row],[Sex Code]]</f>
        <v xml:space="preserve">Insurer Code ; Reporting Year ; Insurance Category Code ; Large Provider Entity Code ; Age Band Code ; Sex Code </v>
      </c>
      <c r="N2207" s="297" t="s">
        <v>197</v>
      </c>
      <c r="O2207" s="297" t="s">
        <v>198</v>
      </c>
      <c r="P2207" s="297" t="s">
        <v>199</v>
      </c>
      <c r="Q2207" s="297" t="s">
        <v>200</v>
      </c>
      <c r="R2207" s="297" t="s">
        <v>213</v>
      </c>
      <c r="S2207" s="297" t="s">
        <v>214</v>
      </c>
    </row>
    <row r="2208" spans="1:19" x14ac:dyDescent="0.4">
      <c r="A2208" s="291"/>
      <c r="B2208" s="292"/>
      <c r="C2208" s="312"/>
      <c r="D2208" s="292"/>
      <c r="E2208" s="489"/>
      <c r="F2208" s="489"/>
      <c r="G2208" s="490"/>
      <c r="H2208" s="520"/>
      <c r="I2208" s="523"/>
      <c r="J2208" s="521"/>
      <c r="K2208" s="522"/>
      <c r="M2208" s="301" t="str">
        <f>N2208&amp;AS[[#This Row],[Insurer Code]]&amp;"; "&amp;O2208&amp;AS[[#This Row],[Reporting Year]]&amp;"; "&amp;P2208&amp;AS[[#This Row],[Insurance Category Code]]&amp;"; "&amp;Q2208&amp;AS[[#This Row],[Large Provider Entity Code]]&amp;"; "&amp;R2208&amp;AS[[#This Row],[Age Band Code]]&amp;"; "&amp;S2208&amp;AS[[#This Row],[Sex Code]]</f>
        <v xml:space="preserve">Insurer Code ; Reporting Year ; Insurance Category Code ; Large Provider Entity Code ; Age Band Code ; Sex Code </v>
      </c>
      <c r="N2208" s="297" t="s">
        <v>197</v>
      </c>
      <c r="O2208" s="297" t="s">
        <v>198</v>
      </c>
      <c r="P2208" s="297" t="s">
        <v>199</v>
      </c>
      <c r="Q2208" s="297" t="s">
        <v>200</v>
      </c>
      <c r="R2208" s="297" t="s">
        <v>213</v>
      </c>
      <c r="S2208" s="297" t="s">
        <v>214</v>
      </c>
    </row>
    <row r="2209" spans="1:19" x14ac:dyDescent="0.4">
      <c r="A2209" s="291"/>
      <c r="B2209" s="292"/>
      <c r="C2209" s="312"/>
      <c r="D2209" s="292"/>
      <c r="E2209" s="489"/>
      <c r="F2209" s="489"/>
      <c r="G2209" s="490"/>
      <c r="H2209" s="520"/>
      <c r="I2209" s="523"/>
      <c r="J2209" s="521"/>
      <c r="K2209" s="522"/>
      <c r="M2209" s="301" t="str">
        <f>N2209&amp;AS[[#This Row],[Insurer Code]]&amp;"; "&amp;O2209&amp;AS[[#This Row],[Reporting Year]]&amp;"; "&amp;P2209&amp;AS[[#This Row],[Insurance Category Code]]&amp;"; "&amp;Q2209&amp;AS[[#This Row],[Large Provider Entity Code]]&amp;"; "&amp;R2209&amp;AS[[#This Row],[Age Band Code]]&amp;"; "&amp;S2209&amp;AS[[#This Row],[Sex Code]]</f>
        <v xml:space="preserve">Insurer Code ; Reporting Year ; Insurance Category Code ; Large Provider Entity Code ; Age Band Code ; Sex Code </v>
      </c>
      <c r="N2209" s="297" t="s">
        <v>197</v>
      </c>
      <c r="O2209" s="297" t="s">
        <v>198</v>
      </c>
      <c r="P2209" s="297" t="s">
        <v>199</v>
      </c>
      <c r="Q2209" s="297" t="s">
        <v>200</v>
      </c>
      <c r="R2209" s="297" t="s">
        <v>213</v>
      </c>
      <c r="S2209" s="297" t="s">
        <v>214</v>
      </c>
    </row>
    <row r="2210" spans="1:19" x14ac:dyDescent="0.4">
      <c r="A2210" s="291"/>
      <c r="B2210" s="292"/>
      <c r="C2210" s="312"/>
      <c r="D2210" s="292"/>
      <c r="E2210" s="489"/>
      <c r="F2210" s="489"/>
      <c r="G2210" s="490"/>
      <c r="H2210" s="520"/>
      <c r="I2210" s="523"/>
      <c r="J2210" s="521"/>
      <c r="K2210" s="522"/>
      <c r="M2210" s="301" t="str">
        <f>N2210&amp;AS[[#This Row],[Insurer Code]]&amp;"; "&amp;O2210&amp;AS[[#This Row],[Reporting Year]]&amp;"; "&amp;P2210&amp;AS[[#This Row],[Insurance Category Code]]&amp;"; "&amp;Q2210&amp;AS[[#This Row],[Large Provider Entity Code]]&amp;"; "&amp;R2210&amp;AS[[#This Row],[Age Band Code]]&amp;"; "&amp;S2210&amp;AS[[#This Row],[Sex Code]]</f>
        <v xml:space="preserve">Insurer Code ; Reporting Year ; Insurance Category Code ; Large Provider Entity Code ; Age Band Code ; Sex Code </v>
      </c>
      <c r="N2210" s="297" t="s">
        <v>197</v>
      </c>
      <c r="O2210" s="297" t="s">
        <v>198</v>
      </c>
      <c r="P2210" s="297" t="s">
        <v>199</v>
      </c>
      <c r="Q2210" s="297" t="s">
        <v>200</v>
      </c>
      <c r="R2210" s="297" t="s">
        <v>213</v>
      </c>
      <c r="S2210" s="297" t="s">
        <v>214</v>
      </c>
    </row>
    <row r="2211" spans="1:19" x14ac:dyDescent="0.4">
      <c r="A2211" s="291"/>
      <c r="B2211" s="292"/>
      <c r="C2211" s="312"/>
      <c r="D2211" s="292"/>
      <c r="E2211" s="489"/>
      <c r="F2211" s="489"/>
      <c r="G2211" s="490"/>
      <c r="H2211" s="520"/>
      <c r="I2211" s="523"/>
      <c r="J2211" s="521"/>
      <c r="K2211" s="522"/>
      <c r="M2211" s="301" t="str">
        <f>N2211&amp;AS[[#This Row],[Insurer Code]]&amp;"; "&amp;O2211&amp;AS[[#This Row],[Reporting Year]]&amp;"; "&amp;P2211&amp;AS[[#This Row],[Insurance Category Code]]&amp;"; "&amp;Q2211&amp;AS[[#This Row],[Large Provider Entity Code]]&amp;"; "&amp;R2211&amp;AS[[#This Row],[Age Band Code]]&amp;"; "&amp;S2211&amp;AS[[#This Row],[Sex Code]]</f>
        <v xml:space="preserve">Insurer Code ; Reporting Year ; Insurance Category Code ; Large Provider Entity Code ; Age Band Code ; Sex Code </v>
      </c>
      <c r="N2211" s="297" t="s">
        <v>197</v>
      </c>
      <c r="O2211" s="297" t="s">
        <v>198</v>
      </c>
      <c r="P2211" s="297" t="s">
        <v>199</v>
      </c>
      <c r="Q2211" s="297" t="s">
        <v>200</v>
      </c>
      <c r="R2211" s="297" t="s">
        <v>213</v>
      </c>
      <c r="S2211" s="297" t="s">
        <v>214</v>
      </c>
    </row>
    <row r="2212" spans="1:19" x14ac:dyDescent="0.4">
      <c r="A2212" s="291"/>
      <c r="B2212" s="292"/>
      <c r="C2212" s="312"/>
      <c r="D2212" s="292"/>
      <c r="E2212" s="489"/>
      <c r="F2212" s="489"/>
      <c r="G2212" s="490"/>
      <c r="H2212" s="520"/>
      <c r="I2212" s="523"/>
      <c r="J2212" s="521"/>
      <c r="K2212" s="522"/>
      <c r="M2212" s="301" t="str">
        <f>N2212&amp;AS[[#This Row],[Insurer Code]]&amp;"; "&amp;O2212&amp;AS[[#This Row],[Reporting Year]]&amp;"; "&amp;P2212&amp;AS[[#This Row],[Insurance Category Code]]&amp;"; "&amp;Q2212&amp;AS[[#This Row],[Large Provider Entity Code]]&amp;"; "&amp;R2212&amp;AS[[#This Row],[Age Band Code]]&amp;"; "&amp;S2212&amp;AS[[#This Row],[Sex Code]]</f>
        <v xml:space="preserve">Insurer Code ; Reporting Year ; Insurance Category Code ; Large Provider Entity Code ; Age Band Code ; Sex Code </v>
      </c>
      <c r="N2212" s="297" t="s">
        <v>197</v>
      </c>
      <c r="O2212" s="297" t="s">
        <v>198</v>
      </c>
      <c r="P2212" s="297" t="s">
        <v>199</v>
      </c>
      <c r="Q2212" s="297" t="s">
        <v>200</v>
      </c>
      <c r="R2212" s="297" t="s">
        <v>213</v>
      </c>
      <c r="S2212" s="297" t="s">
        <v>214</v>
      </c>
    </row>
    <row r="2213" spans="1:19" x14ac:dyDescent="0.4">
      <c r="A2213" s="291"/>
      <c r="B2213" s="292"/>
      <c r="C2213" s="312"/>
      <c r="D2213" s="292"/>
      <c r="E2213" s="489"/>
      <c r="F2213" s="489"/>
      <c r="G2213" s="490"/>
      <c r="H2213" s="520"/>
      <c r="I2213" s="523"/>
      <c r="J2213" s="521"/>
      <c r="K2213" s="522"/>
      <c r="M2213" s="301" t="str">
        <f>N2213&amp;AS[[#This Row],[Insurer Code]]&amp;"; "&amp;O2213&amp;AS[[#This Row],[Reporting Year]]&amp;"; "&amp;P2213&amp;AS[[#This Row],[Insurance Category Code]]&amp;"; "&amp;Q2213&amp;AS[[#This Row],[Large Provider Entity Code]]&amp;"; "&amp;R2213&amp;AS[[#This Row],[Age Band Code]]&amp;"; "&amp;S2213&amp;AS[[#This Row],[Sex Code]]</f>
        <v xml:space="preserve">Insurer Code ; Reporting Year ; Insurance Category Code ; Large Provider Entity Code ; Age Band Code ; Sex Code </v>
      </c>
      <c r="N2213" s="297" t="s">
        <v>197</v>
      </c>
      <c r="O2213" s="297" t="s">
        <v>198</v>
      </c>
      <c r="P2213" s="297" t="s">
        <v>199</v>
      </c>
      <c r="Q2213" s="297" t="s">
        <v>200</v>
      </c>
      <c r="R2213" s="297" t="s">
        <v>213</v>
      </c>
      <c r="S2213" s="297" t="s">
        <v>214</v>
      </c>
    </row>
    <row r="2214" spans="1:19" x14ac:dyDescent="0.4">
      <c r="A2214" s="291"/>
      <c r="B2214" s="292"/>
      <c r="C2214" s="312"/>
      <c r="D2214" s="292"/>
      <c r="E2214" s="489"/>
      <c r="F2214" s="489"/>
      <c r="G2214" s="490"/>
      <c r="H2214" s="520"/>
      <c r="I2214" s="523"/>
      <c r="J2214" s="521"/>
      <c r="K2214" s="522"/>
      <c r="M2214" s="301" t="str">
        <f>N2214&amp;AS[[#This Row],[Insurer Code]]&amp;"; "&amp;O2214&amp;AS[[#This Row],[Reporting Year]]&amp;"; "&amp;P2214&amp;AS[[#This Row],[Insurance Category Code]]&amp;"; "&amp;Q2214&amp;AS[[#This Row],[Large Provider Entity Code]]&amp;"; "&amp;R2214&amp;AS[[#This Row],[Age Band Code]]&amp;"; "&amp;S2214&amp;AS[[#This Row],[Sex Code]]</f>
        <v xml:space="preserve">Insurer Code ; Reporting Year ; Insurance Category Code ; Large Provider Entity Code ; Age Band Code ; Sex Code </v>
      </c>
      <c r="N2214" s="297" t="s">
        <v>197</v>
      </c>
      <c r="O2214" s="297" t="s">
        <v>198</v>
      </c>
      <c r="P2214" s="297" t="s">
        <v>199</v>
      </c>
      <c r="Q2214" s="297" t="s">
        <v>200</v>
      </c>
      <c r="R2214" s="297" t="s">
        <v>213</v>
      </c>
      <c r="S2214" s="297" t="s">
        <v>214</v>
      </c>
    </row>
    <row r="2215" spans="1:19" x14ac:dyDescent="0.4">
      <c r="A2215" s="291"/>
      <c r="B2215" s="292"/>
      <c r="C2215" s="312"/>
      <c r="D2215" s="292"/>
      <c r="E2215" s="489"/>
      <c r="F2215" s="489"/>
      <c r="G2215" s="490"/>
      <c r="H2215" s="520"/>
      <c r="I2215" s="523"/>
      <c r="J2215" s="521"/>
      <c r="K2215" s="522"/>
      <c r="M2215" s="301" t="str">
        <f>N2215&amp;AS[[#This Row],[Insurer Code]]&amp;"; "&amp;O2215&amp;AS[[#This Row],[Reporting Year]]&amp;"; "&amp;P2215&amp;AS[[#This Row],[Insurance Category Code]]&amp;"; "&amp;Q2215&amp;AS[[#This Row],[Large Provider Entity Code]]&amp;"; "&amp;R2215&amp;AS[[#This Row],[Age Band Code]]&amp;"; "&amp;S2215&amp;AS[[#This Row],[Sex Code]]</f>
        <v xml:space="preserve">Insurer Code ; Reporting Year ; Insurance Category Code ; Large Provider Entity Code ; Age Band Code ; Sex Code </v>
      </c>
      <c r="N2215" s="297" t="s">
        <v>197</v>
      </c>
      <c r="O2215" s="297" t="s">
        <v>198</v>
      </c>
      <c r="P2215" s="297" t="s">
        <v>199</v>
      </c>
      <c r="Q2215" s="297" t="s">
        <v>200</v>
      </c>
      <c r="R2215" s="297" t="s">
        <v>213</v>
      </c>
      <c r="S2215" s="297" t="s">
        <v>214</v>
      </c>
    </row>
    <row r="2216" spans="1:19" x14ac:dyDescent="0.4">
      <c r="A2216" s="291"/>
      <c r="B2216" s="292"/>
      <c r="C2216" s="312"/>
      <c r="D2216" s="292"/>
      <c r="E2216" s="489"/>
      <c r="F2216" s="489"/>
      <c r="G2216" s="490"/>
      <c r="H2216" s="520"/>
      <c r="I2216" s="523"/>
      <c r="J2216" s="521"/>
      <c r="K2216" s="522"/>
      <c r="M2216" s="301" t="str">
        <f>N2216&amp;AS[[#This Row],[Insurer Code]]&amp;"; "&amp;O2216&amp;AS[[#This Row],[Reporting Year]]&amp;"; "&amp;P2216&amp;AS[[#This Row],[Insurance Category Code]]&amp;"; "&amp;Q2216&amp;AS[[#This Row],[Large Provider Entity Code]]&amp;"; "&amp;R2216&amp;AS[[#This Row],[Age Band Code]]&amp;"; "&amp;S2216&amp;AS[[#This Row],[Sex Code]]</f>
        <v xml:space="preserve">Insurer Code ; Reporting Year ; Insurance Category Code ; Large Provider Entity Code ; Age Band Code ; Sex Code </v>
      </c>
      <c r="N2216" s="297" t="s">
        <v>197</v>
      </c>
      <c r="O2216" s="297" t="s">
        <v>198</v>
      </c>
      <c r="P2216" s="297" t="s">
        <v>199</v>
      </c>
      <c r="Q2216" s="297" t="s">
        <v>200</v>
      </c>
      <c r="R2216" s="297" t="s">
        <v>213</v>
      </c>
      <c r="S2216" s="297" t="s">
        <v>214</v>
      </c>
    </row>
    <row r="2217" spans="1:19" x14ac:dyDescent="0.4">
      <c r="A2217" s="291"/>
      <c r="B2217" s="292"/>
      <c r="C2217" s="312"/>
      <c r="D2217" s="292"/>
      <c r="E2217" s="489"/>
      <c r="F2217" s="489"/>
      <c r="G2217" s="490"/>
      <c r="H2217" s="520"/>
      <c r="I2217" s="523"/>
      <c r="J2217" s="521"/>
      <c r="K2217" s="522"/>
      <c r="M2217" s="301" t="str">
        <f>N2217&amp;AS[[#This Row],[Insurer Code]]&amp;"; "&amp;O2217&amp;AS[[#This Row],[Reporting Year]]&amp;"; "&amp;P2217&amp;AS[[#This Row],[Insurance Category Code]]&amp;"; "&amp;Q2217&amp;AS[[#This Row],[Large Provider Entity Code]]&amp;"; "&amp;R2217&amp;AS[[#This Row],[Age Band Code]]&amp;"; "&amp;S2217&amp;AS[[#This Row],[Sex Code]]</f>
        <v xml:space="preserve">Insurer Code ; Reporting Year ; Insurance Category Code ; Large Provider Entity Code ; Age Band Code ; Sex Code </v>
      </c>
      <c r="N2217" s="297" t="s">
        <v>197</v>
      </c>
      <c r="O2217" s="297" t="s">
        <v>198</v>
      </c>
      <c r="P2217" s="297" t="s">
        <v>199</v>
      </c>
      <c r="Q2217" s="297" t="s">
        <v>200</v>
      </c>
      <c r="R2217" s="297" t="s">
        <v>213</v>
      </c>
      <c r="S2217" s="297" t="s">
        <v>214</v>
      </c>
    </row>
    <row r="2218" spans="1:19" x14ac:dyDescent="0.4">
      <c r="A2218" s="291"/>
      <c r="B2218" s="292"/>
      <c r="C2218" s="312"/>
      <c r="D2218" s="292"/>
      <c r="E2218" s="489"/>
      <c r="F2218" s="489"/>
      <c r="G2218" s="490"/>
      <c r="H2218" s="520"/>
      <c r="I2218" s="523"/>
      <c r="J2218" s="521"/>
      <c r="K2218" s="522"/>
      <c r="M2218" s="301" t="str">
        <f>N2218&amp;AS[[#This Row],[Insurer Code]]&amp;"; "&amp;O2218&amp;AS[[#This Row],[Reporting Year]]&amp;"; "&amp;P2218&amp;AS[[#This Row],[Insurance Category Code]]&amp;"; "&amp;Q2218&amp;AS[[#This Row],[Large Provider Entity Code]]&amp;"; "&amp;R2218&amp;AS[[#This Row],[Age Band Code]]&amp;"; "&amp;S2218&amp;AS[[#This Row],[Sex Code]]</f>
        <v xml:space="preserve">Insurer Code ; Reporting Year ; Insurance Category Code ; Large Provider Entity Code ; Age Band Code ; Sex Code </v>
      </c>
      <c r="N2218" s="297" t="s">
        <v>197</v>
      </c>
      <c r="O2218" s="297" t="s">
        <v>198</v>
      </c>
      <c r="P2218" s="297" t="s">
        <v>199</v>
      </c>
      <c r="Q2218" s="297" t="s">
        <v>200</v>
      </c>
      <c r="R2218" s="297" t="s">
        <v>213</v>
      </c>
      <c r="S2218" s="297" t="s">
        <v>214</v>
      </c>
    </row>
    <row r="2219" spans="1:19" x14ac:dyDescent="0.4">
      <c r="A2219" s="291"/>
      <c r="B2219" s="292"/>
      <c r="C2219" s="312"/>
      <c r="D2219" s="292"/>
      <c r="E2219" s="489"/>
      <c r="F2219" s="489"/>
      <c r="G2219" s="490"/>
      <c r="H2219" s="520"/>
      <c r="I2219" s="523"/>
      <c r="J2219" s="521"/>
      <c r="K2219" s="522"/>
      <c r="M2219" s="301" t="str">
        <f>N2219&amp;AS[[#This Row],[Insurer Code]]&amp;"; "&amp;O2219&amp;AS[[#This Row],[Reporting Year]]&amp;"; "&amp;P2219&amp;AS[[#This Row],[Insurance Category Code]]&amp;"; "&amp;Q2219&amp;AS[[#This Row],[Large Provider Entity Code]]&amp;"; "&amp;R2219&amp;AS[[#This Row],[Age Band Code]]&amp;"; "&amp;S2219&amp;AS[[#This Row],[Sex Code]]</f>
        <v xml:space="preserve">Insurer Code ; Reporting Year ; Insurance Category Code ; Large Provider Entity Code ; Age Band Code ; Sex Code </v>
      </c>
      <c r="N2219" s="297" t="s">
        <v>197</v>
      </c>
      <c r="O2219" s="297" t="s">
        <v>198</v>
      </c>
      <c r="P2219" s="297" t="s">
        <v>199</v>
      </c>
      <c r="Q2219" s="297" t="s">
        <v>200</v>
      </c>
      <c r="R2219" s="297" t="s">
        <v>213</v>
      </c>
      <c r="S2219" s="297" t="s">
        <v>214</v>
      </c>
    </row>
    <row r="2220" spans="1:19" x14ac:dyDescent="0.4">
      <c r="A2220" s="291"/>
      <c r="B2220" s="292"/>
      <c r="C2220" s="312"/>
      <c r="D2220" s="292"/>
      <c r="E2220" s="489"/>
      <c r="F2220" s="489"/>
      <c r="G2220" s="490"/>
      <c r="H2220" s="520"/>
      <c r="I2220" s="523"/>
      <c r="J2220" s="521"/>
      <c r="K2220" s="522"/>
      <c r="M2220" s="301" t="str">
        <f>N2220&amp;AS[[#This Row],[Insurer Code]]&amp;"; "&amp;O2220&amp;AS[[#This Row],[Reporting Year]]&amp;"; "&amp;P2220&amp;AS[[#This Row],[Insurance Category Code]]&amp;"; "&amp;Q2220&amp;AS[[#This Row],[Large Provider Entity Code]]&amp;"; "&amp;R2220&amp;AS[[#This Row],[Age Band Code]]&amp;"; "&amp;S2220&amp;AS[[#This Row],[Sex Code]]</f>
        <v xml:space="preserve">Insurer Code ; Reporting Year ; Insurance Category Code ; Large Provider Entity Code ; Age Band Code ; Sex Code </v>
      </c>
      <c r="N2220" s="297" t="s">
        <v>197</v>
      </c>
      <c r="O2220" s="297" t="s">
        <v>198</v>
      </c>
      <c r="P2220" s="297" t="s">
        <v>199</v>
      </c>
      <c r="Q2220" s="297" t="s">
        <v>200</v>
      </c>
      <c r="R2220" s="297" t="s">
        <v>213</v>
      </c>
      <c r="S2220" s="297" t="s">
        <v>214</v>
      </c>
    </row>
    <row r="2221" spans="1:19" x14ac:dyDescent="0.4">
      <c r="A2221" s="291"/>
      <c r="B2221" s="292"/>
      <c r="C2221" s="312"/>
      <c r="D2221" s="292"/>
      <c r="E2221" s="489"/>
      <c r="F2221" s="489"/>
      <c r="G2221" s="490"/>
      <c r="H2221" s="520"/>
      <c r="I2221" s="523"/>
      <c r="J2221" s="521"/>
      <c r="K2221" s="522"/>
      <c r="M2221" s="301" t="str">
        <f>N2221&amp;AS[[#This Row],[Insurer Code]]&amp;"; "&amp;O2221&amp;AS[[#This Row],[Reporting Year]]&amp;"; "&amp;P2221&amp;AS[[#This Row],[Insurance Category Code]]&amp;"; "&amp;Q2221&amp;AS[[#This Row],[Large Provider Entity Code]]&amp;"; "&amp;R2221&amp;AS[[#This Row],[Age Band Code]]&amp;"; "&amp;S2221&amp;AS[[#This Row],[Sex Code]]</f>
        <v xml:space="preserve">Insurer Code ; Reporting Year ; Insurance Category Code ; Large Provider Entity Code ; Age Band Code ; Sex Code </v>
      </c>
      <c r="N2221" s="297" t="s">
        <v>197</v>
      </c>
      <c r="O2221" s="297" t="s">
        <v>198</v>
      </c>
      <c r="P2221" s="297" t="s">
        <v>199</v>
      </c>
      <c r="Q2221" s="297" t="s">
        <v>200</v>
      </c>
      <c r="R2221" s="297" t="s">
        <v>213</v>
      </c>
      <c r="S2221" s="297" t="s">
        <v>214</v>
      </c>
    </row>
    <row r="2222" spans="1:19" x14ac:dyDescent="0.4">
      <c r="A2222" s="291"/>
      <c r="B2222" s="292"/>
      <c r="C2222" s="312"/>
      <c r="D2222" s="292"/>
      <c r="E2222" s="489"/>
      <c r="F2222" s="489"/>
      <c r="G2222" s="490"/>
      <c r="H2222" s="520"/>
      <c r="I2222" s="523"/>
      <c r="J2222" s="521"/>
      <c r="K2222" s="522"/>
      <c r="M2222" s="301" t="str">
        <f>N2222&amp;AS[[#This Row],[Insurer Code]]&amp;"; "&amp;O2222&amp;AS[[#This Row],[Reporting Year]]&amp;"; "&amp;P2222&amp;AS[[#This Row],[Insurance Category Code]]&amp;"; "&amp;Q2222&amp;AS[[#This Row],[Large Provider Entity Code]]&amp;"; "&amp;R2222&amp;AS[[#This Row],[Age Band Code]]&amp;"; "&amp;S2222&amp;AS[[#This Row],[Sex Code]]</f>
        <v xml:space="preserve">Insurer Code ; Reporting Year ; Insurance Category Code ; Large Provider Entity Code ; Age Band Code ; Sex Code </v>
      </c>
      <c r="N2222" s="297" t="s">
        <v>197</v>
      </c>
      <c r="O2222" s="297" t="s">
        <v>198</v>
      </c>
      <c r="P2222" s="297" t="s">
        <v>199</v>
      </c>
      <c r="Q2222" s="297" t="s">
        <v>200</v>
      </c>
      <c r="R2222" s="297" t="s">
        <v>213</v>
      </c>
      <c r="S2222" s="297" t="s">
        <v>214</v>
      </c>
    </row>
    <row r="2223" spans="1:19" x14ac:dyDescent="0.4">
      <c r="A2223" s="291"/>
      <c r="B2223" s="292"/>
      <c r="C2223" s="312"/>
      <c r="D2223" s="292"/>
      <c r="E2223" s="489"/>
      <c r="F2223" s="489"/>
      <c r="G2223" s="490"/>
      <c r="H2223" s="520"/>
      <c r="I2223" s="523"/>
      <c r="J2223" s="521"/>
      <c r="K2223" s="522"/>
      <c r="M2223" s="301" t="str">
        <f>N2223&amp;AS[[#This Row],[Insurer Code]]&amp;"; "&amp;O2223&amp;AS[[#This Row],[Reporting Year]]&amp;"; "&amp;P2223&amp;AS[[#This Row],[Insurance Category Code]]&amp;"; "&amp;Q2223&amp;AS[[#This Row],[Large Provider Entity Code]]&amp;"; "&amp;R2223&amp;AS[[#This Row],[Age Band Code]]&amp;"; "&amp;S2223&amp;AS[[#This Row],[Sex Code]]</f>
        <v xml:space="preserve">Insurer Code ; Reporting Year ; Insurance Category Code ; Large Provider Entity Code ; Age Band Code ; Sex Code </v>
      </c>
      <c r="N2223" s="297" t="s">
        <v>197</v>
      </c>
      <c r="O2223" s="297" t="s">
        <v>198</v>
      </c>
      <c r="P2223" s="297" t="s">
        <v>199</v>
      </c>
      <c r="Q2223" s="297" t="s">
        <v>200</v>
      </c>
      <c r="R2223" s="297" t="s">
        <v>213</v>
      </c>
      <c r="S2223" s="297" t="s">
        <v>214</v>
      </c>
    </row>
    <row r="2224" spans="1:19" x14ac:dyDescent="0.4">
      <c r="A2224" s="291"/>
      <c r="B2224" s="292"/>
      <c r="C2224" s="312"/>
      <c r="D2224" s="292"/>
      <c r="E2224" s="489"/>
      <c r="F2224" s="489"/>
      <c r="G2224" s="490"/>
      <c r="H2224" s="520"/>
      <c r="I2224" s="523"/>
      <c r="J2224" s="521"/>
      <c r="K2224" s="522"/>
      <c r="M2224" s="301" t="str">
        <f>N2224&amp;AS[[#This Row],[Insurer Code]]&amp;"; "&amp;O2224&amp;AS[[#This Row],[Reporting Year]]&amp;"; "&amp;P2224&amp;AS[[#This Row],[Insurance Category Code]]&amp;"; "&amp;Q2224&amp;AS[[#This Row],[Large Provider Entity Code]]&amp;"; "&amp;R2224&amp;AS[[#This Row],[Age Band Code]]&amp;"; "&amp;S2224&amp;AS[[#This Row],[Sex Code]]</f>
        <v xml:space="preserve">Insurer Code ; Reporting Year ; Insurance Category Code ; Large Provider Entity Code ; Age Band Code ; Sex Code </v>
      </c>
      <c r="N2224" s="297" t="s">
        <v>197</v>
      </c>
      <c r="O2224" s="297" t="s">
        <v>198</v>
      </c>
      <c r="P2224" s="297" t="s">
        <v>199</v>
      </c>
      <c r="Q2224" s="297" t="s">
        <v>200</v>
      </c>
      <c r="R2224" s="297" t="s">
        <v>213</v>
      </c>
      <c r="S2224" s="297" t="s">
        <v>214</v>
      </c>
    </row>
    <row r="2225" spans="1:19" x14ac:dyDescent="0.4">
      <c r="A2225" s="291"/>
      <c r="B2225" s="292"/>
      <c r="C2225" s="312"/>
      <c r="D2225" s="292"/>
      <c r="E2225" s="489"/>
      <c r="F2225" s="489"/>
      <c r="G2225" s="490"/>
      <c r="H2225" s="520"/>
      <c r="I2225" s="523"/>
      <c r="J2225" s="521"/>
      <c r="K2225" s="522"/>
      <c r="M2225" s="301" t="str">
        <f>N2225&amp;AS[[#This Row],[Insurer Code]]&amp;"; "&amp;O2225&amp;AS[[#This Row],[Reporting Year]]&amp;"; "&amp;P2225&amp;AS[[#This Row],[Insurance Category Code]]&amp;"; "&amp;Q2225&amp;AS[[#This Row],[Large Provider Entity Code]]&amp;"; "&amp;R2225&amp;AS[[#This Row],[Age Band Code]]&amp;"; "&amp;S2225&amp;AS[[#This Row],[Sex Code]]</f>
        <v xml:space="preserve">Insurer Code ; Reporting Year ; Insurance Category Code ; Large Provider Entity Code ; Age Band Code ; Sex Code </v>
      </c>
      <c r="N2225" s="297" t="s">
        <v>197</v>
      </c>
      <c r="O2225" s="297" t="s">
        <v>198</v>
      </c>
      <c r="P2225" s="297" t="s">
        <v>199</v>
      </c>
      <c r="Q2225" s="297" t="s">
        <v>200</v>
      </c>
      <c r="R2225" s="297" t="s">
        <v>213</v>
      </c>
      <c r="S2225" s="297" t="s">
        <v>214</v>
      </c>
    </row>
    <row r="2226" spans="1:19" x14ac:dyDescent="0.4">
      <c r="A2226" s="291"/>
      <c r="B2226" s="292"/>
      <c r="C2226" s="312"/>
      <c r="D2226" s="292"/>
      <c r="E2226" s="489"/>
      <c r="F2226" s="489"/>
      <c r="G2226" s="490"/>
      <c r="H2226" s="520"/>
      <c r="I2226" s="523"/>
      <c r="J2226" s="521"/>
      <c r="K2226" s="522"/>
      <c r="M2226" s="301" t="str">
        <f>N2226&amp;AS[[#This Row],[Insurer Code]]&amp;"; "&amp;O2226&amp;AS[[#This Row],[Reporting Year]]&amp;"; "&amp;P2226&amp;AS[[#This Row],[Insurance Category Code]]&amp;"; "&amp;Q2226&amp;AS[[#This Row],[Large Provider Entity Code]]&amp;"; "&amp;R2226&amp;AS[[#This Row],[Age Band Code]]&amp;"; "&amp;S2226&amp;AS[[#This Row],[Sex Code]]</f>
        <v xml:space="preserve">Insurer Code ; Reporting Year ; Insurance Category Code ; Large Provider Entity Code ; Age Band Code ; Sex Code </v>
      </c>
      <c r="N2226" s="297" t="s">
        <v>197</v>
      </c>
      <c r="O2226" s="297" t="s">
        <v>198</v>
      </c>
      <c r="P2226" s="297" t="s">
        <v>199</v>
      </c>
      <c r="Q2226" s="297" t="s">
        <v>200</v>
      </c>
      <c r="R2226" s="297" t="s">
        <v>213</v>
      </c>
      <c r="S2226" s="297" t="s">
        <v>214</v>
      </c>
    </row>
    <row r="2227" spans="1:19" x14ac:dyDescent="0.4">
      <c r="A2227" s="291"/>
      <c r="B2227" s="292"/>
      <c r="C2227" s="312"/>
      <c r="D2227" s="292"/>
      <c r="E2227" s="489"/>
      <c r="F2227" s="489"/>
      <c r="G2227" s="490"/>
      <c r="H2227" s="520"/>
      <c r="I2227" s="523"/>
      <c r="J2227" s="521"/>
      <c r="K2227" s="522"/>
      <c r="M2227" s="301" t="str">
        <f>N2227&amp;AS[[#This Row],[Insurer Code]]&amp;"; "&amp;O2227&amp;AS[[#This Row],[Reporting Year]]&amp;"; "&amp;P2227&amp;AS[[#This Row],[Insurance Category Code]]&amp;"; "&amp;Q2227&amp;AS[[#This Row],[Large Provider Entity Code]]&amp;"; "&amp;R2227&amp;AS[[#This Row],[Age Band Code]]&amp;"; "&amp;S2227&amp;AS[[#This Row],[Sex Code]]</f>
        <v xml:space="preserve">Insurer Code ; Reporting Year ; Insurance Category Code ; Large Provider Entity Code ; Age Band Code ; Sex Code </v>
      </c>
      <c r="N2227" s="297" t="s">
        <v>197</v>
      </c>
      <c r="O2227" s="297" t="s">
        <v>198</v>
      </c>
      <c r="P2227" s="297" t="s">
        <v>199</v>
      </c>
      <c r="Q2227" s="297" t="s">
        <v>200</v>
      </c>
      <c r="R2227" s="297" t="s">
        <v>213</v>
      </c>
      <c r="S2227" s="297" t="s">
        <v>214</v>
      </c>
    </row>
    <row r="2228" spans="1:19" x14ac:dyDescent="0.4">
      <c r="A2228" s="291"/>
      <c r="B2228" s="292"/>
      <c r="C2228" s="312"/>
      <c r="D2228" s="292"/>
      <c r="E2228" s="489"/>
      <c r="F2228" s="489"/>
      <c r="G2228" s="490"/>
      <c r="H2228" s="520"/>
      <c r="I2228" s="523"/>
      <c r="J2228" s="521"/>
      <c r="K2228" s="522"/>
      <c r="M2228" s="301" t="str">
        <f>N2228&amp;AS[[#This Row],[Insurer Code]]&amp;"; "&amp;O2228&amp;AS[[#This Row],[Reporting Year]]&amp;"; "&amp;P2228&amp;AS[[#This Row],[Insurance Category Code]]&amp;"; "&amp;Q2228&amp;AS[[#This Row],[Large Provider Entity Code]]&amp;"; "&amp;R2228&amp;AS[[#This Row],[Age Band Code]]&amp;"; "&amp;S2228&amp;AS[[#This Row],[Sex Code]]</f>
        <v xml:space="preserve">Insurer Code ; Reporting Year ; Insurance Category Code ; Large Provider Entity Code ; Age Band Code ; Sex Code </v>
      </c>
      <c r="N2228" s="297" t="s">
        <v>197</v>
      </c>
      <c r="O2228" s="297" t="s">
        <v>198</v>
      </c>
      <c r="P2228" s="297" t="s">
        <v>199</v>
      </c>
      <c r="Q2228" s="297" t="s">
        <v>200</v>
      </c>
      <c r="R2228" s="297" t="s">
        <v>213</v>
      </c>
      <c r="S2228" s="297" t="s">
        <v>214</v>
      </c>
    </row>
    <row r="2229" spans="1:19" x14ac:dyDescent="0.4">
      <c r="A2229" s="291"/>
      <c r="B2229" s="292"/>
      <c r="C2229" s="312"/>
      <c r="D2229" s="292"/>
      <c r="E2229" s="489"/>
      <c r="F2229" s="489"/>
      <c r="G2229" s="490"/>
      <c r="H2229" s="520"/>
      <c r="I2229" s="523"/>
      <c r="J2229" s="521"/>
      <c r="K2229" s="522"/>
      <c r="M2229" s="301" t="str">
        <f>N2229&amp;AS[[#This Row],[Insurer Code]]&amp;"; "&amp;O2229&amp;AS[[#This Row],[Reporting Year]]&amp;"; "&amp;P2229&amp;AS[[#This Row],[Insurance Category Code]]&amp;"; "&amp;Q2229&amp;AS[[#This Row],[Large Provider Entity Code]]&amp;"; "&amp;R2229&amp;AS[[#This Row],[Age Band Code]]&amp;"; "&amp;S2229&amp;AS[[#This Row],[Sex Code]]</f>
        <v xml:space="preserve">Insurer Code ; Reporting Year ; Insurance Category Code ; Large Provider Entity Code ; Age Band Code ; Sex Code </v>
      </c>
      <c r="N2229" s="297" t="s">
        <v>197</v>
      </c>
      <c r="O2229" s="297" t="s">
        <v>198</v>
      </c>
      <c r="P2229" s="297" t="s">
        <v>199</v>
      </c>
      <c r="Q2229" s="297" t="s">
        <v>200</v>
      </c>
      <c r="R2229" s="297" t="s">
        <v>213</v>
      </c>
      <c r="S2229" s="297" t="s">
        <v>214</v>
      </c>
    </row>
    <row r="2230" spans="1:19" x14ac:dyDescent="0.4">
      <c r="A2230" s="291"/>
      <c r="B2230" s="292"/>
      <c r="C2230" s="312"/>
      <c r="D2230" s="292"/>
      <c r="E2230" s="489"/>
      <c r="F2230" s="489"/>
      <c r="G2230" s="490"/>
      <c r="H2230" s="520"/>
      <c r="I2230" s="523"/>
      <c r="J2230" s="521"/>
      <c r="K2230" s="522"/>
      <c r="M2230" s="301" t="str">
        <f>N2230&amp;AS[[#This Row],[Insurer Code]]&amp;"; "&amp;O2230&amp;AS[[#This Row],[Reporting Year]]&amp;"; "&amp;P2230&amp;AS[[#This Row],[Insurance Category Code]]&amp;"; "&amp;Q2230&amp;AS[[#This Row],[Large Provider Entity Code]]&amp;"; "&amp;R2230&amp;AS[[#This Row],[Age Band Code]]&amp;"; "&amp;S2230&amp;AS[[#This Row],[Sex Code]]</f>
        <v xml:space="preserve">Insurer Code ; Reporting Year ; Insurance Category Code ; Large Provider Entity Code ; Age Band Code ; Sex Code </v>
      </c>
      <c r="N2230" s="297" t="s">
        <v>197</v>
      </c>
      <c r="O2230" s="297" t="s">
        <v>198</v>
      </c>
      <c r="P2230" s="297" t="s">
        <v>199</v>
      </c>
      <c r="Q2230" s="297" t="s">
        <v>200</v>
      </c>
      <c r="R2230" s="297" t="s">
        <v>213</v>
      </c>
      <c r="S2230" s="297" t="s">
        <v>214</v>
      </c>
    </row>
    <row r="2231" spans="1:19" x14ac:dyDescent="0.4">
      <c r="A2231" s="291"/>
      <c r="B2231" s="292"/>
      <c r="C2231" s="312"/>
      <c r="D2231" s="292"/>
      <c r="E2231" s="489"/>
      <c r="F2231" s="489"/>
      <c r="G2231" s="490"/>
      <c r="H2231" s="520"/>
      <c r="I2231" s="523"/>
      <c r="J2231" s="521"/>
      <c r="K2231" s="522"/>
      <c r="M2231" s="301" t="str">
        <f>N2231&amp;AS[[#This Row],[Insurer Code]]&amp;"; "&amp;O2231&amp;AS[[#This Row],[Reporting Year]]&amp;"; "&amp;P2231&amp;AS[[#This Row],[Insurance Category Code]]&amp;"; "&amp;Q2231&amp;AS[[#This Row],[Large Provider Entity Code]]&amp;"; "&amp;R2231&amp;AS[[#This Row],[Age Band Code]]&amp;"; "&amp;S2231&amp;AS[[#This Row],[Sex Code]]</f>
        <v xml:space="preserve">Insurer Code ; Reporting Year ; Insurance Category Code ; Large Provider Entity Code ; Age Band Code ; Sex Code </v>
      </c>
      <c r="N2231" s="297" t="s">
        <v>197</v>
      </c>
      <c r="O2231" s="297" t="s">
        <v>198</v>
      </c>
      <c r="P2231" s="297" t="s">
        <v>199</v>
      </c>
      <c r="Q2231" s="297" t="s">
        <v>200</v>
      </c>
      <c r="R2231" s="297" t="s">
        <v>213</v>
      </c>
      <c r="S2231" s="297" t="s">
        <v>214</v>
      </c>
    </row>
    <row r="2232" spans="1:19" x14ac:dyDescent="0.4">
      <c r="A2232" s="291"/>
      <c r="B2232" s="292"/>
      <c r="C2232" s="312"/>
      <c r="D2232" s="292"/>
      <c r="E2232" s="489"/>
      <c r="F2232" s="489"/>
      <c r="G2232" s="490"/>
      <c r="H2232" s="520"/>
      <c r="I2232" s="523"/>
      <c r="J2232" s="521"/>
      <c r="K2232" s="522"/>
      <c r="M2232" s="301" t="str">
        <f>N2232&amp;AS[[#This Row],[Insurer Code]]&amp;"; "&amp;O2232&amp;AS[[#This Row],[Reporting Year]]&amp;"; "&amp;P2232&amp;AS[[#This Row],[Insurance Category Code]]&amp;"; "&amp;Q2232&amp;AS[[#This Row],[Large Provider Entity Code]]&amp;"; "&amp;R2232&amp;AS[[#This Row],[Age Band Code]]&amp;"; "&amp;S2232&amp;AS[[#This Row],[Sex Code]]</f>
        <v xml:space="preserve">Insurer Code ; Reporting Year ; Insurance Category Code ; Large Provider Entity Code ; Age Band Code ; Sex Code </v>
      </c>
      <c r="N2232" s="297" t="s">
        <v>197</v>
      </c>
      <c r="O2232" s="297" t="s">
        <v>198</v>
      </c>
      <c r="P2232" s="297" t="s">
        <v>199</v>
      </c>
      <c r="Q2232" s="297" t="s">
        <v>200</v>
      </c>
      <c r="R2232" s="297" t="s">
        <v>213</v>
      </c>
      <c r="S2232" s="297" t="s">
        <v>214</v>
      </c>
    </row>
    <row r="2233" spans="1:19" x14ac:dyDescent="0.4">
      <c r="A2233" s="291"/>
      <c r="B2233" s="292"/>
      <c r="C2233" s="312"/>
      <c r="D2233" s="292"/>
      <c r="E2233" s="489"/>
      <c r="F2233" s="489"/>
      <c r="G2233" s="490"/>
      <c r="H2233" s="520"/>
      <c r="I2233" s="523"/>
      <c r="J2233" s="521"/>
      <c r="K2233" s="522"/>
      <c r="M2233" s="301" t="str">
        <f>N2233&amp;AS[[#This Row],[Insurer Code]]&amp;"; "&amp;O2233&amp;AS[[#This Row],[Reporting Year]]&amp;"; "&amp;P2233&amp;AS[[#This Row],[Insurance Category Code]]&amp;"; "&amp;Q2233&amp;AS[[#This Row],[Large Provider Entity Code]]&amp;"; "&amp;R2233&amp;AS[[#This Row],[Age Band Code]]&amp;"; "&amp;S2233&amp;AS[[#This Row],[Sex Code]]</f>
        <v xml:space="preserve">Insurer Code ; Reporting Year ; Insurance Category Code ; Large Provider Entity Code ; Age Band Code ; Sex Code </v>
      </c>
      <c r="N2233" s="297" t="s">
        <v>197</v>
      </c>
      <c r="O2233" s="297" t="s">
        <v>198</v>
      </c>
      <c r="P2233" s="297" t="s">
        <v>199</v>
      </c>
      <c r="Q2233" s="297" t="s">
        <v>200</v>
      </c>
      <c r="R2233" s="297" t="s">
        <v>213</v>
      </c>
      <c r="S2233" s="297" t="s">
        <v>214</v>
      </c>
    </row>
    <row r="2234" spans="1:19" x14ac:dyDescent="0.4">
      <c r="A2234" s="291"/>
      <c r="B2234" s="292"/>
      <c r="C2234" s="312"/>
      <c r="D2234" s="292"/>
      <c r="E2234" s="489"/>
      <c r="F2234" s="489"/>
      <c r="G2234" s="490"/>
      <c r="H2234" s="520"/>
      <c r="I2234" s="523"/>
      <c r="J2234" s="521"/>
      <c r="K2234" s="522"/>
      <c r="M2234" s="301" t="str">
        <f>N2234&amp;AS[[#This Row],[Insurer Code]]&amp;"; "&amp;O2234&amp;AS[[#This Row],[Reporting Year]]&amp;"; "&amp;P2234&amp;AS[[#This Row],[Insurance Category Code]]&amp;"; "&amp;Q2234&amp;AS[[#This Row],[Large Provider Entity Code]]&amp;"; "&amp;R2234&amp;AS[[#This Row],[Age Band Code]]&amp;"; "&amp;S2234&amp;AS[[#This Row],[Sex Code]]</f>
        <v xml:space="preserve">Insurer Code ; Reporting Year ; Insurance Category Code ; Large Provider Entity Code ; Age Band Code ; Sex Code </v>
      </c>
      <c r="N2234" s="297" t="s">
        <v>197</v>
      </c>
      <c r="O2234" s="297" t="s">
        <v>198</v>
      </c>
      <c r="P2234" s="297" t="s">
        <v>199</v>
      </c>
      <c r="Q2234" s="297" t="s">
        <v>200</v>
      </c>
      <c r="R2234" s="297" t="s">
        <v>213</v>
      </c>
      <c r="S2234" s="297" t="s">
        <v>214</v>
      </c>
    </row>
    <row r="2235" spans="1:19" x14ac:dyDescent="0.4">
      <c r="A2235" s="291"/>
      <c r="B2235" s="292"/>
      <c r="C2235" s="312"/>
      <c r="D2235" s="292"/>
      <c r="E2235" s="489"/>
      <c r="F2235" s="489"/>
      <c r="G2235" s="490"/>
      <c r="H2235" s="520"/>
      <c r="I2235" s="523"/>
      <c r="J2235" s="521"/>
      <c r="K2235" s="522"/>
      <c r="M2235" s="301" t="str">
        <f>N2235&amp;AS[[#This Row],[Insurer Code]]&amp;"; "&amp;O2235&amp;AS[[#This Row],[Reporting Year]]&amp;"; "&amp;P2235&amp;AS[[#This Row],[Insurance Category Code]]&amp;"; "&amp;Q2235&amp;AS[[#This Row],[Large Provider Entity Code]]&amp;"; "&amp;R2235&amp;AS[[#This Row],[Age Band Code]]&amp;"; "&amp;S2235&amp;AS[[#This Row],[Sex Code]]</f>
        <v xml:space="preserve">Insurer Code ; Reporting Year ; Insurance Category Code ; Large Provider Entity Code ; Age Band Code ; Sex Code </v>
      </c>
      <c r="N2235" s="297" t="s">
        <v>197</v>
      </c>
      <c r="O2235" s="297" t="s">
        <v>198</v>
      </c>
      <c r="P2235" s="297" t="s">
        <v>199</v>
      </c>
      <c r="Q2235" s="297" t="s">
        <v>200</v>
      </c>
      <c r="R2235" s="297" t="s">
        <v>213</v>
      </c>
      <c r="S2235" s="297" t="s">
        <v>214</v>
      </c>
    </row>
    <row r="2236" spans="1:19" x14ac:dyDescent="0.4">
      <c r="A2236" s="291"/>
      <c r="B2236" s="292"/>
      <c r="C2236" s="312"/>
      <c r="D2236" s="292"/>
      <c r="E2236" s="489"/>
      <c r="F2236" s="489"/>
      <c r="G2236" s="490"/>
      <c r="H2236" s="520"/>
      <c r="I2236" s="523"/>
      <c r="J2236" s="521"/>
      <c r="K2236" s="522"/>
      <c r="M2236" s="301" t="str">
        <f>N2236&amp;AS[[#This Row],[Insurer Code]]&amp;"; "&amp;O2236&amp;AS[[#This Row],[Reporting Year]]&amp;"; "&amp;P2236&amp;AS[[#This Row],[Insurance Category Code]]&amp;"; "&amp;Q2236&amp;AS[[#This Row],[Large Provider Entity Code]]&amp;"; "&amp;R2236&amp;AS[[#This Row],[Age Band Code]]&amp;"; "&amp;S2236&amp;AS[[#This Row],[Sex Code]]</f>
        <v xml:space="preserve">Insurer Code ; Reporting Year ; Insurance Category Code ; Large Provider Entity Code ; Age Band Code ; Sex Code </v>
      </c>
      <c r="N2236" s="297" t="s">
        <v>197</v>
      </c>
      <c r="O2236" s="297" t="s">
        <v>198</v>
      </c>
      <c r="P2236" s="297" t="s">
        <v>199</v>
      </c>
      <c r="Q2236" s="297" t="s">
        <v>200</v>
      </c>
      <c r="R2236" s="297" t="s">
        <v>213</v>
      </c>
      <c r="S2236" s="297" t="s">
        <v>214</v>
      </c>
    </row>
    <row r="2237" spans="1:19" x14ac:dyDescent="0.4">
      <c r="A2237" s="291"/>
      <c r="B2237" s="292"/>
      <c r="C2237" s="312"/>
      <c r="D2237" s="292"/>
      <c r="E2237" s="489"/>
      <c r="F2237" s="489"/>
      <c r="G2237" s="490"/>
      <c r="H2237" s="520"/>
      <c r="I2237" s="523"/>
      <c r="J2237" s="521"/>
      <c r="K2237" s="522"/>
      <c r="M2237" s="301" t="str">
        <f>N2237&amp;AS[[#This Row],[Insurer Code]]&amp;"; "&amp;O2237&amp;AS[[#This Row],[Reporting Year]]&amp;"; "&amp;P2237&amp;AS[[#This Row],[Insurance Category Code]]&amp;"; "&amp;Q2237&amp;AS[[#This Row],[Large Provider Entity Code]]&amp;"; "&amp;R2237&amp;AS[[#This Row],[Age Band Code]]&amp;"; "&amp;S2237&amp;AS[[#This Row],[Sex Code]]</f>
        <v xml:space="preserve">Insurer Code ; Reporting Year ; Insurance Category Code ; Large Provider Entity Code ; Age Band Code ; Sex Code </v>
      </c>
      <c r="N2237" s="297" t="s">
        <v>197</v>
      </c>
      <c r="O2237" s="297" t="s">
        <v>198</v>
      </c>
      <c r="P2237" s="297" t="s">
        <v>199</v>
      </c>
      <c r="Q2237" s="297" t="s">
        <v>200</v>
      </c>
      <c r="R2237" s="297" t="s">
        <v>213</v>
      </c>
      <c r="S2237" s="297" t="s">
        <v>214</v>
      </c>
    </row>
    <row r="2238" spans="1:19" x14ac:dyDescent="0.4">
      <c r="A2238" s="291"/>
      <c r="B2238" s="292"/>
      <c r="C2238" s="312"/>
      <c r="D2238" s="292"/>
      <c r="E2238" s="489"/>
      <c r="F2238" s="489"/>
      <c r="G2238" s="490"/>
      <c r="H2238" s="520"/>
      <c r="I2238" s="523"/>
      <c r="J2238" s="521"/>
      <c r="K2238" s="522"/>
      <c r="M2238" s="301" t="str">
        <f>N2238&amp;AS[[#This Row],[Insurer Code]]&amp;"; "&amp;O2238&amp;AS[[#This Row],[Reporting Year]]&amp;"; "&amp;P2238&amp;AS[[#This Row],[Insurance Category Code]]&amp;"; "&amp;Q2238&amp;AS[[#This Row],[Large Provider Entity Code]]&amp;"; "&amp;R2238&amp;AS[[#This Row],[Age Band Code]]&amp;"; "&amp;S2238&amp;AS[[#This Row],[Sex Code]]</f>
        <v xml:space="preserve">Insurer Code ; Reporting Year ; Insurance Category Code ; Large Provider Entity Code ; Age Band Code ; Sex Code </v>
      </c>
      <c r="N2238" s="297" t="s">
        <v>197</v>
      </c>
      <c r="O2238" s="297" t="s">
        <v>198</v>
      </c>
      <c r="P2238" s="297" t="s">
        <v>199</v>
      </c>
      <c r="Q2238" s="297" t="s">
        <v>200</v>
      </c>
      <c r="R2238" s="297" t="s">
        <v>213</v>
      </c>
      <c r="S2238" s="297" t="s">
        <v>214</v>
      </c>
    </row>
    <row r="2239" spans="1:19" x14ac:dyDescent="0.4">
      <c r="A2239" s="291"/>
      <c r="B2239" s="292"/>
      <c r="C2239" s="312"/>
      <c r="D2239" s="292"/>
      <c r="E2239" s="489"/>
      <c r="F2239" s="489"/>
      <c r="G2239" s="490"/>
      <c r="H2239" s="520"/>
      <c r="I2239" s="523"/>
      <c r="J2239" s="521"/>
      <c r="K2239" s="522"/>
      <c r="M2239" s="301" t="str">
        <f>N2239&amp;AS[[#This Row],[Insurer Code]]&amp;"; "&amp;O2239&amp;AS[[#This Row],[Reporting Year]]&amp;"; "&amp;P2239&amp;AS[[#This Row],[Insurance Category Code]]&amp;"; "&amp;Q2239&amp;AS[[#This Row],[Large Provider Entity Code]]&amp;"; "&amp;R2239&amp;AS[[#This Row],[Age Band Code]]&amp;"; "&amp;S2239&amp;AS[[#This Row],[Sex Code]]</f>
        <v xml:space="preserve">Insurer Code ; Reporting Year ; Insurance Category Code ; Large Provider Entity Code ; Age Band Code ; Sex Code </v>
      </c>
      <c r="N2239" s="297" t="s">
        <v>197</v>
      </c>
      <c r="O2239" s="297" t="s">
        <v>198</v>
      </c>
      <c r="P2239" s="297" t="s">
        <v>199</v>
      </c>
      <c r="Q2239" s="297" t="s">
        <v>200</v>
      </c>
      <c r="R2239" s="297" t="s">
        <v>213</v>
      </c>
      <c r="S2239" s="297" t="s">
        <v>214</v>
      </c>
    </row>
    <row r="2240" spans="1:19" x14ac:dyDescent="0.4">
      <c r="A2240" s="291"/>
      <c r="B2240" s="292"/>
      <c r="C2240" s="312"/>
      <c r="D2240" s="292"/>
      <c r="E2240" s="489"/>
      <c r="F2240" s="489"/>
      <c r="G2240" s="490"/>
      <c r="H2240" s="520"/>
      <c r="I2240" s="523"/>
      <c r="J2240" s="521"/>
      <c r="K2240" s="522"/>
      <c r="M2240" s="301" t="str">
        <f>N2240&amp;AS[[#This Row],[Insurer Code]]&amp;"; "&amp;O2240&amp;AS[[#This Row],[Reporting Year]]&amp;"; "&amp;P2240&amp;AS[[#This Row],[Insurance Category Code]]&amp;"; "&amp;Q2240&amp;AS[[#This Row],[Large Provider Entity Code]]&amp;"; "&amp;R2240&amp;AS[[#This Row],[Age Band Code]]&amp;"; "&amp;S2240&amp;AS[[#This Row],[Sex Code]]</f>
        <v xml:space="preserve">Insurer Code ; Reporting Year ; Insurance Category Code ; Large Provider Entity Code ; Age Band Code ; Sex Code </v>
      </c>
      <c r="N2240" s="297" t="s">
        <v>197</v>
      </c>
      <c r="O2240" s="297" t="s">
        <v>198</v>
      </c>
      <c r="P2240" s="297" t="s">
        <v>199</v>
      </c>
      <c r="Q2240" s="297" t="s">
        <v>200</v>
      </c>
      <c r="R2240" s="297" t="s">
        <v>213</v>
      </c>
      <c r="S2240" s="297" t="s">
        <v>214</v>
      </c>
    </row>
    <row r="2241" spans="1:19" x14ac:dyDescent="0.4">
      <c r="A2241" s="291"/>
      <c r="B2241" s="292"/>
      <c r="C2241" s="312"/>
      <c r="D2241" s="292"/>
      <c r="E2241" s="489"/>
      <c r="F2241" s="489"/>
      <c r="G2241" s="490"/>
      <c r="H2241" s="520"/>
      <c r="I2241" s="523"/>
      <c r="J2241" s="521"/>
      <c r="K2241" s="522"/>
      <c r="M2241" s="301" t="str">
        <f>N2241&amp;AS[[#This Row],[Insurer Code]]&amp;"; "&amp;O2241&amp;AS[[#This Row],[Reporting Year]]&amp;"; "&amp;P2241&amp;AS[[#This Row],[Insurance Category Code]]&amp;"; "&amp;Q2241&amp;AS[[#This Row],[Large Provider Entity Code]]&amp;"; "&amp;R2241&amp;AS[[#This Row],[Age Band Code]]&amp;"; "&amp;S2241&amp;AS[[#This Row],[Sex Code]]</f>
        <v xml:space="preserve">Insurer Code ; Reporting Year ; Insurance Category Code ; Large Provider Entity Code ; Age Band Code ; Sex Code </v>
      </c>
      <c r="N2241" s="297" t="s">
        <v>197</v>
      </c>
      <c r="O2241" s="297" t="s">
        <v>198</v>
      </c>
      <c r="P2241" s="297" t="s">
        <v>199</v>
      </c>
      <c r="Q2241" s="297" t="s">
        <v>200</v>
      </c>
      <c r="R2241" s="297" t="s">
        <v>213</v>
      </c>
      <c r="S2241" s="297" t="s">
        <v>214</v>
      </c>
    </row>
    <row r="2242" spans="1:19" x14ac:dyDescent="0.4">
      <c r="A2242" s="291"/>
      <c r="B2242" s="292"/>
      <c r="C2242" s="312"/>
      <c r="D2242" s="292"/>
      <c r="E2242" s="489"/>
      <c r="F2242" s="489"/>
      <c r="G2242" s="490"/>
      <c r="H2242" s="520"/>
      <c r="I2242" s="523"/>
      <c r="J2242" s="521"/>
      <c r="K2242" s="522"/>
      <c r="M2242" s="301" t="str">
        <f>N2242&amp;AS[[#This Row],[Insurer Code]]&amp;"; "&amp;O2242&amp;AS[[#This Row],[Reporting Year]]&amp;"; "&amp;P2242&amp;AS[[#This Row],[Insurance Category Code]]&amp;"; "&amp;Q2242&amp;AS[[#This Row],[Large Provider Entity Code]]&amp;"; "&amp;R2242&amp;AS[[#This Row],[Age Band Code]]&amp;"; "&amp;S2242&amp;AS[[#This Row],[Sex Code]]</f>
        <v xml:space="preserve">Insurer Code ; Reporting Year ; Insurance Category Code ; Large Provider Entity Code ; Age Band Code ; Sex Code </v>
      </c>
      <c r="N2242" s="297" t="s">
        <v>197</v>
      </c>
      <c r="O2242" s="297" t="s">
        <v>198</v>
      </c>
      <c r="P2242" s="297" t="s">
        <v>199</v>
      </c>
      <c r="Q2242" s="297" t="s">
        <v>200</v>
      </c>
      <c r="R2242" s="297" t="s">
        <v>213</v>
      </c>
      <c r="S2242" s="297" t="s">
        <v>214</v>
      </c>
    </row>
    <row r="2243" spans="1:19" x14ac:dyDescent="0.4">
      <c r="A2243" s="291"/>
      <c r="B2243" s="292"/>
      <c r="C2243" s="312"/>
      <c r="D2243" s="292"/>
      <c r="E2243" s="489"/>
      <c r="F2243" s="489"/>
      <c r="G2243" s="490"/>
      <c r="H2243" s="520"/>
      <c r="I2243" s="523"/>
      <c r="J2243" s="521"/>
      <c r="K2243" s="522"/>
      <c r="M2243" s="301" t="str">
        <f>N2243&amp;AS[[#This Row],[Insurer Code]]&amp;"; "&amp;O2243&amp;AS[[#This Row],[Reporting Year]]&amp;"; "&amp;P2243&amp;AS[[#This Row],[Insurance Category Code]]&amp;"; "&amp;Q2243&amp;AS[[#This Row],[Large Provider Entity Code]]&amp;"; "&amp;R2243&amp;AS[[#This Row],[Age Band Code]]&amp;"; "&amp;S2243&amp;AS[[#This Row],[Sex Code]]</f>
        <v xml:space="preserve">Insurer Code ; Reporting Year ; Insurance Category Code ; Large Provider Entity Code ; Age Band Code ; Sex Code </v>
      </c>
      <c r="N2243" s="297" t="s">
        <v>197</v>
      </c>
      <c r="O2243" s="297" t="s">
        <v>198</v>
      </c>
      <c r="P2243" s="297" t="s">
        <v>199</v>
      </c>
      <c r="Q2243" s="297" t="s">
        <v>200</v>
      </c>
      <c r="R2243" s="297" t="s">
        <v>213</v>
      </c>
      <c r="S2243" s="297" t="s">
        <v>214</v>
      </c>
    </row>
    <row r="2244" spans="1:19" x14ac:dyDescent="0.4">
      <c r="A2244" s="291"/>
      <c r="B2244" s="292"/>
      <c r="C2244" s="312"/>
      <c r="D2244" s="292"/>
      <c r="E2244" s="489"/>
      <c r="F2244" s="489"/>
      <c r="G2244" s="490"/>
      <c r="H2244" s="520"/>
      <c r="I2244" s="523"/>
      <c r="J2244" s="521"/>
      <c r="K2244" s="522"/>
      <c r="M2244" s="301" t="str">
        <f>N2244&amp;AS[[#This Row],[Insurer Code]]&amp;"; "&amp;O2244&amp;AS[[#This Row],[Reporting Year]]&amp;"; "&amp;P2244&amp;AS[[#This Row],[Insurance Category Code]]&amp;"; "&amp;Q2244&amp;AS[[#This Row],[Large Provider Entity Code]]&amp;"; "&amp;R2244&amp;AS[[#This Row],[Age Band Code]]&amp;"; "&amp;S2244&amp;AS[[#This Row],[Sex Code]]</f>
        <v xml:space="preserve">Insurer Code ; Reporting Year ; Insurance Category Code ; Large Provider Entity Code ; Age Band Code ; Sex Code </v>
      </c>
      <c r="N2244" s="297" t="s">
        <v>197</v>
      </c>
      <c r="O2244" s="297" t="s">
        <v>198</v>
      </c>
      <c r="P2244" s="297" t="s">
        <v>199</v>
      </c>
      <c r="Q2244" s="297" t="s">
        <v>200</v>
      </c>
      <c r="R2244" s="297" t="s">
        <v>213</v>
      </c>
      <c r="S2244" s="297" t="s">
        <v>214</v>
      </c>
    </row>
    <row r="2245" spans="1:19" x14ac:dyDescent="0.4">
      <c r="A2245" s="291"/>
      <c r="B2245" s="292"/>
      <c r="C2245" s="312"/>
      <c r="D2245" s="292"/>
      <c r="E2245" s="489"/>
      <c r="F2245" s="489"/>
      <c r="G2245" s="490"/>
      <c r="H2245" s="520"/>
      <c r="I2245" s="523"/>
      <c r="J2245" s="521"/>
      <c r="K2245" s="522"/>
      <c r="M2245" s="301" t="str">
        <f>N2245&amp;AS[[#This Row],[Insurer Code]]&amp;"; "&amp;O2245&amp;AS[[#This Row],[Reporting Year]]&amp;"; "&amp;P2245&amp;AS[[#This Row],[Insurance Category Code]]&amp;"; "&amp;Q2245&amp;AS[[#This Row],[Large Provider Entity Code]]&amp;"; "&amp;R2245&amp;AS[[#This Row],[Age Band Code]]&amp;"; "&amp;S2245&amp;AS[[#This Row],[Sex Code]]</f>
        <v xml:space="preserve">Insurer Code ; Reporting Year ; Insurance Category Code ; Large Provider Entity Code ; Age Band Code ; Sex Code </v>
      </c>
      <c r="N2245" s="297" t="s">
        <v>197</v>
      </c>
      <c r="O2245" s="297" t="s">
        <v>198</v>
      </c>
      <c r="P2245" s="297" t="s">
        <v>199</v>
      </c>
      <c r="Q2245" s="297" t="s">
        <v>200</v>
      </c>
      <c r="R2245" s="297" t="s">
        <v>213</v>
      </c>
      <c r="S2245" s="297" t="s">
        <v>214</v>
      </c>
    </row>
    <row r="2246" spans="1:19" x14ac:dyDescent="0.4">
      <c r="A2246" s="291"/>
      <c r="B2246" s="292"/>
      <c r="C2246" s="312"/>
      <c r="D2246" s="292"/>
      <c r="E2246" s="489"/>
      <c r="F2246" s="489"/>
      <c r="G2246" s="490"/>
      <c r="H2246" s="520"/>
      <c r="I2246" s="523"/>
      <c r="J2246" s="521"/>
      <c r="K2246" s="522"/>
      <c r="M2246" s="301" t="str">
        <f>N2246&amp;AS[[#This Row],[Insurer Code]]&amp;"; "&amp;O2246&amp;AS[[#This Row],[Reporting Year]]&amp;"; "&amp;P2246&amp;AS[[#This Row],[Insurance Category Code]]&amp;"; "&amp;Q2246&amp;AS[[#This Row],[Large Provider Entity Code]]&amp;"; "&amp;R2246&amp;AS[[#This Row],[Age Band Code]]&amp;"; "&amp;S2246&amp;AS[[#This Row],[Sex Code]]</f>
        <v xml:space="preserve">Insurer Code ; Reporting Year ; Insurance Category Code ; Large Provider Entity Code ; Age Band Code ; Sex Code </v>
      </c>
      <c r="N2246" s="297" t="s">
        <v>197</v>
      </c>
      <c r="O2246" s="297" t="s">
        <v>198</v>
      </c>
      <c r="P2246" s="297" t="s">
        <v>199</v>
      </c>
      <c r="Q2246" s="297" t="s">
        <v>200</v>
      </c>
      <c r="R2246" s="297" t="s">
        <v>213</v>
      </c>
      <c r="S2246" s="297" t="s">
        <v>214</v>
      </c>
    </row>
    <row r="2247" spans="1:19" x14ac:dyDescent="0.4">
      <c r="A2247" s="291"/>
      <c r="B2247" s="292"/>
      <c r="C2247" s="312"/>
      <c r="D2247" s="292"/>
      <c r="E2247" s="489"/>
      <c r="F2247" s="489"/>
      <c r="G2247" s="490"/>
      <c r="H2247" s="520"/>
      <c r="I2247" s="523"/>
      <c r="J2247" s="521"/>
      <c r="K2247" s="522"/>
      <c r="M2247" s="301" t="str">
        <f>N2247&amp;AS[[#This Row],[Insurer Code]]&amp;"; "&amp;O2247&amp;AS[[#This Row],[Reporting Year]]&amp;"; "&amp;P2247&amp;AS[[#This Row],[Insurance Category Code]]&amp;"; "&amp;Q2247&amp;AS[[#This Row],[Large Provider Entity Code]]&amp;"; "&amp;R2247&amp;AS[[#This Row],[Age Band Code]]&amp;"; "&amp;S2247&amp;AS[[#This Row],[Sex Code]]</f>
        <v xml:space="preserve">Insurer Code ; Reporting Year ; Insurance Category Code ; Large Provider Entity Code ; Age Band Code ; Sex Code </v>
      </c>
      <c r="N2247" s="297" t="s">
        <v>197</v>
      </c>
      <c r="O2247" s="297" t="s">
        <v>198</v>
      </c>
      <c r="P2247" s="297" t="s">
        <v>199</v>
      </c>
      <c r="Q2247" s="297" t="s">
        <v>200</v>
      </c>
      <c r="R2247" s="297" t="s">
        <v>213</v>
      </c>
      <c r="S2247" s="297" t="s">
        <v>214</v>
      </c>
    </row>
    <row r="2248" spans="1:19" x14ac:dyDescent="0.4">
      <c r="A2248" s="291"/>
      <c r="B2248" s="292"/>
      <c r="C2248" s="312"/>
      <c r="D2248" s="292"/>
      <c r="E2248" s="489"/>
      <c r="F2248" s="489"/>
      <c r="G2248" s="490"/>
      <c r="H2248" s="520"/>
      <c r="I2248" s="523"/>
      <c r="J2248" s="521"/>
      <c r="K2248" s="522"/>
      <c r="M2248" s="301" t="str">
        <f>N2248&amp;AS[[#This Row],[Insurer Code]]&amp;"; "&amp;O2248&amp;AS[[#This Row],[Reporting Year]]&amp;"; "&amp;P2248&amp;AS[[#This Row],[Insurance Category Code]]&amp;"; "&amp;Q2248&amp;AS[[#This Row],[Large Provider Entity Code]]&amp;"; "&amp;R2248&amp;AS[[#This Row],[Age Band Code]]&amp;"; "&amp;S2248&amp;AS[[#This Row],[Sex Code]]</f>
        <v xml:space="preserve">Insurer Code ; Reporting Year ; Insurance Category Code ; Large Provider Entity Code ; Age Band Code ; Sex Code </v>
      </c>
      <c r="N2248" s="297" t="s">
        <v>197</v>
      </c>
      <c r="O2248" s="297" t="s">
        <v>198</v>
      </c>
      <c r="P2248" s="297" t="s">
        <v>199</v>
      </c>
      <c r="Q2248" s="297" t="s">
        <v>200</v>
      </c>
      <c r="R2248" s="297" t="s">
        <v>213</v>
      </c>
      <c r="S2248" s="297" t="s">
        <v>214</v>
      </c>
    </row>
    <row r="2249" spans="1:19" x14ac:dyDescent="0.4">
      <c r="A2249" s="291"/>
      <c r="B2249" s="292"/>
      <c r="C2249" s="312"/>
      <c r="D2249" s="292"/>
      <c r="E2249" s="489"/>
      <c r="F2249" s="489"/>
      <c r="G2249" s="490"/>
      <c r="H2249" s="520"/>
      <c r="I2249" s="523"/>
      <c r="J2249" s="521"/>
      <c r="K2249" s="522"/>
      <c r="M2249" s="301" t="str">
        <f>N2249&amp;AS[[#This Row],[Insurer Code]]&amp;"; "&amp;O2249&amp;AS[[#This Row],[Reporting Year]]&amp;"; "&amp;P2249&amp;AS[[#This Row],[Insurance Category Code]]&amp;"; "&amp;Q2249&amp;AS[[#This Row],[Large Provider Entity Code]]&amp;"; "&amp;R2249&amp;AS[[#This Row],[Age Band Code]]&amp;"; "&amp;S2249&amp;AS[[#This Row],[Sex Code]]</f>
        <v xml:space="preserve">Insurer Code ; Reporting Year ; Insurance Category Code ; Large Provider Entity Code ; Age Band Code ; Sex Code </v>
      </c>
      <c r="N2249" s="297" t="s">
        <v>197</v>
      </c>
      <c r="O2249" s="297" t="s">
        <v>198</v>
      </c>
      <c r="P2249" s="297" t="s">
        <v>199</v>
      </c>
      <c r="Q2249" s="297" t="s">
        <v>200</v>
      </c>
      <c r="R2249" s="297" t="s">
        <v>213</v>
      </c>
      <c r="S2249" s="297" t="s">
        <v>214</v>
      </c>
    </row>
    <row r="2250" spans="1:19" x14ac:dyDescent="0.4">
      <c r="A2250" s="291"/>
      <c r="B2250" s="292"/>
      <c r="C2250" s="312"/>
      <c r="D2250" s="292"/>
      <c r="E2250" s="489"/>
      <c r="F2250" s="489"/>
      <c r="G2250" s="490"/>
      <c r="H2250" s="520"/>
      <c r="I2250" s="523"/>
      <c r="J2250" s="521"/>
      <c r="K2250" s="522"/>
      <c r="M2250" s="301" t="str">
        <f>N2250&amp;AS[[#This Row],[Insurer Code]]&amp;"; "&amp;O2250&amp;AS[[#This Row],[Reporting Year]]&amp;"; "&amp;P2250&amp;AS[[#This Row],[Insurance Category Code]]&amp;"; "&amp;Q2250&amp;AS[[#This Row],[Large Provider Entity Code]]&amp;"; "&amp;R2250&amp;AS[[#This Row],[Age Band Code]]&amp;"; "&amp;S2250&amp;AS[[#This Row],[Sex Code]]</f>
        <v xml:space="preserve">Insurer Code ; Reporting Year ; Insurance Category Code ; Large Provider Entity Code ; Age Band Code ; Sex Code </v>
      </c>
      <c r="N2250" s="297" t="s">
        <v>197</v>
      </c>
      <c r="O2250" s="297" t="s">
        <v>198</v>
      </c>
      <c r="P2250" s="297" t="s">
        <v>199</v>
      </c>
      <c r="Q2250" s="297" t="s">
        <v>200</v>
      </c>
      <c r="R2250" s="297" t="s">
        <v>213</v>
      </c>
      <c r="S2250" s="297" t="s">
        <v>214</v>
      </c>
    </row>
    <row r="2251" spans="1:19" x14ac:dyDescent="0.4">
      <c r="A2251" s="291"/>
      <c r="B2251" s="292"/>
      <c r="C2251" s="312"/>
      <c r="D2251" s="292"/>
      <c r="E2251" s="489"/>
      <c r="F2251" s="489"/>
      <c r="G2251" s="490"/>
      <c r="H2251" s="520"/>
      <c r="I2251" s="523"/>
      <c r="J2251" s="521"/>
      <c r="K2251" s="522"/>
      <c r="M2251" s="301" t="str">
        <f>N2251&amp;AS[[#This Row],[Insurer Code]]&amp;"; "&amp;O2251&amp;AS[[#This Row],[Reporting Year]]&amp;"; "&amp;P2251&amp;AS[[#This Row],[Insurance Category Code]]&amp;"; "&amp;Q2251&amp;AS[[#This Row],[Large Provider Entity Code]]&amp;"; "&amp;R2251&amp;AS[[#This Row],[Age Band Code]]&amp;"; "&amp;S2251&amp;AS[[#This Row],[Sex Code]]</f>
        <v xml:space="preserve">Insurer Code ; Reporting Year ; Insurance Category Code ; Large Provider Entity Code ; Age Band Code ; Sex Code </v>
      </c>
      <c r="N2251" s="297" t="s">
        <v>197</v>
      </c>
      <c r="O2251" s="297" t="s">
        <v>198</v>
      </c>
      <c r="P2251" s="297" t="s">
        <v>199</v>
      </c>
      <c r="Q2251" s="297" t="s">
        <v>200</v>
      </c>
      <c r="R2251" s="297" t="s">
        <v>213</v>
      </c>
      <c r="S2251" s="297" t="s">
        <v>214</v>
      </c>
    </row>
    <row r="2252" spans="1:19" x14ac:dyDescent="0.4">
      <c r="A2252" s="291"/>
      <c r="B2252" s="292"/>
      <c r="C2252" s="312"/>
      <c r="D2252" s="292"/>
      <c r="E2252" s="489"/>
      <c r="F2252" s="489"/>
      <c r="G2252" s="490"/>
      <c r="H2252" s="520"/>
      <c r="I2252" s="523"/>
      <c r="J2252" s="521"/>
      <c r="K2252" s="522"/>
      <c r="M2252" s="301" t="str">
        <f>N2252&amp;AS[[#This Row],[Insurer Code]]&amp;"; "&amp;O2252&amp;AS[[#This Row],[Reporting Year]]&amp;"; "&amp;P2252&amp;AS[[#This Row],[Insurance Category Code]]&amp;"; "&amp;Q2252&amp;AS[[#This Row],[Large Provider Entity Code]]&amp;"; "&amp;R2252&amp;AS[[#This Row],[Age Band Code]]&amp;"; "&amp;S2252&amp;AS[[#This Row],[Sex Code]]</f>
        <v xml:space="preserve">Insurer Code ; Reporting Year ; Insurance Category Code ; Large Provider Entity Code ; Age Band Code ; Sex Code </v>
      </c>
      <c r="N2252" s="297" t="s">
        <v>197</v>
      </c>
      <c r="O2252" s="297" t="s">
        <v>198</v>
      </c>
      <c r="P2252" s="297" t="s">
        <v>199</v>
      </c>
      <c r="Q2252" s="297" t="s">
        <v>200</v>
      </c>
      <c r="R2252" s="297" t="s">
        <v>213</v>
      </c>
      <c r="S2252" s="297" t="s">
        <v>214</v>
      </c>
    </row>
    <row r="2253" spans="1:19" x14ac:dyDescent="0.4">
      <c r="A2253" s="291"/>
      <c r="B2253" s="292"/>
      <c r="C2253" s="312"/>
      <c r="D2253" s="292"/>
      <c r="E2253" s="489"/>
      <c r="F2253" s="489"/>
      <c r="G2253" s="490"/>
      <c r="H2253" s="520"/>
      <c r="I2253" s="523"/>
      <c r="J2253" s="521"/>
      <c r="K2253" s="522"/>
      <c r="M2253" s="301" t="str">
        <f>N2253&amp;AS[[#This Row],[Insurer Code]]&amp;"; "&amp;O2253&amp;AS[[#This Row],[Reporting Year]]&amp;"; "&amp;P2253&amp;AS[[#This Row],[Insurance Category Code]]&amp;"; "&amp;Q2253&amp;AS[[#This Row],[Large Provider Entity Code]]&amp;"; "&amp;R2253&amp;AS[[#This Row],[Age Band Code]]&amp;"; "&amp;S2253&amp;AS[[#This Row],[Sex Code]]</f>
        <v xml:space="preserve">Insurer Code ; Reporting Year ; Insurance Category Code ; Large Provider Entity Code ; Age Band Code ; Sex Code </v>
      </c>
      <c r="N2253" s="297" t="s">
        <v>197</v>
      </c>
      <c r="O2253" s="297" t="s">
        <v>198</v>
      </c>
      <c r="P2253" s="297" t="s">
        <v>199</v>
      </c>
      <c r="Q2253" s="297" t="s">
        <v>200</v>
      </c>
      <c r="R2253" s="297" t="s">
        <v>213</v>
      </c>
      <c r="S2253" s="297" t="s">
        <v>214</v>
      </c>
    </row>
    <row r="2254" spans="1:19" x14ac:dyDescent="0.4">
      <c r="A2254" s="291"/>
      <c r="B2254" s="292"/>
      <c r="C2254" s="312"/>
      <c r="D2254" s="292"/>
      <c r="E2254" s="489"/>
      <c r="F2254" s="489"/>
      <c r="G2254" s="490"/>
      <c r="H2254" s="520"/>
      <c r="I2254" s="523"/>
      <c r="J2254" s="521"/>
      <c r="K2254" s="522"/>
      <c r="M2254" s="301" t="str">
        <f>N2254&amp;AS[[#This Row],[Insurer Code]]&amp;"; "&amp;O2254&amp;AS[[#This Row],[Reporting Year]]&amp;"; "&amp;P2254&amp;AS[[#This Row],[Insurance Category Code]]&amp;"; "&amp;Q2254&amp;AS[[#This Row],[Large Provider Entity Code]]&amp;"; "&amp;R2254&amp;AS[[#This Row],[Age Band Code]]&amp;"; "&amp;S2254&amp;AS[[#This Row],[Sex Code]]</f>
        <v xml:space="preserve">Insurer Code ; Reporting Year ; Insurance Category Code ; Large Provider Entity Code ; Age Band Code ; Sex Code </v>
      </c>
      <c r="N2254" s="297" t="s">
        <v>197</v>
      </c>
      <c r="O2254" s="297" t="s">
        <v>198</v>
      </c>
      <c r="P2254" s="297" t="s">
        <v>199</v>
      </c>
      <c r="Q2254" s="297" t="s">
        <v>200</v>
      </c>
      <c r="R2254" s="297" t="s">
        <v>213</v>
      </c>
      <c r="S2254" s="297" t="s">
        <v>214</v>
      </c>
    </row>
    <row r="2255" spans="1:19" x14ac:dyDescent="0.4">
      <c r="A2255" s="291"/>
      <c r="B2255" s="292"/>
      <c r="C2255" s="312"/>
      <c r="D2255" s="292"/>
      <c r="E2255" s="489"/>
      <c r="F2255" s="489"/>
      <c r="G2255" s="490"/>
      <c r="H2255" s="520"/>
      <c r="I2255" s="523"/>
      <c r="J2255" s="521"/>
      <c r="K2255" s="522"/>
      <c r="M2255" s="301" t="str">
        <f>N2255&amp;AS[[#This Row],[Insurer Code]]&amp;"; "&amp;O2255&amp;AS[[#This Row],[Reporting Year]]&amp;"; "&amp;P2255&amp;AS[[#This Row],[Insurance Category Code]]&amp;"; "&amp;Q2255&amp;AS[[#This Row],[Large Provider Entity Code]]&amp;"; "&amp;R2255&amp;AS[[#This Row],[Age Band Code]]&amp;"; "&amp;S2255&amp;AS[[#This Row],[Sex Code]]</f>
        <v xml:space="preserve">Insurer Code ; Reporting Year ; Insurance Category Code ; Large Provider Entity Code ; Age Band Code ; Sex Code </v>
      </c>
      <c r="N2255" s="297" t="s">
        <v>197</v>
      </c>
      <c r="O2255" s="297" t="s">
        <v>198</v>
      </c>
      <c r="P2255" s="297" t="s">
        <v>199</v>
      </c>
      <c r="Q2255" s="297" t="s">
        <v>200</v>
      </c>
      <c r="R2255" s="297" t="s">
        <v>213</v>
      </c>
      <c r="S2255" s="297" t="s">
        <v>214</v>
      </c>
    </row>
    <row r="2256" spans="1:19" x14ac:dyDescent="0.4">
      <c r="A2256" s="291"/>
      <c r="B2256" s="292"/>
      <c r="C2256" s="312"/>
      <c r="D2256" s="292"/>
      <c r="E2256" s="489"/>
      <c r="F2256" s="489"/>
      <c r="G2256" s="490"/>
      <c r="H2256" s="520"/>
      <c r="I2256" s="523"/>
      <c r="J2256" s="521"/>
      <c r="K2256" s="522"/>
      <c r="M2256" s="301" t="str">
        <f>N2256&amp;AS[[#This Row],[Insurer Code]]&amp;"; "&amp;O2256&amp;AS[[#This Row],[Reporting Year]]&amp;"; "&amp;P2256&amp;AS[[#This Row],[Insurance Category Code]]&amp;"; "&amp;Q2256&amp;AS[[#This Row],[Large Provider Entity Code]]&amp;"; "&amp;R2256&amp;AS[[#This Row],[Age Band Code]]&amp;"; "&amp;S2256&amp;AS[[#This Row],[Sex Code]]</f>
        <v xml:space="preserve">Insurer Code ; Reporting Year ; Insurance Category Code ; Large Provider Entity Code ; Age Band Code ; Sex Code </v>
      </c>
      <c r="N2256" s="297" t="s">
        <v>197</v>
      </c>
      <c r="O2256" s="297" t="s">
        <v>198</v>
      </c>
      <c r="P2256" s="297" t="s">
        <v>199</v>
      </c>
      <c r="Q2256" s="297" t="s">
        <v>200</v>
      </c>
      <c r="R2256" s="297" t="s">
        <v>213</v>
      </c>
      <c r="S2256" s="297" t="s">
        <v>214</v>
      </c>
    </row>
    <row r="2257" spans="1:19" x14ac:dyDescent="0.4">
      <c r="A2257" s="291"/>
      <c r="B2257" s="292"/>
      <c r="C2257" s="312"/>
      <c r="D2257" s="292"/>
      <c r="E2257" s="489"/>
      <c r="F2257" s="489"/>
      <c r="G2257" s="490"/>
      <c r="H2257" s="520"/>
      <c r="I2257" s="523"/>
      <c r="J2257" s="521"/>
      <c r="K2257" s="522"/>
      <c r="M2257" s="301" t="str">
        <f>N2257&amp;AS[[#This Row],[Insurer Code]]&amp;"; "&amp;O2257&amp;AS[[#This Row],[Reporting Year]]&amp;"; "&amp;P2257&amp;AS[[#This Row],[Insurance Category Code]]&amp;"; "&amp;Q2257&amp;AS[[#This Row],[Large Provider Entity Code]]&amp;"; "&amp;R2257&amp;AS[[#This Row],[Age Band Code]]&amp;"; "&amp;S2257&amp;AS[[#This Row],[Sex Code]]</f>
        <v xml:space="preserve">Insurer Code ; Reporting Year ; Insurance Category Code ; Large Provider Entity Code ; Age Band Code ; Sex Code </v>
      </c>
      <c r="N2257" s="297" t="s">
        <v>197</v>
      </c>
      <c r="O2257" s="297" t="s">
        <v>198</v>
      </c>
      <c r="P2257" s="297" t="s">
        <v>199</v>
      </c>
      <c r="Q2257" s="297" t="s">
        <v>200</v>
      </c>
      <c r="R2257" s="297" t="s">
        <v>213</v>
      </c>
      <c r="S2257" s="297" t="s">
        <v>214</v>
      </c>
    </row>
    <row r="2258" spans="1:19" x14ac:dyDescent="0.4">
      <c r="A2258" s="291"/>
      <c r="B2258" s="292"/>
      <c r="C2258" s="312"/>
      <c r="D2258" s="292"/>
      <c r="E2258" s="489"/>
      <c r="F2258" s="489"/>
      <c r="G2258" s="490"/>
      <c r="H2258" s="520"/>
      <c r="I2258" s="523"/>
      <c r="J2258" s="521"/>
      <c r="K2258" s="522"/>
      <c r="M2258" s="301" t="str">
        <f>N2258&amp;AS[[#This Row],[Insurer Code]]&amp;"; "&amp;O2258&amp;AS[[#This Row],[Reporting Year]]&amp;"; "&amp;P2258&amp;AS[[#This Row],[Insurance Category Code]]&amp;"; "&amp;Q2258&amp;AS[[#This Row],[Large Provider Entity Code]]&amp;"; "&amp;R2258&amp;AS[[#This Row],[Age Band Code]]&amp;"; "&amp;S2258&amp;AS[[#This Row],[Sex Code]]</f>
        <v xml:space="preserve">Insurer Code ; Reporting Year ; Insurance Category Code ; Large Provider Entity Code ; Age Band Code ; Sex Code </v>
      </c>
      <c r="N2258" s="297" t="s">
        <v>197</v>
      </c>
      <c r="O2258" s="297" t="s">
        <v>198</v>
      </c>
      <c r="P2258" s="297" t="s">
        <v>199</v>
      </c>
      <c r="Q2258" s="297" t="s">
        <v>200</v>
      </c>
      <c r="R2258" s="297" t="s">
        <v>213</v>
      </c>
      <c r="S2258" s="297" t="s">
        <v>214</v>
      </c>
    </row>
    <row r="2259" spans="1:19" x14ac:dyDescent="0.4">
      <c r="A2259" s="291"/>
      <c r="B2259" s="292"/>
      <c r="C2259" s="312"/>
      <c r="D2259" s="292"/>
      <c r="E2259" s="489"/>
      <c r="F2259" s="489"/>
      <c r="G2259" s="490"/>
      <c r="H2259" s="520"/>
      <c r="I2259" s="523"/>
      <c r="J2259" s="521"/>
      <c r="K2259" s="522"/>
      <c r="M2259" s="301" t="str">
        <f>N2259&amp;AS[[#This Row],[Insurer Code]]&amp;"; "&amp;O2259&amp;AS[[#This Row],[Reporting Year]]&amp;"; "&amp;P2259&amp;AS[[#This Row],[Insurance Category Code]]&amp;"; "&amp;Q2259&amp;AS[[#This Row],[Large Provider Entity Code]]&amp;"; "&amp;R2259&amp;AS[[#This Row],[Age Band Code]]&amp;"; "&amp;S2259&amp;AS[[#This Row],[Sex Code]]</f>
        <v xml:space="preserve">Insurer Code ; Reporting Year ; Insurance Category Code ; Large Provider Entity Code ; Age Band Code ; Sex Code </v>
      </c>
      <c r="N2259" s="297" t="s">
        <v>197</v>
      </c>
      <c r="O2259" s="297" t="s">
        <v>198</v>
      </c>
      <c r="P2259" s="297" t="s">
        <v>199</v>
      </c>
      <c r="Q2259" s="297" t="s">
        <v>200</v>
      </c>
      <c r="R2259" s="297" t="s">
        <v>213</v>
      </c>
      <c r="S2259" s="297" t="s">
        <v>214</v>
      </c>
    </row>
    <row r="2260" spans="1:19" x14ac:dyDescent="0.4">
      <c r="A2260" s="291"/>
      <c r="B2260" s="292"/>
      <c r="C2260" s="312"/>
      <c r="D2260" s="292"/>
      <c r="E2260" s="489"/>
      <c r="F2260" s="489"/>
      <c r="G2260" s="490"/>
      <c r="H2260" s="520"/>
      <c r="I2260" s="523"/>
      <c r="J2260" s="521"/>
      <c r="K2260" s="522"/>
      <c r="M2260" s="301" t="str">
        <f>N2260&amp;AS[[#This Row],[Insurer Code]]&amp;"; "&amp;O2260&amp;AS[[#This Row],[Reporting Year]]&amp;"; "&amp;P2260&amp;AS[[#This Row],[Insurance Category Code]]&amp;"; "&amp;Q2260&amp;AS[[#This Row],[Large Provider Entity Code]]&amp;"; "&amp;R2260&amp;AS[[#This Row],[Age Band Code]]&amp;"; "&amp;S2260&amp;AS[[#This Row],[Sex Code]]</f>
        <v xml:space="preserve">Insurer Code ; Reporting Year ; Insurance Category Code ; Large Provider Entity Code ; Age Band Code ; Sex Code </v>
      </c>
      <c r="N2260" s="297" t="s">
        <v>197</v>
      </c>
      <c r="O2260" s="297" t="s">
        <v>198</v>
      </c>
      <c r="P2260" s="297" t="s">
        <v>199</v>
      </c>
      <c r="Q2260" s="297" t="s">
        <v>200</v>
      </c>
      <c r="R2260" s="297" t="s">
        <v>213</v>
      </c>
      <c r="S2260" s="297" t="s">
        <v>214</v>
      </c>
    </row>
    <row r="2261" spans="1:19" x14ac:dyDescent="0.4">
      <c r="A2261" s="291"/>
      <c r="B2261" s="292"/>
      <c r="C2261" s="312"/>
      <c r="D2261" s="292"/>
      <c r="E2261" s="489"/>
      <c r="F2261" s="489"/>
      <c r="G2261" s="490"/>
      <c r="H2261" s="520"/>
      <c r="I2261" s="523"/>
      <c r="J2261" s="521"/>
      <c r="K2261" s="522"/>
      <c r="M2261" s="301" t="str">
        <f>N2261&amp;AS[[#This Row],[Insurer Code]]&amp;"; "&amp;O2261&amp;AS[[#This Row],[Reporting Year]]&amp;"; "&amp;P2261&amp;AS[[#This Row],[Insurance Category Code]]&amp;"; "&amp;Q2261&amp;AS[[#This Row],[Large Provider Entity Code]]&amp;"; "&amp;R2261&amp;AS[[#This Row],[Age Band Code]]&amp;"; "&amp;S2261&amp;AS[[#This Row],[Sex Code]]</f>
        <v xml:space="preserve">Insurer Code ; Reporting Year ; Insurance Category Code ; Large Provider Entity Code ; Age Band Code ; Sex Code </v>
      </c>
      <c r="N2261" s="297" t="s">
        <v>197</v>
      </c>
      <c r="O2261" s="297" t="s">
        <v>198</v>
      </c>
      <c r="P2261" s="297" t="s">
        <v>199</v>
      </c>
      <c r="Q2261" s="297" t="s">
        <v>200</v>
      </c>
      <c r="R2261" s="297" t="s">
        <v>213</v>
      </c>
      <c r="S2261" s="297" t="s">
        <v>214</v>
      </c>
    </row>
    <row r="2262" spans="1:19" x14ac:dyDescent="0.4">
      <c r="A2262" s="291"/>
      <c r="B2262" s="292"/>
      <c r="C2262" s="312"/>
      <c r="D2262" s="292"/>
      <c r="E2262" s="489"/>
      <c r="F2262" s="489"/>
      <c r="G2262" s="490"/>
      <c r="H2262" s="520"/>
      <c r="I2262" s="523"/>
      <c r="J2262" s="521"/>
      <c r="K2262" s="522"/>
      <c r="M2262" s="301" t="str">
        <f>N2262&amp;AS[[#This Row],[Insurer Code]]&amp;"; "&amp;O2262&amp;AS[[#This Row],[Reporting Year]]&amp;"; "&amp;P2262&amp;AS[[#This Row],[Insurance Category Code]]&amp;"; "&amp;Q2262&amp;AS[[#This Row],[Large Provider Entity Code]]&amp;"; "&amp;R2262&amp;AS[[#This Row],[Age Band Code]]&amp;"; "&amp;S2262&amp;AS[[#This Row],[Sex Code]]</f>
        <v xml:space="preserve">Insurer Code ; Reporting Year ; Insurance Category Code ; Large Provider Entity Code ; Age Band Code ; Sex Code </v>
      </c>
      <c r="N2262" s="297" t="s">
        <v>197</v>
      </c>
      <c r="O2262" s="297" t="s">
        <v>198</v>
      </c>
      <c r="P2262" s="297" t="s">
        <v>199</v>
      </c>
      <c r="Q2262" s="297" t="s">
        <v>200</v>
      </c>
      <c r="R2262" s="297" t="s">
        <v>213</v>
      </c>
      <c r="S2262" s="297" t="s">
        <v>214</v>
      </c>
    </row>
    <row r="2263" spans="1:19" x14ac:dyDescent="0.4">
      <c r="A2263" s="291"/>
      <c r="B2263" s="292"/>
      <c r="C2263" s="312"/>
      <c r="D2263" s="292"/>
      <c r="E2263" s="489"/>
      <c r="F2263" s="489"/>
      <c r="G2263" s="490"/>
      <c r="H2263" s="520"/>
      <c r="I2263" s="523"/>
      <c r="J2263" s="521"/>
      <c r="K2263" s="522"/>
      <c r="M2263" s="301" t="str">
        <f>N2263&amp;AS[[#This Row],[Insurer Code]]&amp;"; "&amp;O2263&amp;AS[[#This Row],[Reporting Year]]&amp;"; "&amp;P2263&amp;AS[[#This Row],[Insurance Category Code]]&amp;"; "&amp;Q2263&amp;AS[[#This Row],[Large Provider Entity Code]]&amp;"; "&amp;R2263&amp;AS[[#This Row],[Age Band Code]]&amp;"; "&amp;S2263&amp;AS[[#This Row],[Sex Code]]</f>
        <v xml:space="preserve">Insurer Code ; Reporting Year ; Insurance Category Code ; Large Provider Entity Code ; Age Band Code ; Sex Code </v>
      </c>
      <c r="N2263" s="297" t="s">
        <v>197</v>
      </c>
      <c r="O2263" s="297" t="s">
        <v>198</v>
      </c>
      <c r="P2263" s="297" t="s">
        <v>199</v>
      </c>
      <c r="Q2263" s="297" t="s">
        <v>200</v>
      </c>
      <c r="R2263" s="297" t="s">
        <v>213</v>
      </c>
      <c r="S2263" s="297" t="s">
        <v>214</v>
      </c>
    </row>
    <row r="2264" spans="1:19" x14ac:dyDescent="0.4">
      <c r="A2264" s="291"/>
      <c r="B2264" s="292"/>
      <c r="C2264" s="312"/>
      <c r="D2264" s="292"/>
      <c r="E2264" s="489"/>
      <c r="F2264" s="489"/>
      <c r="G2264" s="490"/>
      <c r="H2264" s="520"/>
      <c r="I2264" s="523"/>
      <c r="J2264" s="521"/>
      <c r="K2264" s="522"/>
      <c r="M2264" s="301" t="str">
        <f>N2264&amp;AS[[#This Row],[Insurer Code]]&amp;"; "&amp;O2264&amp;AS[[#This Row],[Reporting Year]]&amp;"; "&amp;P2264&amp;AS[[#This Row],[Insurance Category Code]]&amp;"; "&amp;Q2264&amp;AS[[#This Row],[Large Provider Entity Code]]&amp;"; "&amp;R2264&amp;AS[[#This Row],[Age Band Code]]&amp;"; "&amp;S2264&amp;AS[[#This Row],[Sex Code]]</f>
        <v xml:space="preserve">Insurer Code ; Reporting Year ; Insurance Category Code ; Large Provider Entity Code ; Age Band Code ; Sex Code </v>
      </c>
      <c r="N2264" s="297" t="s">
        <v>197</v>
      </c>
      <c r="O2264" s="297" t="s">
        <v>198</v>
      </c>
      <c r="P2264" s="297" t="s">
        <v>199</v>
      </c>
      <c r="Q2264" s="297" t="s">
        <v>200</v>
      </c>
      <c r="R2264" s="297" t="s">
        <v>213</v>
      </c>
      <c r="S2264" s="297" t="s">
        <v>214</v>
      </c>
    </row>
    <row r="2265" spans="1:19" x14ac:dyDescent="0.4">
      <c r="A2265" s="291"/>
      <c r="B2265" s="292"/>
      <c r="C2265" s="312"/>
      <c r="D2265" s="292"/>
      <c r="E2265" s="489"/>
      <c r="F2265" s="489"/>
      <c r="G2265" s="490"/>
      <c r="H2265" s="520"/>
      <c r="I2265" s="523"/>
      <c r="J2265" s="521"/>
      <c r="K2265" s="522"/>
      <c r="M2265" s="301" t="str">
        <f>N2265&amp;AS[[#This Row],[Insurer Code]]&amp;"; "&amp;O2265&amp;AS[[#This Row],[Reporting Year]]&amp;"; "&amp;P2265&amp;AS[[#This Row],[Insurance Category Code]]&amp;"; "&amp;Q2265&amp;AS[[#This Row],[Large Provider Entity Code]]&amp;"; "&amp;R2265&amp;AS[[#This Row],[Age Band Code]]&amp;"; "&amp;S2265&amp;AS[[#This Row],[Sex Code]]</f>
        <v xml:space="preserve">Insurer Code ; Reporting Year ; Insurance Category Code ; Large Provider Entity Code ; Age Band Code ; Sex Code </v>
      </c>
      <c r="N2265" s="297" t="s">
        <v>197</v>
      </c>
      <c r="O2265" s="297" t="s">
        <v>198</v>
      </c>
      <c r="P2265" s="297" t="s">
        <v>199</v>
      </c>
      <c r="Q2265" s="297" t="s">
        <v>200</v>
      </c>
      <c r="R2265" s="297" t="s">
        <v>213</v>
      </c>
      <c r="S2265" s="297" t="s">
        <v>214</v>
      </c>
    </row>
    <row r="2266" spans="1:19" x14ac:dyDescent="0.4">
      <c r="A2266" s="291"/>
      <c r="B2266" s="292"/>
      <c r="C2266" s="312"/>
      <c r="D2266" s="292"/>
      <c r="E2266" s="489"/>
      <c r="F2266" s="489"/>
      <c r="G2266" s="490"/>
      <c r="H2266" s="520"/>
      <c r="I2266" s="523"/>
      <c r="J2266" s="521"/>
      <c r="K2266" s="522"/>
      <c r="M2266" s="301" t="str">
        <f>N2266&amp;AS[[#This Row],[Insurer Code]]&amp;"; "&amp;O2266&amp;AS[[#This Row],[Reporting Year]]&amp;"; "&amp;P2266&amp;AS[[#This Row],[Insurance Category Code]]&amp;"; "&amp;Q2266&amp;AS[[#This Row],[Large Provider Entity Code]]&amp;"; "&amp;R2266&amp;AS[[#This Row],[Age Band Code]]&amp;"; "&amp;S2266&amp;AS[[#This Row],[Sex Code]]</f>
        <v xml:space="preserve">Insurer Code ; Reporting Year ; Insurance Category Code ; Large Provider Entity Code ; Age Band Code ; Sex Code </v>
      </c>
      <c r="N2266" s="297" t="s">
        <v>197</v>
      </c>
      <c r="O2266" s="297" t="s">
        <v>198</v>
      </c>
      <c r="P2266" s="297" t="s">
        <v>199</v>
      </c>
      <c r="Q2266" s="297" t="s">
        <v>200</v>
      </c>
      <c r="R2266" s="297" t="s">
        <v>213</v>
      </c>
      <c r="S2266" s="297" t="s">
        <v>214</v>
      </c>
    </row>
    <row r="2267" spans="1:19" x14ac:dyDescent="0.4">
      <c r="A2267" s="291"/>
      <c r="B2267" s="292"/>
      <c r="C2267" s="312"/>
      <c r="D2267" s="292"/>
      <c r="E2267" s="489"/>
      <c r="F2267" s="489"/>
      <c r="G2267" s="490"/>
      <c r="H2267" s="520"/>
      <c r="I2267" s="523"/>
      <c r="J2267" s="521"/>
      <c r="K2267" s="522"/>
      <c r="M2267" s="301" t="str">
        <f>N2267&amp;AS[[#This Row],[Insurer Code]]&amp;"; "&amp;O2267&amp;AS[[#This Row],[Reporting Year]]&amp;"; "&amp;P2267&amp;AS[[#This Row],[Insurance Category Code]]&amp;"; "&amp;Q2267&amp;AS[[#This Row],[Large Provider Entity Code]]&amp;"; "&amp;R2267&amp;AS[[#This Row],[Age Band Code]]&amp;"; "&amp;S2267&amp;AS[[#This Row],[Sex Code]]</f>
        <v xml:space="preserve">Insurer Code ; Reporting Year ; Insurance Category Code ; Large Provider Entity Code ; Age Band Code ; Sex Code </v>
      </c>
      <c r="N2267" s="297" t="s">
        <v>197</v>
      </c>
      <c r="O2267" s="297" t="s">
        <v>198</v>
      </c>
      <c r="P2267" s="297" t="s">
        <v>199</v>
      </c>
      <c r="Q2267" s="297" t="s">
        <v>200</v>
      </c>
      <c r="R2267" s="297" t="s">
        <v>213</v>
      </c>
      <c r="S2267" s="297" t="s">
        <v>214</v>
      </c>
    </row>
    <row r="2268" spans="1:19" x14ac:dyDescent="0.4">
      <c r="A2268" s="291"/>
      <c r="B2268" s="292"/>
      <c r="C2268" s="312"/>
      <c r="D2268" s="292"/>
      <c r="E2268" s="489"/>
      <c r="F2268" s="489"/>
      <c r="G2268" s="490"/>
      <c r="H2268" s="520"/>
      <c r="I2268" s="523"/>
      <c r="J2268" s="521"/>
      <c r="K2268" s="522"/>
      <c r="M2268" s="301" t="str">
        <f>N2268&amp;AS[[#This Row],[Insurer Code]]&amp;"; "&amp;O2268&amp;AS[[#This Row],[Reporting Year]]&amp;"; "&amp;P2268&amp;AS[[#This Row],[Insurance Category Code]]&amp;"; "&amp;Q2268&amp;AS[[#This Row],[Large Provider Entity Code]]&amp;"; "&amp;R2268&amp;AS[[#This Row],[Age Band Code]]&amp;"; "&amp;S2268&amp;AS[[#This Row],[Sex Code]]</f>
        <v xml:space="preserve">Insurer Code ; Reporting Year ; Insurance Category Code ; Large Provider Entity Code ; Age Band Code ; Sex Code </v>
      </c>
      <c r="N2268" s="297" t="s">
        <v>197</v>
      </c>
      <c r="O2268" s="297" t="s">
        <v>198</v>
      </c>
      <c r="P2268" s="297" t="s">
        <v>199</v>
      </c>
      <c r="Q2268" s="297" t="s">
        <v>200</v>
      </c>
      <c r="R2268" s="297" t="s">
        <v>213</v>
      </c>
      <c r="S2268" s="297" t="s">
        <v>214</v>
      </c>
    </row>
    <row r="2269" spans="1:19" x14ac:dyDescent="0.4">
      <c r="A2269" s="291"/>
      <c r="B2269" s="292"/>
      <c r="C2269" s="312"/>
      <c r="D2269" s="292"/>
      <c r="E2269" s="489"/>
      <c r="F2269" s="489"/>
      <c r="G2269" s="490"/>
      <c r="H2269" s="520"/>
      <c r="I2269" s="523"/>
      <c r="J2269" s="521"/>
      <c r="K2269" s="522"/>
      <c r="M2269" s="301" t="str">
        <f>N2269&amp;AS[[#This Row],[Insurer Code]]&amp;"; "&amp;O2269&amp;AS[[#This Row],[Reporting Year]]&amp;"; "&amp;P2269&amp;AS[[#This Row],[Insurance Category Code]]&amp;"; "&amp;Q2269&amp;AS[[#This Row],[Large Provider Entity Code]]&amp;"; "&amp;R2269&amp;AS[[#This Row],[Age Band Code]]&amp;"; "&amp;S2269&amp;AS[[#This Row],[Sex Code]]</f>
        <v xml:space="preserve">Insurer Code ; Reporting Year ; Insurance Category Code ; Large Provider Entity Code ; Age Band Code ; Sex Code </v>
      </c>
      <c r="N2269" s="297" t="s">
        <v>197</v>
      </c>
      <c r="O2269" s="297" t="s">
        <v>198</v>
      </c>
      <c r="P2269" s="297" t="s">
        <v>199</v>
      </c>
      <c r="Q2269" s="297" t="s">
        <v>200</v>
      </c>
      <c r="R2269" s="297" t="s">
        <v>213</v>
      </c>
      <c r="S2269" s="297" t="s">
        <v>214</v>
      </c>
    </row>
    <row r="2270" spans="1:19" x14ac:dyDescent="0.4">
      <c r="A2270" s="291"/>
      <c r="B2270" s="292"/>
      <c r="C2270" s="312"/>
      <c r="D2270" s="292"/>
      <c r="E2270" s="489"/>
      <c r="F2270" s="489"/>
      <c r="G2270" s="490"/>
      <c r="H2270" s="520"/>
      <c r="I2270" s="523"/>
      <c r="J2270" s="521"/>
      <c r="K2270" s="522"/>
      <c r="M2270" s="301" t="str">
        <f>N2270&amp;AS[[#This Row],[Insurer Code]]&amp;"; "&amp;O2270&amp;AS[[#This Row],[Reporting Year]]&amp;"; "&amp;P2270&amp;AS[[#This Row],[Insurance Category Code]]&amp;"; "&amp;Q2270&amp;AS[[#This Row],[Large Provider Entity Code]]&amp;"; "&amp;R2270&amp;AS[[#This Row],[Age Band Code]]&amp;"; "&amp;S2270&amp;AS[[#This Row],[Sex Code]]</f>
        <v xml:space="preserve">Insurer Code ; Reporting Year ; Insurance Category Code ; Large Provider Entity Code ; Age Band Code ; Sex Code </v>
      </c>
      <c r="N2270" s="297" t="s">
        <v>197</v>
      </c>
      <c r="O2270" s="297" t="s">
        <v>198</v>
      </c>
      <c r="P2270" s="297" t="s">
        <v>199</v>
      </c>
      <c r="Q2270" s="297" t="s">
        <v>200</v>
      </c>
      <c r="R2270" s="297" t="s">
        <v>213</v>
      </c>
      <c r="S2270" s="297" t="s">
        <v>214</v>
      </c>
    </row>
    <row r="2271" spans="1:19" x14ac:dyDescent="0.4">
      <c r="A2271" s="291"/>
      <c r="B2271" s="292"/>
      <c r="C2271" s="312"/>
      <c r="D2271" s="292"/>
      <c r="E2271" s="489"/>
      <c r="F2271" s="489"/>
      <c r="G2271" s="490"/>
      <c r="H2271" s="520"/>
      <c r="I2271" s="523"/>
      <c r="J2271" s="521"/>
      <c r="K2271" s="522"/>
      <c r="M2271" s="301" t="str">
        <f>N2271&amp;AS[[#This Row],[Insurer Code]]&amp;"; "&amp;O2271&amp;AS[[#This Row],[Reporting Year]]&amp;"; "&amp;P2271&amp;AS[[#This Row],[Insurance Category Code]]&amp;"; "&amp;Q2271&amp;AS[[#This Row],[Large Provider Entity Code]]&amp;"; "&amp;R2271&amp;AS[[#This Row],[Age Band Code]]&amp;"; "&amp;S2271&amp;AS[[#This Row],[Sex Code]]</f>
        <v xml:space="preserve">Insurer Code ; Reporting Year ; Insurance Category Code ; Large Provider Entity Code ; Age Band Code ; Sex Code </v>
      </c>
      <c r="N2271" s="297" t="s">
        <v>197</v>
      </c>
      <c r="O2271" s="297" t="s">
        <v>198</v>
      </c>
      <c r="P2271" s="297" t="s">
        <v>199</v>
      </c>
      <c r="Q2271" s="297" t="s">
        <v>200</v>
      </c>
      <c r="R2271" s="297" t="s">
        <v>213</v>
      </c>
      <c r="S2271" s="297" t="s">
        <v>214</v>
      </c>
    </row>
    <row r="2272" spans="1:19" x14ac:dyDescent="0.4">
      <c r="A2272" s="291"/>
      <c r="B2272" s="292"/>
      <c r="C2272" s="312"/>
      <c r="D2272" s="292"/>
      <c r="E2272" s="489"/>
      <c r="F2272" s="489"/>
      <c r="G2272" s="490"/>
      <c r="H2272" s="520"/>
      <c r="I2272" s="523"/>
      <c r="J2272" s="521"/>
      <c r="K2272" s="522"/>
      <c r="M2272" s="301" t="str">
        <f>N2272&amp;AS[[#This Row],[Insurer Code]]&amp;"; "&amp;O2272&amp;AS[[#This Row],[Reporting Year]]&amp;"; "&amp;P2272&amp;AS[[#This Row],[Insurance Category Code]]&amp;"; "&amp;Q2272&amp;AS[[#This Row],[Large Provider Entity Code]]&amp;"; "&amp;R2272&amp;AS[[#This Row],[Age Band Code]]&amp;"; "&amp;S2272&amp;AS[[#This Row],[Sex Code]]</f>
        <v xml:space="preserve">Insurer Code ; Reporting Year ; Insurance Category Code ; Large Provider Entity Code ; Age Band Code ; Sex Code </v>
      </c>
      <c r="N2272" s="297" t="s">
        <v>197</v>
      </c>
      <c r="O2272" s="297" t="s">
        <v>198</v>
      </c>
      <c r="P2272" s="297" t="s">
        <v>199</v>
      </c>
      <c r="Q2272" s="297" t="s">
        <v>200</v>
      </c>
      <c r="R2272" s="297" t="s">
        <v>213</v>
      </c>
      <c r="S2272" s="297" t="s">
        <v>214</v>
      </c>
    </row>
    <row r="2273" spans="1:19" x14ac:dyDescent="0.4">
      <c r="A2273" s="291"/>
      <c r="B2273" s="292"/>
      <c r="C2273" s="312"/>
      <c r="D2273" s="292"/>
      <c r="E2273" s="489"/>
      <c r="F2273" s="489"/>
      <c r="G2273" s="490"/>
      <c r="H2273" s="520"/>
      <c r="I2273" s="523"/>
      <c r="J2273" s="521"/>
      <c r="K2273" s="522"/>
      <c r="M2273" s="301" t="str">
        <f>N2273&amp;AS[[#This Row],[Insurer Code]]&amp;"; "&amp;O2273&amp;AS[[#This Row],[Reporting Year]]&amp;"; "&amp;P2273&amp;AS[[#This Row],[Insurance Category Code]]&amp;"; "&amp;Q2273&amp;AS[[#This Row],[Large Provider Entity Code]]&amp;"; "&amp;R2273&amp;AS[[#This Row],[Age Band Code]]&amp;"; "&amp;S2273&amp;AS[[#This Row],[Sex Code]]</f>
        <v xml:space="preserve">Insurer Code ; Reporting Year ; Insurance Category Code ; Large Provider Entity Code ; Age Band Code ; Sex Code </v>
      </c>
      <c r="N2273" s="297" t="s">
        <v>197</v>
      </c>
      <c r="O2273" s="297" t="s">
        <v>198</v>
      </c>
      <c r="P2273" s="297" t="s">
        <v>199</v>
      </c>
      <c r="Q2273" s="297" t="s">
        <v>200</v>
      </c>
      <c r="R2273" s="297" t="s">
        <v>213</v>
      </c>
      <c r="S2273" s="297" t="s">
        <v>214</v>
      </c>
    </row>
    <row r="2274" spans="1:19" x14ac:dyDescent="0.4">
      <c r="A2274" s="291"/>
      <c r="B2274" s="292"/>
      <c r="C2274" s="312"/>
      <c r="D2274" s="292"/>
      <c r="E2274" s="489"/>
      <c r="F2274" s="489"/>
      <c r="G2274" s="490"/>
      <c r="H2274" s="520"/>
      <c r="I2274" s="523"/>
      <c r="J2274" s="521"/>
      <c r="K2274" s="522"/>
      <c r="M2274" s="301" t="str">
        <f>N2274&amp;AS[[#This Row],[Insurer Code]]&amp;"; "&amp;O2274&amp;AS[[#This Row],[Reporting Year]]&amp;"; "&amp;P2274&amp;AS[[#This Row],[Insurance Category Code]]&amp;"; "&amp;Q2274&amp;AS[[#This Row],[Large Provider Entity Code]]&amp;"; "&amp;R2274&amp;AS[[#This Row],[Age Band Code]]&amp;"; "&amp;S2274&amp;AS[[#This Row],[Sex Code]]</f>
        <v xml:space="preserve">Insurer Code ; Reporting Year ; Insurance Category Code ; Large Provider Entity Code ; Age Band Code ; Sex Code </v>
      </c>
      <c r="N2274" s="297" t="s">
        <v>197</v>
      </c>
      <c r="O2274" s="297" t="s">
        <v>198</v>
      </c>
      <c r="P2274" s="297" t="s">
        <v>199</v>
      </c>
      <c r="Q2274" s="297" t="s">
        <v>200</v>
      </c>
      <c r="R2274" s="297" t="s">
        <v>213</v>
      </c>
      <c r="S2274" s="297" t="s">
        <v>214</v>
      </c>
    </row>
    <row r="2275" spans="1:19" x14ac:dyDescent="0.4">
      <c r="A2275" s="291"/>
      <c r="B2275" s="292"/>
      <c r="C2275" s="312"/>
      <c r="D2275" s="292"/>
      <c r="E2275" s="489"/>
      <c r="F2275" s="489"/>
      <c r="G2275" s="490"/>
      <c r="H2275" s="520"/>
      <c r="I2275" s="523"/>
      <c r="J2275" s="521"/>
      <c r="K2275" s="522"/>
      <c r="M2275" s="301" t="str">
        <f>N2275&amp;AS[[#This Row],[Insurer Code]]&amp;"; "&amp;O2275&amp;AS[[#This Row],[Reporting Year]]&amp;"; "&amp;P2275&amp;AS[[#This Row],[Insurance Category Code]]&amp;"; "&amp;Q2275&amp;AS[[#This Row],[Large Provider Entity Code]]&amp;"; "&amp;R2275&amp;AS[[#This Row],[Age Band Code]]&amp;"; "&amp;S2275&amp;AS[[#This Row],[Sex Code]]</f>
        <v xml:space="preserve">Insurer Code ; Reporting Year ; Insurance Category Code ; Large Provider Entity Code ; Age Band Code ; Sex Code </v>
      </c>
      <c r="N2275" s="297" t="s">
        <v>197</v>
      </c>
      <c r="O2275" s="297" t="s">
        <v>198</v>
      </c>
      <c r="P2275" s="297" t="s">
        <v>199</v>
      </c>
      <c r="Q2275" s="297" t="s">
        <v>200</v>
      </c>
      <c r="R2275" s="297" t="s">
        <v>213</v>
      </c>
      <c r="S2275" s="297" t="s">
        <v>214</v>
      </c>
    </row>
    <row r="2276" spans="1:19" x14ac:dyDescent="0.4">
      <c r="A2276" s="291"/>
      <c r="B2276" s="292"/>
      <c r="C2276" s="312"/>
      <c r="D2276" s="292"/>
      <c r="E2276" s="489"/>
      <c r="F2276" s="489"/>
      <c r="G2276" s="490"/>
      <c r="H2276" s="520"/>
      <c r="I2276" s="523"/>
      <c r="J2276" s="521"/>
      <c r="K2276" s="522"/>
      <c r="M2276" s="301" t="str">
        <f>N2276&amp;AS[[#This Row],[Insurer Code]]&amp;"; "&amp;O2276&amp;AS[[#This Row],[Reporting Year]]&amp;"; "&amp;P2276&amp;AS[[#This Row],[Insurance Category Code]]&amp;"; "&amp;Q2276&amp;AS[[#This Row],[Large Provider Entity Code]]&amp;"; "&amp;R2276&amp;AS[[#This Row],[Age Band Code]]&amp;"; "&amp;S2276&amp;AS[[#This Row],[Sex Code]]</f>
        <v xml:space="preserve">Insurer Code ; Reporting Year ; Insurance Category Code ; Large Provider Entity Code ; Age Band Code ; Sex Code </v>
      </c>
      <c r="N2276" s="297" t="s">
        <v>197</v>
      </c>
      <c r="O2276" s="297" t="s">
        <v>198</v>
      </c>
      <c r="P2276" s="297" t="s">
        <v>199</v>
      </c>
      <c r="Q2276" s="297" t="s">
        <v>200</v>
      </c>
      <c r="R2276" s="297" t="s">
        <v>213</v>
      </c>
      <c r="S2276" s="297" t="s">
        <v>214</v>
      </c>
    </row>
    <row r="2277" spans="1:19" x14ac:dyDescent="0.4">
      <c r="A2277" s="291"/>
      <c r="B2277" s="292"/>
      <c r="C2277" s="312"/>
      <c r="D2277" s="292"/>
      <c r="E2277" s="489"/>
      <c r="F2277" s="489"/>
      <c r="G2277" s="490"/>
      <c r="H2277" s="520"/>
      <c r="I2277" s="523"/>
      <c r="J2277" s="521"/>
      <c r="K2277" s="522"/>
      <c r="M2277" s="301" t="str">
        <f>N2277&amp;AS[[#This Row],[Insurer Code]]&amp;"; "&amp;O2277&amp;AS[[#This Row],[Reporting Year]]&amp;"; "&amp;P2277&amp;AS[[#This Row],[Insurance Category Code]]&amp;"; "&amp;Q2277&amp;AS[[#This Row],[Large Provider Entity Code]]&amp;"; "&amp;R2277&amp;AS[[#This Row],[Age Band Code]]&amp;"; "&amp;S2277&amp;AS[[#This Row],[Sex Code]]</f>
        <v xml:space="preserve">Insurer Code ; Reporting Year ; Insurance Category Code ; Large Provider Entity Code ; Age Band Code ; Sex Code </v>
      </c>
      <c r="N2277" s="297" t="s">
        <v>197</v>
      </c>
      <c r="O2277" s="297" t="s">
        <v>198</v>
      </c>
      <c r="P2277" s="297" t="s">
        <v>199</v>
      </c>
      <c r="Q2277" s="297" t="s">
        <v>200</v>
      </c>
      <c r="R2277" s="297" t="s">
        <v>213</v>
      </c>
      <c r="S2277" s="297" t="s">
        <v>214</v>
      </c>
    </row>
    <row r="2278" spans="1:19" x14ac:dyDescent="0.4">
      <c r="A2278" s="291"/>
      <c r="B2278" s="292"/>
      <c r="C2278" s="312"/>
      <c r="D2278" s="292"/>
      <c r="E2278" s="489"/>
      <c r="F2278" s="489"/>
      <c r="G2278" s="490"/>
      <c r="H2278" s="520"/>
      <c r="I2278" s="523"/>
      <c r="J2278" s="521"/>
      <c r="K2278" s="522"/>
      <c r="M2278" s="301" t="str">
        <f>N2278&amp;AS[[#This Row],[Insurer Code]]&amp;"; "&amp;O2278&amp;AS[[#This Row],[Reporting Year]]&amp;"; "&amp;P2278&amp;AS[[#This Row],[Insurance Category Code]]&amp;"; "&amp;Q2278&amp;AS[[#This Row],[Large Provider Entity Code]]&amp;"; "&amp;R2278&amp;AS[[#This Row],[Age Band Code]]&amp;"; "&amp;S2278&amp;AS[[#This Row],[Sex Code]]</f>
        <v xml:space="preserve">Insurer Code ; Reporting Year ; Insurance Category Code ; Large Provider Entity Code ; Age Band Code ; Sex Code </v>
      </c>
      <c r="N2278" s="297" t="s">
        <v>197</v>
      </c>
      <c r="O2278" s="297" t="s">
        <v>198</v>
      </c>
      <c r="P2278" s="297" t="s">
        <v>199</v>
      </c>
      <c r="Q2278" s="297" t="s">
        <v>200</v>
      </c>
      <c r="R2278" s="297" t="s">
        <v>213</v>
      </c>
      <c r="S2278" s="297" t="s">
        <v>214</v>
      </c>
    </row>
    <row r="2279" spans="1:19" x14ac:dyDescent="0.4">
      <c r="A2279" s="291"/>
      <c r="B2279" s="292"/>
      <c r="C2279" s="312"/>
      <c r="D2279" s="292"/>
      <c r="E2279" s="489"/>
      <c r="F2279" s="489"/>
      <c r="G2279" s="490"/>
      <c r="H2279" s="520"/>
      <c r="I2279" s="523"/>
      <c r="J2279" s="521"/>
      <c r="K2279" s="522"/>
      <c r="M2279" s="301" t="str">
        <f>N2279&amp;AS[[#This Row],[Insurer Code]]&amp;"; "&amp;O2279&amp;AS[[#This Row],[Reporting Year]]&amp;"; "&amp;P2279&amp;AS[[#This Row],[Insurance Category Code]]&amp;"; "&amp;Q2279&amp;AS[[#This Row],[Large Provider Entity Code]]&amp;"; "&amp;R2279&amp;AS[[#This Row],[Age Band Code]]&amp;"; "&amp;S2279&amp;AS[[#This Row],[Sex Code]]</f>
        <v xml:space="preserve">Insurer Code ; Reporting Year ; Insurance Category Code ; Large Provider Entity Code ; Age Band Code ; Sex Code </v>
      </c>
      <c r="N2279" s="297" t="s">
        <v>197</v>
      </c>
      <c r="O2279" s="297" t="s">
        <v>198</v>
      </c>
      <c r="P2279" s="297" t="s">
        <v>199</v>
      </c>
      <c r="Q2279" s="297" t="s">
        <v>200</v>
      </c>
      <c r="R2279" s="297" t="s">
        <v>213</v>
      </c>
      <c r="S2279" s="297" t="s">
        <v>214</v>
      </c>
    </row>
    <row r="2280" spans="1:19" x14ac:dyDescent="0.4">
      <c r="A2280" s="291"/>
      <c r="B2280" s="292"/>
      <c r="C2280" s="312"/>
      <c r="D2280" s="292"/>
      <c r="E2280" s="489"/>
      <c r="F2280" s="489"/>
      <c r="G2280" s="490"/>
      <c r="H2280" s="520"/>
      <c r="I2280" s="523"/>
      <c r="J2280" s="521"/>
      <c r="K2280" s="522"/>
      <c r="M2280" s="301" t="str">
        <f>N2280&amp;AS[[#This Row],[Insurer Code]]&amp;"; "&amp;O2280&amp;AS[[#This Row],[Reporting Year]]&amp;"; "&amp;P2280&amp;AS[[#This Row],[Insurance Category Code]]&amp;"; "&amp;Q2280&amp;AS[[#This Row],[Large Provider Entity Code]]&amp;"; "&amp;R2280&amp;AS[[#This Row],[Age Band Code]]&amp;"; "&amp;S2280&amp;AS[[#This Row],[Sex Code]]</f>
        <v xml:space="preserve">Insurer Code ; Reporting Year ; Insurance Category Code ; Large Provider Entity Code ; Age Band Code ; Sex Code </v>
      </c>
      <c r="N2280" s="297" t="s">
        <v>197</v>
      </c>
      <c r="O2280" s="297" t="s">
        <v>198</v>
      </c>
      <c r="P2280" s="297" t="s">
        <v>199</v>
      </c>
      <c r="Q2280" s="297" t="s">
        <v>200</v>
      </c>
      <c r="R2280" s="297" t="s">
        <v>213</v>
      </c>
      <c r="S2280" s="297" t="s">
        <v>214</v>
      </c>
    </row>
    <row r="2281" spans="1:19" x14ac:dyDescent="0.4">
      <c r="A2281" s="291"/>
      <c r="B2281" s="292"/>
      <c r="C2281" s="312"/>
      <c r="D2281" s="292"/>
      <c r="E2281" s="489"/>
      <c r="F2281" s="489"/>
      <c r="G2281" s="490"/>
      <c r="H2281" s="520"/>
      <c r="I2281" s="523"/>
      <c r="J2281" s="521"/>
      <c r="K2281" s="522"/>
      <c r="M2281" s="301" t="str">
        <f>N2281&amp;AS[[#This Row],[Insurer Code]]&amp;"; "&amp;O2281&amp;AS[[#This Row],[Reporting Year]]&amp;"; "&amp;P2281&amp;AS[[#This Row],[Insurance Category Code]]&amp;"; "&amp;Q2281&amp;AS[[#This Row],[Large Provider Entity Code]]&amp;"; "&amp;R2281&amp;AS[[#This Row],[Age Band Code]]&amp;"; "&amp;S2281&amp;AS[[#This Row],[Sex Code]]</f>
        <v xml:space="preserve">Insurer Code ; Reporting Year ; Insurance Category Code ; Large Provider Entity Code ; Age Band Code ; Sex Code </v>
      </c>
      <c r="N2281" s="297" t="s">
        <v>197</v>
      </c>
      <c r="O2281" s="297" t="s">
        <v>198</v>
      </c>
      <c r="P2281" s="297" t="s">
        <v>199</v>
      </c>
      <c r="Q2281" s="297" t="s">
        <v>200</v>
      </c>
      <c r="R2281" s="297" t="s">
        <v>213</v>
      </c>
      <c r="S2281" s="297" t="s">
        <v>214</v>
      </c>
    </row>
    <row r="2282" spans="1:19" x14ac:dyDescent="0.4">
      <c r="A2282" s="291"/>
      <c r="B2282" s="292"/>
      <c r="C2282" s="312"/>
      <c r="D2282" s="292"/>
      <c r="E2282" s="489"/>
      <c r="F2282" s="489"/>
      <c r="G2282" s="490"/>
      <c r="H2282" s="520"/>
      <c r="I2282" s="523"/>
      <c r="J2282" s="521"/>
      <c r="K2282" s="522"/>
      <c r="M2282" s="301" t="str">
        <f>N2282&amp;AS[[#This Row],[Insurer Code]]&amp;"; "&amp;O2282&amp;AS[[#This Row],[Reporting Year]]&amp;"; "&amp;P2282&amp;AS[[#This Row],[Insurance Category Code]]&amp;"; "&amp;Q2282&amp;AS[[#This Row],[Large Provider Entity Code]]&amp;"; "&amp;R2282&amp;AS[[#This Row],[Age Band Code]]&amp;"; "&amp;S2282&amp;AS[[#This Row],[Sex Code]]</f>
        <v xml:space="preserve">Insurer Code ; Reporting Year ; Insurance Category Code ; Large Provider Entity Code ; Age Band Code ; Sex Code </v>
      </c>
      <c r="N2282" s="297" t="s">
        <v>197</v>
      </c>
      <c r="O2282" s="297" t="s">
        <v>198</v>
      </c>
      <c r="P2282" s="297" t="s">
        <v>199</v>
      </c>
      <c r="Q2282" s="297" t="s">
        <v>200</v>
      </c>
      <c r="R2282" s="297" t="s">
        <v>213</v>
      </c>
      <c r="S2282" s="297" t="s">
        <v>214</v>
      </c>
    </row>
    <row r="2283" spans="1:19" x14ac:dyDescent="0.4">
      <c r="A2283" s="291"/>
      <c r="B2283" s="292"/>
      <c r="C2283" s="312"/>
      <c r="D2283" s="292"/>
      <c r="E2283" s="489"/>
      <c r="F2283" s="489"/>
      <c r="G2283" s="490"/>
      <c r="H2283" s="520"/>
      <c r="I2283" s="523"/>
      <c r="J2283" s="521"/>
      <c r="K2283" s="522"/>
      <c r="M2283" s="301" t="str">
        <f>N2283&amp;AS[[#This Row],[Insurer Code]]&amp;"; "&amp;O2283&amp;AS[[#This Row],[Reporting Year]]&amp;"; "&amp;P2283&amp;AS[[#This Row],[Insurance Category Code]]&amp;"; "&amp;Q2283&amp;AS[[#This Row],[Large Provider Entity Code]]&amp;"; "&amp;R2283&amp;AS[[#This Row],[Age Band Code]]&amp;"; "&amp;S2283&amp;AS[[#This Row],[Sex Code]]</f>
        <v xml:space="preserve">Insurer Code ; Reporting Year ; Insurance Category Code ; Large Provider Entity Code ; Age Band Code ; Sex Code </v>
      </c>
      <c r="N2283" s="297" t="s">
        <v>197</v>
      </c>
      <c r="O2283" s="297" t="s">
        <v>198</v>
      </c>
      <c r="P2283" s="297" t="s">
        <v>199</v>
      </c>
      <c r="Q2283" s="297" t="s">
        <v>200</v>
      </c>
      <c r="R2283" s="297" t="s">
        <v>213</v>
      </c>
      <c r="S2283" s="297" t="s">
        <v>214</v>
      </c>
    </row>
    <row r="2284" spans="1:19" x14ac:dyDescent="0.4">
      <c r="A2284" s="291"/>
      <c r="B2284" s="292"/>
      <c r="C2284" s="312"/>
      <c r="D2284" s="292"/>
      <c r="E2284" s="489"/>
      <c r="F2284" s="489"/>
      <c r="G2284" s="490"/>
      <c r="H2284" s="520"/>
      <c r="I2284" s="523"/>
      <c r="J2284" s="521"/>
      <c r="K2284" s="522"/>
      <c r="M2284" s="301" t="str">
        <f>N2284&amp;AS[[#This Row],[Insurer Code]]&amp;"; "&amp;O2284&amp;AS[[#This Row],[Reporting Year]]&amp;"; "&amp;P2284&amp;AS[[#This Row],[Insurance Category Code]]&amp;"; "&amp;Q2284&amp;AS[[#This Row],[Large Provider Entity Code]]&amp;"; "&amp;R2284&amp;AS[[#This Row],[Age Band Code]]&amp;"; "&amp;S2284&amp;AS[[#This Row],[Sex Code]]</f>
        <v xml:space="preserve">Insurer Code ; Reporting Year ; Insurance Category Code ; Large Provider Entity Code ; Age Band Code ; Sex Code </v>
      </c>
      <c r="N2284" s="297" t="s">
        <v>197</v>
      </c>
      <c r="O2284" s="297" t="s">
        <v>198</v>
      </c>
      <c r="P2284" s="297" t="s">
        <v>199</v>
      </c>
      <c r="Q2284" s="297" t="s">
        <v>200</v>
      </c>
      <c r="R2284" s="297" t="s">
        <v>213</v>
      </c>
      <c r="S2284" s="297" t="s">
        <v>214</v>
      </c>
    </row>
    <row r="2285" spans="1:19" x14ac:dyDescent="0.4">
      <c r="A2285" s="291"/>
      <c r="B2285" s="292"/>
      <c r="C2285" s="312"/>
      <c r="D2285" s="292"/>
      <c r="E2285" s="489"/>
      <c r="F2285" s="489"/>
      <c r="G2285" s="490"/>
      <c r="H2285" s="520"/>
      <c r="I2285" s="523"/>
      <c r="J2285" s="521"/>
      <c r="K2285" s="522"/>
      <c r="M2285" s="301" t="str">
        <f>N2285&amp;AS[[#This Row],[Insurer Code]]&amp;"; "&amp;O2285&amp;AS[[#This Row],[Reporting Year]]&amp;"; "&amp;P2285&amp;AS[[#This Row],[Insurance Category Code]]&amp;"; "&amp;Q2285&amp;AS[[#This Row],[Large Provider Entity Code]]&amp;"; "&amp;R2285&amp;AS[[#This Row],[Age Band Code]]&amp;"; "&amp;S2285&amp;AS[[#This Row],[Sex Code]]</f>
        <v xml:space="preserve">Insurer Code ; Reporting Year ; Insurance Category Code ; Large Provider Entity Code ; Age Band Code ; Sex Code </v>
      </c>
      <c r="N2285" s="297" t="s">
        <v>197</v>
      </c>
      <c r="O2285" s="297" t="s">
        <v>198</v>
      </c>
      <c r="P2285" s="297" t="s">
        <v>199</v>
      </c>
      <c r="Q2285" s="297" t="s">
        <v>200</v>
      </c>
      <c r="R2285" s="297" t="s">
        <v>213</v>
      </c>
      <c r="S2285" s="297" t="s">
        <v>214</v>
      </c>
    </row>
    <row r="2286" spans="1:19" x14ac:dyDescent="0.4">
      <c r="A2286" s="291"/>
      <c r="B2286" s="292"/>
      <c r="C2286" s="312"/>
      <c r="D2286" s="292"/>
      <c r="E2286" s="489"/>
      <c r="F2286" s="489"/>
      <c r="G2286" s="490"/>
      <c r="H2286" s="520"/>
      <c r="I2286" s="523"/>
      <c r="J2286" s="521"/>
      <c r="K2286" s="522"/>
      <c r="M2286" s="301" t="str">
        <f>N2286&amp;AS[[#This Row],[Insurer Code]]&amp;"; "&amp;O2286&amp;AS[[#This Row],[Reporting Year]]&amp;"; "&amp;P2286&amp;AS[[#This Row],[Insurance Category Code]]&amp;"; "&amp;Q2286&amp;AS[[#This Row],[Large Provider Entity Code]]&amp;"; "&amp;R2286&amp;AS[[#This Row],[Age Band Code]]&amp;"; "&amp;S2286&amp;AS[[#This Row],[Sex Code]]</f>
        <v xml:space="preserve">Insurer Code ; Reporting Year ; Insurance Category Code ; Large Provider Entity Code ; Age Band Code ; Sex Code </v>
      </c>
      <c r="N2286" s="297" t="s">
        <v>197</v>
      </c>
      <c r="O2286" s="297" t="s">
        <v>198</v>
      </c>
      <c r="P2286" s="297" t="s">
        <v>199</v>
      </c>
      <c r="Q2286" s="297" t="s">
        <v>200</v>
      </c>
      <c r="R2286" s="297" t="s">
        <v>213</v>
      </c>
      <c r="S2286" s="297" t="s">
        <v>214</v>
      </c>
    </row>
    <row r="2287" spans="1:19" x14ac:dyDescent="0.4">
      <c r="A2287" s="291"/>
      <c r="B2287" s="292"/>
      <c r="C2287" s="312"/>
      <c r="D2287" s="292"/>
      <c r="E2287" s="489"/>
      <c r="F2287" s="489"/>
      <c r="G2287" s="490"/>
      <c r="H2287" s="520"/>
      <c r="I2287" s="523"/>
      <c r="J2287" s="521"/>
      <c r="K2287" s="522"/>
      <c r="M2287" s="301" t="str">
        <f>N2287&amp;AS[[#This Row],[Insurer Code]]&amp;"; "&amp;O2287&amp;AS[[#This Row],[Reporting Year]]&amp;"; "&amp;P2287&amp;AS[[#This Row],[Insurance Category Code]]&amp;"; "&amp;Q2287&amp;AS[[#This Row],[Large Provider Entity Code]]&amp;"; "&amp;R2287&amp;AS[[#This Row],[Age Band Code]]&amp;"; "&amp;S2287&amp;AS[[#This Row],[Sex Code]]</f>
        <v xml:space="preserve">Insurer Code ; Reporting Year ; Insurance Category Code ; Large Provider Entity Code ; Age Band Code ; Sex Code </v>
      </c>
      <c r="N2287" s="297" t="s">
        <v>197</v>
      </c>
      <c r="O2287" s="297" t="s">
        <v>198</v>
      </c>
      <c r="P2287" s="297" t="s">
        <v>199</v>
      </c>
      <c r="Q2287" s="297" t="s">
        <v>200</v>
      </c>
      <c r="R2287" s="297" t="s">
        <v>213</v>
      </c>
      <c r="S2287" s="297" t="s">
        <v>214</v>
      </c>
    </row>
    <row r="2288" spans="1:19" x14ac:dyDescent="0.4">
      <c r="A2288" s="291"/>
      <c r="B2288" s="292"/>
      <c r="C2288" s="312"/>
      <c r="D2288" s="292"/>
      <c r="E2288" s="489"/>
      <c r="F2288" s="489"/>
      <c r="G2288" s="490"/>
      <c r="H2288" s="520"/>
      <c r="I2288" s="523"/>
      <c r="J2288" s="521"/>
      <c r="K2288" s="522"/>
      <c r="M2288" s="301" t="str">
        <f>N2288&amp;AS[[#This Row],[Insurer Code]]&amp;"; "&amp;O2288&amp;AS[[#This Row],[Reporting Year]]&amp;"; "&amp;P2288&amp;AS[[#This Row],[Insurance Category Code]]&amp;"; "&amp;Q2288&amp;AS[[#This Row],[Large Provider Entity Code]]&amp;"; "&amp;R2288&amp;AS[[#This Row],[Age Band Code]]&amp;"; "&amp;S2288&amp;AS[[#This Row],[Sex Code]]</f>
        <v xml:space="preserve">Insurer Code ; Reporting Year ; Insurance Category Code ; Large Provider Entity Code ; Age Band Code ; Sex Code </v>
      </c>
      <c r="N2288" s="297" t="s">
        <v>197</v>
      </c>
      <c r="O2288" s="297" t="s">
        <v>198</v>
      </c>
      <c r="P2288" s="297" t="s">
        <v>199</v>
      </c>
      <c r="Q2288" s="297" t="s">
        <v>200</v>
      </c>
      <c r="R2288" s="297" t="s">
        <v>213</v>
      </c>
      <c r="S2288" s="297" t="s">
        <v>214</v>
      </c>
    </row>
    <row r="2289" spans="1:19" x14ac:dyDescent="0.4">
      <c r="A2289" s="291"/>
      <c r="B2289" s="292"/>
      <c r="C2289" s="312"/>
      <c r="D2289" s="292"/>
      <c r="E2289" s="489"/>
      <c r="F2289" s="489"/>
      <c r="G2289" s="490"/>
      <c r="H2289" s="520"/>
      <c r="I2289" s="523"/>
      <c r="J2289" s="521"/>
      <c r="K2289" s="522"/>
      <c r="M2289" s="301" t="str">
        <f>N2289&amp;AS[[#This Row],[Insurer Code]]&amp;"; "&amp;O2289&amp;AS[[#This Row],[Reporting Year]]&amp;"; "&amp;P2289&amp;AS[[#This Row],[Insurance Category Code]]&amp;"; "&amp;Q2289&amp;AS[[#This Row],[Large Provider Entity Code]]&amp;"; "&amp;R2289&amp;AS[[#This Row],[Age Band Code]]&amp;"; "&amp;S2289&amp;AS[[#This Row],[Sex Code]]</f>
        <v xml:space="preserve">Insurer Code ; Reporting Year ; Insurance Category Code ; Large Provider Entity Code ; Age Band Code ; Sex Code </v>
      </c>
      <c r="N2289" s="297" t="s">
        <v>197</v>
      </c>
      <c r="O2289" s="297" t="s">
        <v>198</v>
      </c>
      <c r="P2289" s="297" t="s">
        <v>199</v>
      </c>
      <c r="Q2289" s="297" t="s">
        <v>200</v>
      </c>
      <c r="R2289" s="297" t="s">
        <v>213</v>
      </c>
      <c r="S2289" s="297" t="s">
        <v>214</v>
      </c>
    </row>
    <row r="2290" spans="1:19" x14ac:dyDescent="0.4">
      <c r="A2290" s="291"/>
      <c r="B2290" s="292"/>
      <c r="C2290" s="312"/>
      <c r="D2290" s="292"/>
      <c r="E2290" s="489"/>
      <c r="F2290" s="489"/>
      <c r="G2290" s="490"/>
      <c r="H2290" s="520"/>
      <c r="I2290" s="523"/>
      <c r="J2290" s="521"/>
      <c r="K2290" s="522"/>
      <c r="M2290" s="301" t="str">
        <f>N2290&amp;AS[[#This Row],[Insurer Code]]&amp;"; "&amp;O2290&amp;AS[[#This Row],[Reporting Year]]&amp;"; "&amp;P2290&amp;AS[[#This Row],[Insurance Category Code]]&amp;"; "&amp;Q2290&amp;AS[[#This Row],[Large Provider Entity Code]]&amp;"; "&amp;R2290&amp;AS[[#This Row],[Age Band Code]]&amp;"; "&amp;S2290&amp;AS[[#This Row],[Sex Code]]</f>
        <v xml:space="preserve">Insurer Code ; Reporting Year ; Insurance Category Code ; Large Provider Entity Code ; Age Band Code ; Sex Code </v>
      </c>
      <c r="N2290" s="297" t="s">
        <v>197</v>
      </c>
      <c r="O2290" s="297" t="s">
        <v>198</v>
      </c>
      <c r="P2290" s="297" t="s">
        <v>199</v>
      </c>
      <c r="Q2290" s="297" t="s">
        <v>200</v>
      </c>
      <c r="R2290" s="297" t="s">
        <v>213</v>
      </c>
      <c r="S2290" s="297" t="s">
        <v>214</v>
      </c>
    </row>
    <row r="2291" spans="1:19" x14ac:dyDescent="0.4">
      <c r="A2291" s="291"/>
      <c r="B2291" s="292"/>
      <c r="C2291" s="312"/>
      <c r="D2291" s="292"/>
      <c r="E2291" s="489"/>
      <c r="F2291" s="489"/>
      <c r="G2291" s="490"/>
      <c r="H2291" s="520"/>
      <c r="I2291" s="523"/>
      <c r="J2291" s="521"/>
      <c r="K2291" s="522"/>
      <c r="M2291" s="301" t="str">
        <f>N2291&amp;AS[[#This Row],[Insurer Code]]&amp;"; "&amp;O2291&amp;AS[[#This Row],[Reporting Year]]&amp;"; "&amp;P2291&amp;AS[[#This Row],[Insurance Category Code]]&amp;"; "&amp;Q2291&amp;AS[[#This Row],[Large Provider Entity Code]]&amp;"; "&amp;R2291&amp;AS[[#This Row],[Age Band Code]]&amp;"; "&amp;S2291&amp;AS[[#This Row],[Sex Code]]</f>
        <v xml:space="preserve">Insurer Code ; Reporting Year ; Insurance Category Code ; Large Provider Entity Code ; Age Band Code ; Sex Code </v>
      </c>
      <c r="N2291" s="297" t="s">
        <v>197</v>
      </c>
      <c r="O2291" s="297" t="s">
        <v>198</v>
      </c>
      <c r="P2291" s="297" t="s">
        <v>199</v>
      </c>
      <c r="Q2291" s="297" t="s">
        <v>200</v>
      </c>
      <c r="R2291" s="297" t="s">
        <v>213</v>
      </c>
      <c r="S2291" s="297" t="s">
        <v>214</v>
      </c>
    </row>
    <row r="2292" spans="1:19" x14ac:dyDescent="0.4">
      <c r="A2292" s="291"/>
      <c r="B2292" s="292"/>
      <c r="C2292" s="312"/>
      <c r="D2292" s="292"/>
      <c r="E2292" s="489"/>
      <c r="F2292" s="489"/>
      <c r="G2292" s="490"/>
      <c r="H2292" s="520"/>
      <c r="I2292" s="523"/>
      <c r="J2292" s="521"/>
      <c r="K2292" s="522"/>
      <c r="M2292" s="301" t="str">
        <f>N2292&amp;AS[[#This Row],[Insurer Code]]&amp;"; "&amp;O2292&amp;AS[[#This Row],[Reporting Year]]&amp;"; "&amp;P2292&amp;AS[[#This Row],[Insurance Category Code]]&amp;"; "&amp;Q2292&amp;AS[[#This Row],[Large Provider Entity Code]]&amp;"; "&amp;R2292&amp;AS[[#This Row],[Age Band Code]]&amp;"; "&amp;S2292&amp;AS[[#This Row],[Sex Code]]</f>
        <v xml:space="preserve">Insurer Code ; Reporting Year ; Insurance Category Code ; Large Provider Entity Code ; Age Band Code ; Sex Code </v>
      </c>
      <c r="N2292" s="297" t="s">
        <v>197</v>
      </c>
      <c r="O2292" s="297" t="s">
        <v>198</v>
      </c>
      <c r="P2292" s="297" t="s">
        <v>199</v>
      </c>
      <c r="Q2292" s="297" t="s">
        <v>200</v>
      </c>
      <c r="R2292" s="297" t="s">
        <v>213</v>
      </c>
      <c r="S2292" s="297" t="s">
        <v>214</v>
      </c>
    </row>
    <row r="2293" spans="1:19" x14ac:dyDescent="0.4">
      <c r="A2293" s="291"/>
      <c r="B2293" s="292"/>
      <c r="C2293" s="312"/>
      <c r="D2293" s="292"/>
      <c r="E2293" s="489"/>
      <c r="F2293" s="489"/>
      <c r="G2293" s="490"/>
      <c r="H2293" s="520"/>
      <c r="I2293" s="523"/>
      <c r="J2293" s="521"/>
      <c r="K2293" s="522"/>
      <c r="M2293" s="301" t="str">
        <f>N2293&amp;AS[[#This Row],[Insurer Code]]&amp;"; "&amp;O2293&amp;AS[[#This Row],[Reporting Year]]&amp;"; "&amp;P2293&amp;AS[[#This Row],[Insurance Category Code]]&amp;"; "&amp;Q2293&amp;AS[[#This Row],[Large Provider Entity Code]]&amp;"; "&amp;R2293&amp;AS[[#This Row],[Age Band Code]]&amp;"; "&amp;S2293&amp;AS[[#This Row],[Sex Code]]</f>
        <v xml:space="preserve">Insurer Code ; Reporting Year ; Insurance Category Code ; Large Provider Entity Code ; Age Band Code ; Sex Code </v>
      </c>
      <c r="N2293" s="297" t="s">
        <v>197</v>
      </c>
      <c r="O2293" s="297" t="s">
        <v>198</v>
      </c>
      <c r="P2293" s="297" t="s">
        <v>199</v>
      </c>
      <c r="Q2293" s="297" t="s">
        <v>200</v>
      </c>
      <c r="R2293" s="297" t="s">
        <v>213</v>
      </c>
      <c r="S2293" s="297" t="s">
        <v>214</v>
      </c>
    </row>
    <row r="2294" spans="1:19" x14ac:dyDescent="0.4">
      <c r="A2294" s="291"/>
      <c r="B2294" s="292"/>
      <c r="C2294" s="312"/>
      <c r="D2294" s="292"/>
      <c r="E2294" s="489"/>
      <c r="F2294" s="489"/>
      <c r="G2294" s="490"/>
      <c r="H2294" s="520"/>
      <c r="I2294" s="523"/>
      <c r="J2294" s="521"/>
      <c r="K2294" s="522"/>
      <c r="M2294" s="301" t="str">
        <f>N2294&amp;AS[[#This Row],[Insurer Code]]&amp;"; "&amp;O2294&amp;AS[[#This Row],[Reporting Year]]&amp;"; "&amp;P2294&amp;AS[[#This Row],[Insurance Category Code]]&amp;"; "&amp;Q2294&amp;AS[[#This Row],[Large Provider Entity Code]]&amp;"; "&amp;R2294&amp;AS[[#This Row],[Age Band Code]]&amp;"; "&amp;S2294&amp;AS[[#This Row],[Sex Code]]</f>
        <v xml:space="preserve">Insurer Code ; Reporting Year ; Insurance Category Code ; Large Provider Entity Code ; Age Band Code ; Sex Code </v>
      </c>
      <c r="N2294" s="297" t="s">
        <v>197</v>
      </c>
      <c r="O2294" s="297" t="s">
        <v>198</v>
      </c>
      <c r="P2294" s="297" t="s">
        <v>199</v>
      </c>
      <c r="Q2294" s="297" t="s">
        <v>200</v>
      </c>
      <c r="R2294" s="297" t="s">
        <v>213</v>
      </c>
      <c r="S2294" s="297" t="s">
        <v>214</v>
      </c>
    </row>
    <row r="2295" spans="1:19" x14ac:dyDescent="0.4">
      <c r="A2295" s="291"/>
      <c r="B2295" s="292"/>
      <c r="C2295" s="312"/>
      <c r="D2295" s="292"/>
      <c r="E2295" s="489"/>
      <c r="F2295" s="489"/>
      <c r="G2295" s="490"/>
      <c r="H2295" s="520"/>
      <c r="I2295" s="523"/>
      <c r="J2295" s="521"/>
      <c r="K2295" s="522"/>
      <c r="M2295" s="301" t="str">
        <f>N2295&amp;AS[[#This Row],[Insurer Code]]&amp;"; "&amp;O2295&amp;AS[[#This Row],[Reporting Year]]&amp;"; "&amp;P2295&amp;AS[[#This Row],[Insurance Category Code]]&amp;"; "&amp;Q2295&amp;AS[[#This Row],[Large Provider Entity Code]]&amp;"; "&amp;R2295&amp;AS[[#This Row],[Age Band Code]]&amp;"; "&amp;S2295&amp;AS[[#This Row],[Sex Code]]</f>
        <v xml:space="preserve">Insurer Code ; Reporting Year ; Insurance Category Code ; Large Provider Entity Code ; Age Band Code ; Sex Code </v>
      </c>
      <c r="N2295" s="297" t="s">
        <v>197</v>
      </c>
      <c r="O2295" s="297" t="s">
        <v>198</v>
      </c>
      <c r="P2295" s="297" t="s">
        <v>199</v>
      </c>
      <c r="Q2295" s="297" t="s">
        <v>200</v>
      </c>
      <c r="R2295" s="297" t="s">
        <v>213</v>
      </c>
      <c r="S2295" s="297" t="s">
        <v>214</v>
      </c>
    </row>
    <row r="2296" spans="1:19" x14ac:dyDescent="0.4">
      <c r="A2296" s="291"/>
      <c r="B2296" s="292"/>
      <c r="C2296" s="312"/>
      <c r="D2296" s="292"/>
      <c r="E2296" s="489"/>
      <c r="F2296" s="489"/>
      <c r="G2296" s="490"/>
      <c r="H2296" s="520"/>
      <c r="I2296" s="523"/>
      <c r="J2296" s="521"/>
      <c r="K2296" s="522"/>
      <c r="M2296" s="301" t="str">
        <f>N2296&amp;AS[[#This Row],[Insurer Code]]&amp;"; "&amp;O2296&amp;AS[[#This Row],[Reporting Year]]&amp;"; "&amp;P2296&amp;AS[[#This Row],[Insurance Category Code]]&amp;"; "&amp;Q2296&amp;AS[[#This Row],[Large Provider Entity Code]]&amp;"; "&amp;R2296&amp;AS[[#This Row],[Age Band Code]]&amp;"; "&amp;S2296&amp;AS[[#This Row],[Sex Code]]</f>
        <v xml:space="preserve">Insurer Code ; Reporting Year ; Insurance Category Code ; Large Provider Entity Code ; Age Band Code ; Sex Code </v>
      </c>
      <c r="N2296" s="297" t="s">
        <v>197</v>
      </c>
      <c r="O2296" s="297" t="s">
        <v>198</v>
      </c>
      <c r="P2296" s="297" t="s">
        <v>199</v>
      </c>
      <c r="Q2296" s="297" t="s">
        <v>200</v>
      </c>
      <c r="R2296" s="297" t="s">
        <v>213</v>
      </c>
      <c r="S2296" s="297" t="s">
        <v>214</v>
      </c>
    </row>
    <row r="2297" spans="1:19" x14ac:dyDescent="0.4">
      <c r="A2297" s="291"/>
      <c r="B2297" s="292"/>
      <c r="C2297" s="312"/>
      <c r="D2297" s="292"/>
      <c r="E2297" s="489"/>
      <c r="F2297" s="489"/>
      <c r="G2297" s="490"/>
      <c r="H2297" s="520"/>
      <c r="I2297" s="523"/>
      <c r="J2297" s="521"/>
      <c r="K2297" s="522"/>
      <c r="M2297" s="301" t="str">
        <f>N2297&amp;AS[[#This Row],[Insurer Code]]&amp;"; "&amp;O2297&amp;AS[[#This Row],[Reporting Year]]&amp;"; "&amp;P2297&amp;AS[[#This Row],[Insurance Category Code]]&amp;"; "&amp;Q2297&amp;AS[[#This Row],[Large Provider Entity Code]]&amp;"; "&amp;R2297&amp;AS[[#This Row],[Age Band Code]]&amp;"; "&amp;S2297&amp;AS[[#This Row],[Sex Code]]</f>
        <v xml:space="preserve">Insurer Code ; Reporting Year ; Insurance Category Code ; Large Provider Entity Code ; Age Band Code ; Sex Code </v>
      </c>
      <c r="N2297" s="297" t="s">
        <v>197</v>
      </c>
      <c r="O2297" s="297" t="s">
        <v>198</v>
      </c>
      <c r="P2297" s="297" t="s">
        <v>199</v>
      </c>
      <c r="Q2297" s="297" t="s">
        <v>200</v>
      </c>
      <c r="R2297" s="297" t="s">
        <v>213</v>
      </c>
      <c r="S2297" s="297" t="s">
        <v>214</v>
      </c>
    </row>
    <row r="2298" spans="1:19" x14ac:dyDescent="0.4">
      <c r="A2298" s="291"/>
      <c r="B2298" s="292"/>
      <c r="C2298" s="312"/>
      <c r="D2298" s="292"/>
      <c r="E2298" s="489"/>
      <c r="F2298" s="489"/>
      <c r="G2298" s="490"/>
      <c r="H2298" s="520"/>
      <c r="I2298" s="523"/>
      <c r="J2298" s="521"/>
      <c r="K2298" s="522"/>
      <c r="M2298" s="301" t="str">
        <f>N2298&amp;AS[[#This Row],[Insurer Code]]&amp;"; "&amp;O2298&amp;AS[[#This Row],[Reporting Year]]&amp;"; "&amp;P2298&amp;AS[[#This Row],[Insurance Category Code]]&amp;"; "&amp;Q2298&amp;AS[[#This Row],[Large Provider Entity Code]]&amp;"; "&amp;R2298&amp;AS[[#This Row],[Age Band Code]]&amp;"; "&amp;S2298&amp;AS[[#This Row],[Sex Code]]</f>
        <v xml:space="preserve">Insurer Code ; Reporting Year ; Insurance Category Code ; Large Provider Entity Code ; Age Band Code ; Sex Code </v>
      </c>
      <c r="N2298" s="297" t="s">
        <v>197</v>
      </c>
      <c r="O2298" s="297" t="s">
        <v>198</v>
      </c>
      <c r="P2298" s="297" t="s">
        <v>199</v>
      </c>
      <c r="Q2298" s="297" t="s">
        <v>200</v>
      </c>
      <c r="R2298" s="297" t="s">
        <v>213</v>
      </c>
      <c r="S2298" s="297" t="s">
        <v>214</v>
      </c>
    </row>
    <row r="2299" spans="1:19" x14ac:dyDescent="0.4">
      <c r="A2299" s="291"/>
      <c r="B2299" s="292"/>
      <c r="C2299" s="312"/>
      <c r="D2299" s="292"/>
      <c r="E2299" s="489"/>
      <c r="F2299" s="489"/>
      <c r="G2299" s="490"/>
      <c r="H2299" s="520"/>
      <c r="I2299" s="523"/>
      <c r="J2299" s="521"/>
      <c r="K2299" s="522"/>
      <c r="M2299" s="301" t="str">
        <f>N2299&amp;AS[[#This Row],[Insurer Code]]&amp;"; "&amp;O2299&amp;AS[[#This Row],[Reporting Year]]&amp;"; "&amp;P2299&amp;AS[[#This Row],[Insurance Category Code]]&amp;"; "&amp;Q2299&amp;AS[[#This Row],[Large Provider Entity Code]]&amp;"; "&amp;R2299&amp;AS[[#This Row],[Age Band Code]]&amp;"; "&amp;S2299&amp;AS[[#This Row],[Sex Code]]</f>
        <v xml:space="preserve">Insurer Code ; Reporting Year ; Insurance Category Code ; Large Provider Entity Code ; Age Band Code ; Sex Code </v>
      </c>
      <c r="N2299" s="297" t="s">
        <v>197</v>
      </c>
      <c r="O2299" s="297" t="s">
        <v>198</v>
      </c>
      <c r="P2299" s="297" t="s">
        <v>199</v>
      </c>
      <c r="Q2299" s="297" t="s">
        <v>200</v>
      </c>
      <c r="R2299" s="297" t="s">
        <v>213</v>
      </c>
      <c r="S2299" s="297" t="s">
        <v>214</v>
      </c>
    </row>
    <row r="2300" spans="1:19" x14ac:dyDescent="0.4">
      <c r="A2300" s="291"/>
      <c r="B2300" s="292"/>
      <c r="C2300" s="312"/>
      <c r="D2300" s="292"/>
      <c r="E2300" s="489"/>
      <c r="F2300" s="489"/>
      <c r="G2300" s="490"/>
      <c r="H2300" s="520"/>
      <c r="I2300" s="523"/>
      <c r="J2300" s="521"/>
      <c r="K2300" s="522"/>
      <c r="M2300" s="301" t="str">
        <f>N2300&amp;AS[[#This Row],[Insurer Code]]&amp;"; "&amp;O2300&amp;AS[[#This Row],[Reporting Year]]&amp;"; "&amp;P2300&amp;AS[[#This Row],[Insurance Category Code]]&amp;"; "&amp;Q2300&amp;AS[[#This Row],[Large Provider Entity Code]]&amp;"; "&amp;R2300&amp;AS[[#This Row],[Age Band Code]]&amp;"; "&amp;S2300&amp;AS[[#This Row],[Sex Code]]</f>
        <v xml:space="preserve">Insurer Code ; Reporting Year ; Insurance Category Code ; Large Provider Entity Code ; Age Band Code ; Sex Code </v>
      </c>
      <c r="N2300" s="297" t="s">
        <v>197</v>
      </c>
      <c r="O2300" s="297" t="s">
        <v>198</v>
      </c>
      <c r="P2300" s="297" t="s">
        <v>199</v>
      </c>
      <c r="Q2300" s="297" t="s">
        <v>200</v>
      </c>
      <c r="R2300" s="297" t="s">
        <v>213</v>
      </c>
      <c r="S2300" s="297" t="s">
        <v>214</v>
      </c>
    </row>
    <row r="2301" spans="1:19" x14ac:dyDescent="0.4">
      <c r="A2301" s="291"/>
      <c r="B2301" s="292"/>
      <c r="C2301" s="312"/>
      <c r="D2301" s="292"/>
      <c r="E2301" s="489"/>
      <c r="F2301" s="489"/>
      <c r="G2301" s="490"/>
      <c r="H2301" s="520"/>
      <c r="I2301" s="523"/>
      <c r="J2301" s="521"/>
      <c r="K2301" s="522"/>
      <c r="M2301" s="301" t="str">
        <f>N2301&amp;AS[[#This Row],[Insurer Code]]&amp;"; "&amp;O2301&amp;AS[[#This Row],[Reporting Year]]&amp;"; "&amp;P2301&amp;AS[[#This Row],[Insurance Category Code]]&amp;"; "&amp;Q2301&amp;AS[[#This Row],[Large Provider Entity Code]]&amp;"; "&amp;R2301&amp;AS[[#This Row],[Age Band Code]]&amp;"; "&amp;S2301&amp;AS[[#This Row],[Sex Code]]</f>
        <v xml:space="preserve">Insurer Code ; Reporting Year ; Insurance Category Code ; Large Provider Entity Code ; Age Band Code ; Sex Code </v>
      </c>
      <c r="N2301" s="297" t="s">
        <v>197</v>
      </c>
      <c r="O2301" s="297" t="s">
        <v>198</v>
      </c>
      <c r="P2301" s="297" t="s">
        <v>199</v>
      </c>
      <c r="Q2301" s="297" t="s">
        <v>200</v>
      </c>
      <c r="R2301" s="297" t="s">
        <v>213</v>
      </c>
      <c r="S2301" s="297" t="s">
        <v>214</v>
      </c>
    </row>
    <row r="2302" spans="1:19" x14ac:dyDescent="0.4">
      <c r="A2302" s="291"/>
      <c r="B2302" s="292"/>
      <c r="C2302" s="312"/>
      <c r="D2302" s="292"/>
      <c r="E2302" s="489"/>
      <c r="F2302" s="489"/>
      <c r="G2302" s="490"/>
      <c r="H2302" s="520"/>
      <c r="I2302" s="523"/>
      <c r="J2302" s="521"/>
      <c r="K2302" s="522"/>
      <c r="M2302" s="301" t="str">
        <f>N2302&amp;AS[[#This Row],[Insurer Code]]&amp;"; "&amp;O2302&amp;AS[[#This Row],[Reporting Year]]&amp;"; "&amp;P2302&amp;AS[[#This Row],[Insurance Category Code]]&amp;"; "&amp;Q2302&amp;AS[[#This Row],[Large Provider Entity Code]]&amp;"; "&amp;R2302&amp;AS[[#This Row],[Age Band Code]]&amp;"; "&amp;S2302&amp;AS[[#This Row],[Sex Code]]</f>
        <v xml:space="preserve">Insurer Code ; Reporting Year ; Insurance Category Code ; Large Provider Entity Code ; Age Band Code ; Sex Code </v>
      </c>
      <c r="N2302" s="297" t="s">
        <v>197</v>
      </c>
      <c r="O2302" s="297" t="s">
        <v>198</v>
      </c>
      <c r="P2302" s="297" t="s">
        <v>199</v>
      </c>
      <c r="Q2302" s="297" t="s">
        <v>200</v>
      </c>
      <c r="R2302" s="297" t="s">
        <v>213</v>
      </c>
      <c r="S2302" s="297" t="s">
        <v>214</v>
      </c>
    </row>
    <row r="2303" spans="1:19" x14ac:dyDescent="0.4">
      <c r="A2303" s="291"/>
      <c r="B2303" s="292"/>
      <c r="C2303" s="312"/>
      <c r="D2303" s="292"/>
      <c r="E2303" s="489"/>
      <c r="F2303" s="489"/>
      <c r="G2303" s="490"/>
      <c r="H2303" s="520"/>
      <c r="I2303" s="523"/>
      <c r="J2303" s="521"/>
      <c r="K2303" s="522"/>
      <c r="M2303" s="301" t="str">
        <f>N2303&amp;AS[[#This Row],[Insurer Code]]&amp;"; "&amp;O2303&amp;AS[[#This Row],[Reporting Year]]&amp;"; "&amp;P2303&amp;AS[[#This Row],[Insurance Category Code]]&amp;"; "&amp;Q2303&amp;AS[[#This Row],[Large Provider Entity Code]]&amp;"; "&amp;R2303&amp;AS[[#This Row],[Age Band Code]]&amp;"; "&amp;S2303&amp;AS[[#This Row],[Sex Code]]</f>
        <v xml:space="preserve">Insurer Code ; Reporting Year ; Insurance Category Code ; Large Provider Entity Code ; Age Band Code ; Sex Code </v>
      </c>
      <c r="N2303" s="297" t="s">
        <v>197</v>
      </c>
      <c r="O2303" s="297" t="s">
        <v>198</v>
      </c>
      <c r="P2303" s="297" t="s">
        <v>199</v>
      </c>
      <c r="Q2303" s="297" t="s">
        <v>200</v>
      </c>
      <c r="R2303" s="297" t="s">
        <v>213</v>
      </c>
      <c r="S2303" s="297" t="s">
        <v>214</v>
      </c>
    </row>
    <row r="2304" spans="1:19" x14ac:dyDescent="0.4">
      <c r="A2304" s="291"/>
      <c r="B2304" s="292"/>
      <c r="C2304" s="312"/>
      <c r="D2304" s="292"/>
      <c r="E2304" s="489"/>
      <c r="F2304" s="489"/>
      <c r="G2304" s="490"/>
      <c r="H2304" s="520"/>
      <c r="I2304" s="523"/>
      <c r="J2304" s="521"/>
      <c r="K2304" s="522"/>
      <c r="M2304" s="301" t="str">
        <f>N2304&amp;AS[[#This Row],[Insurer Code]]&amp;"; "&amp;O2304&amp;AS[[#This Row],[Reporting Year]]&amp;"; "&amp;P2304&amp;AS[[#This Row],[Insurance Category Code]]&amp;"; "&amp;Q2304&amp;AS[[#This Row],[Large Provider Entity Code]]&amp;"; "&amp;R2304&amp;AS[[#This Row],[Age Band Code]]&amp;"; "&amp;S2304&amp;AS[[#This Row],[Sex Code]]</f>
        <v xml:space="preserve">Insurer Code ; Reporting Year ; Insurance Category Code ; Large Provider Entity Code ; Age Band Code ; Sex Code </v>
      </c>
      <c r="N2304" s="297" t="s">
        <v>197</v>
      </c>
      <c r="O2304" s="297" t="s">
        <v>198</v>
      </c>
      <c r="P2304" s="297" t="s">
        <v>199</v>
      </c>
      <c r="Q2304" s="297" t="s">
        <v>200</v>
      </c>
      <c r="R2304" s="297" t="s">
        <v>213</v>
      </c>
      <c r="S2304" s="297" t="s">
        <v>214</v>
      </c>
    </row>
    <row r="2305" spans="1:19" x14ac:dyDescent="0.4">
      <c r="A2305" s="291"/>
      <c r="B2305" s="292"/>
      <c r="C2305" s="312"/>
      <c r="D2305" s="292"/>
      <c r="E2305" s="489"/>
      <c r="F2305" s="489"/>
      <c r="G2305" s="490"/>
      <c r="H2305" s="520"/>
      <c r="I2305" s="523"/>
      <c r="J2305" s="521"/>
      <c r="K2305" s="522"/>
      <c r="M2305" s="301" t="str">
        <f>N2305&amp;AS[[#This Row],[Insurer Code]]&amp;"; "&amp;O2305&amp;AS[[#This Row],[Reporting Year]]&amp;"; "&amp;P2305&amp;AS[[#This Row],[Insurance Category Code]]&amp;"; "&amp;Q2305&amp;AS[[#This Row],[Large Provider Entity Code]]&amp;"; "&amp;R2305&amp;AS[[#This Row],[Age Band Code]]&amp;"; "&amp;S2305&amp;AS[[#This Row],[Sex Code]]</f>
        <v xml:space="preserve">Insurer Code ; Reporting Year ; Insurance Category Code ; Large Provider Entity Code ; Age Band Code ; Sex Code </v>
      </c>
      <c r="N2305" s="297" t="s">
        <v>197</v>
      </c>
      <c r="O2305" s="297" t="s">
        <v>198</v>
      </c>
      <c r="P2305" s="297" t="s">
        <v>199</v>
      </c>
      <c r="Q2305" s="297" t="s">
        <v>200</v>
      </c>
      <c r="R2305" s="297" t="s">
        <v>213</v>
      </c>
      <c r="S2305" s="297" t="s">
        <v>214</v>
      </c>
    </row>
    <row r="2306" spans="1:19" x14ac:dyDescent="0.4">
      <c r="A2306" s="291"/>
      <c r="B2306" s="292"/>
      <c r="C2306" s="312"/>
      <c r="D2306" s="292"/>
      <c r="E2306" s="489"/>
      <c r="F2306" s="489"/>
      <c r="G2306" s="490"/>
      <c r="H2306" s="520"/>
      <c r="I2306" s="523"/>
      <c r="J2306" s="521"/>
      <c r="K2306" s="522"/>
      <c r="M2306" s="301" t="str">
        <f>N2306&amp;AS[[#This Row],[Insurer Code]]&amp;"; "&amp;O2306&amp;AS[[#This Row],[Reporting Year]]&amp;"; "&amp;P2306&amp;AS[[#This Row],[Insurance Category Code]]&amp;"; "&amp;Q2306&amp;AS[[#This Row],[Large Provider Entity Code]]&amp;"; "&amp;R2306&amp;AS[[#This Row],[Age Band Code]]&amp;"; "&amp;S2306&amp;AS[[#This Row],[Sex Code]]</f>
        <v xml:space="preserve">Insurer Code ; Reporting Year ; Insurance Category Code ; Large Provider Entity Code ; Age Band Code ; Sex Code </v>
      </c>
      <c r="N2306" s="297" t="s">
        <v>197</v>
      </c>
      <c r="O2306" s="297" t="s">
        <v>198</v>
      </c>
      <c r="P2306" s="297" t="s">
        <v>199</v>
      </c>
      <c r="Q2306" s="297" t="s">
        <v>200</v>
      </c>
      <c r="R2306" s="297" t="s">
        <v>213</v>
      </c>
      <c r="S2306" s="297" t="s">
        <v>214</v>
      </c>
    </row>
    <row r="2307" spans="1:19" x14ac:dyDescent="0.4">
      <c r="A2307" s="291"/>
      <c r="B2307" s="292"/>
      <c r="C2307" s="312"/>
      <c r="D2307" s="292"/>
      <c r="E2307" s="489"/>
      <c r="F2307" s="489"/>
      <c r="G2307" s="490"/>
      <c r="H2307" s="520"/>
      <c r="I2307" s="523"/>
      <c r="J2307" s="521"/>
      <c r="K2307" s="522"/>
      <c r="M2307" s="301" t="str">
        <f>N2307&amp;AS[[#This Row],[Insurer Code]]&amp;"; "&amp;O2307&amp;AS[[#This Row],[Reporting Year]]&amp;"; "&amp;P2307&amp;AS[[#This Row],[Insurance Category Code]]&amp;"; "&amp;Q2307&amp;AS[[#This Row],[Large Provider Entity Code]]&amp;"; "&amp;R2307&amp;AS[[#This Row],[Age Band Code]]&amp;"; "&amp;S2307&amp;AS[[#This Row],[Sex Code]]</f>
        <v xml:space="preserve">Insurer Code ; Reporting Year ; Insurance Category Code ; Large Provider Entity Code ; Age Band Code ; Sex Code </v>
      </c>
      <c r="N2307" s="297" t="s">
        <v>197</v>
      </c>
      <c r="O2307" s="297" t="s">
        <v>198</v>
      </c>
      <c r="P2307" s="297" t="s">
        <v>199</v>
      </c>
      <c r="Q2307" s="297" t="s">
        <v>200</v>
      </c>
      <c r="R2307" s="297" t="s">
        <v>213</v>
      </c>
      <c r="S2307" s="297" t="s">
        <v>214</v>
      </c>
    </row>
    <row r="2308" spans="1:19" x14ac:dyDescent="0.4">
      <c r="A2308" s="291"/>
      <c r="B2308" s="292"/>
      <c r="C2308" s="312"/>
      <c r="D2308" s="292"/>
      <c r="E2308" s="489"/>
      <c r="F2308" s="489"/>
      <c r="G2308" s="490"/>
      <c r="H2308" s="520"/>
      <c r="I2308" s="523"/>
      <c r="J2308" s="521"/>
      <c r="K2308" s="522"/>
      <c r="M2308" s="301" t="str">
        <f>N2308&amp;AS[[#This Row],[Insurer Code]]&amp;"; "&amp;O2308&amp;AS[[#This Row],[Reporting Year]]&amp;"; "&amp;P2308&amp;AS[[#This Row],[Insurance Category Code]]&amp;"; "&amp;Q2308&amp;AS[[#This Row],[Large Provider Entity Code]]&amp;"; "&amp;R2308&amp;AS[[#This Row],[Age Band Code]]&amp;"; "&amp;S2308&amp;AS[[#This Row],[Sex Code]]</f>
        <v xml:space="preserve">Insurer Code ; Reporting Year ; Insurance Category Code ; Large Provider Entity Code ; Age Band Code ; Sex Code </v>
      </c>
      <c r="N2308" s="297" t="s">
        <v>197</v>
      </c>
      <c r="O2308" s="297" t="s">
        <v>198</v>
      </c>
      <c r="P2308" s="297" t="s">
        <v>199</v>
      </c>
      <c r="Q2308" s="297" t="s">
        <v>200</v>
      </c>
      <c r="R2308" s="297" t="s">
        <v>213</v>
      </c>
      <c r="S2308" s="297" t="s">
        <v>214</v>
      </c>
    </row>
    <row r="2309" spans="1:19" x14ac:dyDescent="0.4">
      <c r="A2309" s="291"/>
      <c r="B2309" s="292"/>
      <c r="C2309" s="312"/>
      <c r="D2309" s="292"/>
      <c r="E2309" s="489"/>
      <c r="F2309" s="489"/>
      <c r="G2309" s="490"/>
      <c r="H2309" s="520"/>
      <c r="I2309" s="523"/>
      <c r="J2309" s="521"/>
      <c r="K2309" s="522"/>
      <c r="M2309" s="301" t="str">
        <f>N2309&amp;AS[[#This Row],[Insurer Code]]&amp;"; "&amp;O2309&amp;AS[[#This Row],[Reporting Year]]&amp;"; "&amp;P2309&amp;AS[[#This Row],[Insurance Category Code]]&amp;"; "&amp;Q2309&amp;AS[[#This Row],[Large Provider Entity Code]]&amp;"; "&amp;R2309&amp;AS[[#This Row],[Age Band Code]]&amp;"; "&amp;S2309&amp;AS[[#This Row],[Sex Code]]</f>
        <v xml:space="preserve">Insurer Code ; Reporting Year ; Insurance Category Code ; Large Provider Entity Code ; Age Band Code ; Sex Code </v>
      </c>
      <c r="N2309" s="297" t="s">
        <v>197</v>
      </c>
      <c r="O2309" s="297" t="s">
        <v>198</v>
      </c>
      <c r="P2309" s="297" t="s">
        <v>199</v>
      </c>
      <c r="Q2309" s="297" t="s">
        <v>200</v>
      </c>
      <c r="R2309" s="297" t="s">
        <v>213</v>
      </c>
      <c r="S2309" s="297" t="s">
        <v>214</v>
      </c>
    </row>
    <row r="2310" spans="1:19" x14ac:dyDescent="0.4">
      <c r="A2310" s="291"/>
      <c r="B2310" s="292"/>
      <c r="C2310" s="312"/>
      <c r="D2310" s="292"/>
      <c r="E2310" s="489"/>
      <c r="F2310" s="489"/>
      <c r="G2310" s="490"/>
      <c r="H2310" s="520"/>
      <c r="I2310" s="523"/>
      <c r="J2310" s="521"/>
      <c r="K2310" s="522"/>
      <c r="M2310" s="301" t="str">
        <f>N2310&amp;AS[[#This Row],[Insurer Code]]&amp;"; "&amp;O2310&amp;AS[[#This Row],[Reporting Year]]&amp;"; "&amp;P2310&amp;AS[[#This Row],[Insurance Category Code]]&amp;"; "&amp;Q2310&amp;AS[[#This Row],[Large Provider Entity Code]]&amp;"; "&amp;R2310&amp;AS[[#This Row],[Age Band Code]]&amp;"; "&amp;S2310&amp;AS[[#This Row],[Sex Code]]</f>
        <v xml:space="preserve">Insurer Code ; Reporting Year ; Insurance Category Code ; Large Provider Entity Code ; Age Band Code ; Sex Code </v>
      </c>
      <c r="N2310" s="297" t="s">
        <v>197</v>
      </c>
      <c r="O2310" s="297" t="s">
        <v>198</v>
      </c>
      <c r="P2310" s="297" t="s">
        <v>199</v>
      </c>
      <c r="Q2310" s="297" t="s">
        <v>200</v>
      </c>
      <c r="R2310" s="297" t="s">
        <v>213</v>
      </c>
      <c r="S2310" s="297" t="s">
        <v>214</v>
      </c>
    </row>
    <row r="2311" spans="1:19" x14ac:dyDescent="0.4">
      <c r="A2311" s="291"/>
      <c r="B2311" s="292"/>
      <c r="C2311" s="312"/>
      <c r="D2311" s="292"/>
      <c r="E2311" s="489"/>
      <c r="F2311" s="489"/>
      <c r="G2311" s="490"/>
      <c r="H2311" s="520"/>
      <c r="I2311" s="523"/>
      <c r="J2311" s="521"/>
      <c r="K2311" s="522"/>
      <c r="M2311" s="301" t="str">
        <f>N2311&amp;AS[[#This Row],[Insurer Code]]&amp;"; "&amp;O2311&amp;AS[[#This Row],[Reporting Year]]&amp;"; "&amp;P2311&amp;AS[[#This Row],[Insurance Category Code]]&amp;"; "&amp;Q2311&amp;AS[[#This Row],[Large Provider Entity Code]]&amp;"; "&amp;R2311&amp;AS[[#This Row],[Age Band Code]]&amp;"; "&amp;S2311&amp;AS[[#This Row],[Sex Code]]</f>
        <v xml:space="preserve">Insurer Code ; Reporting Year ; Insurance Category Code ; Large Provider Entity Code ; Age Band Code ; Sex Code </v>
      </c>
      <c r="N2311" s="297" t="s">
        <v>197</v>
      </c>
      <c r="O2311" s="297" t="s">
        <v>198</v>
      </c>
      <c r="P2311" s="297" t="s">
        <v>199</v>
      </c>
      <c r="Q2311" s="297" t="s">
        <v>200</v>
      </c>
      <c r="R2311" s="297" t="s">
        <v>213</v>
      </c>
      <c r="S2311" s="297" t="s">
        <v>214</v>
      </c>
    </row>
    <row r="2312" spans="1:19" x14ac:dyDescent="0.4">
      <c r="A2312" s="291"/>
      <c r="B2312" s="292"/>
      <c r="C2312" s="312"/>
      <c r="D2312" s="292"/>
      <c r="E2312" s="489"/>
      <c r="F2312" s="489"/>
      <c r="G2312" s="490"/>
      <c r="H2312" s="520"/>
      <c r="I2312" s="523"/>
      <c r="J2312" s="521"/>
      <c r="K2312" s="522"/>
      <c r="M2312" s="301" t="str">
        <f>N2312&amp;AS[[#This Row],[Insurer Code]]&amp;"; "&amp;O2312&amp;AS[[#This Row],[Reporting Year]]&amp;"; "&amp;P2312&amp;AS[[#This Row],[Insurance Category Code]]&amp;"; "&amp;Q2312&amp;AS[[#This Row],[Large Provider Entity Code]]&amp;"; "&amp;R2312&amp;AS[[#This Row],[Age Band Code]]&amp;"; "&amp;S2312&amp;AS[[#This Row],[Sex Code]]</f>
        <v xml:space="preserve">Insurer Code ; Reporting Year ; Insurance Category Code ; Large Provider Entity Code ; Age Band Code ; Sex Code </v>
      </c>
      <c r="N2312" s="297" t="s">
        <v>197</v>
      </c>
      <c r="O2312" s="297" t="s">
        <v>198</v>
      </c>
      <c r="P2312" s="297" t="s">
        <v>199</v>
      </c>
      <c r="Q2312" s="297" t="s">
        <v>200</v>
      </c>
      <c r="R2312" s="297" t="s">
        <v>213</v>
      </c>
      <c r="S2312" s="297" t="s">
        <v>214</v>
      </c>
    </row>
    <row r="2313" spans="1:19" x14ac:dyDescent="0.4">
      <c r="A2313" s="291"/>
      <c r="B2313" s="292"/>
      <c r="C2313" s="312"/>
      <c r="D2313" s="292"/>
      <c r="E2313" s="489"/>
      <c r="F2313" s="489"/>
      <c r="G2313" s="490"/>
      <c r="H2313" s="520"/>
      <c r="I2313" s="523"/>
      <c r="J2313" s="521"/>
      <c r="K2313" s="522"/>
      <c r="M2313" s="301" t="str">
        <f>N2313&amp;AS[[#This Row],[Insurer Code]]&amp;"; "&amp;O2313&amp;AS[[#This Row],[Reporting Year]]&amp;"; "&amp;P2313&amp;AS[[#This Row],[Insurance Category Code]]&amp;"; "&amp;Q2313&amp;AS[[#This Row],[Large Provider Entity Code]]&amp;"; "&amp;R2313&amp;AS[[#This Row],[Age Band Code]]&amp;"; "&amp;S2313&amp;AS[[#This Row],[Sex Code]]</f>
        <v xml:space="preserve">Insurer Code ; Reporting Year ; Insurance Category Code ; Large Provider Entity Code ; Age Band Code ; Sex Code </v>
      </c>
      <c r="N2313" s="297" t="s">
        <v>197</v>
      </c>
      <c r="O2313" s="297" t="s">
        <v>198</v>
      </c>
      <c r="P2313" s="297" t="s">
        <v>199</v>
      </c>
      <c r="Q2313" s="297" t="s">
        <v>200</v>
      </c>
      <c r="R2313" s="297" t="s">
        <v>213</v>
      </c>
      <c r="S2313" s="297" t="s">
        <v>214</v>
      </c>
    </row>
    <row r="2314" spans="1:19" x14ac:dyDescent="0.4">
      <c r="A2314" s="291"/>
      <c r="B2314" s="292"/>
      <c r="C2314" s="312"/>
      <c r="D2314" s="292"/>
      <c r="E2314" s="489"/>
      <c r="F2314" s="489"/>
      <c r="G2314" s="490"/>
      <c r="H2314" s="520"/>
      <c r="I2314" s="523"/>
      <c r="J2314" s="521"/>
      <c r="K2314" s="522"/>
      <c r="M2314" s="301" t="str">
        <f>N2314&amp;AS[[#This Row],[Insurer Code]]&amp;"; "&amp;O2314&amp;AS[[#This Row],[Reporting Year]]&amp;"; "&amp;P2314&amp;AS[[#This Row],[Insurance Category Code]]&amp;"; "&amp;Q2314&amp;AS[[#This Row],[Large Provider Entity Code]]&amp;"; "&amp;R2314&amp;AS[[#This Row],[Age Band Code]]&amp;"; "&amp;S2314&amp;AS[[#This Row],[Sex Code]]</f>
        <v xml:space="preserve">Insurer Code ; Reporting Year ; Insurance Category Code ; Large Provider Entity Code ; Age Band Code ; Sex Code </v>
      </c>
      <c r="N2314" s="297" t="s">
        <v>197</v>
      </c>
      <c r="O2314" s="297" t="s">
        <v>198</v>
      </c>
      <c r="P2314" s="297" t="s">
        <v>199</v>
      </c>
      <c r="Q2314" s="297" t="s">
        <v>200</v>
      </c>
      <c r="R2314" s="297" t="s">
        <v>213</v>
      </c>
      <c r="S2314" s="297" t="s">
        <v>214</v>
      </c>
    </row>
    <row r="2315" spans="1:19" x14ac:dyDescent="0.4">
      <c r="A2315" s="291"/>
      <c r="B2315" s="292"/>
      <c r="C2315" s="312"/>
      <c r="D2315" s="292"/>
      <c r="E2315" s="489"/>
      <c r="F2315" s="489"/>
      <c r="G2315" s="490"/>
      <c r="H2315" s="520"/>
      <c r="I2315" s="523"/>
      <c r="J2315" s="521"/>
      <c r="K2315" s="522"/>
      <c r="M2315" s="301" t="str">
        <f>N2315&amp;AS[[#This Row],[Insurer Code]]&amp;"; "&amp;O2315&amp;AS[[#This Row],[Reporting Year]]&amp;"; "&amp;P2315&amp;AS[[#This Row],[Insurance Category Code]]&amp;"; "&amp;Q2315&amp;AS[[#This Row],[Large Provider Entity Code]]&amp;"; "&amp;R2315&amp;AS[[#This Row],[Age Band Code]]&amp;"; "&amp;S2315&amp;AS[[#This Row],[Sex Code]]</f>
        <v xml:space="preserve">Insurer Code ; Reporting Year ; Insurance Category Code ; Large Provider Entity Code ; Age Band Code ; Sex Code </v>
      </c>
      <c r="N2315" s="297" t="s">
        <v>197</v>
      </c>
      <c r="O2315" s="297" t="s">
        <v>198</v>
      </c>
      <c r="P2315" s="297" t="s">
        <v>199</v>
      </c>
      <c r="Q2315" s="297" t="s">
        <v>200</v>
      </c>
      <c r="R2315" s="297" t="s">
        <v>213</v>
      </c>
      <c r="S2315" s="297" t="s">
        <v>214</v>
      </c>
    </row>
    <row r="2316" spans="1:19" x14ac:dyDescent="0.4">
      <c r="A2316" s="291"/>
      <c r="B2316" s="292"/>
      <c r="C2316" s="312"/>
      <c r="D2316" s="292"/>
      <c r="E2316" s="489"/>
      <c r="F2316" s="489"/>
      <c r="G2316" s="490"/>
      <c r="H2316" s="520"/>
      <c r="I2316" s="523"/>
      <c r="J2316" s="521"/>
      <c r="K2316" s="522"/>
      <c r="M2316" s="301" t="str">
        <f>N2316&amp;AS[[#This Row],[Insurer Code]]&amp;"; "&amp;O2316&amp;AS[[#This Row],[Reporting Year]]&amp;"; "&amp;P2316&amp;AS[[#This Row],[Insurance Category Code]]&amp;"; "&amp;Q2316&amp;AS[[#This Row],[Large Provider Entity Code]]&amp;"; "&amp;R2316&amp;AS[[#This Row],[Age Band Code]]&amp;"; "&amp;S2316&amp;AS[[#This Row],[Sex Code]]</f>
        <v xml:space="preserve">Insurer Code ; Reporting Year ; Insurance Category Code ; Large Provider Entity Code ; Age Band Code ; Sex Code </v>
      </c>
      <c r="N2316" s="297" t="s">
        <v>197</v>
      </c>
      <c r="O2316" s="297" t="s">
        <v>198</v>
      </c>
      <c r="P2316" s="297" t="s">
        <v>199</v>
      </c>
      <c r="Q2316" s="297" t="s">
        <v>200</v>
      </c>
      <c r="R2316" s="297" t="s">
        <v>213</v>
      </c>
      <c r="S2316" s="297" t="s">
        <v>214</v>
      </c>
    </row>
    <row r="2317" spans="1:19" x14ac:dyDescent="0.4">
      <c r="A2317" s="291"/>
      <c r="B2317" s="292"/>
      <c r="C2317" s="312"/>
      <c r="D2317" s="292"/>
      <c r="E2317" s="489"/>
      <c r="F2317" s="489"/>
      <c r="G2317" s="490"/>
      <c r="H2317" s="520"/>
      <c r="I2317" s="523"/>
      <c r="J2317" s="521"/>
      <c r="K2317" s="522"/>
      <c r="M2317" s="301" t="str">
        <f>N2317&amp;AS[[#This Row],[Insurer Code]]&amp;"; "&amp;O2317&amp;AS[[#This Row],[Reporting Year]]&amp;"; "&amp;P2317&amp;AS[[#This Row],[Insurance Category Code]]&amp;"; "&amp;Q2317&amp;AS[[#This Row],[Large Provider Entity Code]]&amp;"; "&amp;R2317&amp;AS[[#This Row],[Age Band Code]]&amp;"; "&amp;S2317&amp;AS[[#This Row],[Sex Code]]</f>
        <v xml:space="preserve">Insurer Code ; Reporting Year ; Insurance Category Code ; Large Provider Entity Code ; Age Band Code ; Sex Code </v>
      </c>
      <c r="N2317" s="297" t="s">
        <v>197</v>
      </c>
      <c r="O2317" s="297" t="s">
        <v>198</v>
      </c>
      <c r="P2317" s="297" t="s">
        <v>199</v>
      </c>
      <c r="Q2317" s="297" t="s">
        <v>200</v>
      </c>
      <c r="R2317" s="297" t="s">
        <v>213</v>
      </c>
      <c r="S2317" s="297" t="s">
        <v>214</v>
      </c>
    </row>
    <row r="2318" spans="1:19" x14ac:dyDescent="0.4">
      <c r="A2318" s="291"/>
      <c r="B2318" s="292"/>
      <c r="C2318" s="312"/>
      <c r="D2318" s="292"/>
      <c r="E2318" s="489"/>
      <c r="F2318" s="489"/>
      <c r="G2318" s="490"/>
      <c r="H2318" s="520"/>
      <c r="I2318" s="523"/>
      <c r="J2318" s="521"/>
      <c r="K2318" s="522"/>
      <c r="M2318" s="301" t="str">
        <f>N2318&amp;AS[[#This Row],[Insurer Code]]&amp;"; "&amp;O2318&amp;AS[[#This Row],[Reporting Year]]&amp;"; "&amp;P2318&amp;AS[[#This Row],[Insurance Category Code]]&amp;"; "&amp;Q2318&amp;AS[[#This Row],[Large Provider Entity Code]]&amp;"; "&amp;R2318&amp;AS[[#This Row],[Age Band Code]]&amp;"; "&amp;S2318&amp;AS[[#This Row],[Sex Code]]</f>
        <v xml:space="preserve">Insurer Code ; Reporting Year ; Insurance Category Code ; Large Provider Entity Code ; Age Band Code ; Sex Code </v>
      </c>
      <c r="N2318" s="297" t="s">
        <v>197</v>
      </c>
      <c r="O2318" s="297" t="s">
        <v>198</v>
      </c>
      <c r="P2318" s="297" t="s">
        <v>199</v>
      </c>
      <c r="Q2318" s="297" t="s">
        <v>200</v>
      </c>
      <c r="R2318" s="297" t="s">
        <v>213</v>
      </c>
      <c r="S2318" s="297" t="s">
        <v>214</v>
      </c>
    </row>
    <row r="2319" spans="1:19" x14ac:dyDescent="0.4">
      <c r="A2319" s="291"/>
      <c r="B2319" s="292"/>
      <c r="C2319" s="312"/>
      <c r="D2319" s="292"/>
      <c r="E2319" s="489"/>
      <c r="F2319" s="489"/>
      <c r="G2319" s="490"/>
      <c r="H2319" s="520"/>
      <c r="I2319" s="523"/>
      <c r="J2319" s="521"/>
      <c r="K2319" s="522"/>
      <c r="M2319" s="301" t="str">
        <f>N2319&amp;AS[[#This Row],[Insurer Code]]&amp;"; "&amp;O2319&amp;AS[[#This Row],[Reporting Year]]&amp;"; "&amp;P2319&amp;AS[[#This Row],[Insurance Category Code]]&amp;"; "&amp;Q2319&amp;AS[[#This Row],[Large Provider Entity Code]]&amp;"; "&amp;R2319&amp;AS[[#This Row],[Age Band Code]]&amp;"; "&amp;S2319&amp;AS[[#This Row],[Sex Code]]</f>
        <v xml:space="preserve">Insurer Code ; Reporting Year ; Insurance Category Code ; Large Provider Entity Code ; Age Band Code ; Sex Code </v>
      </c>
      <c r="N2319" s="297" t="s">
        <v>197</v>
      </c>
      <c r="O2319" s="297" t="s">
        <v>198</v>
      </c>
      <c r="P2319" s="297" t="s">
        <v>199</v>
      </c>
      <c r="Q2319" s="297" t="s">
        <v>200</v>
      </c>
      <c r="R2319" s="297" t="s">
        <v>213</v>
      </c>
      <c r="S2319" s="297" t="s">
        <v>214</v>
      </c>
    </row>
    <row r="2320" spans="1:19" x14ac:dyDescent="0.4">
      <c r="A2320" s="291"/>
      <c r="B2320" s="292"/>
      <c r="C2320" s="312"/>
      <c r="D2320" s="292"/>
      <c r="E2320" s="489"/>
      <c r="F2320" s="489"/>
      <c r="G2320" s="490"/>
      <c r="H2320" s="520"/>
      <c r="I2320" s="523"/>
      <c r="J2320" s="521"/>
      <c r="K2320" s="522"/>
      <c r="M2320" s="301" t="str">
        <f>N2320&amp;AS[[#This Row],[Insurer Code]]&amp;"; "&amp;O2320&amp;AS[[#This Row],[Reporting Year]]&amp;"; "&amp;P2320&amp;AS[[#This Row],[Insurance Category Code]]&amp;"; "&amp;Q2320&amp;AS[[#This Row],[Large Provider Entity Code]]&amp;"; "&amp;R2320&amp;AS[[#This Row],[Age Band Code]]&amp;"; "&amp;S2320&amp;AS[[#This Row],[Sex Code]]</f>
        <v xml:space="preserve">Insurer Code ; Reporting Year ; Insurance Category Code ; Large Provider Entity Code ; Age Band Code ; Sex Code </v>
      </c>
      <c r="N2320" s="297" t="s">
        <v>197</v>
      </c>
      <c r="O2320" s="297" t="s">
        <v>198</v>
      </c>
      <c r="P2320" s="297" t="s">
        <v>199</v>
      </c>
      <c r="Q2320" s="297" t="s">
        <v>200</v>
      </c>
      <c r="R2320" s="297" t="s">
        <v>213</v>
      </c>
      <c r="S2320" s="297" t="s">
        <v>214</v>
      </c>
    </row>
    <row r="2321" spans="1:19" x14ac:dyDescent="0.4">
      <c r="A2321" s="291"/>
      <c r="B2321" s="292"/>
      <c r="C2321" s="312"/>
      <c r="D2321" s="292"/>
      <c r="E2321" s="489"/>
      <c r="F2321" s="489"/>
      <c r="G2321" s="490"/>
      <c r="H2321" s="520"/>
      <c r="I2321" s="523"/>
      <c r="J2321" s="521"/>
      <c r="K2321" s="522"/>
      <c r="M2321" s="301" t="str">
        <f>N2321&amp;AS[[#This Row],[Insurer Code]]&amp;"; "&amp;O2321&amp;AS[[#This Row],[Reporting Year]]&amp;"; "&amp;P2321&amp;AS[[#This Row],[Insurance Category Code]]&amp;"; "&amp;Q2321&amp;AS[[#This Row],[Large Provider Entity Code]]&amp;"; "&amp;R2321&amp;AS[[#This Row],[Age Band Code]]&amp;"; "&amp;S2321&amp;AS[[#This Row],[Sex Code]]</f>
        <v xml:space="preserve">Insurer Code ; Reporting Year ; Insurance Category Code ; Large Provider Entity Code ; Age Band Code ; Sex Code </v>
      </c>
      <c r="N2321" s="297" t="s">
        <v>197</v>
      </c>
      <c r="O2321" s="297" t="s">
        <v>198</v>
      </c>
      <c r="P2321" s="297" t="s">
        <v>199</v>
      </c>
      <c r="Q2321" s="297" t="s">
        <v>200</v>
      </c>
      <c r="R2321" s="297" t="s">
        <v>213</v>
      </c>
      <c r="S2321" s="297" t="s">
        <v>214</v>
      </c>
    </row>
    <row r="2322" spans="1:19" x14ac:dyDescent="0.4">
      <c r="A2322" s="291"/>
      <c r="B2322" s="292"/>
      <c r="C2322" s="312"/>
      <c r="D2322" s="292"/>
      <c r="E2322" s="489"/>
      <c r="F2322" s="489"/>
      <c r="G2322" s="490"/>
      <c r="H2322" s="520"/>
      <c r="I2322" s="523"/>
      <c r="J2322" s="521"/>
      <c r="K2322" s="522"/>
      <c r="M2322" s="301" t="str">
        <f>N2322&amp;AS[[#This Row],[Insurer Code]]&amp;"; "&amp;O2322&amp;AS[[#This Row],[Reporting Year]]&amp;"; "&amp;P2322&amp;AS[[#This Row],[Insurance Category Code]]&amp;"; "&amp;Q2322&amp;AS[[#This Row],[Large Provider Entity Code]]&amp;"; "&amp;R2322&amp;AS[[#This Row],[Age Band Code]]&amp;"; "&amp;S2322&amp;AS[[#This Row],[Sex Code]]</f>
        <v xml:space="preserve">Insurer Code ; Reporting Year ; Insurance Category Code ; Large Provider Entity Code ; Age Band Code ; Sex Code </v>
      </c>
      <c r="N2322" s="297" t="s">
        <v>197</v>
      </c>
      <c r="O2322" s="297" t="s">
        <v>198</v>
      </c>
      <c r="P2322" s="297" t="s">
        <v>199</v>
      </c>
      <c r="Q2322" s="297" t="s">
        <v>200</v>
      </c>
      <c r="R2322" s="297" t="s">
        <v>213</v>
      </c>
      <c r="S2322" s="297" t="s">
        <v>214</v>
      </c>
    </row>
    <row r="2323" spans="1:19" x14ac:dyDescent="0.4">
      <c r="A2323" s="291"/>
      <c r="B2323" s="292"/>
      <c r="C2323" s="312"/>
      <c r="D2323" s="292"/>
      <c r="E2323" s="489"/>
      <c r="F2323" s="489"/>
      <c r="G2323" s="490"/>
      <c r="H2323" s="520"/>
      <c r="I2323" s="523"/>
      <c r="J2323" s="521"/>
      <c r="K2323" s="522"/>
      <c r="M2323" s="301" t="str">
        <f>N2323&amp;AS[[#This Row],[Insurer Code]]&amp;"; "&amp;O2323&amp;AS[[#This Row],[Reporting Year]]&amp;"; "&amp;P2323&amp;AS[[#This Row],[Insurance Category Code]]&amp;"; "&amp;Q2323&amp;AS[[#This Row],[Large Provider Entity Code]]&amp;"; "&amp;R2323&amp;AS[[#This Row],[Age Band Code]]&amp;"; "&amp;S2323&amp;AS[[#This Row],[Sex Code]]</f>
        <v xml:space="preserve">Insurer Code ; Reporting Year ; Insurance Category Code ; Large Provider Entity Code ; Age Band Code ; Sex Code </v>
      </c>
      <c r="N2323" s="297" t="s">
        <v>197</v>
      </c>
      <c r="O2323" s="297" t="s">
        <v>198</v>
      </c>
      <c r="P2323" s="297" t="s">
        <v>199</v>
      </c>
      <c r="Q2323" s="297" t="s">
        <v>200</v>
      </c>
      <c r="R2323" s="297" t="s">
        <v>213</v>
      </c>
      <c r="S2323" s="297" t="s">
        <v>214</v>
      </c>
    </row>
    <row r="2324" spans="1:19" x14ac:dyDescent="0.4">
      <c r="A2324" s="291"/>
      <c r="B2324" s="292"/>
      <c r="C2324" s="312"/>
      <c r="D2324" s="292"/>
      <c r="E2324" s="489"/>
      <c r="F2324" s="489"/>
      <c r="G2324" s="490"/>
      <c r="H2324" s="520"/>
      <c r="I2324" s="523"/>
      <c r="J2324" s="521"/>
      <c r="K2324" s="522"/>
      <c r="M2324" s="301" t="str">
        <f>N2324&amp;AS[[#This Row],[Insurer Code]]&amp;"; "&amp;O2324&amp;AS[[#This Row],[Reporting Year]]&amp;"; "&amp;P2324&amp;AS[[#This Row],[Insurance Category Code]]&amp;"; "&amp;Q2324&amp;AS[[#This Row],[Large Provider Entity Code]]&amp;"; "&amp;R2324&amp;AS[[#This Row],[Age Band Code]]&amp;"; "&amp;S2324&amp;AS[[#This Row],[Sex Code]]</f>
        <v xml:space="preserve">Insurer Code ; Reporting Year ; Insurance Category Code ; Large Provider Entity Code ; Age Band Code ; Sex Code </v>
      </c>
      <c r="N2324" s="297" t="s">
        <v>197</v>
      </c>
      <c r="O2324" s="297" t="s">
        <v>198</v>
      </c>
      <c r="P2324" s="297" t="s">
        <v>199</v>
      </c>
      <c r="Q2324" s="297" t="s">
        <v>200</v>
      </c>
      <c r="R2324" s="297" t="s">
        <v>213</v>
      </c>
      <c r="S2324" s="297" t="s">
        <v>214</v>
      </c>
    </row>
    <row r="2325" spans="1:19" x14ac:dyDescent="0.4">
      <c r="A2325" s="291"/>
      <c r="B2325" s="292"/>
      <c r="C2325" s="312"/>
      <c r="D2325" s="292"/>
      <c r="E2325" s="489"/>
      <c r="F2325" s="489"/>
      <c r="G2325" s="490"/>
      <c r="H2325" s="520"/>
      <c r="I2325" s="523"/>
      <c r="J2325" s="521"/>
      <c r="K2325" s="522"/>
      <c r="M2325" s="301" t="str">
        <f>N2325&amp;AS[[#This Row],[Insurer Code]]&amp;"; "&amp;O2325&amp;AS[[#This Row],[Reporting Year]]&amp;"; "&amp;P2325&amp;AS[[#This Row],[Insurance Category Code]]&amp;"; "&amp;Q2325&amp;AS[[#This Row],[Large Provider Entity Code]]&amp;"; "&amp;R2325&amp;AS[[#This Row],[Age Band Code]]&amp;"; "&amp;S2325&amp;AS[[#This Row],[Sex Code]]</f>
        <v xml:space="preserve">Insurer Code ; Reporting Year ; Insurance Category Code ; Large Provider Entity Code ; Age Band Code ; Sex Code </v>
      </c>
      <c r="N2325" s="297" t="s">
        <v>197</v>
      </c>
      <c r="O2325" s="297" t="s">
        <v>198</v>
      </c>
      <c r="P2325" s="297" t="s">
        <v>199</v>
      </c>
      <c r="Q2325" s="297" t="s">
        <v>200</v>
      </c>
      <c r="R2325" s="297" t="s">
        <v>213</v>
      </c>
      <c r="S2325" s="297" t="s">
        <v>214</v>
      </c>
    </row>
    <row r="2326" spans="1:19" x14ac:dyDescent="0.4">
      <c r="A2326" s="291"/>
      <c r="B2326" s="292"/>
      <c r="C2326" s="312"/>
      <c r="D2326" s="292"/>
      <c r="E2326" s="489"/>
      <c r="F2326" s="489"/>
      <c r="G2326" s="490"/>
      <c r="H2326" s="520"/>
      <c r="I2326" s="523"/>
      <c r="J2326" s="521"/>
      <c r="K2326" s="522"/>
      <c r="M2326" s="301" t="str">
        <f>N2326&amp;AS[[#This Row],[Insurer Code]]&amp;"; "&amp;O2326&amp;AS[[#This Row],[Reporting Year]]&amp;"; "&amp;P2326&amp;AS[[#This Row],[Insurance Category Code]]&amp;"; "&amp;Q2326&amp;AS[[#This Row],[Large Provider Entity Code]]&amp;"; "&amp;R2326&amp;AS[[#This Row],[Age Band Code]]&amp;"; "&amp;S2326&amp;AS[[#This Row],[Sex Code]]</f>
        <v xml:space="preserve">Insurer Code ; Reporting Year ; Insurance Category Code ; Large Provider Entity Code ; Age Band Code ; Sex Code </v>
      </c>
      <c r="N2326" s="297" t="s">
        <v>197</v>
      </c>
      <c r="O2326" s="297" t="s">
        <v>198</v>
      </c>
      <c r="P2326" s="297" t="s">
        <v>199</v>
      </c>
      <c r="Q2326" s="297" t="s">
        <v>200</v>
      </c>
      <c r="R2326" s="297" t="s">
        <v>213</v>
      </c>
      <c r="S2326" s="297" t="s">
        <v>214</v>
      </c>
    </row>
    <row r="2327" spans="1:19" x14ac:dyDescent="0.4">
      <c r="A2327" s="291"/>
      <c r="B2327" s="292"/>
      <c r="C2327" s="312"/>
      <c r="D2327" s="292"/>
      <c r="E2327" s="489"/>
      <c r="F2327" s="489"/>
      <c r="G2327" s="490"/>
      <c r="H2327" s="520"/>
      <c r="I2327" s="523"/>
      <c r="J2327" s="521"/>
      <c r="K2327" s="522"/>
      <c r="M2327" s="301" t="str">
        <f>N2327&amp;AS[[#This Row],[Insurer Code]]&amp;"; "&amp;O2327&amp;AS[[#This Row],[Reporting Year]]&amp;"; "&amp;P2327&amp;AS[[#This Row],[Insurance Category Code]]&amp;"; "&amp;Q2327&amp;AS[[#This Row],[Large Provider Entity Code]]&amp;"; "&amp;R2327&amp;AS[[#This Row],[Age Band Code]]&amp;"; "&amp;S2327&amp;AS[[#This Row],[Sex Code]]</f>
        <v xml:space="preserve">Insurer Code ; Reporting Year ; Insurance Category Code ; Large Provider Entity Code ; Age Band Code ; Sex Code </v>
      </c>
      <c r="N2327" s="297" t="s">
        <v>197</v>
      </c>
      <c r="O2327" s="297" t="s">
        <v>198</v>
      </c>
      <c r="P2327" s="297" t="s">
        <v>199</v>
      </c>
      <c r="Q2327" s="297" t="s">
        <v>200</v>
      </c>
      <c r="R2327" s="297" t="s">
        <v>213</v>
      </c>
      <c r="S2327" s="297" t="s">
        <v>214</v>
      </c>
    </row>
    <row r="2328" spans="1:19" x14ac:dyDescent="0.4">
      <c r="A2328" s="291"/>
      <c r="B2328" s="292"/>
      <c r="C2328" s="312"/>
      <c r="D2328" s="292"/>
      <c r="E2328" s="489"/>
      <c r="F2328" s="489"/>
      <c r="G2328" s="490"/>
      <c r="H2328" s="520"/>
      <c r="I2328" s="523"/>
      <c r="J2328" s="521"/>
      <c r="K2328" s="522"/>
      <c r="M2328" s="301" t="str">
        <f>N2328&amp;AS[[#This Row],[Insurer Code]]&amp;"; "&amp;O2328&amp;AS[[#This Row],[Reporting Year]]&amp;"; "&amp;P2328&amp;AS[[#This Row],[Insurance Category Code]]&amp;"; "&amp;Q2328&amp;AS[[#This Row],[Large Provider Entity Code]]&amp;"; "&amp;R2328&amp;AS[[#This Row],[Age Band Code]]&amp;"; "&amp;S2328&amp;AS[[#This Row],[Sex Code]]</f>
        <v xml:space="preserve">Insurer Code ; Reporting Year ; Insurance Category Code ; Large Provider Entity Code ; Age Band Code ; Sex Code </v>
      </c>
      <c r="N2328" s="297" t="s">
        <v>197</v>
      </c>
      <c r="O2328" s="297" t="s">
        <v>198</v>
      </c>
      <c r="P2328" s="297" t="s">
        <v>199</v>
      </c>
      <c r="Q2328" s="297" t="s">
        <v>200</v>
      </c>
      <c r="R2328" s="297" t="s">
        <v>213</v>
      </c>
      <c r="S2328" s="297" t="s">
        <v>214</v>
      </c>
    </row>
    <row r="2329" spans="1:19" x14ac:dyDescent="0.4">
      <c r="A2329" s="291"/>
      <c r="B2329" s="292"/>
      <c r="C2329" s="312"/>
      <c r="D2329" s="292"/>
      <c r="E2329" s="489"/>
      <c r="F2329" s="489"/>
      <c r="G2329" s="490"/>
      <c r="H2329" s="520"/>
      <c r="I2329" s="523"/>
      <c r="J2329" s="521"/>
      <c r="K2329" s="522"/>
      <c r="M2329" s="301" t="str">
        <f>N2329&amp;AS[[#This Row],[Insurer Code]]&amp;"; "&amp;O2329&amp;AS[[#This Row],[Reporting Year]]&amp;"; "&amp;P2329&amp;AS[[#This Row],[Insurance Category Code]]&amp;"; "&amp;Q2329&amp;AS[[#This Row],[Large Provider Entity Code]]&amp;"; "&amp;R2329&amp;AS[[#This Row],[Age Band Code]]&amp;"; "&amp;S2329&amp;AS[[#This Row],[Sex Code]]</f>
        <v xml:space="preserve">Insurer Code ; Reporting Year ; Insurance Category Code ; Large Provider Entity Code ; Age Band Code ; Sex Code </v>
      </c>
      <c r="N2329" s="297" t="s">
        <v>197</v>
      </c>
      <c r="O2329" s="297" t="s">
        <v>198</v>
      </c>
      <c r="P2329" s="297" t="s">
        <v>199</v>
      </c>
      <c r="Q2329" s="297" t="s">
        <v>200</v>
      </c>
      <c r="R2329" s="297" t="s">
        <v>213</v>
      </c>
      <c r="S2329" s="297" t="s">
        <v>214</v>
      </c>
    </row>
    <row r="2330" spans="1:19" x14ac:dyDescent="0.4">
      <c r="A2330" s="291"/>
      <c r="B2330" s="292"/>
      <c r="C2330" s="312"/>
      <c r="D2330" s="292"/>
      <c r="E2330" s="489"/>
      <c r="F2330" s="489"/>
      <c r="G2330" s="490"/>
      <c r="H2330" s="520"/>
      <c r="I2330" s="523"/>
      <c r="J2330" s="521"/>
      <c r="K2330" s="522"/>
      <c r="M2330" s="301" t="str">
        <f>N2330&amp;AS[[#This Row],[Insurer Code]]&amp;"; "&amp;O2330&amp;AS[[#This Row],[Reporting Year]]&amp;"; "&amp;P2330&amp;AS[[#This Row],[Insurance Category Code]]&amp;"; "&amp;Q2330&amp;AS[[#This Row],[Large Provider Entity Code]]&amp;"; "&amp;R2330&amp;AS[[#This Row],[Age Band Code]]&amp;"; "&amp;S2330&amp;AS[[#This Row],[Sex Code]]</f>
        <v xml:space="preserve">Insurer Code ; Reporting Year ; Insurance Category Code ; Large Provider Entity Code ; Age Band Code ; Sex Code </v>
      </c>
      <c r="N2330" s="297" t="s">
        <v>197</v>
      </c>
      <c r="O2330" s="297" t="s">
        <v>198</v>
      </c>
      <c r="P2330" s="297" t="s">
        <v>199</v>
      </c>
      <c r="Q2330" s="297" t="s">
        <v>200</v>
      </c>
      <c r="R2330" s="297" t="s">
        <v>213</v>
      </c>
      <c r="S2330" s="297" t="s">
        <v>214</v>
      </c>
    </row>
    <row r="2331" spans="1:19" x14ac:dyDescent="0.4">
      <c r="A2331" s="291"/>
      <c r="B2331" s="292"/>
      <c r="C2331" s="312"/>
      <c r="D2331" s="292"/>
      <c r="E2331" s="489"/>
      <c r="F2331" s="489"/>
      <c r="G2331" s="490"/>
      <c r="H2331" s="520"/>
      <c r="I2331" s="523"/>
      <c r="J2331" s="521"/>
      <c r="K2331" s="522"/>
      <c r="M2331" s="301" t="str">
        <f>N2331&amp;AS[[#This Row],[Insurer Code]]&amp;"; "&amp;O2331&amp;AS[[#This Row],[Reporting Year]]&amp;"; "&amp;P2331&amp;AS[[#This Row],[Insurance Category Code]]&amp;"; "&amp;Q2331&amp;AS[[#This Row],[Large Provider Entity Code]]&amp;"; "&amp;R2331&amp;AS[[#This Row],[Age Band Code]]&amp;"; "&amp;S2331&amp;AS[[#This Row],[Sex Code]]</f>
        <v xml:space="preserve">Insurer Code ; Reporting Year ; Insurance Category Code ; Large Provider Entity Code ; Age Band Code ; Sex Code </v>
      </c>
      <c r="N2331" s="297" t="s">
        <v>197</v>
      </c>
      <c r="O2331" s="297" t="s">
        <v>198</v>
      </c>
      <c r="P2331" s="297" t="s">
        <v>199</v>
      </c>
      <c r="Q2331" s="297" t="s">
        <v>200</v>
      </c>
      <c r="R2331" s="297" t="s">
        <v>213</v>
      </c>
      <c r="S2331" s="297" t="s">
        <v>214</v>
      </c>
    </row>
    <row r="2332" spans="1:19" x14ac:dyDescent="0.4">
      <c r="A2332" s="291"/>
      <c r="B2332" s="292"/>
      <c r="C2332" s="312"/>
      <c r="D2332" s="292"/>
      <c r="E2332" s="489"/>
      <c r="F2332" s="489"/>
      <c r="G2332" s="490"/>
      <c r="H2332" s="520"/>
      <c r="I2332" s="523"/>
      <c r="J2332" s="521"/>
      <c r="K2332" s="522"/>
      <c r="M2332" s="301" t="str">
        <f>N2332&amp;AS[[#This Row],[Insurer Code]]&amp;"; "&amp;O2332&amp;AS[[#This Row],[Reporting Year]]&amp;"; "&amp;P2332&amp;AS[[#This Row],[Insurance Category Code]]&amp;"; "&amp;Q2332&amp;AS[[#This Row],[Large Provider Entity Code]]&amp;"; "&amp;R2332&amp;AS[[#This Row],[Age Band Code]]&amp;"; "&amp;S2332&amp;AS[[#This Row],[Sex Code]]</f>
        <v xml:space="preserve">Insurer Code ; Reporting Year ; Insurance Category Code ; Large Provider Entity Code ; Age Band Code ; Sex Code </v>
      </c>
      <c r="N2332" s="297" t="s">
        <v>197</v>
      </c>
      <c r="O2332" s="297" t="s">
        <v>198</v>
      </c>
      <c r="P2332" s="297" t="s">
        <v>199</v>
      </c>
      <c r="Q2332" s="297" t="s">
        <v>200</v>
      </c>
      <c r="R2332" s="297" t="s">
        <v>213</v>
      </c>
      <c r="S2332" s="297" t="s">
        <v>214</v>
      </c>
    </row>
    <row r="2333" spans="1:19" x14ac:dyDescent="0.4">
      <c r="A2333" s="291"/>
      <c r="B2333" s="292"/>
      <c r="C2333" s="312"/>
      <c r="D2333" s="292"/>
      <c r="E2333" s="489"/>
      <c r="F2333" s="489"/>
      <c r="G2333" s="490"/>
      <c r="H2333" s="520"/>
      <c r="I2333" s="523"/>
      <c r="J2333" s="521"/>
      <c r="K2333" s="522"/>
      <c r="M2333" s="301" t="str">
        <f>N2333&amp;AS[[#This Row],[Insurer Code]]&amp;"; "&amp;O2333&amp;AS[[#This Row],[Reporting Year]]&amp;"; "&amp;P2333&amp;AS[[#This Row],[Insurance Category Code]]&amp;"; "&amp;Q2333&amp;AS[[#This Row],[Large Provider Entity Code]]&amp;"; "&amp;R2333&amp;AS[[#This Row],[Age Band Code]]&amp;"; "&amp;S2333&amp;AS[[#This Row],[Sex Code]]</f>
        <v xml:space="preserve">Insurer Code ; Reporting Year ; Insurance Category Code ; Large Provider Entity Code ; Age Band Code ; Sex Code </v>
      </c>
      <c r="N2333" s="297" t="s">
        <v>197</v>
      </c>
      <c r="O2333" s="297" t="s">
        <v>198</v>
      </c>
      <c r="P2333" s="297" t="s">
        <v>199</v>
      </c>
      <c r="Q2333" s="297" t="s">
        <v>200</v>
      </c>
      <c r="R2333" s="297" t="s">
        <v>213</v>
      </c>
      <c r="S2333" s="297" t="s">
        <v>214</v>
      </c>
    </row>
    <row r="2334" spans="1:19" x14ac:dyDescent="0.4">
      <c r="A2334" s="291"/>
      <c r="B2334" s="292"/>
      <c r="C2334" s="312"/>
      <c r="D2334" s="292"/>
      <c r="E2334" s="489"/>
      <c r="F2334" s="489"/>
      <c r="G2334" s="490"/>
      <c r="H2334" s="520"/>
      <c r="I2334" s="523"/>
      <c r="J2334" s="521"/>
      <c r="K2334" s="522"/>
      <c r="M2334" s="301" t="str">
        <f>N2334&amp;AS[[#This Row],[Insurer Code]]&amp;"; "&amp;O2334&amp;AS[[#This Row],[Reporting Year]]&amp;"; "&amp;P2334&amp;AS[[#This Row],[Insurance Category Code]]&amp;"; "&amp;Q2334&amp;AS[[#This Row],[Large Provider Entity Code]]&amp;"; "&amp;R2334&amp;AS[[#This Row],[Age Band Code]]&amp;"; "&amp;S2334&amp;AS[[#This Row],[Sex Code]]</f>
        <v xml:space="preserve">Insurer Code ; Reporting Year ; Insurance Category Code ; Large Provider Entity Code ; Age Band Code ; Sex Code </v>
      </c>
      <c r="N2334" s="297" t="s">
        <v>197</v>
      </c>
      <c r="O2334" s="297" t="s">
        <v>198</v>
      </c>
      <c r="P2334" s="297" t="s">
        <v>199</v>
      </c>
      <c r="Q2334" s="297" t="s">
        <v>200</v>
      </c>
      <c r="R2334" s="297" t="s">
        <v>213</v>
      </c>
      <c r="S2334" s="297" t="s">
        <v>214</v>
      </c>
    </row>
    <row r="2335" spans="1:19" x14ac:dyDescent="0.4">
      <c r="A2335" s="291"/>
      <c r="B2335" s="292"/>
      <c r="C2335" s="312"/>
      <c r="D2335" s="292"/>
      <c r="E2335" s="489"/>
      <c r="F2335" s="489"/>
      <c r="G2335" s="490"/>
      <c r="H2335" s="520"/>
      <c r="I2335" s="523"/>
      <c r="J2335" s="521"/>
      <c r="K2335" s="522"/>
      <c r="M2335" s="301" t="str">
        <f>N2335&amp;AS[[#This Row],[Insurer Code]]&amp;"; "&amp;O2335&amp;AS[[#This Row],[Reporting Year]]&amp;"; "&amp;P2335&amp;AS[[#This Row],[Insurance Category Code]]&amp;"; "&amp;Q2335&amp;AS[[#This Row],[Large Provider Entity Code]]&amp;"; "&amp;R2335&amp;AS[[#This Row],[Age Band Code]]&amp;"; "&amp;S2335&amp;AS[[#This Row],[Sex Code]]</f>
        <v xml:space="preserve">Insurer Code ; Reporting Year ; Insurance Category Code ; Large Provider Entity Code ; Age Band Code ; Sex Code </v>
      </c>
      <c r="N2335" s="297" t="s">
        <v>197</v>
      </c>
      <c r="O2335" s="297" t="s">
        <v>198</v>
      </c>
      <c r="P2335" s="297" t="s">
        <v>199</v>
      </c>
      <c r="Q2335" s="297" t="s">
        <v>200</v>
      </c>
      <c r="R2335" s="297" t="s">
        <v>213</v>
      </c>
      <c r="S2335" s="297" t="s">
        <v>214</v>
      </c>
    </row>
    <row r="2336" spans="1:19" x14ac:dyDescent="0.4">
      <c r="A2336" s="291"/>
      <c r="B2336" s="292"/>
      <c r="C2336" s="312"/>
      <c r="D2336" s="292"/>
      <c r="E2336" s="489"/>
      <c r="F2336" s="489"/>
      <c r="G2336" s="490"/>
      <c r="H2336" s="520"/>
      <c r="I2336" s="523"/>
      <c r="J2336" s="521"/>
      <c r="K2336" s="522"/>
      <c r="M2336" s="301" t="str">
        <f>N2336&amp;AS[[#This Row],[Insurer Code]]&amp;"; "&amp;O2336&amp;AS[[#This Row],[Reporting Year]]&amp;"; "&amp;P2336&amp;AS[[#This Row],[Insurance Category Code]]&amp;"; "&amp;Q2336&amp;AS[[#This Row],[Large Provider Entity Code]]&amp;"; "&amp;R2336&amp;AS[[#This Row],[Age Band Code]]&amp;"; "&amp;S2336&amp;AS[[#This Row],[Sex Code]]</f>
        <v xml:space="preserve">Insurer Code ; Reporting Year ; Insurance Category Code ; Large Provider Entity Code ; Age Band Code ; Sex Code </v>
      </c>
      <c r="N2336" s="297" t="s">
        <v>197</v>
      </c>
      <c r="O2336" s="297" t="s">
        <v>198</v>
      </c>
      <c r="P2336" s="297" t="s">
        <v>199</v>
      </c>
      <c r="Q2336" s="297" t="s">
        <v>200</v>
      </c>
      <c r="R2336" s="297" t="s">
        <v>213</v>
      </c>
      <c r="S2336" s="297" t="s">
        <v>214</v>
      </c>
    </row>
    <row r="2337" spans="1:19" x14ac:dyDescent="0.4">
      <c r="A2337" s="291"/>
      <c r="B2337" s="292"/>
      <c r="C2337" s="312"/>
      <c r="D2337" s="292"/>
      <c r="E2337" s="489"/>
      <c r="F2337" s="489"/>
      <c r="G2337" s="490"/>
      <c r="H2337" s="520"/>
      <c r="I2337" s="523"/>
      <c r="J2337" s="521"/>
      <c r="K2337" s="522"/>
      <c r="M2337" s="301" t="str">
        <f>N2337&amp;AS[[#This Row],[Insurer Code]]&amp;"; "&amp;O2337&amp;AS[[#This Row],[Reporting Year]]&amp;"; "&amp;P2337&amp;AS[[#This Row],[Insurance Category Code]]&amp;"; "&amp;Q2337&amp;AS[[#This Row],[Large Provider Entity Code]]&amp;"; "&amp;R2337&amp;AS[[#This Row],[Age Band Code]]&amp;"; "&amp;S2337&amp;AS[[#This Row],[Sex Code]]</f>
        <v xml:space="preserve">Insurer Code ; Reporting Year ; Insurance Category Code ; Large Provider Entity Code ; Age Band Code ; Sex Code </v>
      </c>
      <c r="N2337" s="297" t="s">
        <v>197</v>
      </c>
      <c r="O2337" s="297" t="s">
        <v>198</v>
      </c>
      <c r="P2337" s="297" t="s">
        <v>199</v>
      </c>
      <c r="Q2337" s="297" t="s">
        <v>200</v>
      </c>
      <c r="R2337" s="297" t="s">
        <v>213</v>
      </c>
      <c r="S2337" s="297" t="s">
        <v>214</v>
      </c>
    </row>
    <row r="2338" spans="1:19" x14ac:dyDescent="0.4">
      <c r="A2338" s="291"/>
      <c r="B2338" s="292"/>
      <c r="C2338" s="312"/>
      <c r="D2338" s="292"/>
      <c r="E2338" s="489"/>
      <c r="F2338" s="489"/>
      <c r="G2338" s="490"/>
      <c r="H2338" s="520"/>
      <c r="I2338" s="523"/>
      <c r="J2338" s="521"/>
      <c r="K2338" s="522"/>
      <c r="M2338" s="301" t="str">
        <f>N2338&amp;AS[[#This Row],[Insurer Code]]&amp;"; "&amp;O2338&amp;AS[[#This Row],[Reporting Year]]&amp;"; "&amp;P2338&amp;AS[[#This Row],[Insurance Category Code]]&amp;"; "&amp;Q2338&amp;AS[[#This Row],[Large Provider Entity Code]]&amp;"; "&amp;R2338&amp;AS[[#This Row],[Age Band Code]]&amp;"; "&amp;S2338&amp;AS[[#This Row],[Sex Code]]</f>
        <v xml:space="preserve">Insurer Code ; Reporting Year ; Insurance Category Code ; Large Provider Entity Code ; Age Band Code ; Sex Code </v>
      </c>
      <c r="N2338" s="297" t="s">
        <v>197</v>
      </c>
      <c r="O2338" s="297" t="s">
        <v>198</v>
      </c>
      <c r="P2338" s="297" t="s">
        <v>199</v>
      </c>
      <c r="Q2338" s="297" t="s">
        <v>200</v>
      </c>
      <c r="R2338" s="297" t="s">
        <v>213</v>
      </c>
      <c r="S2338" s="297" t="s">
        <v>214</v>
      </c>
    </row>
    <row r="2339" spans="1:19" x14ac:dyDescent="0.4">
      <c r="A2339" s="291"/>
      <c r="B2339" s="292"/>
      <c r="C2339" s="312"/>
      <c r="D2339" s="292"/>
      <c r="E2339" s="489"/>
      <c r="F2339" s="489"/>
      <c r="G2339" s="490"/>
      <c r="H2339" s="520"/>
      <c r="I2339" s="523"/>
      <c r="J2339" s="521"/>
      <c r="K2339" s="522"/>
      <c r="M2339" s="301" t="str">
        <f>N2339&amp;AS[[#This Row],[Insurer Code]]&amp;"; "&amp;O2339&amp;AS[[#This Row],[Reporting Year]]&amp;"; "&amp;P2339&amp;AS[[#This Row],[Insurance Category Code]]&amp;"; "&amp;Q2339&amp;AS[[#This Row],[Large Provider Entity Code]]&amp;"; "&amp;R2339&amp;AS[[#This Row],[Age Band Code]]&amp;"; "&amp;S2339&amp;AS[[#This Row],[Sex Code]]</f>
        <v xml:space="preserve">Insurer Code ; Reporting Year ; Insurance Category Code ; Large Provider Entity Code ; Age Band Code ; Sex Code </v>
      </c>
      <c r="N2339" s="297" t="s">
        <v>197</v>
      </c>
      <c r="O2339" s="297" t="s">
        <v>198</v>
      </c>
      <c r="P2339" s="297" t="s">
        <v>199</v>
      </c>
      <c r="Q2339" s="297" t="s">
        <v>200</v>
      </c>
      <c r="R2339" s="297" t="s">
        <v>213</v>
      </c>
      <c r="S2339" s="297" t="s">
        <v>214</v>
      </c>
    </row>
    <row r="2340" spans="1:19" x14ac:dyDescent="0.4">
      <c r="A2340" s="291"/>
      <c r="B2340" s="292"/>
      <c r="C2340" s="312"/>
      <c r="D2340" s="292"/>
      <c r="E2340" s="489"/>
      <c r="F2340" s="489"/>
      <c r="G2340" s="490"/>
      <c r="H2340" s="520"/>
      <c r="I2340" s="523"/>
      <c r="J2340" s="521"/>
      <c r="K2340" s="522"/>
      <c r="M2340" s="301" t="str">
        <f>N2340&amp;AS[[#This Row],[Insurer Code]]&amp;"; "&amp;O2340&amp;AS[[#This Row],[Reporting Year]]&amp;"; "&amp;P2340&amp;AS[[#This Row],[Insurance Category Code]]&amp;"; "&amp;Q2340&amp;AS[[#This Row],[Large Provider Entity Code]]&amp;"; "&amp;R2340&amp;AS[[#This Row],[Age Band Code]]&amp;"; "&amp;S2340&amp;AS[[#This Row],[Sex Code]]</f>
        <v xml:space="preserve">Insurer Code ; Reporting Year ; Insurance Category Code ; Large Provider Entity Code ; Age Band Code ; Sex Code </v>
      </c>
      <c r="N2340" s="297" t="s">
        <v>197</v>
      </c>
      <c r="O2340" s="297" t="s">
        <v>198</v>
      </c>
      <c r="P2340" s="297" t="s">
        <v>199</v>
      </c>
      <c r="Q2340" s="297" t="s">
        <v>200</v>
      </c>
      <c r="R2340" s="297" t="s">
        <v>213</v>
      </c>
      <c r="S2340" s="297" t="s">
        <v>214</v>
      </c>
    </row>
    <row r="2341" spans="1:19" x14ac:dyDescent="0.4">
      <c r="A2341" s="291"/>
      <c r="B2341" s="292"/>
      <c r="C2341" s="312"/>
      <c r="D2341" s="292"/>
      <c r="E2341" s="489"/>
      <c r="F2341" s="489"/>
      <c r="G2341" s="490"/>
      <c r="H2341" s="520"/>
      <c r="I2341" s="523"/>
      <c r="J2341" s="521"/>
      <c r="K2341" s="522"/>
      <c r="M2341" s="301" t="str">
        <f>N2341&amp;AS[[#This Row],[Insurer Code]]&amp;"; "&amp;O2341&amp;AS[[#This Row],[Reporting Year]]&amp;"; "&amp;P2341&amp;AS[[#This Row],[Insurance Category Code]]&amp;"; "&amp;Q2341&amp;AS[[#This Row],[Large Provider Entity Code]]&amp;"; "&amp;R2341&amp;AS[[#This Row],[Age Band Code]]&amp;"; "&amp;S2341&amp;AS[[#This Row],[Sex Code]]</f>
        <v xml:space="preserve">Insurer Code ; Reporting Year ; Insurance Category Code ; Large Provider Entity Code ; Age Band Code ; Sex Code </v>
      </c>
      <c r="N2341" s="297" t="s">
        <v>197</v>
      </c>
      <c r="O2341" s="297" t="s">
        <v>198</v>
      </c>
      <c r="P2341" s="297" t="s">
        <v>199</v>
      </c>
      <c r="Q2341" s="297" t="s">
        <v>200</v>
      </c>
      <c r="R2341" s="297" t="s">
        <v>213</v>
      </c>
      <c r="S2341" s="297" t="s">
        <v>214</v>
      </c>
    </row>
    <row r="2342" spans="1:19" x14ac:dyDescent="0.4">
      <c r="A2342" s="291"/>
      <c r="B2342" s="292"/>
      <c r="C2342" s="312"/>
      <c r="D2342" s="292"/>
      <c r="E2342" s="489"/>
      <c r="F2342" s="489"/>
      <c r="G2342" s="490"/>
      <c r="H2342" s="520"/>
      <c r="I2342" s="523"/>
      <c r="J2342" s="521"/>
      <c r="K2342" s="522"/>
      <c r="M2342" s="301" t="str">
        <f>N2342&amp;AS[[#This Row],[Insurer Code]]&amp;"; "&amp;O2342&amp;AS[[#This Row],[Reporting Year]]&amp;"; "&amp;P2342&amp;AS[[#This Row],[Insurance Category Code]]&amp;"; "&amp;Q2342&amp;AS[[#This Row],[Large Provider Entity Code]]&amp;"; "&amp;R2342&amp;AS[[#This Row],[Age Band Code]]&amp;"; "&amp;S2342&amp;AS[[#This Row],[Sex Code]]</f>
        <v xml:space="preserve">Insurer Code ; Reporting Year ; Insurance Category Code ; Large Provider Entity Code ; Age Band Code ; Sex Code </v>
      </c>
      <c r="N2342" s="297" t="s">
        <v>197</v>
      </c>
      <c r="O2342" s="297" t="s">
        <v>198</v>
      </c>
      <c r="P2342" s="297" t="s">
        <v>199</v>
      </c>
      <c r="Q2342" s="297" t="s">
        <v>200</v>
      </c>
      <c r="R2342" s="297" t="s">
        <v>213</v>
      </c>
      <c r="S2342" s="297" t="s">
        <v>214</v>
      </c>
    </row>
    <row r="2343" spans="1:19" x14ac:dyDescent="0.4">
      <c r="A2343" s="291"/>
      <c r="B2343" s="292"/>
      <c r="C2343" s="312"/>
      <c r="D2343" s="292"/>
      <c r="E2343" s="489"/>
      <c r="F2343" s="489"/>
      <c r="G2343" s="490"/>
      <c r="H2343" s="520"/>
      <c r="I2343" s="523"/>
      <c r="J2343" s="521"/>
      <c r="K2343" s="522"/>
      <c r="M2343" s="301" t="str">
        <f>N2343&amp;AS[[#This Row],[Insurer Code]]&amp;"; "&amp;O2343&amp;AS[[#This Row],[Reporting Year]]&amp;"; "&amp;P2343&amp;AS[[#This Row],[Insurance Category Code]]&amp;"; "&amp;Q2343&amp;AS[[#This Row],[Large Provider Entity Code]]&amp;"; "&amp;R2343&amp;AS[[#This Row],[Age Band Code]]&amp;"; "&amp;S2343&amp;AS[[#This Row],[Sex Code]]</f>
        <v xml:space="preserve">Insurer Code ; Reporting Year ; Insurance Category Code ; Large Provider Entity Code ; Age Band Code ; Sex Code </v>
      </c>
      <c r="N2343" s="297" t="s">
        <v>197</v>
      </c>
      <c r="O2343" s="297" t="s">
        <v>198</v>
      </c>
      <c r="P2343" s="297" t="s">
        <v>199</v>
      </c>
      <c r="Q2343" s="297" t="s">
        <v>200</v>
      </c>
      <c r="R2343" s="297" t="s">
        <v>213</v>
      </c>
      <c r="S2343" s="297" t="s">
        <v>214</v>
      </c>
    </row>
    <row r="2344" spans="1:19" x14ac:dyDescent="0.4">
      <c r="A2344" s="291"/>
      <c r="B2344" s="292"/>
      <c r="C2344" s="312"/>
      <c r="D2344" s="292"/>
      <c r="E2344" s="489"/>
      <c r="F2344" s="489"/>
      <c r="G2344" s="490"/>
      <c r="H2344" s="520"/>
      <c r="I2344" s="523"/>
      <c r="J2344" s="521"/>
      <c r="K2344" s="522"/>
      <c r="M2344" s="301" t="str">
        <f>N2344&amp;AS[[#This Row],[Insurer Code]]&amp;"; "&amp;O2344&amp;AS[[#This Row],[Reporting Year]]&amp;"; "&amp;P2344&amp;AS[[#This Row],[Insurance Category Code]]&amp;"; "&amp;Q2344&amp;AS[[#This Row],[Large Provider Entity Code]]&amp;"; "&amp;R2344&amp;AS[[#This Row],[Age Band Code]]&amp;"; "&amp;S2344&amp;AS[[#This Row],[Sex Code]]</f>
        <v xml:space="preserve">Insurer Code ; Reporting Year ; Insurance Category Code ; Large Provider Entity Code ; Age Band Code ; Sex Code </v>
      </c>
      <c r="N2344" s="297" t="s">
        <v>197</v>
      </c>
      <c r="O2344" s="297" t="s">
        <v>198</v>
      </c>
      <c r="P2344" s="297" t="s">
        <v>199</v>
      </c>
      <c r="Q2344" s="297" t="s">
        <v>200</v>
      </c>
      <c r="R2344" s="297" t="s">
        <v>213</v>
      </c>
      <c r="S2344" s="297" t="s">
        <v>214</v>
      </c>
    </row>
    <row r="2345" spans="1:19" x14ac:dyDescent="0.4">
      <c r="A2345" s="291"/>
      <c r="B2345" s="292"/>
      <c r="C2345" s="312"/>
      <c r="D2345" s="292"/>
      <c r="E2345" s="489"/>
      <c r="F2345" s="489"/>
      <c r="G2345" s="490"/>
      <c r="H2345" s="520"/>
      <c r="I2345" s="523"/>
      <c r="J2345" s="521"/>
      <c r="K2345" s="522"/>
      <c r="M2345" s="301" t="str">
        <f>N2345&amp;AS[[#This Row],[Insurer Code]]&amp;"; "&amp;O2345&amp;AS[[#This Row],[Reporting Year]]&amp;"; "&amp;P2345&amp;AS[[#This Row],[Insurance Category Code]]&amp;"; "&amp;Q2345&amp;AS[[#This Row],[Large Provider Entity Code]]&amp;"; "&amp;R2345&amp;AS[[#This Row],[Age Band Code]]&amp;"; "&amp;S2345&amp;AS[[#This Row],[Sex Code]]</f>
        <v xml:space="preserve">Insurer Code ; Reporting Year ; Insurance Category Code ; Large Provider Entity Code ; Age Band Code ; Sex Code </v>
      </c>
      <c r="N2345" s="297" t="s">
        <v>197</v>
      </c>
      <c r="O2345" s="297" t="s">
        <v>198</v>
      </c>
      <c r="P2345" s="297" t="s">
        <v>199</v>
      </c>
      <c r="Q2345" s="297" t="s">
        <v>200</v>
      </c>
      <c r="R2345" s="297" t="s">
        <v>213</v>
      </c>
      <c r="S2345" s="297" t="s">
        <v>214</v>
      </c>
    </row>
    <row r="2346" spans="1:19" x14ac:dyDescent="0.4">
      <c r="A2346" s="291"/>
      <c r="B2346" s="292"/>
      <c r="C2346" s="312"/>
      <c r="D2346" s="292"/>
      <c r="E2346" s="489"/>
      <c r="F2346" s="489"/>
      <c r="G2346" s="490"/>
      <c r="H2346" s="520"/>
      <c r="I2346" s="523"/>
      <c r="J2346" s="521"/>
      <c r="K2346" s="522"/>
      <c r="M2346" s="301" t="str">
        <f>N2346&amp;AS[[#This Row],[Insurer Code]]&amp;"; "&amp;O2346&amp;AS[[#This Row],[Reporting Year]]&amp;"; "&amp;P2346&amp;AS[[#This Row],[Insurance Category Code]]&amp;"; "&amp;Q2346&amp;AS[[#This Row],[Large Provider Entity Code]]&amp;"; "&amp;R2346&amp;AS[[#This Row],[Age Band Code]]&amp;"; "&amp;S2346&amp;AS[[#This Row],[Sex Code]]</f>
        <v xml:space="preserve">Insurer Code ; Reporting Year ; Insurance Category Code ; Large Provider Entity Code ; Age Band Code ; Sex Code </v>
      </c>
      <c r="N2346" s="297" t="s">
        <v>197</v>
      </c>
      <c r="O2346" s="297" t="s">
        <v>198</v>
      </c>
      <c r="P2346" s="297" t="s">
        <v>199</v>
      </c>
      <c r="Q2346" s="297" t="s">
        <v>200</v>
      </c>
      <c r="R2346" s="297" t="s">
        <v>213</v>
      </c>
      <c r="S2346" s="297" t="s">
        <v>214</v>
      </c>
    </row>
    <row r="2347" spans="1:19" x14ac:dyDescent="0.4">
      <c r="A2347" s="291"/>
      <c r="B2347" s="292"/>
      <c r="C2347" s="312"/>
      <c r="D2347" s="292"/>
      <c r="E2347" s="489"/>
      <c r="F2347" s="489"/>
      <c r="G2347" s="490"/>
      <c r="H2347" s="520"/>
      <c r="I2347" s="523"/>
      <c r="J2347" s="521"/>
      <c r="K2347" s="522"/>
      <c r="M2347" s="301" t="str">
        <f>N2347&amp;AS[[#This Row],[Insurer Code]]&amp;"; "&amp;O2347&amp;AS[[#This Row],[Reporting Year]]&amp;"; "&amp;P2347&amp;AS[[#This Row],[Insurance Category Code]]&amp;"; "&amp;Q2347&amp;AS[[#This Row],[Large Provider Entity Code]]&amp;"; "&amp;R2347&amp;AS[[#This Row],[Age Band Code]]&amp;"; "&amp;S2347&amp;AS[[#This Row],[Sex Code]]</f>
        <v xml:space="preserve">Insurer Code ; Reporting Year ; Insurance Category Code ; Large Provider Entity Code ; Age Band Code ; Sex Code </v>
      </c>
      <c r="N2347" s="297" t="s">
        <v>197</v>
      </c>
      <c r="O2347" s="297" t="s">
        <v>198</v>
      </c>
      <c r="P2347" s="297" t="s">
        <v>199</v>
      </c>
      <c r="Q2347" s="297" t="s">
        <v>200</v>
      </c>
      <c r="R2347" s="297" t="s">
        <v>213</v>
      </c>
      <c r="S2347" s="297" t="s">
        <v>214</v>
      </c>
    </row>
    <row r="2348" spans="1:19" x14ac:dyDescent="0.4">
      <c r="A2348" s="291"/>
      <c r="B2348" s="292"/>
      <c r="C2348" s="312"/>
      <c r="D2348" s="292"/>
      <c r="E2348" s="489"/>
      <c r="F2348" s="489"/>
      <c r="G2348" s="490"/>
      <c r="H2348" s="520"/>
      <c r="I2348" s="523"/>
      <c r="J2348" s="521"/>
      <c r="K2348" s="522"/>
      <c r="M2348" s="301" t="str">
        <f>N2348&amp;AS[[#This Row],[Insurer Code]]&amp;"; "&amp;O2348&amp;AS[[#This Row],[Reporting Year]]&amp;"; "&amp;P2348&amp;AS[[#This Row],[Insurance Category Code]]&amp;"; "&amp;Q2348&amp;AS[[#This Row],[Large Provider Entity Code]]&amp;"; "&amp;R2348&amp;AS[[#This Row],[Age Band Code]]&amp;"; "&amp;S2348&amp;AS[[#This Row],[Sex Code]]</f>
        <v xml:space="preserve">Insurer Code ; Reporting Year ; Insurance Category Code ; Large Provider Entity Code ; Age Band Code ; Sex Code </v>
      </c>
      <c r="N2348" s="297" t="s">
        <v>197</v>
      </c>
      <c r="O2348" s="297" t="s">
        <v>198</v>
      </c>
      <c r="P2348" s="297" t="s">
        <v>199</v>
      </c>
      <c r="Q2348" s="297" t="s">
        <v>200</v>
      </c>
      <c r="R2348" s="297" t="s">
        <v>213</v>
      </c>
      <c r="S2348" s="297" t="s">
        <v>214</v>
      </c>
    </row>
    <row r="2349" spans="1:19" x14ac:dyDescent="0.4">
      <c r="A2349" s="291"/>
      <c r="B2349" s="292"/>
      <c r="C2349" s="312"/>
      <c r="D2349" s="292"/>
      <c r="E2349" s="489"/>
      <c r="F2349" s="489"/>
      <c r="G2349" s="490"/>
      <c r="H2349" s="520"/>
      <c r="I2349" s="523"/>
      <c r="J2349" s="521"/>
      <c r="K2349" s="522"/>
      <c r="M2349" s="301" t="str">
        <f>N2349&amp;AS[[#This Row],[Insurer Code]]&amp;"; "&amp;O2349&amp;AS[[#This Row],[Reporting Year]]&amp;"; "&amp;P2349&amp;AS[[#This Row],[Insurance Category Code]]&amp;"; "&amp;Q2349&amp;AS[[#This Row],[Large Provider Entity Code]]&amp;"; "&amp;R2349&amp;AS[[#This Row],[Age Band Code]]&amp;"; "&amp;S2349&amp;AS[[#This Row],[Sex Code]]</f>
        <v xml:space="preserve">Insurer Code ; Reporting Year ; Insurance Category Code ; Large Provider Entity Code ; Age Band Code ; Sex Code </v>
      </c>
      <c r="N2349" s="297" t="s">
        <v>197</v>
      </c>
      <c r="O2349" s="297" t="s">
        <v>198</v>
      </c>
      <c r="P2349" s="297" t="s">
        <v>199</v>
      </c>
      <c r="Q2349" s="297" t="s">
        <v>200</v>
      </c>
      <c r="R2349" s="297" t="s">
        <v>213</v>
      </c>
      <c r="S2349" s="297" t="s">
        <v>214</v>
      </c>
    </row>
    <row r="2350" spans="1:19" x14ac:dyDescent="0.4">
      <c r="A2350" s="291"/>
      <c r="B2350" s="292"/>
      <c r="C2350" s="312"/>
      <c r="D2350" s="292"/>
      <c r="E2350" s="489"/>
      <c r="F2350" s="489"/>
      <c r="G2350" s="490"/>
      <c r="H2350" s="520"/>
      <c r="I2350" s="523"/>
      <c r="J2350" s="521"/>
      <c r="K2350" s="522"/>
      <c r="M2350" s="301" t="str">
        <f>N2350&amp;AS[[#This Row],[Insurer Code]]&amp;"; "&amp;O2350&amp;AS[[#This Row],[Reporting Year]]&amp;"; "&amp;P2350&amp;AS[[#This Row],[Insurance Category Code]]&amp;"; "&amp;Q2350&amp;AS[[#This Row],[Large Provider Entity Code]]&amp;"; "&amp;R2350&amp;AS[[#This Row],[Age Band Code]]&amp;"; "&amp;S2350&amp;AS[[#This Row],[Sex Code]]</f>
        <v xml:space="preserve">Insurer Code ; Reporting Year ; Insurance Category Code ; Large Provider Entity Code ; Age Band Code ; Sex Code </v>
      </c>
      <c r="N2350" s="297" t="s">
        <v>197</v>
      </c>
      <c r="O2350" s="297" t="s">
        <v>198</v>
      </c>
      <c r="P2350" s="297" t="s">
        <v>199</v>
      </c>
      <c r="Q2350" s="297" t="s">
        <v>200</v>
      </c>
      <c r="R2350" s="297" t="s">
        <v>213</v>
      </c>
      <c r="S2350" s="297" t="s">
        <v>214</v>
      </c>
    </row>
    <row r="2351" spans="1:19" x14ac:dyDescent="0.4">
      <c r="A2351" s="291"/>
      <c r="B2351" s="292"/>
      <c r="C2351" s="312"/>
      <c r="D2351" s="292"/>
      <c r="E2351" s="489"/>
      <c r="F2351" s="489"/>
      <c r="G2351" s="490"/>
      <c r="H2351" s="520"/>
      <c r="I2351" s="523"/>
      <c r="J2351" s="521"/>
      <c r="K2351" s="522"/>
      <c r="M2351" s="301" t="str">
        <f>N2351&amp;AS[[#This Row],[Insurer Code]]&amp;"; "&amp;O2351&amp;AS[[#This Row],[Reporting Year]]&amp;"; "&amp;P2351&amp;AS[[#This Row],[Insurance Category Code]]&amp;"; "&amp;Q2351&amp;AS[[#This Row],[Large Provider Entity Code]]&amp;"; "&amp;R2351&amp;AS[[#This Row],[Age Band Code]]&amp;"; "&amp;S2351&amp;AS[[#This Row],[Sex Code]]</f>
        <v xml:space="preserve">Insurer Code ; Reporting Year ; Insurance Category Code ; Large Provider Entity Code ; Age Band Code ; Sex Code </v>
      </c>
      <c r="N2351" s="297" t="s">
        <v>197</v>
      </c>
      <c r="O2351" s="297" t="s">
        <v>198</v>
      </c>
      <c r="P2351" s="297" t="s">
        <v>199</v>
      </c>
      <c r="Q2351" s="297" t="s">
        <v>200</v>
      </c>
      <c r="R2351" s="297" t="s">
        <v>213</v>
      </c>
      <c r="S2351" s="297" t="s">
        <v>214</v>
      </c>
    </row>
    <row r="2352" spans="1:19" x14ac:dyDescent="0.4">
      <c r="A2352" s="291"/>
      <c r="B2352" s="292"/>
      <c r="C2352" s="312"/>
      <c r="D2352" s="292"/>
      <c r="E2352" s="489"/>
      <c r="F2352" s="489"/>
      <c r="G2352" s="490"/>
      <c r="H2352" s="520"/>
      <c r="I2352" s="523"/>
      <c r="J2352" s="521"/>
      <c r="K2352" s="522"/>
      <c r="M2352" s="301" t="str">
        <f>N2352&amp;AS[[#This Row],[Insurer Code]]&amp;"; "&amp;O2352&amp;AS[[#This Row],[Reporting Year]]&amp;"; "&amp;P2352&amp;AS[[#This Row],[Insurance Category Code]]&amp;"; "&amp;Q2352&amp;AS[[#This Row],[Large Provider Entity Code]]&amp;"; "&amp;R2352&amp;AS[[#This Row],[Age Band Code]]&amp;"; "&amp;S2352&amp;AS[[#This Row],[Sex Code]]</f>
        <v xml:space="preserve">Insurer Code ; Reporting Year ; Insurance Category Code ; Large Provider Entity Code ; Age Band Code ; Sex Code </v>
      </c>
      <c r="N2352" s="297" t="s">
        <v>197</v>
      </c>
      <c r="O2352" s="297" t="s">
        <v>198</v>
      </c>
      <c r="P2352" s="297" t="s">
        <v>199</v>
      </c>
      <c r="Q2352" s="297" t="s">
        <v>200</v>
      </c>
      <c r="R2352" s="297" t="s">
        <v>213</v>
      </c>
      <c r="S2352" s="297" t="s">
        <v>214</v>
      </c>
    </row>
    <row r="2353" spans="1:19" x14ac:dyDescent="0.4">
      <c r="A2353" s="291"/>
      <c r="B2353" s="292"/>
      <c r="C2353" s="312"/>
      <c r="D2353" s="292"/>
      <c r="E2353" s="489"/>
      <c r="F2353" s="489"/>
      <c r="G2353" s="490"/>
      <c r="H2353" s="520"/>
      <c r="I2353" s="523"/>
      <c r="J2353" s="521"/>
      <c r="K2353" s="522"/>
      <c r="M2353" s="301" t="str">
        <f>N2353&amp;AS[[#This Row],[Insurer Code]]&amp;"; "&amp;O2353&amp;AS[[#This Row],[Reporting Year]]&amp;"; "&amp;P2353&amp;AS[[#This Row],[Insurance Category Code]]&amp;"; "&amp;Q2353&amp;AS[[#This Row],[Large Provider Entity Code]]&amp;"; "&amp;R2353&amp;AS[[#This Row],[Age Band Code]]&amp;"; "&amp;S2353&amp;AS[[#This Row],[Sex Code]]</f>
        <v xml:space="preserve">Insurer Code ; Reporting Year ; Insurance Category Code ; Large Provider Entity Code ; Age Band Code ; Sex Code </v>
      </c>
      <c r="N2353" s="297" t="s">
        <v>197</v>
      </c>
      <c r="O2353" s="297" t="s">
        <v>198</v>
      </c>
      <c r="P2353" s="297" t="s">
        <v>199</v>
      </c>
      <c r="Q2353" s="297" t="s">
        <v>200</v>
      </c>
      <c r="R2353" s="297" t="s">
        <v>213</v>
      </c>
      <c r="S2353" s="297" t="s">
        <v>214</v>
      </c>
    </row>
    <row r="2354" spans="1:19" x14ac:dyDescent="0.4">
      <c r="A2354" s="291"/>
      <c r="B2354" s="292"/>
      <c r="C2354" s="312"/>
      <c r="D2354" s="292"/>
      <c r="E2354" s="489"/>
      <c r="F2354" s="489"/>
      <c r="G2354" s="490"/>
      <c r="H2354" s="520"/>
      <c r="I2354" s="523"/>
      <c r="J2354" s="521"/>
      <c r="K2354" s="522"/>
      <c r="M2354" s="301" t="str">
        <f>N2354&amp;AS[[#This Row],[Insurer Code]]&amp;"; "&amp;O2354&amp;AS[[#This Row],[Reporting Year]]&amp;"; "&amp;P2354&amp;AS[[#This Row],[Insurance Category Code]]&amp;"; "&amp;Q2354&amp;AS[[#This Row],[Large Provider Entity Code]]&amp;"; "&amp;R2354&amp;AS[[#This Row],[Age Band Code]]&amp;"; "&amp;S2354&amp;AS[[#This Row],[Sex Code]]</f>
        <v xml:space="preserve">Insurer Code ; Reporting Year ; Insurance Category Code ; Large Provider Entity Code ; Age Band Code ; Sex Code </v>
      </c>
      <c r="N2354" s="297" t="s">
        <v>197</v>
      </c>
      <c r="O2354" s="297" t="s">
        <v>198</v>
      </c>
      <c r="P2354" s="297" t="s">
        <v>199</v>
      </c>
      <c r="Q2354" s="297" t="s">
        <v>200</v>
      </c>
      <c r="R2354" s="297" t="s">
        <v>213</v>
      </c>
      <c r="S2354" s="297" t="s">
        <v>214</v>
      </c>
    </row>
    <row r="2355" spans="1:19" x14ac:dyDescent="0.4">
      <c r="A2355" s="291"/>
      <c r="B2355" s="292"/>
      <c r="C2355" s="312"/>
      <c r="D2355" s="292"/>
      <c r="E2355" s="489"/>
      <c r="F2355" s="489"/>
      <c r="G2355" s="490"/>
      <c r="H2355" s="520"/>
      <c r="I2355" s="523"/>
      <c r="J2355" s="521"/>
      <c r="K2355" s="522"/>
      <c r="M2355" s="301" t="str">
        <f>N2355&amp;AS[[#This Row],[Insurer Code]]&amp;"; "&amp;O2355&amp;AS[[#This Row],[Reporting Year]]&amp;"; "&amp;P2355&amp;AS[[#This Row],[Insurance Category Code]]&amp;"; "&amp;Q2355&amp;AS[[#This Row],[Large Provider Entity Code]]&amp;"; "&amp;R2355&amp;AS[[#This Row],[Age Band Code]]&amp;"; "&amp;S2355&amp;AS[[#This Row],[Sex Code]]</f>
        <v xml:space="preserve">Insurer Code ; Reporting Year ; Insurance Category Code ; Large Provider Entity Code ; Age Band Code ; Sex Code </v>
      </c>
      <c r="N2355" s="297" t="s">
        <v>197</v>
      </c>
      <c r="O2355" s="297" t="s">
        <v>198</v>
      </c>
      <c r="P2355" s="297" t="s">
        <v>199</v>
      </c>
      <c r="Q2355" s="297" t="s">
        <v>200</v>
      </c>
      <c r="R2355" s="297" t="s">
        <v>213</v>
      </c>
      <c r="S2355" s="297" t="s">
        <v>214</v>
      </c>
    </row>
    <row r="2356" spans="1:19" x14ac:dyDescent="0.4">
      <c r="A2356" s="291"/>
      <c r="B2356" s="292"/>
      <c r="C2356" s="312"/>
      <c r="D2356" s="292"/>
      <c r="E2356" s="489"/>
      <c r="F2356" s="489"/>
      <c r="G2356" s="490"/>
      <c r="H2356" s="520"/>
      <c r="I2356" s="523"/>
      <c r="J2356" s="521"/>
      <c r="K2356" s="522"/>
      <c r="M2356" s="301" t="str">
        <f>N2356&amp;AS[[#This Row],[Insurer Code]]&amp;"; "&amp;O2356&amp;AS[[#This Row],[Reporting Year]]&amp;"; "&amp;P2356&amp;AS[[#This Row],[Insurance Category Code]]&amp;"; "&amp;Q2356&amp;AS[[#This Row],[Large Provider Entity Code]]&amp;"; "&amp;R2356&amp;AS[[#This Row],[Age Band Code]]&amp;"; "&amp;S2356&amp;AS[[#This Row],[Sex Code]]</f>
        <v xml:space="preserve">Insurer Code ; Reporting Year ; Insurance Category Code ; Large Provider Entity Code ; Age Band Code ; Sex Code </v>
      </c>
      <c r="N2356" s="297" t="s">
        <v>197</v>
      </c>
      <c r="O2356" s="297" t="s">
        <v>198</v>
      </c>
      <c r="P2356" s="297" t="s">
        <v>199</v>
      </c>
      <c r="Q2356" s="297" t="s">
        <v>200</v>
      </c>
      <c r="R2356" s="297" t="s">
        <v>213</v>
      </c>
      <c r="S2356" s="297" t="s">
        <v>214</v>
      </c>
    </row>
    <row r="2357" spans="1:19" x14ac:dyDescent="0.4">
      <c r="A2357" s="291"/>
      <c r="B2357" s="292"/>
      <c r="C2357" s="312"/>
      <c r="D2357" s="292"/>
      <c r="E2357" s="489"/>
      <c r="F2357" s="489"/>
      <c r="G2357" s="490"/>
      <c r="H2357" s="520"/>
      <c r="I2357" s="523"/>
      <c r="J2357" s="521"/>
      <c r="K2357" s="522"/>
      <c r="M2357" s="301" t="str">
        <f>N2357&amp;AS[[#This Row],[Insurer Code]]&amp;"; "&amp;O2357&amp;AS[[#This Row],[Reporting Year]]&amp;"; "&amp;P2357&amp;AS[[#This Row],[Insurance Category Code]]&amp;"; "&amp;Q2357&amp;AS[[#This Row],[Large Provider Entity Code]]&amp;"; "&amp;R2357&amp;AS[[#This Row],[Age Band Code]]&amp;"; "&amp;S2357&amp;AS[[#This Row],[Sex Code]]</f>
        <v xml:space="preserve">Insurer Code ; Reporting Year ; Insurance Category Code ; Large Provider Entity Code ; Age Band Code ; Sex Code </v>
      </c>
      <c r="N2357" s="297" t="s">
        <v>197</v>
      </c>
      <c r="O2357" s="297" t="s">
        <v>198</v>
      </c>
      <c r="P2357" s="297" t="s">
        <v>199</v>
      </c>
      <c r="Q2357" s="297" t="s">
        <v>200</v>
      </c>
      <c r="R2357" s="297" t="s">
        <v>213</v>
      </c>
      <c r="S2357" s="297" t="s">
        <v>214</v>
      </c>
    </row>
    <row r="2358" spans="1:19" x14ac:dyDescent="0.4">
      <c r="A2358" s="291"/>
      <c r="B2358" s="292"/>
      <c r="C2358" s="312"/>
      <c r="D2358" s="292"/>
      <c r="E2358" s="489"/>
      <c r="F2358" s="489"/>
      <c r="G2358" s="490"/>
      <c r="H2358" s="520"/>
      <c r="I2358" s="523"/>
      <c r="J2358" s="521"/>
      <c r="K2358" s="522"/>
      <c r="M2358" s="301" t="str">
        <f>N2358&amp;AS[[#This Row],[Insurer Code]]&amp;"; "&amp;O2358&amp;AS[[#This Row],[Reporting Year]]&amp;"; "&amp;P2358&amp;AS[[#This Row],[Insurance Category Code]]&amp;"; "&amp;Q2358&amp;AS[[#This Row],[Large Provider Entity Code]]&amp;"; "&amp;R2358&amp;AS[[#This Row],[Age Band Code]]&amp;"; "&amp;S2358&amp;AS[[#This Row],[Sex Code]]</f>
        <v xml:space="preserve">Insurer Code ; Reporting Year ; Insurance Category Code ; Large Provider Entity Code ; Age Band Code ; Sex Code </v>
      </c>
      <c r="N2358" s="297" t="s">
        <v>197</v>
      </c>
      <c r="O2358" s="297" t="s">
        <v>198</v>
      </c>
      <c r="P2358" s="297" t="s">
        <v>199</v>
      </c>
      <c r="Q2358" s="297" t="s">
        <v>200</v>
      </c>
      <c r="R2358" s="297" t="s">
        <v>213</v>
      </c>
      <c r="S2358" s="297" t="s">
        <v>214</v>
      </c>
    </row>
    <row r="2359" spans="1:19" x14ac:dyDescent="0.4">
      <c r="A2359" s="291"/>
      <c r="B2359" s="292"/>
      <c r="C2359" s="312"/>
      <c r="D2359" s="292"/>
      <c r="E2359" s="489"/>
      <c r="F2359" s="489"/>
      <c r="G2359" s="490"/>
      <c r="H2359" s="520"/>
      <c r="I2359" s="523"/>
      <c r="J2359" s="521"/>
      <c r="K2359" s="522"/>
      <c r="M2359" s="301" t="str">
        <f>N2359&amp;AS[[#This Row],[Insurer Code]]&amp;"; "&amp;O2359&amp;AS[[#This Row],[Reporting Year]]&amp;"; "&amp;P2359&amp;AS[[#This Row],[Insurance Category Code]]&amp;"; "&amp;Q2359&amp;AS[[#This Row],[Large Provider Entity Code]]&amp;"; "&amp;R2359&amp;AS[[#This Row],[Age Band Code]]&amp;"; "&amp;S2359&amp;AS[[#This Row],[Sex Code]]</f>
        <v xml:space="preserve">Insurer Code ; Reporting Year ; Insurance Category Code ; Large Provider Entity Code ; Age Band Code ; Sex Code </v>
      </c>
      <c r="N2359" s="297" t="s">
        <v>197</v>
      </c>
      <c r="O2359" s="297" t="s">
        <v>198</v>
      </c>
      <c r="P2359" s="297" t="s">
        <v>199</v>
      </c>
      <c r="Q2359" s="297" t="s">
        <v>200</v>
      </c>
      <c r="R2359" s="297" t="s">
        <v>213</v>
      </c>
      <c r="S2359" s="297" t="s">
        <v>214</v>
      </c>
    </row>
    <row r="2360" spans="1:19" x14ac:dyDescent="0.4">
      <c r="A2360" s="291"/>
      <c r="B2360" s="292"/>
      <c r="C2360" s="312"/>
      <c r="D2360" s="292"/>
      <c r="E2360" s="489"/>
      <c r="F2360" s="489"/>
      <c r="G2360" s="490"/>
      <c r="H2360" s="520"/>
      <c r="I2360" s="523"/>
      <c r="J2360" s="521"/>
      <c r="K2360" s="522"/>
      <c r="M2360" s="301" t="str">
        <f>N2360&amp;AS[[#This Row],[Insurer Code]]&amp;"; "&amp;O2360&amp;AS[[#This Row],[Reporting Year]]&amp;"; "&amp;P2360&amp;AS[[#This Row],[Insurance Category Code]]&amp;"; "&amp;Q2360&amp;AS[[#This Row],[Large Provider Entity Code]]&amp;"; "&amp;R2360&amp;AS[[#This Row],[Age Band Code]]&amp;"; "&amp;S2360&amp;AS[[#This Row],[Sex Code]]</f>
        <v xml:space="preserve">Insurer Code ; Reporting Year ; Insurance Category Code ; Large Provider Entity Code ; Age Band Code ; Sex Code </v>
      </c>
      <c r="N2360" s="297" t="s">
        <v>197</v>
      </c>
      <c r="O2360" s="297" t="s">
        <v>198</v>
      </c>
      <c r="P2360" s="297" t="s">
        <v>199</v>
      </c>
      <c r="Q2360" s="297" t="s">
        <v>200</v>
      </c>
      <c r="R2360" s="297" t="s">
        <v>213</v>
      </c>
      <c r="S2360" s="297" t="s">
        <v>214</v>
      </c>
    </row>
    <row r="2361" spans="1:19" x14ac:dyDescent="0.4">
      <c r="A2361" s="291"/>
      <c r="B2361" s="292"/>
      <c r="C2361" s="312"/>
      <c r="D2361" s="292"/>
      <c r="E2361" s="489"/>
      <c r="F2361" s="489"/>
      <c r="G2361" s="490"/>
      <c r="H2361" s="520"/>
      <c r="I2361" s="523"/>
      <c r="J2361" s="521"/>
      <c r="K2361" s="522"/>
      <c r="M2361" s="301" t="str">
        <f>N2361&amp;AS[[#This Row],[Insurer Code]]&amp;"; "&amp;O2361&amp;AS[[#This Row],[Reporting Year]]&amp;"; "&amp;P2361&amp;AS[[#This Row],[Insurance Category Code]]&amp;"; "&amp;Q2361&amp;AS[[#This Row],[Large Provider Entity Code]]&amp;"; "&amp;R2361&amp;AS[[#This Row],[Age Band Code]]&amp;"; "&amp;S2361&amp;AS[[#This Row],[Sex Code]]</f>
        <v xml:space="preserve">Insurer Code ; Reporting Year ; Insurance Category Code ; Large Provider Entity Code ; Age Band Code ; Sex Code </v>
      </c>
      <c r="N2361" s="297" t="s">
        <v>197</v>
      </c>
      <c r="O2361" s="297" t="s">
        <v>198</v>
      </c>
      <c r="P2361" s="297" t="s">
        <v>199</v>
      </c>
      <c r="Q2361" s="297" t="s">
        <v>200</v>
      </c>
      <c r="R2361" s="297" t="s">
        <v>213</v>
      </c>
      <c r="S2361" s="297" t="s">
        <v>214</v>
      </c>
    </row>
    <row r="2362" spans="1:19" x14ac:dyDescent="0.4">
      <c r="A2362" s="291"/>
      <c r="B2362" s="292"/>
      <c r="C2362" s="312"/>
      <c r="D2362" s="292"/>
      <c r="E2362" s="489"/>
      <c r="F2362" s="489"/>
      <c r="G2362" s="490"/>
      <c r="H2362" s="520"/>
      <c r="I2362" s="523"/>
      <c r="J2362" s="521"/>
      <c r="K2362" s="522"/>
      <c r="M2362" s="301" t="str">
        <f>N2362&amp;AS[[#This Row],[Insurer Code]]&amp;"; "&amp;O2362&amp;AS[[#This Row],[Reporting Year]]&amp;"; "&amp;P2362&amp;AS[[#This Row],[Insurance Category Code]]&amp;"; "&amp;Q2362&amp;AS[[#This Row],[Large Provider Entity Code]]&amp;"; "&amp;R2362&amp;AS[[#This Row],[Age Band Code]]&amp;"; "&amp;S2362&amp;AS[[#This Row],[Sex Code]]</f>
        <v xml:space="preserve">Insurer Code ; Reporting Year ; Insurance Category Code ; Large Provider Entity Code ; Age Band Code ; Sex Code </v>
      </c>
      <c r="N2362" s="297" t="s">
        <v>197</v>
      </c>
      <c r="O2362" s="297" t="s">
        <v>198</v>
      </c>
      <c r="P2362" s="297" t="s">
        <v>199</v>
      </c>
      <c r="Q2362" s="297" t="s">
        <v>200</v>
      </c>
      <c r="R2362" s="297" t="s">
        <v>213</v>
      </c>
      <c r="S2362" s="297" t="s">
        <v>214</v>
      </c>
    </row>
    <row r="2363" spans="1:19" x14ac:dyDescent="0.4">
      <c r="A2363" s="291"/>
      <c r="B2363" s="292"/>
      <c r="C2363" s="312"/>
      <c r="D2363" s="292"/>
      <c r="E2363" s="489"/>
      <c r="F2363" s="489"/>
      <c r="G2363" s="490"/>
      <c r="H2363" s="520"/>
      <c r="I2363" s="523"/>
      <c r="J2363" s="521"/>
      <c r="K2363" s="522"/>
      <c r="M2363" s="301" t="str">
        <f>N2363&amp;AS[[#This Row],[Insurer Code]]&amp;"; "&amp;O2363&amp;AS[[#This Row],[Reporting Year]]&amp;"; "&amp;P2363&amp;AS[[#This Row],[Insurance Category Code]]&amp;"; "&amp;Q2363&amp;AS[[#This Row],[Large Provider Entity Code]]&amp;"; "&amp;R2363&amp;AS[[#This Row],[Age Band Code]]&amp;"; "&amp;S2363&amp;AS[[#This Row],[Sex Code]]</f>
        <v xml:space="preserve">Insurer Code ; Reporting Year ; Insurance Category Code ; Large Provider Entity Code ; Age Band Code ; Sex Code </v>
      </c>
      <c r="N2363" s="297" t="s">
        <v>197</v>
      </c>
      <c r="O2363" s="297" t="s">
        <v>198</v>
      </c>
      <c r="P2363" s="297" t="s">
        <v>199</v>
      </c>
      <c r="Q2363" s="297" t="s">
        <v>200</v>
      </c>
      <c r="R2363" s="297" t="s">
        <v>213</v>
      </c>
      <c r="S2363" s="297" t="s">
        <v>214</v>
      </c>
    </row>
    <row r="2364" spans="1:19" x14ac:dyDescent="0.4">
      <c r="A2364" s="291"/>
      <c r="B2364" s="292"/>
      <c r="C2364" s="312"/>
      <c r="D2364" s="292"/>
      <c r="E2364" s="489"/>
      <c r="F2364" s="489"/>
      <c r="G2364" s="490"/>
      <c r="H2364" s="520"/>
      <c r="I2364" s="523"/>
      <c r="J2364" s="521"/>
      <c r="K2364" s="522"/>
      <c r="M2364" s="301" t="str">
        <f>N2364&amp;AS[[#This Row],[Insurer Code]]&amp;"; "&amp;O2364&amp;AS[[#This Row],[Reporting Year]]&amp;"; "&amp;P2364&amp;AS[[#This Row],[Insurance Category Code]]&amp;"; "&amp;Q2364&amp;AS[[#This Row],[Large Provider Entity Code]]&amp;"; "&amp;R2364&amp;AS[[#This Row],[Age Band Code]]&amp;"; "&amp;S2364&amp;AS[[#This Row],[Sex Code]]</f>
        <v xml:space="preserve">Insurer Code ; Reporting Year ; Insurance Category Code ; Large Provider Entity Code ; Age Band Code ; Sex Code </v>
      </c>
      <c r="N2364" s="297" t="s">
        <v>197</v>
      </c>
      <c r="O2364" s="297" t="s">
        <v>198</v>
      </c>
      <c r="P2364" s="297" t="s">
        <v>199</v>
      </c>
      <c r="Q2364" s="297" t="s">
        <v>200</v>
      </c>
      <c r="R2364" s="297" t="s">
        <v>213</v>
      </c>
      <c r="S2364" s="297" t="s">
        <v>214</v>
      </c>
    </row>
    <row r="2365" spans="1:19" x14ac:dyDescent="0.4">
      <c r="A2365" s="291"/>
      <c r="B2365" s="292"/>
      <c r="C2365" s="312"/>
      <c r="D2365" s="292"/>
      <c r="E2365" s="489"/>
      <c r="F2365" s="489"/>
      <c r="G2365" s="490"/>
      <c r="H2365" s="520"/>
      <c r="I2365" s="523"/>
      <c r="J2365" s="521"/>
      <c r="K2365" s="522"/>
      <c r="M2365" s="301" t="str">
        <f>N2365&amp;AS[[#This Row],[Insurer Code]]&amp;"; "&amp;O2365&amp;AS[[#This Row],[Reporting Year]]&amp;"; "&amp;P2365&amp;AS[[#This Row],[Insurance Category Code]]&amp;"; "&amp;Q2365&amp;AS[[#This Row],[Large Provider Entity Code]]&amp;"; "&amp;R2365&amp;AS[[#This Row],[Age Band Code]]&amp;"; "&amp;S2365&amp;AS[[#This Row],[Sex Code]]</f>
        <v xml:space="preserve">Insurer Code ; Reporting Year ; Insurance Category Code ; Large Provider Entity Code ; Age Band Code ; Sex Code </v>
      </c>
      <c r="N2365" s="297" t="s">
        <v>197</v>
      </c>
      <c r="O2365" s="297" t="s">
        <v>198</v>
      </c>
      <c r="P2365" s="297" t="s">
        <v>199</v>
      </c>
      <c r="Q2365" s="297" t="s">
        <v>200</v>
      </c>
      <c r="R2365" s="297" t="s">
        <v>213</v>
      </c>
      <c r="S2365" s="297" t="s">
        <v>214</v>
      </c>
    </row>
    <row r="2366" spans="1:19" x14ac:dyDescent="0.4">
      <c r="A2366" s="291"/>
      <c r="B2366" s="292"/>
      <c r="C2366" s="312"/>
      <c r="D2366" s="292"/>
      <c r="E2366" s="489"/>
      <c r="F2366" s="489"/>
      <c r="G2366" s="490"/>
      <c r="H2366" s="520"/>
      <c r="I2366" s="523"/>
      <c r="J2366" s="521"/>
      <c r="K2366" s="522"/>
      <c r="M2366" s="301" t="str">
        <f>N2366&amp;AS[[#This Row],[Insurer Code]]&amp;"; "&amp;O2366&amp;AS[[#This Row],[Reporting Year]]&amp;"; "&amp;P2366&amp;AS[[#This Row],[Insurance Category Code]]&amp;"; "&amp;Q2366&amp;AS[[#This Row],[Large Provider Entity Code]]&amp;"; "&amp;R2366&amp;AS[[#This Row],[Age Band Code]]&amp;"; "&amp;S2366&amp;AS[[#This Row],[Sex Code]]</f>
        <v xml:space="preserve">Insurer Code ; Reporting Year ; Insurance Category Code ; Large Provider Entity Code ; Age Band Code ; Sex Code </v>
      </c>
      <c r="N2366" s="297" t="s">
        <v>197</v>
      </c>
      <c r="O2366" s="297" t="s">
        <v>198</v>
      </c>
      <c r="P2366" s="297" t="s">
        <v>199</v>
      </c>
      <c r="Q2366" s="297" t="s">
        <v>200</v>
      </c>
      <c r="R2366" s="297" t="s">
        <v>213</v>
      </c>
      <c r="S2366" s="297" t="s">
        <v>214</v>
      </c>
    </row>
    <row r="2367" spans="1:19" x14ac:dyDescent="0.4">
      <c r="A2367" s="291"/>
      <c r="B2367" s="292"/>
      <c r="C2367" s="312"/>
      <c r="D2367" s="292"/>
      <c r="E2367" s="489"/>
      <c r="F2367" s="489"/>
      <c r="G2367" s="490"/>
      <c r="H2367" s="520"/>
      <c r="I2367" s="523"/>
      <c r="J2367" s="521"/>
      <c r="K2367" s="522"/>
      <c r="M2367" s="301" t="str">
        <f>N2367&amp;AS[[#This Row],[Insurer Code]]&amp;"; "&amp;O2367&amp;AS[[#This Row],[Reporting Year]]&amp;"; "&amp;P2367&amp;AS[[#This Row],[Insurance Category Code]]&amp;"; "&amp;Q2367&amp;AS[[#This Row],[Large Provider Entity Code]]&amp;"; "&amp;R2367&amp;AS[[#This Row],[Age Band Code]]&amp;"; "&amp;S2367&amp;AS[[#This Row],[Sex Code]]</f>
        <v xml:space="preserve">Insurer Code ; Reporting Year ; Insurance Category Code ; Large Provider Entity Code ; Age Band Code ; Sex Code </v>
      </c>
      <c r="N2367" s="297" t="s">
        <v>197</v>
      </c>
      <c r="O2367" s="297" t="s">
        <v>198</v>
      </c>
      <c r="P2367" s="297" t="s">
        <v>199</v>
      </c>
      <c r="Q2367" s="297" t="s">
        <v>200</v>
      </c>
      <c r="R2367" s="297" t="s">
        <v>213</v>
      </c>
      <c r="S2367" s="297" t="s">
        <v>214</v>
      </c>
    </row>
    <row r="2368" spans="1:19" x14ac:dyDescent="0.4">
      <c r="A2368" s="291"/>
      <c r="B2368" s="292"/>
      <c r="C2368" s="312"/>
      <c r="D2368" s="292"/>
      <c r="E2368" s="489"/>
      <c r="F2368" s="489"/>
      <c r="G2368" s="490"/>
      <c r="H2368" s="520"/>
      <c r="I2368" s="523"/>
      <c r="J2368" s="521"/>
      <c r="K2368" s="522"/>
      <c r="M2368" s="301" t="str">
        <f>N2368&amp;AS[[#This Row],[Insurer Code]]&amp;"; "&amp;O2368&amp;AS[[#This Row],[Reporting Year]]&amp;"; "&amp;P2368&amp;AS[[#This Row],[Insurance Category Code]]&amp;"; "&amp;Q2368&amp;AS[[#This Row],[Large Provider Entity Code]]&amp;"; "&amp;R2368&amp;AS[[#This Row],[Age Band Code]]&amp;"; "&amp;S2368&amp;AS[[#This Row],[Sex Code]]</f>
        <v xml:space="preserve">Insurer Code ; Reporting Year ; Insurance Category Code ; Large Provider Entity Code ; Age Band Code ; Sex Code </v>
      </c>
      <c r="N2368" s="297" t="s">
        <v>197</v>
      </c>
      <c r="O2368" s="297" t="s">
        <v>198</v>
      </c>
      <c r="P2368" s="297" t="s">
        <v>199</v>
      </c>
      <c r="Q2368" s="297" t="s">
        <v>200</v>
      </c>
      <c r="R2368" s="297" t="s">
        <v>213</v>
      </c>
      <c r="S2368" s="297" t="s">
        <v>214</v>
      </c>
    </row>
    <row r="2369" spans="1:19" x14ac:dyDescent="0.4">
      <c r="A2369" s="291"/>
      <c r="B2369" s="292"/>
      <c r="C2369" s="312"/>
      <c r="D2369" s="292"/>
      <c r="E2369" s="489"/>
      <c r="F2369" s="489"/>
      <c r="G2369" s="490"/>
      <c r="H2369" s="520"/>
      <c r="I2369" s="523"/>
      <c r="J2369" s="521"/>
      <c r="K2369" s="522"/>
      <c r="M2369" s="301" t="str">
        <f>N2369&amp;AS[[#This Row],[Insurer Code]]&amp;"; "&amp;O2369&amp;AS[[#This Row],[Reporting Year]]&amp;"; "&amp;P2369&amp;AS[[#This Row],[Insurance Category Code]]&amp;"; "&amp;Q2369&amp;AS[[#This Row],[Large Provider Entity Code]]&amp;"; "&amp;R2369&amp;AS[[#This Row],[Age Band Code]]&amp;"; "&amp;S2369&amp;AS[[#This Row],[Sex Code]]</f>
        <v xml:space="preserve">Insurer Code ; Reporting Year ; Insurance Category Code ; Large Provider Entity Code ; Age Band Code ; Sex Code </v>
      </c>
      <c r="N2369" s="297" t="s">
        <v>197</v>
      </c>
      <c r="O2369" s="297" t="s">
        <v>198</v>
      </c>
      <c r="P2369" s="297" t="s">
        <v>199</v>
      </c>
      <c r="Q2369" s="297" t="s">
        <v>200</v>
      </c>
      <c r="R2369" s="297" t="s">
        <v>213</v>
      </c>
      <c r="S2369" s="297" t="s">
        <v>214</v>
      </c>
    </row>
    <row r="2370" spans="1:19" x14ac:dyDescent="0.4">
      <c r="A2370" s="291"/>
      <c r="B2370" s="292"/>
      <c r="C2370" s="312"/>
      <c r="D2370" s="292"/>
      <c r="E2370" s="489"/>
      <c r="F2370" s="489"/>
      <c r="G2370" s="490"/>
      <c r="H2370" s="520"/>
      <c r="I2370" s="523"/>
      <c r="J2370" s="521"/>
      <c r="K2370" s="522"/>
      <c r="M2370" s="301" t="str">
        <f>N2370&amp;AS[[#This Row],[Insurer Code]]&amp;"; "&amp;O2370&amp;AS[[#This Row],[Reporting Year]]&amp;"; "&amp;P2370&amp;AS[[#This Row],[Insurance Category Code]]&amp;"; "&amp;Q2370&amp;AS[[#This Row],[Large Provider Entity Code]]&amp;"; "&amp;R2370&amp;AS[[#This Row],[Age Band Code]]&amp;"; "&amp;S2370&amp;AS[[#This Row],[Sex Code]]</f>
        <v xml:space="preserve">Insurer Code ; Reporting Year ; Insurance Category Code ; Large Provider Entity Code ; Age Band Code ; Sex Code </v>
      </c>
      <c r="N2370" s="297" t="s">
        <v>197</v>
      </c>
      <c r="O2370" s="297" t="s">
        <v>198</v>
      </c>
      <c r="P2370" s="297" t="s">
        <v>199</v>
      </c>
      <c r="Q2370" s="297" t="s">
        <v>200</v>
      </c>
      <c r="R2370" s="297" t="s">
        <v>213</v>
      </c>
      <c r="S2370" s="297" t="s">
        <v>214</v>
      </c>
    </row>
    <row r="2371" spans="1:19" x14ac:dyDescent="0.4">
      <c r="A2371" s="291"/>
      <c r="B2371" s="292"/>
      <c r="C2371" s="312"/>
      <c r="D2371" s="292"/>
      <c r="E2371" s="489"/>
      <c r="F2371" s="489"/>
      <c r="G2371" s="490"/>
      <c r="H2371" s="520"/>
      <c r="I2371" s="523"/>
      <c r="J2371" s="521"/>
      <c r="K2371" s="522"/>
      <c r="M2371" s="301" t="str">
        <f>N2371&amp;AS[[#This Row],[Insurer Code]]&amp;"; "&amp;O2371&amp;AS[[#This Row],[Reporting Year]]&amp;"; "&amp;P2371&amp;AS[[#This Row],[Insurance Category Code]]&amp;"; "&amp;Q2371&amp;AS[[#This Row],[Large Provider Entity Code]]&amp;"; "&amp;R2371&amp;AS[[#This Row],[Age Band Code]]&amp;"; "&amp;S2371&amp;AS[[#This Row],[Sex Code]]</f>
        <v xml:space="preserve">Insurer Code ; Reporting Year ; Insurance Category Code ; Large Provider Entity Code ; Age Band Code ; Sex Code </v>
      </c>
      <c r="N2371" s="297" t="s">
        <v>197</v>
      </c>
      <c r="O2371" s="297" t="s">
        <v>198</v>
      </c>
      <c r="P2371" s="297" t="s">
        <v>199</v>
      </c>
      <c r="Q2371" s="297" t="s">
        <v>200</v>
      </c>
      <c r="R2371" s="297" t="s">
        <v>213</v>
      </c>
      <c r="S2371" s="297" t="s">
        <v>214</v>
      </c>
    </row>
    <row r="2372" spans="1:19" x14ac:dyDescent="0.4">
      <c r="A2372" s="291"/>
      <c r="B2372" s="292"/>
      <c r="C2372" s="312"/>
      <c r="D2372" s="292"/>
      <c r="E2372" s="489"/>
      <c r="F2372" s="489"/>
      <c r="G2372" s="490"/>
      <c r="H2372" s="520"/>
      <c r="I2372" s="523"/>
      <c r="J2372" s="521"/>
      <c r="K2372" s="522"/>
      <c r="M2372" s="301" t="str">
        <f>N2372&amp;AS[[#This Row],[Insurer Code]]&amp;"; "&amp;O2372&amp;AS[[#This Row],[Reporting Year]]&amp;"; "&amp;P2372&amp;AS[[#This Row],[Insurance Category Code]]&amp;"; "&amp;Q2372&amp;AS[[#This Row],[Large Provider Entity Code]]&amp;"; "&amp;R2372&amp;AS[[#This Row],[Age Band Code]]&amp;"; "&amp;S2372&amp;AS[[#This Row],[Sex Code]]</f>
        <v xml:space="preserve">Insurer Code ; Reporting Year ; Insurance Category Code ; Large Provider Entity Code ; Age Band Code ; Sex Code </v>
      </c>
      <c r="N2372" s="297" t="s">
        <v>197</v>
      </c>
      <c r="O2372" s="297" t="s">
        <v>198</v>
      </c>
      <c r="P2372" s="297" t="s">
        <v>199</v>
      </c>
      <c r="Q2372" s="297" t="s">
        <v>200</v>
      </c>
      <c r="R2372" s="297" t="s">
        <v>213</v>
      </c>
      <c r="S2372" s="297" t="s">
        <v>214</v>
      </c>
    </row>
    <row r="2373" spans="1:19" x14ac:dyDescent="0.4">
      <c r="A2373" s="291"/>
      <c r="B2373" s="292"/>
      <c r="C2373" s="312"/>
      <c r="D2373" s="292"/>
      <c r="E2373" s="489"/>
      <c r="F2373" s="489"/>
      <c r="G2373" s="490"/>
      <c r="H2373" s="520"/>
      <c r="I2373" s="523"/>
      <c r="J2373" s="521"/>
      <c r="K2373" s="522"/>
      <c r="M2373" s="301" t="str">
        <f>N2373&amp;AS[[#This Row],[Insurer Code]]&amp;"; "&amp;O2373&amp;AS[[#This Row],[Reporting Year]]&amp;"; "&amp;P2373&amp;AS[[#This Row],[Insurance Category Code]]&amp;"; "&amp;Q2373&amp;AS[[#This Row],[Large Provider Entity Code]]&amp;"; "&amp;R2373&amp;AS[[#This Row],[Age Band Code]]&amp;"; "&amp;S2373&amp;AS[[#This Row],[Sex Code]]</f>
        <v xml:space="preserve">Insurer Code ; Reporting Year ; Insurance Category Code ; Large Provider Entity Code ; Age Band Code ; Sex Code </v>
      </c>
      <c r="N2373" s="297" t="s">
        <v>197</v>
      </c>
      <c r="O2373" s="297" t="s">
        <v>198</v>
      </c>
      <c r="P2373" s="297" t="s">
        <v>199</v>
      </c>
      <c r="Q2373" s="297" t="s">
        <v>200</v>
      </c>
      <c r="R2373" s="297" t="s">
        <v>213</v>
      </c>
      <c r="S2373" s="297" t="s">
        <v>214</v>
      </c>
    </row>
    <row r="2374" spans="1:19" x14ac:dyDescent="0.4">
      <c r="A2374" s="291"/>
      <c r="B2374" s="292"/>
      <c r="C2374" s="312"/>
      <c r="D2374" s="292"/>
      <c r="E2374" s="489"/>
      <c r="F2374" s="489"/>
      <c r="G2374" s="490"/>
      <c r="H2374" s="520"/>
      <c r="I2374" s="523"/>
      <c r="J2374" s="521"/>
      <c r="K2374" s="522"/>
      <c r="M2374" s="301" t="str">
        <f>N2374&amp;AS[[#This Row],[Insurer Code]]&amp;"; "&amp;O2374&amp;AS[[#This Row],[Reporting Year]]&amp;"; "&amp;P2374&amp;AS[[#This Row],[Insurance Category Code]]&amp;"; "&amp;Q2374&amp;AS[[#This Row],[Large Provider Entity Code]]&amp;"; "&amp;R2374&amp;AS[[#This Row],[Age Band Code]]&amp;"; "&amp;S2374&amp;AS[[#This Row],[Sex Code]]</f>
        <v xml:space="preserve">Insurer Code ; Reporting Year ; Insurance Category Code ; Large Provider Entity Code ; Age Band Code ; Sex Code </v>
      </c>
      <c r="N2374" s="297" t="s">
        <v>197</v>
      </c>
      <c r="O2374" s="297" t="s">
        <v>198</v>
      </c>
      <c r="P2374" s="297" t="s">
        <v>199</v>
      </c>
      <c r="Q2374" s="297" t="s">
        <v>200</v>
      </c>
      <c r="R2374" s="297" t="s">
        <v>213</v>
      </c>
      <c r="S2374" s="297" t="s">
        <v>214</v>
      </c>
    </row>
    <row r="2375" spans="1:19" x14ac:dyDescent="0.4">
      <c r="A2375" s="291"/>
      <c r="B2375" s="292"/>
      <c r="C2375" s="312"/>
      <c r="D2375" s="292"/>
      <c r="E2375" s="489"/>
      <c r="F2375" s="489"/>
      <c r="G2375" s="490"/>
      <c r="H2375" s="520"/>
      <c r="I2375" s="523"/>
      <c r="J2375" s="521"/>
      <c r="K2375" s="522"/>
      <c r="M2375" s="301" t="str">
        <f>N2375&amp;AS[[#This Row],[Insurer Code]]&amp;"; "&amp;O2375&amp;AS[[#This Row],[Reporting Year]]&amp;"; "&amp;P2375&amp;AS[[#This Row],[Insurance Category Code]]&amp;"; "&amp;Q2375&amp;AS[[#This Row],[Large Provider Entity Code]]&amp;"; "&amp;R2375&amp;AS[[#This Row],[Age Band Code]]&amp;"; "&amp;S2375&amp;AS[[#This Row],[Sex Code]]</f>
        <v xml:space="preserve">Insurer Code ; Reporting Year ; Insurance Category Code ; Large Provider Entity Code ; Age Band Code ; Sex Code </v>
      </c>
      <c r="N2375" s="297" t="s">
        <v>197</v>
      </c>
      <c r="O2375" s="297" t="s">
        <v>198</v>
      </c>
      <c r="P2375" s="297" t="s">
        <v>199</v>
      </c>
      <c r="Q2375" s="297" t="s">
        <v>200</v>
      </c>
      <c r="R2375" s="297" t="s">
        <v>213</v>
      </c>
      <c r="S2375" s="297" t="s">
        <v>214</v>
      </c>
    </row>
    <row r="2376" spans="1:19" x14ac:dyDescent="0.4">
      <c r="A2376" s="291"/>
      <c r="B2376" s="292"/>
      <c r="C2376" s="312"/>
      <c r="D2376" s="292"/>
      <c r="E2376" s="489"/>
      <c r="F2376" s="489"/>
      <c r="G2376" s="490"/>
      <c r="H2376" s="520"/>
      <c r="I2376" s="523"/>
      <c r="J2376" s="521"/>
      <c r="K2376" s="522"/>
      <c r="M2376" s="301" t="str">
        <f>N2376&amp;AS[[#This Row],[Insurer Code]]&amp;"; "&amp;O2376&amp;AS[[#This Row],[Reporting Year]]&amp;"; "&amp;P2376&amp;AS[[#This Row],[Insurance Category Code]]&amp;"; "&amp;Q2376&amp;AS[[#This Row],[Large Provider Entity Code]]&amp;"; "&amp;R2376&amp;AS[[#This Row],[Age Band Code]]&amp;"; "&amp;S2376&amp;AS[[#This Row],[Sex Code]]</f>
        <v xml:space="preserve">Insurer Code ; Reporting Year ; Insurance Category Code ; Large Provider Entity Code ; Age Band Code ; Sex Code </v>
      </c>
      <c r="N2376" s="297" t="s">
        <v>197</v>
      </c>
      <c r="O2376" s="297" t="s">
        <v>198</v>
      </c>
      <c r="P2376" s="297" t="s">
        <v>199</v>
      </c>
      <c r="Q2376" s="297" t="s">
        <v>200</v>
      </c>
      <c r="R2376" s="297" t="s">
        <v>213</v>
      </c>
      <c r="S2376" s="297" t="s">
        <v>214</v>
      </c>
    </row>
    <row r="2377" spans="1:19" x14ac:dyDescent="0.4">
      <c r="A2377" s="291"/>
      <c r="B2377" s="292"/>
      <c r="C2377" s="312"/>
      <c r="D2377" s="292"/>
      <c r="E2377" s="489"/>
      <c r="F2377" s="489"/>
      <c r="G2377" s="490"/>
      <c r="H2377" s="520"/>
      <c r="I2377" s="523"/>
      <c r="J2377" s="521"/>
      <c r="K2377" s="522"/>
      <c r="M2377" s="301" t="str">
        <f>N2377&amp;AS[[#This Row],[Insurer Code]]&amp;"; "&amp;O2377&amp;AS[[#This Row],[Reporting Year]]&amp;"; "&amp;P2377&amp;AS[[#This Row],[Insurance Category Code]]&amp;"; "&amp;Q2377&amp;AS[[#This Row],[Large Provider Entity Code]]&amp;"; "&amp;R2377&amp;AS[[#This Row],[Age Band Code]]&amp;"; "&amp;S2377&amp;AS[[#This Row],[Sex Code]]</f>
        <v xml:space="preserve">Insurer Code ; Reporting Year ; Insurance Category Code ; Large Provider Entity Code ; Age Band Code ; Sex Code </v>
      </c>
      <c r="N2377" s="297" t="s">
        <v>197</v>
      </c>
      <c r="O2377" s="297" t="s">
        <v>198</v>
      </c>
      <c r="P2377" s="297" t="s">
        <v>199</v>
      </c>
      <c r="Q2377" s="297" t="s">
        <v>200</v>
      </c>
      <c r="R2377" s="297" t="s">
        <v>213</v>
      </c>
      <c r="S2377" s="297" t="s">
        <v>214</v>
      </c>
    </row>
    <row r="2378" spans="1:19" x14ac:dyDescent="0.4">
      <c r="A2378" s="291"/>
      <c r="B2378" s="292"/>
      <c r="C2378" s="312"/>
      <c r="D2378" s="292"/>
      <c r="E2378" s="489"/>
      <c r="F2378" s="489"/>
      <c r="G2378" s="490"/>
      <c r="H2378" s="520"/>
      <c r="I2378" s="523"/>
      <c r="J2378" s="521"/>
      <c r="K2378" s="522"/>
      <c r="M2378" s="301" t="str">
        <f>N2378&amp;AS[[#This Row],[Insurer Code]]&amp;"; "&amp;O2378&amp;AS[[#This Row],[Reporting Year]]&amp;"; "&amp;P2378&amp;AS[[#This Row],[Insurance Category Code]]&amp;"; "&amp;Q2378&amp;AS[[#This Row],[Large Provider Entity Code]]&amp;"; "&amp;R2378&amp;AS[[#This Row],[Age Band Code]]&amp;"; "&amp;S2378&amp;AS[[#This Row],[Sex Code]]</f>
        <v xml:space="preserve">Insurer Code ; Reporting Year ; Insurance Category Code ; Large Provider Entity Code ; Age Band Code ; Sex Code </v>
      </c>
      <c r="N2378" s="297" t="s">
        <v>197</v>
      </c>
      <c r="O2378" s="297" t="s">
        <v>198</v>
      </c>
      <c r="P2378" s="297" t="s">
        <v>199</v>
      </c>
      <c r="Q2378" s="297" t="s">
        <v>200</v>
      </c>
      <c r="R2378" s="297" t="s">
        <v>213</v>
      </c>
      <c r="S2378" s="297" t="s">
        <v>214</v>
      </c>
    </row>
    <row r="2379" spans="1:19" x14ac:dyDescent="0.4">
      <c r="A2379" s="291"/>
      <c r="B2379" s="292"/>
      <c r="C2379" s="312"/>
      <c r="D2379" s="292"/>
      <c r="E2379" s="489"/>
      <c r="F2379" s="489"/>
      <c r="G2379" s="490"/>
      <c r="H2379" s="520"/>
      <c r="I2379" s="523"/>
      <c r="J2379" s="521"/>
      <c r="K2379" s="522"/>
      <c r="M2379" s="301" t="str">
        <f>N2379&amp;AS[[#This Row],[Insurer Code]]&amp;"; "&amp;O2379&amp;AS[[#This Row],[Reporting Year]]&amp;"; "&amp;P2379&amp;AS[[#This Row],[Insurance Category Code]]&amp;"; "&amp;Q2379&amp;AS[[#This Row],[Large Provider Entity Code]]&amp;"; "&amp;R2379&amp;AS[[#This Row],[Age Band Code]]&amp;"; "&amp;S2379&amp;AS[[#This Row],[Sex Code]]</f>
        <v xml:space="preserve">Insurer Code ; Reporting Year ; Insurance Category Code ; Large Provider Entity Code ; Age Band Code ; Sex Code </v>
      </c>
      <c r="N2379" s="297" t="s">
        <v>197</v>
      </c>
      <c r="O2379" s="297" t="s">
        <v>198</v>
      </c>
      <c r="P2379" s="297" t="s">
        <v>199</v>
      </c>
      <c r="Q2379" s="297" t="s">
        <v>200</v>
      </c>
      <c r="R2379" s="297" t="s">
        <v>213</v>
      </c>
      <c r="S2379" s="297" t="s">
        <v>214</v>
      </c>
    </row>
    <row r="2380" spans="1:19" x14ac:dyDescent="0.4">
      <c r="A2380" s="291"/>
      <c r="B2380" s="292"/>
      <c r="C2380" s="312"/>
      <c r="D2380" s="292"/>
      <c r="E2380" s="489"/>
      <c r="F2380" s="489"/>
      <c r="G2380" s="490"/>
      <c r="H2380" s="520"/>
      <c r="I2380" s="523"/>
      <c r="J2380" s="521"/>
      <c r="K2380" s="522"/>
      <c r="M2380" s="301" t="str">
        <f>N2380&amp;AS[[#This Row],[Insurer Code]]&amp;"; "&amp;O2380&amp;AS[[#This Row],[Reporting Year]]&amp;"; "&amp;P2380&amp;AS[[#This Row],[Insurance Category Code]]&amp;"; "&amp;Q2380&amp;AS[[#This Row],[Large Provider Entity Code]]&amp;"; "&amp;R2380&amp;AS[[#This Row],[Age Band Code]]&amp;"; "&amp;S2380&amp;AS[[#This Row],[Sex Code]]</f>
        <v xml:space="preserve">Insurer Code ; Reporting Year ; Insurance Category Code ; Large Provider Entity Code ; Age Band Code ; Sex Code </v>
      </c>
      <c r="N2380" s="297" t="s">
        <v>197</v>
      </c>
      <c r="O2380" s="297" t="s">
        <v>198</v>
      </c>
      <c r="P2380" s="297" t="s">
        <v>199</v>
      </c>
      <c r="Q2380" s="297" t="s">
        <v>200</v>
      </c>
      <c r="R2380" s="297" t="s">
        <v>213</v>
      </c>
      <c r="S2380" s="297" t="s">
        <v>214</v>
      </c>
    </row>
    <row r="2381" spans="1:19" x14ac:dyDescent="0.4">
      <c r="A2381" s="291"/>
      <c r="B2381" s="292"/>
      <c r="C2381" s="312"/>
      <c r="D2381" s="292"/>
      <c r="E2381" s="489"/>
      <c r="F2381" s="489"/>
      <c r="G2381" s="490"/>
      <c r="H2381" s="520"/>
      <c r="I2381" s="523"/>
      <c r="J2381" s="521"/>
      <c r="K2381" s="522"/>
      <c r="M2381" s="301" t="str">
        <f>N2381&amp;AS[[#This Row],[Insurer Code]]&amp;"; "&amp;O2381&amp;AS[[#This Row],[Reporting Year]]&amp;"; "&amp;P2381&amp;AS[[#This Row],[Insurance Category Code]]&amp;"; "&amp;Q2381&amp;AS[[#This Row],[Large Provider Entity Code]]&amp;"; "&amp;R2381&amp;AS[[#This Row],[Age Band Code]]&amp;"; "&amp;S2381&amp;AS[[#This Row],[Sex Code]]</f>
        <v xml:space="preserve">Insurer Code ; Reporting Year ; Insurance Category Code ; Large Provider Entity Code ; Age Band Code ; Sex Code </v>
      </c>
      <c r="N2381" s="297" t="s">
        <v>197</v>
      </c>
      <c r="O2381" s="297" t="s">
        <v>198</v>
      </c>
      <c r="P2381" s="297" t="s">
        <v>199</v>
      </c>
      <c r="Q2381" s="297" t="s">
        <v>200</v>
      </c>
      <c r="R2381" s="297" t="s">
        <v>213</v>
      </c>
      <c r="S2381" s="297" t="s">
        <v>214</v>
      </c>
    </row>
    <row r="2382" spans="1:19" x14ac:dyDescent="0.4">
      <c r="A2382" s="291"/>
      <c r="B2382" s="292"/>
      <c r="C2382" s="312"/>
      <c r="D2382" s="292"/>
      <c r="E2382" s="489"/>
      <c r="F2382" s="489"/>
      <c r="G2382" s="490"/>
      <c r="H2382" s="520"/>
      <c r="I2382" s="523"/>
      <c r="J2382" s="521"/>
      <c r="K2382" s="522"/>
      <c r="M2382" s="301" t="str">
        <f>N2382&amp;AS[[#This Row],[Insurer Code]]&amp;"; "&amp;O2382&amp;AS[[#This Row],[Reporting Year]]&amp;"; "&amp;P2382&amp;AS[[#This Row],[Insurance Category Code]]&amp;"; "&amp;Q2382&amp;AS[[#This Row],[Large Provider Entity Code]]&amp;"; "&amp;R2382&amp;AS[[#This Row],[Age Band Code]]&amp;"; "&amp;S2382&amp;AS[[#This Row],[Sex Code]]</f>
        <v xml:space="preserve">Insurer Code ; Reporting Year ; Insurance Category Code ; Large Provider Entity Code ; Age Band Code ; Sex Code </v>
      </c>
      <c r="N2382" s="297" t="s">
        <v>197</v>
      </c>
      <c r="O2382" s="297" t="s">
        <v>198</v>
      </c>
      <c r="P2382" s="297" t="s">
        <v>199</v>
      </c>
      <c r="Q2382" s="297" t="s">
        <v>200</v>
      </c>
      <c r="R2382" s="297" t="s">
        <v>213</v>
      </c>
      <c r="S2382" s="297" t="s">
        <v>214</v>
      </c>
    </row>
    <row r="2383" spans="1:19" x14ac:dyDescent="0.4">
      <c r="A2383" s="291"/>
      <c r="B2383" s="292"/>
      <c r="C2383" s="312"/>
      <c r="D2383" s="292"/>
      <c r="E2383" s="489"/>
      <c r="F2383" s="489"/>
      <c r="G2383" s="490"/>
      <c r="H2383" s="520"/>
      <c r="I2383" s="523"/>
      <c r="J2383" s="521"/>
      <c r="K2383" s="522"/>
      <c r="M2383" s="301" t="str">
        <f>N2383&amp;AS[[#This Row],[Insurer Code]]&amp;"; "&amp;O2383&amp;AS[[#This Row],[Reporting Year]]&amp;"; "&amp;P2383&amp;AS[[#This Row],[Insurance Category Code]]&amp;"; "&amp;Q2383&amp;AS[[#This Row],[Large Provider Entity Code]]&amp;"; "&amp;R2383&amp;AS[[#This Row],[Age Band Code]]&amp;"; "&amp;S2383&amp;AS[[#This Row],[Sex Code]]</f>
        <v xml:space="preserve">Insurer Code ; Reporting Year ; Insurance Category Code ; Large Provider Entity Code ; Age Band Code ; Sex Code </v>
      </c>
      <c r="N2383" s="297" t="s">
        <v>197</v>
      </c>
      <c r="O2383" s="297" t="s">
        <v>198</v>
      </c>
      <c r="P2383" s="297" t="s">
        <v>199</v>
      </c>
      <c r="Q2383" s="297" t="s">
        <v>200</v>
      </c>
      <c r="R2383" s="297" t="s">
        <v>213</v>
      </c>
      <c r="S2383" s="297" t="s">
        <v>214</v>
      </c>
    </row>
    <row r="2384" spans="1:19" x14ac:dyDescent="0.4">
      <c r="A2384" s="291"/>
      <c r="B2384" s="292"/>
      <c r="C2384" s="312"/>
      <c r="D2384" s="292"/>
      <c r="E2384" s="489"/>
      <c r="F2384" s="489"/>
      <c r="G2384" s="490"/>
      <c r="H2384" s="520"/>
      <c r="I2384" s="523"/>
      <c r="J2384" s="521"/>
      <c r="K2384" s="522"/>
      <c r="M2384" s="301" t="str">
        <f>N2384&amp;AS[[#This Row],[Insurer Code]]&amp;"; "&amp;O2384&amp;AS[[#This Row],[Reporting Year]]&amp;"; "&amp;P2384&amp;AS[[#This Row],[Insurance Category Code]]&amp;"; "&amp;Q2384&amp;AS[[#This Row],[Large Provider Entity Code]]&amp;"; "&amp;R2384&amp;AS[[#This Row],[Age Band Code]]&amp;"; "&amp;S2384&amp;AS[[#This Row],[Sex Code]]</f>
        <v xml:space="preserve">Insurer Code ; Reporting Year ; Insurance Category Code ; Large Provider Entity Code ; Age Band Code ; Sex Code </v>
      </c>
      <c r="N2384" s="297" t="s">
        <v>197</v>
      </c>
      <c r="O2384" s="297" t="s">
        <v>198</v>
      </c>
      <c r="P2384" s="297" t="s">
        <v>199</v>
      </c>
      <c r="Q2384" s="297" t="s">
        <v>200</v>
      </c>
      <c r="R2384" s="297" t="s">
        <v>213</v>
      </c>
      <c r="S2384" s="297" t="s">
        <v>214</v>
      </c>
    </row>
    <row r="2385" spans="1:19" x14ac:dyDescent="0.4">
      <c r="A2385" s="291"/>
      <c r="B2385" s="292"/>
      <c r="C2385" s="312"/>
      <c r="D2385" s="292"/>
      <c r="E2385" s="489"/>
      <c r="F2385" s="489"/>
      <c r="G2385" s="490"/>
      <c r="H2385" s="520"/>
      <c r="I2385" s="523"/>
      <c r="J2385" s="521"/>
      <c r="K2385" s="522"/>
      <c r="M2385" s="301" t="str">
        <f>N2385&amp;AS[[#This Row],[Insurer Code]]&amp;"; "&amp;O2385&amp;AS[[#This Row],[Reporting Year]]&amp;"; "&amp;P2385&amp;AS[[#This Row],[Insurance Category Code]]&amp;"; "&amp;Q2385&amp;AS[[#This Row],[Large Provider Entity Code]]&amp;"; "&amp;R2385&amp;AS[[#This Row],[Age Band Code]]&amp;"; "&amp;S2385&amp;AS[[#This Row],[Sex Code]]</f>
        <v xml:space="preserve">Insurer Code ; Reporting Year ; Insurance Category Code ; Large Provider Entity Code ; Age Band Code ; Sex Code </v>
      </c>
      <c r="N2385" s="297" t="s">
        <v>197</v>
      </c>
      <c r="O2385" s="297" t="s">
        <v>198</v>
      </c>
      <c r="P2385" s="297" t="s">
        <v>199</v>
      </c>
      <c r="Q2385" s="297" t="s">
        <v>200</v>
      </c>
      <c r="R2385" s="297" t="s">
        <v>213</v>
      </c>
      <c r="S2385" s="297" t="s">
        <v>214</v>
      </c>
    </row>
    <row r="2386" spans="1:19" x14ac:dyDescent="0.4">
      <c r="A2386" s="291"/>
      <c r="B2386" s="292"/>
      <c r="C2386" s="312"/>
      <c r="D2386" s="292"/>
      <c r="E2386" s="489"/>
      <c r="F2386" s="489"/>
      <c r="G2386" s="490"/>
      <c r="H2386" s="520"/>
      <c r="I2386" s="523"/>
      <c r="J2386" s="521"/>
      <c r="K2386" s="522"/>
      <c r="M2386" s="301" t="str">
        <f>N2386&amp;AS[[#This Row],[Insurer Code]]&amp;"; "&amp;O2386&amp;AS[[#This Row],[Reporting Year]]&amp;"; "&amp;P2386&amp;AS[[#This Row],[Insurance Category Code]]&amp;"; "&amp;Q2386&amp;AS[[#This Row],[Large Provider Entity Code]]&amp;"; "&amp;R2386&amp;AS[[#This Row],[Age Band Code]]&amp;"; "&amp;S2386&amp;AS[[#This Row],[Sex Code]]</f>
        <v xml:space="preserve">Insurer Code ; Reporting Year ; Insurance Category Code ; Large Provider Entity Code ; Age Band Code ; Sex Code </v>
      </c>
      <c r="N2386" s="297" t="s">
        <v>197</v>
      </c>
      <c r="O2386" s="297" t="s">
        <v>198</v>
      </c>
      <c r="P2386" s="297" t="s">
        <v>199</v>
      </c>
      <c r="Q2386" s="297" t="s">
        <v>200</v>
      </c>
      <c r="R2386" s="297" t="s">
        <v>213</v>
      </c>
      <c r="S2386" s="297" t="s">
        <v>214</v>
      </c>
    </row>
    <row r="2387" spans="1:19" x14ac:dyDescent="0.4">
      <c r="A2387" s="291"/>
      <c r="B2387" s="292"/>
      <c r="C2387" s="312"/>
      <c r="D2387" s="292"/>
      <c r="E2387" s="489"/>
      <c r="F2387" s="489"/>
      <c r="G2387" s="490"/>
      <c r="H2387" s="520"/>
      <c r="I2387" s="523"/>
      <c r="J2387" s="521"/>
      <c r="K2387" s="522"/>
      <c r="M2387" s="301" t="str">
        <f>N2387&amp;AS[[#This Row],[Insurer Code]]&amp;"; "&amp;O2387&amp;AS[[#This Row],[Reporting Year]]&amp;"; "&amp;P2387&amp;AS[[#This Row],[Insurance Category Code]]&amp;"; "&amp;Q2387&amp;AS[[#This Row],[Large Provider Entity Code]]&amp;"; "&amp;R2387&amp;AS[[#This Row],[Age Band Code]]&amp;"; "&amp;S2387&amp;AS[[#This Row],[Sex Code]]</f>
        <v xml:space="preserve">Insurer Code ; Reporting Year ; Insurance Category Code ; Large Provider Entity Code ; Age Band Code ; Sex Code </v>
      </c>
      <c r="N2387" s="297" t="s">
        <v>197</v>
      </c>
      <c r="O2387" s="297" t="s">
        <v>198</v>
      </c>
      <c r="P2387" s="297" t="s">
        <v>199</v>
      </c>
      <c r="Q2387" s="297" t="s">
        <v>200</v>
      </c>
      <c r="R2387" s="297" t="s">
        <v>213</v>
      </c>
      <c r="S2387" s="297" t="s">
        <v>214</v>
      </c>
    </row>
    <row r="2388" spans="1:19" x14ac:dyDescent="0.4">
      <c r="A2388" s="291"/>
      <c r="B2388" s="292"/>
      <c r="C2388" s="312"/>
      <c r="D2388" s="292"/>
      <c r="E2388" s="489"/>
      <c r="F2388" s="489"/>
      <c r="G2388" s="490"/>
      <c r="H2388" s="520"/>
      <c r="I2388" s="523"/>
      <c r="J2388" s="521"/>
      <c r="K2388" s="522"/>
      <c r="M2388" s="301" t="str">
        <f>N2388&amp;AS[[#This Row],[Insurer Code]]&amp;"; "&amp;O2388&amp;AS[[#This Row],[Reporting Year]]&amp;"; "&amp;P2388&amp;AS[[#This Row],[Insurance Category Code]]&amp;"; "&amp;Q2388&amp;AS[[#This Row],[Large Provider Entity Code]]&amp;"; "&amp;R2388&amp;AS[[#This Row],[Age Band Code]]&amp;"; "&amp;S2388&amp;AS[[#This Row],[Sex Code]]</f>
        <v xml:space="preserve">Insurer Code ; Reporting Year ; Insurance Category Code ; Large Provider Entity Code ; Age Band Code ; Sex Code </v>
      </c>
      <c r="N2388" s="297" t="s">
        <v>197</v>
      </c>
      <c r="O2388" s="297" t="s">
        <v>198</v>
      </c>
      <c r="P2388" s="297" t="s">
        <v>199</v>
      </c>
      <c r="Q2388" s="297" t="s">
        <v>200</v>
      </c>
      <c r="R2388" s="297" t="s">
        <v>213</v>
      </c>
      <c r="S2388" s="297" t="s">
        <v>214</v>
      </c>
    </row>
    <row r="2389" spans="1:19" x14ac:dyDescent="0.4">
      <c r="A2389" s="291"/>
      <c r="B2389" s="292"/>
      <c r="C2389" s="312"/>
      <c r="D2389" s="292"/>
      <c r="E2389" s="489"/>
      <c r="F2389" s="489"/>
      <c r="G2389" s="490"/>
      <c r="H2389" s="520"/>
      <c r="I2389" s="523"/>
      <c r="J2389" s="521"/>
      <c r="K2389" s="522"/>
      <c r="M2389" s="301" t="str">
        <f>N2389&amp;AS[[#This Row],[Insurer Code]]&amp;"; "&amp;O2389&amp;AS[[#This Row],[Reporting Year]]&amp;"; "&amp;P2389&amp;AS[[#This Row],[Insurance Category Code]]&amp;"; "&amp;Q2389&amp;AS[[#This Row],[Large Provider Entity Code]]&amp;"; "&amp;R2389&amp;AS[[#This Row],[Age Band Code]]&amp;"; "&amp;S2389&amp;AS[[#This Row],[Sex Code]]</f>
        <v xml:space="preserve">Insurer Code ; Reporting Year ; Insurance Category Code ; Large Provider Entity Code ; Age Band Code ; Sex Code </v>
      </c>
      <c r="N2389" s="297" t="s">
        <v>197</v>
      </c>
      <c r="O2389" s="297" t="s">
        <v>198</v>
      </c>
      <c r="P2389" s="297" t="s">
        <v>199</v>
      </c>
      <c r="Q2389" s="297" t="s">
        <v>200</v>
      </c>
      <c r="R2389" s="297" t="s">
        <v>213</v>
      </c>
      <c r="S2389" s="297" t="s">
        <v>214</v>
      </c>
    </row>
    <row r="2390" spans="1:19" x14ac:dyDescent="0.4">
      <c r="A2390" s="291"/>
      <c r="B2390" s="292"/>
      <c r="C2390" s="312"/>
      <c r="D2390" s="292"/>
      <c r="E2390" s="489"/>
      <c r="F2390" s="489"/>
      <c r="G2390" s="490"/>
      <c r="H2390" s="520"/>
      <c r="I2390" s="523"/>
      <c r="J2390" s="521"/>
      <c r="K2390" s="522"/>
      <c r="M2390" s="301" t="str">
        <f>N2390&amp;AS[[#This Row],[Insurer Code]]&amp;"; "&amp;O2390&amp;AS[[#This Row],[Reporting Year]]&amp;"; "&amp;P2390&amp;AS[[#This Row],[Insurance Category Code]]&amp;"; "&amp;Q2390&amp;AS[[#This Row],[Large Provider Entity Code]]&amp;"; "&amp;R2390&amp;AS[[#This Row],[Age Band Code]]&amp;"; "&amp;S2390&amp;AS[[#This Row],[Sex Code]]</f>
        <v xml:space="preserve">Insurer Code ; Reporting Year ; Insurance Category Code ; Large Provider Entity Code ; Age Band Code ; Sex Code </v>
      </c>
      <c r="N2390" s="297" t="s">
        <v>197</v>
      </c>
      <c r="O2390" s="297" t="s">
        <v>198</v>
      </c>
      <c r="P2390" s="297" t="s">
        <v>199</v>
      </c>
      <c r="Q2390" s="297" t="s">
        <v>200</v>
      </c>
      <c r="R2390" s="297" t="s">
        <v>213</v>
      </c>
      <c r="S2390" s="297" t="s">
        <v>214</v>
      </c>
    </row>
    <row r="2391" spans="1:19" x14ac:dyDescent="0.4">
      <c r="A2391" s="291"/>
      <c r="B2391" s="292"/>
      <c r="C2391" s="312"/>
      <c r="D2391" s="292"/>
      <c r="E2391" s="489"/>
      <c r="F2391" s="489"/>
      <c r="G2391" s="490"/>
      <c r="H2391" s="520"/>
      <c r="I2391" s="523"/>
      <c r="J2391" s="521"/>
      <c r="K2391" s="522"/>
      <c r="M2391" s="301" t="str">
        <f>N2391&amp;AS[[#This Row],[Insurer Code]]&amp;"; "&amp;O2391&amp;AS[[#This Row],[Reporting Year]]&amp;"; "&amp;P2391&amp;AS[[#This Row],[Insurance Category Code]]&amp;"; "&amp;Q2391&amp;AS[[#This Row],[Large Provider Entity Code]]&amp;"; "&amp;R2391&amp;AS[[#This Row],[Age Band Code]]&amp;"; "&amp;S2391&amp;AS[[#This Row],[Sex Code]]</f>
        <v xml:space="preserve">Insurer Code ; Reporting Year ; Insurance Category Code ; Large Provider Entity Code ; Age Band Code ; Sex Code </v>
      </c>
      <c r="N2391" s="297" t="s">
        <v>197</v>
      </c>
      <c r="O2391" s="297" t="s">
        <v>198</v>
      </c>
      <c r="P2391" s="297" t="s">
        <v>199</v>
      </c>
      <c r="Q2391" s="297" t="s">
        <v>200</v>
      </c>
      <c r="R2391" s="297" t="s">
        <v>213</v>
      </c>
      <c r="S2391" s="297" t="s">
        <v>214</v>
      </c>
    </row>
    <row r="2392" spans="1:19" x14ac:dyDescent="0.4">
      <c r="A2392" s="291"/>
      <c r="B2392" s="292"/>
      <c r="C2392" s="312"/>
      <c r="D2392" s="292"/>
      <c r="E2392" s="489"/>
      <c r="F2392" s="489"/>
      <c r="G2392" s="490"/>
      <c r="H2392" s="520"/>
      <c r="I2392" s="523"/>
      <c r="J2392" s="521"/>
      <c r="K2392" s="522"/>
      <c r="M2392" s="301" t="str">
        <f>N2392&amp;AS[[#This Row],[Insurer Code]]&amp;"; "&amp;O2392&amp;AS[[#This Row],[Reporting Year]]&amp;"; "&amp;P2392&amp;AS[[#This Row],[Insurance Category Code]]&amp;"; "&amp;Q2392&amp;AS[[#This Row],[Large Provider Entity Code]]&amp;"; "&amp;R2392&amp;AS[[#This Row],[Age Band Code]]&amp;"; "&amp;S2392&amp;AS[[#This Row],[Sex Code]]</f>
        <v xml:space="preserve">Insurer Code ; Reporting Year ; Insurance Category Code ; Large Provider Entity Code ; Age Band Code ; Sex Code </v>
      </c>
      <c r="N2392" s="297" t="s">
        <v>197</v>
      </c>
      <c r="O2392" s="297" t="s">
        <v>198</v>
      </c>
      <c r="P2392" s="297" t="s">
        <v>199</v>
      </c>
      <c r="Q2392" s="297" t="s">
        <v>200</v>
      </c>
      <c r="R2392" s="297" t="s">
        <v>213</v>
      </c>
      <c r="S2392" s="297" t="s">
        <v>214</v>
      </c>
    </row>
    <row r="2393" spans="1:19" x14ac:dyDescent="0.4">
      <c r="A2393" s="291"/>
      <c r="B2393" s="292"/>
      <c r="C2393" s="312"/>
      <c r="D2393" s="292"/>
      <c r="E2393" s="489"/>
      <c r="F2393" s="489"/>
      <c r="G2393" s="490"/>
      <c r="H2393" s="520"/>
      <c r="I2393" s="523"/>
      <c r="J2393" s="521"/>
      <c r="K2393" s="522"/>
      <c r="M2393" s="301" t="str">
        <f>N2393&amp;AS[[#This Row],[Insurer Code]]&amp;"; "&amp;O2393&amp;AS[[#This Row],[Reporting Year]]&amp;"; "&amp;P2393&amp;AS[[#This Row],[Insurance Category Code]]&amp;"; "&amp;Q2393&amp;AS[[#This Row],[Large Provider Entity Code]]&amp;"; "&amp;R2393&amp;AS[[#This Row],[Age Band Code]]&amp;"; "&amp;S2393&amp;AS[[#This Row],[Sex Code]]</f>
        <v xml:space="preserve">Insurer Code ; Reporting Year ; Insurance Category Code ; Large Provider Entity Code ; Age Band Code ; Sex Code </v>
      </c>
      <c r="N2393" s="297" t="s">
        <v>197</v>
      </c>
      <c r="O2393" s="297" t="s">
        <v>198</v>
      </c>
      <c r="P2393" s="297" t="s">
        <v>199</v>
      </c>
      <c r="Q2393" s="297" t="s">
        <v>200</v>
      </c>
      <c r="R2393" s="297" t="s">
        <v>213</v>
      </c>
      <c r="S2393" s="297" t="s">
        <v>214</v>
      </c>
    </row>
    <row r="2394" spans="1:19" x14ac:dyDescent="0.4">
      <c r="A2394" s="291"/>
      <c r="B2394" s="292"/>
      <c r="C2394" s="312"/>
      <c r="D2394" s="292"/>
      <c r="E2394" s="489"/>
      <c r="F2394" s="489"/>
      <c r="G2394" s="490"/>
      <c r="H2394" s="520"/>
      <c r="I2394" s="523"/>
      <c r="J2394" s="521"/>
      <c r="K2394" s="522"/>
      <c r="M2394" s="301" t="str">
        <f>N2394&amp;AS[[#This Row],[Insurer Code]]&amp;"; "&amp;O2394&amp;AS[[#This Row],[Reporting Year]]&amp;"; "&amp;P2394&amp;AS[[#This Row],[Insurance Category Code]]&amp;"; "&amp;Q2394&amp;AS[[#This Row],[Large Provider Entity Code]]&amp;"; "&amp;R2394&amp;AS[[#This Row],[Age Band Code]]&amp;"; "&amp;S2394&amp;AS[[#This Row],[Sex Code]]</f>
        <v xml:space="preserve">Insurer Code ; Reporting Year ; Insurance Category Code ; Large Provider Entity Code ; Age Band Code ; Sex Code </v>
      </c>
      <c r="N2394" s="297" t="s">
        <v>197</v>
      </c>
      <c r="O2394" s="297" t="s">
        <v>198</v>
      </c>
      <c r="P2394" s="297" t="s">
        <v>199</v>
      </c>
      <c r="Q2394" s="297" t="s">
        <v>200</v>
      </c>
      <c r="R2394" s="297" t="s">
        <v>213</v>
      </c>
      <c r="S2394" s="297" t="s">
        <v>214</v>
      </c>
    </row>
    <row r="2395" spans="1:19" x14ac:dyDescent="0.4">
      <c r="A2395" s="291"/>
      <c r="B2395" s="292"/>
      <c r="C2395" s="312"/>
      <c r="D2395" s="292"/>
      <c r="E2395" s="489"/>
      <c r="F2395" s="489"/>
      <c r="G2395" s="490"/>
      <c r="H2395" s="520"/>
      <c r="I2395" s="523"/>
      <c r="J2395" s="521"/>
      <c r="K2395" s="522"/>
      <c r="M2395" s="301" t="str">
        <f>N2395&amp;AS[[#This Row],[Insurer Code]]&amp;"; "&amp;O2395&amp;AS[[#This Row],[Reporting Year]]&amp;"; "&amp;P2395&amp;AS[[#This Row],[Insurance Category Code]]&amp;"; "&amp;Q2395&amp;AS[[#This Row],[Large Provider Entity Code]]&amp;"; "&amp;R2395&amp;AS[[#This Row],[Age Band Code]]&amp;"; "&amp;S2395&amp;AS[[#This Row],[Sex Code]]</f>
        <v xml:space="preserve">Insurer Code ; Reporting Year ; Insurance Category Code ; Large Provider Entity Code ; Age Band Code ; Sex Code </v>
      </c>
      <c r="N2395" s="297" t="s">
        <v>197</v>
      </c>
      <c r="O2395" s="297" t="s">
        <v>198</v>
      </c>
      <c r="P2395" s="297" t="s">
        <v>199</v>
      </c>
      <c r="Q2395" s="297" t="s">
        <v>200</v>
      </c>
      <c r="R2395" s="297" t="s">
        <v>213</v>
      </c>
      <c r="S2395" s="297" t="s">
        <v>214</v>
      </c>
    </row>
    <row r="2396" spans="1:19" x14ac:dyDescent="0.4">
      <c r="A2396" s="291"/>
      <c r="B2396" s="292"/>
      <c r="C2396" s="312"/>
      <c r="D2396" s="292"/>
      <c r="E2396" s="489"/>
      <c r="F2396" s="489"/>
      <c r="G2396" s="490"/>
      <c r="H2396" s="520"/>
      <c r="I2396" s="523"/>
      <c r="J2396" s="521"/>
      <c r="K2396" s="522"/>
      <c r="M2396" s="301" t="str">
        <f>N2396&amp;AS[[#This Row],[Insurer Code]]&amp;"; "&amp;O2396&amp;AS[[#This Row],[Reporting Year]]&amp;"; "&amp;P2396&amp;AS[[#This Row],[Insurance Category Code]]&amp;"; "&amp;Q2396&amp;AS[[#This Row],[Large Provider Entity Code]]&amp;"; "&amp;R2396&amp;AS[[#This Row],[Age Band Code]]&amp;"; "&amp;S2396&amp;AS[[#This Row],[Sex Code]]</f>
        <v xml:space="preserve">Insurer Code ; Reporting Year ; Insurance Category Code ; Large Provider Entity Code ; Age Band Code ; Sex Code </v>
      </c>
      <c r="N2396" s="297" t="s">
        <v>197</v>
      </c>
      <c r="O2396" s="297" t="s">
        <v>198</v>
      </c>
      <c r="P2396" s="297" t="s">
        <v>199</v>
      </c>
      <c r="Q2396" s="297" t="s">
        <v>200</v>
      </c>
      <c r="R2396" s="297" t="s">
        <v>213</v>
      </c>
      <c r="S2396" s="297" t="s">
        <v>214</v>
      </c>
    </row>
    <row r="2397" spans="1:19" x14ac:dyDescent="0.4">
      <c r="A2397" s="291"/>
      <c r="B2397" s="292"/>
      <c r="C2397" s="312"/>
      <c r="D2397" s="292"/>
      <c r="E2397" s="489"/>
      <c r="F2397" s="489"/>
      <c r="G2397" s="490"/>
      <c r="H2397" s="520"/>
      <c r="I2397" s="523"/>
      <c r="J2397" s="521"/>
      <c r="K2397" s="522"/>
      <c r="M2397" s="301" t="str">
        <f>N2397&amp;AS[[#This Row],[Insurer Code]]&amp;"; "&amp;O2397&amp;AS[[#This Row],[Reporting Year]]&amp;"; "&amp;P2397&amp;AS[[#This Row],[Insurance Category Code]]&amp;"; "&amp;Q2397&amp;AS[[#This Row],[Large Provider Entity Code]]&amp;"; "&amp;R2397&amp;AS[[#This Row],[Age Band Code]]&amp;"; "&amp;S2397&amp;AS[[#This Row],[Sex Code]]</f>
        <v xml:space="preserve">Insurer Code ; Reporting Year ; Insurance Category Code ; Large Provider Entity Code ; Age Band Code ; Sex Code </v>
      </c>
      <c r="N2397" s="297" t="s">
        <v>197</v>
      </c>
      <c r="O2397" s="297" t="s">
        <v>198</v>
      </c>
      <c r="P2397" s="297" t="s">
        <v>199</v>
      </c>
      <c r="Q2397" s="297" t="s">
        <v>200</v>
      </c>
      <c r="R2397" s="297" t="s">
        <v>213</v>
      </c>
      <c r="S2397" s="297" t="s">
        <v>214</v>
      </c>
    </row>
    <row r="2398" spans="1:19" x14ac:dyDescent="0.4">
      <c r="A2398" s="291"/>
      <c r="B2398" s="292"/>
      <c r="C2398" s="312"/>
      <c r="D2398" s="292"/>
      <c r="E2398" s="489"/>
      <c r="F2398" s="489"/>
      <c r="G2398" s="490"/>
      <c r="H2398" s="520"/>
      <c r="I2398" s="523"/>
      <c r="J2398" s="521"/>
      <c r="K2398" s="522"/>
      <c r="M2398" s="301" t="str">
        <f>N2398&amp;AS[[#This Row],[Insurer Code]]&amp;"; "&amp;O2398&amp;AS[[#This Row],[Reporting Year]]&amp;"; "&amp;P2398&amp;AS[[#This Row],[Insurance Category Code]]&amp;"; "&amp;Q2398&amp;AS[[#This Row],[Large Provider Entity Code]]&amp;"; "&amp;R2398&amp;AS[[#This Row],[Age Band Code]]&amp;"; "&amp;S2398&amp;AS[[#This Row],[Sex Code]]</f>
        <v xml:space="preserve">Insurer Code ; Reporting Year ; Insurance Category Code ; Large Provider Entity Code ; Age Band Code ; Sex Code </v>
      </c>
      <c r="N2398" s="297" t="s">
        <v>197</v>
      </c>
      <c r="O2398" s="297" t="s">
        <v>198</v>
      </c>
      <c r="P2398" s="297" t="s">
        <v>199</v>
      </c>
      <c r="Q2398" s="297" t="s">
        <v>200</v>
      </c>
      <c r="R2398" s="297" t="s">
        <v>213</v>
      </c>
      <c r="S2398" s="297" t="s">
        <v>214</v>
      </c>
    </row>
    <row r="2399" spans="1:19" x14ac:dyDescent="0.4">
      <c r="A2399" s="291"/>
      <c r="B2399" s="292"/>
      <c r="C2399" s="312"/>
      <c r="D2399" s="292"/>
      <c r="E2399" s="489"/>
      <c r="F2399" s="489"/>
      <c r="G2399" s="490"/>
      <c r="H2399" s="520"/>
      <c r="I2399" s="523"/>
      <c r="J2399" s="521"/>
      <c r="K2399" s="522"/>
      <c r="M2399" s="301" t="str">
        <f>N2399&amp;AS[[#This Row],[Insurer Code]]&amp;"; "&amp;O2399&amp;AS[[#This Row],[Reporting Year]]&amp;"; "&amp;P2399&amp;AS[[#This Row],[Insurance Category Code]]&amp;"; "&amp;Q2399&amp;AS[[#This Row],[Large Provider Entity Code]]&amp;"; "&amp;R2399&amp;AS[[#This Row],[Age Band Code]]&amp;"; "&amp;S2399&amp;AS[[#This Row],[Sex Code]]</f>
        <v xml:space="preserve">Insurer Code ; Reporting Year ; Insurance Category Code ; Large Provider Entity Code ; Age Band Code ; Sex Code </v>
      </c>
      <c r="N2399" s="297" t="s">
        <v>197</v>
      </c>
      <c r="O2399" s="297" t="s">
        <v>198</v>
      </c>
      <c r="P2399" s="297" t="s">
        <v>199</v>
      </c>
      <c r="Q2399" s="297" t="s">
        <v>200</v>
      </c>
      <c r="R2399" s="297" t="s">
        <v>213</v>
      </c>
      <c r="S2399" s="297" t="s">
        <v>214</v>
      </c>
    </row>
    <row r="2400" spans="1:19" x14ac:dyDescent="0.4">
      <c r="A2400" s="291"/>
      <c r="B2400" s="292"/>
      <c r="C2400" s="312"/>
      <c r="D2400" s="292"/>
      <c r="E2400" s="489"/>
      <c r="F2400" s="489"/>
      <c r="G2400" s="490"/>
      <c r="H2400" s="520"/>
      <c r="I2400" s="523"/>
      <c r="J2400" s="521"/>
      <c r="K2400" s="522"/>
      <c r="M2400" s="301" t="str">
        <f>N2400&amp;AS[[#This Row],[Insurer Code]]&amp;"; "&amp;O2400&amp;AS[[#This Row],[Reporting Year]]&amp;"; "&amp;P2400&amp;AS[[#This Row],[Insurance Category Code]]&amp;"; "&amp;Q2400&amp;AS[[#This Row],[Large Provider Entity Code]]&amp;"; "&amp;R2400&amp;AS[[#This Row],[Age Band Code]]&amp;"; "&amp;S2400&amp;AS[[#This Row],[Sex Code]]</f>
        <v xml:space="preserve">Insurer Code ; Reporting Year ; Insurance Category Code ; Large Provider Entity Code ; Age Band Code ; Sex Code </v>
      </c>
      <c r="N2400" s="297" t="s">
        <v>197</v>
      </c>
      <c r="O2400" s="297" t="s">
        <v>198</v>
      </c>
      <c r="P2400" s="297" t="s">
        <v>199</v>
      </c>
      <c r="Q2400" s="297" t="s">
        <v>200</v>
      </c>
      <c r="R2400" s="297" t="s">
        <v>213</v>
      </c>
      <c r="S2400" s="297" t="s">
        <v>214</v>
      </c>
    </row>
    <row r="2401" spans="1:19" x14ac:dyDescent="0.4">
      <c r="A2401" s="291"/>
      <c r="B2401" s="292"/>
      <c r="C2401" s="312"/>
      <c r="D2401" s="292"/>
      <c r="E2401" s="489"/>
      <c r="F2401" s="489"/>
      <c r="G2401" s="490"/>
      <c r="H2401" s="520"/>
      <c r="I2401" s="523"/>
      <c r="J2401" s="521"/>
      <c r="K2401" s="522"/>
      <c r="M2401" s="301" t="str">
        <f>N2401&amp;AS[[#This Row],[Insurer Code]]&amp;"; "&amp;O2401&amp;AS[[#This Row],[Reporting Year]]&amp;"; "&amp;P2401&amp;AS[[#This Row],[Insurance Category Code]]&amp;"; "&amp;Q2401&amp;AS[[#This Row],[Large Provider Entity Code]]&amp;"; "&amp;R2401&amp;AS[[#This Row],[Age Band Code]]&amp;"; "&amp;S2401&amp;AS[[#This Row],[Sex Code]]</f>
        <v xml:space="preserve">Insurer Code ; Reporting Year ; Insurance Category Code ; Large Provider Entity Code ; Age Band Code ; Sex Code </v>
      </c>
      <c r="N2401" s="297" t="s">
        <v>197</v>
      </c>
      <c r="O2401" s="297" t="s">
        <v>198</v>
      </c>
      <c r="P2401" s="297" t="s">
        <v>199</v>
      </c>
      <c r="Q2401" s="297" t="s">
        <v>200</v>
      </c>
      <c r="R2401" s="297" t="s">
        <v>213</v>
      </c>
      <c r="S2401" s="297" t="s">
        <v>214</v>
      </c>
    </row>
    <row r="2402" spans="1:19" x14ac:dyDescent="0.4">
      <c r="A2402" s="291"/>
      <c r="B2402" s="292"/>
      <c r="C2402" s="312"/>
      <c r="D2402" s="292"/>
      <c r="E2402" s="489"/>
      <c r="F2402" s="489"/>
      <c r="G2402" s="490"/>
      <c r="H2402" s="520"/>
      <c r="I2402" s="523"/>
      <c r="J2402" s="521"/>
      <c r="K2402" s="522"/>
      <c r="M2402" s="301" t="str">
        <f>N2402&amp;AS[[#This Row],[Insurer Code]]&amp;"; "&amp;O2402&amp;AS[[#This Row],[Reporting Year]]&amp;"; "&amp;P2402&amp;AS[[#This Row],[Insurance Category Code]]&amp;"; "&amp;Q2402&amp;AS[[#This Row],[Large Provider Entity Code]]&amp;"; "&amp;R2402&amp;AS[[#This Row],[Age Band Code]]&amp;"; "&amp;S2402&amp;AS[[#This Row],[Sex Code]]</f>
        <v xml:space="preserve">Insurer Code ; Reporting Year ; Insurance Category Code ; Large Provider Entity Code ; Age Band Code ; Sex Code </v>
      </c>
      <c r="N2402" s="297" t="s">
        <v>197</v>
      </c>
      <c r="O2402" s="297" t="s">
        <v>198</v>
      </c>
      <c r="P2402" s="297" t="s">
        <v>199</v>
      </c>
      <c r="Q2402" s="297" t="s">
        <v>200</v>
      </c>
      <c r="R2402" s="297" t="s">
        <v>213</v>
      </c>
      <c r="S2402" s="297" t="s">
        <v>214</v>
      </c>
    </row>
    <row r="2403" spans="1:19" x14ac:dyDescent="0.4">
      <c r="A2403" s="291"/>
      <c r="B2403" s="292"/>
      <c r="C2403" s="312"/>
      <c r="D2403" s="292"/>
      <c r="E2403" s="489"/>
      <c r="F2403" s="489"/>
      <c r="G2403" s="490"/>
      <c r="H2403" s="520"/>
      <c r="I2403" s="523"/>
      <c r="J2403" s="521"/>
      <c r="K2403" s="522"/>
      <c r="M2403" s="301" t="str">
        <f>N2403&amp;AS[[#This Row],[Insurer Code]]&amp;"; "&amp;O2403&amp;AS[[#This Row],[Reporting Year]]&amp;"; "&amp;P2403&amp;AS[[#This Row],[Insurance Category Code]]&amp;"; "&amp;Q2403&amp;AS[[#This Row],[Large Provider Entity Code]]&amp;"; "&amp;R2403&amp;AS[[#This Row],[Age Band Code]]&amp;"; "&amp;S2403&amp;AS[[#This Row],[Sex Code]]</f>
        <v xml:space="preserve">Insurer Code ; Reporting Year ; Insurance Category Code ; Large Provider Entity Code ; Age Band Code ; Sex Code </v>
      </c>
      <c r="N2403" s="297" t="s">
        <v>197</v>
      </c>
      <c r="O2403" s="297" t="s">
        <v>198</v>
      </c>
      <c r="P2403" s="297" t="s">
        <v>199</v>
      </c>
      <c r="Q2403" s="297" t="s">
        <v>200</v>
      </c>
      <c r="R2403" s="297" t="s">
        <v>213</v>
      </c>
      <c r="S2403" s="297" t="s">
        <v>214</v>
      </c>
    </row>
    <row r="2404" spans="1:19" x14ac:dyDescent="0.4">
      <c r="A2404" s="291"/>
      <c r="B2404" s="292"/>
      <c r="C2404" s="312"/>
      <c r="D2404" s="292"/>
      <c r="E2404" s="489"/>
      <c r="F2404" s="489"/>
      <c r="G2404" s="490"/>
      <c r="H2404" s="520"/>
      <c r="I2404" s="523"/>
      <c r="J2404" s="521"/>
      <c r="K2404" s="522"/>
      <c r="M2404" s="301" t="str">
        <f>N2404&amp;AS[[#This Row],[Insurer Code]]&amp;"; "&amp;O2404&amp;AS[[#This Row],[Reporting Year]]&amp;"; "&amp;P2404&amp;AS[[#This Row],[Insurance Category Code]]&amp;"; "&amp;Q2404&amp;AS[[#This Row],[Large Provider Entity Code]]&amp;"; "&amp;R2404&amp;AS[[#This Row],[Age Band Code]]&amp;"; "&amp;S2404&amp;AS[[#This Row],[Sex Code]]</f>
        <v xml:space="preserve">Insurer Code ; Reporting Year ; Insurance Category Code ; Large Provider Entity Code ; Age Band Code ; Sex Code </v>
      </c>
      <c r="N2404" s="297" t="s">
        <v>197</v>
      </c>
      <c r="O2404" s="297" t="s">
        <v>198</v>
      </c>
      <c r="P2404" s="297" t="s">
        <v>199</v>
      </c>
      <c r="Q2404" s="297" t="s">
        <v>200</v>
      </c>
      <c r="R2404" s="297" t="s">
        <v>213</v>
      </c>
      <c r="S2404" s="297" t="s">
        <v>214</v>
      </c>
    </row>
    <row r="2405" spans="1:19" x14ac:dyDescent="0.4">
      <c r="A2405" s="291"/>
      <c r="B2405" s="292"/>
      <c r="C2405" s="312"/>
      <c r="D2405" s="292"/>
      <c r="E2405" s="489"/>
      <c r="F2405" s="489"/>
      <c r="G2405" s="490"/>
      <c r="H2405" s="520"/>
      <c r="I2405" s="523"/>
      <c r="J2405" s="521"/>
      <c r="K2405" s="522"/>
      <c r="M2405" s="301" t="str">
        <f>N2405&amp;AS[[#This Row],[Insurer Code]]&amp;"; "&amp;O2405&amp;AS[[#This Row],[Reporting Year]]&amp;"; "&amp;P2405&amp;AS[[#This Row],[Insurance Category Code]]&amp;"; "&amp;Q2405&amp;AS[[#This Row],[Large Provider Entity Code]]&amp;"; "&amp;R2405&amp;AS[[#This Row],[Age Band Code]]&amp;"; "&amp;S2405&amp;AS[[#This Row],[Sex Code]]</f>
        <v xml:space="preserve">Insurer Code ; Reporting Year ; Insurance Category Code ; Large Provider Entity Code ; Age Band Code ; Sex Code </v>
      </c>
      <c r="N2405" s="297" t="s">
        <v>197</v>
      </c>
      <c r="O2405" s="297" t="s">
        <v>198</v>
      </c>
      <c r="P2405" s="297" t="s">
        <v>199</v>
      </c>
      <c r="Q2405" s="297" t="s">
        <v>200</v>
      </c>
      <c r="R2405" s="297" t="s">
        <v>213</v>
      </c>
      <c r="S2405" s="297" t="s">
        <v>214</v>
      </c>
    </row>
    <row r="2406" spans="1:19" x14ac:dyDescent="0.4">
      <c r="A2406" s="291"/>
      <c r="B2406" s="292"/>
      <c r="C2406" s="312"/>
      <c r="D2406" s="292"/>
      <c r="E2406" s="489"/>
      <c r="F2406" s="489"/>
      <c r="G2406" s="490"/>
      <c r="H2406" s="520"/>
      <c r="I2406" s="523"/>
      <c r="J2406" s="521"/>
      <c r="K2406" s="522"/>
      <c r="M2406" s="301" t="str">
        <f>N2406&amp;AS[[#This Row],[Insurer Code]]&amp;"; "&amp;O2406&amp;AS[[#This Row],[Reporting Year]]&amp;"; "&amp;P2406&amp;AS[[#This Row],[Insurance Category Code]]&amp;"; "&amp;Q2406&amp;AS[[#This Row],[Large Provider Entity Code]]&amp;"; "&amp;R2406&amp;AS[[#This Row],[Age Band Code]]&amp;"; "&amp;S2406&amp;AS[[#This Row],[Sex Code]]</f>
        <v xml:space="preserve">Insurer Code ; Reporting Year ; Insurance Category Code ; Large Provider Entity Code ; Age Band Code ; Sex Code </v>
      </c>
      <c r="N2406" s="297" t="s">
        <v>197</v>
      </c>
      <c r="O2406" s="297" t="s">
        <v>198</v>
      </c>
      <c r="P2406" s="297" t="s">
        <v>199</v>
      </c>
      <c r="Q2406" s="297" t="s">
        <v>200</v>
      </c>
      <c r="R2406" s="297" t="s">
        <v>213</v>
      </c>
      <c r="S2406" s="297" t="s">
        <v>214</v>
      </c>
    </row>
    <row r="2407" spans="1:19" x14ac:dyDescent="0.4">
      <c r="A2407" s="291"/>
      <c r="B2407" s="292"/>
      <c r="C2407" s="312"/>
      <c r="D2407" s="292"/>
      <c r="E2407" s="489"/>
      <c r="F2407" s="489"/>
      <c r="G2407" s="490"/>
      <c r="H2407" s="520"/>
      <c r="I2407" s="523"/>
      <c r="J2407" s="521"/>
      <c r="K2407" s="522"/>
      <c r="M2407" s="301" t="str">
        <f>N2407&amp;AS[[#This Row],[Insurer Code]]&amp;"; "&amp;O2407&amp;AS[[#This Row],[Reporting Year]]&amp;"; "&amp;P2407&amp;AS[[#This Row],[Insurance Category Code]]&amp;"; "&amp;Q2407&amp;AS[[#This Row],[Large Provider Entity Code]]&amp;"; "&amp;R2407&amp;AS[[#This Row],[Age Band Code]]&amp;"; "&amp;S2407&amp;AS[[#This Row],[Sex Code]]</f>
        <v xml:space="preserve">Insurer Code ; Reporting Year ; Insurance Category Code ; Large Provider Entity Code ; Age Band Code ; Sex Code </v>
      </c>
      <c r="N2407" s="297" t="s">
        <v>197</v>
      </c>
      <c r="O2407" s="297" t="s">
        <v>198</v>
      </c>
      <c r="P2407" s="297" t="s">
        <v>199</v>
      </c>
      <c r="Q2407" s="297" t="s">
        <v>200</v>
      </c>
      <c r="R2407" s="297" t="s">
        <v>213</v>
      </c>
      <c r="S2407" s="297" t="s">
        <v>214</v>
      </c>
    </row>
    <row r="2408" spans="1:19" x14ac:dyDescent="0.4">
      <c r="A2408" s="291"/>
      <c r="B2408" s="292"/>
      <c r="C2408" s="312"/>
      <c r="D2408" s="292"/>
      <c r="E2408" s="489"/>
      <c r="F2408" s="489"/>
      <c r="G2408" s="490"/>
      <c r="H2408" s="520"/>
      <c r="I2408" s="523"/>
      <c r="J2408" s="521"/>
      <c r="K2408" s="522"/>
      <c r="M2408" s="301" t="str">
        <f>N2408&amp;AS[[#This Row],[Insurer Code]]&amp;"; "&amp;O2408&amp;AS[[#This Row],[Reporting Year]]&amp;"; "&amp;P2408&amp;AS[[#This Row],[Insurance Category Code]]&amp;"; "&amp;Q2408&amp;AS[[#This Row],[Large Provider Entity Code]]&amp;"; "&amp;R2408&amp;AS[[#This Row],[Age Band Code]]&amp;"; "&amp;S2408&amp;AS[[#This Row],[Sex Code]]</f>
        <v xml:space="preserve">Insurer Code ; Reporting Year ; Insurance Category Code ; Large Provider Entity Code ; Age Band Code ; Sex Code </v>
      </c>
      <c r="N2408" s="297" t="s">
        <v>197</v>
      </c>
      <c r="O2408" s="297" t="s">
        <v>198</v>
      </c>
      <c r="P2408" s="297" t="s">
        <v>199</v>
      </c>
      <c r="Q2408" s="297" t="s">
        <v>200</v>
      </c>
      <c r="R2408" s="297" t="s">
        <v>213</v>
      </c>
      <c r="S2408" s="297" t="s">
        <v>214</v>
      </c>
    </row>
    <row r="2409" spans="1:19" x14ac:dyDescent="0.4">
      <c r="A2409" s="291"/>
      <c r="B2409" s="292"/>
      <c r="C2409" s="312"/>
      <c r="D2409" s="292"/>
      <c r="E2409" s="489"/>
      <c r="F2409" s="489"/>
      <c r="G2409" s="490"/>
      <c r="H2409" s="520"/>
      <c r="I2409" s="523"/>
      <c r="J2409" s="521"/>
      <c r="K2409" s="522"/>
      <c r="M2409" s="301" t="str">
        <f>N2409&amp;AS[[#This Row],[Insurer Code]]&amp;"; "&amp;O2409&amp;AS[[#This Row],[Reporting Year]]&amp;"; "&amp;P2409&amp;AS[[#This Row],[Insurance Category Code]]&amp;"; "&amp;Q2409&amp;AS[[#This Row],[Large Provider Entity Code]]&amp;"; "&amp;R2409&amp;AS[[#This Row],[Age Band Code]]&amp;"; "&amp;S2409&amp;AS[[#This Row],[Sex Code]]</f>
        <v xml:space="preserve">Insurer Code ; Reporting Year ; Insurance Category Code ; Large Provider Entity Code ; Age Band Code ; Sex Code </v>
      </c>
      <c r="N2409" s="297" t="s">
        <v>197</v>
      </c>
      <c r="O2409" s="297" t="s">
        <v>198</v>
      </c>
      <c r="P2409" s="297" t="s">
        <v>199</v>
      </c>
      <c r="Q2409" s="297" t="s">
        <v>200</v>
      </c>
      <c r="R2409" s="297" t="s">
        <v>213</v>
      </c>
      <c r="S2409" s="297" t="s">
        <v>214</v>
      </c>
    </row>
    <row r="2410" spans="1:19" x14ac:dyDescent="0.4">
      <c r="A2410" s="291"/>
      <c r="B2410" s="292"/>
      <c r="C2410" s="312"/>
      <c r="D2410" s="292"/>
      <c r="E2410" s="489"/>
      <c r="F2410" s="489"/>
      <c r="G2410" s="490"/>
      <c r="H2410" s="520"/>
      <c r="I2410" s="523"/>
      <c r="J2410" s="521"/>
      <c r="K2410" s="522"/>
      <c r="M2410" s="301" t="str">
        <f>N2410&amp;AS[[#This Row],[Insurer Code]]&amp;"; "&amp;O2410&amp;AS[[#This Row],[Reporting Year]]&amp;"; "&amp;P2410&amp;AS[[#This Row],[Insurance Category Code]]&amp;"; "&amp;Q2410&amp;AS[[#This Row],[Large Provider Entity Code]]&amp;"; "&amp;R2410&amp;AS[[#This Row],[Age Band Code]]&amp;"; "&amp;S2410&amp;AS[[#This Row],[Sex Code]]</f>
        <v xml:space="preserve">Insurer Code ; Reporting Year ; Insurance Category Code ; Large Provider Entity Code ; Age Band Code ; Sex Code </v>
      </c>
      <c r="N2410" s="297" t="s">
        <v>197</v>
      </c>
      <c r="O2410" s="297" t="s">
        <v>198</v>
      </c>
      <c r="P2410" s="297" t="s">
        <v>199</v>
      </c>
      <c r="Q2410" s="297" t="s">
        <v>200</v>
      </c>
      <c r="R2410" s="297" t="s">
        <v>213</v>
      </c>
      <c r="S2410" s="297" t="s">
        <v>214</v>
      </c>
    </row>
    <row r="2411" spans="1:19" x14ac:dyDescent="0.4">
      <c r="A2411" s="291"/>
      <c r="B2411" s="292"/>
      <c r="C2411" s="312"/>
      <c r="D2411" s="292"/>
      <c r="E2411" s="489"/>
      <c r="F2411" s="489"/>
      <c r="G2411" s="490"/>
      <c r="H2411" s="520"/>
      <c r="I2411" s="523"/>
      <c r="J2411" s="521"/>
      <c r="K2411" s="522"/>
      <c r="M2411" s="301" t="str">
        <f>N2411&amp;AS[[#This Row],[Insurer Code]]&amp;"; "&amp;O2411&amp;AS[[#This Row],[Reporting Year]]&amp;"; "&amp;P2411&amp;AS[[#This Row],[Insurance Category Code]]&amp;"; "&amp;Q2411&amp;AS[[#This Row],[Large Provider Entity Code]]&amp;"; "&amp;R2411&amp;AS[[#This Row],[Age Band Code]]&amp;"; "&amp;S2411&amp;AS[[#This Row],[Sex Code]]</f>
        <v xml:space="preserve">Insurer Code ; Reporting Year ; Insurance Category Code ; Large Provider Entity Code ; Age Band Code ; Sex Code </v>
      </c>
      <c r="N2411" s="297" t="s">
        <v>197</v>
      </c>
      <c r="O2411" s="297" t="s">
        <v>198</v>
      </c>
      <c r="P2411" s="297" t="s">
        <v>199</v>
      </c>
      <c r="Q2411" s="297" t="s">
        <v>200</v>
      </c>
      <c r="R2411" s="297" t="s">
        <v>213</v>
      </c>
      <c r="S2411" s="297" t="s">
        <v>214</v>
      </c>
    </row>
    <row r="2412" spans="1:19" x14ac:dyDescent="0.4">
      <c r="A2412" s="291"/>
      <c r="B2412" s="292"/>
      <c r="C2412" s="312"/>
      <c r="D2412" s="292"/>
      <c r="E2412" s="489"/>
      <c r="F2412" s="489"/>
      <c r="G2412" s="490"/>
      <c r="H2412" s="520"/>
      <c r="I2412" s="523"/>
      <c r="J2412" s="521"/>
      <c r="K2412" s="522"/>
      <c r="M2412" s="301" t="str">
        <f>N2412&amp;AS[[#This Row],[Insurer Code]]&amp;"; "&amp;O2412&amp;AS[[#This Row],[Reporting Year]]&amp;"; "&amp;P2412&amp;AS[[#This Row],[Insurance Category Code]]&amp;"; "&amp;Q2412&amp;AS[[#This Row],[Large Provider Entity Code]]&amp;"; "&amp;R2412&amp;AS[[#This Row],[Age Band Code]]&amp;"; "&amp;S2412&amp;AS[[#This Row],[Sex Code]]</f>
        <v xml:space="preserve">Insurer Code ; Reporting Year ; Insurance Category Code ; Large Provider Entity Code ; Age Band Code ; Sex Code </v>
      </c>
      <c r="N2412" s="297" t="s">
        <v>197</v>
      </c>
      <c r="O2412" s="297" t="s">
        <v>198</v>
      </c>
      <c r="P2412" s="297" t="s">
        <v>199</v>
      </c>
      <c r="Q2412" s="297" t="s">
        <v>200</v>
      </c>
      <c r="R2412" s="297" t="s">
        <v>213</v>
      </c>
      <c r="S2412" s="297" t="s">
        <v>214</v>
      </c>
    </row>
    <row r="2413" spans="1:19" x14ac:dyDescent="0.4">
      <c r="A2413" s="291"/>
      <c r="B2413" s="292"/>
      <c r="C2413" s="312"/>
      <c r="D2413" s="292"/>
      <c r="E2413" s="489"/>
      <c r="F2413" s="489"/>
      <c r="G2413" s="490"/>
      <c r="H2413" s="520"/>
      <c r="I2413" s="523"/>
      <c r="J2413" s="521"/>
      <c r="K2413" s="522"/>
      <c r="M2413" s="301" t="str">
        <f>N2413&amp;AS[[#This Row],[Insurer Code]]&amp;"; "&amp;O2413&amp;AS[[#This Row],[Reporting Year]]&amp;"; "&amp;P2413&amp;AS[[#This Row],[Insurance Category Code]]&amp;"; "&amp;Q2413&amp;AS[[#This Row],[Large Provider Entity Code]]&amp;"; "&amp;R2413&amp;AS[[#This Row],[Age Band Code]]&amp;"; "&amp;S2413&amp;AS[[#This Row],[Sex Code]]</f>
        <v xml:space="preserve">Insurer Code ; Reporting Year ; Insurance Category Code ; Large Provider Entity Code ; Age Band Code ; Sex Code </v>
      </c>
      <c r="N2413" s="297" t="s">
        <v>197</v>
      </c>
      <c r="O2413" s="297" t="s">
        <v>198</v>
      </c>
      <c r="P2413" s="297" t="s">
        <v>199</v>
      </c>
      <c r="Q2413" s="297" t="s">
        <v>200</v>
      </c>
      <c r="R2413" s="297" t="s">
        <v>213</v>
      </c>
      <c r="S2413" s="297" t="s">
        <v>214</v>
      </c>
    </row>
    <row r="2414" spans="1:19" x14ac:dyDescent="0.4">
      <c r="A2414" s="291"/>
      <c r="B2414" s="292"/>
      <c r="C2414" s="312"/>
      <c r="D2414" s="292"/>
      <c r="E2414" s="489"/>
      <c r="F2414" s="489"/>
      <c r="G2414" s="490"/>
      <c r="H2414" s="520"/>
      <c r="I2414" s="523"/>
      <c r="J2414" s="521"/>
      <c r="K2414" s="522"/>
      <c r="M2414" s="301" t="str">
        <f>N2414&amp;AS[[#This Row],[Insurer Code]]&amp;"; "&amp;O2414&amp;AS[[#This Row],[Reporting Year]]&amp;"; "&amp;P2414&amp;AS[[#This Row],[Insurance Category Code]]&amp;"; "&amp;Q2414&amp;AS[[#This Row],[Large Provider Entity Code]]&amp;"; "&amp;R2414&amp;AS[[#This Row],[Age Band Code]]&amp;"; "&amp;S2414&amp;AS[[#This Row],[Sex Code]]</f>
        <v xml:space="preserve">Insurer Code ; Reporting Year ; Insurance Category Code ; Large Provider Entity Code ; Age Band Code ; Sex Code </v>
      </c>
      <c r="N2414" s="297" t="s">
        <v>197</v>
      </c>
      <c r="O2414" s="297" t="s">
        <v>198</v>
      </c>
      <c r="P2414" s="297" t="s">
        <v>199</v>
      </c>
      <c r="Q2414" s="297" t="s">
        <v>200</v>
      </c>
      <c r="R2414" s="297" t="s">
        <v>213</v>
      </c>
      <c r="S2414" s="297" t="s">
        <v>214</v>
      </c>
    </row>
    <row r="2415" spans="1:19" x14ac:dyDescent="0.4">
      <c r="A2415" s="291"/>
      <c r="B2415" s="292"/>
      <c r="C2415" s="312"/>
      <c r="D2415" s="292"/>
      <c r="E2415" s="489"/>
      <c r="F2415" s="489"/>
      <c r="G2415" s="490"/>
      <c r="H2415" s="520"/>
      <c r="I2415" s="523"/>
      <c r="J2415" s="521"/>
      <c r="K2415" s="522"/>
      <c r="M2415" s="301" t="str">
        <f>N2415&amp;AS[[#This Row],[Insurer Code]]&amp;"; "&amp;O2415&amp;AS[[#This Row],[Reporting Year]]&amp;"; "&amp;P2415&amp;AS[[#This Row],[Insurance Category Code]]&amp;"; "&amp;Q2415&amp;AS[[#This Row],[Large Provider Entity Code]]&amp;"; "&amp;R2415&amp;AS[[#This Row],[Age Band Code]]&amp;"; "&amp;S2415&amp;AS[[#This Row],[Sex Code]]</f>
        <v xml:space="preserve">Insurer Code ; Reporting Year ; Insurance Category Code ; Large Provider Entity Code ; Age Band Code ; Sex Code </v>
      </c>
      <c r="N2415" s="297" t="s">
        <v>197</v>
      </c>
      <c r="O2415" s="297" t="s">
        <v>198</v>
      </c>
      <c r="P2415" s="297" t="s">
        <v>199</v>
      </c>
      <c r="Q2415" s="297" t="s">
        <v>200</v>
      </c>
      <c r="R2415" s="297" t="s">
        <v>213</v>
      </c>
      <c r="S2415" s="297" t="s">
        <v>214</v>
      </c>
    </row>
    <row r="2416" spans="1:19" x14ac:dyDescent="0.4">
      <c r="A2416" s="291"/>
      <c r="B2416" s="292"/>
      <c r="C2416" s="312"/>
      <c r="D2416" s="292"/>
      <c r="E2416" s="489"/>
      <c r="F2416" s="489"/>
      <c r="G2416" s="490"/>
      <c r="H2416" s="520"/>
      <c r="I2416" s="523"/>
      <c r="J2416" s="521"/>
      <c r="K2416" s="522"/>
      <c r="M2416" s="301" t="str">
        <f>N2416&amp;AS[[#This Row],[Insurer Code]]&amp;"; "&amp;O2416&amp;AS[[#This Row],[Reporting Year]]&amp;"; "&amp;P2416&amp;AS[[#This Row],[Insurance Category Code]]&amp;"; "&amp;Q2416&amp;AS[[#This Row],[Large Provider Entity Code]]&amp;"; "&amp;R2416&amp;AS[[#This Row],[Age Band Code]]&amp;"; "&amp;S2416&amp;AS[[#This Row],[Sex Code]]</f>
        <v xml:space="preserve">Insurer Code ; Reporting Year ; Insurance Category Code ; Large Provider Entity Code ; Age Band Code ; Sex Code </v>
      </c>
      <c r="N2416" s="297" t="s">
        <v>197</v>
      </c>
      <c r="O2416" s="297" t="s">
        <v>198</v>
      </c>
      <c r="P2416" s="297" t="s">
        <v>199</v>
      </c>
      <c r="Q2416" s="297" t="s">
        <v>200</v>
      </c>
      <c r="R2416" s="297" t="s">
        <v>213</v>
      </c>
      <c r="S2416" s="297" t="s">
        <v>214</v>
      </c>
    </row>
    <row r="2417" spans="1:19" x14ac:dyDescent="0.4">
      <c r="A2417" s="291"/>
      <c r="B2417" s="292"/>
      <c r="C2417" s="312"/>
      <c r="D2417" s="292"/>
      <c r="E2417" s="489"/>
      <c r="F2417" s="489"/>
      <c r="G2417" s="490"/>
      <c r="H2417" s="520"/>
      <c r="I2417" s="523"/>
      <c r="J2417" s="521"/>
      <c r="K2417" s="522"/>
      <c r="M2417" s="301" t="str">
        <f>N2417&amp;AS[[#This Row],[Insurer Code]]&amp;"; "&amp;O2417&amp;AS[[#This Row],[Reporting Year]]&amp;"; "&amp;P2417&amp;AS[[#This Row],[Insurance Category Code]]&amp;"; "&amp;Q2417&amp;AS[[#This Row],[Large Provider Entity Code]]&amp;"; "&amp;R2417&amp;AS[[#This Row],[Age Band Code]]&amp;"; "&amp;S2417&amp;AS[[#This Row],[Sex Code]]</f>
        <v xml:space="preserve">Insurer Code ; Reporting Year ; Insurance Category Code ; Large Provider Entity Code ; Age Band Code ; Sex Code </v>
      </c>
      <c r="N2417" s="297" t="s">
        <v>197</v>
      </c>
      <c r="O2417" s="297" t="s">
        <v>198</v>
      </c>
      <c r="P2417" s="297" t="s">
        <v>199</v>
      </c>
      <c r="Q2417" s="297" t="s">
        <v>200</v>
      </c>
      <c r="R2417" s="297" t="s">
        <v>213</v>
      </c>
      <c r="S2417" s="297" t="s">
        <v>214</v>
      </c>
    </row>
    <row r="2418" spans="1:19" x14ac:dyDescent="0.4">
      <c r="A2418" s="291"/>
      <c r="B2418" s="292"/>
      <c r="C2418" s="312"/>
      <c r="D2418" s="292"/>
      <c r="E2418" s="489"/>
      <c r="F2418" s="489"/>
      <c r="G2418" s="490"/>
      <c r="H2418" s="520"/>
      <c r="I2418" s="523"/>
      <c r="J2418" s="521"/>
      <c r="K2418" s="522"/>
      <c r="M2418" s="301" t="str">
        <f>N2418&amp;AS[[#This Row],[Insurer Code]]&amp;"; "&amp;O2418&amp;AS[[#This Row],[Reporting Year]]&amp;"; "&amp;P2418&amp;AS[[#This Row],[Insurance Category Code]]&amp;"; "&amp;Q2418&amp;AS[[#This Row],[Large Provider Entity Code]]&amp;"; "&amp;R2418&amp;AS[[#This Row],[Age Band Code]]&amp;"; "&amp;S2418&amp;AS[[#This Row],[Sex Code]]</f>
        <v xml:space="preserve">Insurer Code ; Reporting Year ; Insurance Category Code ; Large Provider Entity Code ; Age Band Code ; Sex Code </v>
      </c>
      <c r="N2418" s="297" t="s">
        <v>197</v>
      </c>
      <c r="O2418" s="297" t="s">
        <v>198</v>
      </c>
      <c r="P2418" s="297" t="s">
        <v>199</v>
      </c>
      <c r="Q2418" s="297" t="s">
        <v>200</v>
      </c>
      <c r="R2418" s="297" t="s">
        <v>213</v>
      </c>
      <c r="S2418" s="297" t="s">
        <v>214</v>
      </c>
    </row>
    <row r="2419" spans="1:19" x14ac:dyDescent="0.4">
      <c r="A2419" s="291"/>
      <c r="B2419" s="292"/>
      <c r="C2419" s="312"/>
      <c r="D2419" s="292"/>
      <c r="E2419" s="489"/>
      <c r="F2419" s="489"/>
      <c r="G2419" s="490"/>
      <c r="H2419" s="520"/>
      <c r="I2419" s="523"/>
      <c r="J2419" s="521"/>
      <c r="K2419" s="522"/>
      <c r="M2419" s="301" t="str">
        <f>N2419&amp;AS[[#This Row],[Insurer Code]]&amp;"; "&amp;O2419&amp;AS[[#This Row],[Reporting Year]]&amp;"; "&amp;P2419&amp;AS[[#This Row],[Insurance Category Code]]&amp;"; "&amp;Q2419&amp;AS[[#This Row],[Large Provider Entity Code]]&amp;"; "&amp;R2419&amp;AS[[#This Row],[Age Band Code]]&amp;"; "&amp;S2419&amp;AS[[#This Row],[Sex Code]]</f>
        <v xml:space="preserve">Insurer Code ; Reporting Year ; Insurance Category Code ; Large Provider Entity Code ; Age Band Code ; Sex Code </v>
      </c>
      <c r="N2419" s="297" t="s">
        <v>197</v>
      </c>
      <c r="O2419" s="297" t="s">
        <v>198</v>
      </c>
      <c r="P2419" s="297" t="s">
        <v>199</v>
      </c>
      <c r="Q2419" s="297" t="s">
        <v>200</v>
      </c>
      <c r="R2419" s="297" t="s">
        <v>213</v>
      </c>
      <c r="S2419" s="297" t="s">
        <v>214</v>
      </c>
    </row>
    <row r="2420" spans="1:19" x14ac:dyDescent="0.4">
      <c r="A2420" s="291"/>
      <c r="B2420" s="292"/>
      <c r="C2420" s="312"/>
      <c r="D2420" s="292"/>
      <c r="E2420" s="489"/>
      <c r="F2420" s="489"/>
      <c r="G2420" s="490"/>
      <c r="H2420" s="520"/>
      <c r="I2420" s="523"/>
      <c r="J2420" s="521"/>
      <c r="K2420" s="522"/>
      <c r="M2420" s="301" t="str">
        <f>N2420&amp;AS[[#This Row],[Insurer Code]]&amp;"; "&amp;O2420&amp;AS[[#This Row],[Reporting Year]]&amp;"; "&amp;P2420&amp;AS[[#This Row],[Insurance Category Code]]&amp;"; "&amp;Q2420&amp;AS[[#This Row],[Large Provider Entity Code]]&amp;"; "&amp;R2420&amp;AS[[#This Row],[Age Band Code]]&amp;"; "&amp;S2420&amp;AS[[#This Row],[Sex Code]]</f>
        <v xml:space="preserve">Insurer Code ; Reporting Year ; Insurance Category Code ; Large Provider Entity Code ; Age Band Code ; Sex Code </v>
      </c>
      <c r="N2420" s="297" t="s">
        <v>197</v>
      </c>
      <c r="O2420" s="297" t="s">
        <v>198</v>
      </c>
      <c r="P2420" s="297" t="s">
        <v>199</v>
      </c>
      <c r="Q2420" s="297" t="s">
        <v>200</v>
      </c>
      <c r="R2420" s="297" t="s">
        <v>213</v>
      </c>
      <c r="S2420" s="297" t="s">
        <v>214</v>
      </c>
    </row>
    <row r="2421" spans="1:19" x14ac:dyDescent="0.4">
      <c r="A2421" s="291"/>
      <c r="B2421" s="292"/>
      <c r="C2421" s="312"/>
      <c r="D2421" s="292"/>
      <c r="E2421" s="489"/>
      <c r="F2421" s="489"/>
      <c r="G2421" s="490"/>
      <c r="H2421" s="520"/>
      <c r="I2421" s="523"/>
      <c r="J2421" s="521"/>
      <c r="K2421" s="522"/>
      <c r="M2421" s="301" t="str">
        <f>N2421&amp;AS[[#This Row],[Insurer Code]]&amp;"; "&amp;O2421&amp;AS[[#This Row],[Reporting Year]]&amp;"; "&amp;P2421&amp;AS[[#This Row],[Insurance Category Code]]&amp;"; "&amp;Q2421&amp;AS[[#This Row],[Large Provider Entity Code]]&amp;"; "&amp;R2421&amp;AS[[#This Row],[Age Band Code]]&amp;"; "&amp;S2421&amp;AS[[#This Row],[Sex Code]]</f>
        <v xml:space="preserve">Insurer Code ; Reporting Year ; Insurance Category Code ; Large Provider Entity Code ; Age Band Code ; Sex Code </v>
      </c>
      <c r="N2421" s="297" t="s">
        <v>197</v>
      </c>
      <c r="O2421" s="297" t="s">
        <v>198</v>
      </c>
      <c r="P2421" s="297" t="s">
        <v>199</v>
      </c>
      <c r="Q2421" s="297" t="s">
        <v>200</v>
      </c>
      <c r="R2421" s="297" t="s">
        <v>213</v>
      </c>
      <c r="S2421" s="297" t="s">
        <v>214</v>
      </c>
    </row>
    <row r="2422" spans="1:19" x14ac:dyDescent="0.4">
      <c r="A2422" s="291"/>
      <c r="B2422" s="292"/>
      <c r="C2422" s="312"/>
      <c r="D2422" s="292"/>
      <c r="E2422" s="489"/>
      <c r="F2422" s="489"/>
      <c r="G2422" s="490"/>
      <c r="H2422" s="520"/>
      <c r="I2422" s="523"/>
      <c r="J2422" s="521"/>
      <c r="K2422" s="522"/>
      <c r="M2422" s="301" t="str">
        <f>N2422&amp;AS[[#This Row],[Insurer Code]]&amp;"; "&amp;O2422&amp;AS[[#This Row],[Reporting Year]]&amp;"; "&amp;P2422&amp;AS[[#This Row],[Insurance Category Code]]&amp;"; "&amp;Q2422&amp;AS[[#This Row],[Large Provider Entity Code]]&amp;"; "&amp;R2422&amp;AS[[#This Row],[Age Band Code]]&amp;"; "&amp;S2422&amp;AS[[#This Row],[Sex Code]]</f>
        <v xml:space="preserve">Insurer Code ; Reporting Year ; Insurance Category Code ; Large Provider Entity Code ; Age Band Code ; Sex Code </v>
      </c>
      <c r="N2422" s="297" t="s">
        <v>197</v>
      </c>
      <c r="O2422" s="297" t="s">
        <v>198</v>
      </c>
      <c r="P2422" s="297" t="s">
        <v>199</v>
      </c>
      <c r="Q2422" s="297" t="s">
        <v>200</v>
      </c>
      <c r="R2422" s="297" t="s">
        <v>213</v>
      </c>
      <c r="S2422" s="297" t="s">
        <v>214</v>
      </c>
    </row>
    <row r="2423" spans="1:19" x14ac:dyDescent="0.4">
      <c r="A2423" s="291"/>
      <c r="B2423" s="292"/>
      <c r="C2423" s="312"/>
      <c r="D2423" s="292"/>
      <c r="E2423" s="489"/>
      <c r="F2423" s="489"/>
      <c r="G2423" s="490"/>
      <c r="H2423" s="520"/>
      <c r="I2423" s="523"/>
      <c r="J2423" s="521"/>
      <c r="K2423" s="522"/>
      <c r="M2423" s="301" t="str">
        <f>N2423&amp;AS[[#This Row],[Insurer Code]]&amp;"; "&amp;O2423&amp;AS[[#This Row],[Reporting Year]]&amp;"; "&amp;P2423&amp;AS[[#This Row],[Insurance Category Code]]&amp;"; "&amp;Q2423&amp;AS[[#This Row],[Large Provider Entity Code]]&amp;"; "&amp;R2423&amp;AS[[#This Row],[Age Band Code]]&amp;"; "&amp;S2423&amp;AS[[#This Row],[Sex Code]]</f>
        <v xml:space="preserve">Insurer Code ; Reporting Year ; Insurance Category Code ; Large Provider Entity Code ; Age Band Code ; Sex Code </v>
      </c>
      <c r="N2423" s="297" t="s">
        <v>197</v>
      </c>
      <c r="O2423" s="297" t="s">
        <v>198</v>
      </c>
      <c r="P2423" s="297" t="s">
        <v>199</v>
      </c>
      <c r="Q2423" s="297" t="s">
        <v>200</v>
      </c>
      <c r="R2423" s="297" t="s">
        <v>213</v>
      </c>
      <c r="S2423" s="297" t="s">
        <v>214</v>
      </c>
    </row>
    <row r="2424" spans="1:19" x14ac:dyDescent="0.4">
      <c r="A2424" s="291"/>
      <c r="B2424" s="292"/>
      <c r="C2424" s="312"/>
      <c r="D2424" s="292"/>
      <c r="E2424" s="489"/>
      <c r="F2424" s="489"/>
      <c r="G2424" s="490"/>
      <c r="H2424" s="520"/>
      <c r="I2424" s="523"/>
      <c r="J2424" s="521"/>
      <c r="K2424" s="522"/>
      <c r="M2424" s="301" t="str">
        <f>N2424&amp;AS[[#This Row],[Insurer Code]]&amp;"; "&amp;O2424&amp;AS[[#This Row],[Reporting Year]]&amp;"; "&amp;P2424&amp;AS[[#This Row],[Insurance Category Code]]&amp;"; "&amp;Q2424&amp;AS[[#This Row],[Large Provider Entity Code]]&amp;"; "&amp;R2424&amp;AS[[#This Row],[Age Band Code]]&amp;"; "&amp;S2424&amp;AS[[#This Row],[Sex Code]]</f>
        <v xml:space="preserve">Insurer Code ; Reporting Year ; Insurance Category Code ; Large Provider Entity Code ; Age Band Code ; Sex Code </v>
      </c>
      <c r="N2424" s="297" t="s">
        <v>197</v>
      </c>
      <c r="O2424" s="297" t="s">
        <v>198</v>
      </c>
      <c r="P2424" s="297" t="s">
        <v>199</v>
      </c>
      <c r="Q2424" s="297" t="s">
        <v>200</v>
      </c>
      <c r="R2424" s="297" t="s">
        <v>213</v>
      </c>
      <c r="S2424" s="297" t="s">
        <v>214</v>
      </c>
    </row>
    <row r="2425" spans="1:19" x14ac:dyDescent="0.4">
      <c r="A2425" s="291"/>
      <c r="B2425" s="292"/>
      <c r="C2425" s="312"/>
      <c r="D2425" s="292"/>
      <c r="E2425" s="489"/>
      <c r="F2425" s="489"/>
      <c r="G2425" s="490"/>
      <c r="H2425" s="520"/>
      <c r="I2425" s="523"/>
      <c r="J2425" s="521"/>
      <c r="K2425" s="522"/>
      <c r="M2425" s="301" t="str">
        <f>N2425&amp;AS[[#This Row],[Insurer Code]]&amp;"; "&amp;O2425&amp;AS[[#This Row],[Reporting Year]]&amp;"; "&amp;P2425&amp;AS[[#This Row],[Insurance Category Code]]&amp;"; "&amp;Q2425&amp;AS[[#This Row],[Large Provider Entity Code]]&amp;"; "&amp;R2425&amp;AS[[#This Row],[Age Band Code]]&amp;"; "&amp;S2425&amp;AS[[#This Row],[Sex Code]]</f>
        <v xml:space="preserve">Insurer Code ; Reporting Year ; Insurance Category Code ; Large Provider Entity Code ; Age Band Code ; Sex Code </v>
      </c>
      <c r="N2425" s="297" t="s">
        <v>197</v>
      </c>
      <c r="O2425" s="297" t="s">
        <v>198</v>
      </c>
      <c r="P2425" s="297" t="s">
        <v>199</v>
      </c>
      <c r="Q2425" s="297" t="s">
        <v>200</v>
      </c>
      <c r="R2425" s="297" t="s">
        <v>213</v>
      </c>
      <c r="S2425" s="297" t="s">
        <v>214</v>
      </c>
    </row>
    <row r="2426" spans="1:19" x14ac:dyDescent="0.4">
      <c r="A2426" s="291"/>
      <c r="B2426" s="292"/>
      <c r="C2426" s="312"/>
      <c r="D2426" s="292"/>
      <c r="E2426" s="489"/>
      <c r="F2426" s="489"/>
      <c r="G2426" s="490"/>
      <c r="H2426" s="520"/>
      <c r="I2426" s="523"/>
      <c r="J2426" s="521"/>
      <c r="K2426" s="522"/>
      <c r="M2426" s="301" t="str">
        <f>N2426&amp;AS[[#This Row],[Insurer Code]]&amp;"; "&amp;O2426&amp;AS[[#This Row],[Reporting Year]]&amp;"; "&amp;P2426&amp;AS[[#This Row],[Insurance Category Code]]&amp;"; "&amp;Q2426&amp;AS[[#This Row],[Large Provider Entity Code]]&amp;"; "&amp;R2426&amp;AS[[#This Row],[Age Band Code]]&amp;"; "&amp;S2426&amp;AS[[#This Row],[Sex Code]]</f>
        <v xml:space="preserve">Insurer Code ; Reporting Year ; Insurance Category Code ; Large Provider Entity Code ; Age Band Code ; Sex Code </v>
      </c>
      <c r="N2426" s="297" t="s">
        <v>197</v>
      </c>
      <c r="O2426" s="297" t="s">
        <v>198</v>
      </c>
      <c r="P2426" s="297" t="s">
        <v>199</v>
      </c>
      <c r="Q2426" s="297" t="s">
        <v>200</v>
      </c>
      <c r="R2426" s="297" t="s">
        <v>213</v>
      </c>
      <c r="S2426" s="297" t="s">
        <v>214</v>
      </c>
    </row>
    <row r="2427" spans="1:19" x14ac:dyDescent="0.4">
      <c r="A2427" s="291"/>
      <c r="B2427" s="292"/>
      <c r="C2427" s="312"/>
      <c r="D2427" s="292"/>
      <c r="E2427" s="489"/>
      <c r="F2427" s="489"/>
      <c r="G2427" s="490"/>
      <c r="H2427" s="520"/>
      <c r="I2427" s="523"/>
      <c r="J2427" s="521"/>
      <c r="K2427" s="522"/>
      <c r="M2427" s="301" t="str">
        <f>N2427&amp;AS[[#This Row],[Insurer Code]]&amp;"; "&amp;O2427&amp;AS[[#This Row],[Reporting Year]]&amp;"; "&amp;P2427&amp;AS[[#This Row],[Insurance Category Code]]&amp;"; "&amp;Q2427&amp;AS[[#This Row],[Large Provider Entity Code]]&amp;"; "&amp;R2427&amp;AS[[#This Row],[Age Band Code]]&amp;"; "&amp;S2427&amp;AS[[#This Row],[Sex Code]]</f>
        <v xml:space="preserve">Insurer Code ; Reporting Year ; Insurance Category Code ; Large Provider Entity Code ; Age Band Code ; Sex Code </v>
      </c>
      <c r="N2427" s="297" t="s">
        <v>197</v>
      </c>
      <c r="O2427" s="297" t="s">
        <v>198</v>
      </c>
      <c r="P2427" s="297" t="s">
        <v>199</v>
      </c>
      <c r="Q2427" s="297" t="s">
        <v>200</v>
      </c>
      <c r="R2427" s="297" t="s">
        <v>213</v>
      </c>
      <c r="S2427" s="297" t="s">
        <v>214</v>
      </c>
    </row>
    <row r="2428" spans="1:19" x14ac:dyDescent="0.4">
      <c r="A2428" s="291"/>
      <c r="B2428" s="292"/>
      <c r="C2428" s="312"/>
      <c r="D2428" s="292"/>
      <c r="E2428" s="489"/>
      <c r="F2428" s="489"/>
      <c r="G2428" s="490"/>
      <c r="H2428" s="520"/>
      <c r="I2428" s="523"/>
      <c r="J2428" s="521"/>
      <c r="K2428" s="522"/>
      <c r="M2428" s="301" t="str">
        <f>N2428&amp;AS[[#This Row],[Insurer Code]]&amp;"; "&amp;O2428&amp;AS[[#This Row],[Reporting Year]]&amp;"; "&amp;P2428&amp;AS[[#This Row],[Insurance Category Code]]&amp;"; "&amp;Q2428&amp;AS[[#This Row],[Large Provider Entity Code]]&amp;"; "&amp;R2428&amp;AS[[#This Row],[Age Band Code]]&amp;"; "&amp;S2428&amp;AS[[#This Row],[Sex Code]]</f>
        <v xml:space="preserve">Insurer Code ; Reporting Year ; Insurance Category Code ; Large Provider Entity Code ; Age Band Code ; Sex Code </v>
      </c>
      <c r="N2428" s="297" t="s">
        <v>197</v>
      </c>
      <c r="O2428" s="297" t="s">
        <v>198</v>
      </c>
      <c r="P2428" s="297" t="s">
        <v>199</v>
      </c>
      <c r="Q2428" s="297" t="s">
        <v>200</v>
      </c>
      <c r="R2428" s="297" t="s">
        <v>213</v>
      </c>
      <c r="S2428" s="297" t="s">
        <v>214</v>
      </c>
    </row>
    <row r="2429" spans="1:19" x14ac:dyDescent="0.4">
      <c r="A2429" s="291"/>
      <c r="B2429" s="292"/>
      <c r="C2429" s="312"/>
      <c r="D2429" s="292"/>
      <c r="E2429" s="489"/>
      <c r="F2429" s="489"/>
      <c r="G2429" s="490"/>
      <c r="H2429" s="520"/>
      <c r="I2429" s="523"/>
      <c r="J2429" s="521"/>
      <c r="K2429" s="522"/>
      <c r="M2429" s="301" t="str">
        <f>N2429&amp;AS[[#This Row],[Insurer Code]]&amp;"; "&amp;O2429&amp;AS[[#This Row],[Reporting Year]]&amp;"; "&amp;P2429&amp;AS[[#This Row],[Insurance Category Code]]&amp;"; "&amp;Q2429&amp;AS[[#This Row],[Large Provider Entity Code]]&amp;"; "&amp;R2429&amp;AS[[#This Row],[Age Band Code]]&amp;"; "&amp;S2429&amp;AS[[#This Row],[Sex Code]]</f>
        <v xml:space="preserve">Insurer Code ; Reporting Year ; Insurance Category Code ; Large Provider Entity Code ; Age Band Code ; Sex Code </v>
      </c>
      <c r="N2429" s="297" t="s">
        <v>197</v>
      </c>
      <c r="O2429" s="297" t="s">
        <v>198</v>
      </c>
      <c r="P2429" s="297" t="s">
        <v>199</v>
      </c>
      <c r="Q2429" s="297" t="s">
        <v>200</v>
      </c>
      <c r="R2429" s="297" t="s">
        <v>213</v>
      </c>
      <c r="S2429" s="297" t="s">
        <v>214</v>
      </c>
    </row>
    <row r="2430" spans="1:19" x14ac:dyDescent="0.4">
      <c r="A2430" s="291"/>
      <c r="B2430" s="292"/>
      <c r="C2430" s="312"/>
      <c r="D2430" s="292"/>
      <c r="E2430" s="489"/>
      <c r="F2430" s="489"/>
      <c r="G2430" s="490"/>
      <c r="H2430" s="520"/>
      <c r="I2430" s="523"/>
      <c r="J2430" s="521"/>
      <c r="K2430" s="522"/>
      <c r="M2430" s="301" t="str">
        <f>N2430&amp;AS[[#This Row],[Insurer Code]]&amp;"; "&amp;O2430&amp;AS[[#This Row],[Reporting Year]]&amp;"; "&amp;P2430&amp;AS[[#This Row],[Insurance Category Code]]&amp;"; "&amp;Q2430&amp;AS[[#This Row],[Large Provider Entity Code]]&amp;"; "&amp;R2430&amp;AS[[#This Row],[Age Band Code]]&amp;"; "&amp;S2430&amp;AS[[#This Row],[Sex Code]]</f>
        <v xml:space="preserve">Insurer Code ; Reporting Year ; Insurance Category Code ; Large Provider Entity Code ; Age Band Code ; Sex Code </v>
      </c>
      <c r="N2430" s="297" t="s">
        <v>197</v>
      </c>
      <c r="O2430" s="297" t="s">
        <v>198</v>
      </c>
      <c r="P2430" s="297" t="s">
        <v>199</v>
      </c>
      <c r="Q2430" s="297" t="s">
        <v>200</v>
      </c>
      <c r="R2430" s="297" t="s">
        <v>213</v>
      </c>
      <c r="S2430" s="297" t="s">
        <v>214</v>
      </c>
    </row>
    <row r="2431" spans="1:19" x14ac:dyDescent="0.4">
      <c r="A2431" s="291"/>
      <c r="B2431" s="292"/>
      <c r="C2431" s="312"/>
      <c r="D2431" s="292"/>
      <c r="E2431" s="489"/>
      <c r="F2431" s="489"/>
      <c r="G2431" s="490"/>
      <c r="H2431" s="520"/>
      <c r="I2431" s="523"/>
      <c r="J2431" s="521"/>
      <c r="K2431" s="522"/>
      <c r="M2431" s="301" t="str">
        <f>N2431&amp;AS[[#This Row],[Insurer Code]]&amp;"; "&amp;O2431&amp;AS[[#This Row],[Reporting Year]]&amp;"; "&amp;P2431&amp;AS[[#This Row],[Insurance Category Code]]&amp;"; "&amp;Q2431&amp;AS[[#This Row],[Large Provider Entity Code]]&amp;"; "&amp;R2431&amp;AS[[#This Row],[Age Band Code]]&amp;"; "&amp;S2431&amp;AS[[#This Row],[Sex Code]]</f>
        <v xml:space="preserve">Insurer Code ; Reporting Year ; Insurance Category Code ; Large Provider Entity Code ; Age Band Code ; Sex Code </v>
      </c>
      <c r="N2431" s="297" t="s">
        <v>197</v>
      </c>
      <c r="O2431" s="297" t="s">
        <v>198</v>
      </c>
      <c r="P2431" s="297" t="s">
        <v>199</v>
      </c>
      <c r="Q2431" s="297" t="s">
        <v>200</v>
      </c>
      <c r="R2431" s="297" t="s">
        <v>213</v>
      </c>
      <c r="S2431" s="297" t="s">
        <v>214</v>
      </c>
    </row>
    <row r="2432" spans="1:19" x14ac:dyDescent="0.4">
      <c r="A2432" s="291"/>
      <c r="B2432" s="292"/>
      <c r="C2432" s="312"/>
      <c r="D2432" s="292"/>
      <c r="E2432" s="489"/>
      <c r="F2432" s="489"/>
      <c r="G2432" s="490"/>
      <c r="H2432" s="520"/>
      <c r="I2432" s="523"/>
      <c r="J2432" s="521"/>
      <c r="K2432" s="522"/>
      <c r="M2432" s="301" t="str">
        <f>N2432&amp;AS[[#This Row],[Insurer Code]]&amp;"; "&amp;O2432&amp;AS[[#This Row],[Reporting Year]]&amp;"; "&amp;P2432&amp;AS[[#This Row],[Insurance Category Code]]&amp;"; "&amp;Q2432&amp;AS[[#This Row],[Large Provider Entity Code]]&amp;"; "&amp;R2432&amp;AS[[#This Row],[Age Band Code]]&amp;"; "&amp;S2432&amp;AS[[#This Row],[Sex Code]]</f>
        <v xml:space="preserve">Insurer Code ; Reporting Year ; Insurance Category Code ; Large Provider Entity Code ; Age Band Code ; Sex Code </v>
      </c>
      <c r="N2432" s="297" t="s">
        <v>197</v>
      </c>
      <c r="O2432" s="297" t="s">
        <v>198</v>
      </c>
      <c r="P2432" s="297" t="s">
        <v>199</v>
      </c>
      <c r="Q2432" s="297" t="s">
        <v>200</v>
      </c>
      <c r="R2432" s="297" t="s">
        <v>213</v>
      </c>
      <c r="S2432" s="297" t="s">
        <v>214</v>
      </c>
    </row>
    <row r="2433" spans="1:19" x14ac:dyDescent="0.4">
      <c r="A2433" s="291"/>
      <c r="B2433" s="292"/>
      <c r="C2433" s="312"/>
      <c r="D2433" s="292"/>
      <c r="E2433" s="489"/>
      <c r="F2433" s="489"/>
      <c r="G2433" s="490"/>
      <c r="H2433" s="520"/>
      <c r="I2433" s="523"/>
      <c r="J2433" s="521"/>
      <c r="K2433" s="522"/>
      <c r="M2433" s="301" t="str">
        <f>N2433&amp;AS[[#This Row],[Insurer Code]]&amp;"; "&amp;O2433&amp;AS[[#This Row],[Reporting Year]]&amp;"; "&amp;P2433&amp;AS[[#This Row],[Insurance Category Code]]&amp;"; "&amp;Q2433&amp;AS[[#This Row],[Large Provider Entity Code]]&amp;"; "&amp;R2433&amp;AS[[#This Row],[Age Band Code]]&amp;"; "&amp;S2433&amp;AS[[#This Row],[Sex Code]]</f>
        <v xml:space="preserve">Insurer Code ; Reporting Year ; Insurance Category Code ; Large Provider Entity Code ; Age Band Code ; Sex Code </v>
      </c>
      <c r="N2433" s="297" t="s">
        <v>197</v>
      </c>
      <c r="O2433" s="297" t="s">
        <v>198</v>
      </c>
      <c r="P2433" s="297" t="s">
        <v>199</v>
      </c>
      <c r="Q2433" s="297" t="s">
        <v>200</v>
      </c>
      <c r="R2433" s="297" t="s">
        <v>213</v>
      </c>
      <c r="S2433" s="297" t="s">
        <v>214</v>
      </c>
    </row>
    <row r="2434" spans="1:19" x14ac:dyDescent="0.4">
      <c r="A2434" s="291"/>
      <c r="B2434" s="292"/>
      <c r="C2434" s="312"/>
      <c r="D2434" s="292"/>
      <c r="E2434" s="489"/>
      <c r="F2434" s="489"/>
      <c r="G2434" s="490"/>
      <c r="H2434" s="520"/>
      <c r="I2434" s="523"/>
      <c r="J2434" s="521"/>
      <c r="K2434" s="522"/>
      <c r="M2434" s="301" t="str">
        <f>N2434&amp;AS[[#This Row],[Insurer Code]]&amp;"; "&amp;O2434&amp;AS[[#This Row],[Reporting Year]]&amp;"; "&amp;P2434&amp;AS[[#This Row],[Insurance Category Code]]&amp;"; "&amp;Q2434&amp;AS[[#This Row],[Large Provider Entity Code]]&amp;"; "&amp;R2434&amp;AS[[#This Row],[Age Band Code]]&amp;"; "&amp;S2434&amp;AS[[#This Row],[Sex Code]]</f>
        <v xml:space="preserve">Insurer Code ; Reporting Year ; Insurance Category Code ; Large Provider Entity Code ; Age Band Code ; Sex Code </v>
      </c>
      <c r="N2434" s="297" t="s">
        <v>197</v>
      </c>
      <c r="O2434" s="297" t="s">
        <v>198</v>
      </c>
      <c r="P2434" s="297" t="s">
        <v>199</v>
      </c>
      <c r="Q2434" s="297" t="s">
        <v>200</v>
      </c>
      <c r="R2434" s="297" t="s">
        <v>213</v>
      </c>
      <c r="S2434" s="297" t="s">
        <v>214</v>
      </c>
    </row>
    <row r="2435" spans="1:19" x14ac:dyDescent="0.4">
      <c r="A2435" s="291"/>
      <c r="B2435" s="292"/>
      <c r="C2435" s="312"/>
      <c r="D2435" s="292"/>
      <c r="E2435" s="489"/>
      <c r="F2435" s="489"/>
      <c r="G2435" s="490"/>
      <c r="H2435" s="520"/>
      <c r="I2435" s="523"/>
      <c r="J2435" s="521"/>
      <c r="K2435" s="522"/>
      <c r="M2435" s="301" t="str">
        <f>N2435&amp;AS[[#This Row],[Insurer Code]]&amp;"; "&amp;O2435&amp;AS[[#This Row],[Reporting Year]]&amp;"; "&amp;P2435&amp;AS[[#This Row],[Insurance Category Code]]&amp;"; "&amp;Q2435&amp;AS[[#This Row],[Large Provider Entity Code]]&amp;"; "&amp;R2435&amp;AS[[#This Row],[Age Band Code]]&amp;"; "&amp;S2435&amp;AS[[#This Row],[Sex Code]]</f>
        <v xml:space="preserve">Insurer Code ; Reporting Year ; Insurance Category Code ; Large Provider Entity Code ; Age Band Code ; Sex Code </v>
      </c>
      <c r="N2435" s="297" t="s">
        <v>197</v>
      </c>
      <c r="O2435" s="297" t="s">
        <v>198</v>
      </c>
      <c r="P2435" s="297" t="s">
        <v>199</v>
      </c>
      <c r="Q2435" s="297" t="s">
        <v>200</v>
      </c>
      <c r="R2435" s="297" t="s">
        <v>213</v>
      </c>
      <c r="S2435" s="297" t="s">
        <v>214</v>
      </c>
    </row>
    <row r="2436" spans="1:19" x14ac:dyDescent="0.4">
      <c r="A2436" s="291"/>
      <c r="B2436" s="292"/>
      <c r="C2436" s="312"/>
      <c r="D2436" s="292"/>
      <c r="E2436" s="489"/>
      <c r="F2436" s="489"/>
      <c r="G2436" s="490"/>
      <c r="H2436" s="520"/>
      <c r="I2436" s="523"/>
      <c r="J2436" s="521"/>
      <c r="K2436" s="522"/>
      <c r="M2436" s="301" t="str">
        <f>N2436&amp;AS[[#This Row],[Insurer Code]]&amp;"; "&amp;O2436&amp;AS[[#This Row],[Reporting Year]]&amp;"; "&amp;P2436&amp;AS[[#This Row],[Insurance Category Code]]&amp;"; "&amp;Q2436&amp;AS[[#This Row],[Large Provider Entity Code]]&amp;"; "&amp;R2436&amp;AS[[#This Row],[Age Band Code]]&amp;"; "&amp;S2436&amp;AS[[#This Row],[Sex Code]]</f>
        <v xml:space="preserve">Insurer Code ; Reporting Year ; Insurance Category Code ; Large Provider Entity Code ; Age Band Code ; Sex Code </v>
      </c>
      <c r="N2436" s="297" t="s">
        <v>197</v>
      </c>
      <c r="O2436" s="297" t="s">
        <v>198</v>
      </c>
      <c r="P2436" s="297" t="s">
        <v>199</v>
      </c>
      <c r="Q2436" s="297" t="s">
        <v>200</v>
      </c>
      <c r="R2436" s="297" t="s">
        <v>213</v>
      </c>
      <c r="S2436" s="297" t="s">
        <v>214</v>
      </c>
    </row>
    <row r="2437" spans="1:19" x14ac:dyDescent="0.4">
      <c r="A2437" s="291"/>
      <c r="B2437" s="292"/>
      <c r="C2437" s="312"/>
      <c r="D2437" s="292"/>
      <c r="E2437" s="489"/>
      <c r="F2437" s="489"/>
      <c r="G2437" s="490"/>
      <c r="H2437" s="520"/>
      <c r="I2437" s="523"/>
      <c r="J2437" s="521"/>
      <c r="K2437" s="522"/>
      <c r="M2437" s="301" t="str">
        <f>N2437&amp;AS[[#This Row],[Insurer Code]]&amp;"; "&amp;O2437&amp;AS[[#This Row],[Reporting Year]]&amp;"; "&amp;P2437&amp;AS[[#This Row],[Insurance Category Code]]&amp;"; "&amp;Q2437&amp;AS[[#This Row],[Large Provider Entity Code]]&amp;"; "&amp;R2437&amp;AS[[#This Row],[Age Band Code]]&amp;"; "&amp;S2437&amp;AS[[#This Row],[Sex Code]]</f>
        <v xml:space="preserve">Insurer Code ; Reporting Year ; Insurance Category Code ; Large Provider Entity Code ; Age Band Code ; Sex Code </v>
      </c>
      <c r="N2437" s="297" t="s">
        <v>197</v>
      </c>
      <c r="O2437" s="297" t="s">
        <v>198</v>
      </c>
      <c r="P2437" s="297" t="s">
        <v>199</v>
      </c>
      <c r="Q2437" s="297" t="s">
        <v>200</v>
      </c>
      <c r="R2437" s="297" t="s">
        <v>213</v>
      </c>
      <c r="S2437" s="297" t="s">
        <v>214</v>
      </c>
    </row>
    <row r="2438" spans="1:19" x14ac:dyDescent="0.4">
      <c r="A2438" s="291"/>
      <c r="B2438" s="292"/>
      <c r="C2438" s="312"/>
      <c r="D2438" s="292"/>
      <c r="E2438" s="489"/>
      <c r="F2438" s="489"/>
      <c r="G2438" s="490"/>
      <c r="H2438" s="520"/>
      <c r="I2438" s="523"/>
      <c r="J2438" s="521"/>
      <c r="K2438" s="522"/>
      <c r="M2438" s="301" t="str">
        <f>N2438&amp;AS[[#This Row],[Insurer Code]]&amp;"; "&amp;O2438&amp;AS[[#This Row],[Reporting Year]]&amp;"; "&amp;P2438&amp;AS[[#This Row],[Insurance Category Code]]&amp;"; "&amp;Q2438&amp;AS[[#This Row],[Large Provider Entity Code]]&amp;"; "&amp;R2438&amp;AS[[#This Row],[Age Band Code]]&amp;"; "&amp;S2438&amp;AS[[#This Row],[Sex Code]]</f>
        <v xml:space="preserve">Insurer Code ; Reporting Year ; Insurance Category Code ; Large Provider Entity Code ; Age Band Code ; Sex Code </v>
      </c>
      <c r="N2438" s="297" t="s">
        <v>197</v>
      </c>
      <c r="O2438" s="297" t="s">
        <v>198</v>
      </c>
      <c r="P2438" s="297" t="s">
        <v>199</v>
      </c>
      <c r="Q2438" s="297" t="s">
        <v>200</v>
      </c>
      <c r="R2438" s="297" t="s">
        <v>213</v>
      </c>
      <c r="S2438" s="297" t="s">
        <v>214</v>
      </c>
    </row>
    <row r="2439" spans="1:19" x14ac:dyDescent="0.4">
      <c r="A2439" s="291"/>
      <c r="B2439" s="292"/>
      <c r="C2439" s="312"/>
      <c r="D2439" s="292"/>
      <c r="E2439" s="489"/>
      <c r="F2439" s="489"/>
      <c r="G2439" s="490"/>
      <c r="H2439" s="520"/>
      <c r="I2439" s="523"/>
      <c r="J2439" s="521"/>
      <c r="K2439" s="522"/>
      <c r="M2439" s="301" t="str">
        <f>N2439&amp;AS[[#This Row],[Insurer Code]]&amp;"; "&amp;O2439&amp;AS[[#This Row],[Reporting Year]]&amp;"; "&amp;P2439&amp;AS[[#This Row],[Insurance Category Code]]&amp;"; "&amp;Q2439&amp;AS[[#This Row],[Large Provider Entity Code]]&amp;"; "&amp;R2439&amp;AS[[#This Row],[Age Band Code]]&amp;"; "&amp;S2439&amp;AS[[#This Row],[Sex Code]]</f>
        <v xml:space="preserve">Insurer Code ; Reporting Year ; Insurance Category Code ; Large Provider Entity Code ; Age Band Code ; Sex Code </v>
      </c>
      <c r="N2439" s="297" t="s">
        <v>197</v>
      </c>
      <c r="O2439" s="297" t="s">
        <v>198</v>
      </c>
      <c r="P2439" s="297" t="s">
        <v>199</v>
      </c>
      <c r="Q2439" s="297" t="s">
        <v>200</v>
      </c>
      <c r="R2439" s="297" t="s">
        <v>213</v>
      </c>
      <c r="S2439" s="297" t="s">
        <v>214</v>
      </c>
    </row>
    <row r="2440" spans="1:19" x14ac:dyDescent="0.4">
      <c r="A2440" s="291"/>
      <c r="B2440" s="292"/>
      <c r="C2440" s="312"/>
      <c r="D2440" s="292"/>
      <c r="E2440" s="489"/>
      <c r="F2440" s="489"/>
      <c r="G2440" s="490"/>
      <c r="H2440" s="520"/>
      <c r="I2440" s="523"/>
      <c r="J2440" s="521"/>
      <c r="K2440" s="522"/>
      <c r="M2440" s="301" t="str">
        <f>N2440&amp;AS[[#This Row],[Insurer Code]]&amp;"; "&amp;O2440&amp;AS[[#This Row],[Reporting Year]]&amp;"; "&amp;P2440&amp;AS[[#This Row],[Insurance Category Code]]&amp;"; "&amp;Q2440&amp;AS[[#This Row],[Large Provider Entity Code]]&amp;"; "&amp;R2440&amp;AS[[#This Row],[Age Band Code]]&amp;"; "&amp;S2440&amp;AS[[#This Row],[Sex Code]]</f>
        <v xml:space="preserve">Insurer Code ; Reporting Year ; Insurance Category Code ; Large Provider Entity Code ; Age Band Code ; Sex Code </v>
      </c>
      <c r="N2440" s="297" t="s">
        <v>197</v>
      </c>
      <c r="O2440" s="297" t="s">
        <v>198</v>
      </c>
      <c r="P2440" s="297" t="s">
        <v>199</v>
      </c>
      <c r="Q2440" s="297" t="s">
        <v>200</v>
      </c>
      <c r="R2440" s="297" t="s">
        <v>213</v>
      </c>
      <c r="S2440" s="297" t="s">
        <v>214</v>
      </c>
    </row>
    <row r="2441" spans="1:19" x14ac:dyDescent="0.4">
      <c r="A2441" s="291"/>
      <c r="B2441" s="292"/>
      <c r="C2441" s="312"/>
      <c r="D2441" s="292"/>
      <c r="E2441" s="489"/>
      <c r="F2441" s="489"/>
      <c r="G2441" s="490"/>
      <c r="H2441" s="520"/>
      <c r="I2441" s="523"/>
      <c r="J2441" s="521"/>
      <c r="K2441" s="522"/>
      <c r="M2441" s="301" t="str">
        <f>N2441&amp;AS[[#This Row],[Insurer Code]]&amp;"; "&amp;O2441&amp;AS[[#This Row],[Reporting Year]]&amp;"; "&amp;P2441&amp;AS[[#This Row],[Insurance Category Code]]&amp;"; "&amp;Q2441&amp;AS[[#This Row],[Large Provider Entity Code]]&amp;"; "&amp;R2441&amp;AS[[#This Row],[Age Band Code]]&amp;"; "&amp;S2441&amp;AS[[#This Row],[Sex Code]]</f>
        <v xml:space="preserve">Insurer Code ; Reporting Year ; Insurance Category Code ; Large Provider Entity Code ; Age Band Code ; Sex Code </v>
      </c>
      <c r="N2441" s="297" t="s">
        <v>197</v>
      </c>
      <c r="O2441" s="297" t="s">
        <v>198</v>
      </c>
      <c r="P2441" s="297" t="s">
        <v>199</v>
      </c>
      <c r="Q2441" s="297" t="s">
        <v>200</v>
      </c>
      <c r="R2441" s="297" t="s">
        <v>213</v>
      </c>
      <c r="S2441" s="297" t="s">
        <v>214</v>
      </c>
    </row>
    <row r="2442" spans="1:19" x14ac:dyDescent="0.4">
      <c r="A2442" s="291"/>
      <c r="B2442" s="292"/>
      <c r="C2442" s="312"/>
      <c r="D2442" s="292"/>
      <c r="E2442" s="489"/>
      <c r="F2442" s="489"/>
      <c r="G2442" s="490"/>
      <c r="H2442" s="520"/>
      <c r="I2442" s="523"/>
      <c r="J2442" s="521"/>
      <c r="K2442" s="522"/>
      <c r="M2442" s="301" t="str">
        <f>N2442&amp;AS[[#This Row],[Insurer Code]]&amp;"; "&amp;O2442&amp;AS[[#This Row],[Reporting Year]]&amp;"; "&amp;P2442&amp;AS[[#This Row],[Insurance Category Code]]&amp;"; "&amp;Q2442&amp;AS[[#This Row],[Large Provider Entity Code]]&amp;"; "&amp;R2442&amp;AS[[#This Row],[Age Band Code]]&amp;"; "&amp;S2442&amp;AS[[#This Row],[Sex Code]]</f>
        <v xml:space="preserve">Insurer Code ; Reporting Year ; Insurance Category Code ; Large Provider Entity Code ; Age Band Code ; Sex Code </v>
      </c>
      <c r="N2442" s="297" t="s">
        <v>197</v>
      </c>
      <c r="O2442" s="297" t="s">
        <v>198</v>
      </c>
      <c r="P2442" s="297" t="s">
        <v>199</v>
      </c>
      <c r="Q2442" s="297" t="s">
        <v>200</v>
      </c>
      <c r="R2442" s="297" t="s">
        <v>213</v>
      </c>
      <c r="S2442" s="297" t="s">
        <v>214</v>
      </c>
    </row>
    <row r="2443" spans="1:19" x14ac:dyDescent="0.4">
      <c r="A2443" s="291"/>
      <c r="B2443" s="292"/>
      <c r="C2443" s="312"/>
      <c r="D2443" s="292"/>
      <c r="E2443" s="489"/>
      <c r="F2443" s="489"/>
      <c r="G2443" s="490"/>
      <c r="H2443" s="520"/>
      <c r="I2443" s="523"/>
      <c r="J2443" s="521"/>
      <c r="K2443" s="522"/>
      <c r="M2443" s="301" t="str">
        <f>N2443&amp;AS[[#This Row],[Insurer Code]]&amp;"; "&amp;O2443&amp;AS[[#This Row],[Reporting Year]]&amp;"; "&amp;P2443&amp;AS[[#This Row],[Insurance Category Code]]&amp;"; "&amp;Q2443&amp;AS[[#This Row],[Large Provider Entity Code]]&amp;"; "&amp;R2443&amp;AS[[#This Row],[Age Band Code]]&amp;"; "&amp;S2443&amp;AS[[#This Row],[Sex Code]]</f>
        <v xml:space="preserve">Insurer Code ; Reporting Year ; Insurance Category Code ; Large Provider Entity Code ; Age Band Code ; Sex Code </v>
      </c>
      <c r="N2443" s="297" t="s">
        <v>197</v>
      </c>
      <c r="O2443" s="297" t="s">
        <v>198</v>
      </c>
      <c r="P2443" s="297" t="s">
        <v>199</v>
      </c>
      <c r="Q2443" s="297" t="s">
        <v>200</v>
      </c>
      <c r="R2443" s="297" t="s">
        <v>213</v>
      </c>
      <c r="S2443" s="297" t="s">
        <v>214</v>
      </c>
    </row>
    <row r="2444" spans="1:19" x14ac:dyDescent="0.4">
      <c r="A2444" s="291"/>
      <c r="B2444" s="292"/>
      <c r="C2444" s="312"/>
      <c r="D2444" s="292"/>
      <c r="E2444" s="489"/>
      <c r="F2444" s="489"/>
      <c r="G2444" s="490"/>
      <c r="H2444" s="520"/>
      <c r="I2444" s="523"/>
      <c r="J2444" s="521"/>
      <c r="K2444" s="522"/>
      <c r="M2444" s="301" t="str">
        <f>N2444&amp;AS[[#This Row],[Insurer Code]]&amp;"; "&amp;O2444&amp;AS[[#This Row],[Reporting Year]]&amp;"; "&amp;P2444&amp;AS[[#This Row],[Insurance Category Code]]&amp;"; "&amp;Q2444&amp;AS[[#This Row],[Large Provider Entity Code]]&amp;"; "&amp;R2444&amp;AS[[#This Row],[Age Band Code]]&amp;"; "&amp;S2444&amp;AS[[#This Row],[Sex Code]]</f>
        <v xml:space="preserve">Insurer Code ; Reporting Year ; Insurance Category Code ; Large Provider Entity Code ; Age Band Code ; Sex Code </v>
      </c>
      <c r="N2444" s="297" t="s">
        <v>197</v>
      </c>
      <c r="O2444" s="297" t="s">
        <v>198</v>
      </c>
      <c r="P2444" s="297" t="s">
        <v>199</v>
      </c>
      <c r="Q2444" s="297" t="s">
        <v>200</v>
      </c>
      <c r="R2444" s="297" t="s">
        <v>213</v>
      </c>
      <c r="S2444" s="297" t="s">
        <v>214</v>
      </c>
    </row>
    <row r="2445" spans="1:19" x14ac:dyDescent="0.4">
      <c r="A2445" s="291"/>
      <c r="B2445" s="292"/>
      <c r="C2445" s="312"/>
      <c r="D2445" s="292"/>
      <c r="E2445" s="489"/>
      <c r="F2445" s="489"/>
      <c r="G2445" s="490"/>
      <c r="H2445" s="520"/>
      <c r="I2445" s="523"/>
      <c r="J2445" s="521"/>
      <c r="K2445" s="522"/>
      <c r="M2445" s="301" t="str">
        <f>N2445&amp;AS[[#This Row],[Insurer Code]]&amp;"; "&amp;O2445&amp;AS[[#This Row],[Reporting Year]]&amp;"; "&amp;P2445&amp;AS[[#This Row],[Insurance Category Code]]&amp;"; "&amp;Q2445&amp;AS[[#This Row],[Large Provider Entity Code]]&amp;"; "&amp;R2445&amp;AS[[#This Row],[Age Band Code]]&amp;"; "&amp;S2445&amp;AS[[#This Row],[Sex Code]]</f>
        <v xml:space="preserve">Insurer Code ; Reporting Year ; Insurance Category Code ; Large Provider Entity Code ; Age Band Code ; Sex Code </v>
      </c>
      <c r="N2445" s="297" t="s">
        <v>197</v>
      </c>
      <c r="O2445" s="297" t="s">
        <v>198</v>
      </c>
      <c r="P2445" s="297" t="s">
        <v>199</v>
      </c>
      <c r="Q2445" s="297" t="s">
        <v>200</v>
      </c>
      <c r="R2445" s="297" t="s">
        <v>213</v>
      </c>
      <c r="S2445" s="297" t="s">
        <v>214</v>
      </c>
    </row>
    <row r="2446" spans="1:19" x14ac:dyDescent="0.4">
      <c r="A2446" s="291"/>
      <c r="B2446" s="292"/>
      <c r="C2446" s="312"/>
      <c r="D2446" s="292"/>
      <c r="E2446" s="489"/>
      <c r="F2446" s="489"/>
      <c r="G2446" s="490"/>
      <c r="H2446" s="520"/>
      <c r="I2446" s="523"/>
      <c r="J2446" s="521"/>
      <c r="K2446" s="522"/>
      <c r="M2446" s="301" t="str">
        <f>N2446&amp;AS[[#This Row],[Insurer Code]]&amp;"; "&amp;O2446&amp;AS[[#This Row],[Reporting Year]]&amp;"; "&amp;P2446&amp;AS[[#This Row],[Insurance Category Code]]&amp;"; "&amp;Q2446&amp;AS[[#This Row],[Large Provider Entity Code]]&amp;"; "&amp;R2446&amp;AS[[#This Row],[Age Band Code]]&amp;"; "&amp;S2446&amp;AS[[#This Row],[Sex Code]]</f>
        <v xml:space="preserve">Insurer Code ; Reporting Year ; Insurance Category Code ; Large Provider Entity Code ; Age Band Code ; Sex Code </v>
      </c>
      <c r="N2446" s="297" t="s">
        <v>197</v>
      </c>
      <c r="O2446" s="297" t="s">
        <v>198</v>
      </c>
      <c r="P2446" s="297" t="s">
        <v>199</v>
      </c>
      <c r="Q2446" s="297" t="s">
        <v>200</v>
      </c>
      <c r="R2446" s="297" t="s">
        <v>213</v>
      </c>
      <c r="S2446" s="297" t="s">
        <v>214</v>
      </c>
    </row>
    <row r="2447" spans="1:19" x14ac:dyDescent="0.4">
      <c r="A2447" s="291"/>
      <c r="B2447" s="292"/>
      <c r="C2447" s="312"/>
      <c r="D2447" s="292"/>
      <c r="E2447" s="489"/>
      <c r="F2447" s="489"/>
      <c r="G2447" s="490"/>
      <c r="H2447" s="520"/>
      <c r="I2447" s="523"/>
      <c r="J2447" s="521"/>
      <c r="K2447" s="522"/>
      <c r="M2447" s="301" t="str">
        <f>N2447&amp;AS[[#This Row],[Insurer Code]]&amp;"; "&amp;O2447&amp;AS[[#This Row],[Reporting Year]]&amp;"; "&amp;P2447&amp;AS[[#This Row],[Insurance Category Code]]&amp;"; "&amp;Q2447&amp;AS[[#This Row],[Large Provider Entity Code]]&amp;"; "&amp;R2447&amp;AS[[#This Row],[Age Band Code]]&amp;"; "&amp;S2447&amp;AS[[#This Row],[Sex Code]]</f>
        <v xml:space="preserve">Insurer Code ; Reporting Year ; Insurance Category Code ; Large Provider Entity Code ; Age Band Code ; Sex Code </v>
      </c>
      <c r="N2447" s="297" t="s">
        <v>197</v>
      </c>
      <c r="O2447" s="297" t="s">
        <v>198</v>
      </c>
      <c r="P2447" s="297" t="s">
        <v>199</v>
      </c>
      <c r="Q2447" s="297" t="s">
        <v>200</v>
      </c>
      <c r="R2447" s="297" t="s">
        <v>213</v>
      </c>
      <c r="S2447" s="297" t="s">
        <v>214</v>
      </c>
    </row>
    <row r="2448" spans="1:19" x14ac:dyDescent="0.4">
      <c r="A2448" s="291"/>
      <c r="B2448" s="292"/>
      <c r="C2448" s="312"/>
      <c r="D2448" s="292"/>
      <c r="E2448" s="489"/>
      <c r="F2448" s="489"/>
      <c r="G2448" s="490"/>
      <c r="H2448" s="520"/>
      <c r="I2448" s="523"/>
      <c r="J2448" s="521"/>
      <c r="K2448" s="522"/>
      <c r="M2448" s="301" t="str">
        <f>N2448&amp;AS[[#This Row],[Insurer Code]]&amp;"; "&amp;O2448&amp;AS[[#This Row],[Reporting Year]]&amp;"; "&amp;P2448&amp;AS[[#This Row],[Insurance Category Code]]&amp;"; "&amp;Q2448&amp;AS[[#This Row],[Large Provider Entity Code]]&amp;"; "&amp;R2448&amp;AS[[#This Row],[Age Band Code]]&amp;"; "&amp;S2448&amp;AS[[#This Row],[Sex Code]]</f>
        <v xml:space="preserve">Insurer Code ; Reporting Year ; Insurance Category Code ; Large Provider Entity Code ; Age Band Code ; Sex Code </v>
      </c>
      <c r="N2448" s="297" t="s">
        <v>197</v>
      </c>
      <c r="O2448" s="297" t="s">
        <v>198</v>
      </c>
      <c r="P2448" s="297" t="s">
        <v>199</v>
      </c>
      <c r="Q2448" s="297" t="s">
        <v>200</v>
      </c>
      <c r="R2448" s="297" t="s">
        <v>213</v>
      </c>
      <c r="S2448" s="297" t="s">
        <v>214</v>
      </c>
    </row>
    <row r="2449" spans="1:19" x14ac:dyDescent="0.4">
      <c r="A2449" s="291"/>
      <c r="B2449" s="292"/>
      <c r="C2449" s="312"/>
      <c r="D2449" s="292"/>
      <c r="E2449" s="489"/>
      <c r="F2449" s="489"/>
      <c r="G2449" s="490"/>
      <c r="H2449" s="520"/>
      <c r="I2449" s="523"/>
      <c r="J2449" s="521"/>
      <c r="K2449" s="522"/>
      <c r="M2449" s="301" t="str">
        <f>N2449&amp;AS[[#This Row],[Insurer Code]]&amp;"; "&amp;O2449&amp;AS[[#This Row],[Reporting Year]]&amp;"; "&amp;P2449&amp;AS[[#This Row],[Insurance Category Code]]&amp;"; "&amp;Q2449&amp;AS[[#This Row],[Large Provider Entity Code]]&amp;"; "&amp;R2449&amp;AS[[#This Row],[Age Band Code]]&amp;"; "&amp;S2449&amp;AS[[#This Row],[Sex Code]]</f>
        <v xml:space="preserve">Insurer Code ; Reporting Year ; Insurance Category Code ; Large Provider Entity Code ; Age Band Code ; Sex Code </v>
      </c>
      <c r="N2449" s="297" t="s">
        <v>197</v>
      </c>
      <c r="O2449" s="297" t="s">
        <v>198</v>
      </c>
      <c r="P2449" s="297" t="s">
        <v>199</v>
      </c>
      <c r="Q2449" s="297" t="s">
        <v>200</v>
      </c>
      <c r="R2449" s="297" t="s">
        <v>213</v>
      </c>
      <c r="S2449" s="297" t="s">
        <v>214</v>
      </c>
    </row>
    <row r="2450" spans="1:19" x14ac:dyDescent="0.4">
      <c r="A2450" s="291"/>
      <c r="B2450" s="292"/>
      <c r="C2450" s="312"/>
      <c r="D2450" s="292"/>
      <c r="E2450" s="489"/>
      <c r="F2450" s="489"/>
      <c r="G2450" s="490"/>
      <c r="H2450" s="520"/>
      <c r="I2450" s="523"/>
      <c r="J2450" s="521"/>
      <c r="K2450" s="522"/>
      <c r="M2450" s="301" t="str">
        <f>N2450&amp;AS[[#This Row],[Insurer Code]]&amp;"; "&amp;O2450&amp;AS[[#This Row],[Reporting Year]]&amp;"; "&amp;P2450&amp;AS[[#This Row],[Insurance Category Code]]&amp;"; "&amp;Q2450&amp;AS[[#This Row],[Large Provider Entity Code]]&amp;"; "&amp;R2450&amp;AS[[#This Row],[Age Band Code]]&amp;"; "&amp;S2450&amp;AS[[#This Row],[Sex Code]]</f>
        <v xml:space="preserve">Insurer Code ; Reporting Year ; Insurance Category Code ; Large Provider Entity Code ; Age Band Code ; Sex Code </v>
      </c>
      <c r="N2450" s="297" t="s">
        <v>197</v>
      </c>
      <c r="O2450" s="297" t="s">
        <v>198</v>
      </c>
      <c r="P2450" s="297" t="s">
        <v>199</v>
      </c>
      <c r="Q2450" s="297" t="s">
        <v>200</v>
      </c>
      <c r="R2450" s="297" t="s">
        <v>213</v>
      </c>
      <c r="S2450" s="297" t="s">
        <v>214</v>
      </c>
    </row>
    <row r="2451" spans="1:19" x14ac:dyDescent="0.4">
      <c r="A2451" s="291"/>
      <c r="B2451" s="292"/>
      <c r="C2451" s="312"/>
      <c r="D2451" s="292"/>
      <c r="E2451" s="489"/>
      <c r="F2451" s="489"/>
      <c r="G2451" s="490"/>
      <c r="H2451" s="520"/>
      <c r="I2451" s="523"/>
      <c r="J2451" s="521"/>
      <c r="K2451" s="522"/>
      <c r="M2451" s="301" t="str">
        <f>N2451&amp;AS[[#This Row],[Insurer Code]]&amp;"; "&amp;O2451&amp;AS[[#This Row],[Reporting Year]]&amp;"; "&amp;P2451&amp;AS[[#This Row],[Insurance Category Code]]&amp;"; "&amp;Q2451&amp;AS[[#This Row],[Large Provider Entity Code]]&amp;"; "&amp;R2451&amp;AS[[#This Row],[Age Band Code]]&amp;"; "&amp;S2451&amp;AS[[#This Row],[Sex Code]]</f>
        <v xml:space="preserve">Insurer Code ; Reporting Year ; Insurance Category Code ; Large Provider Entity Code ; Age Band Code ; Sex Code </v>
      </c>
      <c r="N2451" s="297" t="s">
        <v>197</v>
      </c>
      <c r="O2451" s="297" t="s">
        <v>198</v>
      </c>
      <c r="P2451" s="297" t="s">
        <v>199</v>
      </c>
      <c r="Q2451" s="297" t="s">
        <v>200</v>
      </c>
      <c r="R2451" s="297" t="s">
        <v>213</v>
      </c>
      <c r="S2451" s="297" t="s">
        <v>214</v>
      </c>
    </row>
    <row r="2452" spans="1:19" x14ac:dyDescent="0.4">
      <c r="A2452" s="291"/>
      <c r="B2452" s="292"/>
      <c r="C2452" s="312"/>
      <c r="D2452" s="292"/>
      <c r="E2452" s="489"/>
      <c r="F2452" s="489"/>
      <c r="G2452" s="490"/>
      <c r="H2452" s="520"/>
      <c r="I2452" s="523"/>
      <c r="J2452" s="521"/>
      <c r="K2452" s="522"/>
      <c r="M2452" s="301" t="str">
        <f>N2452&amp;AS[[#This Row],[Insurer Code]]&amp;"; "&amp;O2452&amp;AS[[#This Row],[Reporting Year]]&amp;"; "&amp;P2452&amp;AS[[#This Row],[Insurance Category Code]]&amp;"; "&amp;Q2452&amp;AS[[#This Row],[Large Provider Entity Code]]&amp;"; "&amp;R2452&amp;AS[[#This Row],[Age Band Code]]&amp;"; "&amp;S2452&amp;AS[[#This Row],[Sex Code]]</f>
        <v xml:space="preserve">Insurer Code ; Reporting Year ; Insurance Category Code ; Large Provider Entity Code ; Age Band Code ; Sex Code </v>
      </c>
      <c r="N2452" s="297" t="s">
        <v>197</v>
      </c>
      <c r="O2452" s="297" t="s">
        <v>198</v>
      </c>
      <c r="P2452" s="297" t="s">
        <v>199</v>
      </c>
      <c r="Q2452" s="297" t="s">
        <v>200</v>
      </c>
      <c r="R2452" s="297" t="s">
        <v>213</v>
      </c>
      <c r="S2452" s="297" t="s">
        <v>214</v>
      </c>
    </row>
    <row r="2453" spans="1:19" x14ac:dyDescent="0.4">
      <c r="A2453" s="291"/>
      <c r="B2453" s="292"/>
      <c r="C2453" s="312"/>
      <c r="D2453" s="292"/>
      <c r="E2453" s="489"/>
      <c r="F2453" s="489"/>
      <c r="G2453" s="490"/>
      <c r="H2453" s="520"/>
      <c r="I2453" s="523"/>
      <c r="J2453" s="521"/>
      <c r="K2453" s="522"/>
      <c r="M2453" s="301" t="str">
        <f>N2453&amp;AS[[#This Row],[Insurer Code]]&amp;"; "&amp;O2453&amp;AS[[#This Row],[Reporting Year]]&amp;"; "&amp;P2453&amp;AS[[#This Row],[Insurance Category Code]]&amp;"; "&amp;Q2453&amp;AS[[#This Row],[Large Provider Entity Code]]&amp;"; "&amp;R2453&amp;AS[[#This Row],[Age Band Code]]&amp;"; "&amp;S2453&amp;AS[[#This Row],[Sex Code]]</f>
        <v xml:space="preserve">Insurer Code ; Reporting Year ; Insurance Category Code ; Large Provider Entity Code ; Age Band Code ; Sex Code </v>
      </c>
      <c r="N2453" s="297" t="s">
        <v>197</v>
      </c>
      <c r="O2453" s="297" t="s">
        <v>198</v>
      </c>
      <c r="P2453" s="297" t="s">
        <v>199</v>
      </c>
      <c r="Q2453" s="297" t="s">
        <v>200</v>
      </c>
      <c r="R2453" s="297" t="s">
        <v>213</v>
      </c>
      <c r="S2453" s="297" t="s">
        <v>214</v>
      </c>
    </row>
    <row r="2454" spans="1:19" x14ac:dyDescent="0.4">
      <c r="A2454" s="291"/>
      <c r="B2454" s="292"/>
      <c r="C2454" s="312"/>
      <c r="D2454" s="292"/>
      <c r="E2454" s="489"/>
      <c r="F2454" s="489"/>
      <c r="G2454" s="490"/>
      <c r="H2454" s="520"/>
      <c r="I2454" s="523"/>
      <c r="J2454" s="521"/>
      <c r="K2454" s="522"/>
      <c r="M2454" s="301" t="str">
        <f>N2454&amp;AS[[#This Row],[Insurer Code]]&amp;"; "&amp;O2454&amp;AS[[#This Row],[Reporting Year]]&amp;"; "&amp;P2454&amp;AS[[#This Row],[Insurance Category Code]]&amp;"; "&amp;Q2454&amp;AS[[#This Row],[Large Provider Entity Code]]&amp;"; "&amp;R2454&amp;AS[[#This Row],[Age Band Code]]&amp;"; "&amp;S2454&amp;AS[[#This Row],[Sex Code]]</f>
        <v xml:space="preserve">Insurer Code ; Reporting Year ; Insurance Category Code ; Large Provider Entity Code ; Age Band Code ; Sex Code </v>
      </c>
      <c r="N2454" s="297" t="s">
        <v>197</v>
      </c>
      <c r="O2454" s="297" t="s">
        <v>198</v>
      </c>
      <c r="P2454" s="297" t="s">
        <v>199</v>
      </c>
      <c r="Q2454" s="297" t="s">
        <v>200</v>
      </c>
      <c r="R2454" s="297" t="s">
        <v>213</v>
      </c>
      <c r="S2454" s="297" t="s">
        <v>214</v>
      </c>
    </row>
    <row r="2455" spans="1:19" x14ac:dyDescent="0.4">
      <c r="A2455" s="291"/>
      <c r="B2455" s="292"/>
      <c r="C2455" s="312"/>
      <c r="D2455" s="292"/>
      <c r="E2455" s="489"/>
      <c r="F2455" s="489"/>
      <c r="G2455" s="490"/>
      <c r="H2455" s="520"/>
      <c r="I2455" s="523"/>
      <c r="J2455" s="521"/>
      <c r="K2455" s="522"/>
      <c r="M2455" s="301" t="str">
        <f>N2455&amp;AS[[#This Row],[Insurer Code]]&amp;"; "&amp;O2455&amp;AS[[#This Row],[Reporting Year]]&amp;"; "&amp;P2455&amp;AS[[#This Row],[Insurance Category Code]]&amp;"; "&amp;Q2455&amp;AS[[#This Row],[Large Provider Entity Code]]&amp;"; "&amp;R2455&amp;AS[[#This Row],[Age Band Code]]&amp;"; "&amp;S2455&amp;AS[[#This Row],[Sex Code]]</f>
        <v xml:space="preserve">Insurer Code ; Reporting Year ; Insurance Category Code ; Large Provider Entity Code ; Age Band Code ; Sex Code </v>
      </c>
      <c r="N2455" s="297" t="s">
        <v>197</v>
      </c>
      <c r="O2455" s="297" t="s">
        <v>198</v>
      </c>
      <c r="P2455" s="297" t="s">
        <v>199</v>
      </c>
      <c r="Q2455" s="297" t="s">
        <v>200</v>
      </c>
      <c r="R2455" s="297" t="s">
        <v>213</v>
      </c>
      <c r="S2455" s="297" t="s">
        <v>214</v>
      </c>
    </row>
    <row r="2456" spans="1:19" x14ac:dyDescent="0.4">
      <c r="A2456" s="291"/>
      <c r="B2456" s="292"/>
      <c r="C2456" s="312"/>
      <c r="D2456" s="292"/>
      <c r="E2456" s="489"/>
      <c r="F2456" s="489"/>
      <c r="G2456" s="490"/>
      <c r="H2456" s="520"/>
      <c r="I2456" s="523"/>
      <c r="J2456" s="521"/>
      <c r="K2456" s="522"/>
      <c r="M2456" s="301" t="str">
        <f>N2456&amp;AS[[#This Row],[Insurer Code]]&amp;"; "&amp;O2456&amp;AS[[#This Row],[Reporting Year]]&amp;"; "&amp;P2456&amp;AS[[#This Row],[Insurance Category Code]]&amp;"; "&amp;Q2456&amp;AS[[#This Row],[Large Provider Entity Code]]&amp;"; "&amp;R2456&amp;AS[[#This Row],[Age Band Code]]&amp;"; "&amp;S2456&amp;AS[[#This Row],[Sex Code]]</f>
        <v xml:space="preserve">Insurer Code ; Reporting Year ; Insurance Category Code ; Large Provider Entity Code ; Age Band Code ; Sex Code </v>
      </c>
      <c r="N2456" s="297" t="s">
        <v>197</v>
      </c>
      <c r="O2456" s="297" t="s">
        <v>198</v>
      </c>
      <c r="P2456" s="297" t="s">
        <v>199</v>
      </c>
      <c r="Q2456" s="297" t="s">
        <v>200</v>
      </c>
      <c r="R2456" s="297" t="s">
        <v>213</v>
      </c>
      <c r="S2456" s="297" t="s">
        <v>214</v>
      </c>
    </row>
    <row r="2457" spans="1:19" x14ac:dyDescent="0.4">
      <c r="A2457" s="291"/>
      <c r="B2457" s="292"/>
      <c r="C2457" s="312"/>
      <c r="D2457" s="292"/>
      <c r="E2457" s="489"/>
      <c r="F2457" s="489"/>
      <c r="G2457" s="490"/>
      <c r="H2457" s="520"/>
      <c r="I2457" s="523"/>
      <c r="J2457" s="521"/>
      <c r="K2457" s="522"/>
      <c r="M2457" s="301" t="str">
        <f>N2457&amp;AS[[#This Row],[Insurer Code]]&amp;"; "&amp;O2457&amp;AS[[#This Row],[Reporting Year]]&amp;"; "&amp;P2457&amp;AS[[#This Row],[Insurance Category Code]]&amp;"; "&amp;Q2457&amp;AS[[#This Row],[Large Provider Entity Code]]&amp;"; "&amp;R2457&amp;AS[[#This Row],[Age Band Code]]&amp;"; "&amp;S2457&amp;AS[[#This Row],[Sex Code]]</f>
        <v xml:space="preserve">Insurer Code ; Reporting Year ; Insurance Category Code ; Large Provider Entity Code ; Age Band Code ; Sex Code </v>
      </c>
      <c r="N2457" s="297" t="s">
        <v>197</v>
      </c>
      <c r="O2457" s="297" t="s">
        <v>198</v>
      </c>
      <c r="P2457" s="297" t="s">
        <v>199</v>
      </c>
      <c r="Q2457" s="297" t="s">
        <v>200</v>
      </c>
      <c r="R2457" s="297" t="s">
        <v>213</v>
      </c>
      <c r="S2457" s="297" t="s">
        <v>214</v>
      </c>
    </row>
    <row r="2458" spans="1:19" x14ac:dyDescent="0.4">
      <c r="A2458" s="291"/>
      <c r="B2458" s="292"/>
      <c r="C2458" s="312"/>
      <c r="D2458" s="292"/>
      <c r="E2458" s="489"/>
      <c r="F2458" s="489"/>
      <c r="G2458" s="490"/>
      <c r="H2458" s="520"/>
      <c r="I2458" s="523"/>
      <c r="J2458" s="521"/>
      <c r="K2458" s="522"/>
      <c r="M2458" s="301" t="str">
        <f>N2458&amp;AS[[#This Row],[Insurer Code]]&amp;"; "&amp;O2458&amp;AS[[#This Row],[Reporting Year]]&amp;"; "&amp;P2458&amp;AS[[#This Row],[Insurance Category Code]]&amp;"; "&amp;Q2458&amp;AS[[#This Row],[Large Provider Entity Code]]&amp;"; "&amp;R2458&amp;AS[[#This Row],[Age Band Code]]&amp;"; "&amp;S2458&amp;AS[[#This Row],[Sex Code]]</f>
        <v xml:space="preserve">Insurer Code ; Reporting Year ; Insurance Category Code ; Large Provider Entity Code ; Age Band Code ; Sex Code </v>
      </c>
      <c r="N2458" s="297" t="s">
        <v>197</v>
      </c>
      <c r="O2458" s="297" t="s">
        <v>198</v>
      </c>
      <c r="P2458" s="297" t="s">
        <v>199</v>
      </c>
      <c r="Q2458" s="297" t="s">
        <v>200</v>
      </c>
      <c r="R2458" s="297" t="s">
        <v>213</v>
      </c>
      <c r="S2458" s="297" t="s">
        <v>214</v>
      </c>
    </row>
    <row r="2459" spans="1:19" x14ac:dyDescent="0.4">
      <c r="A2459" s="291"/>
      <c r="B2459" s="292"/>
      <c r="C2459" s="312"/>
      <c r="D2459" s="292"/>
      <c r="E2459" s="489"/>
      <c r="F2459" s="489"/>
      <c r="G2459" s="490"/>
      <c r="H2459" s="520"/>
      <c r="I2459" s="523"/>
      <c r="J2459" s="521"/>
      <c r="K2459" s="522"/>
      <c r="M2459" s="301" t="str">
        <f>N2459&amp;AS[[#This Row],[Insurer Code]]&amp;"; "&amp;O2459&amp;AS[[#This Row],[Reporting Year]]&amp;"; "&amp;P2459&amp;AS[[#This Row],[Insurance Category Code]]&amp;"; "&amp;Q2459&amp;AS[[#This Row],[Large Provider Entity Code]]&amp;"; "&amp;R2459&amp;AS[[#This Row],[Age Band Code]]&amp;"; "&amp;S2459&amp;AS[[#This Row],[Sex Code]]</f>
        <v xml:space="preserve">Insurer Code ; Reporting Year ; Insurance Category Code ; Large Provider Entity Code ; Age Band Code ; Sex Code </v>
      </c>
      <c r="N2459" s="297" t="s">
        <v>197</v>
      </c>
      <c r="O2459" s="297" t="s">
        <v>198</v>
      </c>
      <c r="P2459" s="297" t="s">
        <v>199</v>
      </c>
      <c r="Q2459" s="297" t="s">
        <v>200</v>
      </c>
      <c r="R2459" s="297" t="s">
        <v>213</v>
      </c>
      <c r="S2459" s="297" t="s">
        <v>214</v>
      </c>
    </row>
    <row r="2460" spans="1:19" x14ac:dyDescent="0.4">
      <c r="A2460" s="291"/>
      <c r="B2460" s="292"/>
      <c r="C2460" s="312"/>
      <c r="D2460" s="292"/>
      <c r="E2460" s="489"/>
      <c r="F2460" s="489"/>
      <c r="G2460" s="490"/>
      <c r="H2460" s="520"/>
      <c r="I2460" s="523"/>
      <c r="J2460" s="521"/>
      <c r="K2460" s="522"/>
      <c r="M2460" s="301" t="str">
        <f>N2460&amp;AS[[#This Row],[Insurer Code]]&amp;"; "&amp;O2460&amp;AS[[#This Row],[Reporting Year]]&amp;"; "&amp;P2460&amp;AS[[#This Row],[Insurance Category Code]]&amp;"; "&amp;Q2460&amp;AS[[#This Row],[Large Provider Entity Code]]&amp;"; "&amp;R2460&amp;AS[[#This Row],[Age Band Code]]&amp;"; "&amp;S2460&amp;AS[[#This Row],[Sex Code]]</f>
        <v xml:space="preserve">Insurer Code ; Reporting Year ; Insurance Category Code ; Large Provider Entity Code ; Age Band Code ; Sex Code </v>
      </c>
      <c r="N2460" s="297" t="s">
        <v>197</v>
      </c>
      <c r="O2460" s="297" t="s">
        <v>198</v>
      </c>
      <c r="P2460" s="297" t="s">
        <v>199</v>
      </c>
      <c r="Q2460" s="297" t="s">
        <v>200</v>
      </c>
      <c r="R2460" s="297" t="s">
        <v>213</v>
      </c>
      <c r="S2460" s="297" t="s">
        <v>214</v>
      </c>
    </row>
    <row r="2461" spans="1:19" x14ac:dyDescent="0.4">
      <c r="A2461" s="291"/>
      <c r="B2461" s="292"/>
      <c r="C2461" s="312"/>
      <c r="D2461" s="292"/>
      <c r="E2461" s="489"/>
      <c r="F2461" s="489"/>
      <c r="G2461" s="490"/>
      <c r="H2461" s="520"/>
      <c r="I2461" s="523"/>
      <c r="J2461" s="521"/>
      <c r="K2461" s="522"/>
      <c r="M2461" s="301" t="str">
        <f>N2461&amp;AS[[#This Row],[Insurer Code]]&amp;"; "&amp;O2461&amp;AS[[#This Row],[Reporting Year]]&amp;"; "&amp;P2461&amp;AS[[#This Row],[Insurance Category Code]]&amp;"; "&amp;Q2461&amp;AS[[#This Row],[Large Provider Entity Code]]&amp;"; "&amp;R2461&amp;AS[[#This Row],[Age Band Code]]&amp;"; "&amp;S2461&amp;AS[[#This Row],[Sex Code]]</f>
        <v xml:space="preserve">Insurer Code ; Reporting Year ; Insurance Category Code ; Large Provider Entity Code ; Age Band Code ; Sex Code </v>
      </c>
      <c r="N2461" s="297" t="s">
        <v>197</v>
      </c>
      <c r="O2461" s="297" t="s">
        <v>198</v>
      </c>
      <c r="P2461" s="297" t="s">
        <v>199</v>
      </c>
      <c r="Q2461" s="297" t="s">
        <v>200</v>
      </c>
      <c r="R2461" s="297" t="s">
        <v>213</v>
      </c>
      <c r="S2461" s="297" t="s">
        <v>214</v>
      </c>
    </row>
    <row r="2462" spans="1:19" x14ac:dyDescent="0.4">
      <c r="A2462" s="291"/>
      <c r="B2462" s="292"/>
      <c r="C2462" s="312"/>
      <c r="D2462" s="292"/>
      <c r="E2462" s="489"/>
      <c r="F2462" s="489"/>
      <c r="G2462" s="490"/>
      <c r="H2462" s="520"/>
      <c r="I2462" s="523"/>
      <c r="J2462" s="521"/>
      <c r="K2462" s="522"/>
      <c r="M2462" s="301" t="str">
        <f>N2462&amp;AS[[#This Row],[Insurer Code]]&amp;"; "&amp;O2462&amp;AS[[#This Row],[Reporting Year]]&amp;"; "&amp;P2462&amp;AS[[#This Row],[Insurance Category Code]]&amp;"; "&amp;Q2462&amp;AS[[#This Row],[Large Provider Entity Code]]&amp;"; "&amp;R2462&amp;AS[[#This Row],[Age Band Code]]&amp;"; "&amp;S2462&amp;AS[[#This Row],[Sex Code]]</f>
        <v xml:space="preserve">Insurer Code ; Reporting Year ; Insurance Category Code ; Large Provider Entity Code ; Age Band Code ; Sex Code </v>
      </c>
      <c r="N2462" s="297" t="s">
        <v>197</v>
      </c>
      <c r="O2462" s="297" t="s">
        <v>198</v>
      </c>
      <c r="P2462" s="297" t="s">
        <v>199</v>
      </c>
      <c r="Q2462" s="297" t="s">
        <v>200</v>
      </c>
      <c r="R2462" s="297" t="s">
        <v>213</v>
      </c>
      <c r="S2462" s="297" t="s">
        <v>214</v>
      </c>
    </row>
    <row r="2463" spans="1:19" x14ac:dyDescent="0.4">
      <c r="A2463" s="291"/>
      <c r="B2463" s="292"/>
      <c r="C2463" s="312"/>
      <c r="D2463" s="292"/>
      <c r="E2463" s="489"/>
      <c r="F2463" s="489"/>
      <c r="G2463" s="490"/>
      <c r="H2463" s="520"/>
      <c r="I2463" s="523"/>
      <c r="J2463" s="521"/>
      <c r="K2463" s="522"/>
      <c r="M2463" s="301" t="str">
        <f>N2463&amp;AS[[#This Row],[Insurer Code]]&amp;"; "&amp;O2463&amp;AS[[#This Row],[Reporting Year]]&amp;"; "&amp;P2463&amp;AS[[#This Row],[Insurance Category Code]]&amp;"; "&amp;Q2463&amp;AS[[#This Row],[Large Provider Entity Code]]&amp;"; "&amp;R2463&amp;AS[[#This Row],[Age Band Code]]&amp;"; "&amp;S2463&amp;AS[[#This Row],[Sex Code]]</f>
        <v xml:space="preserve">Insurer Code ; Reporting Year ; Insurance Category Code ; Large Provider Entity Code ; Age Band Code ; Sex Code </v>
      </c>
      <c r="N2463" s="297" t="s">
        <v>197</v>
      </c>
      <c r="O2463" s="297" t="s">
        <v>198</v>
      </c>
      <c r="P2463" s="297" t="s">
        <v>199</v>
      </c>
      <c r="Q2463" s="297" t="s">
        <v>200</v>
      </c>
      <c r="R2463" s="297" t="s">
        <v>213</v>
      </c>
      <c r="S2463" s="297" t="s">
        <v>214</v>
      </c>
    </row>
    <row r="2464" spans="1:19" x14ac:dyDescent="0.4">
      <c r="A2464" s="291"/>
      <c r="B2464" s="292"/>
      <c r="C2464" s="312"/>
      <c r="D2464" s="292"/>
      <c r="E2464" s="489"/>
      <c r="F2464" s="489"/>
      <c r="G2464" s="490"/>
      <c r="H2464" s="520"/>
      <c r="I2464" s="523"/>
      <c r="J2464" s="521"/>
      <c r="K2464" s="522"/>
      <c r="M2464" s="301" t="str">
        <f>N2464&amp;AS[[#This Row],[Insurer Code]]&amp;"; "&amp;O2464&amp;AS[[#This Row],[Reporting Year]]&amp;"; "&amp;P2464&amp;AS[[#This Row],[Insurance Category Code]]&amp;"; "&amp;Q2464&amp;AS[[#This Row],[Large Provider Entity Code]]&amp;"; "&amp;R2464&amp;AS[[#This Row],[Age Band Code]]&amp;"; "&amp;S2464&amp;AS[[#This Row],[Sex Code]]</f>
        <v xml:space="preserve">Insurer Code ; Reporting Year ; Insurance Category Code ; Large Provider Entity Code ; Age Band Code ; Sex Code </v>
      </c>
      <c r="N2464" s="297" t="s">
        <v>197</v>
      </c>
      <c r="O2464" s="297" t="s">
        <v>198</v>
      </c>
      <c r="P2464" s="297" t="s">
        <v>199</v>
      </c>
      <c r="Q2464" s="297" t="s">
        <v>200</v>
      </c>
      <c r="R2464" s="297" t="s">
        <v>213</v>
      </c>
      <c r="S2464" s="297" t="s">
        <v>214</v>
      </c>
    </row>
    <row r="2465" spans="1:19" x14ac:dyDescent="0.4">
      <c r="A2465" s="291"/>
      <c r="B2465" s="292"/>
      <c r="C2465" s="312"/>
      <c r="D2465" s="292"/>
      <c r="E2465" s="489"/>
      <c r="F2465" s="489"/>
      <c r="G2465" s="490"/>
      <c r="H2465" s="520"/>
      <c r="I2465" s="523"/>
      <c r="J2465" s="521"/>
      <c r="K2465" s="522"/>
      <c r="M2465" s="301" t="str">
        <f>N2465&amp;AS[[#This Row],[Insurer Code]]&amp;"; "&amp;O2465&amp;AS[[#This Row],[Reporting Year]]&amp;"; "&amp;P2465&amp;AS[[#This Row],[Insurance Category Code]]&amp;"; "&amp;Q2465&amp;AS[[#This Row],[Large Provider Entity Code]]&amp;"; "&amp;R2465&amp;AS[[#This Row],[Age Band Code]]&amp;"; "&amp;S2465&amp;AS[[#This Row],[Sex Code]]</f>
        <v xml:space="preserve">Insurer Code ; Reporting Year ; Insurance Category Code ; Large Provider Entity Code ; Age Band Code ; Sex Code </v>
      </c>
      <c r="N2465" s="297" t="s">
        <v>197</v>
      </c>
      <c r="O2465" s="297" t="s">
        <v>198</v>
      </c>
      <c r="P2465" s="297" t="s">
        <v>199</v>
      </c>
      <c r="Q2465" s="297" t="s">
        <v>200</v>
      </c>
      <c r="R2465" s="297" t="s">
        <v>213</v>
      </c>
      <c r="S2465" s="297" t="s">
        <v>214</v>
      </c>
    </row>
    <row r="2466" spans="1:19" x14ac:dyDescent="0.4">
      <c r="A2466" s="291"/>
      <c r="B2466" s="292"/>
      <c r="C2466" s="312"/>
      <c r="D2466" s="292"/>
      <c r="E2466" s="489"/>
      <c r="F2466" s="489"/>
      <c r="G2466" s="490"/>
      <c r="H2466" s="520"/>
      <c r="I2466" s="523"/>
      <c r="J2466" s="521"/>
      <c r="K2466" s="522"/>
      <c r="M2466" s="301" t="str">
        <f>N2466&amp;AS[[#This Row],[Insurer Code]]&amp;"; "&amp;O2466&amp;AS[[#This Row],[Reporting Year]]&amp;"; "&amp;P2466&amp;AS[[#This Row],[Insurance Category Code]]&amp;"; "&amp;Q2466&amp;AS[[#This Row],[Large Provider Entity Code]]&amp;"; "&amp;R2466&amp;AS[[#This Row],[Age Band Code]]&amp;"; "&amp;S2466&amp;AS[[#This Row],[Sex Code]]</f>
        <v xml:space="preserve">Insurer Code ; Reporting Year ; Insurance Category Code ; Large Provider Entity Code ; Age Band Code ; Sex Code </v>
      </c>
      <c r="N2466" s="297" t="s">
        <v>197</v>
      </c>
      <c r="O2466" s="297" t="s">
        <v>198</v>
      </c>
      <c r="P2466" s="297" t="s">
        <v>199</v>
      </c>
      <c r="Q2466" s="297" t="s">
        <v>200</v>
      </c>
      <c r="R2466" s="297" t="s">
        <v>213</v>
      </c>
      <c r="S2466" s="297" t="s">
        <v>214</v>
      </c>
    </row>
    <row r="2467" spans="1:19" x14ac:dyDescent="0.4">
      <c r="A2467" s="291"/>
      <c r="B2467" s="292"/>
      <c r="C2467" s="312"/>
      <c r="D2467" s="292"/>
      <c r="E2467" s="489"/>
      <c r="F2467" s="489"/>
      <c r="G2467" s="490"/>
      <c r="H2467" s="520"/>
      <c r="I2467" s="523"/>
      <c r="J2467" s="521"/>
      <c r="K2467" s="522"/>
      <c r="M2467" s="301" t="str">
        <f>N2467&amp;AS[[#This Row],[Insurer Code]]&amp;"; "&amp;O2467&amp;AS[[#This Row],[Reporting Year]]&amp;"; "&amp;P2467&amp;AS[[#This Row],[Insurance Category Code]]&amp;"; "&amp;Q2467&amp;AS[[#This Row],[Large Provider Entity Code]]&amp;"; "&amp;R2467&amp;AS[[#This Row],[Age Band Code]]&amp;"; "&amp;S2467&amp;AS[[#This Row],[Sex Code]]</f>
        <v xml:space="preserve">Insurer Code ; Reporting Year ; Insurance Category Code ; Large Provider Entity Code ; Age Band Code ; Sex Code </v>
      </c>
      <c r="N2467" s="297" t="s">
        <v>197</v>
      </c>
      <c r="O2467" s="297" t="s">
        <v>198</v>
      </c>
      <c r="P2467" s="297" t="s">
        <v>199</v>
      </c>
      <c r="Q2467" s="297" t="s">
        <v>200</v>
      </c>
      <c r="R2467" s="297" t="s">
        <v>213</v>
      </c>
      <c r="S2467" s="297" t="s">
        <v>214</v>
      </c>
    </row>
    <row r="2468" spans="1:19" x14ac:dyDescent="0.4">
      <c r="A2468" s="291"/>
      <c r="B2468" s="292"/>
      <c r="C2468" s="312"/>
      <c r="D2468" s="292"/>
      <c r="E2468" s="489"/>
      <c r="F2468" s="489"/>
      <c r="G2468" s="490"/>
      <c r="H2468" s="520"/>
      <c r="I2468" s="523"/>
      <c r="J2468" s="521"/>
      <c r="K2468" s="522"/>
      <c r="M2468" s="301" t="str">
        <f>N2468&amp;AS[[#This Row],[Insurer Code]]&amp;"; "&amp;O2468&amp;AS[[#This Row],[Reporting Year]]&amp;"; "&amp;P2468&amp;AS[[#This Row],[Insurance Category Code]]&amp;"; "&amp;Q2468&amp;AS[[#This Row],[Large Provider Entity Code]]&amp;"; "&amp;R2468&amp;AS[[#This Row],[Age Band Code]]&amp;"; "&amp;S2468&amp;AS[[#This Row],[Sex Code]]</f>
        <v xml:space="preserve">Insurer Code ; Reporting Year ; Insurance Category Code ; Large Provider Entity Code ; Age Band Code ; Sex Code </v>
      </c>
      <c r="N2468" s="297" t="s">
        <v>197</v>
      </c>
      <c r="O2468" s="297" t="s">
        <v>198</v>
      </c>
      <c r="P2468" s="297" t="s">
        <v>199</v>
      </c>
      <c r="Q2468" s="297" t="s">
        <v>200</v>
      </c>
      <c r="R2468" s="297" t="s">
        <v>213</v>
      </c>
      <c r="S2468" s="297" t="s">
        <v>214</v>
      </c>
    </row>
    <row r="2469" spans="1:19" x14ac:dyDescent="0.4">
      <c r="A2469" s="291"/>
      <c r="B2469" s="292"/>
      <c r="C2469" s="312"/>
      <c r="D2469" s="292"/>
      <c r="E2469" s="489"/>
      <c r="F2469" s="489"/>
      <c r="G2469" s="490"/>
      <c r="H2469" s="520"/>
      <c r="I2469" s="523"/>
      <c r="J2469" s="521"/>
      <c r="K2469" s="522"/>
      <c r="M2469" s="301" t="str">
        <f>N2469&amp;AS[[#This Row],[Insurer Code]]&amp;"; "&amp;O2469&amp;AS[[#This Row],[Reporting Year]]&amp;"; "&amp;P2469&amp;AS[[#This Row],[Insurance Category Code]]&amp;"; "&amp;Q2469&amp;AS[[#This Row],[Large Provider Entity Code]]&amp;"; "&amp;R2469&amp;AS[[#This Row],[Age Band Code]]&amp;"; "&amp;S2469&amp;AS[[#This Row],[Sex Code]]</f>
        <v xml:space="preserve">Insurer Code ; Reporting Year ; Insurance Category Code ; Large Provider Entity Code ; Age Band Code ; Sex Code </v>
      </c>
      <c r="N2469" s="297" t="s">
        <v>197</v>
      </c>
      <c r="O2469" s="297" t="s">
        <v>198</v>
      </c>
      <c r="P2469" s="297" t="s">
        <v>199</v>
      </c>
      <c r="Q2469" s="297" t="s">
        <v>200</v>
      </c>
      <c r="R2469" s="297" t="s">
        <v>213</v>
      </c>
      <c r="S2469" s="297" t="s">
        <v>214</v>
      </c>
    </row>
    <row r="2470" spans="1:19" x14ac:dyDescent="0.4">
      <c r="A2470" s="291"/>
      <c r="B2470" s="292"/>
      <c r="C2470" s="312"/>
      <c r="D2470" s="292"/>
      <c r="E2470" s="489"/>
      <c r="F2470" s="489"/>
      <c r="G2470" s="490"/>
      <c r="H2470" s="520"/>
      <c r="I2470" s="523"/>
      <c r="J2470" s="521"/>
      <c r="K2470" s="522"/>
      <c r="M2470" s="301" t="str">
        <f>N2470&amp;AS[[#This Row],[Insurer Code]]&amp;"; "&amp;O2470&amp;AS[[#This Row],[Reporting Year]]&amp;"; "&amp;P2470&amp;AS[[#This Row],[Insurance Category Code]]&amp;"; "&amp;Q2470&amp;AS[[#This Row],[Large Provider Entity Code]]&amp;"; "&amp;R2470&amp;AS[[#This Row],[Age Band Code]]&amp;"; "&amp;S2470&amp;AS[[#This Row],[Sex Code]]</f>
        <v xml:space="preserve">Insurer Code ; Reporting Year ; Insurance Category Code ; Large Provider Entity Code ; Age Band Code ; Sex Code </v>
      </c>
      <c r="N2470" s="297" t="s">
        <v>197</v>
      </c>
      <c r="O2470" s="297" t="s">
        <v>198</v>
      </c>
      <c r="P2470" s="297" t="s">
        <v>199</v>
      </c>
      <c r="Q2470" s="297" t="s">
        <v>200</v>
      </c>
      <c r="R2470" s="297" t="s">
        <v>213</v>
      </c>
      <c r="S2470" s="297" t="s">
        <v>214</v>
      </c>
    </row>
    <row r="2471" spans="1:19" x14ac:dyDescent="0.4">
      <c r="A2471" s="291"/>
      <c r="B2471" s="292"/>
      <c r="C2471" s="312"/>
      <c r="D2471" s="292"/>
      <c r="E2471" s="489"/>
      <c r="F2471" s="489"/>
      <c r="G2471" s="490"/>
      <c r="H2471" s="520"/>
      <c r="I2471" s="523"/>
      <c r="J2471" s="521"/>
      <c r="K2471" s="522"/>
      <c r="M2471" s="301" t="str">
        <f>N2471&amp;AS[[#This Row],[Insurer Code]]&amp;"; "&amp;O2471&amp;AS[[#This Row],[Reporting Year]]&amp;"; "&amp;P2471&amp;AS[[#This Row],[Insurance Category Code]]&amp;"; "&amp;Q2471&amp;AS[[#This Row],[Large Provider Entity Code]]&amp;"; "&amp;R2471&amp;AS[[#This Row],[Age Band Code]]&amp;"; "&amp;S2471&amp;AS[[#This Row],[Sex Code]]</f>
        <v xml:space="preserve">Insurer Code ; Reporting Year ; Insurance Category Code ; Large Provider Entity Code ; Age Band Code ; Sex Code </v>
      </c>
      <c r="N2471" s="297" t="s">
        <v>197</v>
      </c>
      <c r="O2471" s="297" t="s">
        <v>198</v>
      </c>
      <c r="P2471" s="297" t="s">
        <v>199</v>
      </c>
      <c r="Q2471" s="297" t="s">
        <v>200</v>
      </c>
      <c r="R2471" s="297" t="s">
        <v>213</v>
      </c>
      <c r="S2471" s="297" t="s">
        <v>214</v>
      </c>
    </row>
    <row r="2472" spans="1:19" x14ac:dyDescent="0.4">
      <c r="A2472" s="291"/>
      <c r="B2472" s="292"/>
      <c r="C2472" s="312"/>
      <c r="D2472" s="292"/>
      <c r="E2472" s="489"/>
      <c r="F2472" s="489"/>
      <c r="G2472" s="490"/>
      <c r="H2472" s="520"/>
      <c r="I2472" s="523"/>
      <c r="J2472" s="521"/>
      <c r="K2472" s="522"/>
      <c r="M2472" s="301" t="str">
        <f>N2472&amp;AS[[#This Row],[Insurer Code]]&amp;"; "&amp;O2472&amp;AS[[#This Row],[Reporting Year]]&amp;"; "&amp;P2472&amp;AS[[#This Row],[Insurance Category Code]]&amp;"; "&amp;Q2472&amp;AS[[#This Row],[Large Provider Entity Code]]&amp;"; "&amp;R2472&amp;AS[[#This Row],[Age Band Code]]&amp;"; "&amp;S2472&amp;AS[[#This Row],[Sex Code]]</f>
        <v xml:space="preserve">Insurer Code ; Reporting Year ; Insurance Category Code ; Large Provider Entity Code ; Age Band Code ; Sex Code </v>
      </c>
      <c r="N2472" s="297" t="s">
        <v>197</v>
      </c>
      <c r="O2472" s="297" t="s">
        <v>198</v>
      </c>
      <c r="P2472" s="297" t="s">
        <v>199</v>
      </c>
      <c r="Q2472" s="297" t="s">
        <v>200</v>
      </c>
      <c r="R2472" s="297" t="s">
        <v>213</v>
      </c>
      <c r="S2472" s="297" t="s">
        <v>214</v>
      </c>
    </row>
    <row r="2473" spans="1:19" x14ac:dyDescent="0.4">
      <c r="A2473" s="291"/>
      <c r="B2473" s="292"/>
      <c r="C2473" s="312"/>
      <c r="D2473" s="292"/>
      <c r="E2473" s="489"/>
      <c r="F2473" s="489"/>
      <c r="G2473" s="490"/>
      <c r="H2473" s="520"/>
      <c r="I2473" s="523"/>
      <c r="J2473" s="521"/>
      <c r="K2473" s="522"/>
      <c r="M2473" s="301" t="str">
        <f>N2473&amp;AS[[#This Row],[Insurer Code]]&amp;"; "&amp;O2473&amp;AS[[#This Row],[Reporting Year]]&amp;"; "&amp;P2473&amp;AS[[#This Row],[Insurance Category Code]]&amp;"; "&amp;Q2473&amp;AS[[#This Row],[Large Provider Entity Code]]&amp;"; "&amp;R2473&amp;AS[[#This Row],[Age Band Code]]&amp;"; "&amp;S2473&amp;AS[[#This Row],[Sex Code]]</f>
        <v xml:space="preserve">Insurer Code ; Reporting Year ; Insurance Category Code ; Large Provider Entity Code ; Age Band Code ; Sex Code </v>
      </c>
      <c r="N2473" s="297" t="s">
        <v>197</v>
      </c>
      <c r="O2473" s="297" t="s">
        <v>198</v>
      </c>
      <c r="P2473" s="297" t="s">
        <v>199</v>
      </c>
      <c r="Q2473" s="297" t="s">
        <v>200</v>
      </c>
      <c r="R2473" s="297" t="s">
        <v>213</v>
      </c>
      <c r="S2473" s="297" t="s">
        <v>214</v>
      </c>
    </row>
    <row r="2474" spans="1:19" x14ac:dyDescent="0.4">
      <c r="A2474" s="291"/>
      <c r="B2474" s="292"/>
      <c r="C2474" s="312"/>
      <c r="D2474" s="292"/>
      <c r="E2474" s="489"/>
      <c r="F2474" s="489"/>
      <c r="G2474" s="490"/>
      <c r="H2474" s="520"/>
      <c r="I2474" s="523"/>
      <c r="J2474" s="521"/>
      <c r="K2474" s="522"/>
      <c r="M2474" s="301" t="str">
        <f>N2474&amp;AS[[#This Row],[Insurer Code]]&amp;"; "&amp;O2474&amp;AS[[#This Row],[Reporting Year]]&amp;"; "&amp;P2474&amp;AS[[#This Row],[Insurance Category Code]]&amp;"; "&amp;Q2474&amp;AS[[#This Row],[Large Provider Entity Code]]&amp;"; "&amp;R2474&amp;AS[[#This Row],[Age Band Code]]&amp;"; "&amp;S2474&amp;AS[[#This Row],[Sex Code]]</f>
        <v xml:space="preserve">Insurer Code ; Reporting Year ; Insurance Category Code ; Large Provider Entity Code ; Age Band Code ; Sex Code </v>
      </c>
      <c r="N2474" s="297" t="s">
        <v>197</v>
      </c>
      <c r="O2474" s="297" t="s">
        <v>198</v>
      </c>
      <c r="P2474" s="297" t="s">
        <v>199</v>
      </c>
      <c r="Q2474" s="297" t="s">
        <v>200</v>
      </c>
      <c r="R2474" s="297" t="s">
        <v>213</v>
      </c>
      <c r="S2474" s="297" t="s">
        <v>214</v>
      </c>
    </row>
    <row r="2475" spans="1:19" x14ac:dyDescent="0.4">
      <c r="A2475" s="291"/>
      <c r="B2475" s="292"/>
      <c r="C2475" s="312"/>
      <c r="D2475" s="292"/>
      <c r="E2475" s="489"/>
      <c r="F2475" s="489"/>
      <c r="G2475" s="490"/>
      <c r="H2475" s="520"/>
      <c r="I2475" s="523"/>
      <c r="J2475" s="521"/>
      <c r="K2475" s="522"/>
      <c r="M2475" s="301" t="str">
        <f>N2475&amp;AS[[#This Row],[Insurer Code]]&amp;"; "&amp;O2475&amp;AS[[#This Row],[Reporting Year]]&amp;"; "&amp;P2475&amp;AS[[#This Row],[Insurance Category Code]]&amp;"; "&amp;Q2475&amp;AS[[#This Row],[Large Provider Entity Code]]&amp;"; "&amp;R2475&amp;AS[[#This Row],[Age Band Code]]&amp;"; "&amp;S2475&amp;AS[[#This Row],[Sex Code]]</f>
        <v xml:space="preserve">Insurer Code ; Reporting Year ; Insurance Category Code ; Large Provider Entity Code ; Age Band Code ; Sex Code </v>
      </c>
      <c r="N2475" s="297" t="s">
        <v>197</v>
      </c>
      <c r="O2475" s="297" t="s">
        <v>198</v>
      </c>
      <c r="P2475" s="297" t="s">
        <v>199</v>
      </c>
      <c r="Q2475" s="297" t="s">
        <v>200</v>
      </c>
      <c r="R2475" s="297" t="s">
        <v>213</v>
      </c>
      <c r="S2475" s="297" t="s">
        <v>214</v>
      </c>
    </row>
    <row r="2476" spans="1:19" x14ac:dyDescent="0.4">
      <c r="A2476" s="291"/>
      <c r="B2476" s="292"/>
      <c r="C2476" s="312"/>
      <c r="D2476" s="292"/>
      <c r="E2476" s="489"/>
      <c r="F2476" s="489"/>
      <c r="G2476" s="490"/>
      <c r="H2476" s="520"/>
      <c r="I2476" s="523"/>
      <c r="J2476" s="521"/>
      <c r="K2476" s="522"/>
      <c r="M2476" s="301" t="str">
        <f>N2476&amp;AS[[#This Row],[Insurer Code]]&amp;"; "&amp;O2476&amp;AS[[#This Row],[Reporting Year]]&amp;"; "&amp;P2476&amp;AS[[#This Row],[Insurance Category Code]]&amp;"; "&amp;Q2476&amp;AS[[#This Row],[Large Provider Entity Code]]&amp;"; "&amp;R2476&amp;AS[[#This Row],[Age Band Code]]&amp;"; "&amp;S2476&amp;AS[[#This Row],[Sex Code]]</f>
        <v xml:space="preserve">Insurer Code ; Reporting Year ; Insurance Category Code ; Large Provider Entity Code ; Age Band Code ; Sex Code </v>
      </c>
      <c r="N2476" s="297" t="s">
        <v>197</v>
      </c>
      <c r="O2476" s="297" t="s">
        <v>198</v>
      </c>
      <c r="P2476" s="297" t="s">
        <v>199</v>
      </c>
      <c r="Q2476" s="297" t="s">
        <v>200</v>
      </c>
      <c r="R2476" s="297" t="s">
        <v>213</v>
      </c>
      <c r="S2476" s="297" t="s">
        <v>214</v>
      </c>
    </row>
    <row r="2477" spans="1:19" x14ac:dyDescent="0.4">
      <c r="A2477" s="291"/>
      <c r="B2477" s="292"/>
      <c r="C2477" s="312"/>
      <c r="D2477" s="292"/>
      <c r="E2477" s="489"/>
      <c r="F2477" s="489"/>
      <c r="G2477" s="490"/>
      <c r="H2477" s="520"/>
      <c r="I2477" s="523"/>
      <c r="J2477" s="521"/>
      <c r="K2477" s="522"/>
      <c r="M2477" s="301" t="str">
        <f>N2477&amp;AS[[#This Row],[Insurer Code]]&amp;"; "&amp;O2477&amp;AS[[#This Row],[Reporting Year]]&amp;"; "&amp;P2477&amp;AS[[#This Row],[Insurance Category Code]]&amp;"; "&amp;Q2477&amp;AS[[#This Row],[Large Provider Entity Code]]&amp;"; "&amp;R2477&amp;AS[[#This Row],[Age Band Code]]&amp;"; "&amp;S2477&amp;AS[[#This Row],[Sex Code]]</f>
        <v xml:space="preserve">Insurer Code ; Reporting Year ; Insurance Category Code ; Large Provider Entity Code ; Age Band Code ; Sex Code </v>
      </c>
      <c r="N2477" s="297" t="s">
        <v>197</v>
      </c>
      <c r="O2477" s="297" t="s">
        <v>198</v>
      </c>
      <c r="P2477" s="297" t="s">
        <v>199</v>
      </c>
      <c r="Q2477" s="297" t="s">
        <v>200</v>
      </c>
      <c r="R2477" s="297" t="s">
        <v>213</v>
      </c>
      <c r="S2477" s="297" t="s">
        <v>214</v>
      </c>
    </row>
    <row r="2478" spans="1:19" x14ac:dyDescent="0.4">
      <c r="A2478" s="291"/>
      <c r="B2478" s="292"/>
      <c r="C2478" s="312"/>
      <c r="D2478" s="292"/>
      <c r="E2478" s="489"/>
      <c r="F2478" s="489"/>
      <c r="G2478" s="490"/>
      <c r="H2478" s="520"/>
      <c r="I2478" s="523"/>
      <c r="J2478" s="521"/>
      <c r="K2478" s="522"/>
      <c r="M2478" s="301" t="str">
        <f>N2478&amp;AS[[#This Row],[Insurer Code]]&amp;"; "&amp;O2478&amp;AS[[#This Row],[Reporting Year]]&amp;"; "&amp;P2478&amp;AS[[#This Row],[Insurance Category Code]]&amp;"; "&amp;Q2478&amp;AS[[#This Row],[Large Provider Entity Code]]&amp;"; "&amp;R2478&amp;AS[[#This Row],[Age Band Code]]&amp;"; "&amp;S2478&amp;AS[[#This Row],[Sex Code]]</f>
        <v xml:space="preserve">Insurer Code ; Reporting Year ; Insurance Category Code ; Large Provider Entity Code ; Age Band Code ; Sex Code </v>
      </c>
      <c r="N2478" s="297" t="s">
        <v>197</v>
      </c>
      <c r="O2478" s="297" t="s">
        <v>198</v>
      </c>
      <c r="P2478" s="297" t="s">
        <v>199</v>
      </c>
      <c r="Q2478" s="297" t="s">
        <v>200</v>
      </c>
      <c r="R2478" s="297" t="s">
        <v>213</v>
      </c>
      <c r="S2478" s="297" t="s">
        <v>214</v>
      </c>
    </row>
    <row r="2479" spans="1:19" x14ac:dyDescent="0.4">
      <c r="A2479" s="291"/>
      <c r="B2479" s="292"/>
      <c r="C2479" s="312"/>
      <c r="D2479" s="292"/>
      <c r="E2479" s="489"/>
      <c r="F2479" s="489"/>
      <c r="G2479" s="490"/>
      <c r="H2479" s="520"/>
      <c r="I2479" s="523"/>
      <c r="J2479" s="521"/>
      <c r="K2479" s="522"/>
      <c r="M2479" s="301" t="str">
        <f>N2479&amp;AS[[#This Row],[Insurer Code]]&amp;"; "&amp;O2479&amp;AS[[#This Row],[Reporting Year]]&amp;"; "&amp;P2479&amp;AS[[#This Row],[Insurance Category Code]]&amp;"; "&amp;Q2479&amp;AS[[#This Row],[Large Provider Entity Code]]&amp;"; "&amp;R2479&amp;AS[[#This Row],[Age Band Code]]&amp;"; "&amp;S2479&amp;AS[[#This Row],[Sex Code]]</f>
        <v xml:space="preserve">Insurer Code ; Reporting Year ; Insurance Category Code ; Large Provider Entity Code ; Age Band Code ; Sex Code </v>
      </c>
      <c r="N2479" s="297" t="s">
        <v>197</v>
      </c>
      <c r="O2479" s="297" t="s">
        <v>198</v>
      </c>
      <c r="P2479" s="297" t="s">
        <v>199</v>
      </c>
      <c r="Q2479" s="297" t="s">
        <v>200</v>
      </c>
      <c r="R2479" s="297" t="s">
        <v>213</v>
      </c>
      <c r="S2479" s="297" t="s">
        <v>214</v>
      </c>
    </row>
    <row r="2480" spans="1:19" x14ac:dyDescent="0.4">
      <c r="A2480" s="291"/>
      <c r="B2480" s="292"/>
      <c r="C2480" s="312"/>
      <c r="D2480" s="292"/>
      <c r="E2480" s="489"/>
      <c r="F2480" s="489"/>
      <c r="G2480" s="490"/>
      <c r="H2480" s="520"/>
      <c r="I2480" s="523"/>
      <c r="J2480" s="521"/>
      <c r="K2480" s="522"/>
      <c r="M2480" s="301" t="str">
        <f>N2480&amp;AS[[#This Row],[Insurer Code]]&amp;"; "&amp;O2480&amp;AS[[#This Row],[Reporting Year]]&amp;"; "&amp;P2480&amp;AS[[#This Row],[Insurance Category Code]]&amp;"; "&amp;Q2480&amp;AS[[#This Row],[Large Provider Entity Code]]&amp;"; "&amp;R2480&amp;AS[[#This Row],[Age Band Code]]&amp;"; "&amp;S2480&amp;AS[[#This Row],[Sex Code]]</f>
        <v xml:space="preserve">Insurer Code ; Reporting Year ; Insurance Category Code ; Large Provider Entity Code ; Age Band Code ; Sex Code </v>
      </c>
      <c r="N2480" s="297" t="s">
        <v>197</v>
      </c>
      <c r="O2480" s="297" t="s">
        <v>198</v>
      </c>
      <c r="P2480" s="297" t="s">
        <v>199</v>
      </c>
      <c r="Q2480" s="297" t="s">
        <v>200</v>
      </c>
      <c r="R2480" s="297" t="s">
        <v>213</v>
      </c>
      <c r="S2480" s="297" t="s">
        <v>214</v>
      </c>
    </row>
    <row r="2481" spans="1:19" x14ac:dyDescent="0.4">
      <c r="A2481" s="291"/>
      <c r="B2481" s="292"/>
      <c r="C2481" s="312"/>
      <c r="D2481" s="292"/>
      <c r="E2481" s="489"/>
      <c r="F2481" s="489"/>
      <c r="G2481" s="490"/>
      <c r="H2481" s="520"/>
      <c r="I2481" s="523"/>
      <c r="J2481" s="521"/>
      <c r="K2481" s="522"/>
      <c r="M2481" s="301" t="str">
        <f>N2481&amp;AS[[#This Row],[Insurer Code]]&amp;"; "&amp;O2481&amp;AS[[#This Row],[Reporting Year]]&amp;"; "&amp;P2481&amp;AS[[#This Row],[Insurance Category Code]]&amp;"; "&amp;Q2481&amp;AS[[#This Row],[Large Provider Entity Code]]&amp;"; "&amp;R2481&amp;AS[[#This Row],[Age Band Code]]&amp;"; "&amp;S2481&amp;AS[[#This Row],[Sex Code]]</f>
        <v xml:space="preserve">Insurer Code ; Reporting Year ; Insurance Category Code ; Large Provider Entity Code ; Age Band Code ; Sex Code </v>
      </c>
      <c r="N2481" s="297" t="s">
        <v>197</v>
      </c>
      <c r="O2481" s="297" t="s">
        <v>198</v>
      </c>
      <c r="P2481" s="297" t="s">
        <v>199</v>
      </c>
      <c r="Q2481" s="297" t="s">
        <v>200</v>
      </c>
      <c r="R2481" s="297" t="s">
        <v>213</v>
      </c>
      <c r="S2481" s="297" t="s">
        <v>214</v>
      </c>
    </row>
    <row r="2482" spans="1:19" x14ac:dyDescent="0.4">
      <c r="A2482" s="291"/>
      <c r="B2482" s="292"/>
      <c r="C2482" s="312"/>
      <c r="D2482" s="292"/>
      <c r="E2482" s="489"/>
      <c r="F2482" s="489"/>
      <c r="G2482" s="490"/>
      <c r="H2482" s="520"/>
      <c r="I2482" s="523"/>
      <c r="J2482" s="521"/>
      <c r="K2482" s="522"/>
      <c r="M2482" s="301" t="str">
        <f>N2482&amp;AS[[#This Row],[Insurer Code]]&amp;"; "&amp;O2482&amp;AS[[#This Row],[Reporting Year]]&amp;"; "&amp;P2482&amp;AS[[#This Row],[Insurance Category Code]]&amp;"; "&amp;Q2482&amp;AS[[#This Row],[Large Provider Entity Code]]&amp;"; "&amp;R2482&amp;AS[[#This Row],[Age Band Code]]&amp;"; "&amp;S2482&amp;AS[[#This Row],[Sex Code]]</f>
        <v xml:space="preserve">Insurer Code ; Reporting Year ; Insurance Category Code ; Large Provider Entity Code ; Age Band Code ; Sex Code </v>
      </c>
      <c r="N2482" s="297" t="s">
        <v>197</v>
      </c>
      <c r="O2482" s="297" t="s">
        <v>198</v>
      </c>
      <c r="P2482" s="297" t="s">
        <v>199</v>
      </c>
      <c r="Q2482" s="297" t="s">
        <v>200</v>
      </c>
      <c r="R2482" s="297" t="s">
        <v>213</v>
      </c>
      <c r="S2482" s="297" t="s">
        <v>214</v>
      </c>
    </row>
    <row r="2483" spans="1:19" x14ac:dyDescent="0.4">
      <c r="A2483" s="291"/>
      <c r="B2483" s="292"/>
      <c r="C2483" s="312"/>
      <c r="D2483" s="292"/>
      <c r="E2483" s="489"/>
      <c r="F2483" s="489"/>
      <c r="G2483" s="490"/>
      <c r="H2483" s="520"/>
      <c r="I2483" s="523"/>
      <c r="J2483" s="521"/>
      <c r="K2483" s="522"/>
      <c r="M2483" s="301" t="str">
        <f>N2483&amp;AS[[#This Row],[Insurer Code]]&amp;"; "&amp;O2483&amp;AS[[#This Row],[Reporting Year]]&amp;"; "&amp;P2483&amp;AS[[#This Row],[Insurance Category Code]]&amp;"; "&amp;Q2483&amp;AS[[#This Row],[Large Provider Entity Code]]&amp;"; "&amp;R2483&amp;AS[[#This Row],[Age Band Code]]&amp;"; "&amp;S2483&amp;AS[[#This Row],[Sex Code]]</f>
        <v xml:space="preserve">Insurer Code ; Reporting Year ; Insurance Category Code ; Large Provider Entity Code ; Age Band Code ; Sex Code </v>
      </c>
      <c r="N2483" s="297" t="s">
        <v>197</v>
      </c>
      <c r="O2483" s="297" t="s">
        <v>198</v>
      </c>
      <c r="P2483" s="297" t="s">
        <v>199</v>
      </c>
      <c r="Q2483" s="297" t="s">
        <v>200</v>
      </c>
      <c r="R2483" s="297" t="s">
        <v>213</v>
      </c>
      <c r="S2483" s="297" t="s">
        <v>214</v>
      </c>
    </row>
    <row r="2484" spans="1:19" x14ac:dyDescent="0.4">
      <c r="A2484" s="291"/>
      <c r="B2484" s="292"/>
      <c r="C2484" s="312"/>
      <c r="D2484" s="292"/>
      <c r="E2484" s="489"/>
      <c r="F2484" s="489"/>
      <c r="G2484" s="490"/>
      <c r="H2484" s="520"/>
      <c r="I2484" s="523"/>
      <c r="J2484" s="521"/>
      <c r="K2484" s="522"/>
      <c r="M2484" s="301" t="str">
        <f>N2484&amp;AS[[#This Row],[Insurer Code]]&amp;"; "&amp;O2484&amp;AS[[#This Row],[Reporting Year]]&amp;"; "&amp;P2484&amp;AS[[#This Row],[Insurance Category Code]]&amp;"; "&amp;Q2484&amp;AS[[#This Row],[Large Provider Entity Code]]&amp;"; "&amp;R2484&amp;AS[[#This Row],[Age Band Code]]&amp;"; "&amp;S2484&amp;AS[[#This Row],[Sex Code]]</f>
        <v xml:space="preserve">Insurer Code ; Reporting Year ; Insurance Category Code ; Large Provider Entity Code ; Age Band Code ; Sex Code </v>
      </c>
      <c r="N2484" s="297" t="s">
        <v>197</v>
      </c>
      <c r="O2484" s="297" t="s">
        <v>198</v>
      </c>
      <c r="P2484" s="297" t="s">
        <v>199</v>
      </c>
      <c r="Q2484" s="297" t="s">
        <v>200</v>
      </c>
      <c r="R2484" s="297" t="s">
        <v>213</v>
      </c>
      <c r="S2484" s="297" t="s">
        <v>214</v>
      </c>
    </row>
    <row r="2485" spans="1:19" x14ac:dyDescent="0.4">
      <c r="A2485" s="291"/>
      <c r="B2485" s="292"/>
      <c r="C2485" s="312"/>
      <c r="D2485" s="292"/>
      <c r="E2485" s="489"/>
      <c r="F2485" s="489"/>
      <c r="G2485" s="490"/>
      <c r="H2485" s="520"/>
      <c r="I2485" s="523"/>
      <c r="J2485" s="521"/>
      <c r="K2485" s="522"/>
      <c r="M2485" s="301" t="str">
        <f>N2485&amp;AS[[#This Row],[Insurer Code]]&amp;"; "&amp;O2485&amp;AS[[#This Row],[Reporting Year]]&amp;"; "&amp;P2485&amp;AS[[#This Row],[Insurance Category Code]]&amp;"; "&amp;Q2485&amp;AS[[#This Row],[Large Provider Entity Code]]&amp;"; "&amp;R2485&amp;AS[[#This Row],[Age Band Code]]&amp;"; "&amp;S2485&amp;AS[[#This Row],[Sex Code]]</f>
        <v xml:space="preserve">Insurer Code ; Reporting Year ; Insurance Category Code ; Large Provider Entity Code ; Age Band Code ; Sex Code </v>
      </c>
      <c r="N2485" s="297" t="s">
        <v>197</v>
      </c>
      <c r="O2485" s="297" t="s">
        <v>198</v>
      </c>
      <c r="P2485" s="297" t="s">
        <v>199</v>
      </c>
      <c r="Q2485" s="297" t="s">
        <v>200</v>
      </c>
      <c r="R2485" s="297" t="s">
        <v>213</v>
      </c>
      <c r="S2485" s="297" t="s">
        <v>214</v>
      </c>
    </row>
    <row r="2486" spans="1:19" x14ac:dyDescent="0.4">
      <c r="A2486" s="291"/>
      <c r="B2486" s="292"/>
      <c r="C2486" s="312"/>
      <c r="D2486" s="292"/>
      <c r="E2486" s="489"/>
      <c r="F2486" s="489"/>
      <c r="G2486" s="490"/>
      <c r="H2486" s="520"/>
      <c r="I2486" s="523"/>
      <c r="J2486" s="521"/>
      <c r="K2486" s="522"/>
      <c r="M2486" s="301" t="str">
        <f>N2486&amp;AS[[#This Row],[Insurer Code]]&amp;"; "&amp;O2486&amp;AS[[#This Row],[Reporting Year]]&amp;"; "&amp;P2486&amp;AS[[#This Row],[Insurance Category Code]]&amp;"; "&amp;Q2486&amp;AS[[#This Row],[Large Provider Entity Code]]&amp;"; "&amp;R2486&amp;AS[[#This Row],[Age Band Code]]&amp;"; "&amp;S2486&amp;AS[[#This Row],[Sex Code]]</f>
        <v xml:space="preserve">Insurer Code ; Reporting Year ; Insurance Category Code ; Large Provider Entity Code ; Age Band Code ; Sex Code </v>
      </c>
      <c r="N2486" s="297" t="s">
        <v>197</v>
      </c>
      <c r="O2486" s="297" t="s">
        <v>198</v>
      </c>
      <c r="P2486" s="297" t="s">
        <v>199</v>
      </c>
      <c r="Q2486" s="297" t="s">
        <v>200</v>
      </c>
      <c r="R2486" s="297" t="s">
        <v>213</v>
      </c>
      <c r="S2486" s="297" t="s">
        <v>214</v>
      </c>
    </row>
    <row r="2487" spans="1:19" x14ac:dyDescent="0.4">
      <c r="A2487" s="291"/>
      <c r="B2487" s="292"/>
      <c r="C2487" s="312"/>
      <c r="D2487" s="292"/>
      <c r="E2487" s="489"/>
      <c r="F2487" s="489"/>
      <c r="G2487" s="490"/>
      <c r="H2487" s="520"/>
      <c r="I2487" s="523"/>
      <c r="J2487" s="521"/>
      <c r="K2487" s="522"/>
      <c r="M2487" s="301" t="str">
        <f>N2487&amp;AS[[#This Row],[Insurer Code]]&amp;"; "&amp;O2487&amp;AS[[#This Row],[Reporting Year]]&amp;"; "&amp;P2487&amp;AS[[#This Row],[Insurance Category Code]]&amp;"; "&amp;Q2487&amp;AS[[#This Row],[Large Provider Entity Code]]&amp;"; "&amp;R2487&amp;AS[[#This Row],[Age Band Code]]&amp;"; "&amp;S2487&amp;AS[[#This Row],[Sex Code]]</f>
        <v xml:space="preserve">Insurer Code ; Reporting Year ; Insurance Category Code ; Large Provider Entity Code ; Age Band Code ; Sex Code </v>
      </c>
      <c r="N2487" s="297" t="s">
        <v>197</v>
      </c>
      <c r="O2487" s="297" t="s">
        <v>198</v>
      </c>
      <c r="P2487" s="297" t="s">
        <v>199</v>
      </c>
      <c r="Q2487" s="297" t="s">
        <v>200</v>
      </c>
      <c r="R2487" s="297" t="s">
        <v>213</v>
      </c>
      <c r="S2487" s="297" t="s">
        <v>214</v>
      </c>
    </row>
    <row r="2488" spans="1:19" x14ac:dyDescent="0.4">
      <c r="A2488" s="291"/>
      <c r="B2488" s="292"/>
      <c r="C2488" s="312"/>
      <c r="D2488" s="292"/>
      <c r="E2488" s="489"/>
      <c r="F2488" s="489"/>
      <c r="G2488" s="490"/>
      <c r="H2488" s="520"/>
      <c r="I2488" s="523"/>
      <c r="J2488" s="521"/>
      <c r="K2488" s="522"/>
      <c r="M2488" s="301" t="str">
        <f>N2488&amp;AS[[#This Row],[Insurer Code]]&amp;"; "&amp;O2488&amp;AS[[#This Row],[Reporting Year]]&amp;"; "&amp;P2488&amp;AS[[#This Row],[Insurance Category Code]]&amp;"; "&amp;Q2488&amp;AS[[#This Row],[Large Provider Entity Code]]&amp;"; "&amp;R2488&amp;AS[[#This Row],[Age Band Code]]&amp;"; "&amp;S2488&amp;AS[[#This Row],[Sex Code]]</f>
        <v xml:space="preserve">Insurer Code ; Reporting Year ; Insurance Category Code ; Large Provider Entity Code ; Age Band Code ; Sex Code </v>
      </c>
      <c r="N2488" s="297" t="s">
        <v>197</v>
      </c>
      <c r="O2488" s="297" t="s">
        <v>198</v>
      </c>
      <c r="P2488" s="297" t="s">
        <v>199</v>
      </c>
      <c r="Q2488" s="297" t="s">
        <v>200</v>
      </c>
      <c r="R2488" s="297" t="s">
        <v>213</v>
      </c>
      <c r="S2488" s="297" t="s">
        <v>214</v>
      </c>
    </row>
    <row r="2489" spans="1:19" x14ac:dyDescent="0.4">
      <c r="A2489" s="291"/>
      <c r="B2489" s="292"/>
      <c r="C2489" s="312"/>
      <c r="D2489" s="292"/>
      <c r="E2489" s="489"/>
      <c r="F2489" s="489"/>
      <c r="G2489" s="490"/>
      <c r="H2489" s="520"/>
      <c r="I2489" s="523"/>
      <c r="J2489" s="521"/>
      <c r="K2489" s="522"/>
      <c r="M2489" s="301" t="str">
        <f>N2489&amp;AS[[#This Row],[Insurer Code]]&amp;"; "&amp;O2489&amp;AS[[#This Row],[Reporting Year]]&amp;"; "&amp;P2489&amp;AS[[#This Row],[Insurance Category Code]]&amp;"; "&amp;Q2489&amp;AS[[#This Row],[Large Provider Entity Code]]&amp;"; "&amp;R2489&amp;AS[[#This Row],[Age Band Code]]&amp;"; "&amp;S2489&amp;AS[[#This Row],[Sex Code]]</f>
        <v xml:space="preserve">Insurer Code ; Reporting Year ; Insurance Category Code ; Large Provider Entity Code ; Age Band Code ; Sex Code </v>
      </c>
      <c r="N2489" s="297" t="s">
        <v>197</v>
      </c>
      <c r="O2489" s="297" t="s">
        <v>198</v>
      </c>
      <c r="P2489" s="297" t="s">
        <v>199</v>
      </c>
      <c r="Q2489" s="297" t="s">
        <v>200</v>
      </c>
      <c r="R2489" s="297" t="s">
        <v>213</v>
      </c>
      <c r="S2489" s="297" t="s">
        <v>214</v>
      </c>
    </row>
    <row r="2490" spans="1:19" x14ac:dyDescent="0.4">
      <c r="A2490" s="291"/>
      <c r="B2490" s="292"/>
      <c r="C2490" s="312"/>
      <c r="D2490" s="292"/>
      <c r="E2490" s="489"/>
      <c r="F2490" s="489"/>
      <c r="G2490" s="490"/>
      <c r="H2490" s="520"/>
      <c r="I2490" s="523"/>
      <c r="J2490" s="521"/>
      <c r="K2490" s="522"/>
      <c r="M2490" s="301" t="str">
        <f>N2490&amp;AS[[#This Row],[Insurer Code]]&amp;"; "&amp;O2490&amp;AS[[#This Row],[Reporting Year]]&amp;"; "&amp;P2490&amp;AS[[#This Row],[Insurance Category Code]]&amp;"; "&amp;Q2490&amp;AS[[#This Row],[Large Provider Entity Code]]&amp;"; "&amp;R2490&amp;AS[[#This Row],[Age Band Code]]&amp;"; "&amp;S2490&amp;AS[[#This Row],[Sex Code]]</f>
        <v xml:space="preserve">Insurer Code ; Reporting Year ; Insurance Category Code ; Large Provider Entity Code ; Age Band Code ; Sex Code </v>
      </c>
      <c r="N2490" s="297" t="s">
        <v>197</v>
      </c>
      <c r="O2490" s="297" t="s">
        <v>198</v>
      </c>
      <c r="P2490" s="297" t="s">
        <v>199</v>
      </c>
      <c r="Q2490" s="297" t="s">
        <v>200</v>
      </c>
      <c r="R2490" s="297" t="s">
        <v>213</v>
      </c>
      <c r="S2490" s="297" t="s">
        <v>214</v>
      </c>
    </row>
    <row r="2491" spans="1:19" x14ac:dyDescent="0.4">
      <c r="A2491" s="291"/>
      <c r="B2491" s="292"/>
      <c r="C2491" s="312"/>
      <c r="D2491" s="292"/>
      <c r="E2491" s="489"/>
      <c r="F2491" s="489"/>
      <c r="G2491" s="490"/>
      <c r="H2491" s="520"/>
      <c r="I2491" s="523"/>
      <c r="J2491" s="521"/>
      <c r="K2491" s="522"/>
      <c r="M2491" s="301" t="str">
        <f>N2491&amp;AS[[#This Row],[Insurer Code]]&amp;"; "&amp;O2491&amp;AS[[#This Row],[Reporting Year]]&amp;"; "&amp;P2491&amp;AS[[#This Row],[Insurance Category Code]]&amp;"; "&amp;Q2491&amp;AS[[#This Row],[Large Provider Entity Code]]&amp;"; "&amp;R2491&amp;AS[[#This Row],[Age Band Code]]&amp;"; "&amp;S2491&amp;AS[[#This Row],[Sex Code]]</f>
        <v xml:space="preserve">Insurer Code ; Reporting Year ; Insurance Category Code ; Large Provider Entity Code ; Age Band Code ; Sex Code </v>
      </c>
      <c r="N2491" s="297" t="s">
        <v>197</v>
      </c>
      <c r="O2491" s="297" t="s">
        <v>198</v>
      </c>
      <c r="P2491" s="297" t="s">
        <v>199</v>
      </c>
      <c r="Q2491" s="297" t="s">
        <v>200</v>
      </c>
      <c r="R2491" s="297" t="s">
        <v>213</v>
      </c>
      <c r="S2491" s="297" t="s">
        <v>214</v>
      </c>
    </row>
    <row r="2492" spans="1:19" x14ac:dyDescent="0.4">
      <c r="A2492" s="291"/>
      <c r="B2492" s="292"/>
      <c r="C2492" s="312"/>
      <c r="D2492" s="292"/>
      <c r="E2492" s="489"/>
      <c r="F2492" s="489"/>
      <c r="G2492" s="490"/>
      <c r="H2492" s="520"/>
      <c r="I2492" s="523"/>
      <c r="J2492" s="521"/>
      <c r="K2492" s="522"/>
      <c r="M2492" s="301" t="str">
        <f>N2492&amp;AS[[#This Row],[Insurer Code]]&amp;"; "&amp;O2492&amp;AS[[#This Row],[Reporting Year]]&amp;"; "&amp;P2492&amp;AS[[#This Row],[Insurance Category Code]]&amp;"; "&amp;Q2492&amp;AS[[#This Row],[Large Provider Entity Code]]&amp;"; "&amp;R2492&amp;AS[[#This Row],[Age Band Code]]&amp;"; "&amp;S2492&amp;AS[[#This Row],[Sex Code]]</f>
        <v xml:space="preserve">Insurer Code ; Reporting Year ; Insurance Category Code ; Large Provider Entity Code ; Age Band Code ; Sex Code </v>
      </c>
      <c r="N2492" s="297" t="s">
        <v>197</v>
      </c>
      <c r="O2492" s="297" t="s">
        <v>198</v>
      </c>
      <c r="P2492" s="297" t="s">
        <v>199</v>
      </c>
      <c r="Q2492" s="297" t="s">
        <v>200</v>
      </c>
      <c r="R2492" s="297" t="s">
        <v>213</v>
      </c>
      <c r="S2492" s="297" t="s">
        <v>214</v>
      </c>
    </row>
    <row r="2493" spans="1:19" x14ac:dyDescent="0.4">
      <c r="A2493" s="291"/>
      <c r="B2493" s="292"/>
      <c r="C2493" s="312"/>
      <c r="D2493" s="292"/>
      <c r="E2493" s="489"/>
      <c r="F2493" s="489"/>
      <c r="G2493" s="490"/>
      <c r="H2493" s="520"/>
      <c r="I2493" s="523"/>
      <c r="J2493" s="521"/>
      <c r="K2493" s="522"/>
      <c r="M2493" s="301" t="str">
        <f>N2493&amp;AS[[#This Row],[Insurer Code]]&amp;"; "&amp;O2493&amp;AS[[#This Row],[Reporting Year]]&amp;"; "&amp;P2493&amp;AS[[#This Row],[Insurance Category Code]]&amp;"; "&amp;Q2493&amp;AS[[#This Row],[Large Provider Entity Code]]&amp;"; "&amp;R2493&amp;AS[[#This Row],[Age Band Code]]&amp;"; "&amp;S2493&amp;AS[[#This Row],[Sex Code]]</f>
        <v xml:space="preserve">Insurer Code ; Reporting Year ; Insurance Category Code ; Large Provider Entity Code ; Age Band Code ; Sex Code </v>
      </c>
      <c r="N2493" s="297" t="s">
        <v>197</v>
      </c>
      <c r="O2493" s="297" t="s">
        <v>198</v>
      </c>
      <c r="P2493" s="297" t="s">
        <v>199</v>
      </c>
      <c r="Q2493" s="297" t="s">
        <v>200</v>
      </c>
      <c r="R2493" s="297" t="s">
        <v>213</v>
      </c>
      <c r="S2493" s="297" t="s">
        <v>214</v>
      </c>
    </row>
    <row r="2494" spans="1:19" x14ac:dyDescent="0.4">
      <c r="A2494" s="291"/>
      <c r="B2494" s="292"/>
      <c r="C2494" s="312"/>
      <c r="D2494" s="292"/>
      <c r="E2494" s="489"/>
      <c r="F2494" s="489"/>
      <c r="G2494" s="490"/>
      <c r="H2494" s="520"/>
      <c r="I2494" s="523"/>
      <c r="J2494" s="521"/>
      <c r="K2494" s="522"/>
      <c r="M2494" s="301" t="str">
        <f>N2494&amp;AS[[#This Row],[Insurer Code]]&amp;"; "&amp;O2494&amp;AS[[#This Row],[Reporting Year]]&amp;"; "&amp;P2494&amp;AS[[#This Row],[Insurance Category Code]]&amp;"; "&amp;Q2494&amp;AS[[#This Row],[Large Provider Entity Code]]&amp;"; "&amp;R2494&amp;AS[[#This Row],[Age Band Code]]&amp;"; "&amp;S2494&amp;AS[[#This Row],[Sex Code]]</f>
        <v xml:space="preserve">Insurer Code ; Reporting Year ; Insurance Category Code ; Large Provider Entity Code ; Age Band Code ; Sex Code </v>
      </c>
      <c r="N2494" s="297" t="s">
        <v>197</v>
      </c>
      <c r="O2494" s="297" t="s">
        <v>198</v>
      </c>
      <c r="P2494" s="297" t="s">
        <v>199</v>
      </c>
      <c r="Q2494" s="297" t="s">
        <v>200</v>
      </c>
      <c r="R2494" s="297" t="s">
        <v>213</v>
      </c>
      <c r="S2494" s="297" t="s">
        <v>214</v>
      </c>
    </row>
    <row r="2495" spans="1:19" x14ac:dyDescent="0.4">
      <c r="A2495" s="291"/>
      <c r="B2495" s="292"/>
      <c r="C2495" s="312"/>
      <c r="D2495" s="292"/>
      <c r="E2495" s="489"/>
      <c r="F2495" s="489"/>
      <c r="G2495" s="490"/>
      <c r="H2495" s="520"/>
      <c r="I2495" s="523"/>
      <c r="J2495" s="521"/>
      <c r="K2495" s="522"/>
      <c r="M2495" s="301" t="str">
        <f>N2495&amp;AS[[#This Row],[Insurer Code]]&amp;"; "&amp;O2495&amp;AS[[#This Row],[Reporting Year]]&amp;"; "&amp;P2495&amp;AS[[#This Row],[Insurance Category Code]]&amp;"; "&amp;Q2495&amp;AS[[#This Row],[Large Provider Entity Code]]&amp;"; "&amp;R2495&amp;AS[[#This Row],[Age Band Code]]&amp;"; "&amp;S2495&amp;AS[[#This Row],[Sex Code]]</f>
        <v xml:space="preserve">Insurer Code ; Reporting Year ; Insurance Category Code ; Large Provider Entity Code ; Age Band Code ; Sex Code </v>
      </c>
      <c r="N2495" s="297" t="s">
        <v>197</v>
      </c>
      <c r="O2495" s="297" t="s">
        <v>198</v>
      </c>
      <c r="P2495" s="297" t="s">
        <v>199</v>
      </c>
      <c r="Q2495" s="297" t="s">
        <v>200</v>
      </c>
      <c r="R2495" s="297" t="s">
        <v>213</v>
      </c>
      <c r="S2495" s="297" t="s">
        <v>214</v>
      </c>
    </row>
    <row r="2496" spans="1:19" x14ac:dyDescent="0.4">
      <c r="A2496" s="291"/>
      <c r="B2496" s="292"/>
      <c r="C2496" s="312"/>
      <c r="D2496" s="292"/>
      <c r="E2496" s="489"/>
      <c r="F2496" s="489"/>
      <c r="G2496" s="490"/>
      <c r="H2496" s="520"/>
      <c r="I2496" s="523"/>
      <c r="J2496" s="521"/>
      <c r="K2496" s="522"/>
      <c r="M2496" s="301" t="str">
        <f>N2496&amp;AS[[#This Row],[Insurer Code]]&amp;"; "&amp;O2496&amp;AS[[#This Row],[Reporting Year]]&amp;"; "&amp;P2496&amp;AS[[#This Row],[Insurance Category Code]]&amp;"; "&amp;Q2496&amp;AS[[#This Row],[Large Provider Entity Code]]&amp;"; "&amp;R2496&amp;AS[[#This Row],[Age Band Code]]&amp;"; "&amp;S2496&amp;AS[[#This Row],[Sex Code]]</f>
        <v xml:space="preserve">Insurer Code ; Reporting Year ; Insurance Category Code ; Large Provider Entity Code ; Age Band Code ; Sex Code </v>
      </c>
      <c r="N2496" s="297" t="s">
        <v>197</v>
      </c>
      <c r="O2496" s="297" t="s">
        <v>198</v>
      </c>
      <c r="P2496" s="297" t="s">
        <v>199</v>
      </c>
      <c r="Q2496" s="297" t="s">
        <v>200</v>
      </c>
      <c r="R2496" s="297" t="s">
        <v>213</v>
      </c>
      <c r="S2496" s="297" t="s">
        <v>214</v>
      </c>
    </row>
    <row r="2497" spans="1:19" x14ac:dyDescent="0.4">
      <c r="A2497" s="291"/>
      <c r="B2497" s="292"/>
      <c r="C2497" s="312"/>
      <c r="D2497" s="292"/>
      <c r="E2497" s="489"/>
      <c r="F2497" s="489"/>
      <c r="G2497" s="490"/>
      <c r="H2497" s="520"/>
      <c r="I2497" s="523"/>
      <c r="J2497" s="521"/>
      <c r="K2497" s="522"/>
      <c r="M2497" s="301" t="str">
        <f>N2497&amp;AS[[#This Row],[Insurer Code]]&amp;"; "&amp;O2497&amp;AS[[#This Row],[Reporting Year]]&amp;"; "&amp;P2497&amp;AS[[#This Row],[Insurance Category Code]]&amp;"; "&amp;Q2497&amp;AS[[#This Row],[Large Provider Entity Code]]&amp;"; "&amp;R2497&amp;AS[[#This Row],[Age Band Code]]&amp;"; "&amp;S2497&amp;AS[[#This Row],[Sex Code]]</f>
        <v xml:space="preserve">Insurer Code ; Reporting Year ; Insurance Category Code ; Large Provider Entity Code ; Age Band Code ; Sex Code </v>
      </c>
      <c r="N2497" s="297" t="s">
        <v>197</v>
      </c>
      <c r="O2497" s="297" t="s">
        <v>198</v>
      </c>
      <c r="P2497" s="297" t="s">
        <v>199</v>
      </c>
      <c r="Q2497" s="297" t="s">
        <v>200</v>
      </c>
      <c r="R2497" s="297" t="s">
        <v>213</v>
      </c>
      <c r="S2497" s="297" t="s">
        <v>214</v>
      </c>
    </row>
    <row r="2498" spans="1:19" x14ac:dyDescent="0.4">
      <c r="A2498" s="291"/>
      <c r="B2498" s="292"/>
      <c r="C2498" s="312"/>
      <c r="D2498" s="292"/>
      <c r="E2498" s="489"/>
      <c r="F2498" s="489"/>
      <c r="G2498" s="490"/>
      <c r="H2498" s="520"/>
      <c r="I2498" s="523"/>
      <c r="J2498" s="521"/>
      <c r="K2498" s="522"/>
      <c r="M2498" s="301" t="str">
        <f>N2498&amp;AS[[#This Row],[Insurer Code]]&amp;"; "&amp;O2498&amp;AS[[#This Row],[Reporting Year]]&amp;"; "&amp;P2498&amp;AS[[#This Row],[Insurance Category Code]]&amp;"; "&amp;Q2498&amp;AS[[#This Row],[Large Provider Entity Code]]&amp;"; "&amp;R2498&amp;AS[[#This Row],[Age Band Code]]&amp;"; "&amp;S2498&amp;AS[[#This Row],[Sex Code]]</f>
        <v xml:space="preserve">Insurer Code ; Reporting Year ; Insurance Category Code ; Large Provider Entity Code ; Age Band Code ; Sex Code </v>
      </c>
      <c r="N2498" s="297" t="s">
        <v>197</v>
      </c>
      <c r="O2498" s="297" t="s">
        <v>198</v>
      </c>
      <c r="P2498" s="297" t="s">
        <v>199</v>
      </c>
      <c r="Q2498" s="297" t="s">
        <v>200</v>
      </c>
      <c r="R2498" s="297" t="s">
        <v>213</v>
      </c>
      <c r="S2498" s="297" t="s">
        <v>214</v>
      </c>
    </row>
    <row r="2499" spans="1:19" x14ac:dyDescent="0.4">
      <c r="A2499" s="291"/>
      <c r="B2499" s="292"/>
      <c r="C2499" s="312"/>
      <c r="D2499" s="292"/>
      <c r="E2499" s="489"/>
      <c r="F2499" s="489"/>
      <c r="G2499" s="490"/>
      <c r="H2499" s="520"/>
      <c r="I2499" s="523"/>
      <c r="J2499" s="521"/>
      <c r="K2499" s="522"/>
      <c r="M2499" s="301" t="str">
        <f>N2499&amp;AS[[#This Row],[Insurer Code]]&amp;"; "&amp;O2499&amp;AS[[#This Row],[Reporting Year]]&amp;"; "&amp;P2499&amp;AS[[#This Row],[Insurance Category Code]]&amp;"; "&amp;Q2499&amp;AS[[#This Row],[Large Provider Entity Code]]&amp;"; "&amp;R2499&amp;AS[[#This Row],[Age Band Code]]&amp;"; "&amp;S2499&amp;AS[[#This Row],[Sex Code]]</f>
        <v xml:space="preserve">Insurer Code ; Reporting Year ; Insurance Category Code ; Large Provider Entity Code ; Age Band Code ; Sex Code </v>
      </c>
      <c r="N2499" s="297" t="s">
        <v>197</v>
      </c>
      <c r="O2499" s="297" t="s">
        <v>198</v>
      </c>
      <c r="P2499" s="297" t="s">
        <v>199</v>
      </c>
      <c r="Q2499" s="297" t="s">
        <v>200</v>
      </c>
      <c r="R2499" s="297" t="s">
        <v>213</v>
      </c>
      <c r="S2499" s="297" t="s">
        <v>214</v>
      </c>
    </row>
    <row r="2500" spans="1:19" x14ac:dyDescent="0.4">
      <c r="A2500" s="291"/>
      <c r="B2500" s="292"/>
      <c r="C2500" s="312"/>
      <c r="D2500" s="292"/>
      <c r="E2500" s="489"/>
      <c r="F2500" s="489"/>
      <c r="G2500" s="490"/>
      <c r="H2500" s="520"/>
      <c r="I2500" s="523"/>
      <c r="J2500" s="521"/>
      <c r="K2500" s="522"/>
      <c r="M2500" s="301" t="str">
        <f>N2500&amp;AS[[#This Row],[Insurer Code]]&amp;"; "&amp;O2500&amp;AS[[#This Row],[Reporting Year]]&amp;"; "&amp;P2500&amp;AS[[#This Row],[Insurance Category Code]]&amp;"; "&amp;Q2500&amp;AS[[#This Row],[Large Provider Entity Code]]&amp;"; "&amp;R2500&amp;AS[[#This Row],[Age Band Code]]&amp;"; "&amp;S2500&amp;AS[[#This Row],[Sex Code]]</f>
        <v xml:space="preserve">Insurer Code ; Reporting Year ; Insurance Category Code ; Large Provider Entity Code ; Age Band Code ; Sex Code </v>
      </c>
      <c r="N2500" s="297" t="s">
        <v>197</v>
      </c>
      <c r="O2500" s="297" t="s">
        <v>198</v>
      </c>
      <c r="P2500" s="297" t="s">
        <v>199</v>
      </c>
      <c r="Q2500" s="297" t="s">
        <v>200</v>
      </c>
      <c r="R2500" s="297" t="s">
        <v>213</v>
      </c>
      <c r="S2500" s="297" t="s">
        <v>214</v>
      </c>
    </row>
    <row r="2501" spans="1:19" x14ac:dyDescent="0.4">
      <c r="A2501" s="291"/>
      <c r="B2501" s="292"/>
      <c r="C2501" s="312"/>
      <c r="D2501" s="292"/>
      <c r="E2501" s="489"/>
      <c r="F2501" s="489"/>
      <c r="G2501" s="490"/>
      <c r="H2501" s="520"/>
      <c r="I2501" s="523"/>
      <c r="J2501" s="521"/>
      <c r="K2501" s="522"/>
      <c r="M2501" s="301" t="str">
        <f>N2501&amp;AS[[#This Row],[Insurer Code]]&amp;"; "&amp;O2501&amp;AS[[#This Row],[Reporting Year]]&amp;"; "&amp;P2501&amp;AS[[#This Row],[Insurance Category Code]]&amp;"; "&amp;Q2501&amp;AS[[#This Row],[Large Provider Entity Code]]&amp;"; "&amp;R2501&amp;AS[[#This Row],[Age Band Code]]&amp;"; "&amp;S2501&amp;AS[[#This Row],[Sex Code]]</f>
        <v xml:space="preserve">Insurer Code ; Reporting Year ; Insurance Category Code ; Large Provider Entity Code ; Age Band Code ; Sex Code </v>
      </c>
      <c r="N2501" s="297" t="s">
        <v>197</v>
      </c>
      <c r="O2501" s="297" t="s">
        <v>198</v>
      </c>
      <c r="P2501" s="297" t="s">
        <v>199</v>
      </c>
      <c r="Q2501" s="297" t="s">
        <v>200</v>
      </c>
      <c r="R2501" s="297" t="s">
        <v>213</v>
      </c>
      <c r="S2501" s="297" t="s">
        <v>214</v>
      </c>
    </row>
    <row r="2502" spans="1:19" x14ac:dyDescent="0.4">
      <c r="A2502" s="291"/>
      <c r="B2502" s="292"/>
      <c r="C2502" s="312"/>
      <c r="D2502" s="292"/>
      <c r="E2502" s="489"/>
      <c r="F2502" s="489"/>
      <c r="G2502" s="490"/>
      <c r="H2502" s="520"/>
      <c r="I2502" s="523"/>
      <c r="J2502" s="521"/>
      <c r="K2502" s="522"/>
      <c r="M2502" s="301" t="str">
        <f>N2502&amp;AS[[#This Row],[Insurer Code]]&amp;"; "&amp;O2502&amp;AS[[#This Row],[Reporting Year]]&amp;"; "&amp;P2502&amp;AS[[#This Row],[Insurance Category Code]]&amp;"; "&amp;Q2502&amp;AS[[#This Row],[Large Provider Entity Code]]&amp;"; "&amp;R2502&amp;AS[[#This Row],[Age Band Code]]&amp;"; "&amp;S2502&amp;AS[[#This Row],[Sex Code]]</f>
        <v xml:space="preserve">Insurer Code ; Reporting Year ; Insurance Category Code ; Large Provider Entity Code ; Age Band Code ; Sex Code </v>
      </c>
      <c r="N2502" s="297" t="s">
        <v>197</v>
      </c>
      <c r="O2502" s="297" t="s">
        <v>198</v>
      </c>
      <c r="P2502" s="297" t="s">
        <v>199</v>
      </c>
      <c r="Q2502" s="297" t="s">
        <v>200</v>
      </c>
      <c r="R2502" s="297" t="s">
        <v>213</v>
      </c>
      <c r="S2502" s="297" t="s">
        <v>214</v>
      </c>
    </row>
    <row r="2503" spans="1:19" x14ac:dyDescent="0.4">
      <c r="A2503" s="291"/>
      <c r="B2503" s="292"/>
      <c r="C2503" s="312"/>
      <c r="D2503" s="292"/>
      <c r="E2503" s="489"/>
      <c r="F2503" s="489"/>
      <c r="G2503" s="490"/>
      <c r="H2503" s="520"/>
      <c r="I2503" s="523"/>
      <c r="J2503" s="521"/>
      <c r="K2503" s="522"/>
      <c r="M2503" s="301" t="str">
        <f>N2503&amp;AS[[#This Row],[Insurer Code]]&amp;"; "&amp;O2503&amp;AS[[#This Row],[Reporting Year]]&amp;"; "&amp;P2503&amp;AS[[#This Row],[Insurance Category Code]]&amp;"; "&amp;Q2503&amp;AS[[#This Row],[Large Provider Entity Code]]&amp;"; "&amp;R2503&amp;AS[[#This Row],[Age Band Code]]&amp;"; "&amp;S2503&amp;AS[[#This Row],[Sex Code]]</f>
        <v xml:space="preserve">Insurer Code ; Reporting Year ; Insurance Category Code ; Large Provider Entity Code ; Age Band Code ; Sex Code </v>
      </c>
      <c r="N2503" s="297" t="s">
        <v>197</v>
      </c>
      <c r="O2503" s="297" t="s">
        <v>198</v>
      </c>
      <c r="P2503" s="297" t="s">
        <v>199</v>
      </c>
      <c r="Q2503" s="297" t="s">
        <v>200</v>
      </c>
      <c r="R2503" s="297" t="s">
        <v>213</v>
      </c>
      <c r="S2503" s="297" t="s">
        <v>214</v>
      </c>
    </row>
    <row r="2504" spans="1:19" x14ac:dyDescent="0.4">
      <c r="A2504" s="291"/>
      <c r="B2504" s="292"/>
      <c r="C2504" s="312"/>
      <c r="D2504" s="292"/>
      <c r="E2504" s="489"/>
      <c r="F2504" s="489"/>
      <c r="G2504" s="490"/>
      <c r="H2504" s="520"/>
      <c r="I2504" s="523"/>
      <c r="J2504" s="521"/>
      <c r="K2504" s="522"/>
      <c r="M2504" s="301" t="str">
        <f>N2504&amp;AS[[#This Row],[Insurer Code]]&amp;"; "&amp;O2504&amp;AS[[#This Row],[Reporting Year]]&amp;"; "&amp;P2504&amp;AS[[#This Row],[Insurance Category Code]]&amp;"; "&amp;Q2504&amp;AS[[#This Row],[Large Provider Entity Code]]&amp;"; "&amp;R2504&amp;AS[[#This Row],[Age Band Code]]&amp;"; "&amp;S2504&amp;AS[[#This Row],[Sex Code]]</f>
        <v xml:space="preserve">Insurer Code ; Reporting Year ; Insurance Category Code ; Large Provider Entity Code ; Age Band Code ; Sex Code </v>
      </c>
      <c r="N2504" s="297" t="s">
        <v>197</v>
      </c>
      <c r="O2504" s="297" t="s">
        <v>198</v>
      </c>
      <c r="P2504" s="297" t="s">
        <v>199</v>
      </c>
      <c r="Q2504" s="297" t="s">
        <v>200</v>
      </c>
      <c r="R2504" s="297" t="s">
        <v>213</v>
      </c>
      <c r="S2504" s="297" t="s">
        <v>214</v>
      </c>
    </row>
    <row r="2505" spans="1:19" x14ac:dyDescent="0.4">
      <c r="A2505" s="291"/>
      <c r="B2505" s="292"/>
      <c r="C2505" s="312"/>
      <c r="D2505" s="292"/>
      <c r="E2505" s="489"/>
      <c r="F2505" s="489"/>
      <c r="G2505" s="490"/>
      <c r="H2505" s="520"/>
      <c r="I2505" s="523"/>
      <c r="J2505" s="521"/>
      <c r="K2505" s="522"/>
      <c r="M2505" s="301" t="str">
        <f>N2505&amp;AS[[#This Row],[Insurer Code]]&amp;"; "&amp;O2505&amp;AS[[#This Row],[Reporting Year]]&amp;"; "&amp;P2505&amp;AS[[#This Row],[Insurance Category Code]]&amp;"; "&amp;Q2505&amp;AS[[#This Row],[Large Provider Entity Code]]&amp;"; "&amp;R2505&amp;AS[[#This Row],[Age Band Code]]&amp;"; "&amp;S2505&amp;AS[[#This Row],[Sex Code]]</f>
        <v xml:space="preserve">Insurer Code ; Reporting Year ; Insurance Category Code ; Large Provider Entity Code ; Age Band Code ; Sex Code </v>
      </c>
      <c r="N2505" s="297" t="s">
        <v>197</v>
      </c>
      <c r="O2505" s="297" t="s">
        <v>198</v>
      </c>
      <c r="P2505" s="297" t="s">
        <v>199</v>
      </c>
      <c r="Q2505" s="297" t="s">
        <v>200</v>
      </c>
      <c r="R2505" s="297" t="s">
        <v>213</v>
      </c>
      <c r="S2505" s="297" t="s">
        <v>214</v>
      </c>
    </row>
    <row r="2506" spans="1:19" x14ac:dyDescent="0.4">
      <c r="A2506" s="291"/>
      <c r="B2506" s="292"/>
      <c r="C2506" s="312"/>
      <c r="D2506" s="292"/>
      <c r="E2506" s="489"/>
      <c r="F2506" s="489"/>
      <c r="G2506" s="490"/>
      <c r="H2506" s="520"/>
      <c r="I2506" s="523"/>
      <c r="J2506" s="521"/>
      <c r="K2506" s="522"/>
      <c r="M2506" s="301" t="str">
        <f>N2506&amp;AS[[#This Row],[Insurer Code]]&amp;"; "&amp;O2506&amp;AS[[#This Row],[Reporting Year]]&amp;"; "&amp;P2506&amp;AS[[#This Row],[Insurance Category Code]]&amp;"; "&amp;Q2506&amp;AS[[#This Row],[Large Provider Entity Code]]&amp;"; "&amp;R2506&amp;AS[[#This Row],[Age Band Code]]&amp;"; "&amp;S2506&amp;AS[[#This Row],[Sex Code]]</f>
        <v xml:space="preserve">Insurer Code ; Reporting Year ; Insurance Category Code ; Large Provider Entity Code ; Age Band Code ; Sex Code </v>
      </c>
      <c r="N2506" s="297" t="s">
        <v>197</v>
      </c>
      <c r="O2506" s="297" t="s">
        <v>198</v>
      </c>
      <c r="P2506" s="297" t="s">
        <v>199</v>
      </c>
      <c r="Q2506" s="297" t="s">
        <v>200</v>
      </c>
      <c r="R2506" s="297" t="s">
        <v>213</v>
      </c>
      <c r="S2506" s="297" t="s">
        <v>214</v>
      </c>
    </row>
    <row r="2507" spans="1:19" x14ac:dyDescent="0.4">
      <c r="A2507" s="291"/>
      <c r="B2507" s="292"/>
      <c r="C2507" s="312"/>
      <c r="D2507" s="292"/>
      <c r="E2507" s="489"/>
      <c r="F2507" s="489"/>
      <c r="G2507" s="490"/>
      <c r="H2507" s="520"/>
      <c r="I2507" s="523"/>
      <c r="J2507" s="521"/>
      <c r="K2507" s="522"/>
      <c r="M2507" s="301" t="str">
        <f>N2507&amp;AS[[#This Row],[Insurer Code]]&amp;"; "&amp;O2507&amp;AS[[#This Row],[Reporting Year]]&amp;"; "&amp;P2507&amp;AS[[#This Row],[Insurance Category Code]]&amp;"; "&amp;Q2507&amp;AS[[#This Row],[Large Provider Entity Code]]&amp;"; "&amp;R2507&amp;AS[[#This Row],[Age Band Code]]&amp;"; "&amp;S2507&amp;AS[[#This Row],[Sex Code]]</f>
        <v xml:space="preserve">Insurer Code ; Reporting Year ; Insurance Category Code ; Large Provider Entity Code ; Age Band Code ; Sex Code </v>
      </c>
      <c r="N2507" s="297" t="s">
        <v>197</v>
      </c>
      <c r="O2507" s="297" t="s">
        <v>198</v>
      </c>
      <c r="P2507" s="297" t="s">
        <v>199</v>
      </c>
      <c r="Q2507" s="297" t="s">
        <v>200</v>
      </c>
      <c r="R2507" s="297" t="s">
        <v>213</v>
      </c>
      <c r="S2507" s="297" t="s">
        <v>214</v>
      </c>
    </row>
    <row r="2508" spans="1:19" x14ac:dyDescent="0.4">
      <c r="A2508" s="291"/>
      <c r="B2508" s="292"/>
      <c r="C2508" s="312"/>
      <c r="D2508" s="292"/>
      <c r="E2508" s="489"/>
      <c r="F2508" s="489"/>
      <c r="G2508" s="490"/>
      <c r="H2508" s="520"/>
      <c r="I2508" s="523"/>
      <c r="J2508" s="521"/>
      <c r="K2508" s="522"/>
      <c r="M2508" s="301" t="str">
        <f>N2508&amp;AS[[#This Row],[Insurer Code]]&amp;"; "&amp;O2508&amp;AS[[#This Row],[Reporting Year]]&amp;"; "&amp;P2508&amp;AS[[#This Row],[Insurance Category Code]]&amp;"; "&amp;Q2508&amp;AS[[#This Row],[Large Provider Entity Code]]&amp;"; "&amp;R2508&amp;AS[[#This Row],[Age Band Code]]&amp;"; "&amp;S2508&amp;AS[[#This Row],[Sex Code]]</f>
        <v xml:space="preserve">Insurer Code ; Reporting Year ; Insurance Category Code ; Large Provider Entity Code ; Age Band Code ; Sex Code </v>
      </c>
      <c r="N2508" s="297" t="s">
        <v>197</v>
      </c>
      <c r="O2508" s="297" t="s">
        <v>198</v>
      </c>
      <c r="P2508" s="297" t="s">
        <v>199</v>
      </c>
      <c r="Q2508" s="297" t="s">
        <v>200</v>
      </c>
      <c r="R2508" s="297" t="s">
        <v>213</v>
      </c>
      <c r="S2508" s="297" t="s">
        <v>214</v>
      </c>
    </row>
    <row r="2509" spans="1:19" x14ac:dyDescent="0.4">
      <c r="A2509" s="291"/>
      <c r="B2509" s="292"/>
      <c r="C2509" s="312"/>
      <c r="D2509" s="292"/>
      <c r="E2509" s="489"/>
      <c r="F2509" s="489"/>
      <c r="G2509" s="490"/>
      <c r="H2509" s="520"/>
      <c r="I2509" s="523"/>
      <c r="J2509" s="521"/>
      <c r="K2509" s="522"/>
      <c r="M2509" s="301" t="str">
        <f>N2509&amp;AS[[#This Row],[Insurer Code]]&amp;"; "&amp;O2509&amp;AS[[#This Row],[Reporting Year]]&amp;"; "&amp;P2509&amp;AS[[#This Row],[Insurance Category Code]]&amp;"; "&amp;Q2509&amp;AS[[#This Row],[Large Provider Entity Code]]&amp;"; "&amp;R2509&amp;AS[[#This Row],[Age Band Code]]&amp;"; "&amp;S2509&amp;AS[[#This Row],[Sex Code]]</f>
        <v xml:space="preserve">Insurer Code ; Reporting Year ; Insurance Category Code ; Large Provider Entity Code ; Age Band Code ; Sex Code </v>
      </c>
      <c r="N2509" s="297" t="s">
        <v>197</v>
      </c>
      <c r="O2509" s="297" t="s">
        <v>198</v>
      </c>
      <c r="P2509" s="297" t="s">
        <v>199</v>
      </c>
      <c r="Q2509" s="297" t="s">
        <v>200</v>
      </c>
      <c r="R2509" s="297" t="s">
        <v>213</v>
      </c>
      <c r="S2509" s="297" t="s">
        <v>214</v>
      </c>
    </row>
    <row r="2510" spans="1:19" x14ac:dyDescent="0.4">
      <c r="A2510" s="291"/>
      <c r="B2510" s="292"/>
      <c r="C2510" s="312"/>
      <c r="D2510" s="292"/>
      <c r="E2510" s="489"/>
      <c r="F2510" s="489"/>
      <c r="G2510" s="490"/>
      <c r="H2510" s="520"/>
      <c r="I2510" s="523"/>
      <c r="J2510" s="521"/>
      <c r="K2510" s="522"/>
      <c r="M2510" s="301" t="str">
        <f>N2510&amp;AS[[#This Row],[Insurer Code]]&amp;"; "&amp;O2510&amp;AS[[#This Row],[Reporting Year]]&amp;"; "&amp;P2510&amp;AS[[#This Row],[Insurance Category Code]]&amp;"; "&amp;Q2510&amp;AS[[#This Row],[Large Provider Entity Code]]&amp;"; "&amp;R2510&amp;AS[[#This Row],[Age Band Code]]&amp;"; "&amp;S2510&amp;AS[[#This Row],[Sex Code]]</f>
        <v xml:space="preserve">Insurer Code ; Reporting Year ; Insurance Category Code ; Large Provider Entity Code ; Age Band Code ; Sex Code </v>
      </c>
      <c r="N2510" s="297" t="s">
        <v>197</v>
      </c>
      <c r="O2510" s="297" t="s">
        <v>198</v>
      </c>
      <c r="P2510" s="297" t="s">
        <v>199</v>
      </c>
      <c r="Q2510" s="297" t="s">
        <v>200</v>
      </c>
      <c r="R2510" s="297" t="s">
        <v>213</v>
      </c>
      <c r="S2510" s="297" t="s">
        <v>214</v>
      </c>
    </row>
    <row r="2511" spans="1:19" x14ac:dyDescent="0.4">
      <c r="A2511" s="291"/>
      <c r="B2511" s="292"/>
      <c r="C2511" s="312"/>
      <c r="D2511" s="292"/>
      <c r="E2511" s="489"/>
      <c r="F2511" s="489"/>
      <c r="G2511" s="490"/>
      <c r="H2511" s="520"/>
      <c r="I2511" s="523"/>
      <c r="J2511" s="521"/>
      <c r="K2511" s="522"/>
      <c r="M2511" s="301" t="str">
        <f>N2511&amp;AS[[#This Row],[Insurer Code]]&amp;"; "&amp;O2511&amp;AS[[#This Row],[Reporting Year]]&amp;"; "&amp;P2511&amp;AS[[#This Row],[Insurance Category Code]]&amp;"; "&amp;Q2511&amp;AS[[#This Row],[Large Provider Entity Code]]&amp;"; "&amp;R2511&amp;AS[[#This Row],[Age Band Code]]&amp;"; "&amp;S2511&amp;AS[[#This Row],[Sex Code]]</f>
        <v xml:space="preserve">Insurer Code ; Reporting Year ; Insurance Category Code ; Large Provider Entity Code ; Age Band Code ; Sex Code </v>
      </c>
      <c r="N2511" s="297" t="s">
        <v>197</v>
      </c>
      <c r="O2511" s="297" t="s">
        <v>198</v>
      </c>
      <c r="P2511" s="297" t="s">
        <v>199</v>
      </c>
      <c r="Q2511" s="297" t="s">
        <v>200</v>
      </c>
      <c r="R2511" s="297" t="s">
        <v>213</v>
      </c>
      <c r="S2511" s="297" t="s">
        <v>214</v>
      </c>
    </row>
    <row r="2512" spans="1:19" x14ac:dyDescent="0.4">
      <c r="A2512" s="291"/>
      <c r="B2512" s="292"/>
      <c r="C2512" s="312"/>
      <c r="D2512" s="292"/>
      <c r="E2512" s="489"/>
      <c r="F2512" s="489"/>
      <c r="G2512" s="490"/>
      <c r="H2512" s="520"/>
      <c r="I2512" s="523"/>
      <c r="J2512" s="521"/>
      <c r="K2512" s="522"/>
      <c r="M2512" s="301" t="str">
        <f>N2512&amp;AS[[#This Row],[Insurer Code]]&amp;"; "&amp;O2512&amp;AS[[#This Row],[Reporting Year]]&amp;"; "&amp;P2512&amp;AS[[#This Row],[Insurance Category Code]]&amp;"; "&amp;Q2512&amp;AS[[#This Row],[Large Provider Entity Code]]&amp;"; "&amp;R2512&amp;AS[[#This Row],[Age Band Code]]&amp;"; "&amp;S2512&amp;AS[[#This Row],[Sex Code]]</f>
        <v xml:space="preserve">Insurer Code ; Reporting Year ; Insurance Category Code ; Large Provider Entity Code ; Age Band Code ; Sex Code </v>
      </c>
      <c r="N2512" s="297" t="s">
        <v>197</v>
      </c>
      <c r="O2512" s="297" t="s">
        <v>198</v>
      </c>
      <c r="P2512" s="297" t="s">
        <v>199</v>
      </c>
      <c r="Q2512" s="297" t="s">
        <v>200</v>
      </c>
      <c r="R2512" s="297" t="s">
        <v>213</v>
      </c>
      <c r="S2512" s="297" t="s">
        <v>214</v>
      </c>
    </row>
    <row r="2513" spans="1:19" x14ac:dyDescent="0.4">
      <c r="A2513" s="291"/>
      <c r="B2513" s="292"/>
      <c r="C2513" s="312"/>
      <c r="D2513" s="292"/>
      <c r="E2513" s="489"/>
      <c r="F2513" s="489"/>
      <c r="G2513" s="490"/>
      <c r="H2513" s="520"/>
      <c r="I2513" s="523"/>
      <c r="J2513" s="521"/>
      <c r="K2513" s="522"/>
      <c r="M2513" s="301" t="str">
        <f>N2513&amp;AS[[#This Row],[Insurer Code]]&amp;"; "&amp;O2513&amp;AS[[#This Row],[Reporting Year]]&amp;"; "&amp;P2513&amp;AS[[#This Row],[Insurance Category Code]]&amp;"; "&amp;Q2513&amp;AS[[#This Row],[Large Provider Entity Code]]&amp;"; "&amp;R2513&amp;AS[[#This Row],[Age Band Code]]&amp;"; "&amp;S2513&amp;AS[[#This Row],[Sex Code]]</f>
        <v xml:space="preserve">Insurer Code ; Reporting Year ; Insurance Category Code ; Large Provider Entity Code ; Age Band Code ; Sex Code </v>
      </c>
      <c r="N2513" s="297" t="s">
        <v>197</v>
      </c>
      <c r="O2513" s="297" t="s">
        <v>198</v>
      </c>
      <c r="P2513" s="297" t="s">
        <v>199</v>
      </c>
      <c r="Q2513" s="297" t="s">
        <v>200</v>
      </c>
      <c r="R2513" s="297" t="s">
        <v>213</v>
      </c>
      <c r="S2513" s="297" t="s">
        <v>214</v>
      </c>
    </row>
    <row r="2514" spans="1:19" x14ac:dyDescent="0.4">
      <c r="A2514" s="291"/>
      <c r="B2514" s="292"/>
      <c r="C2514" s="312"/>
      <c r="D2514" s="292"/>
      <c r="E2514" s="489"/>
      <c r="F2514" s="489"/>
      <c r="G2514" s="490"/>
      <c r="H2514" s="520"/>
      <c r="I2514" s="523"/>
      <c r="J2514" s="521"/>
      <c r="K2514" s="522"/>
      <c r="M2514" s="301" t="str">
        <f>N2514&amp;AS[[#This Row],[Insurer Code]]&amp;"; "&amp;O2514&amp;AS[[#This Row],[Reporting Year]]&amp;"; "&amp;P2514&amp;AS[[#This Row],[Insurance Category Code]]&amp;"; "&amp;Q2514&amp;AS[[#This Row],[Large Provider Entity Code]]&amp;"; "&amp;R2514&amp;AS[[#This Row],[Age Band Code]]&amp;"; "&amp;S2514&amp;AS[[#This Row],[Sex Code]]</f>
        <v xml:space="preserve">Insurer Code ; Reporting Year ; Insurance Category Code ; Large Provider Entity Code ; Age Band Code ; Sex Code </v>
      </c>
      <c r="N2514" s="297" t="s">
        <v>197</v>
      </c>
      <c r="O2514" s="297" t="s">
        <v>198</v>
      </c>
      <c r="P2514" s="297" t="s">
        <v>199</v>
      </c>
      <c r="Q2514" s="297" t="s">
        <v>200</v>
      </c>
      <c r="R2514" s="297" t="s">
        <v>213</v>
      </c>
      <c r="S2514" s="297" t="s">
        <v>214</v>
      </c>
    </row>
    <row r="2515" spans="1:19" x14ac:dyDescent="0.4">
      <c r="A2515" s="291"/>
      <c r="B2515" s="292"/>
      <c r="C2515" s="312"/>
      <c r="D2515" s="292"/>
      <c r="E2515" s="489"/>
      <c r="F2515" s="489"/>
      <c r="G2515" s="490"/>
      <c r="H2515" s="520"/>
      <c r="I2515" s="523"/>
      <c r="J2515" s="521"/>
      <c r="K2515" s="522"/>
      <c r="M2515" s="301" t="str">
        <f>N2515&amp;AS[[#This Row],[Insurer Code]]&amp;"; "&amp;O2515&amp;AS[[#This Row],[Reporting Year]]&amp;"; "&amp;P2515&amp;AS[[#This Row],[Insurance Category Code]]&amp;"; "&amp;Q2515&amp;AS[[#This Row],[Large Provider Entity Code]]&amp;"; "&amp;R2515&amp;AS[[#This Row],[Age Band Code]]&amp;"; "&amp;S2515&amp;AS[[#This Row],[Sex Code]]</f>
        <v xml:space="preserve">Insurer Code ; Reporting Year ; Insurance Category Code ; Large Provider Entity Code ; Age Band Code ; Sex Code </v>
      </c>
      <c r="N2515" s="297" t="s">
        <v>197</v>
      </c>
      <c r="O2515" s="297" t="s">
        <v>198</v>
      </c>
      <c r="P2515" s="297" t="s">
        <v>199</v>
      </c>
      <c r="Q2515" s="297" t="s">
        <v>200</v>
      </c>
      <c r="R2515" s="297" t="s">
        <v>213</v>
      </c>
      <c r="S2515" s="297" t="s">
        <v>214</v>
      </c>
    </row>
    <row r="2516" spans="1:19" x14ac:dyDescent="0.4">
      <c r="A2516" s="291"/>
      <c r="B2516" s="292"/>
      <c r="C2516" s="312"/>
      <c r="D2516" s="292"/>
      <c r="E2516" s="489"/>
      <c r="F2516" s="489"/>
      <c r="G2516" s="490"/>
      <c r="H2516" s="520"/>
      <c r="I2516" s="523"/>
      <c r="J2516" s="521"/>
      <c r="K2516" s="522"/>
      <c r="M2516" s="301" t="str">
        <f>N2516&amp;AS[[#This Row],[Insurer Code]]&amp;"; "&amp;O2516&amp;AS[[#This Row],[Reporting Year]]&amp;"; "&amp;P2516&amp;AS[[#This Row],[Insurance Category Code]]&amp;"; "&amp;Q2516&amp;AS[[#This Row],[Large Provider Entity Code]]&amp;"; "&amp;R2516&amp;AS[[#This Row],[Age Band Code]]&amp;"; "&amp;S2516&amp;AS[[#This Row],[Sex Code]]</f>
        <v xml:space="preserve">Insurer Code ; Reporting Year ; Insurance Category Code ; Large Provider Entity Code ; Age Band Code ; Sex Code </v>
      </c>
      <c r="N2516" s="297" t="s">
        <v>197</v>
      </c>
      <c r="O2516" s="297" t="s">
        <v>198</v>
      </c>
      <c r="P2516" s="297" t="s">
        <v>199</v>
      </c>
      <c r="Q2516" s="297" t="s">
        <v>200</v>
      </c>
      <c r="R2516" s="297" t="s">
        <v>213</v>
      </c>
      <c r="S2516" s="297" t="s">
        <v>214</v>
      </c>
    </row>
    <row r="2517" spans="1:19" x14ac:dyDescent="0.4">
      <c r="A2517" s="291"/>
      <c r="B2517" s="292"/>
      <c r="C2517" s="312"/>
      <c r="D2517" s="292"/>
      <c r="E2517" s="489"/>
      <c r="F2517" s="489"/>
      <c r="G2517" s="490"/>
      <c r="H2517" s="520"/>
      <c r="I2517" s="523"/>
      <c r="J2517" s="521"/>
      <c r="K2517" s="522"/>
      <c r="M2517" s="301" t="str">
        <f>N2517&amp;AS[[#This Row],[Insurer Code]]&amp;"; "&amp;O2517&amp;AS[[#This Row],[Reporting Year]]&amp;"; "&amp;P2517&amp;AS[[#This Row],[Insurance Category Code]]&amp;"; "&amp;Q2517&amp;AS[[#This Row],[Large Provider Entity Code]]&amp;"; "&amp;R2517&amp;AS[[#This Row],[Age Band Code]]&amp;"; "&amp;S2517&amp;AS[[#This Row],[Sex Code]]</f>
        <v xml:space="preserve">Insurer Code ; Reporting Year ; Insurance Category Code ; Large Provider Entity Code ; Age Band Code ; Sex Code </v>
      </c>
      <c r="N2517" s="297" t="s">
        <v>197</v>
      </c>
      <c r="O2517" s="297" t="s">
        <v>198</v>
      </c>
      <c r="P2517" s="297" t="s">
        <v>199</v>
      </c>
      <c r="Q2517" s="297" t="s">
        <v>200</v>
      </c>
      <c r="R2517" s="297" t="s">
        <v>213</v>
      </c>
      <c r="S2517" s="297" t="s">
        <v>214</v>
      </c>
    </row>
    <row r="2518" spans="1:19" x14ac:dyDescent="0.4">
      <c r="A2518" s="291"/>
      <c r="B2518" s="292"/>
      <c r="C2518" s="312"/>
      <c r="D2518" s="292"/>
      <c r="E2518" s="489"/>
      <c r="F2518" s="489"/>
      <c r="G2518" s="490"/>
      <c r="H2518" s="520"/>
      <c r="I2518" s="523"/>
      <c r="J2518" s="521"/>
      <c r="K2518" s="522"/>
      <c r="M2518" s="301" t="str">
        <f>N2518&amp;AS[[#This Row],[Insurer Code]]&amp;"; "&amp;O2518&amp;AS[[#This Row],[Reporting Year]]&amp;"; "&amp;P2518&amp;AS[[#This Row],[Insurance Category Code]]&amp;"; "&amp;Q2518&amp;AS[[#This Row],[Large Provider Entity Code]]&amp;"; "&amp;R2518&amp;AS[[#This Row],[Age Band Code]]&amp;"; "&amp;S2518&amp;AS[[#This Row],[Sex Code]]</f>
        <v xml:space="preserve">Insurer Code ; Reporting Year ; Insurance Category Code ; Large Provider Entity Code ; Age Band Code ; Sex Code </v>
      </c>
      <c r="N2518" s="297" t="s">
        <v>197</v>
      </c>
      <c r="O2518" s="297" t="s">
        <v>198</v>
      </c>
      <c r="P2518" s="297" t="s">
        <v>199</v>
      </c>
      <c r="Q2518" s="297" t="s">
        <v>200</v>
      </c>
      <c r="R2518" s="297" t="s">
        <v>213</v>
      </c>
      <c r="S2518" s="297" t="s">
        <v>214</v>
      </c>
    </row>
    <row r="2519" spans="1:19" x14ac:dyDescent="0.4">
      <c r="A2519" s="291"/>
      <c r="B2519" s="292"/>
      <c r="C2519" s="312"/>
      <c r="D2519" s="292"/>
      <c r="E2519" s="489"/>
      <c r="F2519" s="489"/>
      <c r="G2519" s="490"/>
      <c r="H2519" s="520"/>
      <c r="I2519" s="523"/>
      <c r="J2519" s="521"/>
      <c r="K2519" s="522"/>
      <c r="M2519" s="301" t="str">
        <f>N2519&amp;AS[[#This Row],[Insurer Code]]&amp;"; "&amp;O2519&amp;AS[[#This Row],[Reporting Year]]&amp;"; "&amp;P2519&amp;AS[[#This Row],[Insurance Category Code]]&amp;"; "&amp;Q2519&amp;AS[[#This Row],[Large Provider Entity Code]]&amp;"; "&amp;R2519&amp;AS[[#This Row],[Age Band Code]]&amp;"; "&amp;S2519&amp;AS[[#This Row],[Sex Code]]</f>
        <v xml:space="preserve">Insurer Code ; Reporting Year ; Insurance Category Code ; Large Provider Entity Code ; Age Band Code ; Sex Code </v>
      </c>
      <c r="N2519" s="297" t="s">
        <v>197</v>
      </c>
      <c r="O2519" s="297" t="s">
        <v>198</v>
      </c>
      <c r="P2519" s="297" t="s">
        <v>199</v>
      </c>
      <c r="Q2519" s="297" t="s">
        <v>200</v>
      </c>
      <c r="R2519" s="297" t="s">
        <v>213</v>
      </c>
      <c r="S2519" s="297" t="s">
        <v>214</v>
      </c>
    </row>
    <row r="2520" spans="1:19" x14ac:dyDescent="0.4">
      <c r="A2520" s="291"/>
      <c r="B2520" s="292"/>
      <c r="C2520" s="312"/>
      <c r="D2520" s="292"/>
      <c r="E2520" s="489"/>
      <c r="F2520" s="489"/>
      <c r="G2520" s="490"/>
      <c r="H2520" s="520"/>
      <c r="I2520" s="523"/>
      <c r="J2520" s="521"/>
      <c r="K2520" s="522"/>
      <c r="M2520" s="301" t="str">
        <f>N2520&amp;AS[[#This Row],[Insurer Code]]&amp;"; "&amp;O2520&amp;AS[[#This Row],[Reporting Year]]&amp;"; "&amp;P2520&amp;AS[[#This Row],[Insurance Category Code]]&amp;"; "&amp;Q2520&amp;AS[[#This Row],[Large Provider Entity Code]]&amp;"; "&amp;R2520&amp;AS[[#This Row],[Age Band Code]]&amp;"; "&amp;S2520&amp;AS[[#This Row],[Sex Code]]</f>
        <v xml:space="preserve">Insurer Code ; Reporting Year ; Insurance Category Code ; Large Provider Entity Code ; Age Band Code ; Sex Code </v>
      </c>
      <c r="N2520" s="297" t="s">
        <v>197</v>
      </c>
      <c r="O2520" s="297" t="s">
        <v>198</v>
      </c>
      <c r="P2520" s="297" t="s">
        <v>199</v>
      </c>
      <c r="Q2520" s="297" t="s">
        <v>200</v>
      </c>
      <c r="R2520" s="297" t="s">
        <v>213</v>
      </c>
      <c r="S2520" s="297" t="s">
        <v>214</v>
      </c>
    </row>
    <row r="2521" spans="1:19" x14ac:dyDescent="0.4">
      <c r="A2521" s="291"/>
      <c r="B2521" s="292"/>
      <c r="C2521" s="312"/>
      <c r="D2521" s="292"/>
      <c r="E2521" s="489"/>
      <c r="F2521" s="489"/>
      <c r="G2521" s="490"/>
      <c r="H2521" s="520"/>
      <c r="I2521" s="523"/>
      <c r="J2521" s="521"/>
      <c r="K2521" s="522"/>
      <c r="M2521" s="301" t="str">
        <f>N2521&amp;AS[[#This Row],[Insurer Code]]&amp;"; "&amp;O2521&amp;AS[[#This Row],[Reporting Year]]&amp;"; "&amp;P2521&amp;AS[[#This Row],[Insurance Category Code]]&amp;"; "&amp;Q2521&amp;AS[[#This Row],[Large Provider Entity Code]]&amp;"; "&amp;R2521&amp;AS[[#This Row],[Age Band Code]]&amp;"; "&amp;S2521&amp;AS[[#This Row],[Sex Code]]</f>
        <v xml:space="preserve">Insurer Code ; Reporting Year ; Insurance Category Code ; Large Provider Entity Code ; Age Band Code ; Sex Code </v>
      </c>
      <c r="N2521" s="297" t="s">
        <v>197</v>
      </c>
      <c r="O2521" s="297" t="s">
        <v>198</v>
      </c>
      <c r="P2521" s="297" t="s">
        <v>199</v>
      </c>
      <c r="Q2521" s="297" t="s">
        <v>200</v>
      </c>
      <c r="R2521" s="297" t="s">
        <v>213</v>
      </c>
      <c r="S2521" s="297" t="s">
        <v>214</v>
      </c>
    </row>
    <row r="2522" spans="1:19" x14ac:dyDescent="0.4">
      <c r="A2522" s="291"/>
      <c r="B2522" s="292"/>
      <c r="C2522" s="312"/>
      <c r="D2522" s="292"/>
      <c r="E2522" s="489"/>
      <c r="F2522" s="489"/>
      <c r="G2522" s="490"/>
      <c r="H2522" s="520"/>
      <c r="I2522" s="523"/>
      <c r="J2522" s="521"/>
      <c r="K2522" s="522"/>
      <c r="M2522" s="301" t="str">
        <f>N2522&amp;AS[[#This Row],[Insurer Code]]&amp;"; "&amp;O2522&amp;AS[[#This Row],[Reporting Year]]&amp;"; "&amp;P2522&amp;AS[[#This Row],[Insurance Category Code]]&amp;"; "&amp;Q2522&amp;AS[[#This Row],[Large Provider Entity Code]]&amp;"; "&amp;R2522&amp;AS[[#This Row],[Age Band Code]]&amp;"; "&amp;S2522&amp;AS[[#This Row],[Sex Code]]</f>
        <v xml:space="preserve">Insurer Code ; Reporting Year ; Insurance Category Code ; Large Provider Entity Code ; Age Band Code ; Sex Code </v>
      </c>
      <c r="N2522" s="297" t="s">
        <v>197</v>
      </c>
      <c r="O2522" s="297" t="s">
        <v>198</v>
      </c>
      <c r="P2522" s="297" t="s">
        <v>199</v>
      </c>
      <c r="Q2522" s="297" t="s">
        <v>200</v>
      </c>
      <c r="R2522" s="297" t="s">
        <v>213</v>
      </c>
      <c r="S2522" s="297" t="s">
        <v>214</v>
      </c>
    </row>
    <row r="2523" spans="1:19" x14ac:dyDescent="0.4">
      <c r="A2523" s="291"/>
      <c r="B2523" s="292"/>
      <c r="C2523" s="312"/>
      <c r="D2523" s="292"/>
      <c r="E2523" s="489"/>
      <c r="F2523" s="489"/>
      <c r="G2523" s="490"/>
      <c r="H2523" s="520"/>
      <c r="I2523" s="523"/>
      <c r="J2523" s="521"/>
      <c r="K2523" s="522"/>
      <c r="M2523" s="301" t="str">
        <f>N2523&amp;AS[[#This Row],[Insurer Code]]&amp;"; "&amp;O2523&amp;AS[[#This Row],[Reporting Year]]&amp;"; "&amp;P2523&amp;AS[[#This Row],[Insurance Category Code]]&amp;"; "&amp;Q2523&amp;AS[[#This Row],[Large Provider Entity Code]]&amp;"; "&amp;R2523&amp;AS[[#This Row],[Age Band Code]]&amp;"; "&amp;S2523&amp;AS[[#This Row],[Sex Code]]</f>
        <v xml:space="preserve">Insurer Code ; Reporting Year ; Insurance Category Code ; Large Provider Entity Code ; Age Band Code ; Sex Code </v>
      </c>
      <c r="N2523" s="297" t="s">
        <v>197</v>
      </c>
      <c r="O2523" s="297" t="s">
        <v>198</v>
      </c>
      <c r="P2523" s="297" t="s">
        <v>199</v>
      </c>
      <c r="Q2523" s="297" t="s">
        <v>200</v>
      </c>
      <c r="R2523" s="297" t="s">
        <v>213</v>
      </c>
      <c r="S2523" s="297" t="s">
        <v>214</v>
      </c>
    </row>
    <row r="2524" spans="1:19" x14ac:dyDescent="0.4">
      <c r="A2524" s="291"/>
      <c r="B2524" s="292"/>
      <c r="C2524" s="312"/>
      <c r="D2524" s="292"/>
      <c r="E2524" s="489"/>
      <c r="F2524" s="489"/>
      <c r="G2524" s="490"/>
      <c r="H2524" s="520"/>
      <c r="I2524" s="523"/>
      <c r="J2524" s="521"/>
      <c r="K2524" s="522"/>
      <c r="M2524" s="301" t="str">
        <f>N2524&amp;AS[[#This Row],[Insurer Code]]&amp;"; "&amp;O2524&amp;AS[[#This Row],[Reporting Year]]&amp;"; "&amp;P2524&amp;AS[[#This Row],[Insurance Category Code]]&amp;"; "&amp;Q2524&amp;AS[[#This Row],[Large Provider Entity Code]]&amp;"; "&amp;R2524&amp;AS[[#This Row],[Age Band Code]]&amp;"; "&amp;S2524&amp;AS[[#This Row],[Sex Code]]</f>
        <v xml:space="preserve">Insurer Code ; Reporting Year ; Insurance Category Code ; Large Provider Entity Code ; Age Band Code ; Sex Code </v>
      </c>
      <c r="N2524" s="297" t="s">
        <v>197</v>
      </c>
      <c r="O2524" s="297" t="s">
        <v>198</v>
      </c>
      <c r="P2524" s="297" t="s">
        <v>199</v>
      </c>
      <c r="Q2524" s="297" t="s">
        <v>200</v>
      </c>
      <c r="R2524" s="297" t="s">
        <v>213</v>
      </c>
      <c r="S2524" s="297" t="s">
        <v>214</v>
      </c>
    </row>
    <row r="2525" spans="1:19" x14ac:dyDescent="0.4">
      <c r="A2525" s="291"/>
      <c r="B2525" s="292"/>
      <c r="C2525" s="312"/>
      <c r="D2525" s="292"/>
      <c r="E2525" s="489"/>
      <c r="F2525" s="489"/>
      <c r="G2525" s="490"/>
      <c r="H2525" s="520"/>
      <c r="I2525" s="523"/>
      <c r="J2525" s="521"/>
      <c r="K2525" s="522"/>
      <c r="M2525" s="301" t="str">
        <f>N2525&amp;AS[[#This Row],[Insurer Code]]&amp;"; "&amp;O2525&amp;AS[[#This Row],[Reporting Year]]&amp;"; "&amp;P2525&amp;AS[[#This Row],[Insurance Category Code]]&amp;"; "&amp;Q2525&amp;AS[[#This Row],[Large Provider Entity Code]]&amp;"; "&amp;R2525&amp;AS[[#This Row],[Age Band Code]]&amp;"; "&amp;S2525&amp;AS[[#This Row],[Sex Code]]</f>
        <v xml:space="preserve">Insurer Code ; Reporting Year ; Insurance Category Code ; Large Provider Entity Code ; Age Band Code ; Sex Code </v>
      </c>
      <c r="N2525" s="297" t="s">
        <v>197</v>
      </c>
      <c r="O2525" s="297" t="s">
        <v>198</v>
      </c>
      <c r="P2525" s="297" t="s">
        <v>199</v>
      </c>
      <c r="Q2525" s="297" t="s">
        <v>200</v>
      </c>
      <c r="R2525" s="297" t="s">
        <v>213</v>
      </c>
      <c r="S2525" s="297" t="s">
        <v>214</v>
      </c>
    </row>
    <row r="2526" spans="1:19" x14ac:dyDescent="0.4">
      <c r="A2526" s="291"/>
      <c r="B2526" s="292"/>
      <c r="C2526" s="312"/>
      <c r="D2526" s="292"/>
      <c r="E2526" s="489"/>
      <c r="F2526" s="489"/>
      <c r="G2526" s="490"/>
      <c r="H2526" s="520"/>
      <c r="I2526" s="523"/>
      <c r="J2526" s="521"/>
      <c r="K2526" s="522"/>
      <c r="M2526" s="301" t="str">
        <f>N2526&amp;AS[[#This Row],[Insurer Code]]&amp;"; "&amp;O2526&amp;AS[[#This Row],[Reporting Year]]&amp;"; "&amp;P2526&amp;AS[[#This Row],[Insurance Category Code]]&amp;"; "&amp;Q2526&amp;AS[[#This Row],[Large Provider Entity Code]]&amp;"; "&amp;R2526&amp;AS[[#This Row],[Age Band Code]]&amp;"; "&amp;S2526&amp;AS[[#This Row],[Sex Code]]</f>
        <v xml:space="preserve">Insurer Code ; Reporting Year ; Insurance Category Code ; Large Provider Entity Code ; Age Band Code ; Sex Code </v>
      </c>
      <c r="N2526" s="297" t="s">
        <v>197</v>
      </c>
      <c r="O2526" s="297" t="s">
        <v>198</v>
      </c>
      <c r="P2526" s="297" t="s">
        <v>199</v>
      </c>
      <c r="Q2526" s="297" t="s">
        <v>200</v>
      </c>
      <c r="R2526" s="297" t="s">
        <v>213</v>
      </c>
      <c r="S2526" s="297" t="s">
        <v>214</v>
      </c>
    </row>
    <row r="2527" spans="1:19" x14ac:dyDescent="0.4">
      <c r="A2527" s="291"/>
      <c r="B2527" s="292"/>
      <c r="C2527" s="312"/>
      <c r="D2527" s="292"/>
      <c r="E2527" s="489"/>
      <c r="F2527" s="489"/>
      <c r="G2527" s="490"/>
      <c r="H2527" s="520"/>
      <c r="I2527" s="523"/>
      <c r="J2527" s="521"/>
      <c r="K2527" s="522"/>
      <c r="M2527" s="301" t="str">
        <f>N2527&amp;AS[[#This Row],[Insurer Code]]&amp;"; "&amp;O2527&amp;AS[[#This Row],[Reporting Year]]&amp;"; "&amp;P2527&amp;AS[[#This Row],[Insurance Category Code]]&amp;"; "&amp;Q2527&amp;AS[[#This Row],[Large Provider Entity Code]]&amp;"; "&amp;R2527&amp;AS[[#This Row],[Age Band Code]]&amp;"; "&amp;S2527&amp;AS[[#This Row],[Sex Code]]</f>
        <v xml:space="preserve">Insurer Code ; Reporting Year ; Insurance Category Code ; Large Provider Entity Code ; Age Band Code ; Sex Code </v>
      </c>
      <c r="N2527" s="297" t="s">
        <v>197</v>
      </c>
      <c r="O2527" s="297" t="s">
        <v>198</v>
      </c>
      <c r="P2527" s="297" t="s">
        <v>199</v>
      </c>
      <c r="Q2527" s="297" t="s">
        <v>200</v>
      </c>
      <c r="R2527" s="297" t="s">
        <v>213</v>
      </c>
      <c r="S2527" s="297" t="s">
        <v>214</v>
      </c>
    </row>
    <row r="2528" spans="1:19" x14ac:dyDescent="0.4">
      <c r="A2528" s="291"/>
      <c r="B2528" s="292"/>
      <c r="C2528" s="312"/>
      <c r="D2528" s="292"/>
      <c r="E2528" s="489"/>
      <c r="F2528" s="489"/>
      <c r="G2528" s="490"/>
      <c r="H2528" s="520"/>
      <c r="I2528" s="523"/>
      <c r="J2528" s="521"/>
      <c r="K2528" s="522"/>
      <c r="M2528" s="301" t="str">
        <f>N2528&amp;AS[[#This Row],[Insurer Code]]&amp;"; "&amp;O2528&amp;AS[[#This Row],[Reporting Year]]&amp;"; "&amp;P2528&amp;AS[[#This Row],[Insurance Category Code]]&amp;"; "&amp;Q2528&amp;AS[[#This Row],[Large Provider Entity Code]]&amp;"; "&amp;R2528&amp;AS[[#This Row],[Age Band Code]]&amp;"; "&amp;S2528&amp;AS[[#This Row],[Sex Code]]</f>
        <v xml:space="preserve">Insurer Code ; Reporting Year ; Insurance Category Code ; Large Provider Entity Code ; Age Band Code ; Sex Code </v>
      </c>
      <c r="N2528" s="297" t="s">
        <v>197</v>
      </c>
      <c r="O2528" s="297" t="s">
        <v>198</v>
      </c>
      <c r="P2528" s="297" t="s">
        <v>199</v>
      </c>
      <c r="Q2528" s="297" t="s">
        <v>200</v>
      </c>
      <c r="R2528" s="297" t="s">
        <v>213</v>
      </c>
      <c r="S2528" s="297" t="s">
        <v>214</v>
      </c>
    </row>
    <row r="2529" spans="1:19" x14ac:dyDescent="0.4">
      <c r="A2529" s="291"/>
      <c r="B2529" s="292"/>
      <c r="C2529" s="312"/>
      <c r="D2529" s="292"/>
      <c r="E2529" s="489"/>
      <c r="F2529" s="489"/>
      <c r="G2529" s="490"/>
      <c r="H2529" s="520"/>
      <c r="I2529" s="523"/>
      <c r="J2529" s="521"/>
      <c r="K2529" s="522"/>
      <c r="M2529" s="301" t="str">
        <f>N2529&amp;AS[[#This Row],[Insurer Code]]&amp;"; "&amp;O2529&amp;AS[[#This Row],[Reporting Year]]&amp;"; "&amp;P2529&amp;AS[[#This Row],[Insurance Category Code]]&amp;"; "&amp;Q2529&amp;AS[[#This Row],[Large Provider Entity Code]]&amp;"; "&amp;R2529&amp;AS[[#This Row],[Age Band Code]]&amp;"; "&amp;S2529&amp;AS[[#This Row],[Sex Code]]</f>
        <v xml:space="preserve">Insurer Code ; Reporting Year ; Insurance Category Code ; Large Provider Entity Code ; Age Band Code ; Sex Code </v>
      </c>
      <c r="N2529" s="297" t="s">
        <v>197</v>
      </c>
      <c r="O2529" s="297" t="s">
        <v>198</v>
      </c>
      <c r="P2529" s="297" t="s">
        <v>199</v>
      </c>
      <c r="Q2529" s="297" t="s">
        <v>200</v>
      </c>
      <c r="R2529" s="297" t="s">
        <v>213</v>
      </c>
      <c r="S2529" s="297" t="s">
        <v>214</v>
      </c>
    </row>
    <row r="2530" spans="1:19" x14ac:dyDescent="0.4">
      <c r="A2530" s="291"/>
      <c r="B2530" s="292"/>
      <c r="C2530" s="312"/>
      <c r="D2530" s="292"/>
      <c r="E2530" s="489"/>
      <c r="F2530" s="489"/>
      <c r="G2530" s="490"/>
      <c r="H2530" s="520"/>
      <c r="I2530" s="523"/>
      <c r="J2530" s="521"/>
      <c r="K2530" s="522"/>
      <c r="M2530" s="301" t="str">
        <f>N2530&amp;AS[[#This Row],[Insurer Code]]&amp;"; "&amp;O2530&amp;AS[[#This Row],[Reporting Year]]&amp;"; "&amp;P2530&amp;AS[[#This Row],[Insurance Category Code]]&amp;"; "&amp;Q2530&amp;AS[[#This Row],[Large Provider Entity Code]]&amp;"; "&amp;R2530&amp;AS[[#This Row],[Age Band Code]]&amp;"; "&amp;S2530&amp;AS[[#This Row],[Sex Code]]</f>
        <v xml:space="preserve">Insurer Code ; Reporting Year ; Insurance Category Code ; Large Provider Entity Code ; Age Band Code ; Sex Code </v>
      </c>
      <c r="N2530" s="297" t="s">
        <v>197</v>
      </c>
      <c r="O2530" s="297" t="s">
        <v>198</v>
      </c>
      <c r="P2530" s="297" t="s">
        <v>199</v>
      </c>
      <c r="Q2530" s="297" t="s">
        <v>200</v>
      </c>
      <c r="R2530" s="297" t="s">
        <v>213</v>
      </c>
      <c r="S2530" s="297" t="s">
        <v>214</v>
      </c>
    </row>
    <row r="2531" spans="1:19" x14ac:dyDescent="0.4">
      <c r="A2531" s="291"/>
      <c r="B2531" s="292"/>
      <c r="C2531" s="312"/>
      <c r="D2531" s="292"/>
      <c r="E2531" s="489"/>
      <c r="F2531" s="489"/>
      <c r="G2531" s="490"/>
      <c r="H2531" s="520"/>
      <c r="I2531" s="523"/>
      <c r="J2531" s="521"/>
      <c r="K2531" s="522"/>
      <c r="M2531" s="301" t="str">
        <f>N2531&amp;AS[[#This Row],[Insurer Code]]&amp;"; "&amp;O2531&amp;AS[[#This Row],[Reporting Year]]&amp;"; "&amp;P2531&amp;AS[[#This Row],[Insurance Category Code]]&amp;"; "&amp;Q2531&amp;AS[[#This Row],[Large Provider Entity Code]]&amp;"; "&amp;R2531&amp;AS[[#This Row],[Age Band Code]]&amp;"; "&amp;S2531&amp;AS[[#This Row],[Sex Code]]</f>
        <v xml:space="preserve">Insurer Code ; Reporting Year ; Insurance Category Code ; Large Provider Entity Code ; Age Band Code ; Sex Code </v>
      </c>
      <c r="N2531" s="297" t="s">
        <v>197</v>
      </c>
      <c r="O2531" s="297" t="s">
        <v>198</v>
      </c>
      <c r="P2531" s="297" t="s">
        <v>199</v>
      </c>
      <c r="Q2531" s="297" t="s">
        <v>200</v>
      </c>
      <c r="R2531" s="297" t="s">
        <v>213</v>
      </c>
      <c r="S2531" s="297" t="s">
        <v>214</v>
      </c>
    </row>
    <row r="2532" spans="1:19" x14ac:dyDescent="0.4">
      <c r="A2532" s="291"/>
      <c r="B2532" s="292"/>
      <c r="C2532" s="312"/>
      <c r="D2532" s="292"/>
      <c r="E2532" s="489"/>
      <c r="F2532" s="489"/>
      <c r="G2532" s="490"/>
      <c r="H2532" s="520"/>
      <c r="I2532" s="523"/>
      <c r="J2532" s="521"/>
      <c r="K2532" s="522"/>
      <c r="M2532" s="301" t="str">
        <f>N2532&amp;AS[[#This Row],[Insurer Code]]&amp;"; "&amp;O2532&amp;AS[[#This Row],[Reporting Year]]&amp;"; "&amp;P2532&amp;AS[[#This Row],[Insurance Category Code]]&amp;"; "&amp;Q2532&amp;AS[[#This Row],[Large Provider Entity Code]]&amp;"; "&amp;R2532&amp;AS[[#This Row],[Age Band Code]]&amp;"; "&amp;S2532&amp;AS[[#This Row],[Sex Code]]</f>
        <v xml:space="preserve">Insurer Code ; Reporting Year ; Insurance Category Code ; Large Provider Entity Code ; Age Band Code ; Sex Code </v>
      </c>
      <c r="N2532" s="297" t="s">
        <v>197</v>
      </c>
      <c r="O2532" s="297" t="s">
        <v>198</v>
      </c>
      <c r="P2532" s="297" t="s">
        <v>199</v>
      </c>
      <c r="Q2532" s="297" t="s">
        <v>200</v>
      </c>
      <c r="R2532" s="297" t="s">
        <v>213</v>
      </c>
      <c r="S2532" s="297" t="s">
        <v>214</v>
      </c>
    </row>
    <row r="2533" spans="1:19" x14ac:dyDescent="0.4">
      <c r="A2533" s="291"/>
      <c r="B2533" s="292"/>
      <c r="C2533" s="312"/>
      <c r="D2533" s="292"/>
      <c r="E2533" s="489"/>
      <c r="F2533" s="489"/>
      <c r="G2533" s="490"/>
      <c r="H2533" s="520"/>
      <c r="I2533" s="523"/>
      <c r="J2533" s="521"/>
      <c r="K2533" s="522"/>
      <c r="M2533" s="301" t="str">
        <f>N2533&amp;AS[[#This Row],[Insurer Code]]&amp;"; "&amp;O2533&amp;AS[[#This Row],[Reporting Year]]&amp;"; "&amp;P2533&amp;AS[[#This Row],[Insurance Category Code]]&amp;"; "&amp;Q2533&amp;AS[[#This Row],[Large Provider Entity Code]]&amp;"; "&amp;R2533&amp;AS[[#This Row],[Age Band Code]]&amp;"; "&amp;S2533&amp;AS[[#This Row],[Sex Code]]</f>
        <v xml:space="preserve">Insurer Code ; Reporting Year ; Insurance Category Code ; Large Provider Entity Code ; Age Band Code ; Sex Code </v>
      </c>
      <c r="N2533" s="297" t="s">
        <v>197</v>
      </c>
      <c r="O2533" s="297" t="s">
        <v>198</v>
      </c>
      <c r="P2533" s="297" t="s">
        <v>199</v>
      </c>
      <c r="Q2533" s="297" t="s">
        <v>200</v>
      </c>
      <c r="R2533" s="297" t="s">
        <v>213</v>
      </c>
      <c r="S2533" s="297" t="s">
        <v>214</v>
      </c>
    </row>
    <row r="2534" spans="1:19" x14ac:dyDescent="0.4">
      <c r="A2534" s="291"/>
      <c r="B2534" s="292"/>
      <c r="C2534" s="312"/>
      <c r="D2534" s="292"/>
      <c r="E2534" s="489"/>
      <c r="F2534" s="489"/>
      <c r="G2534" s="490"/>
      <c r="H2534" s="520"/>
      <c r="I2534" s="523"/>
      <c r="J2534" s="521"/>
      <c r="K2534" s="522"/>
      <c r="M2534" s="301" t="str">
        <f>N2534&amp;AS[[#This Row],[Insurer Code]]&amp;"; "&amp;O2534&amp;AS[[#This Row],[Reporting Year]]&amp;"; "&amp;P2534&amp;AS[[#This Row],[Insurance Category Code]]&amp;"; "&amp;Q2534&amp;AS[[#This Row],[Large Provider Entity Code]]&amp;"; "&amp;R2534&amp;AS[[#This Row],[Age Band Code]]&amp;"; "&amp;S2534&amp;AS[[#This Row],[Sex Code]]</f>
        <v xml:space="preserve">Insurer Code ; Reporting Year ; Insurance Category Code ; Large Provider Entity Code ; Age Band Code ; Sex Code </v>
      </c>
      <c r="N2534" s="297" t="s">
        <v>197</v>
      </c>
      <c r="O2534" s="297" t="s">
        <v>198</v>
      </c>
      <c r="P2534" s="297" t="s">
        <v>199</v>
      </c>
      <c r="Q2534" s="297" t="s">
        <v>200</v>
      </c>
      <c r="R2534" s="297" t="s">
        <v>213</v>
      </c>
      <c r="S2534" s="297" t="s">
        <v>214</v>
      </c>
    </row>
    <row r="2535" spans="1:19" x14ac:dyDescent="0.4">
      <c r="A2535" s="291"/>
      <c r="B2535" s="292"/>
      <c r="C2535" s="312"/>
      <c r="D2535" s="292"/>
      <c r="E2535" s="489"/>
      <c r="F2535" s="489"/>
      <c r="G2535" s="490"/>
      <c r="H2535" s="520"/>
      <c r="I2535" s="523"/>
      <c r="J2535" s="521"/>
      <c r="K2535" s="522"/>
      <c r="M2535" s="301" t="str">
        <f>N2535&amp;AS[[#This Row],[Insurer Code]]&amp;"; "&amp;O2535&amp;AS[[#This Row],[Reporting Year]]&amp;"; "&amp;P2535&amp;AS[[#This Row],[Insurance Category Code]]&amp;"; "&amp;Q2535&amp;AS[[#This Row],[Large Provider Entity Code]]&amp;"; "&amp;R2535&amp;AS[[#This Row],[Age Band Code]]&amp;"; "&amp;S2535&amp;AS[[#This Row],[Sex Code]]</f>
        <v xml:space="preserve">Insurer Code ; Reporting Year ; Insurance Category Code ; Large Provider Entity Code ; Age Band Code ; Sex Code </v>
      </c>
      <c r="N2535" s="297" t="s">
        <v>197</v>
      </c>
      <c r="O2535" s="297" t="s">
        <v>198</v>
      </c>
      <c r="P2535" s="297" t="s">
        <v>199</v>
      </c>
      <c r="Q2535" s="297" t="s">
        <v>200</v>
      </c>
      <c r="R2535" s="297" t="s">
        <v>213</v>
      </c>
      <c r="S2535" s="297" t="s">
        <v>214</v>
      </c>
    </row>
    <row r="2536" spans="1:19" x14ac:dyDescent="0.4">
      <c r="A2536" s="291"/>
      <c r="B2536" s="292"/>
      <c r="C2536" s="312"/>
      <c r="D2536" s="292"/>
      <c r="E2536" s="489"/>
      <c r="F2536" s="489"/>
      <c r="G2536" s="490"/>
      <c r="H2536" s="520"/>
      <c r="I2536" s="523"/>
      <c r="J2536" s="521"/>
      <c r="K2536" s="522"/>
      <c r="M2536" s="301" t="str">
        <f>N2536&amp;AS[[#This Row],[Insurer Code]]&amp;"; "&amp;O2536&amp;AS[[#This Row],[Reporting Year]]&amp;"; "&amp;P2536&amp;AS[[#This Row],[Insurance Category Code]]&amp;"; "&amp;Q2536&amp;AS[[#This Row],[Large Provider Entity Code]]&amp;"; "&amp;R2536&amp;AS[[#This Row],[Age Band Code]]&amp;"; "&amp;S2536&amp;AS[[#This Row],[Sex Code]]</f>
        <v xml:space="preserve">Insurer Code ; Reporting Year ; Insurance Category Code ; Large Provider Entity Code ; Age Band Code ; Sex Code </v>
      </c>
      <c r="N2536" s="297" t="s">
        <v>197</v>
      </c>
      <c r="O2536" s="297" t="s">
        <v>198</v>
      </c>
      <c r="P2536" s="297" t="s">
        <v>199</v>
      </c>
      <c r="Q2536" s="297" t="s">
        <v>200</v>
      </c>
      <c r="R2536" s="297" t="s">
        <v>213</v>
      </c>
      <c r="S2536" s="297" t="s">
        <v>214</v>
      </c>
    </row>
    <row r="2537" spans="1:19" x14ac:dyDescent="0.4">
      <c r="A2537" s="291"/>
      <c r="B2537" s="292"/>
      <c r="C2537" s="312"/>
      <c r="D2537" s="292"/>
      <c r="E2537" s="489"/>
      <c r="F2537" s="489"/>
      <c r="G2537" s="490"/>
      <c r="H2537" s="520"/>
      <c r="I2537" s="523"/>
      <c r="J2537" s="521"/>
      <c r="K2537" s="522"/>
      <c r="M2537" s="301" t="str">
        <f>N2537&amp;AS[[#This Row],[Insurer Code]]&amp;"; "&amp;O2537&amp;AS[[#This Row],[Reporting Year]]&amp;"; "&amp;P2537&amp;AS[[#This Row],[Insurance Category Code]]&amp;"; "&amp;Q2537&amp;AS[[#This Row],[Large Provider Entity Code]]&amp;"; "&amp;R2537&amp;AS[[#This Row],[Age Band Code]]&amp;"; "&amp;S2537&amp;AS[[#This Row],[Sex Code]]</f>
        <v xml:space="preserve">Insurer Code ; Reporting Year ; Insurance Category Code ; Large Provider Entity Code ; Age Band Code ; Sex Code </v>
      </c>
      <c r="N2537" s="297" t="s">
        <v>197</v>
      </c>
      <c r="O2537" s="297" t="s">
        <v>198</v>
      </c>
      <c r="P2537" s="297" t="s">
        <v>199</v>
      </c>
      <c r="Q2537" s="297" t="s">
        <v>200</v>
      </c>
      <c r="R2537" s="297" t="s">
        <v>213</v>
      </c>
      <c r="S2537" s="297" t="s">
        <v>214</v>
      </c>
    </row>
    <row r="2538" spans="1:19" x14ac:dyDescent="0.4">
      <c r="A2538" s="291"/>
      <c r="B2538" s="292"/>
      <c r="C2538" s="312"/>
      <c r="D2538" s="292"/>
      <c r="E2538" s="489"/>
      <c r="F2538" s="489"/>
      <c r="G2538" s="490"/>
      <c r="H2538" s="520"/>
      <c r="I2538" s="523"/>
      <c r="J2538" s="521"/>
      <c r="K2538" s="522"/>
      <c r="M2538" s="301" t="str">
        <f>N2538&amp;AS[[#This Row],[Insurer Code]]&amp;"; "&amp;O2538&amp;AS[[#This Row],[Reporting Year]]&amp;"; "&amp;P2538&amp;AS[[#This Row],[Insurance Category Code]]&amp;"; "&amp;Q2538&amp;AS[[#This Row],[Large Provider Entity Code]]&amp;"; "&amp;R2538&amp;AS[[#This Row],[Age Band Code]]&amp;"; "&amp;S2538&amp;AS[[#This Row],[Sex Code]]</f>
        <v xml:space="preserve">Insurer Code ; Reporting Year ; Insurance Category Code ; Large Provider Entity Code ; Age Band Code ; Sex Code </v>
      </c>
      <c r="N2538" s="297" t="s">
        <v>197</v>
      </c>
      <c r="O2538" s="297" t="s">
        <v>198</v>
      </c>
      <c r="P2538" s="297" t="s">
        <v>199</v>
      </c>
      <c r="Q2538" s="297" t="s">
        <v>200</v>
      </c>
      <c r="R2538" s="297" t="s">
        <v>213</v>
      </c>
      <c r="S2538" s="297" t="s">
        <v>214</v>
      </c>
    </row>
    <row r="2539" spans="1:19" x14ac:dyDescent="0.4">
      <c r="A2539" s="291"/>
      <c r="B2539" s="292"/>
      <c r="C2539" s="312"/>
      <c r="D2539" s="292"/>
      <c r="E2539" s="489"/>
      <c r="F2539" s="489"/>
      <c r="G2539" s="490"/>
      <c r="H2539" s="520"/>
      <c r="I2539" s="523"/>
      <c r="J2539" s="521"/>
      <c r="K2539" s="522"/>
      <c r="M2539" s="301" t="str">
        <f>N2539&amp;AS[[#This Row],[Insurer Code]]&amp;"; "&amp;O2539&amp;AS[[#This Row],[Reporting Year]]&amp;"; "&amp;P2539&amp;AS[[#This Row],[Insurance Category Code]]&amp;"; "&amp;Q2539&amp;AS[[#This Row],[Large Provider Entity Code]]&amp;"; "&amp;R2539&amp;AS[[#This Row],[Age Band Code]]&amp;"; "&amp;S2539&amp;AS[[#This Row],[Sex Code]]</f>
        <v xml:space="preserve">Insurer Code ; Reporting Year ; Insurance Category Code ; Large Provider Entity Code ; Age Band Code ; Sex Code </v>
      </c>
      <c r="N2539" s="297" t="s">
        <v>197</v>
      </c>
      <c r="O2539" s="297" t="s">
        <v>198</v>
      </c>
      <c r="P2539" s="297" t="s">
        <v>199</v>
      </c>
      <c r="Q2539" s="297" t="s">
        <v>200</v>
      </c>
      <c r="R2539" s="297" t="s">
        <v>213</v>
      </c>
      <c r="S2539" s="297" t="s">
        <v>214</v>
      </c>
    </row>
    <row r="2540" spans="1:19" x14ac:dyDescent="0.4">
      <c r="A2540" s="291"/>
      <c r="B2540" s="292"/>
      <c r="C2540" s="312"/>
      <c r="D2540" s="292"/>
      <c r="E2540" s="489"/>
      <c r="F2540" s="489"/>
      <c r="G2540" s="490"/>
      <c r="H2540" s="520"/>
      <c r="I2540" s="523"/>
      <c r="J2540" s="521"/>
      <c r="K2540" s="522"/>
      <c r="M2540" s="301" t="str">
        <f>N2540&amp;AS[[#This Row],[Insurer Code]]&amp;"; "&amp;O2540&amp;AS[[#This Row],[Reporting Year]]&amp;"; "&amp;P2540&amp;AS[[#This Row],[Insurance Category Code]]&amp;"; "&amp;Q2540&amp;AS[[#This Row],[Large Provider Entity Code]]&amp;"; "&amp;R2540&amp;AS[[#This Row],[Age Band Code]]&amp;"; "&amp;S2540&amp;AS[[#This Row],[Sex Code]]</f>
        <v xml:space="preserve">Insurer Code ; Reporting Year ; Insurance Category Code ; Large Provider Entity Code ; Age Band Code ; Sex Code </v>
      </c>
      <c r="N2540" s="297" t="s">
        <v>197</v>
      </c>
      <c r="O2540" s="297" t="s">
        <v>198</v>
      </c>
      <c r="P2540" s="297" t="s">
        <v>199</v>
      </c>
      <c r="Q2540" s="297" t="s">
        <v>200</v>
      </c>
      <c r="R2540" s="297" t="s">
        <v>213</v>
      </c>
      <c r="S2540" s="297" t="s">
        <v>214</v>
      </c>
    </row>
    <row r="2541" spans="1:19" x14ac:dyDescent="0.4">
      <c r="A2541" s="291"/>
      <c r="B2541" s="292"/>
      <c r="C2541" s="312"/>
      <c r="D2541" s="292"/>
      <c r="E2541" s="489"/>
      <c r="F2541" s="489"/>
      <c r="G2541" s="490"/>
      <c r="H2541" s="520"/>
      <c r="I2541" s="523"/>
      <c r="J2541" s="521"/>
      <c r="K2541" s="522"/>
      <c r="M2541" s="301" t="str">
        <f>N2541&amp;AS[[#This Row],[Insurer Code]]&amp;"; "&amp;O2541&amp;AS[[#This Row],[Reporting Year]]&amp;"; "&amp;P2541&amp;AS[[#This Row],[Insurance Category Code]]&amp;"; "&amp;Q2541&amp;AS[[#This Row],[Large Provider Entity Code]]&amp;"; "&amp;R2541&amp;AS[[#This Row],[Age Band Code]]&amp;"; "&amp;S2541&amp;AS[[#This Row],[Sex Code]]</f>
        <v xml:space="preserve">Insurer Code ; Reporting Year ; Insurance Category Code ; Large Provider Entity Code ; Age Band Code ; Sex Code </v>
      </c>
      <c r="N2541" s="297" t="s">
        <v>197</v>
      </c>
      <c r="O2541" s="297" t="s">
        <v>198</v>
      </c>
      <c r="P2541" s="297" t="s">
        <v>199</v>
      </c>
      <c r="Q2541" s="297" t="s">
        <v>200</v>
      </c>
      <c r="R2541" s="297" t="s">
        <v>213</v>
      </c>
      <c r="S2541" s="297" t="s">
        <v>214</v>
      </c>
    </row>
    <row r="2542" spans="1:19" x14ac:dyDescent="0.4">
      <c r="A2542" s="291"/>
      <c r="B2542" s="292"/>
      <c r="C2542" s="312"/>
      <c r="D2542" s="292"/>
      <c r="E2542" s="489"/>
      <c r="F2542" s="489"/>
      <c r="G2542" s="490"/>
      <c r="H2542" s="520"/>
      <c r="I2542" s="523"/>
      <c r="J2542" s="521"/>
      <c r="K2542" s="522"/>
      <c r="M2542" s="301" t="str">
        <f>N2542&amp;AS[[#This Row],[Insurer Code]]&amp;"; "&amp;O2542&amp;AS[[#This Row],[Reporting Year]]&amp;"; "&amp;P2542&amp;AS[[#This Row],[Insurance Category Code]]&amp;"; "&amp;Q2542&amp;AS[[#This Row],[Large Provider Entity Code]]&amp;"; "&amp;R2542&amp;AS[[#This Row],[Age Band Code]]&amp;"; "&amp;S2542&amp;AS[[#This Row],[Sex Code]]</f>
        <v xml:space="preserve">Insurer Code ; Reporting Year ; Insurance Category Code ; Large Provider Entity Code ; Age Band Code ; Sex Code </v>
      </c>
      <c r="N2542" s="297" t="s">
        <v>197</v>
      </c>
      <c r="O2542" s="297" t="s">
        <v>198</v>
      </c>
      <c r="P2542" s="297" t="s">
        <v>199</v>
      </c>
      <c r="Q2542" s="297" t="s">
        <v>200</v>
      </c>
      <c r="R2542" s="297" t="s">
        <v>213</v>
      </c>
      <c r="S2542" s="297" t="s">
        <v>214</v>
      </c>
    </row>
    <row r="2543" spans="1:19" x14ac:dyDescent="0.4">
      <c r="A2543" s="291"/>
      <c r="B2543" s="292"/>
      <c r="C2543" s="312"/>
      <c r="D2543" s="292"/>
      <c r="E2543" s="489"/>
      <c r="F2543" s="489"/>
      <c r="G2543" s="490"/>
      <c r="H2543" s="520"/>
      <c r="I2543" s="523"/>
      <c r="J2543" s="521"/>
      <c r="K2543" s="522"/>
      <c r="M2543" s="301" t="str">
        <f>N2543&amp;AS[[#This Row],[Insurer Code]]&amp;"; "&amp;O2543&amp;AS[[#This Row],[Reporting Year]]&amp;"; "&amp;P2543&amp;AS[[#This Row],[Insurance Category Code]]&amp;"; "&amp;Q2543&amp;AS[[#This Row],[Large Provider Entity Code]]&amp;"; "&amp;R2543&amp;AS[[#This Row],[Age Band Code]]&amp;"; "&amp;S2543&amp;AS[[#This Row],[Sex Code]]</f>
        <v xml:space="preserve">Insurer Code ; Reporting Year ; Insurance Category Code ; Large Provider Entity Code ; Age Band Code ; Sex Code </v>
      </c>
      <c r="N2543" s="297" t="s">
        <v>197</v>
      </c>
      <c r="O2543" s="297" t="s">
        <v>198</v>
      </c>
      <c r="P2543" s="297" t="s">
        <v>199</v>
      </c>
      <c r="Q2543" s="297" t="s">
        <v>200</v>
      </c>
      <c r="R2543" s="297" t="s">
        <v>213</v>
      </c>
      <c r="S2543" s="297" t="s">
        <v>214</v>
      </c>
    </row>
    <row r="2544" spans="1:19" x14ac:dyDescent="0.4">
      <c r="A2544" s="291"/>
      <c r="B2544" s="292"/>
      <c r="C2544" s="312"/>
      <c r="D2544" s="292"/>
      <c r="E2544" s="489"/>
      <c r="F2544" s="489"/>
      <c r="G2544" s="490"/>
      <c r="H2544" s="520"/>
      <c r="I2544" s="523"/>
      <c r="J2544" s="521"/>
      <c r="K2544" s="522"/>
      <c r="M2544" s="301" t="str">
        <f>N2544&amp;AS[[#This Row],[Insurer Code]]&amp;"; "&amp;O2544&amp;AS[[#This Row],[Reporting Year]]&amp;"; "&amp;P2544&amp;AS[[#This Row],[Insurance Category Code]]&amp;"; "&amp;Q2544&amp;AS[[#This Row],[Large Provider Entity Code]]&amp;"; "&amp;R2544&amp;AS[[#This Row],[Age Band Code]]&amp;"; "&amp;S2544&amp;AS[[#This Row],[Sex Code]]</f>
        <v xml:space="preserve">Insurer Code ; Reporting Year ; Insurance Category Code ; Large Provider Entity Code ; Age Band Code ; Sex Code </v>
      </c>
      <c r="N2544" s="297" t="s">
        <v>197</v>
      </c>
      <c r="O2544" s="297" t="s">
        <v>198</v>
      </c>
      <c r="P2544" s="297" t="s">
        <v>199</v>
      </c>
      <c r="Q2544" s="297" t="s">
        <v>200</v>
      </c>
      <c r="R2544" s="297" t="s">
        <v>213</v>
      </c>
      <c r="S2544" s="297" t="s">
        <v>214</v>
      </c>
    </row>
    <row r="2545" spans="1:19" x14ac:dyDescent="0.4">
      <c r="A2545" s="291"/>
      <c r="B2545" s="292"/>
      <c r="C2545" s="312"/>
      <c r="D2545" s="292"/>
      <c r="E2545" s="489"/>
      <c r="F2545" s="489"/>
      <c r="G2545" s="490"/>
      <c r="H2545" s="520"/>
      <c r="I2545" s="523"/>
      <c r="J2545" s="521"/>
      <c r="K2545" s="522"/>
      <c r="M2545" s="301" t="str">
        <f>N2545&amp;AS[[#This Row],[Insurer Code]]&amp;"; "&amp;O2545&amp;AS[[#This Row],[Reporting Year]]&amp;"; "&amp;P2545&amp;AS[[#This Row],[Insurance Category Code]]&amp;"; "&amp;Q2545&amp;AS[[#This Row],[Large Provider Entity Code]]&amp;"; "&amp;R2545&amp;AS[[#This Row],[Age Band Code]]&amp;"; "&amp;S2545&amp;AS[[#This Row],[Sex Code]]</f>
        <v xml:space="preserve">Insurer Code ; Reporting Year ; Insurance Category Code ; Large Provider Entity Code ; Age Band Code ; Sex Code </v>
      </c>
      <c r="N2545" s="297" t="s">
        <v>197</v>
      </c>
      <c r="O2545" s="297" t="s">
        <v>198</v>
      </c>
      <c r="P2545" s="297" t="s">
        <v>199</v>
      </c>
      <c r="Q2545" s="297" t="s">
        <v>200</v>
      </c>
      <c r="R2545" s="297" t="s">
        <v>213</v>
      </c>
      <c r="S2545" s="297" t="s">
        <v>214</v>
      </c>
    </row>
    <row r="2546" spans="1:19" x14ac:dyDescent="0.4">
      <c r="A2546" s="291"/>
      <c r="B2546" s="292"/>
      <c r="C2546" s="312"/>
      <c r="D2546" s="292"/>
      <c r="E2546" s="489"/>
      <c r="F2546" s="489"/>
      <c r="G2546" s="490"/>
      <c r="H2546" s="520"/>
      <c r="I2546" s="523"/>
      <c r="J2546" s="521"/>
      <c r="K2546" s="522"/>
      <c r="M2546" s="301" t="str">
        <f>N2546&amp;AS[[#This Row],[Insurer Code]]&amp;"; "&amp;O2546&amp;AS[[#This Row],[Reporting Year]]&amp;"; "&amp;P2546&amp;AS[[#This Row],[Insurance Category Code]]&amp;"; "&amp;Q2546&amp;AS[[#This Row],[Large Provider Entity Code]]&amp;"; "&amp;R2546&amp;AS[[#This Row],[Age Band Code]]&amp;"; "&amp;S2546&amp;AS[[#This Row],[Sex Code]]</f>
        <v xml:space="preserve">Insurer Code ; Reporting Year ; Insurance Category Code ; Large Provider Entity Code ; Age Band Code ; Sex Code </v>
      </c>
      <c r="N2546" s="297" t="s">
        <v>197</v>
      </c>
      <c r="O2546" s="297" t="s">
        <v>198</v>
      </c>
      <c r="P2546" s="297" t="s">
        <v>199</v>
      </c>
      <c r="Q2546" s="297" t="s">
        <v>200</v>
      </c>
      <c r="R2546" s="297" t="s">
        <v>213</v>
      </c>
      <c r="S2546" s="297" t="s">
        <v>214</v>
      </c>
    </row>
    <row r="2547" spans="1:19" x14ac:dyDescent="0.4">
      <c r="A2547" s="291"/>
      <c r="B2547" s="292"/>
      <c r="C2547" s="312"/>
      <c r="D2547" s="292"/>
      <c r="E2547" s="489"/>
      <c r="F2547" s="489"/>
      <c r="G2547" s="490"/>
      <c r="H2547" s="520"/>
      <c r="I2547" s="523"/>
      <c r="J2547" s="521"/>
      <c r="K2547" s="522"/>
      <c r="M2547" s="301" t="str">
        <f>N2547&amp;AS[[#This Row],[Insurer Code]]&amp;"; "&amp;O2547&amp;AS[[#This Row],[Reporting Year]]&amp;"; "&amp;P2547&amp;AS[[#This Row],[Insurance Category Code]]&amp;"; "&amp;Q2547&amp;AS[[#This Row],[Large Provider Entity Code]]&amp;"; "&amp;R2547&amp;AS[[#This Row],[Age Band Code]]&amp;"; "&amp;S2547&amp;AS[[#This Row],[Sex Code]]</f>
        <v xml:space="preserve">Insurer Code ; Reporting Year ; Insurance Category Code ; Large Provider Entity Code ; Age Band Code ; Sex Code </v>
      </c>
      <c r="N2547" s="297" t="s">
        <v>197</v>
      </c>
      <c r="O2547" s="297" t="s">
        <v>198</v>
      </c>
      <c r="P2547" s="297" t="s">
        <v>199</v>
      </c>
      <c r="Q2547" s="297" t="s">
        <v>200</v>
      </c>
      <c r="R2547" s="297" t="s">
        <v>213</v>
      </c>
      <c r="S2547" s="297" t="s">
        <v>214</v>
      </c>
    </row>
    <row r="2548" spans="1:19" x14ac:dyDescent="0.4">
      <c r="A2548" s="291"/>
      <c r="B2548" s="292"/>
      <c r="C2548" s="312"/>
      <c r="D2548" s="292"/>
      <c r="E2548" s="489"/>
      <c r="F2548" s="489"/>
      <c r="G2548" s="490"/>
      <c r="H2548" s="520"/>
      <c r="I2548" s="523"/>
      <c r="J2548" s="521"/>
      <c r="K2548" s="522"/>
      <c r="M2548" s="301" t="str">
        <f>N2548&amp;AS[[#This Row],[Insurer Code]]&amp;"; "&amp;O2548&amp;AS[[#This Row],[Reporting Year]]&amp;"; "&amp;P2548&amp;AS[[#This Row],[Insurance Category Code]]&amp;"; "&amp;Q2548&amp;AS[[#This Row],[Large Provider Entity Code]]&amp;"; "&amp;R2548&amp;AS[[#This Row],[Age Band Code]]&amp;"; "&amp;S2548&amp;AS[[#This Row],[Sex Code]]</f>
        <v xml:space="preserve">Insurer Code ; Reporting Year ; Insurance Category Code ; Large Provider Entity Code ; Age Band Code ; Sex Code </v>
      </c>
      <c r="N2548" s="297" t="s">
        <v>197</v>
      </c>
      <c r="O2548" s="297" t="s">
        <v>198</v>
      </c>
      <c r="P2548" s="297" t="s">
        <v>199</v>
      </c>
      <c r="Q2548" s="297" t="s">
        <v>200</v>
      </c>
      <c r="R2548" s="297" t="s">
        <v>213</v>
      </c>
      <c r="S2548" s="297" t="s">
        <v>214</v>
      </c>
    </row>
    <row r="2549" spans="1:19" x14ac:dyDescent="0.4">
      <c r="A2549" s="291"/>
      <c r="B2549" s="292"/>
      <c r="C2549" s="312"/>
      <c r="D2549" s="292"/>
      <c r="E2549" s="489"/>
      <c r="F2549" s="489"/>
      <c r="G2549" s="490"/>
      <c r="H2549" s="520"/>
      <c r="I2549" s="523"/>
      <c r="J2549" s="521"/>
      <c r="K2549" s="522"/>
      <c r="M2549" s="301" t="str">
        <f>N2549&amp;AS[[#This Row],[Insurer Code]]&amp;"; "&amp;O2549&amp;AS[[#This Row],[Reporting Year]]&amp;"; "&amp;P2549&amp;AS[[#This Row],[Insurance Category Code]]&amp;"; "&amp;Q2549&amp;AS[[#This Row],[Large Provider Entity Code]]&amp;"; "&amp;R2549&amp;AS[[#This Row],[Age Band Code]]&amp;"; "&amp;S2549&amp;AS[[#This Row],[Sex Code]]</f>
        <v xml:space="preserve">Insurer Code ; Reporting Year ; Insurance Category Code ; Large Provider Entity Code ; Age Band Code ; Sex Code </v>
      </c>
      <c r="N2549" s="297" t="s">
        <v>197</v>
      </c>
      <c r="O2549" s="297" t="s">
        <v>198</v>
      </c>
      <c r="P2549" s="297" t="s">
        <v>199</v>
      </c>
      <c r="Q2549" s="297" t="s">
        <v>200</v>
      </c>
      <c r="R2549" s="297" t="s">
        <v>213</v>
      </c>
      <c r="S2549" s="297" t="s">
        <v>214</v>
      </c>
    </row>
    <row r="2550" spans="1:19" x14ac:dyDescent="0.4">
      <c r="A2550" s="291"/>
      <c r="B2550" s="292"/>
      <c r="C2550" s="312"/>
      <c r="D2550" s="292"/>
      <c r="E2550" s="489"/>
      <c r="F2550" s="489"/>
      <c r="G2550" s="490"/>
      <c r="H2550" s="520"/>
      <c r="I2550" s="523"/>
      <c r="J2550" s="521"/>
      <c r="K2550" s="522"/>
      <c r="M2550" s="301" t="str">
        <f>N2550&amp;AS[[#This Row],[Insurer Code]]&amp;"; "&amp;O2550&amp;AS[[#This Row],[Reporting Year]]&amp;"; "&amp;P2550&amp;AS[[#This Row],[Insurance Category Code]]&amp;"; "&amp;Q2550&amp;AS[[#This Row],[Large Provider Entity Code]]&amp;"; "&amp;R2550&amp;AS[[#This Row],[Age Band Code]]&amp;"; "&amp;S2550&amp;AS[[#This Row],[Sex Code]]</f>
        <v xml:space="preserve">Insurer Code ; Reporting Year ; Insurance Category Code ; Large Provider Entity Code ; Age Band Code ; Sex Code </v>
      </c>
      <c r="N2550" s="297" t="s">
        <v>197</v>
      </c>
      <c r="O2550" s="297" t="s">
        <v>198</v>
      </c>
      <c r="P2550" s="297" t="s">
        <v>199</v>
      </c>
      <c r="Q2550" s="297" t="s">
        <v>200</v>
      </c>
      <c r="R2550" s="297" t="s">
        <v>213</v>
      </c>
      <c r="S2550" s="297" t="s">
        <v>214</v>
      </c>
    </row>
    <row r="2551" spans="1:19" x14ac:dyDescent="0.4">
      <c r="A2551" s="291"/>
      <c r="B2551" s="292"/>
      <c r="C2551" s="312"/>
      <c r="D2551" s="292"/>
      <c r="E2551" s="489"/>
      <c r="F2551" s="489"/>
      <c r="G2551" s="490"/>
      <c r="H2551" s="520"/>
      <c r="I2551" s="523"/>
      <c r="J2551" s="521"/>
      <c r="K2551" s="522"/>
      <c r="M2551" s="301" t="str">
        <f>N2551&amp;AS[[#This Row],[Insurer Code]]&amp;"; "&amp;O2551&amp;AS[[#This Row],[Reporting Year]]&amp;"; "&amp;P2551&amp;AS[[#This Row],[Insurance Category Code]]&amp;"; "&amp;Q2551&amp;AS[[#This Row],[Large Provider Entity Code]]&amp;"; "&amp;R2551&amp;AS[[#This Row],[Age Band Code]]&amp;"; "&amp;S2551&amp;AS[[#This Row],[Sex Code]]</f>
        <v xml:space="preserve">Insurer Code ; Reporting Year ; Insurance Category Code ; Large Provider Entity Code ; Age Band Code ; Sex Code </v>
      </c>
      <c r="N2551" s="297" t="s">
        <v>197</v>
      </c>
      <c r="O2551" s="297" t="s">
        <v>198</v>
      </c>
      <c r="P2551" s="297" t="s">
        <v>199</v>
      </c>
      <c r="Q2551" s="297" t="s">
        <v>200</v>
      </c>
      <c r="R2551" s="297" t="s">
        <v>213</v>
      </c>
      <c r="S2551" s="297" t="s">
        <v>214</v>
      </c>
    </row>
    <row r="2552" spans="1:19" x14ac:dyDescent="0.4">
      <c r="A2552" s="291"/>
      <c r="B2552" s="292"/>
      <c r="C2552" s="312"/>
      <c r="D2552" s="292"/>
      <c r="E2552" s="489"/>
      <c r="F2552" s="489"/>
      <c r="G2552" s="490"/>
      <c r="H2552" s="520"/>
      <c r="I2552" s="523"/>
      <c r="J2552" s="521"/>
      <c r="K2552" s="522"/>
      <c r="M2552" s="301" t="str">
        <f>N2552&amp;AS[[#This Row],[Insurer Code]]&amp;"; "&amp;O2552&amp;AS[[#This Row],[Reporting Year]]&amp;"; "&amp;P2552&amp;AS[[#This Row],[Insurance Category Code]]&amp;"; "&amp;Q2552&amp;AS[[#This Row],[Large Provider Entity Code]]&amp;"; "&amp;R2552&amp;AS[[#This Row],[Age Band Code]]&amp;"; "&amp;S2552&amp;AS[[#This Row],[Sex Code]]</f>
        <v xml:space="preserve">Insurer Code ; Reporting Year ; Insurance Category Code ; Large Provider Entity Code ; Age Band Code ; Sex Code </v>
      </c>
      <c r="N2552" s="297" t="s">
        <v>197</v>
      </c>
      <c r="O2552" s="297" t="s">
        <v>198</v>
      </c>
      <c r="P2552" s="297" t="s">
        <v>199</v>
      </c>
      <c r="Q2552" s="297" t="s">
        <v>200</v>
      </c>
      <c r="R2552" s="297" t="s">
        <v>213</v>
      </c>
      <c r="S2552" s="297" t="s">
        <v>214</v>
      </c>
    </row>
    <row r="2553" spans="1:19" x14ac:dyDescent="0.4">
      <c r="A2553" s="291"/>
      <c r="B2553" s="292"/>
      <c r="C2553" s="312"/>
      <c r="D2553" s="292"/>
      <c r="E2553" s="489"/>
      <c r="F2553" s="489"/>
      <c r="G2553" s="490"/>
      <c r="H2553" s="520"/>
      <c r="I2553" s="523"/>
      <c r="J2553" s="521"/>
      <c r="K2553" s="522"/>
      <c r="M2553" s="301" t="str">
        <f>N2553&amp;AS[[#This Row],[Insurer Code]]&amp;"; "&amp;O2553&amp;AS[[#This Row],[Reporting Year]]&amp;"; "&amp;P2553&amp;AS[[#This Row],[Insurance Category Code]]&amp;"; "&amp;Q2553&amp;AS[[#This Row],[Large Provider Entity Code]]&amp;"; "&amp;R2553&amp;AS[[#This Row],[Age Band Code]]&amp;"; "&amp;S2553&amp;AS[[#This Row],[Sex Code]]</f>
        <v xml:space="preserve">Insurer Code ; Reporting Year ; Insurance Category Code ; Large Provider Entity Code ; Age Band Code ; Sex Code </v>
      </c>
      <c r="N2553" s="297" t="s">
        <v>197</v>
      </c>
      <c r="O2553" s="297" t="s">
        <v>198</v>
      </c>
      <c r="P2553" s="297" t="s">
        <v>199</v>
      </c>
      <c r="Q2553" s="297" t="s">
        <v>200</v>
      </c>
      <c r="R2553" s="297" t="s">
        <v>213</v>
      </c>
      <c r="S2553" s="297" t="s">
        <v>214</v>
      </c>
    </row>
    <row r="2554" spans="1:19" x14ac:dyDescent="0.4">
      <c r="A2554" s="291"/>
      <c r="B2554" s="292"/>
      <c r="C2554" s="312"/>
      <c r="D2554" s="292"/>
      <c r="E2554" s="489"/>
      <c r="F2554" s="489"/>
      <c r="G2554" s="490"/>
      <c r="H2554" s="520"/>
      <c r="I2554" s="523"/>
      <c r="J2554" s="521"/>
      <c r="K2554" s="522"/>
      <c r="M2554" s="301" t="str">
        <f>N2554&amp;AS[[#This Row],[Insurer Code]]&amp;"; "&amp;O2554&amp;AS[[#This Row],[Reporting Year]]&amp;"; "&amp;P2554&amp;AS[[#This Row],[Insurance Category Code]]&amp;"; "&amp;Q2554&amp;AS[[#This Row],[Large Provider Entity Code]]&amp;"; "&amp;R2554&amp;AS[[#This Row],[Age Band Code]]&amp;"; "&amp;S2554&amp;AS[[#This Row],[Sex Code]]</f>
        <v xml:space="preserve">Insurer Code ; Reporting Year ; Insurance Category Code ; Large Provider Entity Code ; Age Band Code ; Sex Code </v>
      </c>
      <c r="N2554" s="297" t="s">
        <v>197</v>
      </c>
      <c r="O2554" s="297" t="s">
        <v>198</v>
      </c>
      <c r="P2554" s="297" t="s">
        <v>199</v>
      </c>
      <c r="Q2554" s="297" t="s">
        <v>200</v>
      </c>
      <c r="R2554" s="297" t="s">
        <v>213</v>
      </c>
      <c r="S2554" s="297" t="s">
        <v>214</v>
      </c>
    </row>
    <row r="2555" spans="1:19" x14ac:dyDescent="0.4">
      <c r="A2555" s="291"/>
      <c r="B2555" s="292"/>
      <c r="C2555" s="312"/>
      <c r="D2555" s="292"/>
      <c r="E2555" s="489"/>
      <c r="F2555" s="489"/>
      <c r="G2555" s="490"/>
      <c r="H2555" s="520"/>
      <c r="I2555" s="523"/>
      <c r="J2555" s="521"/>
      <c r="K2555" s="522"/>
      <c r="M2555" s="301" t="str">
        <f>N2555&amp;AS[[#This Row],[Insurer Code]]&amp;"; "&amp;O2555&amp;AS[[#This Row],[Reporting Year]]&amp;"; "&amp;P2555&amp;AS[[#This Row],[Insurance Category Code]]&amp;"; "&amp;Q2555&amp;AS[[#This Row],[Large Provider Entity Code]]&amp;"; "&amp;R2555&amp;AS[[#This Row],[Age Band Code]]&amp;"; "&amp;S2555&amp;AS[[#This Row],[Sex Code]]</f>
        <v xml:space="preserve">Insurer Code ; Reporting Year ; Insurance Category Code ; Large Provider Entity Code ; Age Band Code ; Sex Code </v>
      </c>
      <c r="N2555" s="297" t="s">
        <v>197</v>
      </c>
      <c r="O2555" s="297" t="s">
        <v>198</v>
      </c>
      <c r="P2555" s="297" t="s">
        <v>199</v>
      </c>
      <c r="Q2555" s="297" t="s">
        <v>200</v>
      </c>
      <c r="R2555" s="297" t="s">
        <v>213</v>
      </c>
      <c r="S2555" s="297" t="s">
        <v>214</v>
      </c>
    </row>
    <row r="2556" spans="1:19" x14ac:dyDescent="0.4">
      <c r="A2556" s="291"/>
      <c r="B2556" s="292"/>
      <c r="C2556" s="312"/>
      <c r="D2556" s="292"/>
      <c r="E2556" s="489"/>
      <c r="F2556" s="489"/>
      <c r="G2556" s="490"/>
      <c r="H2556" s="520"/>
      <c r="I2556" s="523"/>
      <c r="J2556" s="521"/>
      <c r="K2556" s="522"/>
      <c r="M2556" s="301" t="str">
        <f>N2556&amp;AS[[#This Row],[Insurer Code]]&amp;"; "&amp;O2556&amp;AS[[#This Row],[Reporting Year]]&amp;"; "&amp;P2556&amp;AS[[#This Row],[Insurance Category Code]]&amp;"; "&amp;Q2556&amp;AS[[#This Row],[Large Provider Entity Code]]&amp;"; "&amp;R2556&amp;AS[[#This Row],[Age Band Code]]&amp;"; "&amp;S2556&amp;AS[[#This Row],[Sex Code]]</f>
        <v xml:space="preserve">Insurer Code ; Reporting Year ; Insurance Category Code ; Large Provider Entity Code ; Age Band Code ; Sex Code </v>
      </c>
      <c r="N2556" s="297" t="s">
        <v>197</v>
      </c>
      <c r="O2556" s="297" t="s">
        <v>198</v>
      </c>
      <c r="P2556" s="297" t="s">
        <v>199</v>
      </c>
      <c r="Q2556" s="297" t="s">
        <v>200</v>
      </c>
      <c r="R2556" s="297" t="s">
        <v>213</v>
      </c>
      <c r="S2556" s="297" t="s">
        <v>214</v>
      </c>
    </row>
    <row r="2557" spans="1:19" x14ac:dyDescent="0.4">
      <c r="A2557" s="291"/>
      <c r="B2557" s="292"/>
      <c r="C2557" s="312"/>
      <c r="D2557" s="292"/>
      <c r="E2557" s="489"/>
      <c r="F2557" s="489"/>
      <c r="G2557" s="490"/>
      <c r="H2557" s="520"/>
      <c r="I2557" s="523"/>
      <c r="J2557" s="521"/>
      <c r="K2557" s="522"/>
      <c r="M2557" s="301" t="str">
        <f>N2557&amp;AS[[#This Row],[Insurer Code]]&amp;"; "&amp;O2557&amp;AS[[#This Row],[Reporting Year]]&amp;"; "&amp;P2557&amp;AS[[#This Row],[Insurance Category Code]]&amp;"; "&amp;Q2557&amp;AS[[#This Row],[Large Provider Entity Code]]&amp;"; "&amp;R2557&amp;AS[[#This Row],[Age Band Code]]&amp;"; "&amp;S2557&amp;AS[[#This Row],[Sex Code]]</f>
        <v xml:space="preserve">Insurer Code ; Reporting Year ; Insurance Category Code ; Large Provider Entity Code ; Age Band Code ; Sex Code </v>
      </c>
      <c r="N2557" s="297" t="s">
        <v>197</v>
      </c>
      <c r="O2557" s="297" t="s">
        <v>198</v>
      </c>
      <c r="P2557" s="297" t="s">
        <v>199</v>
      </c>
      <c r="Q2557" s="297" t="s">
        <v>200</v>
      </c>
      <c r="R2557" s="297" t="s">
        <v>213</v>
      </c>
      <c r="S2557" s="297" t="s">
        <v>214</v>
      </c>
    </row>
    <row r="2558" spans="1:19" x14ac:dyDescent="0.4">
      <c r="A2558" s="291"/>
      <c r="B2558" s="292"/>
      <c r="C2558" s="312"/>
      <c r="D2558" s="292"/>
      <c r="E2558" s="489"/>
      <c r="F2558" s="489"/>
      <c r="G2558" s="490"/>
      <c r="H2558" s="520"/>
      <c r="I2558" s="523"/>
      <c r="J2558" s="521"/>
      <c r="K2558" s="522"/>
      <c r="M2558" s="301" t="str">
        <f>N2558&amp;AS[[#This Row],[Insurer Code]]&amp;"; "&amp;O2558&amp;AS[[#This Row],[Reporting Year]]&amp;"; "&amp;P2558&amp;AS[[#This Row],[Insurance Category Code]]&amp;"; "&amp;Q2558&amp;AS[[#This Row],[Large Provider Entity Code]]&amp;"; "&amp;R2558&amp;AS[[#This Row],[Age Band Code]]&amp;"; "&amp;S2558&amp;AS[[#This Row],[Sex Code]]</f>
        <v xml:space="preserve">Insurer Code ; Reporting Year ; Insurance Category Code ; Large Provider Entity Code ; Age Band Code ; Sex Code </v>
      </c>
      <c r="N2558" s="297" t="s">
        <v>197</v>
      </c>
      <c r="O2558" s="297" t="s">
        <v>198</v>
      </c>
      <c r="P2558" s="297" t="s">
        <v>199</v>
      </c>
      <c r="Q2558" s="297" t="s">
        <v>200</v>
      </c>
      <c r="R2558" s="297" t="s">
        <v>213</v>
      </c>
      <c r="S2558" s="297" t="s">
        <v>214</v>
      </c>
    </row>
    <row r="2559" spans="1:19" x14ac:dyDescent="0.4">
      <c r="A2559" s="291"/>
      <c r="B2559" s="292"/>
      <c r="C2559" s="312"/>
      <c r="D2559" s="292"/>
      <c r="E2559" s="489"/>
      <c r="F2559" s="489"/>
      <c r="G2559" s="490"/>
      <c r="H2559" s="520"/>
      <c r="I2559" s="523"/>
      <c r="J2559" s="521"/>
      <c r="K2559" s="522"/>
      <c r="M2559" s="301" t="str">
        <f>N2559&amp;AS[[#This Row],[Insurer Code]]&amp;"; "&amp;O2559&amp;AS[[#This Row],[Reporting Year]]&amp;"; "&amp;P2559&amp;AS[[#This Row],[Insurance Category Code]]&amp;"; "&amp;Q2559&amp;AS[[#This Row],[Large Provider Entity Code]]&amp;"; "&amp;R2559&amp;AS[[#This Row],[Age Band Code]]&amp;"; "&amp;S2559&amp;AS[[#This Row],[Sex Code]]</f>
        <v xml:space="preserve">Insurer Code ; Reporting Year ; Insurance Category Code ; Large Provider Entity Code ; Age Band Code ; Sex Code </v>
      </c>
      <c r="N2559" s="297" t="s">
        <v>197</v>
      </c>
      <c r="O2559" s="297" t="s">
        <v>198</v>
      </c>
      <c r="P2559" s="297" t="s">
        <v>199</v>
      </c>
      <c r="Q2559" s="297" t="s">
        <v>200</v>
      </c>
      <c r="R2559" s="297" t="s">
        <v>213</v>
      </c>
      <c r="S2559" s="297" t="s">
        <v>214</v>
      </c>
    </row>
    <row r="2560" spans="1:19" x14ac:dyDescent="0.4">
      <c r="A2560" s="291"/>
      <c r="B2560" s="292"/>
      <c r="C2560" s="312"/>
      <c r="D2560" s="292"/>
      <c r="E2560" s="489"/>
      <c r="F2560" s="489"/>
      <c r="G2560" s="490"/>
      <c r="H2560" s="520"/>
      <c r="I2560" s="523"/>
      <c r="J2560" s="521"/>
      <c r="K2560" s="522"/>
      <c r="M2560" s="301" t="str">
        <f>N2560&amp;AS[[#This Row],[Insurer Code]]&amp;"; "&amp;O2560&amp;AS[[#This Row],[Reporting Year]]&amp;"; "&amp;P2560&amp;AS[[#This Row],[Insurance Category Code]]&amp;"; "&amp;Q2560&amp;AS[[#This Row],[Large Provider Entity Code]]&amp;"; "&amp;R2560&amp;AS[[#This Row],[Age Band Code]]&amp;"; "&amp;S2560&amp;AS[[#This Row],[Sex Code]]</f>
        <v xml:space="preserve">Insurer Code ; Reporting Year ; Insurance Category Code ; Large Provider Entity Code ; Age Band Code ; Sex Code </v>
      </c>
      <c r="N2560" s="297" t="s">
        <v>197</v>
      </c>
      <c r="O2560" s="297" t="s">
        <v>198</v>
      </c>
      <c r="P2560" s="297" t="s">
        <v>199</v>
      </c>
      <c r="Q2560" s="297" t="s">
        <v>200</v>
      </c>
      <c r="R2560" s="297" t="s">
        <v>213</v>
      </c>
      <c r="S2560" s="297" t="s">
        <v>214</v>
      </c>
    </row>
    <row r="2561" spans="1:19" x14ac:dyDescent="0.4">
      <c r="A2561" s="291"/>
      <c r="B2561" s="292"/>
      <c r="C2561" s="312"/>
      <c r="D2561" s="292"/>
      <c r="E2561" s="489"/>
      <c r="F2561" s="489"/>
      <c r="G2561" s="490"/>
      <c r="H2561" s="520"/>
      <c r="I2561" s="523"/>
      <c r="J2561" s="521"/>
      <c r="K2561" s="522"/>
      <c r="M2561" s="301" t="str">
        <f>N2561&amp;AS[[#This Row],[Insurer Code]]&amp;"; "&amp;O2561&amp;AS[[#This Row],[Reporting Year]]&amp;"; "&amp;P2561&amp;AS[[#This Row],[Insurance Category Code]]&amp;"; "&amp;Q2561&amp;AS[[#This Row],[Large Provider Entity Code]]&amp;"; "&amp;R2561&amp;AS[[#This Row],[Age Band Code]]&amp;"; "&amp;S2561&amp;AS[[#This Row],[Sex Code]]</f>
        <v xml:space="preserve">Insurer Code ; Reporting Year ; Insurance Category Code ; Large Provider Entity Code ; Age Band Code ; Sex Code </v>
      </c>
      <c r="N2561" s="297" t="s">
        <v>197</v>
      </c>
      <c r="O2561" s="297" t="s">
        <v>198</v>
      </c>
      <c r="P2561" s="297" t="s">
        <v>199</v>
      </c>
      <c r="Q2561" s="297" t="s">
        <v>200</v>
      </c>
      <c r="R2561" s="297" t="s">
        <v>213</v>
      </c>
      <c r="S2561" s="297" t="s">
        <v>214</v>
      </c>
    </row>
    <row r="2562" spans="1:19" x14ac:dyDescent="0.4">
      <c r="A2562" s="291"/>
      <c r="B2562" s="292"/>
      <c r="C2562" s="312"/>
      <c r="D2562" s="292"/>
      <c r="E2562" s="489"/>
      <c r="F2562" s="489"/>
      <c r="G2562" s="490"/>
      <c r="H2562" s="520"/>
      <c r="I2562" s="523"/>
      <c r="J2562" s="521"/>
      <c r="K2562" s="522"/>
      <c r="M2562" s="301" t="str">
        <f>N2562&amp;AS[[#This Row],[Insurer Code]]&amp;"; "&amp;O2562&amp;AS[[#This Row],[Reporting Year]]&amp;"; "&amp;P2562&amp;AS[[#This Row],[Insurance Category Code]]&amp;"; "&amp;Q2562&amp;AS[[#This Row],[Large Provider Entity Code]]&amp;"; "&amp;R2562&amp;AS[[#This Row],[Age Band Code]]&amp;"; "&amp;S2562&amp;AS[[#This Row],[Sex Code]]</f>
        <v xml:space="preserve">Insurer Code ; Reporting Year ; Insurance Category Code ; Large Provider Entity Code ; Age Band Code ; Sex Code </v>
      </c>
      <c r="N2562" s="297" t="s">
        <v>197</v>
      </c>
      <c r="O2562" s="297" t="s">
        <v>198</v>
      </c>
      <c r="P2562" s="297" t="s">
        <v>199</v>
      </c>
      <c r="Q2562" s="297" t="s">
        <v>200</v>
      </c>
      <c r="R2562" s="297" t="s">
        <v>213</v>
      </c>
      <c r="S2562" s="297" t="s">
        <v>214</v>
      </c>
    </row>
    <row r="2563" spans="1:19" x14ac:dyDescent="0.4">
      <c r="A2563" s="291"/>
      <c r="B2563" s="292"/>
      <c r="C2563" s="312"/>
      <c r="D2563" s="292"/>
      <c r="E2563" s="489"/>
      <c r="F2563" s="489"/>
      <c r="G2563" s="490"/>
      <c r="H2563" s="520"/>
      <c r="I2563" s="523"/>
      <c r="J2563" s="521"/>
      <c r="K2563" s="522"/>
      <c r="M2563" s="301" t="str">
        <f>N2563&amp;AS[[#This Row],[Insurer Code]]&amp;"; "&amp;O2563&amp;AS[[#This Row],[Reporting Year]]&amp;"; "&amp;P2563&amp;AS[[#This Row],[Insurance Category Code]]&amp;"; "&amp;Q2563&amp;AS[[#This Row],[Large Provider Entity Code]]&amp;"; "&amp;R2563&amp;AS[[#This Row],[Age Band Code]]&amp;"; "&amp;S2563&amp;AS[[#This Row],[Sex Code]]</f>
        <v xml:space="preserve">Insurer Code ; Reporting Year ; Insurance Category Code ; Large Provider Entity Code ; Age Band Code ; Sex Code </v>
      </c>
      <c r="N2563" s="297" t="s">
        <v>197</v>
      </c>
      <c r="O2563" s="297" t="s">
        <v>198</v>
      </c>
      <c r="P2563" s="297" t="s">
        <v>199</v>
      </c>
      <c r="Q2563" s="297" t="s">
        <v>200</v>
      </c>
      <c r="R2563" s="297" t="s">
        <v>213</v>
      </c>
      <c r="S2563" s="297" t="s">
        <v>214</v>
      </c>
    </row>
    <row r="2564" spans="1:19" x14ac:dyDescent="0.4">
      <c r="A2564" s="291"/>
      <c r="B2564" s="292"/>
      <c r="C2564" s="312"/>
      <c r="D2564" s="292"/>
      <c r="E2564" s="489"/>
      <c r="F2564" s="489"/>
      <c r="G2564" s="490"/>
      <c r="H2564" s="520"/>
      <c r="I2564" s="523"/>
      <c r="J2564" s="521"/>
      <c r="K2564" s="522"/>
      <c r="M2564" s="301" t="str">
        <f>N2564&amp;AS[[#This Row],[Insurer Code]]&amp;"; "&amp;O2564&amp;AS[[#This Row],[Reporting Year]]&amp;"; "&amp;P2564&amp;AS[[#This Row],[Insurance Category Code]]&amp;"; "&amp;Q2564&amp;AS[[#This Row],[Large Provider Entity Code]]&amp;"; "&amp;R2564&amp;AS[[#This Row],[Age Band Code]]&amp;"; "&amp;S2564&amp;AS[[#This Row],[Sex Code]]</f>
        <v xml:space="preserve">Insurer Code ; Reporting Year ; Insurance Category Code ; Large Provider Entity Code ; Age Band Code ; Sex Code </v>
      </c>
      <c r="N2564" s="297" t="s">
        <v>197</v>
      </c>
      <c r="O2564" s="297" t="s">
        <v>198</v>
      </c>
      <c r="P2564" s="297" t="s">
        <v>199</v>
      </c>
      <c r="Q2564" s="297" t="s">
        <v>200</v>
      </c>
      <c r="R2564" s="297" t="s">
        <v>213</v>
      </c>
      <c r="S2564" s="297" t="s">
        <v>214</v>
      </c>
    </row>
    <row r="2565" spans="1:19" x14ac:dyDescent="0.4">
      <c r="A2565" s="291"/>
      <c r="B2565" s="292"/>
      <c r="C2565" s="312"/>
      <c r="D2565" s="292"/>
      <c r="E2565" s="489"/>
      <c r="F2565" s="489"/>
      <c r="G2565" s="490"/>
      <c r="H2565" s="520"/>
      <c r="I2565" s="523"/>
      <c r="J2565" s="521"/>
      <c r="K2565" s="522"/>
      <c r="M2565" s="301" t="str">
        <f>N2565&amp;AS[[#This Row],[Insurer Code]]&amp;"; "&amp;O2565&amp;AS[[#This Row],[Reporting Year]]&amp;"; "&amp;P2565&amp;AS[[#This Row],[Insurance Category Code]]&amp;"; "&amp;Q2565&amp;AS[[#This Row],[Large Provider Entity Code]]&amp;"; "&amp;R2565&amp;AS[[#This Row],[Age Band Code]]&amp;"; "&amp;S2565&amp;AS[[#This Row],[Sex Code]]</f>
        <v xml:space="preserve">Insurer Code ; Reporting Year ; Insurance Category Code ; Large Provider Entity Code ; Age Band Code ; Sex Code </v>
      </c>
      <c r="N2565" s="297" t="s">
        <v>197</v>
      </c>
      <c r="O2565" s="297" t="s">
        <v>198</v>
      </c>
      <c r="P2565" s="297" t="s">
        <v>199</v>
      </c>
      <c r="Q2565" s="297" t="s">
        <v>200</v>
      </c>
      <c r="R2565" s="297" t="s">
        <v>213</v>
      </c>
      <c r="S2565" s="297" t="s">
        <v>214</v>
      </c>
    </row>
    <row r="2566" spans="1:19" x14ac:dyDescent="0.4">
      <c r="A2566" s="291"/>
      <c r="B2566" s="292"/>
      <c r="C2566" s="312"/>
      <c r="D2566" s="292"/>
      <c r="E2566" s="489"/>
      <c r="F2566" s="489"/>
      <c r="G2566" s="490"/>
      <c r="H2566" s="520"/>
      <c r="I2566" s="523"/>
      <c r="J2566" s="521"/>
      <c r="K2566" s="522"/>
      <c r="M2566" s="301" t="str">
        <f>N2566&amp;AS[[#This Row],[Insurer Code]]&amp;"; "&amp;O2566&amp;AS[[#This Row],[Reporting Year]]&amp;"; "&amp;P2566&amp;AS[[#This Row],[Insurance Category Code]]&amp;"; "&amp;Q2566&amp;AS[[#This Row],[Large Provider Entity Code]]&amp;"; "&amp;R2566&amp;AS[[#This Row],[Age Band Code]]&amp;"; "&amp;S2566&amp;AS[[#This Row],[Sex Code]]</f>
        <v xml:space="preserve">Insurer Code ; Reporting Year ; Insurance Category Code ; Large Provider Entity Code ; Age Band Code ; Sex Code </v>
      </c>
      <c r="N2566" s="297" t="s">
        <v>197</v>
      </c>
      <c r="O2566" s="297" t="s">
        <v>198</v>
      </c>
      <c r="P2566" s="297" t="s">
        <v>199</v>
      </c>
      <c r="Q2566" s="297" t="s">
        <v>200</v>
      </c>
      <c r="R2566" s="297" t="s">
        <v>213</v>
      </c>
      <c r="S2566" s="297" t="s">
        <v>214</v>
      </c>
    </row>
    <row r="2567" spans="1:19" x14ac:dyDescent="0.4">
      <c r="A2567" s="291"/>
      <c r="B2567" s="292"/>
      <c r="C2567" s="312"/>
      <c r="D2567" s="292"/>
      <c r="E2567" s="489"/>
      <c r="F2567" s="489"/>
      <c r="G2567" s="490"/>
      <c r="H2567" s="520"/>
      <c r="I2567" s="523"/>
      <c r="J2567" s="521"/>
      <c r="K2567" s="522"/>
      <c r="M2567" s="301" t="str">
        <f>N2567&amp;AS[[#This Row],[Insurer Code]]&amp;"; "&amp;O2567&amp;AS[[#This Row],[Reporting Year]]&amp;"; "&amp;P2567&amp;AS[[#This Row],[Insurance Category Code]]&amp;"; "&amp;Q2567&amp;AS[[#This Row],[Large Provider Entity Code]]&amp;"; "&amp;R2567&amp;AS[[#This Row],[Age Band Code]]&amp;"; "&amp;S2567&amp;AS[[#This Row],[Sex Code]]</f>
        <v xml:space="preserve">Insurer Code ; Reporting Year ; Insurance Category Code ; Large Provider Entity Code ; Age Band Code ; Sex Code </v>
      </c>
      <c r="N2567" s="297" t="s">
        <v>197</v>
      </c>
      <c r="O2567" s="297" t="s">
        <v>198</v>
      </c>
      <c r="P2567" s="297" t="s">
        <v>199</v>
      </c>
      <c r="Q2567" s="297" t="s">
        <v>200</v>
      </c>
      <c r="R2567" s="297" t="s">
        <v>213</v>
      </c>
      <c r="S2567" s="297" t="s">
        <v>214</v>
      </c>
    </row>
    <row r="2568" spans="1:19" x14ac:dyDescent="0.4">
      <c r="A2568" s="291"/>
      <c r="B2568" s="292"/>
      <c r="C2568" s="312"/>
      <c r="D2568" s="292"/>
      <c r="E2568" s="489"/>
      <c r="F2568" s="489"/>
      <c r="G2568" s="490"/>
      <c r="H2568" s="520"/>
      <c r="I2568" s="523"/>
      <c r="J2568" s="521"/>
      <c r="K2568" s="522"/>
      <c r="M2568" s="301" t="str">
        <f>N2568&amp;AS[[#This Row],[Insurer Code]]&amp;"; "&amp;O2568&amp;AS[[#This Row],[Reporting Year]]&amp;"; "&amp;P2568&amp;AS[[#This Row],[Insurance Category Code]]&amp;"; "&amp;Q2568&amp;AS[[#This Row],[Large Provider Entity Code]]&amp;"; "&amp;R2568&amp;AS[[#This Row],[Age Band Code]]&amp;"; "&amp;S2568&amp;AS[[#This Row],[Sex Code]]</f>
        <v xml:space="preserve">Insurer Code ; Reporting Year ; Insurance Category Code ; Large Provider Entity Code ; Age Band Code ; Sex Code </v>
      </c>
      <c r="N2568" s="297" t="s">
        <v>197</v>
      </c>
      <c r="O2568" s="297" t="s">
        <v>198</v>
      </c>
      <c r="P2568" s="297" t="s">
        <v>199</v>
      </c>
      <c r="Q2568" s="297" t="s">
        <v>200</v>
      </c>
      <c r="R2568" s="297" t="s">
        <v>213</v>
      </c>
      <c r="S2568" s="297" t="s">
        <v>214</v>
      </c>
    </row>
    <row r="2569" spans="1:19" x14ac:dyDescent="0.4">
      <c r="A2569" s="291"/>
      <c r="B2569" s="292"/>
      <c r="C2569" s="312"/>
      <c r="D2569" s="292"/>
      <c r="E2569" s="489"/>
      <c r="F2569" s="489"/>
      <c r="G2569" s="490"/>
      <c r="H2569" s="520"/>
      <c r="I2569" s="523"/>
      <c r="J2569" s="521"/>
      <c r="K2569" s="522"/>
      <c r="M2569" s="301" t="str">
        <f>N2569&amp;AS[[#This Row],[Insurer Code]]&amp;"; "&amp;O2569&amp;AS[[#This Row],[Reporting Year]]&amp;"; "&amp;P2569&amp;AS[[#This Row],[Insurance Category Code]]&amp;"; "&amp;Q2569&amp;AS[[#This Row],[Large Provider Entity Code]]&amp;"; "&amp;R2569&amp;AS[[#This Row],[Age Band Code]]&amp;"; "&amp;S2569&amp;AS[[#This Row],[Sex Code]]</f>
        <v xml:space="preserve">Insurer Code ; Reporting Year ; Insurance Category Code ; Large Provider Entity Code ; Age Band Code ; Sex Code </v>
      </c>
      <c r="N2569" s="297" t="s">
        <v>197</v>
      </c>
      <c r="O2569" s="297" t="s">
        <v>198</v>
      </c>
      <c r="P2569" s="297" t="s">
        <v>199</v>
      </c>
      <c r="Q2569" s="297" t="s">
        <v>200</v>
      </c>
      <c r="R2569" s="297" t="s">
        <v>213</v>
      </c>
      <c r="S2569" s="297" t="s">
        <v>214</v>
      </c>
    </row>
    <row r="2570" spans="1:19" x14ac:dyDescent="0.4">
      <c r="A2570" s="291"/>
      <c r="B2570" s="292"/>
      <c r="C2570" s="312"/>
      <c r="D2570" s="292"/>
      <c r="E2570" s="489"/>
      <c r="F2570" s="489"/>
      <c r="G2570" s="490"/>
      <c r="H2570" s="520"/>
      <c r="I2570" s="523"/>
      <c r="J2570" s="521"/>
      <c r="K2570" s="522"/>
      <c r="M2570" s="301" t="str">
        <f>N2570&amp;AS[[#This Row],[Insurer Code]]&amp;"; "&amp;O2570&amp;AS[[#This Row],[Reporting Year]]&amp;"; "&amp;P2570&amp;AS[[#This Row],[Insurance Category Code]]&amp;"; "&amp;Q2570&amp;AS[[#This Row],[Large Provider Entity Code]]&amp;"; "&amp;R2570&amp;AS[[#This Row],[Age Band Code]]&amp;"; "&amp;S2570&amp;AS[[#This Row],[Sex Code]]</f>
        <v xml:space="preserve">Insurer Code ; Reporting Year ; Insurance Category Code ; Large Provider Entity Code ; Age Band Code ; Sex Code </v>
      </c>
      <c r="N2570" s="297" t="s">
        <v>197</v>
      </c>
      <c r="O2570" s="297" t="s">
        <v>198</v>
      </c>
      <c r="P2570" s="297" t="s">
        <v>199</v>
      </c>
      <c r="Q2570" s="297" t="s">
        <v>200</v>
      </c>
      <c r="R2570" s="297" t="s">
        <v>213</v>
      </c>
      <c r="S2570" s="297" t="s">
        <v>214</v>
      </c>
    </row>
    <row r="2571" spans="1:19" x14ac:dyDescent="0.4">
      <c r="A2571" s="291"/>
      <c r="B2571" s="292"/>
      <c r="C2571" s="312"/>
      <c r="D2571" s="292"/>
      <c r="E2571" s="489"/>
      <c r="F2571" s="489"/>
      <c r="G2571" s="490"/>
      <c r="H2571" s="520"/>
      <c r="I2571" s="523"/>
      <c r="J2571" s="521"/>
      <c r="K2571" s="522"/>
      <c r="M2571" s="301" t="str">
        <f>N2571&amp;AS[[#This Row],[Insurer Code]]&amp;"; "&amp;O2571&amp;AS[[#This Row],[Reporting Year]]&amp;"; "&amp;P2571&amp;AS[[#This Row],[Insurance Category Code]]&amp;"; "&amp;Q2571&amp;AS[[#This Row],[Large Provider Entity Code]]&amp;"; "&amp;R2571&amp;AS[[#This Row],[Age Band Code]]&amp;"; "&amp;S2571&amp;AS[[#This Row],[Sex Code]]</f>
        <v xml:space="preserve">Insurer Code ; Reporting Year ; Insurance Category Code ; Large Provider Entity Code ; Age Band Code ; Sex Code </v>
      </c>
      <c r="N2571" s="297" t="s">
        <v>197</v>
      </c>
      <c r="O2571" s="297" t="s">
        <v>198</v>
      </c>
      <c r="P2571" s="297" t="s">
        <v>199</v>
      </c>
      <c r="Q2571" s="297" t="s">
        <v>200</v>
      </c>
      <c r="R2571" s="297" t="s">
        <v>213</v>
      </c>
      <c r="S2571" s="297" t="s">
        <v>214</v>
      </c>
    </row>
    <row r="2572" spans="1:19" x14ac:dyDescent="0.4">
      <c r="A2572" s="291"/>
      <c r="B2572" s="292"/>
      <c r="C2572" s="312"/>
      <c r="D2572" s="292"/>
      <c r="E2572" s="489"/>
      <c r="F2572" s="489"/>
      <c r="G2572" s="490"/>
      <c r="H2572" s="520"/>
      <c r="I2572" s="523"/>
      <c r="J2572" s="521"/>
      <c r="K2572" s="522"/>
      <c r="M2572" s="301" t="str">
        <f>N2572&amp;AS[[#This Row],[Insurer Code]]&amp;"; "&amp;O2572&amp;AS[[#This Row],[Reporting Year]]&amp;"; "&amp;P2572&amp;AS[[#This Row],[Insurance Category Code]]&amp;"; "&amp;Q2572&amp;AS[[#This Row],[Large Provider Entity Code]]&amp;"; "&amp;R2572&amp;AS[[#This Row],[Age Band Code]]&amp;"; "&amp;S2572&amp;AS[[#This Row],[Sex Code]]</f>
        <v xml:space="preserve">Insurer Code ; Reporting Year ; Insurance Category Code ; Large Provider Entity Code ; Age Band Code ; Sex Code </v>
      </c>
      <c r="N2572" s="297" t="s">
        <v>197</v>
      </c>
      <c r="O2572" s="297" t="s">
        <v>198</v>
      </c>
      <c r="P2572" s="297" t="s">
        <v>199</v>
      </c>
      <c r="Q2572" s="297" t="s">
        <v>200</v>
      </c>
      <c r="R2572" s="297" t="s">
        <v>213</v>
      </c>
      <c r="S2572" s="297" t="s">
        <v>214</v>
      </c>
    </row>
    <row r="2573" spans="1:19" x14ac:dyDescent="0.4">
      <c r="A2573" s="291"/>
      <c r="B2573" s="292"/>
      <c r="C2573" s="312"/>
      <c r="D2573" s="292"/>
      <c r="E2573" s="489"/>
      <c r="F2573" s="489"/>
      <c r="G2573" s="490"/>
      <c r="H2573" s="520"/>
      <c r="I2573" s="523"/>
      <c r="J2573" s="521"/>
      <c r="K2573" s="522"/>
      <c r="M2573" s="301" t="str">
        <f>N2573&amp;AS[[#This Row],[Insurer Code]]&amp;"; "&amp;O2573&amp;AS[[#This Row],[Reporting Year]]&amp;"; "&amp;P2573&amp;AS[[#This Row],[Insurance Category Code]]&amp;"; "&amp;Q2573&amp;AS[[#This Row],[Large Provider Entity Code]]&amp;"; "&amp;R2573&amp;AS[[#This Row],[Age Band Code]]&amp;"; "&amp;S2573&amp;AS[[#This Row],[Sex Code]]</f>
        <v xml:space="preserve">Insurer Code ; Reporting Year ; Insurance Category Code ; Large Provider Entity Code ; Age Band Code ; Sex Code </v>
      </c>
      <c r="N2573" s="297" t="s">
        <v>197</v>
      </c>
      <c r="O2573" s="297" t="s">
        <v>198</v>
      </c>
      <c r="P2573" s="297" t="s">
        <v>199</v>
      </c>
      <c r="Q2573" s="297" t="s">
        <v>200</v>
      </c>
      <c r="R2573" s="297" t="s">
        <v>213</v>
      </c>
      <c r="S2573" s="297" t="s">
        <v>214</v>
      </c>
    </row>
    <row r="2574" spans="1:19" x14ac:dyDescent="0.4">
      <c r="A2574" s="291"/>
      <c r="B2574" s="292"/>
      <c r="C2574" s="312"/>
      <c r="D2574" s="292"/>
      <c r="E2574" s="489"/>
      <c r="F2574" s="489"/>
      <c r="G2574" s="490"/>
      <c r="H2574" s="520"/>
      <c r="I2574" s="523"/>
      <c r="J2574" s="521"/>
      <c r="K2574" s="522"/>
      <c r="M2574" s="301" t="str">
        <f>N2574&amp;AS[[#This Row],[Insurer Code]]&amp;"; "&amp;O2574&amp;AS[[#This Row],[Reporting Year]]&amp;"; "&amp;P2574&amp;AS[[#This Row],[Insurance Category Code]]&amp;"; "&amp;Q2574&amp;AS[[#This Row],[Large Provider Entity Code]]&amp;"; "&amp;R2574&amp;AS[[#This Row],[Age Band Code]]&amp;"; "&amp;S2574&amp;AS[[#This Row],[Sex Code]]</f>
        <v xml:space="preserve">Insurer Code ; Reporting Year ; Insurance Category Code ; Large Provider Entity Code ; Age Band Code ; Sex Code </v>
      </c>
      <c r="N2574" s="297" t="s">
        <v>197</v>
      </c>
      <c r="O2574" s="297" t="s">
        <v>198</v>
      </c>
      <c r="P2574" s="297" t="s">
        <v>199</v>
      </c>
      <c r="Q2574" s="297" t="s">
        <v>200</v>
      </c>
      <c r="R2574" s="297" t="s">
        <v>213</v>
      </c>
      <c r="S2574" s="297" t="s">
        <v>214</v>
      </c>
    </row>
    <row r="2575" spans="1:19" x14ac:dyDescent="0.4">
      <c r="A2575" s="291"/>
      <c r="B2575" s="292"/>
      <c r="C2575" s="312"/>
      <c r="D2575" s="292"/>
      <c r="E2575" s="489"/>
      <c r="F2575" s="489"/>
      <c r="G2575" s="490"/>
      <c r="H2575" s="520"/>
      <c r="I2575" s="523"/>
      <c r="J2575" s="521"/>
      <c r="K2575" s="522"/>
      <c r="M2575" s="301" t="str">
        <f>N2575&amp;AS[[#This Row],[Insurer Code]]&amp;"; "&amp;O2575&amp;AS[[#This Row],[Reporting Year]]&amp;"; "&amp;P2575&amp;AS[[#This Row],[Insurance Category Code]]&amp;"; "&amp;Q2575&amp;AS[[#This Row],[Large Provider Entity Code]]&amp;"; "&amp;R2575&amp;AS[[#This Row],[Age Band Code]]&amp;"; "&amp;S2575&amp;AS[[#This Row],[Sex Code]]</f>
        <v xml:space="preserve">Insurer Code ; Reporting Year ; Insurance Category Code ; Large Provider Entity Code ; Age Band Code ; Sex Code </v>
      </c>
      <c r="N2575" s="297" t="s">
        <v>197</v>
      </c>
      <c r="O2575" s="297" t="s">
        <v>198</v>
      </c>
      <c r="P2575" s="297" t="s">
        <v>199</v>
      </c>
      <c r="Q2575" s="297" t="s">
        <v>200</v>
      </c>
      <c r="R2575" s="297" t="s">
        <v>213</v>
      </c>
      <c r="S2575" s="297" t="s">
        <v>214</v>
      </c>
    </row>
    <row r="2576" spans="1:19" x14ac:dyDescent="0.4">
      <c r="A2576" s="291"/>
      <c r="B2576" s="292"/>
      <c r="C2576" s="312"/>
      <c r="D2576" s="292"/>
      <c r="E2576" s="489"/>
      <c r="F2576" s="489"/>
      <c r="G2576" s="490"/>
      <c r="H2576" s="520"/>
      <c r="I2576" s="523"/>
      <c r="J2576" s="521"/>
      <c r="K2576" s="522"/>
      <c r="M2576" s="301" t="str">
        <f>N2576&amp;AS[[#This Row],[Insurer Code]]&amp;"; "&amp;O2576&amp;AS[[#This Row],[Reporting Year]]&amp;"; "&amp;P2576&amp;AS[[#This Row],[Insurance Category Code]]&amp;"; "&amp;Q2576&amp;AS[[#This Row],[Large Provider Entity Code]]&amp;"; "&amp;R2576&amp;AS[[#This Row],[Age Band Code]]&amp;"; "&amp;S2576&amp;AS[[#This Row],[Sex Code]]</f>
        <v xml:space="preserve">Insurer Code ; Reporting Year ; Insurance Category Code ; Large Provider Entity Code ; Age Band Code ; Sex Code </v>
      </c>
      <c r="N2576" s="297" t="s">
        <v>197</v>
      </c>
      <c r="O2576" s="297" t="s">
        <v>198</v>
      </c>
      <c r="P2576" s="297" t="s">
        <v>199</v>
      </c>
      <c r="Q2576" s="297" t="s">
        <v>200</v>
      </c>
      <c r="R2576" s="297" t="s">
        <v>213</v>
      </c>
      <c r="S2576" s="297" t="s">
        <v>214</v>
      </c>
    </row>
    <row r="2577" spans="1:19" x14ac:dyDescent="0.4">
      <c r="A2577" s="291"/>
      <c r="B2577" s="292"/>
      <c r="C2577" s="312"/>
      <c r="D2577" s="292"/>
      <c r="E2577" s="489"/>
      <c r="F2577" s="489"/>
      <c r="G2577" s="490"/>
      <c r="H2577" s="520"/>
      <c r="I2577" s="523"/>
      <c r="J2577" s="521"/>
      <c r="K2577" s="522"/>
      <c r="M2577" s="301" t="str">
        <f>N2577&amp;AS[[#This Row],[Insurer Code]]&amp;"; "&amp;O2577&amp;AS[[#This Row],[Reporting Year]]&amp;"; "&amp;P2577&amp;AS[[#This Row],[Insurance Category Code]]&amp;"; "&amp;Q2577&amp;AS[[#This Row],[Large Provider Entity Code]]&amp;"; "&amp;R2577&amp;AS[[#This Row],[Age Band Code]]&amp;"; "&amp;S2577&amp;AS[[#This Row],[Sex Code]]</f>
        <v xml:space="preserve">Insurer Code ; Reporting Year ; Insurance Category Code ; Large Provider Entity Code ; Age Band Code ; Sex Code </v>
      </c>
      <c r="N2577" s="297" t="s">
        <v>197</v>
      </c>
      <c r="O2577" s="297" t="s">
        <v>198</v>
      </c>
      <c r="P2577" s="297" t="s">
        <v>199</v>
      </c>
      <c r="Q2577" s="297" t="s">
        <v>200</v>
      </c>
      <c r="R2577" s="297" t="s">
        <v>213</v>
      </c>
      <c r="S2577" s="297" t="s">
        <v>214</v>
      </c>
    </row>
    <row r="2578" spans="1:19" x14ac:dyDescent="0.4">
      <c r="A2578" s="291"/>
      <c r="B2578" s="292"/>
      <c r="C2578" s="312"/>
      <c r="D2578" s="292"/>
      <c r="E2578" s="489"/>
      <c r="F2578" s="489"/>
      <c r="G2578" s="490"/>
      <c r="H2578" s="520"/>
      <c r="I2578" s="523"/>
      <c r="J2578" s="521"/>
      <c r="K2578" s="522"/>
      <c r="M2578" s="301" t="str">
        <f>N2578&amp;AS[[#This Row],[Insurer Code]]&amp;"; "&amp;O2578&amp;AS[[#This Row],[Reporting Year]]&amp;"; "&amp;P2578&amp;AS[[#This Row],[Insurance Category Code]]&amp;"; "&amp;Q2578&amp;AS[[#This Row],[Large Provider Entity Code]]&amp;"; "&amp;R2578&amp;AS[[#This Row],[Age Band Code]]&amp;"; "&amp;S2578&amp;AS[[#This Row],[Sex Code]]</f>
        <v xml:space="preserve">Insurer Code ; Reporting Year ; Insurance Category Code ; Large Provider Entity Code ; Age Band Code ; Sex Code </v>
      </c>
      <c r="N2578" s="297" t="s">
        <v>197</v>
      </c>
      <c r="O2578" s="297" t="s">
        <v>198</v>
      </c>
      <c r="P2578" s="297" t="s">
        <v>199</v>
      </c>
      <c r="Q2578" s="297" t="s">
        <v>200</v>
      </c>
      <c r="R2578" s="297" t="s">
        <v>213</v>
      </c>
      <c r="S2578" s="297" t="s">
        <v>214</v>
      </c>
    </row>
    <row r="2579" spans="1:19" x14ac:dyDescent="0.4">
      <c r="A2579" s="291"/>
      <c r="B2579" s="292"/>
      <c r="C2579" s="312"/>
      <c r="D2579" s="292"/>
      <c r="E2579" s="489"/>
      <c r="F2579" s="489"/>
      <c r="G2579" s="490"/>
      <c r="H2579" s="520"/>
      <c r="I2579" s="523"/>
      <c r="J2579" s="521"/>
      <c r="K2579" s="522"/>
      <c r="M2579" s="301" t="str">
        <f>N2579&amp;AS[[#This Row],[Insurer Code]]&amp;"; "&amp;O2579&amp;AS[[#This Row],[Reporting Year]]&amp;"; "&amp;P2579&amp;AS[[#This Row],[Insurance Category Code]]&amp;"; "&amp;Q2579&amp;AS[[#This Row],[Large Provider Entity Code]]&amp;"; "&amp;R2579&amp;AS[[#This Row],[Age Band Code]]&amp;"; "&amp;S2579&amp;AS[[#This Row],[Sex Code]]</f>
        <v xml:space="preserve">Insurer Code ; Reporting Year ; Insurance Category Code ; Large Provider Entity Code ; Age Band Code ; Sex Code </v>
      </c>
      <c r="N2579" s="297" t="s">
        <v>197</v>
      </c>
      <c r="O2579" s="297" t="s">
        <v>198</v>
      </c>
      <c r="P2579" s="297" t="s">
        <v>199</v>
      </c>
      <c r="Q2579" s="297" t="s">
        <v>200</v>
      </c>
      <c r="R2579" s="297" t="s">
        <v>213</v>
      </c>
      <c r="S2579" s="297" t="s">
        <v>214</v>
      </c>
    </row>
    <row r="2580" spans="1:19" x14ac:dyDescent="0.4">
      <c r="A2580" s="291"/>
      <c r="B2580" s="292"/>
      <c r="C2580" s="312"/>
      <c r="D2580" s="292"/>
      <c r="E2580" s="489"/>
      <c r="F2580" s="489"/>
      <c r="G2580" s="490"/>
      <c r="H2580" s="520"/>
      <c r="I2580" s="523"/>
      <c r="J2580" s="521"/>
      <c r="K2580" s="522"/>
      <c r="M2580" s="301" t="str">
        <f>N2580&amp;AS[[#This Row],[Insurer Code]]&amp;"; "&amp;O2580&amp;AS[[#This Row],[Reporting Year]]&amp;"; "&amp;P2580&amp;AS[[#This Row],[Insurance Category Code]]&amp;"; "&amp;Q2580&amp;AS[[#This Row],[Large Provider Entity Code]]&amp;"; "&amp;R2580&amp;AS[[#This Row],[Age Band Code]]&amp;"; "&amp;S2580&amp;AS[[#This Row],[Sex Code]]</f>
        <v xml:space="preserve">Insurer Code ; Reporting Year ; Insurance Category Code ; Large Provider Entity Code ; Age Band Code ; Sex Code </v>
      </c>
      <c r="N2580" s="297" t="s">
        <v>197</v>
      </c>
      <c r="O2580" s="297" t="s">
        <v>198</v>
      </c>
      <c r="P2580" s="297" t="s">
        <v>199</v>
      </c>
      <c r="Q2580" s="297" t="s">
        <v>200</v>
      </c>
      <c r="R2580" s="297" t="s">
        <v>213</v>
      </c>
      <c r="S2580" s="297" t="s">
        <v>214</v>
      </c>
    </row>
    <row r="2581" spans="1:19" x14ac:dyDescent="0.4">
      <c r="A2581" s="291"/>
      <c r="B2581" s="292"/>
      <c r="C2581" s="312"/>
      <c r="D2581" s="292"/>
      <c r="E2581" s="489"/>
      <c r="F2581" s="489"/>
      <c r="G2581" s="490"/>
      <c r="H2581" s="520"/>
      <c r="I2581" s="523"/>
      <c r="J2581" s="521"/>
      <c r="K2581" s="522"/>
      <c r="M2581" s="301" t="str">
        <f>N2581&amp;AS[[#This Row],[Insurer Code]]&amp;"; "&amp;O2581&amp;AS[[#This Row],[Reporting Year]]&amp;"; "&amp;P2581&amp;AS[[#This Row],[Insurance Category Code]]&amp;"; "&amp;Q2581&amp;AS[[#This Row],[Large Provider Entity Code]]&amp;"; "&amp;R2581&amp;AS[[#This Row],[Age Band Code]]&amp;"; "&amp;S2581&amp;AS[[#This Row],[Sex Code]]</f>
        <v xml:space="preserve">Insurer Code ; Reporting Year ; Insurance Category Code ; Large Provider Entity Code ; Age Band Code ; Sex Code </v>
      </c>
      <c r="N2581" s="297" t="s">
        <v>197</v>
      </c>
      <c r="O2581" s="297" t="s">
        <v>198</v>
      </c>
      <c r="P2581" s="297" t="s">
        <v>199</v>
      </c>
      <c r="Q2581" s="297" t="s">
        <v>200</v>
      </c>
      <c r="R2581" s="297" t="s">
        <v>213</v>
      </c>
      <c r="S2581" s="297" t="s">
        <v>214</v>
      </c>
    </row>
    <row r="2582" spans="1:19" x14ac:dyDescent="0.4">
      <c r="A2582" s="291"/>
      <c r="B2582" s="292"/>
      <c r="C2582" s="312"/>
      <c r="D2582" s="292"/>
      <c r="E2582" s="489"/>
      <c r="F2582" s="489"/>
      <c r="G2582" s="490"/>
      <c r="H2582" s="520"/>
      <c r="I2582" s="523"/>
      <c r="J2582" s="521"/>
      <c r="K2582" s="522"/>
      <c r="M2582" s="301" t="str">
        <f>N2582&amp;AS[[#This Row],[Insurer Code]]&amp;"; "&amp;O2582&amp;AS[[#This Row],[Reporting Year]]&amp;"; "&amp;P2582&amp;AS[[#This Row],[Insurance Category Code]]&amp;"; "&amp;Q2582&amp;AS[[#This Row],[Large Provider Entity Code]]&amp;"; "&amp;R2582&amp;AS[[#This Row],[Age Band Code]]&amp;"; "&amp;S2582&amp;AS[[#This Row],[Sex Code]]</f>
        <v xml:space="preserve">Insurer Code ; Reporting Year ; Insurance Category Code ; Large Provider Entity Code ; Age Band Code ; Sex Code </v>
      </c>
      <c r="N2582" s="297" t="s">
        <v>197</v>
      </c>
      <c r="O2582" s="297" t="s">
        <v>198</v>
      </c>
      <c r="P2582" s="297" t="s">
        <v>199</v>
      </c>
      <c r="Q2582" s="297" t="s">
        <v>200</v>
      </c>
      <c r="R2582" s="297" t="s">
        <v>213</v>
      </c>
      <c r="S2582" s="297" t="s">
        <v>214</v>
      </c>
    </row>
    <row r="2583" spans="1:19" x14ac:dyDescent="0.4">
      <c r="A2583" s="291"/>
      <c r="B2583" s="292"/>
      <c r="C2583" s="312"/>
      <c r="D2583" s="292"/>
      <c r="E2583" s="489"/>
      <c r="F2583" s="489"/>
      <c r="G2583" s="490"/>
      <c r="H2583" s="520"/>
      <c r="I2583" s="523"/>
      <c r="J2583" s="521"/>
      <c r="K2583" s="522"/>
      <c r="M2583" s="301" t="str">
        <f>N2583&amp;AS[[#This Row],[Insurer Code]]&amp;"; "&amp;O2583&amp;AS[[#This Row],[Reporting Year]]&amp;"; "&amp;P2583&amp;AS[[#This Row],[Insurance Category Code]]&amp;"; "&amp;Q2583&amp;AS[[#This Row],[Large Provider Entity Code]]&amp;"; "&amp;R2583&amp;AS[[#This Row],[Age Band Code]]&amp;"; "&amp;S2583&amp;AS[[#This Row],[Sex Code]]</f>
        <v xml:space="preserve">Insurer Code ; Reporting Year ; Insurance Category Code ; Large Provider Entity Code ; Age Band Code ; Sex Code </v>
      </c>
      <c r="N2583" s="297" t="s">
        <v>197</v>
      </c>
      <c r="O2583" s="297" t="s">
        <v>198</v>
      </c>
      <c r="P2583" s="297" t="s">
        <v>199</v>
      </c>
      <c r="Q2583" s="297" t="s">
        <v>200</v>
      </c>
      <c r="R2583" s="297" t="s">
        <v>213</v>
      </c>
      <c r="S2583" s="297" t="s">
        <v>214</v>
      </c>
    </row>
    <row r="2584" spans="1:19" x14ac:dyDescent="0.4">
      <c r="A2584" s="291"/>
      <c r="B2584" s="292"/>
      <c r="C2584" s="312"/>
      <c r="D2584" s="292"/>
      <c r="E2584" s="489"/>
      <c r="F2584" s="489"/>
      <c r="G2584" s="490"/>
      <c r="H2584" s="520"/>
      <c r="I2584" s="523"/>
      <c r="J2584" s="521"/>
      <c r="K2584" s="522"/>
      <c r="M2584" s="301" t="str">
        <f>N2584&amp;AS[[#This Row],[Insurer Code]]&amp;"; "&amp;O2584&amp;AS[[#This Row],[Reporting Year]]&amp;"; "&amp;P2584&amp;AS[[#This Row],[Insurance Category Code]]&amp;"; "&amp;Q2584&amp;AS[[#This Row],[Large Provider Entity Code]]&amp;"; "&amp;R2584&amp;AS[[#This Row],[Age Band Code]]&amp;"; "&amp;S2584&amp;AS[[#This Row],[Sex Code]]</f>
        <v xml:space="preserve">Insurer Code ; Reporting Year ; Insurance Category Code ; Large Provider Entity Code ; Age Band Code ; Sex Code </v>
      </c>
      <c r="N2584" s="297" t="s">
        <v>197</v>
      </c>
      <c r="O2584" s="297" t="s">
        <v>198</v>
      </c>
      <c r="P2584" s="297" t="s">
        <v>199</v>
      </c>
      <c r="Q2584" s="297" t="s">
        <v>200</v>
      </c>
      <c r="R2584" s="297" t="s">
        <v>213</v>
      </c>
      <c r="S2584" s="297" t="s">
        <v>214</v>
      </c>
    </row>
    <row r="2585" spans="1:19" x14ac:dyDescent="0.4">
      <c r="A2585" s="291"/>
      <c r="B2585" s="292"/>
      <c r="C2585" s="312"/>
      <c r="D2585" s="292"/>
      <c r="E2585" s="489"/>
      <c r="F2585" s="489"/>
      <c r="G2585" s="490"/>
      <c r="H2585" s="520"/>
      <c r="I2585" s="523"/>
      <c r="J2585" s="521"/>
      <c r="K2585" s="522"/>
      <c r="M2585" s="301" t="str">
        <f>N2585&amp;AS[[#This Row],[Insurer Code]]&amp;"; "&amp;O2585&amp;AS[[#This Row],[Reporting Year]]&amp;"; "&amp;P2585&amp;AS[[#This Row],[Insurance Category Code]]&amp;"; "&amp;Q2585&amp;AS[[#This Row],[Large Provider Entity Code]]&amp;"; "&amp;R2585&amp;AS[[#This Row],[Age Band Code]]&amp;"; "&amp;S2585&amp;AS[[#This Row],[Sex Code]]</f>
        <v xml:space="preserve">Insurer Code ; Reporting Year ; Insurance Category Code ; Large Provider Entity Code ; Age Band Code ; Sex Code </v>
      </c>
      <c r="N2585" s="297" t="s">
        <v>197</v>
      </c>
      <c r="O2585" s="297" t="s">
        <v>198</v>
      </c>
      <c r="P2585" s="297" t="s">
        <v>199</v>
      </c>
      <c r="Q2585" s="297" t="s">
        <v>200</v>
      </c>
      <c r="R2585" s="297" t="s">
        <v>213</v>
      </c>
      <c r="S2585" s="297" t="s">
        <v>214</v>
      </c>
    </row>
    <row r="2586" spans="1:19" x14ac:dyDescent="0.4">
      <c r="A2586" s="291"/>
      <c r="B2586" s="292"/>
      <c r="C2586" s="312"/>
      <c r="D2586" s="292"/>
      <c r="E2586" s="489"/>
      <c r="F2586" s="489"/>
      <c r="G2586" s="490"/>
      <c r="H2586" s="520"/>
      <c r="I2586" s="523"/>
      <c r="J2586" s="521"/>
      <c r="K2586" s="522"/>
      <c r="M2586" s="301" t="str">
        <f>N2586&amp;AS[[#This Row],[Insurer Code]]&amp;"; "&amp;O2586&amp;AS[[#This Row],[Reporting Year]]&amp;"; "&amp;P2586&amp;AS[[#This Row],[Insurance Category Code]]&amp;"; "&amp;Q2586&amp;AS[[#This Row],[Large Provider Entity Code]]&amp;"; "&amp;R2586&amp;AS[[#This Row],[Age Band Code]]&amp;"; "&amp;S2586&amp;AS[[#This Row],[Sex Code]]</f>
        <v xml:space="preserve">Insurer Code ; Reporting Year ; Insurance Category Code ; Large Provider Entity Code ; Age Band Code ; Sex Code </v>
      </c>
      <c r="N2586" s="297" t="s">
        <v>197</v>
      </c>
      <c r="O2586" s="297" t="s">
        <v>198</v>
      </c>
      <c r="P2586" s="297" t="s">
        <v>199</v>
      </c>
      <c r="Q2586" s="297" t="s">
        <v>200</v>
      </c>
      <c r="R2586" s="297" t="s">
        <v>213</v>
      </c>
      <c r="S2586" s="297" t="s">
        <v>214</v>
      </c>
    </row>
    <row r="2587" spans="1:19" x14ac:dyDescent="0.4">
      <c r="A2587" s="291"/>
      <c r="B2587" s="292"/>
      <c r="C2587" s="312"/>
      <c r="D2587" s="292"/>
      <c r="E2587" s="489"/>
      <c r="F2587" s="489"/>
      <c r="G2587" s="490"/>
      <c r="H2587" s="520"/>
      <c r="I2587" s="523"/>
      <c r="J2587" s="521"/>
      <c r="K2587" s="522"/>
      <c r="M2587" s="301" t="str">
        <f>N2587&amp;AS[[#This Row],[Insurer Code]]&amp;"; "&amp;O2587&amp;AS[[#This Row],[Reporting Year]]&amp;"; "&amp;P2587&amp;AS[[#This Row],[Insurance Category Code]]&amp;"; "&amp;Q2587&amp;AS[[#This Row],[Large Provider Entity Code]]&amp;"; "&amp;R2587&amp;AS[[#This Row],[Age Band Code]]&amp;"; "&amp;S2587&amp;AS[[#This Row],[Sex Code]]</f>
        <v xml:space="preserve">Insurer Code ; Reporting Year ; Insurance Category Code ; Large Provider Entity Code ; Age Band Code ; Sex Code </v>
      </c>
      <c r="N2587" s="297" t="s">
        <v>197</v>
      </c>
      <c r="O2587" s="297" t="s">
        <v>198</v>
      </c>
      <c r="P2587" s="297" t="s">
        <v>199</v>
      </c>
      <c r="Q2587" s="297" t="s">
        <v>200</v>
      </c>
      <c r="R2587" s="297" t="s">
        <v>213</v>
      </c>
      <c r="S2587" s="297" t="s">
        <v>214</v>
      </c>
    </row>
    <row r="2588" spans="1:19" x14ac:dyDescent="0.4">
      <c r="A2588" s="291"/>
      <c r="B2588" s="292"/>
      <c r="C2588" s="312"/>
      <c r="D2588" s="292"/>
      <c r="E2588" s="489"/>
      <c r="F2588" s="489"/>
      <c r="G2588" s="490"/>
      <c r="H2588" s="520"/>
      <c r="I2588" s="523"/>
      <c r="J2588" s="521"/>
      <c r="K2588" s="522"/>
      <c r="M2588" s="301" t="str">
        <f>N2588&amp;AS[[#This Row],[Insurer Code]]&amp;"; "&amp;O2588&amp;AS[[#This Row],[Reporting Year]]&amp;"; "&amp;P2588&amp;AS[[#This Row],[Insurance Category Code]]&amp;"; "&amp;Q2588&amp;AS[[#This Row],[Large Provider Entity Code]]&amp;"; "&amp;R2588&amp;AS[[#This Row],[Age Band Code]]&amp;"; "&amp;S2588&amp;AS[[#This Row],[Sex Code]]</f>
        <v xml:space="preserve">Insurer Code ; Reporting Year ; Insurance Category Code ; Large Provider Entity Code ; Age Band Code ; Sex Code </v>
      </c>
      <c r="N2588" s="297" t="s">
        <v>197</v>
      </c>
      <c r="O2588" s="297" t="s">
        <v>198</v>
      </c>
      <c r="P2588" s="297" t="s">
        <v>199</v>
      </c>
      <c r="Q2588" s="297" t="s">
        <v>200</v>
      </c>
      <c r="R2588" s="297" t="s">
        <v>213</v>
      </c>
      <c r="S2588" s="297" t="s">
        <v>214</v>
      </c>
    </row>
    <row r="2589" spans="1:19" x14ac:dyDescent="0.4">
      <c r="A2589" s="291"/>
      <c r="B2589" s="292"/>
      <c r="C2589" s="312"/>
      <c r="D2589" s="292"/>
      <c r="E2589" s="489"/>
      <c r="F2589" s="489"/>
      <c r="G2589" s="490"/>
      <c r="H2589" s="520"/>
      <c r="I2589" s="523"/>
      <c r="J2589" s="521"/>
      <c r="K2589" s="522"/>
      <c r="M2589" s="301" t="str">
        <f>N2589&amp;AS[[#This Row],[Insurer Code]]&amp;"; "&amp;O2589&amp;AS[[#This Row],[Reporting Year]]&amp;"; "&amp;P2589&amp;AS[[#This Row],[Insurance Category Code]]&amp;"; "&amp;Q2589&amp;AS[[#This Row],[Large Provider Entity Code]]&amp;"; "&amp;R2589&amp;AS[[#This Row],[Age Band Code]]&amp;"; "&amp;S2589&amp;AS[[#This Row],[Sex Code]]</f>
        <v xml:space="preserve">Insurer Code ; Reporting Year ; Insurance Category Code ; Large Provider Entity Code ; Age Band Code ; Sex Code </v>
      </c>
      <c r="N2589" s="297" t="s">
        <v>197</v>
      </c>
      <c r="O2589" s="297" t="s">
        <v>198</v>
      </c>
      <c r="P2589" s="297" t="s">
        <v>199</v>
      </c>
      <c r="Q2589" s="297" t="s">
        <v>200</v>
      </c>
      <c r="R2589" s="297" t="s">
        <v>213</v>
      </c>
      <c r="S2589" s="297" t="s">
        <v>214</v>
      </c>
    </row>
    <row r="2590" spans="1:19" x14ac:dyDescent="0.4">
      <c r="A2590" s="291"/>
      <c r="B2590" s="292"/>
      <c r="C2590" s="312"/>
      <c r="D2590" s="292"/>
      <c r="E2590" s="489"/>
      <c r="F2590" s="489"/>
      <c r="G2590" s="490"/>
      <c r="H2590" s="520"/>
      <c r="I2590" s="523"/>
      <c r="J2590" s="521"/>
      <c r="K2590" s="522"/>
      <c r="M2590" s="301" t="str">
        <f>N2590&amp;AS[[#This Row],[Insurer Code]]&amp;"; "&amp;O2590&amp;AS[[#This Row],[Reporting Year]]&amp;"; "&amp;P2590&amp;AS[[#This Row],[Insurance Category Code]]&amp;"; "&amp;Q2590&amp;AS[[#This Row],[Large Provider Entity Code]]&amp;"; "&amp;R2590&amp;AS[[#This Row],[Age Band Code]]&amp;"; "&amp;S2590&amp;AS[[#This Row],[Sex Code]]</f>
        <v xml:space="preserve">Insurer Code ; Reporting Year ; Insurance Category Code ; Large Provider Entity Code ; Age Band Code ; Sex Code </v>
      </c>
      <c r="N2590" s="297" t="s">
        <v>197</v>
      </c>
      <c r="O2590" s="297" t="s">
        <v>198</v>
      </c>
      <c r="P2590" s="297" t="s">
        <v>199</v>
      </c>
      <c r="Q2590" s="297" t="s">
        <v>200</v>
      </c>
      <c r="R2590" s="297" t="s">
        <v>213</v>
      </c>
      <c r="S2590" s="297" t="s">
        <v>214</v>
      </c>
    </row>
    <row r="2591" spans="1:19" x14ac:dyDescent="0.4">
      <c r="A2591" s="291"/>
      <c r="B2591" s="292"/>
      <c r="C2591" s="312"/>
      <c r="D2591" s="292"/>
      <c r="E2591" s="489"/>
      <c r="F2591" s="489"/>
      <c r="G2591" s="490"/>
      <c r="H2591" s="520"/>
      <c r="I2591" s="523"/>
      <c r="J2591" s="521"/>
      <c r="K2591" s="522"/>
      <c r="M2591" s="301" t="str">
        <f>N2591&amp;AS[[#This Row],[Insurer Code]]&amp;"; "&amp;O2591&amp;AS[[#This Row],[Reporting Year]]&amp;"; "&amp;P2591&amp;AS[[#This Row],[Insurance Category Code]]&amp;"; "&amp;Q2591&amp;AS[[#This Row],[Large Provider Entity Code]]&amp;"; "&amp;R2591&amp;AS[[#This Row],[Age Band Code]]&amp;"; "&amp;S2591&amp;AS[[#This Row],[Sex Code]]</f>
        <v xml:space="preserve">Insurer Code ; Reporting Year ; Insurance Category Code ; Large Provider Entity Code ; Age Band Code ; Sex Code </v>
      </c>
      <c r="N2591" s="297" t="s">
        <v>197</v>
      </c>
      <c r="O2591" s="297" t="s">
        <v>198</v>
      </c>
      <c r="P2591" s="297" t="s">
        <v>199</v>
      </c>
      <c r="Q2591" s="297" t="s">
        <v>200</v>
      </c>
      <c r="R2591" s="297" t="s">
        <v>213</v>
      </c>
      <c r="S2591" s="297" t="s">
        <v>214</v>
      </c>
    </row>
    <row r="2592" spans="1:19" x14ac:dyDescent="0.4">
      <c r="A2592" s="291"/>
      <c r="B2592" s="292"/>
      <c r="C2592" s="312"/>
      <c r="D2592" s="292"/>
      <c r="E2592" s="489"/>
      <c r="F2592" s="489"/>
      <c r="G2592" s="490"/>
      <c r="H2592" s="520"/>
      <c r="I2592" s="523"/>
      <c r="J2592" s="521"/>
      <c r="K2592" s="522"/>
      <c r="M2592" s="301" t="str">
        <f>N2592&amp;AS[[#This Row],[Insurer Code]]&amp;"; "&amp;O2592&amp;AS[[#This Row],[Reporting Year]]&amp;"; "&amp;P2592&amp;AS[[#This Row],[Insurance Category Code]]&amp;"; "&amp;Q2592&amp;AS[[#This Row],[Large Provider Entity Code]]&amp;"; "&amp;R2592&amp;AS[[#This Row],[Age Band Code]]&amp;"; "&amp;S2592&amp;AS[[#This Row],[Sex Code]]</f>
        <v xml:space="preserve">Insurer Code ; Reporting Year ; Insurance Category Code ; Large Provider Entity Code ; Age Band Code ; Sex Code </v>
      </c>
      <c r="N2592" s="297" t="s">
        <v>197</v>
      </c>
      <c r="O2592" s="297" t="s">
        <v>198</v>
      </c>
      <c r="P2592" s="297" t="s">
        <v>199</v>
      </c>
      <c r="Q2592" s="297" t="s">
        <v>200</v>
      </c>
      <c r="R2592" s="297" t="s">
        <v>213</v>
      </c>
      <c r="S2592" s="297" t="s">
        <v>214</v>
      </c>
    </row>
    <row r="2593" spans="1:19" x14ac:dyDescent="0.4">
      <c r="A2593" s="291"/>
      <c r="B2593" s="292"/>
      <c r="C2593" s="312"/>
      <c r="D2593" s="292"/>
      <c r="E2593" s="489"/>
      <c r="F2593" s="489"/>
      <c r="G2593" s="490"/>
      <c r="H2593" s="520"/>
      <c r="I2593" s="523"/>
      <c r="J2593" s="521"/>
      <c r="K2593" s="522"/>
      <c r="M2593" s="301" t="str">
        <f>N2593&amp;AS[[#This Row],[Insurer Code]]&amp;"; "&amp;O2593&amp;AS[[#This Row],[Reporting Year]]&amp;"; "&amp;P2593&amp;AS[[#This Row],[Insurance Category Code]]&amp;"; "&amp;Q2593&amp;AS[[#This Row],[Large Provider Entity Code]]&amp;"; "&amp;R2593&amp;AS[[#This Row],[Age Band Code]]&amp;"; "&amp;S2593&amp;AS[[#This Row],[Sex Code]]</f>
        <v xml:space="preserve">Insurer Code ; Reporting Year ; Insurance Category Code ; Large Provider Entity Code ; Age Band Code ; Sex Code </v>
      </c>
      <c r="N2593" s="297" t="s">
        <v>197</v>
      </c>
      <c r="O2593" s="297" t="s">
        <v>198</v>
      </c>
      <c r="P2593" s="297" t="s">
        <v>199</v>
      </c>
      <c r="Q2593" s="297" t="s">
        <v>200</v>
      </c>
      <c r="R2593" s="297" t="s">
        <v>213</v>
      </c>
      <c r="S2593" s="297" t="s">
        <v>214</v>
      </c>
    </row>
    <row r="2594" spans="1:19" x14ac:dyDescent="0.4">
      <c r="A2594" s="291"/>
      <c r="B2594" s="292"/>
      <c r="C2594" s="312"/>
      <c r="D2594" s="292"/>
      <c r="E2594" s="489"/>
      <c r="F2594" s="489"/>
      <c r="G2594" s="490"/>
      <c r="H2594" s="520"/>
      <c r="I2594" s="523"/>
      <c r="J2594" s="521"/>
      <c r="K2594" s="522"/>
      <c r="M2594" s="301" t="str">
        <f>N2594&amp;AS[[#This Row],[Insurer Code]]&amp;"; "&amp;O2594&amp;AS[[#This Row],[Reporting Year]]&amp;"; "&amp;P2594&amp;AS[[#This Row],[Insurance Category Code]]&amp;"; "&amp;Q2594&amp;AS[[#This Row],[Large Provider Entity Code]]&amp;"; "&amp;R2594&amp;AS[[#This Row],[Age Band Code]]&amp;"; "&amp;S2594&amp;AS[[#This Row],[Sex Code]]</f>
        <v xml:space="preserve">Insurer Code ; Reporting Year ; Insurance Category Code ; Large Provider Entity Code ; Age Band Code ; Sex Code </v>
      </c>
      <c r="N2594" s="297" t="s">
        <v>197</v>
      </c>
      <c r="O2594" s="297" t="s">
        <v>198</v>
      </c>
      <c r="P2594" s="297" t="s">
        <v>199</v>
      </c>
      <c r="Q2594" s="297" t="s">
        <v>200</v>
      </c>
      <c r="R2594" s="297" t="s">
        <v>213</v>
      </c>
      <c r="S2594" s="297" t="s">
        <v>214</v>
      </c>
    </row>
    <row r="2595" spans="1:19" x14ac:dyDescent="0.4">
      <c r="A2595" s="291"/>
      <c r="B2595" s="292"/>
      <c r="C2595" s="312"/>
      <c r="D2595" s="292"/>
      <c r="E2595" s="489"/>
      <c r="F2595" s="489"/>
      <c r="G2595" s="490"/>
      <c r="H2595" s="520"/>
      <c r="I2595" s="523"/>
      <c r="J2595" s="521"/>
      <c r="K2595" s="522"/>
      <c r="M2595" s="301" t="str">
        <f>N2595&amp;AS[[#This Row],[Insurer Code]]&amp;"; "&amp;O2595&amp;AS[[#This Row],[Reporting Year]]&amp;"; "&amp;P2595&amp;AS[[#This Row],[Insurance Category Code]]&amp;"; "&amp;Q2595&amp;AS[[#This Row],[Large Provider Entity Code]]&amp;"; "&amp;R2595&amp;AS[[#This Row],[Age Band Code]]&amp;"; "&amp;S2595&amp;AS[[#This Row],[Sex Code]]</f>
        <v xml:space="preserve">Insurer Code ; Reporting Year ; Insurance Category Code ; Large Provider Entity Code ; Age Band Code ; Sex Code </v>
      </c>
      <c r="N2595" s="297" t="s">
        <v>197</v>
      </c>
      <c r="O2595" s="297" t="s">
        <v>198</v>
      </c>
      <c r="P2595" s="297" t="s">
        <v>199</v>
      </c>
      <c r="Q2595" s="297" t="s">
        <v>200</v>
      </c>
      <c r="R2595" s="297" t="s">
        <v>213</v>
      </c>
      <c r="S2595" s="297" t="s">
        <v>214</v>
      </c>
    </row>
    <row r="2596" spans="1:19" x14ac:dyDescent="0.4">
      <c r="A2596" s="291"/>
      <c r="B2596" s="292"/>
      <c r="C2596" s="312"/>
      <c r="D2596" s="292"/>
      <c r="E2596" s="489"/>
      <c r="F2596" s="489"/>
      <c r="G2596" s="490"/>
      <c r="H2596" s="520"/>
      <c r="I2596" s="523"/>
      <c r="J2596" s="521"/>
      <c r="K2596" s="522"/>
      <c r="M2596" s="301" t="str">
        <f>N2596&amp;AS[[#This Row],[Insurer Code]]&amp;"; "&amp;O2596&amp;AS[[#This Row],[Reporting Year]]&amp;"; "&amp;P2596&amp;AS[[#This Row],[Insurance Category Code]]&amp;"; "&amp;Q2596&amp;AS[[#This Row],[Large Provider Entity Code]]&amp;"; "&amp;R2596&amp;AS[[#This Row],[Age Band Code]]&amp;"; "&amp;S2596&amp;AS[[#This Row],[Sex Code]]</f>
        <v xml:space="preserve">Insurer Code ; Reporting Year ; Insurance Category Code ; Large Provider Entity Code ; Age Band Code ; Sex Code </v>
      </c>
      <c r="N2596" s="297" t="s">
        <v>197</v>
      </c>
      <c r="O2596" s="297" t="s">
        <v>198</v>
      </c>
      <c r="P2596" s="297" t="s">
        <v>199</v>
      </c>
      <c r="Q2596" s="297" t="s">
        <v>200</v>
      </c>
      <c r="R2596" s="297" t="s">
        <v>213</v>
      </c>
      <c r="S2596" s="297" t="s">
        <v>214</v>
      </c>
    </row>
    <row r="2597" spans="1:19" x14ac:dyDescent="0.4">
      <c r="A2597" s="291"/>
      <c r="B2597" s="292"/>
      <c r="C2597" s="312"/>
      <c r="D2597" s="292"/>
      <c r="E2597" s="489"/>
      <c r="F2597" s="489"/>
      <c r="G2597" s="490"/>
      <c r="H2597" s="520"/>
      <c r="I2597" s="523"/>
      <c r="J2597" s="521"/>
      <c r="K2597" s="522"/>
      <c r="M2597" s="301" t="str">
        <f>N2597&amp;AS[[#This Row],[Insurer Code]]&amp;"; "&amp;O2597&amp;AS[[#This Row],[Reporting Year]]&amp;"; "&amp;P2597&amp;AS[[#This Row],[Insurance Category Code]]&amp;"; "&amp;Q2597&amp;AS[[#This Row],[Large Provider Entity Code]]&amp;"; "&amp;R2597&amp;AS[[#This Row],[Age Band Code]]&amp;"; "&amp;S2597&amp;AS[[#This Row],[Sex Code]]</f>
        <v xml:space="preserve">Insurer Code ; Reporting Year ; Insurance Category Code ; Large Provider Entity Code ; Age Band Code ; Sex Code </v>
      </c>
      <c r="N2597" s="297" t="s">
        <v>197</v>
      </c>
      <c r="O2597" s="297" t="s">
        <v>198</v>
      </c>
      <c r="P2597" s="297" t="s">
        <v>199</v>
      </c>
      <c r="Q2597" s="297" t="s">
        <v>200</v>
      </c>
      <c r="R2597" s="297" t="s">
        <v>213</v>
      </c>
      <c r="S2597" s="297" t="s">
        <v>214</v>
      </c>
    </row>
    <row r="2598" spans="1:19" x14ac:dyDescent="0.4">
      <c r="A2598" s="291"/>
      <c r="B2598" s="292"/>
      <c r="C2598" s="312"/>
      <c r="D2598" s="292"/>
      <c r="E2598" s="489"/>
      <c r="F2598" s="489"/>
      <c r="G2598" s="490"/>
      <c r="H2598" s="520"/>
      <c r="I2598" s="523"/>
      <c r="J2598" s="521"/>
      <c r="K2598" s="522"/>
      <c r="M2598" s="301" t="str">
        <f>N2598&amp;AS[[#This Row],[Insurer Code]]&amp;"; "&amp;O2598&amp;AS[[#This Row],[Reporting Year]]&amp;"; "&amp;P2598&amp;AS[[#This Row],[Insurance Category Code]]&amp;"; "&amp;Q2598&amp;AS[[#This Row],[Large Provider Entity Code]]&amp;"; "&amp;R2598&amp;AS[[#This Row],[Age Band Code]]&amp;"; "&amp;S2598&amp;AS[[#This Row],[Sex Code]]</f>
        <v xml:space="preserve">Insurer Code ; Reporting Year ; Insurance Category Code ; Large Provider Entity Code ; Age Band Code ; Sex Code </v>
      </c>
      <c r="N2598" s="297" t="s">
        <v>197</v>
      </c>
      <c r="O2598" s="297" t="s">
        <v>198</v>
      </c>
      <c r="P2598" s="297" t="s">
        <v>199</v>
      </c>
      <c r="Q2598" s="297" t="s">
        <v>200</v>
      </c>
      <c r="R2598" s="297" t="s">
        <v>213</v>
      </c>
      <c r="S2598" s="297" t="s">
        <v>214</v>
      </c>
    </row>
    <row r="2599" spans="1:19" x14ac:dyDescent="0.4">
      <c r="A2599" s="291"/>
      <c r="B2599" s="292"/>
      <c r="C2599" s="312"/>
      <c r="D2599" s="292"/>
      <c r="E2599" s="489"/>
      <c r="F2599" s="489"/>
      <c r="G2599" s="490"/>
      <c r="H2599" s="520"/>
      <c r="I2599" s="523"/>
      <c r="J2599" s="521"/>
      <c r="K2599" s="522"/>
      <c r="M2599" s="301" t="str">
        <f>N2599&amp;AS[[#This Row],[Insurer Code]]&amp;"; "&amp;O2599&amp;AS[[#This Row],[Reporting Year]]&amp;"; "&amp;P2599&amp;AS[[#This Row],[Insurance Category Code]]&amp;"; "&amp;Q2599&amp;AS[[#This Row],[Large Provider Entity Code]]&amp;"; "&amp;R2599&amp;AS[[#This Row],[Age Band Code]]&amp;"; "&amp;S2599&amp;AS[[#This Row],[Sex Code]]</f>
        <v xml:space="preserve">Insurer Code ; Reporting Year ; Insurance Category Code ; Large Provider Entity Code ; Age Band Code ; Sex Code </v>
      </c>
      <c r="N2599" s="297" t="s">
        <v>197</v>
      </c>
      <c r="O2599" s="297" t="s">
        <v>198</v>
      </c>
      <c r="P2599" s="297" t="s">
        <v>199</v>
      </c>
      <c r="Q2599" s="297" t="s">
        <v>200</v>
      </c>
      <c r="R2599" s="297" t="s">
        <v>213</v>
      </c>
      <c r="S2599" s="297" t="s">
        <v>214</v>
      </c>
    </row>
    <row r="2600" spans="1:19" x14ac:dyDescent="0.4">
      <c r="A2600" s="291"/>
      <c r="B2600" s="292"/>
      <c r="C2600" s="312"/>
      <c r="D2600" s="292"/>
      <c r="E2600" s="489"/>
      <c r="F2600" s="489"/>
      <c r="G2600" s="490"/>
      <c r="H2600" s="520"/>
      <c r="I2600" s="523"/>
      <c r="J2600" s="521"/>
      <c r="K2600" s="522"/>
      <c r="M2600" s="301" t="str">
        <f>N2600&amp;AS[[#This Row],[Insurer Code]]&amp;"; "&amp;O2600&amp;AS[[#This Row],[Reporting Year]]&amp;"; "&amp;P2600&amp;AS[[#This Row],[Insurance Category Code]]&amp;"; "&amp;Q2600&amp;AS[[#This Row],[Large Provider Entity Code]]&amp;"; "&amp;R2600&amp;AS[[#This Row],[Age Band Code]]&amp;"; "&amp;S2600&amp;AS[[#This Row],[Sex Code]]</f>
        <v xml:space="preserve">Insurer Code ; Reporting Year ; Insurance Category Code ; Large Provider Entity Code ; Age Band Code ; Sex Code </v>
      </c>
      <c r="N2600" s="297" t="s">
        <v>197</v>
      </c>
      <c r="O2600" s="297" t="s">
        <v>198</v>
      </c>
      <c r="P2600" s="297" t="s">
        <v>199</v>
      </c>
      <c r="Q2600" s="297" t="s">
        <v>200</v>
      </c>
      <c r="R2600" s="297" t="s">
        <v>213</v>
      </c>
      <c r="S2600" s="297" t="s">
        <v>214</v>
      </c>
    </row>
    <row r="2601" spans="1:19" x14ac:dyDescent="0.4">
      <c r="A2601" s="291"/>
      <c r="B2601" s="292"/>
      <c r="C2601" s="312"/>
      <c r="D2601" s="292"/>
      <c r="E2601" s="489"/>
      <c r="F2601" s="489"/>
      <c r="G2601" s="490"/>
      <c r="H2601" s="520"/>
      <c r="I2601" s="523"/>
      <c r="J2601" s="521"/>
      <c r="K2601" s="522"/>
      <c r="M2601" s="301" t="str">
        <f>N2601&amp;AS[[#This Row],[Insurer Code]]&amp;"; "&amp;O2601&amp;AS[[#This Row],[Reporting Year]]&amp;"; "&amp;P2601&amp;AS[[#This Row],[Insurance Category Code]]&amp;"; "&amp;Q2601&amp;AS[[#This Row],[Large Provider Entity Code]]&amp;"; "&amp;R2601&amp;AS[[#This Row],[Age Band Code]]&amp;"; "&amp;S2601&amp;AS[[#This Row],[Sex Code]]</f>
        <v xml:space="preserve">Insurer Code ; Reporting Year ; Insurance Category Code ; Large Provider Entity Code ; Age Band Code ; Sex Code </v>
      </c>
      <c r="N2601" s="297" t="s">
        <v>197</v>
      </c>
      <c r="O2601" s="297" t="s">
        <v>198</v>
      </c>
      <c r="P2601" s="297" t="s">
        <v>199</v>
      </c>
      <c r="Q2601" s="297" t="s">
        <v>200</v>
      </c>
      <c r="R2601" s="297" t="s">
        <v>213</v>
      </c>
      <c r="S2601" s="297" t="s">
        <v>214</v>
      </c>
    </row>
    <row r="2602" spans="1:19" x14ac:dyDescent="0.4">
      <c r="A2602" s="291"/>
      <c r="B2602" s="292"/>
      <c r="C2602" s="312"/>
      <c r="D2602" s="292"/>
      <c r="E2602" s="489"/>
      <c r="F2602" s="489"/>
      <c r="G2602" s="490"/>
      <c r="H2602" s="520"/>
      <c r="I2602" s="523"/>
      <c r="J2602" s="521"/>
      <c r="K2602" s="522"/>
      <c r="M2602" s="301" t="str">
        <f>N2602&amp;AS[[#This Row],[Insurer Code]]&amp;"; "&amp;O2602&amp;AS[[#This Row],[Reporting Year]]&amp;"; "&amp;P2602&amp;AS[[#This Row],[Insurance Category Code]]&amp;"; "&amp;Q2602&amp;AS[[#This Row],[Large Provider Entity Code]]&amp;"; "&amp;R2602&amp;AS[[#This Row],[Age Band Code]]&amp;"; "&amp;S2602&amp;AS[[#This Row],[Sex Code]]</f>
        <v xml:space="preserve">Insurer Code ; Reporting Year ; Insurance Category Code ; Large Provider Entity Code ; Age Band Code ; Sex Code </v>
      </c>
      <c r="N2602" s="297" t="s">
        <v>197</v>
      </c>
      <c r="O2602" s="297" t="s">
        <v>198</v>
      </c>
      <c r="P2602" s="297" t="s">
        <v>199</v>
      </c>
      <c r="Q2602" s="297" t="s">
        <v>200</v>
      </c>
      <c r="R2602" s="297" t="s">
        <v>213</v>
      </c>
      <c r="S2602" s="297" t="s">
        <v>214</v>
      </c>
    </row>
    <row r="2603" spans="1:19" x14ac:dyDescent="0.4">
      <c r="A2603" s="291"/>
      <c r="B2603" s="292"/>
      <c r="C2603" s="312"/>
      <c r="D2603" s="292"/>
      <c r="E2603" s="489"/>
      <c r="F2603" s="489"/>
      <c r="G2603" s="490"/>
      <c r="H2603" s="520"/>
      <c r="I2603" s="523"/>
      <c r="J2603" s="521"/>
      <c r="K2603" s="522"/>
      <c r="M2603" s="301" t="str">
        <f>N2603&amp;AS[[#This Row],[Insurer Code]]&amp;"; "&amp;O2603&amp;AS[[#This Row],[Reporting Year]]&amp;"; "&amp;P2603&amp;AS[[#This Row],[Insurance Category Code]]&amp;"; "&amp;Q2603&amp;AS[[#This Row],[Large Provider Entity Code]]&amp;"; "&amp;R2603&amp;AS[[#This Row],[Age Band Code]]&amp;"; "&amp;S2603&amp;AS[[#This Row],[Sex Code]]</f>
        <v xml:space="preserve">Insurer Code ; Reporting Year ; Insurance Category Code ; Large Provider Entity Code ; Age Band Code ; Sex Code </v>
      </c>
      <c r="N2603" s="297" t="s">
        <v>197</v>
      </c>
      <c r="O2603" s="297" t="s">
        <v>198</v>
      </c>
      <c r="P2603" s="297" t="s">
        <v>199</v>
      </c>
      <c r="Q2603" s="297" t="s">
        <v>200</v>
      </c>
      <c r="R2603" s="297" t="s">
        <v>213</v>
      </c>
      <c r="S2603" s="297" t="s">
        <v>214</v>
      </c>
    </row>
    <row r="2604" spans="1:19" x14ac:dyDescent="0.4">
      <c r="A2604" s="291"/>
      <c r="B2604" s="292"/>
      <c r="C2604" s="312"/>
      <c r="D2604" s="292"/>
      <c r="E2604" s="489"/>
      <c r="F2604" s="489"/>
      <c r="G2604" s="490"/>
      <c r="H2604" s="520"/>
      <c r="I2604" s="523"/>
      <c r="J2604" s="521"/>
      <c r="K2604" s="522"/>
      <c r="M2604" s="301" t="str">
        <f>N2604&amp;AS[[#This Row],[Insurer Code]]&amp;"; "&amp;O2604&amp;AS[[#This Row],[Reporting Year]]&amp;"; "&amp;P2604&amp;AS[[#This Row],[Insurance Category Code]]&amp;"; "&amp;Q2604&amp;AS[[#This Row],[Large Provider Entity Code]]&amp;"; "&amp;R2604&amp;AS[[#This Row],[Age Band Code]]&amp;"; "&amp;S2604&amp;AS[[#This Row],[Sex Code]]</f>
        <v xml:space="preserve">Insurer Code ; Reporting Year ; Insurance Category Code ; Large Provider Entity Code ; Age Band Code ; Sex Code </v>
      </c>
      <c r="N2604" s="297" t="s">
        <v>197</v>
      </c>
      <c r="O2604" s="297" t="s">
        <v>198</v>
      </c>
      <c r="P2604" s="297" t="s">
        <v>199</v>
      </c>
      <c r="Q2604" s="297" t="s">
        <v>200</v>
      </c>
      <c r="R2604" s="297" t="s">
        <v>213</v>
      </c>
      <c r="S2604" s="297" t="s">
        <v>214</v>
      </c>
    </row>
    <row r="2605" spans="1:19" x14ac:dyDescent="0.4">
      <c r="A2605" s="291"/>
      <c r="B2605" s="292"/>
      <c r="C2605" s="312"/>
      <c r="D2605" s="292"/>
      <c r="E2605" s="489"/>
      <c r="F2605" s="489"/>
      <c r="G2605" s="490"/>
      <c r="H2605" s="520"/>
      <c r="I2605" s="523"/>
      <c r="J2605" s="521"/>
      <c r="K2605" s="522"/>
      <c r="M2605" s="301" t="str">
        <f>N2605&amp;AS[[#This Row],[Insurer Code]]&amp;"; "&amp;O2605&amp;AS[[#This Row],[Reporting Year]]&amp;"; "&amp;P2605&amp;AS[[#This Row],[Insurance Category Code]]&amp;"; "&amp;Q2605&amp;AS[[#This Row],[Large Provider Entity Code]]&amp;"; "&amp;R2605&amp;AS[[#This Row],[Age Band Code]]&amp;"; "&amp;S2605&amp;AS[[#This Row],[Sex Code]]</f>
        <v xml:space="preserve">Insurer Code ; Reporting Year ; Insurance Category Code ; Large Provider Entity Code ; Age Band Code ; Sex Code </v>
      </c>
      <c r="N2605" s="297" t="s">
        <v>197</v>
      </c>
      <c r="O2605" s="297" t="s">
        <v>198</v>
      </c>
      <c r="P2605" s="297" t="s">
        <v>199</v>
      </c>
      <c r="Q2605" s="297" t="s">
        <v>200</v>
      </c>
      <c r="R2605" s="297" t="s">
        <v>213</v>
      </c>
      <c r="S2605" s="297" t="s">
        <v>214</v>
      </c>
    </row>
    <row r="2606" spans="1:19" x14ac:dyDescent="0.4">
      <c r="A2606" s="291"/>
      <c r="B2606" s="292"/>
      <c r="C2606" s="312"/>
      <c r="D2606" s="292"/>
      <c r="E2606" s="489"/>
      <c r="F2606" s="489"/>
      <c r="G2606" s="490"/>
      <c r="H2606" s="520"/>
      <c r="I2606" s="523"/>
      <c r="J2606" s="521"/>
      <c r="K2606" s="522"/>
      <c r="M2606" s="301" t="str">
        <f>N2606&amp;AS[[#This Row],[Insurer Code]]&amp;"; "&amp;O2606&amp;AS[[#This Row],[Reporting Year]]&amp;"; "&amp;P2606&amp;AS[[#This Row],[Insurance Category Code]]&amp;"; "&amp;Q2606&amp;AS[[#This Row],[Large Provider Entity Code]]&amp;"; "&amp;R2606&amp;AS[[#This Row],[Age Band Code]]&amp;"; "&amp;S2606&amp;AS[[#This Row],[Sex Code]]</f>
        <v xml:space="preserve">Insurer Code ; Reporting Year ; Insurance Category Code ; Large Provider Entity Code ; Age Band Code ; Sex Code </v>
      </c>
      <c r="N2606" s="297" t="s">
        <v>197</v>
      </c>
      <c r="O2606" s="297" t="s">
        <v>198</v>
      </c>
      <c r="P2606" s="297" t="s">
        <v>199</v>
      </c>
      <c r="Q2606" s="297" t="s">
        <v>200</v>
      </c>
      <c r="R2606" s="297" t="s">
        <v>213</v>
      </c>
      <c r="S2606" s="297" t="s">
        <v>214</v>
      </c>
    </row>
    <row r="2607" spans="1:19" x14ac:dyDescent="0.4">
      <c r="A2607" s="291"/>
      <c r="B2607" s="292"/>
      <c r="C2607" s="312"/>
      <c r="D2607" s="292"/>
      <c r="E2607" s="489"/>
      <c r="F2607" s="489"/>
      <c r="G2607" s="490"/>
      <c r="H2607" s="520"/>
      <c r="I2607" s="523"/>
      <c r="J2607" s="521"/>
      <c r="K2607" s="522"/>
      <c r="M2607" s="301" t="str">
        <f>N2607&amp;AS[[#This Row],[Insurer Code]]&amp;"; "&amp;O2607&amp;AS[[#This Row],[Reporting Year]]&amp;"; "&amp;P2607&amp;AS[[#This Row],[Insurance Category Code]]&amp;"; "&amp;Q2607&amp;AS[[#This Row],[Large Provider Entity Code]]&amp;"; "&amp;R2607&amp;AS[[#This Row],[Age Band Code]]&amp;"; "&amp;S2607&amp;AS[[#This Row],[Sex Code]]</f>
        <v xml:space="preserve">Insurer Code ; Reporting Year ; Insurance Category Code ; Large Provider Entity Code ; Age Band Code ; Sex Code </v>
      </c>
      <c r="N2607" s="297" t="s">
        <v>197</v>
      </c>
      <c r="O2607" s="297" t="s">
        <v>198</v>
      </c>
      <c r="P2607" s="297" t="s">
        <v>199</v>
      </c>
      <c r="Q2607" s="297" t="s">
        <v>200</v>
      </c>
      <c r="R2607" s="297" t="s">
        <v>213</v>
      </c>
      <c r="S2607" s="297" t="s">
        <v>214</v>
      </c>
    </row>
    <row r="2608" spans="1:19" x14ac:dyDescent="0.4">
      <c r="A2608" s="291"/>
      <c r="B2608" s="292"/>
      <c r="C2608" s="312"/>
      <c r="D2608" s="292"/>
      <c r="E2608" s="489"/>
      <c r="F2608" s="489"/>
      <c r="G2608" s="490"/>
      <c r="H2608" s="520"/>
      <c r="I2608" s="523"/>
      <c r="J2608" s="521"/>
      <c r="K2608" s="522"/>
      <c r="M2608" s="301" t="str">
        <f>N2608&amp;AS[[#This Row],[Insurer Code]]&amp;"; "&amp;O2608&amp;AS[[#This Row],[Reporting Year]]&amp;"; "&amp;P2608&amp;AS[[#This Row],[Insurance Category Code]]&amp;"; "&amp;Q2608&amp;AS[[#This Row],[Large Provider Entity Code]]&amp;"; "&amp;R2608&amp;AS[[#This Row],[Age Band Code]]&amp;"; "&amp;S2608&amp;AS[[#This Row],[Sex Code]]</f>
        <v xml:space="preserve">Insurer Code ; Reporting Year ; Insurance Category Code ; Large Provider Entity Code ; Age Band Code ; Sex Code </v>
      </c>
      <c r="N2608" s="297" t="s">
        <v>197</v>
      </c>
      <c r="O2608" s="297" t="s">
        <v>198</v>
      </c>
      <c r="P2608" s="297" t="s">
        <v>199</v>
      </c>
      <c r="Q2608" s="297" t="s">
        <v>200</v>
      </c>
      <c r="R2608" s="297" t="s">
        <v>213</v>
      </c>
      <c r="S2608" s="297" t="s">
        <v>214</v>
      </c>
    </row>
    <row r="2609" spans="1:19" x14ac:dyDescent="0.4">
      <c r="A2609" s="291"/>
      <c r="B2609" s="292"/>
      <c r="C2609" s="312"/>
      <c r="D2609" s="292"/>
      <c r="E2609" s="489"/>
      <c r="F2609" s="489"/>
      <c r="G2609" s="490"/>
      <c r="H2609" s="520"/>
      <c r="I2609" s="523"/>
      <c r="J2609" s="521"/>
      <c r="K2609" s="522"/>
      <c r="M2609" s="301" t="str">
        <f>N2609&amp;AS[[#This Row],[Insurer Code]]&amp;"; "&amp;O2609&amp;AS[[#This Row],[Reporting Year]]&amp;"; "&amp;P2609&amp;AS[[#This Row],[Insurance Category Code]]&amp;"; "&amp;Q2609&amp;AS[[#This Row],[Large Provider Entity Code]]&amp;"; "&amp;R2609&amp;AS[[#This Row],[Age Band Code]]&amp;"; "&amp;S2609&amp;AS[[#This Row],[Sex Code]]</f>
        <v xml:space="preserve">Insurer Code ; Reporting Year ; Insurance Category Code ; Large Provider Entity Code ; Age Band Code ; Sex Code </v>
      </c>
      <c r="N2609" s="297" t="s">
        <v>197</v>
      </c>
      <c r="O2609" s="297" t="s">
        <v>198</v>
      </c>
      <c r="P2609" s="297" t="s">
        <v>199</v>
      </c>
      <c r="Q2609" s="297" t="s">
        <v>200</v>
      </c>
      <c r="R2609" s="297" t="s">
        <v>213</v>
      </c>
      <c r="S2609" s="297" t="s">
        <v>214</v>
      </c>
    </row>
    <row r="2610" spans="1:19" x14ac:dyDescent="0.4">
      <c r="A2610" s="291"/>
      <c r="B2610" s="292"/>
      <c r="C2610" s="312"/>
      <c r="D2610" s="292"/>
      <c r="E2610" s="489"/>
      <c r="F2610" s="489"/>
      <c r="G2610" s="490"/>
      <c r="H2610" s="520"/>
      <c r="I2610" s="523"/>
      <c r="J2610" s="521"/>
      <c r="K2610" s="522"/>
      <c r="M2610" s="301" t="str">
        <f>N2610&amp;AS[[#This Row],[Insurer Code]]&amp;"; "&amp;O2610&amp;AS[[#This Row],[Reporting Year]]&amp;"; "&amp;P2610&amp;AS[[#This Row],[Insurance Category Code]]&amp;"; "&amp;Q2610&amp;AS[[#This Row],[Large Provider Entity Code]]&amp;"; "&amp;R2610&amp;AS[[#This Row],[Age Band Code]]&amp;"; "&amp;S2610&amp;AS[[#This Row],[Sex Code]]</f>
        <v xml:space="preserve">Insurer Code ; Reporting Year ; Insurance Category Code ; Large Provider Entity Code ; Age Band Code ; Sex Code </v>
      </c>
      <c r="N2610" s="297" t="s">
        <v>197</v>
      </c>
      <c r="O2610" s="297" t="s">
        <v>198</v>
      </c>
      <c r="P2610" s="297" t="s">
        <v>199</v>
      </c>
      <c r="Q2610" s="297" t="s">
        <v>200</v>
      </c>
      <c r="R2610" s="297" t="s">
        <v>213</v>
      </c>
      <c r="S2610" s="297" t="s">
        <v>214</v>
      </c>
    </row>
    <row r="2611" spans="1:19" x14ac:dyDescent="0.4">
      <c r="A2611" s="291"/>
      <c r="B2611" s="292"/>
      <c r="C2611" s="312"/>
      <c r="D2611" s="292"/>
      <c r="E2611" s="489"/>
      <c r="F2611" s="489"/>
      <c r="G2611" s="490"/>
      <c r="H2611" s="520"/>
      <c r="I2611" s="523"/>
      <c r="J2611" s="521"/>
      <c r="K2611" s="522"/>
      <c r="M2611" s="301" t="str">
        <f>N2611&amp;AS[[#This Row],[Insurer Code]]&amp;"; "&amp;O2611&amp;AS[[#This Row],[Reporting Year]]&amp;"; "&amp;P2611&amp;AS[[#This Row],[Insurance Category Code]]&amp;"; "&amp;Q2611&amp;AS[[#This Row],[Large Provider Entity Code]]&amp;"; "&amp;R2611&amp;AS[[#This Row],[Age Band Code]]&amp;"; "&amp;S2611&amp;AS[[#This Row],[Sex Code]]</f>
        <v xml:space="preserve">Insurer Code ; Reporting Year ; Insurance Category Code ; Large Provider Entity Code ; Age Band Code ; Sex Code </v>
      </c>
      <c r="N2611" s="297" t="s">
        <v>197</v>
      </c>
      <c r="O2611" s="297" t="s">
        <v>198</v>
      </c>
      <c r="P2611" s="297" t="s">
        <v>199</v>
      </c>
      <c r="Q2611" s="297" t="s">
        <v>200</v>
      </c>
      <c r="R2611" s="297" t="s">
        <v>213</v>
      </c>
      <c r="S2611" s="297" t="s">
        <v>214</v>
      </c>
    </row>
    <row r="2612" spans="1:19" x14ac:dyDescent="0.4">
      <c r="A2612" s="291"/>
      <c r="B2612" s="292"/>
      <c r="C2612" s="312"/>
      <c r="D2612" s="292"/>
      <c r="E2612" s="489"/>
      <c r="F2612" s="489"/>
      <c r="G2612" s="490"/>
      <c r="H2612" s="520"/>
      <c r="I2612" s="523"/>
      <c r="J2612" s="521"/>
      <c r="K2612" s="522"/>
      <c r="M2612" s="301" t="str">
        <f>N2612&amp;AS[[#This Row],[Insurer Code]]&amp;"; "&amp;O2612&amp;AS[[#This Row],[Reporting Year]]&amp;"; "&amp;P2612&amp;AS[[#This Row],[Insurance Category Code]]&amp;"; "&amp;Q2612&amp;AS[[#This Row],[Large Provider Entity Code]]&amp;"; "&amp;R2612&amp;AS[[#This Row],[Age Band Code]]&amp;"; "&amp;S2612&amp;AS[[#This Row],[Sex Code]]</f>
        <v xml:space="preserve">Insurer Code ; Reporting Year ; Insurance Category Code ; Large Provider Entity Code ; Age Band Code ; Sex Code </v>
      </c>
      <c r="N2612" s="297" t="s">
        <v>197</v>
      </c>
      <c r="O2612" s="297" t="s">
        <v>198</v>
      </c>
      <c r="P2612" s="297" t="s">
        <v>199</v>
      </c>
      <c r="Q2612" s="297" t="s">
        <v>200</v>
      </c>
      <c r="R2612" s="297" t="s">
        <v>213</v>
      </c>
      <c r="S2612" s="297" t="s">
        <v>214</v>
      </c>
    </row>
    <row r="2613" spans="1:19" x14ac:dyDescent="0.4">
      <c r="A2613" s="291"/>
      <c r="B2613" s="292"/>
      <c r="C2613" s="312"/>
      <c r="D2613" s="292"/>
      <c r="E2613" s="489"/>
      <c r="F2613" s="489"/>
      <c r="G2613" s="490"/>
      <c r="H2613" s="520"/>
      <c r="I2613" s="523"/>
      <c r="J2613" s="521"/>
      <c r="K2613" s="522"/>
      <c r="M2613" s="301" t="str">
        <f>N2613&amp;AS[[#This Row],[Insurer Code]]&amp;"; "&amp;O2613&amp;AS[[#This Row],[Reporting Year]]&amp;"; "&amp;P2613&amp;AS[[#This Row],[Insurance Category Code]]&amp;"; "&amp;Q2613&amp;AS[[#This Row],[Large Provider Entity Code]]&amp;"; "&amp;R2613&amp;AS[[#This Row],[Age Band Code]]&amp;"; "&amp;S2613&amp;AS[[#This Row],[Sex Code]]</f>
        <v xml:space="preserve">Insurer Code ; Reporting Year ; Insurance Category Code ; Large Provider Entity Code ; Age Band Code ; Sex Code </v>
      </c>
      <c r="N2613" s="297" t="s">
        <v>197</v>
      </c>
      <c r="O2613" s="297" t="s">
        <v>198</v>
      </c>
      <c r="P2613" s="297" t="s">
        <v>199</v>
      </c>
      <c r="Q2613" s="297" t="s">
        <v>200</v>
      </c>
      <c r="R2613" s="297" t="s">
        <v>213</v>
      </c>
      <c r="S2613" s="297" t="s">
        <v>214</v>
      </c>
    </row>
    <row r="2614" spans="1:19" x14ac:dyDescent="0.4">
      <c r="A2614" s="291"/>
      <c r="B2614" s="292"/>
      <c r="C2614" s="312"/>
      <c r="D2614" s="292"/>
      <c r="E2614" s="489"/>
      <c r="F2614" s="489"/>
      <c r="G2614" s="490"/>
      <c r="H2614" s="520"/>
      <c r="I2614" s="523"/>
      <c r="J2614" s="521"/>
      <c r="K2614" s="522"/>
      <c r="M2614" s="301" t="str">
        <f>N2614&amp;AS[[#This Row],[Insurer Code]]&amp;"; "&amp;O2614&amp;AS[[#This Row],[Reporting Year]]&amp;"; "&amp;P2614&amp;AS[[#This Row],[Insurance Category Code]]&amp;"; "&amp;Q2614&amp;AS[[#This Row],[Large Provider Entity Code]]&amp;"; "&amp;R2614&amp;AS[[#This Row],[Age Band Code]]&amp;"; "&amp;S2614&amp;AS[[#This Row],[Sex Code]]</f>
        <v xml:space="preserve">Insurer Code ; Reporting Year ; Insurance Category Code ; Large Provider Entity Code ; Age Band Code ; Sex Code </v>
      </c>
      <c r="N2614" s="297" t="s">
        <v>197</v>
      </c>
      <c r="O2614" s="297" t="s">
        <v>198</v>
      </c>
      <c r="P2614" s="297" t="s">
        <v>199</v>
      </c>
      <c r="Q2614" s="297" t="s">
        <v>200</v>
      </c>
      <c r="R2614" s="297" t="s">
        <v>213</v>
      </c>
      <c r="S2614" s="297" t="s">
        <v>214</v>
      </c>
    </row>
    <row r="2615" spans="1:19" x14ac:dyDescent="0.4">
      <c r="A2615" s="291"/>
      <c r="B2615" s="292"/>
      <c r="C2615" s="312"/>
      <c r="D2615" s="292"/>
      <c r="E2615" s="489"/>
      <c r="F2615" s="489"/>
      <c r="G2615" s="490"/>
      <c r="H2615" s="520"/>
      <c r="I2615" s="523"/>
      <c r="J2615" s="521"/>
      <c r="K2615" s="522"/>
      <c r="M2615" s="301" t="str">
        <f>N2615&amp;AS[[#This Row],[Insurer Code]]&amp;"; "&amp;O2615&amp;AS[[#This Row],[Reporting Year]]&amp;"; "&amp;P2615&amp;AS[[#This Row],[Insurance Category Code]]&amp;"; "&amp;Q2615&amp;AS[[#This Row],[Large Provider Entity Code]]&amp;"; "&amp;R2615&amp;AS[[#This Row],[Age Band Code]]&amp;"; "&amp;S2615&amp;AS[[#This Row],[Sex Code]]</f>
        <v xml:space="preserve">Insurer Code ; Reporting Year ; Insurance Category Code ; Large Provider Entity Code ; Age Band Code ; Sex Code </v>
      </c>
      <c r="N2615" s="297" t="s">
        <v>197</v>
      </c>
      <c r="O2615" s="297" t="s">
        <v>198</v>
      </c>
      <c r="P2615" s="297" t="s">
        <v>199</v>
      </c>
      <c r="Q2615" s="297" t="s">
        <v>200</v>
      </c>
      <c r="R2615" s="297" t="s">
        <v>213</v>
      </c>
      <c r="S2615" s="297" t="s">
        <v>214</v>
      </c>
    </row>
    <row r="2616" spans="1:19" x14ac:dyDescent="0.4">
      <c r="A2616" s="291"/>
      <c r="B2616" s="292"/>
      <c r="C2616" s="312"/>
      <c r="D2616" s="292"/>
      <c r="E2616" s="489"/>
      <c r="F2616" s="489"/>
      <c r="G2616" s="490"/>
      <c r="H2616" s="520"/>
      <c r="I2616" s="523"/>
      <c r="J2616" s="521"/>
      <c r="K2616" s="522"/>
      <c r="M2616" s="301" t="str">
        <f>N2616&amp;AS[[#This Row],[Insurer Code]]&amp;"; "&amp;O2616&amp;AS[[#This Row],[Reporting Year]]&amp;"; "&amp;P2616&amp;AS[[#This Row],[Insurance Category Code]]&amp;"; "&amp;Q2616&amp;AS[[#This Row],[Large Provider Entity Code]]&amp;"; "&amp;R2616&amp;AS[[#This Row],[Age Band Code]]&amp;"; "&amp;S2616&amp;AS[[#This Row],[Sex Code]]</f>
        <v xml:space="preserve">Insurer Code ; Reporting Year ; Insurance Category Code ; Large Provider Entity Code ; Age Band Code ; Sex Code </v>
      </c>
      <c r="N2616" s="297" t="s">
        <v>197</v>
      </c>
      <c r="O2616" s="297" t="s">
        <v>198</v>
      </c>
      <c r="P2616" s="297" t="s">
        <v>199</v>
      </c>
      <c r="Q2616" s="297" t="s">
        <v>200</v>
      </c>
      <c r="R2616" s="297" t="s">
        <v>213</v>
      </c>
      <c r="S2616" s="297" t="s">
        <v>214</v>
      </c>
    </row>
    <row r="2617" spans="1:19" x14ac:dyDescent="0.4">
      <c r="A2617" s="291"/>
      <c r="B2617" s="292"/>
      <c r="C2617" s="312"/>
      <c r="D2617" s="292"/>
      <c r="E2617" s="489"/>
      <c r="F2617" s="489"/>
      <c r="G2617" s="490"/>
      <c r="H2617" s="520"/>
      <c r="I2617" s="523"/>
      <c r="J2617" s="521"/>
      <c r="K2617" s="522"/>
      <c r="M2617" s="301" t="str">
        <f>N2617&amp;AS[[#This Row],[Insurer Code]]&amp;"; "&amp;O2617&amp;AS[[#This Row],[Reporting Year]]&amp;"; "&amp;P2617&amp;AS[[#This Row],[Insurance Category Code]]&amp;"; "&amp;Q2617&amp;AS[[#This Row],[Large Provider Entity Code]]&amp;"; "&amp;R2617&amp;AS[[#This Row],[Age Band Code]]&amp;"; "&amp;S2617&amp;AS[[#This Row],[Sex Code]]</f>
        <v xml:space="preserve">Insurer Code ; Reporting Year ; Insurance Category Code ; Large Provider Entity Code ; Age Band Code ; Sex Code </v>
      </c>
      <c r="N2617" s="297" t="s">
        <v>197</v>
      </c>
      <c r="O2617" s="297" t="s">
        <v>198</v>
      </c>
      <c r="P2617" s="297" t="s">
        <v>199</v>
      </c>
      <c r="Q2617" s="297" t="s">
        <v>200</v>
      </c>
      <c r="R2617" s="297" t="s">
        <v>213</v>
      </c>
      <c r="S2617" s="297" t="s">
        <v>214</v>
      </c>
    </row>
    <row r="2618" spans="1:19" x14ac:dyDescent="0.4">
      <c r="A2618" s="291"/>
      <c r="B2618" s="292"/>
      <c r="C2618" s="312"/>
      <c r="D2618" s="292"/>
      <c r="E2618" s="489"/>
      <c r="F2618" s="489"/>
      <c r="G2618" s="490"/>
      <c r="H2618" s="520"/>
      <c r="I2618" s="523"/>
      <c r="J2618" s="521"/>
      <c r="K2618" s="522"/>
      <c r="M2618" s="301" t="str">
        <f>N2618&amp;AS[[#This Row],[Insurer Code]]&amp;"; "&amp;O2618&amp;AS[[#This Row],[Reporting Year]]&amp;"; "&amp;P2618&amp;AS[[#This Row],[Insurance Category Code]]&amp;"; "&amp;Q2618&amp;AS[[#This Row],[Large Provider Entity Code]]&amp;"; "&amp;R2618&amp;AS[[#This Row],[Age Band Code]]&amp;"; "&amp;S2618&amp;AS[[#This Row],[Sex Code]]</f>
        <v xml:space="preserve">Insurer Code ; Reporting Year ; Insurance Category Code ; Large Provider Entity Code ; Age Band Code ; Sex Code </v>
      </c>
      <c r="N2618" s="297" t="s">
        <v>197</v>
      </c>
      <c r="O2618" s="297" t="s">
        <v>198</v>
      </c>
      <c r="P2618" s="297" t="s">
        <v>199</v>
      </c>
      <c r="Q2618" s="297" t="s">
        <v>200</v>
      </c>
      <c r="R2618" s="297" t="s">
        <v>213</v>
      </c>
      <c r="S2618" s="297" t="s">
        <v>214</v>
      </c>
    </row>
    <row r="2619" spans="1:19" x14ac:dyDescent="0.4">
      <c r="A2619" s="291"/>
      <c r="B2619" s="292"/>
      <c r="C2619" s="312"/>
      <c r="D2619" s="292"/>
      <c r="E2619" s="489"/>
      <c r="F2619" s="489"/>
      <c r="G2619" s="490"/>
      <c r="H2619" s="520"/>
      <c r="I2619" s="523"/>
      <c r="J2619" s="521"/>
      <c r="K2619" s="522"/>
      <c r="M2619" s="301" t="str">
        <f>N2619&amp;AS[[#This Row],[Insurer Code]]&amp;"; "&amp;O2619&amp;AS[[#This Row],[Reporting Year]]&amp;"; "&amp;P2619&amp;AS[[#This Row],[Insurance Category Code]]&amp;"; "&amp;Q2619&amp;AS[[#This Row],[Large Provider Entity Code]]&amp;"; "&amp;R2619&amp;AS[[#This Row],[Age Band Code]]&amp;"; "&amp;S2619&amp;AS[[#This Row],[Sex Code]]</f>
        <v xml:space="preserve">Insurer Code ; Reporting Year ; Insurance Category Code ; Large Provider Entity Code ; Age Band Code ; Sex Code </v>
      </c>
      <c r="N2619" s="297" t="s">
        <v>197</v>
      </c>
      <c r="O2619" s="297" t="s">
        <v>198</v>
      </c>
      <c r="P2619" s="297" t="s">
        <v>199</v>
      </c>
      <c r="Q2619" s="297" t="s">
        <v>200</v>
      </c>
      <c r="R2619" s="297" t="s">
        <v>213</v>
      </c>
      <c r="S2619" s="297" t="s">
        <v>214</v>
      </c>
    </row>
    <row r="2620" spans="1:19" x14ac:dyDescent="0.4">
      <c r="A2620" s="291"/>
      <c r="B2620" s="292"/>
      <c r="C2620" s="312"/>
      <c r="D2620" s="292"/>
      <c r="E2620" s="489"/>
      <c r="F2620" s="489"/>
      <c r="G2620" s="490"/>
      <c r="H2620" s="520"/>
      <c r="I2620" s="523"/>
      <c r="J2620" s="521"/>
      <c r="K2620" s="522"/>
      <c r="M2620" s="301" t="str">
        <f>N2620&amp;AS[[#This Row],[Insurer Code]]&amp;"; "&amp;O2620&amp;AS[[#This Row],[Reporting Year]]&amp;"; "&amp;P2620&amp;AS[[#This Row],[Insurance Category Code]]&amp;"; "&amp;Q2620&amp;AS[[#This Row],[Large Provider Entity Code]]&amp;"; "&amp;R2620&amp;AS[[#This Row],[Age Band Code]]&amp;"; "&amp;S2620&amp;AS[[#This Row],[Sex Code]]</f>
        <v xml:space="preserve">Insurer Code ; Reporting Year ; Insurance Category Code ; Large Provider Entity Code ; Age Band Code ; Sex Code </v>
      </c>
      <c r="N2620" s="297" t="s">
        <v>197</v>
      </c>
      <c r="O2620" s="297" t="s">
        <v>198</v>
      </c>
      <c r="P2620" s="297" t="s">
        <v>199</v>
      </c>
      <c r="Q2620" s="297" t="s">
        <v>200</v>
      </c>
      <c r="R2620" s="297" t="s">
        <v>213</v>
      </c>
      <c r="S2620" s="297" t="s">
        <v>214</v>
      </c>
    </row>
    <row r="2621" spans="1:19" x14ac:dyDescent="0.4">
      <c r="A2621" s="291"/>
      <c r="B2621" s="292"/>
      <c r="C2621" s="312"/>
      <c r="D2621" s="292"/>
      <c r="E2621" s="489"/>
      <c r="F2621" s="489"/>
      <c r="G2621" s="490"/>
      <c r="H2621" s="520"/>
      <c r="I2621" s="523"/>
      <c r="J2621" s="521"/>
      <c r="K2621" s="522"/>
      <c r="M2621" s="301" t="str">
        <f>N2621&amp;AS[[#This Row],[Insurer Code]]&amp;"; "&amp;O2621&amp;AS[[#This Row],[Reporting Year]]&amp;"; "&amp;P2621&amp;AS[[#This Row],[Insurance Category Code]]&amp;"; "&amp;Q2621&amp;AS[[#This Row],[Large Provider Entity Code]]&amp;"; "&amp;R2621&amp;AS[[#This Row],[Age Band Code]]&amp;"; "&amp;S2621&amp;AS[[#This Row],[Sex Code]]</f>
        <v xml:space="preserve">Insurer Code ; Reporting Year ; Insurance Category Code ; Large Provider Entity Code ; Age Band Code ; Sex Code </v>
      </c>
      <c r="N2621" s="297" t="s">
        <v>197</v>
      </c>
      <c r="O2621" s="297" t="s">
        <v>198</v>
      </c>
      <c r="P2621" s="297" t="s">
        <v>199</v>
      </c>
      <c r="Q2621" s="297" t="s">
        <v>200</v>
      </c>
      <c r="R2621" s="297" t="s">
        <v>213</v>
      </c>
      <c r="S2621" s="297" t="s">
        <v>214</v>
      </c>
    </row>
    <row r="2622" spans="1:19" x14ac:dyDescent="0.4">
      <c r="A2622" s="291"/>
      <c r="B2622" s="292"/>
      <c r="C2622" s="312"/>
      <c r="D2622" s="292"/>
      <c r="E2622" s="489"/>
      <c r="F2622" s="489"/>
      <c r="G2622" s="490"/>
      <c r="H2622" s="520"/>
      <c r="I2622" s="523"/>
      <c r="J2622" s="521"/>
      <c r="K2622" s="522"/>
      <c r="M2622" s="301" t="str">
        <f>N2622&amp;AS[[#This Row],[Insurer Code]]&amp;"; "&amp;O2622&amp;AS[[#This Row],[Reporting Year]]&amp;"; "&amp;P2622&amp;AS[[#This Row],[Insurance Category Code]]&amp;"; "&amp;Q2622&amp;AS[[#This Row],[Large Provider Entity Code]]&amp;"; "&amp;R2622&amp;AS[[#This Row],[Age Band Code]]&amp;"; "&amp;S2622&amp;AS[[#This Row],[Sex Code]]</f>
        <v xml:space="preserve">Insurer Code ; Reporting Year ; Insurance Category Code ; Large Provider Entity Code ; Age Band Code ; Sex Code </v>
      </c>
      <c r="N2622" s="297" t="s">
        <v>197</v>
      </c>
      <c r="O2622" s="297" t="s">
        <v>198</v>
      </c>
      <c r="P2622" s="297" t="s">
        <v>199</v>
      </c>
      <c r="Q2622" s="297" t="s">
        <v>200</v>
      </c>
      <c r="R2622" s="297" t="s">
        <v>213</v>
      </c>
      <c r="S2622" s="297" t="s">
        <v>214</v>
      </c>
    </row>
    <row r="2623" spans="1:19" x14ac:dyDescent="0.4">
      <c r="A2623" s="291"/>
      <c r="B2623" s="292"/>
      <c r="C2623" s="312"/>
      <c r="D2623" s="292"/>
      <c r="E2623" s="489"/>
      <c r="F2623" s="489"/>
      <c r="G2623" s="490"/>
      <c r="H2623" s="520"/>
      <c r="I2623" s="523"/>
      <c r="J2623" s="521"/>
      <c r="K2623" s="522"/>
      <c r="M2623" s="301" t="str">
        <f>N2623&amp;AS[[#This Row],[Insurer Code]]&amp;"; "&amp;O2623&amp;AS[[#This Row],[Reporting Year]]&amp;"; "&amp;P2623&amp;AS[[#This Row],[Insurance Category Code]]&amp;"; "&amp;Q2623&amp;AS[[#This Row],[Large Provider Entity Code]]&amp;"; "&amp;R2623&amp;AS[[#This Row],[Age Band Code]]&amp;"; "&amp;S2623&amp;AS[[#This Row],[Sex Code]]</f>
        <v xml:space="preserve">Insurer Code ; Reporting Year ; Insurance Category Code ; Large Provider Entity Code ; Age Band Code ; Sex Code </v>
      </c>
      <c r="N2623" s="297" t="s">
        <v>197</v>
      </c>
      <c r="O2623" s="297" t="s">
        <v>198</v>
      </c>
      <c r="P2623" s="297" t="s">
        <v>199</v>
      </c>
      <c r="Q2623" s="297" t="s">
        <v>200</v>
      </c>
      <c r="R2623" s="297" t="s">
        <v>213</v>
      </c>
      <c r="S2623" s="297" t="s">
        <v>214</v>
      </c>
    </row>
    <row r="2624" spans="1:19" x14ac:dyDescent="0.4">
      <c r="A2624" s="291"/>
      <c r="B2624" s="292"/>
      <c r="C2624" s="312"/>
      <c r="D2624" s="292"/>
      <c r="E2624" s="489"/>
      <c r="F2624" s="489"/>
      <c r="G2624" s="490"/>
      <c r="H2624" s="520"/>
      <c r="I2624" s="523"/>
      <c r="J2624" s="521"/>
      <c r="K2624" s="522"/>
      <c r="M2624" s="301" t="str">
        <f>N2624&amp;AS[[#This Row],[Insurer Code]]&amp;"; "&amp;O2624&amp;AS[[#This Row],[Reporting Year]]&amp;"; "&amp;P2624&amp;AS[[#This Row],[Insurance Category Code]]&amp;"; "&amp;Q2624&amp;AS[[#This Row],[Large Provider Entity Code]]&amp;"; "&amp;R2624&amp;AS[[#This Row],[Age Band Code]]&amp;"; "&amp;S2624&amp;AS[[#This Row],[Sex Code]]</f>
        <v xml:space="preserve">Insurer Code ; Reporting Year ; Insurance Category Code ; Large Provider Entity Code ; Age Band Code ; Sex Code </v>
      </c>
      <c r="N2624" s="297" t="s">
        <v>197</v>
      </c>
      <c r="O2624" s="297" t="s">
        <v>198</v>
      </c>
      <c r="P2624" s="297" t="s">
        <v>199</v>
      </c>
      <c r="Q2624" s="297" t="s">
        <v>200</v>
      </c>
      <c r="R2624" s="297" t="s">
        <v>213</v>
      </c>
      <c r="S2624" s="297" t="s">
        <v>214</v>
      </c>
    </row>
    <row r="2625" spans="1:19" x14ac:dyDescent="0.4">
      <c r="A2625" s="291"/>
      <c r="B2625" s="292"/>
      <c r="C2625" s="312"/>
      <c r="D2625" s="292"/>
      <c r="E2625" s="489"/>
      <c r="F2625" s="489"/>
      <c r="G2625" s="490"/>
      <c r="H2625" s="520"/>
      <c r="I2625" s="523"/>
      <c r="J2625" s="521"/>
      <c r="K2625" s="522"/>
      <c r="M2625" s="301" t="str">
        <f>N2625&amp;AS[[#This Row],[Insurer Code]]&amp;"; "&amp;O2625&amp;AS[[#This Row],[Reporting Year]]&amp;"; "&amp;P2625&amp;AS[[#This Row],[Insurance Category Code]]&amp;"; "&amp;Q2625&amp;AS[[#This Row],[Large Provider Entity Code]]&amp;"; "&amp;R2625&amp;AS[[#This Row],[Age Band Code]]&amp;"; "&amp;S2625&amp;AS[[#This Row],[Sex Code]]</f>
        <v xml:space="preserve">Insurer Code ; Reporting Year ; Insurance Category Code ; Large Provider Entity Code ; Age Band Code ; Sex Code </v>
      </c>
      <c r="N2625" s="297" t="s">
        <v>197</v>
      </c>
      <c r="O2625" s="297" t="s">
        <v>198</v>
      </c>
      <c r="P2625" s="297" t="s">
        <v>199</v>
      </c>
      <c r="Q2625" s="297" t="s">
        <v>200</v>
      </c>
      <c r="R2625" s="297" t="s">
        <v>213</v>
      </c>
      <c r="S2625" s="297" t="s">
        <v>214</v>
      </c>
    </row>
    <row r="2626" spans="1:19" x14ac:dyDescent="0.4">
      <c r="A2626" s="291"/>
      <c r="B2626" s="292"/>
      <c r="C2626" s="312"/>
      <c r="D2626" s="292"/>
      <c r="E2626" s="489"/>
      <c r="F2626" s="489"/>
      <c r="G2626" s="490"/>
      <c r="H2626" s="520"/>
      <c r="I2626" s="523"/>
      <c r="J2626" s="521"/>
      <c r="K2626" s="522"/>
      <c r="M2626" s="301" t="str">
        <f>N2626&amp;AS[[#This Row],[Insurer Code]]&amp;"; "&amp;O2626&amp;AS[[#This Row],[Reporting Year]]&amp;"; "&amp;P2626&amp;AS[[#This Row],[Insurance Category Code]]&amp;"; "&amp;Q2626&amp;AS[[#This Row],[Large Provider Entity Code]]&amp;"; "&amp;R2626&amp;AS[[#This Row],[Age Band Code]]&amp;"; "&amp;S2626&amp;AS[[#This Row],[Sex Code]]</f>
        <v xml:space="preserve">Insurer Code ; Reporting Year ; Insurance Category Code ; Large Provider Entity Code ; Age Band Code ; Sex Code </v>
      </c>
      <c r="N2626" s="297" t="s">
        <v>197</v>
      </c>
      <c r="O2626" s="297" t="s">
        <v>198</v>
      </c>
      <c r="P2626" s="297" t="s">
        <v>199</v>
      </c>
      <c r="Q2626" s="297" t="s">
        <v>200</v>
      </c>
      <c r="R2626" s="297" t="s">
        <v>213</v>
      </c>
      <c r="S2626" s="297" t="s">
        <v>214</v>
      </c>
    </row>
    <row r="2627" spans="1:19" x14ac:dyDescent="0.4">
      <c r="A2627" s="291"/>
      <c r="B2627" s="292"/>
      <c r="C2627" s="312"/>
      <c r="D2627" s="292"/>
      <c r="E2627" s="489"/>
      <c r="F2627" s="489"/>
      <c r="G2627" s="490"/>
      <c r="H2627" s="520"/>
      <c r="I2627" s="523"/>
      <c r="J2627" s="521"/>
      <c r="K2627" s="522"/>
      <c r="M2627" s="301" t="str">
        <f>N2627&amp;AS[[#This Row],[Insurer Code]]&amp;"; "&amp;O2627&amp;AS[[#This Row],[Reporting Year]]&amp;"; "&amp;P2627&amp;AS[[#This Row],[Insurance Category Code]]&amp;"; "&amp;Q2627&amp;AS[[#This Row],[Large Provider Entity Code]]&amp;"; "&amp;R2627&amp;AS[[#This Row],[Age Band Code]]&amp;"; "&amp;S2627&amp;AS[[#This Row],[Sex Code]]</f>
        <v xml:space="preserve">Insurer Code ; Reporting Year ; Insurance Category Code ; Large Provider Entity Code ; Age Band Code ; Sex Code </v>
      </c>
      <c r="N2627" s="297" t="s">
        <v>197</v>
      </c>
      <c r="O2627" s="297" t="s">
        <v>198</v>
      </c>
      <c r="P2627" s="297" t="s">
        <v>199</v>
      </c>
      <c r="Q2627" s="297" t="s">
        <v>200</v>
      </c>
      <c r="R2627" s="297" t="s">
        <v>213</v>
      </c>
      <c r="S2627" s="297" t="s">
        <v>214</v>
      </c>
    </row>
    <row r="2628" spans="1:19" x14ac:dyDescent="0.4">
      <c r="A2628" s="291"/>
      <c r="B2628" s="292"/>
      <c r="C2628" s="312"/>
      <c r="D2628" s="292"/>
      <c r="E2628" s="489"/>
      <c r="F2628" s="489"/>
      <c r="G2628" s="490"/>
      <c r="H2628" s="520"/>
      <c r="I2628" s="523"/>
      <c r="J2628" s="521"/>
      <c r="K2628" s="522"/>
      <c r="M2628" s="301" t="str">
        <f>N2628&amp;AS[[#This Row],[Insurer Code]]&amp;"; "&amp;O2628&amp;AS[[#This Row],[Reporting Year]]&amp;"; "&amp;P2628&amp;AS[[#This Row],[Insurance Category Code]]&amp;"; "&amp;Q2628&amp;AS[[#This Row],[Large Provider Entity Code]]&amp;"; "&amp;R2628&amp;AS[[#This Row],[Age Band Code]]&amp;"; "&amp;S2628&amp;AS[[#This Row],[Sex Code]]</f>
        <v xml:space="preserve">Insurer Code ; Reporting Year ; Insurance Category Code ; Large Provider Entity Code ; Age Band Code ; Sex Code </v>
      </c>
      <c r="N2628" s="297" t="s">
        <v>197</v>
      </c>
      <c r="O2628" s="297" t="s">
        <v>198</v>
      </c>
      <c r="P2628" s="297" t="s">
        <v>199</v>
      </c>
      <c r="Q2628" s="297" t="s">
        <v>200</v>
      </c>
      <c r="R2628" s="297" t="s">
        <v>213</v>
      </c>
      <c r="S2628" s="297" t="s">
        <v>214</v>
      </c>
    </row>
    <row r="2629" spans="1:19" x14ac:dyDescent="0.4">
      <c r="A2629" s="291"/>
      <c r="B2629" s="292"/>
      <c r="C2629" s="312"/>
      <c r="D2629" s="292"/>
      <c r="E2629" s="489"/>
      <c r="F2629" s="489"/>
      <c r="G2629" s="490"/>
      <c r="H2629" s="520"/>
      <c r="I2629" s="523"/>
      <c r="J2629" s="521"/>
      <c r="K2629" s="522"/>
      <c r="M2629" s="301" t="str">
        <f>N2629&amp;AS[[#This Row],[Insurer Code]]&amp;"; "&amp;O2629&amp;AS[[#This Row],[Reporting Year]]&amp;"; "&amp;P2629&amp;AS[[#This Row],[Insurance Category Code]]&amp;"; "&amp;Q2629&amp;AS[[#This Row],[Large Provider Entity Code]]&amp;"; "&amp;R2629&amp;AS[[#This Row],[Age Band Code]]&amp;"; "&amp;S2629&amp;AS[[#This Row],[Sex Code]]</f>
        <v xml:space="preserve">Insurer Code ; Reporting Year ; Insurance Category Code ; Large Provider Entity Code ; Age Band Code ; Sex Code </v>
      </c>
      <c r="N2629" s="297" t="s">
        <v>197</v>
      </c>
      <c r="O2629" s="297" t="s">
        <v>198</v>
      </c>
      <c r="P2629" s="297" t="s">
        <v>199</v>
      </c>
      <c r="Q2629" s="297" t="s">
        <v>200</v>
      </c>
      <c r="R2629" s="297" t="s">
        <v>213</v>
      </c>
      <c r="S2629" s="297" t="s">
        <v>214</v>
      </c>
    </row>
    <row r="2630" spans="1:19" x14ac:dyDescent="0.4">
      <c r="A2630" s="291"/>
      <c r="B2630" s="292"/>
      <c r="C2630" s="312"/>
      <c r="D2630" s="292"/>
      <c r="E2630" s="489"/>
      <c r="F2630" s="489"/>
      <c r="G2630" s="490"/>
      <c r="H2630" s="520"/>
      <c r="I2630" s="523"/>
      <c r="J2630" s="521"/>
      <c r="K2630" s="522"/>
      <c r="M2630" s="301" t="str">
        <f>N2630&amp;AS[[#This Row],[Insurer Code]]&amp;"; "&amp;O2630&amp;AS[[#This Row],[Reporting Year]]&amp;"; "&amp;P2630&amp;AS[[#This Row],[Insurance Category Code]]&amp;"; "&amp;Q2630&amp;AS[[#This Row],[Large Provider Entity Code]]&amp;"; "&amp;R2630&amp;AS[[#This Row],[Age Band Code]]&amp;"; "&amp;S2630&amp;AS[[#This Row],[Sex Code]]</f>
        <v xml:space="preserve">Insurer Code ; Reporting Year ; Insurance Category Code ; Large Provider Entity Code ; Age Band Code ; Sex Code </v>
      </c>
      <c r="N2630" s="297" t="s">
        <v>197</v>
      </c>
      <c r="O2630" s="297" t="s">
        <v>198</v>
      </c>
      <c r="P2630" s="297" t="s">
        <v>199</v>
      </c>
      <c r="Q2630" s="297" t="s">
        <v>200</v>
      </c>
      <c r="R2630" s="297" t="s">
        <v>213</v>
      </c>
      <c r="S2630" s="297" t="s">
        <v>214</v>
      </c>
    </row>
    <row r="2631" spans="1:19" x14ac:dyDescent="0.4">
      <c r="A2631" s="291"/>
      <c r="B2631" s="292"/>
      <c r="C2631" s="312"/>
      <c r="D2631" s="292"/>
      <c r="E2631" s="489"/>
      <c r="F2631" s="489"/>
      <c r="G2631" s="490"/>
      <c r="H2631" s="520"/>
      <c r="I2631" s="523"/>
      <c r="J2631" s="521"/>
      <c r="K2631" s="522"/>
      <c r="M2631" s="301" t="str">
        <f>N2631&amp;AS[[#This Row],[Insurer Code]]&amp;"; "&amp;O2631&amp;AS[[#This Row],[Reporting Year]]&amp;"; "&amp;P2631&amp;AS[[#This Row],[Insurance Category Code]]&amp;"; "&amp;Q2631&amp;AS[[#This Row],[Large Provider Entity Code]]&amp;"; "&amp;R2631&amp;AS[[#This Row],[Age Band Code]]&amp;"; "&amp;S2631&amp;AS[[#This Row],[Sex Code]]</f>
        <v xml:space="preserve">Insurer Code ; Reporting Year ; Insurance Category Code ; Large Provider Entity Code ; Age Band Code ; Sex Code </v>
      </c>
      <c r="N2631" s="297" t="s">
        <v>197</v>
      </c>
      <c r="O2631" s="297" t="s">
        <v>198</v>
      </c>
      <c r="P2631" s="297" t="s">
        <v>199</v>
      </c>
      <c r="Q2631" s="297" t="s">
        <v>200</v>
      </c>
      <c r="R2631" s="297" t="s">
        <v>213</v>
      </c>
      <c r="S2631" s="297" t="s">
        <v>214</v>
      </c>
    </row>
    <row r="2632" spans="1:19" x14ac:dyDescent="0.4">
      <c r="A2632" s="291"/>
      <c r="B2632" s="292"/>
      <c r="C2632" s="312"/>
      <c r="D2632" s="292"/>
      <c r="E2632" s="489"/>
      <c r="F2632" s="489"/>
      <c r="G2632" s="490"/>
      <c r="H2632" s="520"/>
      <c r="I2632" s="523"/>
      <c r="J2632" s="521"/>
      <c r="K2632" s="522"/>
      <c r="M2632" s="301" t="str">
        <f>N2632&amp;AS[[#This Row],[Insurer Code]]&amp;"; "&amp;O2632&amp;AS[[#This Row],[Reporting Year]]&amp;"; "&amp;P2632&amp;AS[[#This Row],[Insurance Category Code]]&amp;"; "&amp;Q2632&amp;AS[[#This Row],[Large Provider Entity Code]]&amp;"; "&amp;R2632&amp;AS[[#This Row],[Age Band Code]]&amp;"; "&amp;S2632&amp;AS[[#This Row],[Sex Code]]</f>
        <v xml:space="preserve">Insurer Code ; Reporting Year ; Insurance Category Code ; Large Provider Entity Code ; Age Band Code ; Sex Code </v>
      </c>
      <c r="N2632" s="297" t="s">
        <v>197</v>
      </c>
      <c r="O2632" s="297" t="s">
        <v>198</v>
      </c>
      <c r="P2632" s="297" t="s">
        <v>199</v>
      </c>
      <c r="Q2632" s="297" t="s">
        <v>200</v>
      </c>
      <c r="R2632" s="297" t="s">
        <v>213</v>
      </c>
      <c r="S2632" s="297" t="s">
        <v>214</v>
      </c>
    </row>
    <row r="2633" spans="1:19" x14ac:dyDescent="0.4">
      <c r="A2633" s="291"/>
      <c r="B2633" s="292"/>
      <c r="C2633" s="312"/>
      <c r="D2633" s="292"/>
      <c r="E2633" s="489"/>
      <c r="F2633" s="489"/>
      <c r="G2633" s="490"/>
      <c r="H2633" s="520"/>
      <c r="I2633" s="523"/>
      <c r="J2633" s="521"/>
      <c r="K2633" s="522"/>
      <c r="M2633" s="301" t="str">
        <f>N2633&amp;AS[[#This Row],[Insurer Code]]&amp;"; "&amp;O2633&amp;AS[[#This Row],[Reporting Year]]&amp;"; "&amp;P2633&amp;AS[[#This Row],[Insurance Category Code]]&amp;"; "&amp;Q2633&amp;AS[[#This Row],[Large Provider Entity Code]]&amp;"; "&amp;R2633&amp;AS[[#This Row],[Age Band Code]]&amp;"; "&amp;S2633&amp;AS[[#This Row],[Sex Code]]</f>
        <v xml:space="preserve">Insurer Code ; Reporting Year ; Insurance Category Code ; Large Provider Entity Code ; Age Band Code ; Sex Code </v>
      </c>
      <c r="N2633" s="297" t="s">
        <v>197</v>
      </c>
      <c r="O2633" s="297" t="s">
        <v>198</v>
      </c>
      <c r="P2633" s="297" t="s">
        <v>199</v>
      </c>
      <c r="Q2633" s="297" t="s">
        <v>200</v>
      </c>
      <c r="R2633" s="297" t="s">
        <v>213</v>
      </c>
      <c r="S2633" s="297" t="s">
        <v>214</v>
      </c>
    </row>
    <row r="2634" spans="1:19" x14ac:dyDescent="0.4">
      <c r="A2634" s="291"/>
      <c r="B2634" s="292"/>
      <c r="C2634" s="312"/>
      <c r="D2634" s="292"/>
      <c r="E2634" s="489"/>
      <c r="F2634" s="489"/>
      <c r="G2634" s="490"/>
      <c r="H2634" s="520"/>
      <c r="I2634" s="523"/>
      <c r="J2634" s="521"/>
      <c r="K2634" s="522"/>
      <c r="M2634" s="301" t="str">
        <f>N2634&amp;AS[[#This Row],[Insurer Code]]&amp;"; "&amp;O2634&amp;AS[[#This Row],[Reporting Year]]&amp;"; "&amp;P2634&amp;AS[[#This Row],[Insurance Category Code]]&amp;"; "&amp;Q2634&amp;AS[[#This Row],[Large Provider Entity Code]]&amp;"; "&amp;R2634&amp;AS[[#This Row],[Age Band Code]]&amp;"; "&amp;S2634&amp;AS[[#This Row],[Sex Code]]</f>
        <v xml:space="preserve">Insurer Code ; Reporting Year ; Insurance Category Code ; Large Provider Entity Code ; Age Band Code ; Sex Code </v>
      </c>
      <c r="N2634" s="297" t="s">
        <v>197</v>
      </c>
      <c r="O2634" s="297" t="s">
        <v>198</v>
      </c>
      <c r="P2634" s="297" t="s">
        <v>199</v>
      </c>
      <c r="Q2634" s="297" t="s">
        <v>200</v>
      </c>
      <c r="R2634" s="297" t="s">
        <v>213</v>
      </c>
      <c r="S2634" s="297" t="s">
        <v>214</v>
      </c>
    </row>
    <row r="2635" spans="1:19" x14ac:dyDescent="0.4">
      <c r="A2635" s="291"/>
      <c r="B2635" s="292"/>
      <c r="C2635" s="312"/>
      <c r="D2635" s="292"/>
      <c r="E2635" s="489"/>
      <c r="F2635" s="489"/>
      <c r="G2635" s="490"/>
      <c r="H2635" s="520"/>
      <c r="I2635" s="523"/>
      <c r="J2635" s="521"/>
      <c r="K2635" s="522"/>
      <c r="M2635" s="301" t="str">
        <f>N2635&amp;AS[[#This Row],[Insurer Code]]&amp;"; "&amp;O2635&amp;AS[[#This Row],[Reporting Year]]&amp;"; "&amp;P2635&amp;AS[[#This Row],[Insurance Category Code]]&amp;"; "&amp;Q2635&amp;AS[[#This Row],[Large Provider Entity Code]]&amp;"; "&amp;R2635&amp;AS[[#This Row],[Age Band Code]]&amp;"; "&amp;S2635&amp;AS[[#This Row],[Sex Code]]</f>
        <v xml:space="preserve">Insurer Code ; Reporting Year ; Insurance Category Code ; Large Provider Entity Code ; Age Band Code ; Sex Code </v>
      </c>
      <c r="N2635" s="297" t="s">
        <v>197</v>
      </c>
      <c r="O2635" s="297" t="s">
        <v>198</v>
      </c>
      <c r="P2635" s="297" t="s">
        <v>199</v>
      </c>
      <c r="Q2635" s="297" t="s">
        <v>200</v>
      </c>
      <c r="R2635" s="297" t="s">
        <v>213</v>
      </c>
      <c r="S2635" s="297" t="s">
        <v>214</v>
      </c>
    </row>
    <row r="2636" spans="1:19" x14ac:dyDescent="0.4">
      <c r="A2636" s="291"/>
      <c r="B2636" s="292"/>
      <c r="C2636" s="312"/>
      <c r="D2636" s="292"/>
      <c r="E2636" s="489"/>
      <c r="F2636" s="489"/>
      <c r="G2636" s="490"/>
      <c r="H2636" s="520"/>
      <c r="I2636" s="523"/>
      <c r="J2636" s="521"/>
      <c r="K2636" s="522"/>
      <c r="M2636" s="301" t="str">
        <f>N2636&amp;AS[[#This Row],[Insurer Code]]&amp;"; "&amp;O2636&amp;AS[[#This Row],[Reporting Year]]&amp;"; "&amp;P2636&amp;AS[[#This Row],[Insurance Category Code]]&amp;"; "&amp;Q2636&amp;AS[[#This Row],[Large Provider Entity Code]]&amp;"; "&amp;R2636&amp;AS[[#This Row],[Age Band Code]]&amp;"; "&amp;S2636&amp;AS[[#This Row],[Sex Code]]</f>
        <v xml:space="preserve">Insurer Code ; Reporting Year ; Insurance Category Code ; Large Provider Entity Code ; Age Band Code ; Sex Code </v>
      </c>
      <c r="N2636" s="297" t="s">
        <v>197</v>
      </c>
      <c r="O2636" s="297" t="s">
        <v>198</v>
      </c>
      <c r="P2636" s="297" t="s">
        <v>199</v>
      </c>
      <c r="Q2636" s="297" t="s">
        <v>200</v>
      </c>
      <c r="R2636" s="297" t="s">
        <v>213</v>
      </c>
      <c r="S2636" s="297" t="s">
        <v>214</v>
      </c>
    </row>
    <row r="2637" spans="1:19" x14ac:dyDescent="0.4">
      <c r="A2637" s="291"/>
      <c r="B2637" s="292"/>
      <c r="C2637" s="312"/>
      <c r="D2637" s="292"/>
      <c r="E2637" s="489"/>
      <c r="F2637" s="489"/>
      <c r="G2637" s="490"/>
      <c r="H2637" s="520"/>
      <c r="I2637" s="523"/>
      <c r="J2637" s="521"/>
      <c r="K2637" s="522"/>
      <c r="M2637" s="301" t="str">
        <f>N2637&amp;AS[[#This Row],[Insurer Code]]&amp;"; "&amp;O2637&amp;AS[[#This Row],[Reporting Year]]&amp;"; "&amp;P2637&amp;AS[[#This Row],[Insurance Category Code]]&amp;"; "&amp;Q2637&amp;AS[[#This Row],[Large Provider Entity Code]]&amp;"; "&amp;R2637&amp;AS[[#This Row],[Age Band Code]]&amp;"; "&amp;S2637&amp;AS[[#This Row],[Sex Code]]</f>
        <v xml:space="preserve">Insurer Code ; Reporting Year ; Insurance Category Code ; Large Provider Entity Code ; Age Band Code ; Sex Code </v>
      </c>
      <c r="N2637" s="297" t="s">
        <v>197</v>
      </c>
      <c r="O2637" s="297" t="s">
        <v>198</v>
      </c>
      <c r="P2637" s="297" t="s">
        <v>199</v>
      </c>
      <c r="Q2637" s="297" t="s">
        <v>200</v>
      </c>
      <c r="R2637" s="297" t="s">
        <v>213</v>
      </c>
      <c r="S2637" s="297" t="s">
        <v>214</v>
      </c>
    </row>
    <row r="2638" spans="1:19" x14ac:dyDescent="0.4">
      <c r="A2638" s="291"/>
      <c r="B2638" s="292"/>
      <c r="C2638" s="312"/>
      <c r="D2638" s="292"/>
      <c r="E2638" s="489"/>
      <c r="F2638" s="489"/>
      <c r="G2638" s="490"/>
      <c r="H2638" s="520"/>
      <c r="I2638" s="523"/>
      <c r="J2638" s="521"/>
      <c r="K2638" s="522"/>
      <c r="M2638" s="301" t="str">
        <f>N2638&amp;AS[[#This Row],[Insurer Code]]&amp;"; "&amp;O2638&amp;AS[[#This Row],[Reporting Year]]&amp;"; "&amp;P2638&amp;AS[[#This Row],[Insurance Category Code]]&amp;"; "&amp;Q2638&amp;AS[[#This Row],[Large Provider Entity Code]]&amp;"; "&amp;R2638&amp;AS[[#This Row],[Age Band Code]]&amp;"; "&amp;S2638&amp;AS[[#This Row],[Sex Code]]</f>
        <v xml:space="preserve">Insurer Code ; Reporting Year ; Insurance Category Code ; Large Provider Entity Code ; Age Band Code ; Sex Code </v>
      </c>
      <c r="N2638" s="297" t="s">
        <v>197</v>
      </c>
      <c r="O2638" s="297" t="s">
        <v>198</v>
      </c>
      <c r="P2638" s="297" t="s">
        <v>199</v>
      </c>
      <c r="Q2638" s="297" t="s">
        <v>200</v>
      </c>
      <c r="R2638" s="297" t="s">
        <v>213</v>
      </c>
      <c r="S2638" s="297" t="s">
        <v>214</v>
      </c>
    </row>
    <row r="2639" spans="1:19" x14ac:dyDescent="0.4">
      <c r="A2639" s="291"/>
      <c r="B2639" s="292"/>
      <c r="C2639" s="312"/>
      <c r="D2639" s="292"/>
      <c r="E2639" s="489"/>
      <c r="F2639" s="489"/>
      <c r="G2639" s="490"/>
      <c r="H2639" s="520"/>
      <c r="I2639" s="523"/>
      <c r="J2639" s="521"/>
      <c r="K2639" s="522"/>
      <c r="M2639" s="301" t="str">
        <f>N2639&amp;AS[[#This Row],[Insurer Code]]&amp;"; "&amp;O2639&amp;AS[[#This Row],[Reporting Year]]&amp;"; "&amp;P2639&amp;AS[[#This Row],[Insurance Category Code]]&amp;"; "&amp;Q2639&amp;AS[[#This Row],[Large Provider Entity Code]]&amp;"; "&amp;R2639&amp;AS[[#This Row],[Age Band Code]]&amp;"; "&amp;S2639&amp;AS[[#This Row],[Sex Code]]</f>
        <v xml:space="preserve">Insurer Code ; Reporting Year ; Insurance Category Code ; Large Provider Entity Code ; Age Band Code ; Sex Code </v>
      </c>
      <c r="N2639" s="297" t="s">
        <v>197</v>
      </c>
      <c r="O2639" s="297" t="s">
        <v>198</v>
      </c>
      <c r="P2639" s="297" t="s">
        <v>199</v>
      </c>
      <c r="Q2639" s="297" t="s">
        <v>200</v>
      </c>
      <c r="R2639" s="297" t="s">
        <v>213</v>
      </c>
      <c r="S2639" s="297" t="s">
        <v>214</v>
      </c>
    </row>
    <row r="2640" spans="1:19" x14ac:dyDescent="0.4">
      <c r="A2640" s="291"/>
      <c r="B2640" s="292"/>
      <c r="C2640" s="312"/>
      <c r="D2640" s="292"/>
      <c r="E2640" s="489"/>
      <c r="F2640" s="489"/>
      <c r="G2640" s="490"/>
      <c r="H2640" s="520"/>
      <c r="I2640" s="523"/>
      <c r="J2640" s="521"/>
      <c r="K2640" s="522"/>
      <c r="M2640" s="301" t="str">
        <f>N2640&amp;AS[[#This Row],[Insurer Code]]&amp;"; "&amp;O2640&amp;AS[[#This Row],[Reporting Year]]&amp;"; "&amp;P2640&amp;AS[[#This Row],[Insurance Category Code]]&amp;"; "&amp;Q2640&amp;AS[[#This Row],[Large Provider Entity Code]]&amp;"; "&amp;R2640&amp;AS[[#This Row],[Age Band Code]]&amp;"; "&amp;S2640&amp;AS[[#This Row],[Sex Code]]</f>
        <v xml:space="preserve">Insurer Code ; Reporting Year ; Insurance Category Code ; Large Provider Entity Code ; Age Band Code ; Sex Code </v>
      </c>
      <c r="N2640" s="297" t="s">
        <v>197</v>
      </c>
      <c r="O2640" s="297" t="s">
        <v>198</v>
      </c>
      <c r="P2640" s="297" t="s">
        <v>199</v>
      </c>
      <c r="Q2640" s="297" t="s">
        <v>200</v>
      </c>
      <c r="R2640" s="297" t="s">
        <v>213</v>
      </c>
      <c r="S2640" s="297" t="s">
        <v>214</v>
      </c>
    </row>
    <row r="2641" spans="1:19" x14ac:dyDescent="0.4">
      <c r="A2641" s="291"/>
      <c r="B2641" s="292"/>
      <c r="C2641" s="312"/>
      <c r="D2641" s="292"/>
      <c r="E2641" s="489"/>
      <c r="F2641" s="489"/>
      <c r="G2641" s="490"/>
      <c r="H2641" s="520"/>
      <c r="I2641" s="523"/>
      <c r="J2641" s="521"/>
      <c r="K2641" s="522"/>
      <c r="M2641" s="301" t="str">
        <f>N2641&amp;AS[[#This Row],[Insurer Code]]&amp;"; "&amp;O2641&amp;AS[[#This Row],[Reporting Year]]&amp;"; "&amp;P2641&amp;AS[[#This Row],[Insurance Category Code]]&amp;"; "&amp;Q2641&amp;AS[[#This Row],[Large Provider Entity Code]]&amp;"; "&amp;R2641&amp;AS[[#This Row],[Age Band Code]]&amp;"; "&amp;S2641&amp;AS[[#This Row],[Sex Code]]</f>
        <v xml:space="preserve">Insurer Code ; Reporting Year ; Insurance Category Code ; Large Provider Entity Code ; Age Band Code ; Sex Code </v>
      </c>
      <c r="N2641" s="297" t="s">
        <v>197</v>
      </c>
      <c r="O2641" s="297" t="s">
        <v>198</v>
      </c>
      <c r="P2641" s="297" t="s">
        <v>199</v>
      </c>
      <c r="Q2641" s="297" t="s">
        <v>200</v>
      </c>
      <c r="R2641" s="297" t="s">
        <v>213</v>
      </c>
      <c r="S2641" s="297" t="s">
        <v>214</v>
      </c>
    </row>
    <row r="2642" spans="1:19" x14ac:dyDescent="0.4">
      <c r="A2642" s="291"/>
      <c r="B2642" s="292"/>
      <c r="C2642" s="312"/>
      <c r="D2642" s="292"/>
      <c r="E2642" s="489"/>
      <c r="F2642" s="489"/>
      <c r="G2642" s="490"/>
      <c r="H2642" s="520"/>
      <c r="I2642" s="523"/>
      <c r="J2642" s="521"/>
      <c r="K2642" s="522"/>
      <c r="M2642" s="301" t="str">
        <f>N2642&amp;AS[[#This Row],[Insurer Code]]&amp;"; "&amp;O2642&amp;AS[[#This Row],[Reporting Year]]&amp;"; "&amp;P2642&amp;AS[[#This Row],[Insurance Category Code]]&amp;"; "&amp;Q2642&amp;AS[[#This Row],[Large Provider Entity Code]]&amp;"; "&amp;R2642&amp;AS[[#This Row],[Age Band Code]]&amp;"; "&amp;S2642&amp;AS[[#This Row],[Sex Code]]</f>
        <v xml:space="preserve">Insurer Code ; Reporting Year ; Insurance Category Code ; Large Provider Entity Code ; Age Band Code ; Sex Code </v>
      </c>
      <c r="N2642" s="297" t="s">
        <v>197</v>
      </c>
      <c r="O2642" s="297" t="s">
        <v>198</v>
      </c>
      <c r="P2642" s="297" t="s">
        <v>199</v>
      </c>
      <c r="Q2642" s="297" t="s">
        <v>200</v>
      </c>
      <c r="R2642" s="297" t="s">
        <v>213</v>
      </c>
      <c r="S2642" s="297" t="s">
        <v>214</v>
      </c>
    </row>
    <row r="2643" spans="1:19" x14ac:dyDescent="0.4">
      <c r="A2643" s="291"/>
      <c r="B2643" s="292"/>
      <c r="C2643" s="312"/>
      <c r="D2643" s="292"/>
      <c r="E2643" s="489"/>
      <c r="F2643" s="489"/>
      <c r="G2643" s="490"/>
      <c r="H2643" s="520"/>
      <c r="I2643" s="523"/>
      <c r="J2643" s="521"/>
      <c r="K2643" s="522"/>
      <c r="M2643" s="301" t="str">
        <f>N2643&amp;AS[[#This Row],[Insurer Code]]&amp;"; "&amp;O2643&amp;AS[[#This Row],[Reporting Year]]&amp;"; "&amp;P2643&amp;AS[[#This Row],[Insurance Category Code]]&amp;"; "&amp;Q2643&amp;AS[[#This Row],[Large Provider Entity Code]]&amp;"; "&amp;R2643&amp;AS[[#This Row],[Age Band Code]]&amp;"; "&amp;S2643&amp;AS[[#This Row],[Sex Code]]</f>
        <v xml:space="preserve">Insurer Code ; Reporting Year ; Insurance Category Code ; Large Provider Entity Code ; Age Band Code ; Sex Code </v>
      </c>
      <c r="N2643" s="297" t="s">
        <v>197</v>
      </c>
      <c r="O2643" s="297" t="s">
        <v>198</v>
      </c>
      <c r="P2643" s="297" t="s">
        <v>199</v>
      </c>
      <c r="Q2643" s="297" t="s">
        <v>200</v>
      </c>
      <c r="R2643" s="297" t="s">
        <v>213</v>
      </c>
      <c r="S2643" s="297" t="s">
        <v>214</v>
      </c>
    </row>
    <row r="2644" spans="1:19" x14ac:dyDescent="0.4">
      <c r="A2644" s="291"/>
      <c r="B2644" s="292"/>
      <c r="C2644" s="312"/>
      <c r="D2644" s="292"/>
      <c r="E2644" s="489"/>
      <c r="F2644" s="489"/>
      <c r="G2644" s="490"/>
      <c r="H2644" s="520"/>
      <c r="I2644" s="523"/>
      <c r="J2644" s="521"/>
      <c r="K2644" s="522"/>
      <c r="M2644" s="301" t="str">
        <f>N2644&amp;AS[[#This Row],[Insurer Code]]&amp;"; "&amp;O2644&amp;AS[[#This Row],[Reporting Year]]&amp;"; "&amp;P2644&amp;AS[[#This Row],[Insurance Category Code]]&amp;"; "&amp;Q2644&amp;AS[[#This Row],[Large Provider Entity Code]]&amp;"; "&amp;R2644&amp;AS[[#This Row],[Age Band Code]]&amp;"; "&amp;S2644&amp;AS[[#This Row],[Sex Code]]</f>
        <v xml:space="preserve">Insurer Code ; Reporting Year ; Insurance Category Code ; Large Provider Entity Code ; Age Band Code ; Sex Code </v>
      </c>
      <c r="N2644" s="297" t="s">
        <v>197</v>
      </c>
      <c r="O2644" s="297" t="s">
        <v>198</v>
      </c>
      <c r="P2644" s="297" t="s">
        <v>199</v>
      </c>
      <c r="Q2644" s="297" t="s">
        <v>200</v>
      </c>
      <c r="R2644" s="297" t="s">
        <v>213</v>
      </c>
      <c r="S2644" s="297" t="s">
        <v>214</v>
      </c>
    </row>
    <row r="2645" spans="1:19" x14ac:dyDescent="0.4">
      <c r="A2645" s="291"/>
      <c r="B2645" s="292"/>
      <c r="C2645" s="312"/>
      <c r="D2645" s="292"/>
      <c r="E2645" s="489"/>
      <c r="F2645" s="489"/>
      <c r="G2645" s="490"/>
      <c r="H2645" s="520"/>
      <c r="I2645" s="523"/>
      <c r="J2645" s="521"/>
      <c r="K2645" s="522"/>
      <c r="M2645" s="301" t="str">
        <f>N2645&amp;AS[[#This Row],[Insurer Code]]&amp;"; "&amp;O2645&amp;AS[[#This Row],[Reporting Year]]&amp;"; "&amp;P2645&amp;AS[[#This Row],[Insurance Category Code]]&amp;"; "&amp;Q2645&amp;AS[[#This Row],[Large Provider Entity Code]]&amp;"; "&amp;R2645&amp;AS[[#This Row],[Age Band Code]]&amp;"; "&amp;S2645&amp;AS[[#This Row],[Sex Code]]</f>
        <v xml:space="preserve">Insurer Code ; Reporting Year ; Insurance Category Code ; Large Provider Entity Code ; Age Band Code ; Sex Code </v>
      </c>
      <c r="N2645" s="297" t="s">
        <v>197</v>
      </c>
      <c r="O2645" s="297" t="s">
        <v>198</v>
      </c>
      <c r="P2645" s="297" t="s">
        <v>199</v>
      </c>
      <c r="Q2645" s="297" t="s">
        <v>200</v>
      </c>
      <c r="R2645" s="297" t="s">
        <v>213</v>
      </c>
      <c r="S2645" s="297" t="s">
        <v>214</v>
      </c>
    </row>
    <row r="2646" spans="1:19" x14ac:dyDescent="0.4">
      <c r="A2646" s="291"/>
      <c r="B2646" s="292"/>
      <c r="C2646" s="312"/>
      <c r="D2646" s="292"/>
      <c r="E2646" s="489"/>
      <c r="F2646" s="489"/>
      <c r="G2646" s="490"/>
      <c r="H2646" s="520"/>
      <c r="I2646" s="523"/>
      <c r="J2646" s="521"/>
      <c r="K2646" s="522"/>
      <c r="M2646" s="301" t="str">
        <f>N2646&amp;AS[[#This Row],[Insurer Code]]&amp;"; "&amp;O2646&amp;AS[[#This Row],[Reporting Year]]&amp;"; "&amp;P2646&amp;AS[[#This Row],[Insurance Category Code]]&amp;"; "&amp;Q2646&amp;AS[[#This Row],[Large Provider Entity Code]]&amp;"; "&amp;R2646&amp;AS[[#This Row],[Age Band Code]]&amp;"; "&amp;S2646&amp;AS[[#This Row],[Sex Code]]</f>
        <v xml:space="preserve">Insurer Code ; Reporting Year ; Insurance Category Code ; Large Provider Entity Code ; Age Band Code ; Sex Code </v>
      </c>
      <c r="N2646" s="297" t="s">
        <v>197</v>
      </c>
      <c r="O2646" s="297" t="s">
        <v>198</v>
      </c>
      <c r="P2646" s="297" t="s">
        <v>199</v>
      </c>
      <c r="Q2646" s="297" t="s">
        <v>200</v>
      </c>
      <c r="R2646" s="297" t="s">
        <v>213</v>
      </c>
      <c r="S2646" s="297" t="s">
        <v>214</v>
      </c>
    </row>
    <row r="2647" spans="1:19" x14ac:dyDescent="0.4">
      <c r="A2647" s="291"/>
      <c r="B2647" s="292"/>
      <c r="C2647" s="312"/>
      <c r="D2647" s="292"/>
      <c r="E2647" s="489"/>
      <c r="F2647" s="489"/>
      <c r="G2647" s="490"/>
      <c r="H2647" s="520"/>
      <c r="I2647" s="523"/>
      <c r="J2647" s="521"/>
      <c r="K2647" s="522"/>
      <c r="M2647" s="301" t="str">
        <f>N2647&amp;AS[[#This Row],[Insurer Code]]&amp;"; "&amp;O2647&amp;AS[[#This Row],[Reporting Year]]&amp;"; "&amp;P2647&amp;AS[[#This Row],[Insurance Category Code]]&amp;"; "&amp;Q2647&amp;AS[[#This Row],[Large Provider Entity Code]]&amp;"; "&amp;R2647&amp;AS[[#This Row],[Age Band Code]]&amp;"; "&amp;S2647&amp;AS[[#This Row],[Sex Code]]</f>
        <v xml:space="preserve">Insurer Code ; Reporting Year ; Insurance Category Code ; Large Provider Entity Code ; Age Band Code ; Sex Code </v>
      </c>
      <c r="N2647" s="297" t="s">
        <v>197</v>
      </c>
      <c r="O2647" s="297" t="s">
        <v>198</v>
      </c>
      <c r="P2647" s="297" t="s">
        <v>199</v>
      </c>
      <c r="Q2647" s="297" t="s">
        <v>200</v>
      </c>
      <c r="R2647" s="297" t="s">
        <v>213</v>
      </c>
      <c r="S2647" s="297" t="s">
        <v>214</v>
      </c>
    </row>
    <row r="2648" spans="1:19" x14ac:dyDescent="0.4">
      <c r="A2648" s="291"/>
      <c r="B2648" s="292"/>
      <c r="C2648" s="312"/>
      <c r="D2648" s="292"/>
      <c r="E2648" s="489"/>
      <c r="F2648" s="489"/>
      <c r="G2648" s="490"/>
      <c r="H2648" s="520"/>
      <c r="I2648" s="523"/>
      <c r="J2648" s="521"/>
      <c r="K2648" s="522"/>
      <c r="M2648" s="301" t="str">
        <f>N2648&amp;AS[[#This Row],[Insurer Code]]&amp;"; "&amp;O2648&amp;AS[[#This Row],[Reporting Year]]&amp;"; "&amp;P2648&amp;AS[[#This Row],[Insurance Category Code]]&amp;"; "&amp;Q2648&amp;AS[[#This Row],[Large Provider Entity Code]]&amp;"; "&amp;R2648&amp;AS[[#This Row],[Age Band Code]]&amp;"; "&amp;S2648&amp;AS[[#This Row],[Sex Code]]</f>
        <v xml:space="preserve">Insurer Code ; Reporting Year ; Insurance Category Code ; Large Provider Entity Code ; Age Band Code ; Sex Code </v>
      </c>
      <c r="N2648" s="297" t="s">
        <v>197</v>
      </c>
      <c r="O2648" s="297" t="s">
        <v>198</v>
      </c>
      <c r="P2648" s="297" t="s">
        <v>199</v>
      </c>
      <c r="Q2648" s="297" t="s">
        <v>200</v>
      </c>
      <c r="R2648" s="297" t="s">
        <v>213</v>
      </c>
      <c r="S2648" s="297" t="s">
        <v>214</v>
      </c>
    </row>
    <row r="2649" spans="1:19" x14ac:dyDescent="0.4">
      <c r="A2649" s="291"/>
      <c r="B2649" s="292"/>
      <c r="C2649" s="312"/>
      <c r="D2649" s="292"/>
      <c r="E2649" s="489"/>
      <c r="F2649" s="489"/>
      <c r="G2649" s="490"/>
      <c r="H2649" s="520"/>
      <c r="I2649" s="523"/>
      <c r="J2649" s="521"/>
      <c r="K2649" s="522"/>
      <c r="M2649" s="301" t="str">
        <f>N2649&amp;AS[[#This Row],[Insurer Code]]&amp;"; "&amp;O2649&amp;AS[[#This Row],[Reporting Year]]&amp;"; "&amp;P2649&amp;AS[[#This Row],[Insurance Category Code]]&amp;"; "&amp;Q2649&amp;AS[[#This Row],[Large Provider Entity Code]]&amp;"; "&amp;R2649&amp;AS[[#This Row],[Age Band Code]]&amp;"; "&amp;S2649&amp;AS[[#This Row],[Sex Code]]</f>
        <v xml:space="preserve">Insurer Code ; Reporting Year ; Insurance Category Code ; Large Provider Entity Code ; Age Band Code ; Sex Code </v>
      </c>
      <c r="N2649" s="297" t="s">
        <v>197</v>
      </c>
      <c r="O2649" s="297" t="s">
        <v>198</v>
      </c>
      <c r="P2649" s="297" t="s">
        <v>199</v>
      </c>
      <c r="Q2649" s="297" t="s">
        <v>200</v>
      </c>
      <c r="R2649" s="297" t="s">
        <v>213</v>
      </c>
      <c r="S2649" s="297" t="s">
        <v>214</v>
      </c>
    </row>
    <row r="2650" spans="1:19" x14ac:dyDescent="0.4">
      <c r="A2650" s="291"/>
      <c r="B2650" s="292"/>
      <c r="C2650" s="312"/>
      <c r="D2650" s="292"/>
      <c r="E2650" s="489"/>
      <c r="F2650" s="489"/>
      <c r="G2650" s="490"/>
      <c r="H2650" s="520"/>
      <c r="I2650" s="523"/>
      <c r="J2650" s="521"/>
      <c r="K2650" s="522"/>
      <c r="M2650" s="301" t="str">
        <f>N2650&amp;AS[[#This Row],[Insurer Code]]&amp;"; "&amp;O2650&amp;AS[[#This Row],[Reporting Year]]&amp;"; "&amp;P2650&amp;AS[[#This Row],[Insurance Category Code]]&amp;"; "&amp;Q2650&amp;AS[[#This Row],[Large Provider Entity Code]]&amp;"; "&amp;R2650&amp;AS[[#This Row],[Age Band Code]]&amp;"; "&amp;S2650&amp;AS[[#This Row],[Sex Code]]</f>
        <v xml:space="preserve">Insurer Code ; Reporting Year ; Insurance Category Code ; Large Provider Entity Code ; Age Band Code ; Sex Code </v>
      </c>
      <c r="N2650" s="297" t="s">
        <v>197</v>
      </c>
      <c r="O2650" s="297" t="s">
        <v>198</v>
      </c>
      <c r="P2650" s="297" t="s">
        <v>199</v>
      </c>
      <c r="Q2650" s="297" t="s">
        <v>200</v>
      </c>
      <c r="R2650" s="297" t="s">
        <v>213</v>
      </c>
      <c r="S2650" s="297" t="s">
        <v>214</v>
      </c>
    </row>
    <row r="2651" spans="1:19" x14ac:dyDescent="0.4">
      <c r="A2651" s="291"/>
      <c r="B2651" s="292"/>
      <c r="C2651" s="312"/>
      <c r="D2651" s="292"/>
      <c r="E2651" s="489"/>
      <c r="F2651" s="489"/>
      <c r="G2651" s="490"/>
      <c r="H2651" s="520"/>
      <c r="I2651" s="523"/>
      <c r="J2651" s="521"/>
      <c r="K2651" s="522"/>
      <c r="M2651" s="301" t="str">
        <f>N2651&amp;AS[[#This Row],[Insurer Code]]&amp;"; "&amp;O2651&amp;AS[[#This Row],[Reporting Year]]&amp;"; "&amp;P2651&amp;AS[[#This Row],[Insurance Category Code]]&amp;"; "&amp;Q2651&amp;AS[[#This Row],[Large Provider Entity Code]]&amp;"; "&amp;R2651&amp;AS[[#This Row],[Age Band Code]]&amp;"; "&amp;S2651&amp;AS[[#This Row],[Sex Code]]</f>
        <v xml:space="preserve">Insurer Code ; Reporting Year ; Insurance Category Code ; Large Provider Entity Code ; Age Band Code ; Sex Code </v>
      </c>
      <c r="N2651" s="297" t="s">
        <v>197</v>
      </c>
      <c r="O2651" s="297" t="s">
        <v>198</v>
      </c>
      <c r="P2651" s="297" t="s">
        <v>199</v>
      </c>
      <c r="Q2651" s="297" t="s">
        <v>200</v>
      </c>
      <c r="R2651" s="297" t="s">
        <v>213</v>
      </c>
      <c r="S2651" s="297" t="s">
        <v>214</v>
      </c>
    </row>
    <row r="2652" spans="1:19" x14ac:dyDescent="0.4">
      <c r="A2652" s="291"/>
      <c r="B2652" s="292"/>
      <c r="C2652" s="312"/>
      <c r="D2652" s="292"/>
      <c r="E2652" s="489"/>
      <c r="F2652" s="489"/>
      <c r="G2652" s="490"/>
      <c r="H2652" s="520"/>
      <c r="I2652" s="523"/>
      <c r="J2652" s="521"/>
      <c r="K2652" s="522"/>
      <c r="M2652" s="301" t="str">
        <f>N2652&amp;AS[[#This Row],[Insurer Code]]&amp;"; "&amp;O2652&amp;AS[[#This Row],[Reporting Year]]&amp;"; "&amp;P2652&amp;AS[[#This Row],[Insurance Category Code]]&amp;"; "&amp;Q2652&amp;AS[[#This Row],[Large Provider Entity Code]]&amp;"; "&amp;R2652&amp;AS[[#This Row],[Age Band Code]]&amp;"; "&amp;S2652&amp;AS[[#This Row],[Sex Code]]</f>
        <v xml:space="preserve">Insurer Code ; Reporting Year ; Insurance Category Code ; Large Provider Entity Code ; Age Band Code ; Sex Code </v>
      </c>
      <c r="N2652" s="297" t="s">
        <v>197</v>
      </c>
      <c r="O2652" s="297" t="s">
        <v>198</v>
      </c>
      <c r="P2652" s="297" t="s">
        <v>199</v>
      </c>
      <c r="Q2652" s="297" t="s">
        <v>200</v>
      </c>
      <c r="R2652" s="297" t="s">
        <v>213</v>
      </c>
      <c r="S2652" s="297" t="s">
        <v>214</v>
      </c>
    </row>
    <row r="2653" spans="1:19" x14ac:dyDescent="0.4">
      <c r="A2653" s="291"/>
      <c r="B2653" s="292"/>
      <c r="C2653" s="312"/>
      <c r="D2653" s="292"/>
      <c r="E2653" s="489"/>
      <c r="F2653" s="489"/>
      <c r="G2653" s="490"/>
      <c r="H2653" s="520"/>
      <c r="I2653" s="523"/>
      <c r="J2653" s="521"/>
      <c r="K2653" s="522"/>
      <c r="M2653" s="301" t="str">
        <f>N2653&amp;AS[[#This Row],[Insurer Code]]&amp;"; "&amp;O2653&amp;AS[[#This Row],[Reporting Year]]&amp;"; "&amp;P2653&amp;AS[[#This Row],[Insurance Category Code]]&amp;"; "&amp;Q2653&amp;AS[[#This Row],[Large Provider Entity Code]]&amp;"; "&amp;R2653&amp;AS[[#This Row],[Age Band Code]]&amp;"; "&amp;S2653&amp;AS[[#This Row],[Sex Code]]</f>
        <v xml:space="preserve">Insurer Code ; Reporting Year ; Insurance Category Code ; Large Provider Entity Code ; Age Band Code ; Sex Code </v>
      </c>
      <c r="N2653" s="297" t="s">
        <v>197</v>
      </c>
      <c r="O2653" s="297" t="s">
        <v>198</v>
      </c>
      <c r="P2653" s="297" t="s">
        <v>199</v>
      </c>
      <c r="Q2653" s="297" t="s">
        <v>200</v>
      </c>
      <c r="R2653" s="297" t="s">
        <v>213</v>
      </c>
      <c r="S2653" s="297" t="s">
        <v>214</v>
      </c>
    </row>
    <row r="2654" spans="1:19" x14ac:dyDescent="0.4">
      <c r="A2654" s="291"/>
      <c r="B2654" s="292"/>
      <c r="C2654" s="312"/>
      <c r="D2654" s="292"/>
      <c r="E2654" s="489"/>
      <c r="F2654" s="489"/>
      <c r="G2654" s="490"/>
      <c r="H2654" s="520"/>
      <c r="I2654" s="523"/>
      <c r="J2654" s="521"/>
      <c r="K2654" s="522"/>
      <c r="M2654" s="301" t="str">
        <f>N2654&amp;AS[[#This Row],[Insurer Code]]&amp;"; "&amp;O2654&amp;AS[[#This Row],[Reporting Year]]&amp;"; "&amp;P2654&amp;AS[[#This Row],[Insurance Category Code]]&amp;"; "&amp;Q2654&amp;AS[[#This Row],[Large Provider Entity Code]]&amp;"; "&amp;R2654&amp;AS[[#This Row],[Age Band Code]]&amp;"; "&amp;S2654&amp;AS[[#This Row],[Sex Code]]</f>
        <v xml:space="preserve">Insurer Code ; Reporting Year ; Insurance Category Code ; Large Provider Entity Code ; Age Band Code ; Sex Code </v>
      </c>
      <c r="N2654" s="297" t="s">
        <v>197</v>
      </c>
      <c r="O2654" s="297" t="s">
        <v>198</v>
      </c>
      <c r="P2654" s="297" t="s">
        <v>199</v>
      </c>
      <c r="Q2654" s="297" t="s">
        <v>200</v>
      </c>
      <c r="R2654" s="297" t="s">
        <v>213</v>
      </c>
      <c r="S2654" s="297" t="s">
        <v>214</v>
      </c>
    </row>
    <row r="2655" spans="1:19" x14ac:dyDescent="0.4">
      <c r="A2655" s="291"/>
      <c r="B2655" s="292"/>
      <c r="C2655" s="312"/>
      <c r="D2655" s="292"/>
      <c r="E2655" s="489"/>
      <c r="F2655" s="489"/>
      <c r="G2655" s="490"/>
      <c r="H2655" s="520"/>
      <c r="I2655" s="523"/>
      <c r="J2655" s="521"/>
      <c r="K2655" s="522"/>
      <c r="M2655" s="301" t="str">
        <f>N2655&amp;AS[[#This Row],[Insurer Code]]&amp;"; "&amp;O2655&amp;AS[[#This Row],[Reporting Year]]&amp;"; "&amp;P2655&amp;AS[[#This Row],[Insurance Category Code]]&amp;"; "&amp;Q2655&amp;AS[[#This Row],[Large Provider Entity Code]]&amp;"; "&amp;R2655&amp;AS[[#This Row],[Age Band Code]]&amp;"; "&amp;S2655&amp;AS[[#This Row],[Sex Code]]</f>
        <v xml:space="preserve">Insurer Code ; Reporting Year ; Insurance Category Code ; Large Provider Entity Code ; Age Band Code ; Sex Code </v>
      </c>
      <c r="N2655" s="297" t="s">
        <v>197</v>
      </c>
      <c r="O2655" s="297" t="s">
        <v>198</v>
      </c>
      <c r="P2655" s="297" t="s">
        <v>199</v>
      </c>
      <c r="Q2655" s="297" t="s">
        <v>200</v>
      </c>
      <c r="R2655" s="297" t="s">
        <v>213</v>
      </c>
      <c r="S2655" s="297" t="s">
        <v>214</v>
      </c>
    </row>
    <row r="2656" spans="1:19" x14ac:dyDescent="0.4">
      <c r="A2656" s="291"/>
      <c r="B2656" s="292"/>
      <c r="C2656" s="312"/>
      <c r="D2656" s="292"/>
      <c r="E2656" s="489"/>
      <c r="F2656" s="489"/>
      <c r="G2656" s="490"/>
      <c r="H2656" s="520"/>
      <c r="I2656" s="523"/>
      <c r="J2656" s="521"/>
      <c r="K2656" s="522"/>
      <c r="M2656" s="301" t="str">
        <f>N2656&amp;AS[[#This Row],[Insurer Code]]&amp;"; "&amp;O2656&amp;AS[[#This Row],[Reporting Year]]&amp;"; "&amp;P2656&amp;AS[[#This Row],[Insurance Category Code]]&amp;"; "&amp;Q2656&amp;AS[[#This Row],[Large Provider Entity Code]]&amp;"; "&amp;R2656&amp;AS[[#This Row],[Age Band Code]]&amp;"; "&amp;S2656&amp;AS[[#This Row],[Sex Code]]</f>
        <v xml:space="preserve">Insurer Code ; Reporting Year ; Insurance Category Code ; Large Provider Entity Code ; Age Band Code ; Sex Code </v>
      </c>
      <c r="N2656" s="297" t="s">
        <v>197</v>
      </c>
      <c r="O2656" s="297" t="s">
        <v>198</v>
      </c>
      <c r="P2656" s="297" t="s">
        <v>199</v>
      </c>
      <c r="Q2656" s="297" t="s">
        <v>200</v>
      </c>
      <c r="R2656" s="297" t="s">
        <v>213</v>
      </c>
      <c r="S2656" s="297" t="s">
        <v>214</v>
      </c>
    </row>
    <row r="2657" spans="1:19" x14ac:dyDescent="0.4">
      <c r="A2657" s="291"/>
      <c r="B2657" s="292"/>
      <c r="C2657" s="312"/>
      <c r="D2657" s="292"/>
      <c r="E2657" s="489"/>
      <c r="F2657" s="489"/>
      <c r="G2657" s="490"/>
      <c r="H2657" s="520"/>
      <c r="I2657" s="523"/>
      <c r="J2657" s="521"/>
      <c r="K2657" s="522"/>
      <c r="M2657" s="301" t="str">
        <f>N2657&amp;AS[[#This Row],[Insurer Code]]&amp;"; "&amp;O2657&amp;AS[[#This Row],[Reporting Year]]&amp;"; "&amp;P2657&amp;AS[[#This Row],[Insurance Category Code]]&amp;"; "&amp;Q2657&amp;AS[[#This Row],[Large Provider Entity Code]]&amp;"; "&amp;R2657&amp;AS[[#This Row],[Age Band Code]]&amp;"; "&amp;S2657&amp;AS[[#This Row],[Sex Code]]</f>
        <v xml:space="preserve">Insurer Code ; Reporting Year ; Insurance Category Code ; Large Provider Entity Code ; Age Band Code ; Sex Code </v>
      </c>
      <c r="N2657" s="297" t="s">
        <v>197</v>
      </c>
      <c r="O2657" s="297" t="s">
        <v>198</v>
      </c>
      <c r="P2657" s="297" t="s">
        <v>199</v>
      </c>
      <c r="Q2657" s="297" t="s">
        <v>200</v>
      </c>
      <c r="R2657" s="297" t="s">
        <v>213</v>
      </c>
      <c r="S2657" s="297" t="s">
        <v>214</v>
      </c>
    </row>
    <row r="2658" spans="1:19" x14ac:dyDescent="0.4">
      <c r="A2658" s="291"/>
      <c r="B2658" s="292"/>
      <c r="C2658" s="312"/>
      <c r="D2658" s="292"/>
      <c r="E2658" s="489"/>
      <c r="F2658" s="489"/>
      <c r="G2658" s="490"/>
      <c r="H2658" s="520"/>
      <c r="I2658" s="523"/>
      <c r="J2658" s="521"/>
      <c r="K2658" s="522"/>
      <c r="M2658" s="301" t="str">
        <f>N2658&amp;AS[[#This Row],[Insurer Code]]&amp;"; "&amp;O2658&amp;AS[[#This Row],[Reporting Year]]&amp;"; "&amp;P2658&amp;AS[[#This Row],[Insurance Category Code]]&amp;"; "&amp;Q2658&amp;AS[[#This Row],[Large Provider Entity Code]]&amp;"; "&amp;R2658&amp;AS[[#This Row],[Age Band Code]]&amp;"; "&amp;S2658&amp;AS[[#This Row],[Sex Code]]</f>
        <v xml:space="preserve">Insurer Code ; Reporting Year ; Insurance Category Code ; Large Provider Entity Code ; Age Band Code ; Sex Code </v>
      </c>
      <c r="N2658" s="297" t="s">
        <v>197</v>
      </c>
      <c r="O2658" s="297" t="s">
        <v>198</v>
      </c>
      <c r="P2658" s="297" t="s">
        <v>199</v>
      </c>
      <c r="Q2658" s="297" t="s">
        <v>200</v>
      </c>
      <c r="R2658" s="297" t="s">
        <v>213</v>
      </c>
      <c r="S2658" s="297" t="s">
        <v>214</v>
      </c>
    </row>
    <row r="2659" spans="1:19" x14ac:dyDescent="0.4">
      <c r="A2659" s="291"/>
      <c r="B2659" s="292"/>
      <c r="C2659" s="312"/>
      <c r="D2659" s="292"/>
      <c r="E2659" s="489"/>
      <c r="F2659" s="489"/>
      <c r="G2659" s="490"/>
      <c r="H2659" s="520"/>
      <c r="I2659" s="523"/>
      <c r="J2659" s="521"/>
      <c r="K2659" s="522"/>
      <c r="M2659" s="301" t="str">
        <f>N2659&amp;AS[[#This Row],[Insurer Code]]&amp;"; "&amp;O2659&amp;AS[[#This Row],[Reporting Year]]&amp;"; "&amp;P2659&amp;AS[[#This Row],[Insurance Category Code]]&amp;"; "&amp;Q2659&amp;AS[[#This Row],[Large Provider Entity Code]]&amp;"; "&amp;R2659&amp;AS[[#This Row],[Age Band Code]]&amp;"; "&amp;S2659&amp;AS[[#This Row],[Sex Code]]</f>
        <v xml:space="preserve">Insurer Code ; Reporting Year ; Insurance Category Code ; Large Provider Entity Code ; Age Band Code ; Sex Code </v>
      </c>
      <c r="N2659" s="297" t="s">
        <v>197</v>
      </c>
      <c r="O2659" s="297" t="s">
        <v>198</v>
      </c>
      <c r="P2659" s="297" t="s">
        <v>199</v>
      </c>
      <c r="Q2659" s="297" t="s">
        <v>200</v>
      </c>
      <c r="R2659" s="297" t="s">
        <v>213</v>
      </c>
      <c r="S2659" s="297" t="s">
        <v>214</v>
      </c>
    </row>
    <row r="2660" spans="1:19" x14ac:dyDescent="0.4">
      <c r="A2660" s="291"/>
      <c r="B2660" s="292"/>
      <c r="C2660" s="312"/>
      <c r="D2660" s="292"/>
      <c r="E2660" s="489"/>
      <c r="F2660" s="489"/>
      <c r="G2660" s="490"/>
      <c r="H2660" s="520"/>
      <c r="I2660" s="523"/>
      <c r="J2660" s="521"/>
      <c r="K2660" s="522"/>
      <c r="M2660" s="301" t="str">
        <f>N2660&amp;AS[[#This Row],[Insurer Code]]&amp;"; "&amp;O2660&amp;AS[[#This Row],[Reporting Year]]&amp;"; "&amp;P2660&amp;AS[[#This Row],[Insurance Category Code]]&amp;"; "&amp;Q2660&amp;AS[[#This Row],[Large Provider Entity Code]]&amp;"; "&amp;R2660&amp;AS[[#This Row],[Age Band Code]]&amp;"; "&amp;S2660&amp;AS[[#This Row],[Sex Code]]</f>
        <v xml:space="preserve">Insurer Code ; Reporting Year ; Insurance Category Code ; Large Provider Entity Code ; Age Band Code ; Sex Code </v>
      </c>
      <c r="N2660" s="297" t="s">
        <v>197</v>
      </c>
      <c r="O2660" s="297" t="s">
        <v>198</v>
      </c>
      <c r="P2660" s="297" t="s">
        <v>199</v>
      </c>
      <c r="Q2660" s="297" t="s">
        <v>200</v>
      </c>
      <c r="R2660" s="297" t="s">
        <v>213</v>
      </c>
      <c r="S2660" s="297" t="s">
        <v>214</v>
      </c>
    </row>
    <row r="2661" spans="1:19" x14ac:dyDescent="0.4">
      <c r="A2661" s="291"/>
      <c r="B2661" s="292"/>
      <c r="C2661" s="312"/>
      <c r="D2661" s="292"/>
      <c r="E2661" s="489"/>
      <c r="F2661" s="489"/>
      <c r="G2661" s="490"/>
      <c r="H2661" s="520"/>
      <c r="I2661" s="523"/>
      <c r="J2661" s="521"/>
      <c r="K2661" s="522"/>
      <c r="M2661" s="301" t="str">
        <f>N2661&amp;AS[[#This Row],[Insurer Code]]&amp;"; "&amp;O2661&amp;AS[[#This Row],[Reporting Year]]&amp;"; "&amp;P2661&amp;AS[[#This Row],[Insurance Category Code]]&amp;"; "&amp;Q2661&amp;AS[[#This Row],[Large Provider Entity Code]]&amp;"; "&amp;R2661&amp;AS[[#This Row],[Age Band Code]]&amp;"; "&amp;S2661&amp;AS[[#This Row],[Sex Code]]</f>
        <v xml:space="preserve">Insurer Code ; Reporting Year ; Insurance Category Code ; Large Provider Entity Code ; Age Band Code ; Sex Code </v>
      </c>
      <c r="N2661" s="297" t="s">
        <v>197</v>
      </c>
      <c r="O2661" s="297" t="s">
        <v>198</v>
      </c>
      <c r="P2661" s="297" t="s">
        <v>199</v>
      </c>
      <c r="Q2661" s="297" t="s">
        <v>200</v>
      </c>
      <c r="R2661" s="297" t="s">
        <v>213</v>
      </c>
      <c r="S2661" s="297" t="s">
        <v>214</v>
      </c>
    </row>
    <row r="2662" spans="1:19" x14ac:dyDescent="0.4">
      <c r="A2662" s="291"/>
      <c r="B2662" s="292"/>
      <c r="C2662" s="312"/>
      <c r="D2662" s="292"/>
      <c r="E2662" s="489"/>
      <c r="F2662" s="489"/>
      <c r="G2662" s="490"/>
      <c r="H2662" s="520"/>
      <c r="I2662" s="523"/>
      <c r="J2662" s="521"/>
      <c r="K2662" s="522"/>
      <c r="M2662" s="301" t="str">
        <f>N2662&amp;AS[[#This Row],[Insurer Code]]&amp;"; "&amp;O2662&amp;AS[[#This Row],[Reporting Year]]&amp;"; "&amp;P2662&amp;AS[[#This Row],[Insurance Category Code]]&amp;"; "&amp;Q2662&amp;AS[[#This Row],[Large Provider Entity Code]]&amp;"; "&amp;R2662&amp;AS[[#This Row],[Age Band Code]]&amp;"; "&amp;S2662&amp;AS[[#This Row],[Sex Code]]</f>
        <v xml:space="preserve">Insurer Code ; Reporting Year ; Insurance Category Code ; Large Provider Entity Code ; Age Band Code ; Sex Code </v>
      </c>
      <c r="N2662" s="297" t="s">
        <v>197</v>
      </c>
      <c r="O2662" s="297" t="s">
        <v>198</v>
      </c>
      <c r="P2662" s="297" t="s">
        <v>199</v>
      </c>
      <c r="Q2662" s="297" t="s">
        <v>200</v>
      </c>
      <c r="R2662" s="297" t="s">
        <v>213</v>
      </c>
      <c r="S2662" s="297" t="s">
        <v>214</v>
      </c>
    </row>
    <row r="2663" spans="1:19" x14ac:dyDescent="0.4">
      <c r="A2663" s="291"/>
      <c r="B2663" s="292"/>
      <c r="C2663" s="312"/>
      <c r="D2663" s="292"/>
      <c r="E2663" s="489"/>
      <c r="F2663" s="489"/>
      <c r="G2663" s="490"/>
      <c r="H2663" s="520"/>
      <c r="I2663" s="523"/>
      <c r="J2663" s="521"/>
      <c r="K2663" s="522"/>
      <c r="M2663" s="301" t="str">
        <f>N2663&amp;AS[[#This Row],[Insurer Code]]&amp;"; "&amp;O2663&amp;AS[[#This Row],[Reporting Year]]&amp;"; "&amp;P2663&amp;AS[[#This Row],[Insurance Category Code]]&amp;"; "&amp;Q2663&amp;AS[[#This Row],[Large Provider Entity Code]]&amp;"; "&amp;R2663&amp;AS[[#This Row],[Age Band Code]]&amp;"; "&amp;S2663&amp;AS[[#This Row],[Sex Code]]</f>
        <v xml:space="preserve">Insurer Code ; Reporting Year ; Insurance Category Code ; Large Provider Entity Code ; Age Band Code ; Sex Code </v>
      </c>
      <c r="N2663" s="297" t="s">
        <v>197</v>
      </c>
      <c r="O2663" s="297" t="s">
        <v>198</v>
      </c>
      <c r="P2663" s="297" t="s">
        <v>199</v>
      </c>
      <c r="Q2663" s="297" t="s">
        <v>200</v>
      </c>
      <c r="R2663" s="297" t="s">
        <v>213</v>
      </c>
      <c r="S2663" s="297" t="s">
        <v>214</v>
      </c>
    </row>
    <row r="2664" spans="1:19" x14ac:dyDescent="0.4">
      <c r="A2664" s="291"/>
      <c r="B2664" s="292"/>
      <c r="C2664" s="312"/>
      <c r="D2664" s="292"/>
      <c r="E2664" s="489"/>
      <c r="F2664" s="489"/>
      <c r="G2664" s="490"/>
      <c r="H2664" s="520"/>
      <c r="I2664" s="523"/>
      <c r="J2664" s="521"/>
      <c r="K2664" s="522"/>
      <c r="M2664" s="301" t="str">
        <f>N2664&amp;AS[[#This Row],[Insurer Code]]&amp;"; "&amp;O2664&amp;AS[[#This Row],[Reporting Year]]&amp;"; "&amp;P2664&amp;AS[[#This Row],[Insurance Category Code]]&amp;"; "&amp;Q2664&amp;AS[[#This Row],[Large Provider Entity Code]]&amp;"; "&amp;R2664&amp;AS[[#This Row],[Age Band Code]]&amp;"; "&amp;S2664&amp;AS[[#This Row],[Sex Code]]</f>
        <v xml:space="preserve">Insurer Code ; Reporting Year ; Insurance Category Code ; Large Provider Entity Code ; Age Band Code ; Sex Code </v>
      </c>
      <c r="N2664" s="297" t="s">
        <v>197</v>
      </c>
      <c r="O2664" s="297" t="s">
        <v>198</v>
      </c>
      <c r="P2664" s="297" t="s">
        <v>199</v>
      </c>
      <c r="Q2664" s="297" t="s">
        <v>200</v>
      </c>
      <c r="R2664" s="297" t="s">
        <v>213</v>
      </c>
      <c r="S2664" s="297" t="s">
        <v>214</v>
      </c>
    </row>
    <row r="2665" spans="1:19" x14ac:dyDescent="0.4">
      <c r="A2665" s="291"/>
      <c r="B2665" s="292"/>
      <c r="C2665" s="312"/>
      <c r="D2665" s="292"/>
      <c r="E2665" s="489"/>
      <c r="F2665" s="489"/>
      <c r="G2665" s="490"/>
      <c r="H2665" s="520"/>
      <c r="I2665" s="523"/>
      <c r="J2665" s="521"/>
      <c r="K2665" s="522"/>
      <c r="M2665" s="301" t="str">
        <f>N2665&amp;AS[[#This Row],[Insurer Code]]&amp;"; "&amp;O2665&amp;AS[[#This Row],[Reporting Year]]&amp;"; "&amp;P2665&amp;AS[[#This Row],[Insurance Category Code]]&amp;"; "&amp;Q2665&amp;AS[[#This Row],[Large Provider Entity Code]]&amp;"; "&amp;R2665&amp;AS[[#This Row],[Age Band Code]]&amp;"; "&amp;S2665&amp;AS[[#This Row],[Sex Code]]</f>
        <v xml:space="preserve">Insurer Code ; Reporting Year ; Insurance Category Code ; Large Provider Entity Code ; Age Band Code ; Sex Code </v>
      </c>
      <c r="N2665" s="297" t="s">
        <v>197</v>
      </c>
      <c r="O2665" s="297" t="s">
        <v>198</v>
      </c>
      <c r="P2665" s="297" t="s">
        <v>199</v>
      </c>
      <c r="Q2665" s="297" t="s">
        <v>200</v>
      </c>
      <c r="R2665" s="297" t="s">
        <v>213</v>
      </c>
      <c r="S2665" s="297" t="s">
        <v>214</v>
      </c>
    </row>
    <row r="2666" spans="1:19" x14ac:dyDescent="0.4">
      <c r="A2666" s="291"/>
      <c r="B2666" s="292"/>
      <c r="C2666" s="312"/>
      <c r="D2666" s="292"/>
      <c r="E2666" s="489"/>
      <c r="F2666" s="489"/>
      <c r="G2666" s="490"/>
      <c r="H2666" s="520"/>
      <c r="I2666" s="523"/>
      <c r="J2666" s="521"/>
      <c r="K2666" s="522"/>
      <c r="M2666" s="301" t="str">
        <f>N2666&amp;AS[[#This Row],[Insurer Code]]&amp;"; "&amp;O2666&amp;AS[[#This Row],[Reporting Year]]&amp;"; "&amp;P2666&amp;AS[[#This Row],[Insurance Category Code]]&amp;"; "&amp;Q2666&amp;AS[[#This Row],[Large Provider Entity Code]]&amp;"; "&amp;R2666&amp;AS[[#This Row],[Age Band Code]]&amp;"; "&amp;S2666&amp;AS[[#This Row],[Sex Code]]</f>
        <v xml:space="preserve">Insurer Code ; Reporting Year ; Insurance Category Code ; Large Provider Entity Code ; Age Band Code ; Sex Code </v>
      </c>
      <c r="N2666" s="297" t="s">
        <v>197</v>
      </c>
      <c r="O2666" s="297" t="s">
        <v>198</v>
      </c>
      <c r="P2666" s="297" t="s">
        <v>199</v>
      </c>
      <c r="Q2666" s="297" t="s">
        <v>200</v>
      </c>
      <c r="R2666" s="297" t="s">
        <v>213</v>
      </c>
      <c r="S2666" s="297" t="s">
        <v>214</v>
      </c>
    </row>
    <row r="2667" spans="1:19" x14ac:dyDescent="0.4">
      <c r="A2667" s="291"/>
      <c r="B2667" s="292"/>
      <c r="C2667" s="312"/>
      <c r="D2667" s="292"/>
      <c r="E2667" s="489"/>
      <c r="F2667" s="489"/>
      <c r="G2667" s="490"/>
      <c r="H2667" s="520"/>
      <c r="I2667" s="523"/>
      <c r="J2667" s="521"/>
      <c r="K2667" s="522"/>
      <c r="M2667" s="301" t="str">
        <f>N2667&amp;AS[[#This Row],[Insurer Code]]&amp;"; "&amp;O2667&amp;AS[[#This Row],[Reporting Year]]&amp;"; "&amp;P2667&amp;AS[[#This Row],[Insurance Category Code]]&amp;"; "&amp;Q2667&amp;AS[[#This Row],[Large Provider Entity Code]]&amp;"; "&amp;R2667&amp;AS[[#This Row],[Age Band Code]]&amp;"; "&amp;S2667&amp;AS[[#This Row],[Sex Code]]</f>
        <v xml:space="preserve">Insurer Code ; Reporting Year ; Insurance Category Code ; Large Provider Entity Code ; Age Band Code ; Sex Code </v>
      </c>
      <c r="N2667" s="297" t="s">
        <v>197</v>
      </c>
      <c r="O2667" s="297" t="s">
        <v>198</v>
      </c>
      <c r="P2667" s="297" t="s">
        <v>199</v>
      </c>
      <c r="Q2667" s="297" t="s">
        <v>200</v>
      </c>
      <c r="R2667" s="297" t="s">
        <v>213</v>
      </c>
      <c r="S2667" s="297" t="s">
        <v>214</v>
      </c>
    </row>
    <row r="2668" spans="1:19" x14ac:dyDescent="0.4">
      <c r="A2668" s="291"/>
      <c r="B2668" s="292"/>
      <c r="C2668" s="312"/>
      <c r="D2668" s="292"/>
      <c r="E2668" s="489"/>
      <c r="F2668" s="489"/>
      <c r="G2668" s="490"/>
      <c r="H2668" s="520"/>
      <c r="I2668" s="523"/>
      <c r="J2668" s="521"/>
      <c r="K2668" s="522"/>
      <c r="M2668" s="301" t="str">
        <f>N2668&amp;AS[[#This Row],[Insurer Code]]&amp;"; "&amp;O2668&amp;AS[[#This Row],[Reporting Year]]&amp;"; "&amp;P2668&amp;AS[[#This Row],[Insurance Category Code]]&amp;"; "&amp;Q2668&amp;AS[[#This Row],[Large Provider Entity Code]]&amp;"; "&amp;R2668&amp;AS[[#This Row],[Age Band Code]]&amp;"; "&amp;S2668&amp;AS[[#This Row],[Sex Code]]</f>
        <v xml:space="preserve">Insurer Code ; Reporting Year ; Insurance Category Code ; Large Provider Entity Code ; Age Band Code ; Sex Code </v>
      </c>
      <c r="N2668" s="297" t="s">
        <v>197</v>
      </c>
      <c r="O2668" s="297" t="s">
        <v>198</v>
      </c>
      <c r="P2668" s="297" t="s">
        <v>199</v>
      </c>
      <c r="Q2668" s="297" t="s">
        <v>200</v>
      </c>
      <c r="R2668" s="297" t="s">
        <v>213</v>
      </c>
      <c r="S2668" s="297" t="s">
        <v>214</v>
      </c>
    </row>
    <row r="2669" spans="1:19" x14ac:dyDescent="0.4">
      <c r="A2669" s="291"/>
      <c r="B2669" s="292"/>
      <c r="C2669" s="312"/>
      <c r="D2669" s="292"/>
      <c r="E2669" s="489"/>
      <c r="F2669" s="489"/>
      <c r="G2669" s="490"/>
      <c r="H2669" s="520"/>
      <c r="I2669" s="523"/>
      <c r="J2669" s="521"/>
      <c r="K2669" s="522"/>
      <c r="M2669" s="301" t="str">
        <f>N2669&amp;AS[[#This Row],[Insurer Code]]&amp;"; "&amp;O2669&amp;AS[[#This Row],[Reporting Year]]&amp;"; "&amp;P2669&amp;AS[[#This Row],[Insurance Category Code]]&amp;"; "&amp;Q2669&amp;AS[[#This Row],[Large Provider Entity Code]]&amp;"; "&amp;R2669&amp;AS[[#This Row],[Age Band Code]]&amp;"; "&amp;S2669&amp;AS[[#This Row],[Sex Code]]</f>
        <v xml:space="preserve">Insurer Code ; Reporting Year ; Insurance Category Code ; Large Provider Entity Code ; Age Band Code ; Sex Code </v>
      </c>
      <c r="N2669" s="297" t="s">
        <v>197</v>
      </c>
      <c r="O2669" s="297" t="s">
        <v>198</v>
      </c>
      <c r="P2669" s="297" t="s">
        <v>199</v>
      </c>
      <c r="Q2669" s="297" t="s">
        <v>200</v>
      </c>
      <c r="R2669" s="297" t="s">
        <v>213</v>
      </c>
      <c r="S2669" s="297" t="s">
        <v>214</v>
      </c>
    </row>
    <row r="2670" spans="1:19" x14ac:dyDescent="0.4">
      <c r="A2670" s="291"/>
      <c r="B2670" s="292"/>
      <c r="C2670" s="312"/>
      <c r="D2670" s="292"/>
      <c r="E2670" s="489"/>
      <c r="F2670" s="489"/>
      <c r="G2670" s="490"/>
      <c r="H2670" s="520"/>
      <c r="I2670" s="523"/>
      <c r="J2670" s="521"/>
      <c r="K2670" s="522"/>
      <c r="M2670" s="301" t="str">
        <f>N2670&amp;AS[[#This Row],[Insurer Code]]&amp;"; "&amp;O2670&amp;AS[[#This Row],[Reporting Year]]&amp;"; "&amp;P2670&amp;AS[[#This Row],[Insurance Category Code]]&amp;"; "&amp;Q2670&amp;AS[[#This Row],[Large Provider Entity Code]]&amp;"; "&amp;R2670&amp;AS[[#This Row],[Age Band Code]]&amp;"; "&amp;S2670&amp;AS[[#This Row],[Sex Code]]</f>
        <v xml:space="preserve">Insurer Code ; Reporting Year ; Insurance Category Code ; Large Provider Entity Code ; Age Band Code ; Sex Code </v>
      </c>
      <c r="N2670" s="297" t="s">
        <v>197</v>
      </c>
      <c r="O2670" s="297" t="s">
        <v>198</v>
      </c>
      <c r="P2670" s="297" t="s">
        <v>199</v>
      </c>
      <c r="Q2670" s="297" t="s">
        <v>200</v>
      </c>
      <c r="R2670" s="297" t="s">
        <v>213</v>
      </c>
      <c r="S2670" s="297" t="s">
        <v>214</v>
      </c>
    </row>
    <row r="2671" spans="1:19" x14ac:dyDescent="0.4">
      <c r="A2671" s="291"/>
      <c r="B2671" s="292"/>
      <c r="C2671" s="312"/>
      <c r="D2671" s="292"/>
      <c r="E2671" s="489"/>
      <c r="F2671" s="489"/>
      <c r="G2671" s="490"/>
      <c r="H2671" s="520"/>
      <c r="I2671" s="523"/>
      <c r="J2671" s="521"/>
      <c r="K2671" s="522"/>
      <c r="M2671" s="301" t="str">
        <f>N2671&amp;AS[[#This Row],[Insurer Code]]&amp;"; "&amp;O2671&amp;AS[[#This Row],[Reporting Year]]&amp;"; "&amp;P2671&amp;AS[[#This Row],[Insurance Category Code]]&amp;"; "&amp;Q2671&amp;AS[[#This Row],[Large Provider Entity Code]]&amp;"; "&amp;R2671&amp;AS[[#This Row],[Age Band Code]]&amp;"; "&amp;S2671&amp;AS[[#This Row],[Sex Code]]</f>
        <v xml:space="preserve">Insurer Code ; Reporting Year ; Insurance Category Code ; Large Provider Entity Code ; Age Band Code ; Sex Code </v>
      </c>
      <c r="N2671" s="297" t="s">
        <v>197</v>
      </c>
      <c r="O2671" s="297" t="s">
        <v>198</v>
      </c>
      <c r="P2671" s="297" t="s">
        <v>199</v>
      </c>
      <c r="Q2671" s="297" t="s">
        <v>200</v>
      </c>
      <c r="R2671" s="297" t="s">
        <v>213</v>
      </c>
      <c r="S2671" s="297" t="s">
        <v>214</v>
      </c>
    </row>
    <row r="2672" spans="1:19" x14ac:dyDescent="0.4">
      <c r="A2672" s="291"/>
      <c r="B2672" s="292"/>
      <c r="C2672" s="312"/>
      <c r="D2672" s="292"/>
      <c r="E2672" s="489"/>
      <c r="F2672" s="489"/>
      <c r="G2672" s="490"/>
      <c r="H2672" s="520"/>
      <c r="I2672" s="523"/>
      <c r="J2672" s="521"/>
      <c r="K2672" s="522"/>
      <c r="M2672" s="301" t="str">
        <f>N2672&amp;AS[[#This Row],[Insurer Code]]&amp;"; "&amp;O2672&amp;AS[[#This Row],[Reporting Year]]&amp;"; "&amp;P2672&amp;AS[[#This Row],[Insurance Category Code]]&amp;"; "&amp;Q2672&amp;AS[[#This Row],[Large Provider Entity Code]]&amp;"; "&amp;R2672&amp;AS[[#This Row],[Age Band Code]]&amp;"; "&amp;S2672&amp;AS[[#This Row],[Sex Code]]</f>
        <v xml:space="preserve">Insurer Code ; Reporting Year ; Insurance Category Code ; Large Provider Entity Code ; Age Band Code ; Sex Code </v>
      </c>
      <c r="N2672" s="297" t="s">
        <v>197</v>
      </c>
      <c r="O2672" s="297" t="s">
        <v>198</v>
      </c>
      <c r="P2672" s="297" t="s">
        <v>199</v>
      </c>
      <c r="Q2672" s="297" t="s">
        <v>200</v>
      </c>
      <c r="R2672" s="297" t="s">
        <v>213</v>
      </c>
      <c r="S2672" s="297" t="s">
        <v>214</v>
      </c>
    </row>
    <row r="2673" spans="1:19" x14ac:dyDescent="0.4">
      <c r="A2673" s="291"/>
      <c r="B2673" s="292"/>
      <c r="C2673" s="312"/>
      <c r="D2673" s="292"/>
      <c r="E2673" s="489"/>
      <c r="F2673" s="489"/>
      <c r="G2673" s="490"/>
      <c r="H2673" s="520"/>
      <c r="I2673" s="523"/>
      <c r="J2673" s="521"/>
      <c r="K2673" s="522"/>
      <c r="M2673" s="301" t="str">
        <f>N2673&amp;AS[[#This Row],[Insurer Code]]&amp;"; "&amp;O2673&amp;AS[[#This Row],[Reporting Year]]&amp;"; "&amp;P2673&amp;AS[[#This Row],[Insurance Category Code]]&amp;"; "&amp;Q2673&amp;AS[[#This Row],[Large Provider Entity Code]]&amp;"; "&amp;R2673&amp;AS[[#This Row],[Age Band Code]]&amp;"; "&amp;S2673&amp;AS[[#This Row],[Sex Code]]</f>
        <v xml:space="preserve">Insurer Code ; Reporting Year ; Insurance Category Code ; Large Provider Entity Code ; Age Band Code ; Sex Code </v>
      </c>
      <c r="N2673" s="297" t="s">
        <v>197</v>
      </c>
      <c r="O2673" s="297" t="s">
        <v>198</v>
      </c>
      <c r="P2673" s="297" t="s">
        <v>199</v>
      </c>
      <c r="Q2673" s="297" t="s">
        <v>200</v>
      </c>
      <c r="R2673" s="297" t="s">
        <v>213</v>
      </c>
      <c r="S2673" s="297" t="s">
        <v>214</v>
      </c>
    </row>
    <row r="2674" spans="1:19" x14ac:dyDescent="0.4">
      <c r="A2674" s="291"/>
      <c r="B2674" s="292"/>
      <c r="C2674" s="312"/>
      <c r="D2674" s="292"/>
      <c r="E2674" s="489"/>
      <c r="F2674" s="489"/>
      <c r="G2674" s="490"/>
      <c r="H2674" s="520"/>
      <c r="I2674" s="523"/>
      <c r="J2674" s="521"/>
      <c r="K2674" s="522"/>
      <c r="M2674" s="301" t="str">
        <f>N2674&amp;AS[[#This Row],[Insurer Code]]&amp;"; "&amp;O2674&amp;AS[[#This Row],[Reporting Year]]&amp;"; "&amp;P2674&amp;AS[[#This Row],[Insurance Category Code]]&amp;"; "&amp;Q2674&amp;AS[[#This Row],[Large Provider Entity Code]]&amp;"; "&amp;R2674&amp;AS[[#This Row],[Age Band Code]]&amp;"; "&amp;S2674&amp;AS[[#This Row],[Sex Code]]</f>
        <v xml:space="preserve">Insurer Code ; Reporting Year ; Insurance Category Code ; Large Provider Entity Code ; Age Band Code ; Sex Code </v>
      </c>
      <c r="N2674" s="297" t="s">
        <v>197</v>
      </c>
      <c r="O2674" s="297" t="s">
        <v>198</v>
      </c>
      <c r="P2674" s="297" t="s">
        <v>199</v>
      </c>
      <c r="Q2674" s="297" t="s">
        <v>200</v>
      </c>
      <c r="R2674" s="297" t="s">
        <v>213</v>
      </c>
      <c r="S2674" s="297" t="s">
        <v>214</v>
      </c>
    </row>
    <row r="2675" spans="1:19" x14ac:dyDescent="0.4">
      <c r="A2675" s="291"/>
      <c r="B2675" s="292"/>
      <c r="C2675" s="312"/>
      <c r="D2675" s="292"/>
      <c r="E2675" s="489"/>
      <c r="F2675" s="489"/>
      <c r="G2675" s="490"/>
      <c r="H2675" s="520"/>
      <c r="I2675" s="523"/>
      <c r="J2675" s="521"/>
      <c r="K2675" s="522"/>
      <c r="M2675" s="301" t="str">
        <f>N2675&amp;AS[[#This Row],[Insurer Code]]&amp;"; "&amp;O2675&amp;AS[[#This Row],[Reporting Year]]&amp;"; "&amp;P2675&amp;AS[[#This Row],[Insurance Category Code]]&amp;"; "&amp;Q2675&amp;AS[[#This Row],[Large Provider Entity Code]]&amp;"; "&amp;R2675&amp;AS[[#This Row],[Age Band Code]]&amp;"; "&amp;S2675&amp;AS[[#This Row],[Sex Code]]</f>
        <v xml:space="preserve">Insurer Code ; Reporting Year ; Insurance Category Code ; Large Provider Entity Code ; Age Band Code ; Sex Code </v>
      </c>
      <c r="N2675" s="297" t="s">
        <v>197</v>
      </c>
      <c r="O2675" s="297" t="s">
        <v>198</v>
      </c>
      <c r="P2675" s="297" t="s">
        <v>199</v>
      </c>
      <c r="Q2675" s="297" t="s">
        <v>200</v>
      </c>
      <c r="R2675" s="297" t="s">
        <v>213</v>
      </c>
      <c r="S2675" s="297" t="s">
        <v>214</v>
      </c>
    </row>
    <row r="2676" spans="1:19" x14ac:dyDescent="0.4">
      <c r="A2676" s="291"/>
      <c r="B2676" s="292"/>
      <c r="C2676" s="312"/>
      <c r="D2676" s="292"/>
      <c r="E2676" s="489"/>
      <c r="F2676" s="489"/>
      <c r="G2676" s="490"/>
      <c r="H2676" s="520"/>
      <c r="I2676" s="523"/>
      <c r="J2676" s="521"/>
      <c r="K2676" s="522"/>
      <c r="M2676" s="301" t="str">
        <f>N2676&amp;AS[[#This Row],[Insurer Code]]&amp;"; "&amp;O2676&amp;AS[[#This Row],[Reporting Year]]&amp;"; "&amp;P2676&amp;AS[[#This Row],[Insurance Category Code]]&amp;"; "&amp;Q2676&amp;AS[[#This Row],[Large Provider Entity Code]]&amp;"; "&amp;R2676&amp;AS[[#This Row],[Age Band Code]]&amp;"; "&amp;S2676&amp;AS[[#This Row],[Sex Code]]</f>
        <v xml:space="preserve">Insurer Code ; Reporting Year ; Insurance Category Code ; Large Provider Entity Code ; Age Band Code ; Sex Code </v>
      </c>
      <c r="N2676" s="297" t="s">
        <v>197</v>
      </c>
      <c r="O2676" s="297" t="s">
        <v>198</v>
      </c>
      <c r="P2676" s="297" t="s">
        <v>199</v>
      </c>
      <c r="Q2676" s="297" t="s">
        <v>200</v>
      </c>
      <c r="R2676" s="297" t="s">
        <v>213</v>
      </c>
      <c r="S2676" s="297" t="s">
        <v>214</v>
      </c>
    </row>
    <row r="2677" spans="1:19" x14ac:dyDescent="0.4">
      <c r="A2677" s="291"/>
      <c r="B2677" s="292"/>
      <c r="C2677" s="312"/>
      <c r="D2677" s="292"/>
      <c r="E2677" s="489"/>
      <c r="F2677" s="489"/>
      <c r="G2677" s="490"/>
      <c r="H2677" s="520"/>
      <c r="I2677" s="523"/>
      <c r="J2677" s="521"/>
      <c r="K2677" s="522"/>
      <c r="M2677" s="301" t="str">
        <f>N2677&amp;AS[[#This Row],[Insurer Code]]&amp;"; "&amp;O2677&amp;AS[[#This Row],[Reporting Year]]&amp;"; "&amp;P2677&amp;AS[[#This Row],[Insurance Category Code]]&amp;"; "&amp;Q2677&amp;AS[[#This Row],[Large Provider Entity Code]]&amp;"; "&amp;R2677&amp;AS[[#This Row],[Age Band Code]]&amp;"; "&amp;S2677&amp;AS[[#This Row],[Sex Code]]</f>
        <v xml:space="preserve">Insurer Code ; Reporting Year ; Insurance Category Code ; Large Provider Entity Code ; Age Band Code ; Sex Code </v>
      </c>
      <c r="N2677" s="297" t="s">
        <v>197</v>
      </c>
      <c r="O2677" s="297" t="s">
        <v>198</v>
      </c>
      <c r="P2677" s="297" t="s">
        <v>199</v>
      </c>
      <c r="Q2677" s="297" t="s">
        <v>200</v>
      </c>
      <c r="R2677" s="297" t="s">
        <v>213</v>
      </c>
      <c r="S2677" s="297" t="s">
        <v>214</v>
      </c>
    </row>
    <row r="2678" spans="1:19" x14ac:dyDescent="0.4">
      <c r="A2678" s="291"/>
      <c r="B2678" s="292"/>
      <c r="C2678" s="312"/>
      <c r="D2678" s="292"/>
      <c r="E2678" s="489"/>
      <c r="F2678" s="489"/>
      <c r="G2678" s="490"/>
      <c r="H2678" s="520"/>
      <c r="I2678" s="523"/>
      <c r="J2678" s="521"/>
      <c r="K2678" s="522"/>
      <c r="M2678" s="301" t="str">
        <f>N2678&amp;AS[[#This Row],[Insurer Code]]&amp;"; "&amp;O2678&amp;AS[[#This Row],[Reporting Year]]&amp;"; "&amp;P2678&amp;AS[[#This Row],[Insurance Category Code]]&amp;"; "&amp;Q2678&amp;AS[[#This Row],[Large Provider Entity Code]]&amp;"; "&amp;R2678&amp;AS[[#This Row],[Age Band Code]]&amp;"; "&amp;S2678&amp;AS[[#This Row],[Sex Code]]</f>
        <v xml:space="preserve">Insurer Code ; Reporting Year ; Insurance Category Code ; Large Provider Entity Code ; Age Band Code ; Sex Code </v>
      </c>
      <c r="N2678" s="297" t="s">
        <v>197</v>
      </c>
      <c r="O2678" s="297" t="s">
        <v>198</v>
      </c>
      <c r="P2678" s="297" t="s">
        <v>199</v>
      </c>
      <c r="Q2678" s="297" t="s">
        <v>200</v>
      </c>
      <c r="R2678" s="297" t="s">
        <v>213</v>
      </c>
      <c r="S2678" s="297" t="s">
        <v>214</v>
      </c>
    </row>
    <row r="2679" spans="1:19" x14ac:dyDescent="0.4">
      <c r="A2679" s="291"/>
      <c r="B2679" s="292"/>
      <c r="C2679" s="312"/>
      <c r="D2679" s="292"/>
      <c r="E2679" s="489"/>
      <c r="F2679" s="489"/>
      <c r="G2679" s="490"/>
      <c r="H2679" s="520"/>
      <c r="I2679" s="523"/>
      <c r="J2679" s="521"/>
      <c r="K2679" s="522"/>
      <c r="M2679" s="301" t="str">
        <f>N2679&amp;AS[[#This Row],[Insurer Code]]&amp;"; "&amp;O2679&amp;AS[[#This Row],[Reporting Year]]&amp;"; "&amp;P2679&amp;AS[[#This Row],[Insurance Category Code]]&amp;"; "&amp;Q2679&amp;AS[[#This Row],[Large Provider Entity Code]]&amp;"; "&amp;R2679&amp;AS[[#This Row],[Age Band Code]]&amp;"; "&amp;S2679&amp;AS[[#This Row],[Sex Code]]</f>
        <v xml:space="preserve">Insurer Code ; Reporting Year ; Insurance Category Code ; Large Provider Entity Code ; Age Band Code ; Sex Code </v>
      </c>
      <c r="N2679" s="297" t="s">
        <v>197</v>
      </c>
      <c r="O2679" s="297" t="s">
        <v>198</v>
      </c>
      <c r="P2679" s="297" t="s">
        <v>199</v>
      </c>
      <c r="Q2679" s="297" t="s">
        <v>200</v>
      </c>
      <c r="R2679" s="297" t="s">
        <v>213</v>
      </c>
      <c r="S2679" s="297" t="s">
        <v>214</v>
      </c>
    </row>
    <row r="2680" spans="1:19" x14ac:dyDescent="0.4">
      <c r="A2680" s="291"/>
      <c r="B2680" s="292"/>
      <c r="C2680" s="312"/>
      <c r="D2680" s="292"/>
      <c r="E2680" s="489"/>
      <c r="F2680" s="489"/>
      <c r="G2680" s="490"/>
      <c r="H2680" s="520"/>
      <c r="I2680" s="523"/>
      <c r="J2680" s="521"/>
      <c r="K2680" s="522"/>
      <c r="M2680" s="301" t="str">
        <f>N2680&amp;AS[[#This Row],[Insurer Code]]&amp;"; "&amp;O2680&amp;AS[[#This Row],[Reporting Year]]&amp;"; "&amp;P2680&amp;AS[[#This Row],[Insurance Category Code]]&amp;"; "&amp;Q2680&amp;AS[[#This Row],[Large Provider Entity Code]]&amp;"; "&amp;R2680&amp;AS[[#This Row],[Age Band Code]]&amp;"; "&amp;S2680&amp;AS[[#This Row],[Sex Code]]</f>
        <v xml:space="preserve">Insurer Code ; Reporting Year ; Insurance Category Code ; Large Provider Entity Code ; Age Band Code ; Sex Code </v>
      </c>
      <c r="N2680" s="297" t="s">
        <v>197</v>
      </c>
      <c r="O2680" s="297" t="s">
        <v>198</v>
      </c>
      <c r="P2680" s="297" t="s">
        <v>199</v>
      </c>
      <c r="Q2680" s="297" t="s">
        <v>200</v>
      </c>
      <c r="R2680" s="297" t="s">
        <v>213</v>
      </c>
      <c r="S2680" s="297" t="s">
        <v>214</v>
      </c>
    </row>
    <row r="2681" spans="1:19" x14ac:dyDescent="0.4">
      <c r="A2681" s="291"/>
      <c r="B2681" s="292"/>
      <c r="C2681" s="312"/>
      <c r="D2681" s="292"/>
      <c r="E2681" s="489"/>
      <c r="F2681" s="489"/>
      <c r="G2681" s="490"/>
      <c r="H2681" s="520"/>
      <c r="I2681" s="523"/>
      <c r="J2681" s="521"/>
      <c r="K2681" s="522"/>
      <c r="M2681" s="301" t="str">
        <f>N2681&amp;AS[[#This Row],[Insurer Code]]&amp;"; "&amp;O2681&amp;AS[[#This Row],[Reporting Year]]&amp;"; "&amp;P2681&amp;AS[[#This Row],[Insurance Category Code]]&amp;"; "&amp;Q2681&amp;AS[[#This Row],[Large Provider Entity Code]]&amp;"; "&amp;R2681&amp;AS[[#This Row],[Age Band Code]]&amp;"; "&amp;S2681&amp;AS[[#This Row],[Sex Code]]</f>
        <v xml:space="preserve">Insurer Code ; Reporting Year ; Insurance Category Code ; Large Provider Entity Code ; Age Band Code ; Sex Code </v>
      </c>
      <c r="N2681" s="297" t="s">
        <v>197</v>
      </c>
      <c r="O2681" s="297" t="s">
        <v>198</v>
      </c>
      <c r="P2681" s="297" t="s">
        <v>199</v>
      </c>
      <c r="Q2681" s="297" t="s">
        <v>200</v>
      </c>
      <c r="R2681" s="297" t="s">
        <v>213</v>
      </c>
      <c r="S2681" s="297" t="s">
        <v>214</v>
      </c>
    </row>
    <row r="2682" spans="1:19" x14ac:dyDescent="0.4">
      <c r="A2682" s="291"/>
      <c r="B2682" s="292"/>
      <c r="C2682" s="312"/>
      <c r="D2682" s="292"/>
      <c r="E2682" s="489"/>
      <c r="F2682" s="489"/>
      <c r="G2682" s="490"/>
      <c r="H2682" s="520"/>
      <c r="I2682" s="523"/>
      <c r="J2682" s="521"/>
      <c r="K2682" s="522"/>
      <c r="M2682" s="301" t="str">
        <f>N2682&amp;AS[[#This Row],[Insurer Code]]&amp;"; "&amp;O2682&amp;AS[[#This Row],[Reporting Year]]&amp;"; "&amp;P2682&amp;AS[[#This Row],[Insurance Category Code]]&amp;"; "&amp;Q2682&amp;AS[[#This Row],[Large Provider Entity Code]]&amp;"; "&amp;R2682&amp;AS[[#This Row],[Age Band Code]]&amp;"; "&amp;S2682&amp;AS[[#This Row],[Sex Code]]</f>
        <v xml:space="preserve">Insurer Code ; Reporting Year ; Insurance Category Code ; Large Provider Entity Code ; Age Band Code ; Sex Code </v>
      </c>
      <c r="N2682" s="297" t="s">
        <v>197</v>
      </c>
      <c r="O2682" s="297" t="s">
        <v>198</v>
      </c>
      <c r="P2682" s="297" t="s">
        <v>199</v>
      </c>
      <c r="Q2682" s="297" t="s">
        <v>200</v>
      </c>
      <c r="R2682" s="297" t="s">
        <v>213</v>
      </c>
      <c r="S2682" s="297" t="s">
        <v>214</v>
      </c>
    </row>
    <row r="2683" spans="1:19" x14ac:dyDescent="0.4">
      <c r="A2683" s="291"/>
      <c r="B2683" s="292"/>
      <c r="C2683" s="312"/>
      <c r="D2683" s="292"/>
      <c r="E2683" s="489"/>
      <c r="F2683" s="489"/>
      <c r="G2683" s="490"/>
      <c r="H2683" s="520"/>
      <c r="I2683" s="523"/>
      <c r="J2683" s="521"/>
      <c r="K2683" s="522"/>
      <c r="M2683" s="301" t="str">
        <f>N2683&amp;AS[[#This Row],[Insurer Code]]&amp;"; "&amp;O2683&amp;AS[[#This Row],[Reporting Year]]&amp;"; "&amp;P2683&amp;AS[[#This Row],[Insurance Category Code]]&amp;"; "&amp;Q2683&amp;AS[[#This Row],[Large Provider Entity Code]]&amp;"; "&amp;R2683&amp;AS[[#This Row],[Age Band Code]]&amp;"; "&amp;S2683&amp;AS[[#This Row],[Sex Code]]</f>
        <v xml:space="preserve">Insurer Code ; Reporting Year ; Insurance Category Code ; Large Provider Entity Code ; Age Band Code ; Sex Code </v>
      </c>
      <c r="N2683" s="297" t="s">
        <v>197</v>
      </c>
      <c r="O2683" s="297" t="s">
        <v>198</v>
      </c>
      <c r="P2683" s="297" t="s">
        <v>199</v>
      </c>
      <c r="Q2683" s="297" t="s">
        <v>200</v>
      </c>
      <c r="R2683" s="297" t="s">
        <v>213</v>
      </c>
      <c r="S2683" s="297" t="s">
        <v>214</v>
      </c>
    </row>
    <row r="2684" spans="1:19" x14ac:dyDescent="0.4">
      <c r="A2684" s="291"/>
      <c r="B2684" s="292"/>
      <c r="C2684" s="312"/>
      <c r="D2684" s="292"/>
      <c r="E2684" s="489"/>
      <c r="F2684" s="489"/>
      <c r="G2684" s="490"/>
      <c r="H2684" s="520"/>
      <c r="I2684" s="523"/>
      <c r="J2684" s="521"/>
      <c r="K2684" s="522"/>
      <c r="M2684" s="301" t="str">
        <f>N2684&amp;AS[[#This Row],[Insurer Code]]&amp;"; "&amp;O2684&amp;AS[[#This Row],[Reporting Year]]&amp;"; "&amp;P2684&amp;AS[[#This Row],[Insurance Category Code]]&amp;"; "&amp;Q2684&amp;AS[[#This Row],[Large Provider Entity Code]]&amp;"; "&amp;R2684&amp;AS[[#This Row],[Age Band Code]]&amp;"; "&amp;S2684&amp;AS[[#This Row],[Sex Code]]</f>
        <v xml:space="preserve">Insurer Code ; Reporting Year ; Insurance Category Code ; Large Provider Entity Code ; Age Band Code ; Sex Code </v>
      </c>
      <c r="N2684" s="297" t="s">
        <v>197</v>
      </c>
      <c r="O2684" s="297" t="s">
        <v>198</v>
      </c>
      <c r="P2684" s="297" t="s">
        <v>199</v>
      </c>
      <c r="Q2684" s="297" t="s">
        <v>200</v>
      </c>
      <c r="R2684" s="297" t="s">
        <v>213</v>
      </c>
      <c r="S2684" s="297" t="s">
        <v>214</v>
      </c>
    </row>
    <row r="2685" spans="1:19" x14ac:dyDescent="0.4">
      <c r="A2685" s="291"/>
      <c r="B2685" s="292"/>
      <c r="C2685" s="312"/>
      <c r="D2685" s="292"/>
      <c r="E2685" s="489"/>
      <c r="F2685" s="489"/>
      <c r="G2685" s="490"/>
      <c r="H2685" s="520"/>
      <c r="I2685" s="523"/>
      <c r="J2685" s="521"/>
      <c r="K2685" s="522"/>
      <c r="M2685" s="301" t="str">
        <f>N2685&amp;AS[[#This Row],[Insurer Code]]&amp;"; "&amp;O2685&amp;AS[[#This Row],[Reporting Year]]&amp;"; "&amp;P2685&amp;AS[[#This Row],[Insurance Category Code]]&amp;"; "&amp;Q2685&amp;AS[[#This Row],[Large Provider Entity Code]]&amp;"; "&amp;R2685&amp;AS[[#This Row],[Age Band Code]]&amp;"; "&amp;S2685&amp;AS[[#This Row],[Sex Code]]</f>
        <v xml:space="preserve">Insurer Code ; Reporting Year ; Insurance Category Code ; Large Provider Entity Code ; Age Band Code ; Sex Code </v>
      </c>
      <c r="N2685" s="297" t="s">
        <v>197</v>
      </c>
      <c r="O2685" s="297" t="s">
        <v>198</v>
      </c>
      <c r="P2685" s="297" t="s">
        <v>199</v>
      </c>
      <c r="Q2685" s="297" t="s">
        <v>200</v>
      </c>
      <c r="R2685" s="297" t="s">
        <v>213</v>
      </c>
      <c r="S2685" s="297" t="s">
        <v>214</v>
      </c>
    </row>
    <row r="2686" spans="1:19" x14ac:dyDescent="0.4">
      <c r="A2686" s="291"/>
      <c r="B2686" s="292"/>
      <c r="C2686" s="312"/>
      <c r="D2686" s="292"/>
      <c r="E2686" s="489"/>
      <c r="F2686" s="489"/>
      <c r="G2686" s="490"/>
      <c r="H2686" s="520"/>
      <c r="I2686" s="523"/>
      <c r="J2686" s="521"/>
      <c r="K2686" s="522"/>
      <c r="M2686" s="301" t="str">
        <f>N2686&amp;AS[[#This Row],[Insurer Code]]&amp;"; "&amp;O2686&amp;AS[[#This Row],[Reporting Year]]&amp;"; "&amp;P2686&amp;AS[[#This Row],[Insurance Category Code]]&amp;"; "&amp;Q2686&amp;AS[[#This Row],[Large Provider Entity Code]]&amp;"; "&amp;R2686&amp;AS[[#This Row],[Age Band Code]]&amp;"; "&amp;S2686&amp;AS[[#This Row],[Sex Code]]</f>
        <v xml:space="preserve">Insurer Code ; Reporting Year ; Insurance Category Code ; Large Provider Entity Code ; Age Band Code ; Sex Code </v>
      </c>
      <c r="N2686" s="297" t="s">
        <v>197</v>
      </c>
      <c r="O2686" s="297" t="s">
        <v>198</v>
      </c>
      <c r="P2686" s="297" t="s">
        <v>199</v>
      </c>
      <c r="Q2686" s="297" t="s">
        <v>200</v>
      </c>
      <c r="R2686" s="297" t="s">
        <v>213</v>
      </c>
      <c r="S2686" s="297" t="s">
        <v>214</v>
      </c>
    </row>
    <row r="2687" spans="1:19" x14ac:dyDescent="0.4">
      <c r="A2687" s="291"/>
      <c r="B2687" s="292"/>
      <c r="C2687" s="312"/>
      <c r="D2687" s="292"/>
      <c r="E2687" s="489"/>
      <c r="F2687" s="489"/>
      <c r="G2687" s="490"/>
      <c r="H2687" s="520"/>
      <c r="I2687" s="523"/>
      <c r="J2687" s="521"/>
      <c r="K2687" s="522"/>
      <c r="M2687" s="301" t="str">
        <f>N2687&amp;AS[[#This Row],[Insurer Code]]&amp;"; "&amp;O2687&amp;AS[[#This Row],[Reporting Year]]&amp;"; "&amp;P2687&amp;AS[[#This Row],[Insurance Category Code]]&amp;"; "&amp;Q2687&amp;AS[[#This Row],[Large Provider Entity Code]]&amp;"; "&amp;R2687&amp;AS[[#This Row],[Age Band Code]]&amp;"; "&amp;S2687&amp;AS[[#This Row],[Sex Code]]</f>
        <v xml:space="preserve">Insurer Code ; Reporting Year ; Insurance Category Code ; Large Provider Entity Code ; Age Band Code ; Sex Code </v>
      </c>
      <c r="N2687" s="297" t="s">
        <v>197</v>
      </c>
      <c r="O2687" s="297" t="s">
        <v>198</v>
      </c>
      <c r="P2687" s="297" t="s">
        <v>199</v>
      </c>
      <c r="Q2687" s="297" t="s">
        <v>200</v>
      </c>
      <c r="R2687" s="297" t="s">
        <v>213</v>
      </c>
      <c r="S2687" s="297" t="s">
        <v>214</v>
      </c>
    </row>
    <row r="2688" spans="1:19" x14ac:dyDescent="0.4">
      <c r="A2688" s="291"/>
      <c r="B2688" s="292"/>
      <c r="C2688" s="312"/>
      <c r="D2688" s="292"/>
      <c r="E2688" s="489"/>
      <c r="F2688" s="489"/>
      <c r="G2688" s="490"/>
      <c r="H2688" s="520"/>
      <c r="I2688" s="523"/>
      <c r="J2688" s="521"/>
      <c r="K2688" s="522"/>
      <c r="M2688" s="301" t="str">
        <f>N2688&amp;AS[[#This Row],[Insurer Code]]&amp;"; "&amp;O2688&amp;AS[[#This Row],[Reporting Year]]&amp;"; "&amp;P2688&amp;AS[[#This Row],[Insurance Category Code]]&amp;"; "&amp;Q2688&amp;AS[[#This Row],[Large Provider Entity Code]]&amp;"; "&amp;R2688&amp;AS[[#This Row],[Age Band Code]]&amp;"; "&amp;S2688&amp;AS[[#This Row],[Sex Code]]</f>
        <v xml:space="preserve">Insurer Code ; Reporting Year ; Insurance Category Code ; Large Provider Entity Code ; Age Band Code ; Sex Code </v>
      </c>
      <c r="N2688" s="297" t="s">
        <v>197</v>
      </c>
      <c r="O2688" s="297" t="s">
        <v>198</v>
      </c>
      <c r="P2688" s="297" t="s">
        <v>199</v>
      </c>
      <c r="Q2688" s="297" t="s">
        <v>200</v>
      </c>
      <c r="R2688" s="297" t="s">
        <v>213</v>
      </c>
      <c r="S2688" s="297" t="s">
        <v>214</v>
      </c>
    </row>
    <row r="2689" spans="1:19" x14ac:dyDescent="0.4">
      <c r="A2689" s="291"/>
      <c r="B2689" s="292"/>
      <c r="C2689" s="312"/>
      <c r="D2689" s="292"/>
      <c r="E2689" s="489"/>
      <c r="F2689" s="489"/>
      <c r="G2689" s="490"/>
      <c r="H2689" s="520"/>
      <c r="I2689" s="523"/>
      <c r="J2689" s="521"/>
      <c r="K2689" s="522"/>
      <c r="M2689" s="301" t="str">
        <f>N2689&amp;AS[[#This Row],[Insurer Code]]&amp;"; "&amp;O2689&amp;AS[[#This Row],[Reporting Year]]&amp;"; "&amp;P2689&amp;AS[[#This Row],[Insurance Category Code]]&amp;"; "&amp;Q2689&amp;AS[[#This Row],[Large Provider Entity Code]]&amp;"; "&amp;R2689&amp;AS[[#This Row],[Age Band Code]]&amp;"; "&amp;S2689&amp;AS[[#This Row],[Sex Code]]</f>
        <v xml:space="preserve">Insurer Code ; Reporting Year ; Insurance Category Code ; Large Provider Entity Code ; Age Band Code ; Sex Code </v>
      </c>
      <c r="N2689" s="297" t="s">
        <v>197</v>
      </c>
      <c r="O2689" s="297" t="s">
        <v>198</v>
      </c>
      <c r="P2689" s="297" t="s">
        <v>199</v>
      </c>
      <c r="Q2689" s="297" t="s">
        <v>200</v>
      </c>
      <c r="R2689" s="297" t="s">
        <v>213</v>
      </c>
      <c r="S2689" s="297" t="s">
        <v>214</v>
      </c>
    </row>
    <row r="2690" spans="1:19" x14ac:dyDescent="0.4">
      <c r="A2690" s="291"/>
      <c r="B2690" s="292"/>
      <c r="C2690" s="312"/>
      <c r="D2690" s="292"/>
      <c r="E2690" s="489"/>
      <c r="F2690" s="489"/>
      <c r="G2690" s="490"/>
      <c r="H2690" s="520"/>
      <c r="I2690" s="523"/>
      <c r="J2690" s="521"/>
      <c r="K2690" s="522"/>
      <c r="M2690" s="301" t="str">
        <f>N2690&amp;AS[[#This Row],[Insurer Code]]&amp;"; "&amp;O2690&amp;AS[[#This Row],[Reporting Year]]&amp;"; "&amp;P2690&amp;AS[[#This Row],[Insurance Category Code]]&amp;"; "&amp;Q2690&amp;AS[[#This Row],[Large Provider Entity Code]]&amp;"; "&amp;R2690&amp;AS[[#This Row],[Age Band Code]]&amp;"; "&amp;S2690&amp;AS[[#This Row],[Sex Code]]</f>
        <v xml:space="preserve">Insurer Code ; Reporting Year ; Insurance Category Code ; Large Provider Entity Code ; Age Band Code ; Sex Code </v>
      </c>
      <c r="N2690" s="297" t="s">
        <v>197</v>
      </c>
      <c r="O2690" s="297" t="s">
        <v>198</v>
      </c>
      <c r="P2690" s="297" t="s">
        <v>199</v>
      </c>
      <c r="Q2690" s="297" t="s">
        <v>200</v>
      </c>
      <c r="R2690" s="297" t="s">
        <v>213</v>
      </c>
      <c r="S2690" s="297" t="s">
        <v>214</v>
      </c>
    </row>
    <row r="2691" spans="1:19" x14ac:dyDescent="0.4">
      <c r="A2691" s="291"/>
      <c r="B2691" s="292"/>
      <c r="C2691" s="312"/>
      <c r="D2691" s="292"/>
      <c r="E2691" s="489"/>
      <c r="F2691" s="489"/>
      <c r="G2691" s="490"/>
      <c r="H2691" s="520"/>
      <c r="I2691" s="523"/>
      <c r="J2691" s="521"/>
      <c r="K2691" s="522"/>
      <c r="M2691" s="301" t="str">
        <f>N2691&amp;AS[[#This Row],[Insurer Code]]&amp;"; "&amp;O2691&amp;AS[[#This Row],[Reporting Year]]&amp;"; "&amp;P2691&amp;AS[[#This Row],[Insurance Category Code]]&amp;"; "&amp;Q2691&amp;AS[[#This Row],[Large Provider Entity Code]]&amp;"; "&amp;R2691&amp;AS[[#This Row],[Age Band Code]]&amp;"; "&amp;S2691&amp;AS[[#This Row],[Sex Code]]</f>
        <v xml:space="preserve">Insurer Code ; Reporting Year ; Insurance Category Code ; Large Provider Entity Code ; Age Band Code ; Sex Code </v>
      </c>
      <c r="N2691" s="297" t="s">
        <v>197</v>
      </c>
      <c r="O2691" s="297" t="s">
        <v>198</v>
      </c>
      <c r="P2691" s="297" t="s">
        <v>199</v>
      </c>
      <c r="Q2691" s="297" t="s">
        <v>200</v>
      </c>
      <c r="R2691" s="297" t="s">
        <v>213</v>
      </c>
      <c r="S2691" s="297" t="s">
        <v>214</v>
      </c>
    </row>
    <row r="2692" spans="1:19" x14ac:dyDescent="0.4">
      <c r="A2692" s="291"/>
      <c r="B2692" s="292"/>
      <c r="C2692" s="312"/>
      <c r="D2692" s="292"/>
      <c r="E2692" s="489"/>
      <c r="F2692" s="489"/>
      <c r="G2692" s="490"/>
      <c r="H2692" s="520"/>
      <c r="I2692" s="523"/>
      <c r="J2692" s="521"/>
      <c r="K2692" s="522"/>
      <c r="M2692" s="301" t="str">
        <f>N2692&amp;AS[[#This Row],[Insurer Code]]&amp;"; "&amp;O2692&amp;AS[[#This Row],[Reporting Year]]&amp;"; "&amp;P2692&amp;AS[[#This Row],[Insurance Category Code]]&amp;"; "&amp;Q2692&amp;AS[[#This Row],[Large Provider Entity Code]]&amp;"; "&amp;R2692&amp;AS[[#This Row],[Age Band Code]]&amp;"; "&amp;S2692&amp;AS[[#This Row],[Sex Code]]</f>
        <v xml:space="preserve">Insurer Code ; Reporting Year ; Insurance Category Code ; Large Provider Entity Code ; Age Band Code ; Sex Code </v>
      </c>
      <c r="N2692" s="297" t="s">
        <v>197</v>
      </c>
      <c r="O2692" s="297" t="s">
        <v>198</v>
      </c>
      <c r="P2692" s="297" t="s">
        <v>199</v>
      </c>
      <c r="Q2692" s="297" t="s">
        <v>200</v>
      </c>
      <c r="R2692" s="297" t="s">
        <v>213</v>
      </c>
      <c r="S2692" s="297" t="s">
        <v>214</v>
      </c>
    </row>
    <row r="2693" spans="1:19" x14ac:dyDescent="0.4">
      <c r="A2693" s="291"/>
      <c r="B2693" s="292"/>
      <c r="C2693" s="312"/>
      <c r="D2693" s="292"/>
      <c r="E2693" s="489"/>
      <c r="F2693" s="489"/>
      <c r="G2693" s="490"/>
      <c r="H2693" s="520"/>
      <c r="I2693" s="523"/>
      <c r="J2693" s="521"/>
      <c r="K2693" s="522"/>
      <c r="M2693" s="301" t="str">
        <f>N2693&amp;AS[[#This Row],[Insurer Code]]&amp;"; "&amp;O2693&amp;AS[[#This Row],[Reporting Year]]&amp;"; "&amp;P2693&amp;AS[[#This Row],[Insurance Category Code]]&amp;"; "&amp;Q2693&amp;AS[[#This Row],[Large Provider Entity Code]]&amp;"; "&amp;R2693&amp;AS[[#This Row],[Age Band Code]]&amp;"; "&amp;S2693&amp;AS[[#This Row],[Sex Code]]</f>
        <v xml:space="preserve">Insurer Code ; Reporting Year ; Insurance Category Code ; Large Provider Entity Code ; Age Band Code ; Sex Code </v>
      </c>
      <c r="N2693" s="297" t="s">
        <v>197</v>
      </c>
      <c r="O2693" s="297" t="s">
        <v>198</v>
      </c>
      <c r="P2693" s="297" t="s">
        <v>199</v>
      </c>
      <c r="Q2693" s="297" t="s">
        <v>200</v>
      </c>
      <c r="R2693" s="297" t="s">
        <v>213</v>
      </c>
      <c r="S2693" s="297" t="s">
        <v>214</v>
      </c>
    </row>
    <row r="2694" spans="1:19" x14ac:dyDescent="0.4">
      <c r="A2694" s="291"/>
      <c r="B2694" s="292"/>
      <c r="C2694" s="312"/>
      <c r="D2694" s="292"/>
      <c r="E2694" s="489"/>
      <c r="F2694" s="489"/>
      <c r="G2694" s="490"/>
      <c r="H2694" s="520"/>
      <c r="I2694" s="523"/>
      <c r="J2694" s="521"/>
      <c r="K2694" s="522"/>
      <c r="M2694" s="301" t="str">
        <f>N2694&amp;AS[[#This Row],[Insurer Code]]&amp;"; "&amp;O2694&amp;AS[[#This Row],[Reporting Year]]&amp;"; "&amp;P2694&amp;AS[[#This Row],[Insurance Category Code]]&amp;"; "&amp;Q2694&amp;AS[[#This Row],[Large Provider Entity Code]]&amp;"; "&amp;R2694&amp;AS[[#This Row],[Age Band Code]]&amp;"; "&amp;S2694&amp;AS[[#This Row],[Sex Code]]</f>
        <v xml:space="preserve">Insurer Code ; Reporting Year ; Insurance Category Code ; Large Provider Entity Code ; Age Band Code ; Sex Code </v>
      </c>
      <c r="N2694" s="297" t="s">
        <v>197</v>
      </c>
      <c r="O2694" s="297" t="s">
        <v>198</v>
      </c>
      <c r="P2694" s="297" t="s">
        <v>199</v>
      </c>
      <c r="Q2694" s="297" t="s">
        <v>200</v>
      </c>
      <c r="R2694" s="297" t="s">
        <v>213</v>
      </c>
      <c r="S2694" s="297" t="s">
        <v>214</v>
      </c>
    </row>
    <row r="2695" spans="1:19" x14ac:dyDescent="0.4">
      <c r="A2695" s="291"/>
      <c r="B2695" s="292"/>
      <c r="C2695" s="312"/>
      <c r="D2695" s="292"/>
      <c r="E2695" s="489"/>
      <c r="F2695" s="489"/>
      <c r="G2695" s="490"/>
      <c r="H2695" s="520"/>
      <c r="I2695" s="523"/>
      <c r="J2695" s="521"/>
      <c r="K2695" s="522"/>
      <c r="M2695" s="301" t="str">
        <f>N2695&amp;AS[[#This Row],[Insurer Code]]&amp;"; "&amp;O2695&amp;AS[[#This Row],[Reporting Year]]&amp;"; "&amp;P2695&amp;AS[[#This Row],[Insurance Category Code]]&amp;"; "&amp;Q2695&amp;AS[[#This Row],[Large Provider Entity Code]]&amp;"; "&amp;R2695&amp;AS[[#This Row],[Age Band Code]]&amp;"; "&amp;S2695&amp;AS[[#This Row],[Sex Code]]</f>
        <v xml:space="preserve">Insurer Code ; Reporting Year ; Insurance Category Code ; Large Provider Entity Code ; Age Band Code ; Sex Code </v>
      </c>
      <c r="N2695" s="297" t="s">
        <v>197</v>
      </c>
      <c r="O2695" s="297" t="s">
        <v>198</v>
      </c>
      <c r="P2695" s="297" t="s">
        <v>199</v>
      </c>
      <c r="Q2695" s="297" t="s">
        <v>200</v>
      </c>
      <c r="R2695" s="297" t="s">
        <v>213</v>
      </c>
      <c r="S2695" s="297" t="s">
        <v>214</v>
      </c>
    </row>
    <row r="2696" spans="1:19" x14ac:dyDescent="0.4">
      <c r="A2696" s="291"/>
      <c r="B2696" s="292"/>
      <c r="C2696" s="312"/>
      <c r="D2696" s="292"/>
      <c r="E2696" s="489"/>
      <c r="F2696" s="489"/>
      <c r="G2696" s="490"/>
      <c r="H2696" s="520"/>
      <c r="I2696" s="523"/>
      <c r="J2696" s="521"/>
      <c r="K2696" s="522"/>
      <c r="M2696" s="301" t="str">
        <f>N2696&amp;AS[[#This Row],[Insurer Code]]&amp;"; "&amp;O2696&amp;AS[[#This Row],[Reporting Year]]&amp;"; "&amp;P2696&amp;AS[[#This Row],[Insurance Category Code]]&amp;"; "&amp;Q2696&amp;AS[[#This Row],[Large Provider Entity Code]]&amp;"; "&amp;R2696&amp;AS[[#This Row],[Age Band Code]]&amp;"; "&amp;S2696&amp;AS[[#This Row],[Sex Code]]</f>
        <v xml:space="preserve">Insurer Code ; Reporting Year ; Insurance Category Code ; Large Provider Entity Code ; Age Band Code ; Sex Code </v>
      </c>
      <c r="N2696" s="297" t="s">
        <v>197</v>
      </c>
      <c r="O2696" s="297" t="s">
        <v>198</v>
      </c>
      <c r="P2696" s="297" t="s">
        <v>199</v>
      </c>
      <c r="Q2696" s="297" t="s">
        <v>200</v>
      </c>
      <c r="R2696" s="297" t="s">
        <v>213</v>
      </c>
      <c r="S2696" s="297" t="s">
        <v>214</v>
      </c>
    </row>
    <row r="2697" spans="1:19" x14ac:dyDescent="0.4">
      <c r="A2697" s="291"/>
      <c r="B2697" s="292"/>
      <c r="C2697" s="312"/>
      <c r="D2697" s="292"/>
      <c r="E2697" s="489"/>
      <c r="F2697" s="489"/>
      <c r="G2697" s="490"/>
      <c r="H2697" s="520"/>
      <c r="I2697" s="523"/>
      <c r="J2697" s="521"/>
      <c r="K2697" s="522"/>
      <c r="M2697" s="301" t="str">
        <f>N2697&amp;AS[[#This Row],[Insurer Code]]&amp;"; "&amp;O2697&amp;AS[[#This Row],[Reporting Year]]&amp;"; "&amp;P2697&amp;AS[[#This Row],[Insurance Category Code]]&amp;"; "&amp;Q2697&amp;AS[[#This Row],[Large Provider Entity Code]]&amp;"; "&amp;R2697&amp;AS[[#This Row],[Age Band Code]]&amp;"; "&amp;S2697&amp;AS[[#This Row],[Sex Code]]</f>
        <v xml:space="preserve">Insurer Code ; Reporting Year ; Insurance Category Code ; Large Provider Entity Code ; Age Band Code ; Sex Code </v>
      </c>
      <c r="N2697" s="297" t="s">
        <v>197</v>
      </c>
      <c r="O2697" s="297" t="s">
        <v>198</v>
      </c>
      <c r="P2697" s="297" t="s">
        <v>199</v>
      </c>
      <c r="Q2697" s="297" t="s">
        <v>200</v>
      </c>
      <c r="R2697" s="297" t="s">
        <v>213</v>
      </c>
      <c r="S2697" s="297" t="s">
        <v>214</v>
      </c>
    </row>
    <row r="2698" spans="1:19" x14ac:dyDescent="0.4">
      <c r="A2698" s="291"/>
      <c r="B2698" s="292"/>
      <c r="C2698" s="312"/>
      <c r="D2698" s="292"/>
      <c r="E2698" s="489"/>
      <c r="F2698" s="489"/>
      <c r="G2698" s="490"/>
      <c r="H2698" s="520"/>
      <c r="I2698" s="523"/>
      <c r="J2698" s="521"/>
      <c r="K2698" s="522"/>
      <c r="M2698" s="301" t="str">
        <f>N2698&amp;AS[[#This Row],[Insurer Code]]&amp;"; "&amp;O2698&amp;AS[[#This Row],[Reporting Year]]&amp;"; "&amp;P2698&amp;AS[[#This Row],[Insurance Category Code]]&amp;"; "&amp;Q2698&amp;AS[[#This Row],[Large Provider Entity Code]]&amp;"; "&amp;R2698&amp;AS[[#This Row],[Age Band Code]]&amp;"; "&amp;S2698&amp;AS[[#This Row],[Sex Code]]</f>
        <v xml:space="preserve">Insurer Code ; Reporting Year ; Insurance Category Code ; Large Provider Entity Code ; Age Band Code ; Sex Code </v>
      </c>
      <c r="N2698" s="297" t="s">
        <v>197</v>
      </c>
      <c r="O2698" s="297" t="s">
        <v>198</v>
      </c>
      <c r="P2698" s="297" t="s">
        <v>199</v>
      </c>
      <c r="Q2698" s="297" t="s">
        <v>200</v>
      </c>
      <c r="R2698" s="297" t="s">
        <v>213</v>
      </c>
      <c r="S2698" s="297" t="s">
        <v>214</v>
      </c>
    </row>
    <row r="2699" spans="1:19" x14ac:dyDescent="0.4">
      <c r="A2699" s="291"/>
      <c r="B2699" s="292"/>
      <c r="C2699" s="312"/>
      <c r="D2699" s="292"/>
      <c r="E2699" s="489"/>
      <c r="F2699" s="489"/>
      <c r="G2699" s="490"/>
      <c r="H2699" s="520"/>
      <c r="I2699" s="523"/>
      <c r="J2699" s="521"/>
      <c r="K2699" s="522"/>
      <c r="M2699" s="301" t="str">
        <f>N2699&amp;AS[[#This Row],[Insurer Code]]&amp;"; "&amp;O2699&amp;AS[[#This Row],[Reporting Year]]&amp;"; "&amp;P2699&amp;AS[[#This Row],[Insurance Category Code]]&amp;"; "&amp;Q2699&amp;AS[[#This Row],[Large Provider Entity Code]]&amp;"; "&amp;R2699&amp;AS[[#This Row],[Age Band Code]]&amp;"; "&amp;S2699&amp;AS[[#This Row],[Sex Code]]</f>
        <v xml:space="preserve">Insurer Code ; Reporting Year ; Insurance Category Code ; Large Provider Entity Code ; Age Band Code ; Sex Code </v>
      </c>
      <c r="N2699" s="297" t="s">
        <v>197</v>
      </c>
      <c r="O2699" s="297" t="s">
        <v>198</v>
      </c>
      <c r="P2699" s="297" t="s">
        <v>199</v>
      </c>
      <c r="Q2699" s="297" t="s">
        <v>200</v>
      </c>
      <c r="R2699" s="297" t="s">
        <v>213</v>
      </c>
      <c r="S2699" s="297" t="s">
        <v>214</v>
      </c>
    </row>
    <row r="2700" spans="1:19" x14ac:dyDescent="0.4">
      <c r="A2700" s="291"/>
      <c r="B2700" s="292"/>
      <c r="C2700" s="312"/>
      <c r="D2700" s="292"/>
      <c r="E2700" s="489"/>
      <c r="F2700" s="489"/>
      <c r="G2700" s="490"/>
      <c r="H2700" s="520"/>
      <c r="I2700" s="523"/>
      <c r="J2700" s="521"/>
      <c r="K2700" s="522"/>
      <c r="M2700" s="301" t="str">
        <f>N2700&amp;AS[[#This Row],[Insurer Code]]&amp;"; "&amp;O2700&amp;AS[[#This Row],[Reporting Year]]&amp;"; "&amp;P2700&amp;AS[[#This Row],[Insurance Category Code]]&amp;"; "&amp;Q2700&amp;AS[[#This Row],[Large Provider Entity Code]]&amp;"; "&amp;R2700&amp;AS[[#This Row],[Age Band Code]]&amp;"; "&amp;S2700&amp;AS[[#This Row],[Sex Code]]</f>
        <v xml:space="preserve">Insurer Code ; Reporting Year ; Insurance Category Code ; Large Provider Entity Code ; Age Band Code ; Sex Code </v>
      </c>
      <c r="N2700" s="297" t="s">
        <v>197</v>
      </c>
      <c r="O2700" s="297" t="s">
        <v>198</v>
      </c>
      <c r="P2700" s="297" t="s">
        <v>199</v>
      </c>
      <c r="Q2700" s="297" t="s">
        <v>200</v>
      </c>
      <c r="R2700" s="297" t="s">
        <v>213</v>
      </c>
      <c r="S2700" s="297" t="s">
        <v>214</v>
      </c>
    </row>
    <row r="2701" spans="1:19" x14ac:dyDescent="0.4">
      <c r="A2701" s="291"/>
      <c r="B2701" s="292"/>
      <c r="C2701" s="312"/>
      <c r="D2701" s="292"/>
      <c r="E2701" s="489"/>
      <c r="F2701" s="489"/>
      <c r="G2701" s="490"/>
      <c r="H2701" s="520"/>
      <c r="I2701" s="523"/>
      <c r="J2701" s="521"/>
      <c r="K2701" s="522"/>
      <c r="M2701" s="301" t="str">
        <f>N2701&amp;AS[[#This Row],[Insurer Code]]&amp;"; "&amp;O2701&amp;AS[[#This Row],[Reporting Year]]&amp;"; "&amp;P2701&amp;AS[[#This Row],[Insurance Category Code]]&amp;"; "&amp;Q2701&amp;AS[[#This Row],[Large Provider Entity Code]]&amp;"; "&amp;R2701&amp;AS[[#This Row],[Age Band Code]]&amp;"; "&amp;S2701&amp;AS[[#This Row],[Sex Code]]</f>
        <v xml:space="preserve">Insurer Code ; Reporting Year ; Insurance Category Code ; Large Provider Entity Code ; Age Band Code ; Sex Code </v>
      </c>
      <c r="N2701" s="297" t="s">
        <v>197</v>
      </c>
      <c r="O2701" s="297" t="s">
        <v>198</v>
      </c>
      <c r="P2701" s="297" t="s">
        <v>199</v>
      </c>
      <c r="Q2701" s="297" t="s">
        <v>200</v>
      </c>
      <c r="R2701" s="297" t="s">
        <v>213</v>
      </c>
      <c r="S2701" s="297" t="s">
        <v>214</v>
      </c>
    </row>
    <row r="2702" spans="1:19" x14ac:dyDescent="0.4">
      <c r="A2702" s="291"/>
      <c r="B2702" s="292"/>
      <c r="C2702" s="312"/>
      <c r="D2702" s="292"/>
      <c r="E2702" s="489"/>
      <c r="F2702" s="489"/>
      <c r="G2702" s="490"/>
      <c r="H2702" s="520"/>
      <c r="I2702" s="523"/>
      <c r="J2702" s="521"/>
      <c r="K2702" s="522"/>
      <c r="M2702" s="301" t="str">
        <f>N2702&amp;AS[[#This Row],[Insurer Code]]&amp;"; "&amp;O2702&amp;AS[[#This Row],[Reporting Year]]&amp;"; "&amp;P2702&amp;AS[[#This Row],[Insurance Category Code]]&amp;"; "&amp;Q2702&amp;AS[[#This Row],[Large Provider Entity Code]]&amp;"; "&amp;R2702&amp;AS[[#This Row],[Age Band Code]]&amp;"; "&amp;S2702&amp;AS[[#This Row],[Sex Code]]</f>
        <v xml:space="preserve">Insurer Code ; Reporting Year ; Insurance Category Code ; Large Provider Entity Code ; Age Band Code ; Sex Code </v>
      </c>
      <c r="N2702" s="297" t="s">
        <v>197</v>
      </c>
      <c r="O2702" s="297" t="s">
        <v>198</v>
      </c>
      <c r="P2702" s="297" t="s">
        <v>199</v>
      </c>
      <c r="Q2702" s="297" t="s">
        <v>200</v>
      </c>
      <c r="R2702" s="297" t="s">
        <v>213</v>
      </c>
      <c r="S2702" s="297" t="s">
        <v>214</v>
      </c>
    </row>
    <row r="2703" spans="1:19" x14ac:dyDescent="0.4">
      <c r="A2703" s="291"/>
      <c r="B2703" s="292"/>
      <c r="C2703" s="312"/>
      <c r="D2703" s="292"/>
      <c r="E2703" s="489"/>
      <c r="F2703" s="489"/>
      <c r="G2703" s="490"/>
      <c r="H2703" s="520"/>
      <c r="I2703" s="523"/>
      <c r="J2703" s="521"/>
      <c r="K2703" s="522"/>
      <c r="M2703" s="301" t="str">
        <f>N2703&amp;AS[[#This Row],[Insurer Code]]&amp;"; "&amp;O2703&amp;AS[[#This Row],[Reporting Year]]&amp;"; "&amp;P2703&amp;AS[[#This Row],[Insurance Category Code]]&amp;"; "&amp;Q2703&amp;AS[[#This Row],[Large Provider Entity Code]]&amp;"; "&amp;R2703&amp;AS[[#This Row],[Age Band Code]]&amp;"; "&amp;S2703&amp;AS[[#This Row],[Sex Code]]</f>
        <v xml:space="preserve">Insurer Code ; Reporting Year ; Insurance Category Code ; Large Provider Entity Code ; Age Band Code ; Sex Code </v>
      </c>
      <c r="N2703" s="297" t="s">
        <v>197</v>
      </c>
      <c r="O2703" s="297" t="s">
        <v>198</v>
      </c>
      <c r="P2703" s="297" t="s">
        <v>199</v>
      </c>
      <c r="Q2703" s="297" t="s">
        <v>200</v>
      </c>
      <c r="R2703" s="297" t="s">
        <v>213</v>
      </c>
      <c r="S2703" s="297" t="s">
        <v>214</v>
      </c>
    </row>
    <row r="2704" spans="1:19" x14ac:dyDescent="0.4">
      <c r="A2704" s="291"/>
      <c r="B2704" s="292"/>
      <c r="C2704" s="312"/>
      <c r="D2704" s="292"/>
      <c r="E2704" s="489"/>
      <c r="F2704" s="489"/>
      <c r="G2704" s="490"/>
      <c r="H2704" s="520"/>
      <c r="I2704" s="523"/>
      <c r="J2704" s="521"/>
      <c r="K2704" s="522"/>
      <c r="M2704" s="301" t="str">
        <f>N2704&amp;AS[[#This Row],[Insurer Code]]&amp;"; "&amp;O2704&amp;AS[[#This Row],[Reporting Year]]&amp;"; "&amp;P2704&amp;AS[[#This Row],[Insurance Category Code]]&amp;"; "&amp;Q2704&amp;AS[[#This Row],[Large Provider Entity Code]]&amp;"; "&amp;R2704&amp;AS[[#This Row],[Age Band Code]]&amp;"; "&amp;S2704&amp;AS[[#This Row],[Sex Code]]</f>
        <v xml:space="preserve">Insurer Code ; Reporting Year ; Insurance Category Code ; Large Provider Entity Code ; Age Band Code ; Sex Code </v>
      </c>
      <c r="N2704" s="297" t="s">
        <v>197</v>
      </c>
      <c r="O2704" s="297" t="s">
        <v>198</v>
      </c>
      <c r="P2704" s="297" t="s">
        <v>199</v>
      </c>
      <c r="Q2704" s="297" t="s">
        <v>200</v>
      </c>
      <c r="R2704" s="297" t="s">
        <v>213</v>
      </c>
      <c r="S2704" s="297" t="s">
        <v>214</v>
      </c>
    </row>
    <row r="2705" spans="1:19" x14ac:dyDescent="0.4">
      <c r="A2705" s="291"/>
      <c r="B2705" s="292"/>
      <c r="C2705" s="312"/>
      <c r="D2705" s="292"/>
      <c r="E2705" s="489"/>
      <c r="F2705" s="489"/>
      <c r="G2705" s="490"/>
      <c r="H2705" s="520"/>
      <c r="I2705" s="523"/>
      <c r="J2705" s="521"/>
      <c r="K2705" s="522"/>
      <c r="M2705" s="301" t="str">
        <f>N2705&amp;AS[[#This Row],[Insurer Code]]&amp;"; "&amp;O2705&amp;AS[[#This Row],[Reporting Year]]&amp;"; "&amp;P2705&amp;AS[[#This Row],[Insurance Category Code]]&amp;"; "&amp;Q2705&amp;AS[[#This Row],[Large Provider Entity Code]]&amp;"; "&amp;R2705&amp;AS[[#This Row],[Age Band Code]]&amp;"; "&amp;S2705&amp;AS[[#This Row],[Sex Code]]</f>
        <v xml:space="preserve">Insurer Code ; Reporting Year ; Insurance Category Code ; Large Provider Entity Code ; Age Band Code ; Sex Code </v>
      </c>
      <c r="N2705" s="297" t="s">
        <v>197</v>
      </c>
      <c r="O2705" s="297" t="s">
        <v>198</v>
      </c>
      <c r="P2705" s="297" t="s">
        <v>199</v>
      </c>
      <c r="Q2705" s="297" t="s">
        <v>200</v>
      </c>
      <c r="R2705" s="297" t="s">
        <v>213</v>
      </c>
      <c r="S2705" s="297" t="s">
        <v>214</v>
      </c>
    </row>
    <row r="2706" spans="1:19" x14ac:dyDescent="0.4">
      <c r="A2706" s="291"/>
      <c r="B2706" s="292"/>
      <c r="C2706" s="312"/>
      <c r="D2706" s="292"/>
      <c r="E2706" s="489"/>
      <c r="F2706" s="489"/>
      <c r="G2706" s="490"/>
      <c r="H2706" s="520"/>
      <c r="I2706" s="523"/>
      <c r="J2706" s="521"/>
      <c r="K2706" s="522"/>
      <c r="M2706" s="301" t="str">
        <f>N2706&amp;AS[[#This Row],[Insurer Code]]&amp;"; "&amp;O2706&amp;AS[[#This Row],[Reporting Year]]&amp;"; "&amp;P2706&amp;AS[[#This Row],[Insurance Category Code]]&amp;"; "&amp;Q2706&amp;AS[[#This Row],[Large Provider Entity Code]]&amp;"; "&amp;R2706&amp;AS[[#This Row],[Age Band Code]]&amp;"; "&amp;S2706&amp;AS[[#This Row],[Sex Code]]</f>
        <v xml:space="preserve">Insurer Code ; Reporting Year ; Insurance Category Code ; Large Provider Entity Code ; Age Band Code ; Sex Code </v>
      </c>
      <c r="N2706" s="297" t="s">
        <v>197</v>
      </c>
      <c r="O2706" s="297" t="s">
        <v>198</v>
      </c>
      <c r="P2706" s="297" t="s">
        <v>199</v>
      </c>
      <c r="Q2706" s="297" t="s">
        <v>200</v>
      </c>
      <c r="R2706" s="297" t="s">
        <v>213</v>
      </c>
      <c r="S2706" s="297" t="s">
        <v>214</v>
      </c>
    </row>
    <row r="2707" spans="1:19" x14ac:dyDescent="0.4">
      <c r="A2707" s="291"/>
      <c r="B2707" s="292"/>
      <c r="C2707" s="312"/>
      <c r="D2707" s="292"/>
      <c r="E2707" s="489"/>
      <c r="F2707" s="489"/>
      <c r="G2707" s="490"/>
      <c r="H2707" s="520"/>
      <c r="I2707" s="523"/>
      <c r="J2707" s="521"/>
      <c r="K2707" s="522"/>
      <c r="M2707" s="301" t="str">
        <f>N2707&amp;AS[[#This Row],[Insurer Code]]&amp;"; "&amp;O2707&amp;AS[[#This Row],[Reporting Year]]&amp;"; "&amp;P2707&amp;AS[[#This Row],[Insurance Category Code]]&amp;"; "&amp;Q2707&amp;AS[[#This Row],[Large Provider Entity Code]]&amp;"; "&amp;R2707&amp;AS[[#This Row],[Age Band Code]]&amp;"; "&amp;S2707&amp;AS[[#This Row],[Sex Code]]</f>
        <v xml:space="preserve">Insurer Code ; Reporting Year ; Insurance Category Code ; Large Provider Entity Code ; Age Band Code ; Sex Code </v>
      </c>
      <c r="N2707" s="297" t="s">
        <v>197</v>
      </c>
      <c r="O2707" s="297" t="s">
        <v>198</v>
      </c>
      <c r="P2707" s="297" t="s">
        <v>199</v>
      </c>
      <c r="Q2707" s="297" t="s">
        <v>200</v>
      </c>
      <c r="R2707" s="297" t="s">
        <v>213</v>
      </c>
      <c r="S2707" s="297" t="s">
        <v>214</v>
      </c>
    </row>
    <row r="2708" spans="1:19" x14ac:dyDescent="0.4">
      <c r="A2708" s="291"/>
      <c r="B2708" s="292"/>
      <c r="C2708" s="312"/>
      <c r="D2708" s="292"/>
      <c r="E2708" s="489"/>
      <c r="F2708" s="489"/>
      <c r="G2708" s="490"/>
      <c r="H2708" s="520"/>
      <c r="I2708" s="523"/>
      <c r="J2708" s="521"/>
      <c r="K2708" s="522"/>
      <c r="M2708" s="301" t="str">
        <f>N2708&amp;AS[[#This Row],[Insurer Code]]&amp;"; "&amp;O2708&amp;AS[[#This Row],[Reporting Year]]&amp;"; "&amp;P2708&amp;AS[[#This Row],[Insurance Category Code]]&amp;"; "&amp;Q2708&amp;AS[[#This Row],[Large Provider Entity Code]]&amp;"; "&amp;R2708&amp;AS[[#This Row],[Age Band Code]]&amp;"; "&amp;S2708&amp;AS[[#This Row],[Sex Code]]</f>
        <v xml:space="preserve">Insurer Code ; Reporting Year ; Insurance Category Code ; Large Provider Entity Code ; Age Band Code ; Sex Code </v>
      </c>
      <c r="N2708" s="297" t="s">
        <v>197</v>
      </c>
      <c r="O2708" s="297" t="s">
        <v>198</v>
      </c>
      <c r="P2708" s="297" t="s">
        <v>199</v>
      </c>
      <c r="Q2708" s="297" t="s">
        <v>200</v>
      </c>
      <c r="R2708" s="297" t="s">
        <v>213</v>
      </c>
      <c r="S2708" s="297" t="s">
        <v>214</v>
      </c>
    </row>
    <row r="2709" spans="1:19" x14ac:dyDescent="0.4">
      <c r="A2709" s="291"/>
      <c r="B2709" s="292"/>
      <c r="C2709" s="312"/>
      <c r="D2709" s="292"/>
      <c r="E2709" s="489"/>
      <c r="F2709" s="489"/>
      <c r="G2709" s="490"/>
      <c r="H2709" s="520"/>
      <c r="I2709" s="523"/>
      <c r="J2709" s="521"/>
      <c r="K2709" s="522"/>
      <c r="M2709" s="301" t="str">
        <f>N2709&amp;AS[[#This Row],[Insurer Code]]&amp;"; "&amp;O2709&amp;AS[[#This Row],[Reporting Year]]&amp;"; "&amp;P2709&amp;AS[[#This Row],[Insurance Category Code]]&amp;"; "&amp;Q2709&amp;AS[[#This Row],[Large Provider Entity Code]]&amp;"; "&amp;R2709&amp;AS[[#This Row],[Age Band Code]]&amp;"; "&amp;S2709&amp;AS[[#This Row],[Sex Code]]</f>
        <v xml:space="preserve">Insurer Code ; Reporting Year ; Insurance Category Code ; Large Provider Entity Code ; Age Band Code ; Sex Code </v>
      </c>
      <c r="N2709" s="297" t="s">
        <v>197</v>
      </c>
      <c r="O2709" s="297" t="s">
        <v>198</v>
      </c>
      <c r="P2709" s="297" t="s">
        <v>199</v>
      </c>
      <c r="Q2709" s="297" t="s">
        <v>200</v>
      </c>
      <c r="R2709" s="297" t="s">
        <v>213</v>
      </c>
      <c r="S2709" s="297" t="s">
        <v>214</v>
      </c>
    </row>
    <row r="2710" spans="1:19" x14ac:dyDescent="0.4">
      <c r="A2710" s="291"/>
      <c r="B2710" s="292"/>
      <c r="C2710" s="312"/>
      <c r="D2710" s="292"/>
      <c r="E2710" s="489"/>
      <c r="F2710" s="489"/>
      <c r="G2710" s="490"/>
      <c r="H2710" s="520"/>
      <c r="I2710" s="523"/>
      <c r="J2710" s="521"/>
      <c r="K2710" s="522"/>
      <c r="M2710" s="301" t="str">
        <f>N2710&amp;AS[[#This Row],[Insurer Code]]&amp;"; "&amp;O2710&amp;AS[[#This Row],[Reporting Year]]&amp;"; "&amp;P2710&amp;AS[[#This Row],[Insurance Category Code]]&amp;"; "&amp;Q2710&amp;AS[[#This Row],[Large Provider Entity Code]]&amp;"; "&amp;R2710&amp;AS[[#This Row],[Age Band Code]]&amp;"; "&amp;S2710&amp;AS[[#This Row],[Sex Code]]</f>
        <v xml:space="preserve">Insurer Code ; Reporting Year ; Insurance Category Code ; Large Provider Entity Code ; Age Band Code ; Sex Code </v>
      </c>
      <c r="N2710" s="297" t="s">
        <v>197</v>
      </c>
      <c r="O2710" s="297" t="s">
        <v>198</v>
      </c>
      <c r="P2710" s="297" t="s">
        <v>199</v>
      </c>
      <c r="Q2710" s="297" t="s">
        <v>200</v>
      </c>
      <c r="R2710" s="297" t="s">
        <v>213</v>
      </c>
      <c r="S2710" s="297" t="s">
        <v>214</v>
      </c>
    </row>
    <row r="2711" spans="1:19" x14ac:dyDescent="0.4">
      <c r="A2711" s="291"/>
      <c r="B2711" s="292"/>
      <c r="C2711" s="312"/>
      <c r="D2711" s="292"/>
      <c r="E2711" s="489"/>
      <c r="F2711" s="489"/>
      <c r="G2711" s="490"/>
      <c r="H2711" s="520"/>
      <c r="I2711" s="523"/>
      <c r="J2711" s="521"/>
      <c r="K2711" s="522"/>
      <c r="M2711" s="301" t="str">
        <f>N2711&amp;AS[[#This Row],[Insurer Code]]&amp;"; "&amp;O2711&amp;AS[[#This Row],[Reporting Year]]&amp;"; "&amp;P2711&amp;AS[[#This Row],[Insurance Category Code]]&amp;"; "&amp;Q2711&amp;AS[[#This Row],[Large Provider Entity Code]]&amp;"; "&amp;R2711&amp;AS[[#This Row],[Age Band Code]]&amp;"; "&amp;S2711&amp;AS[[#This Row],[Sex Code]]</f>
        <v xml:space="preserve">Insurer Code ; Reporting Year ; Insurance Category Code ; Large Provider Entity Code ; Age Band Code ; Sex Code </v>
      </c>
      <c r="N2711" s="297" t="s">
        <v>197</v>
      </c>
      <c r="O2711" s="297" t="s">
        <v>198</v>
      </c>
      <c r="P2711" s="297" t="s">
        <v>199</v>
      </c>
      <c r="Q2711" s="297" t="s">
        <v>200</v>
      </c>
      <c r="R2711" s="297" t="s">
        <v>213</v>
      </c>
      <c r="S2711" s="297" t="s">
        <v>214</v>
      </c>
    </row>
    <row r="2712" spans="1:19" x14ac:dyDescent="0.4">
      <c r="A2712" s="291"/>
      <c r="B2712" s="292"/>
      <c r="C2712" s="312"/>
      <c r="D2712" s="292"/>
      <c r="E2712" s="489"/>
      <c r="F2712" s="489"/>
      <c r="G2712" s="490"/>
      <c r="H2712" s="520"/>
      <c r="I2712" s="523"/>
      <c r="J2712" s="521"/>
      <c r="K2712" s="522"/>
      <c r="M2712" s="301" t="str">
        <f>N2712&amp;AS[[#This Row],[Insurer Code]]&amp;"; "&amp;O2712&amp;AS[[#This Row],[Reporting Year]]&amp;"; "&amp;P2712&amp;AS[[#This Row],[Insurance Category Code]]&amp;"; "&amp;Q2712&amp;AS[[#This Row],[Large Provider Entity Code]]&amp;"; "&amp;R2712&amp;AS[[#This Row],[Age Band Code]]&amp;"; "&amp;S2712&amp;AS[[#This Row],[Sex Code]]</f>
        <v xml:space="preserve">Insurer Code ; Reporting Year ; Insurance Category Code ; Large Provider Entity Code ; Age Band Code ; Sex Code </v>
      </c>
      <c r="N2712" s="297" t="s">
        <v>197</v>
      </c>
      <c r="O2712" s="297" t="s">
        <v>198</v>
      </c>
      <c r="P2712" s="297" t="s">
        <v>199</v>
      </c>
      <c r="Q2712" s="297" t="s">
        <v>200</v>
      </c>
      <c r="R2712" s="297" t="s">
        <v>213</v>
      </c>
      <c r="S2712" s="297" t="s">
        <v>214</v>
      </c>
    </row>
    <row r="2713" spans="1:19" x14ac:dyDescent="0.4">
      <c r="A2713" s="291"/>
      <c r="B2713" s="292"/>
      <c r="C2713" s="312"/>
      <c r="D2713" s="292"/>
      <c r="E2713" s="489"/>
      <c r="F2713" s="489"/>
      <c r="G2713" s="490"/>
      <c r="H2713" s="520"/>
      <c r="I2713" s="523"/>
      <c r="J2713" s="521"/>
      <c r="K2713" s="522"/>
      <c r="M2713" s="301" t="str">
        <f>N2713&amp;AS[[#This Row],[Insurer Code]]&amp;"; "&amp;O2713&amp;AS[[#This Row],[Reporting Year]]&amp;"; "&amp;P2713&amp;AS[[#This Row],[Insurance Category Code]]&amp;"; "&amp;Q2713&amp;AS[[#This Row],[Large Provider Entity Code]]&amp;"; "&amp;R2713&amp;AS[[#This Row],[Age Band Code]]&amp;"; "&amp;S2713&amp;AS[[#This Row],[Sex Code]]</f>
        <v xml:space="preserve">Insurer Code ; Reporting Year ; Insurance Category Code ; Large Provider Entity Code ; Age Band Code ; Sex Code </v>
      </c>
      <c r="N2713" s="297" t="s">
        <v>197</v>
      </c>
      <c r="O2713" s="297" t="s">
        <v>198</v>
      </c>
      <c r="P2713" s="297" t="s">
        <v>199</v>
      </c>
      <c r="Q2713" s="297" t="s">
        <v>200</v>
      </c>
      <c r="R2713" s="297" t="s">
        <v>213</v>
      </c>
      <c r="S2713" s="297" t="s">
        <v>214</v>
      </c>
    </row>
    <row r="2714" spans="1:19" x14ac:dyDescent="0.4">
      <c r="A2714" s="291"/>
      <c r="B2714" s="292"/>
      <c r="C2714" s="312"/>
      <c r="D2714" s="292"/>
      <c r="E2714" s="489"/>
      <c r="F2714" s="489"/>
      <c r="G2714" s="490"/>
      <c r="H2714" s="520"/>
      <c r="I2714" s="523"/>
      <c r="J2714" s="521"/>
      <c r="K2714" s="522"/>
      <c r="M2714" s="301" t="str">
        <f>N2714&amp;AS[[#This Row],[Insurer Code]]&amp;"; "&amp;O2714&amp;AS[[#This Row],[Reporting Year]]&amp;"; "&amp;P2714&amp;AS[[#This Row],[Insurance Category Code]]&amp;"; "&amp;Q2714&amp;AS[[#This Row],[Large Provider Entity Code]]&amp;"; "&amp;R2714&amp;AS[[#This Row],[Age Band Code]]&amp;"; "&amp;S2714&amp;AS[[#This Row],[Sex Code]]</f>
        <v xml:space="preserve">Insurer Code ; Reporting Year ; Insurance Category Code ; Large Provider Entity Code ; Age Band Code ; Sex Code </v>
      </c>
      <c r="N2714" s="297" t="s">
        <v>197</v>
      </c>
      <c r="O2714" s="297" t="s">
        <v>198</v>
      </c>
      <c r="P2714" s="297" t="s">
        <v>199</v>
      </c>
      <c r="Q2714" s="297" t="s">
        <v>200</v>
      </c>
      <c r="R2714" s="297" t="s">
        <v>213</v>
      </c>
      <c r="S2714" s="297" t="s">
        <v>214</v>
      </c>
    </row>
    <row r="2715" spans="1:19" x14ac:dyDescent="0.4">
      <c r="A2715" s="291"/>
      <c r="B2715" s="292"/>
      <c r="C2715" s="312"/>
      <c r="D2715" s="292"/>
      <c r="E2715" s="489"/>
      <c r="F2715" s="489"/>
      <c r="G2715" s="490"/>
      <c r="H2715" s="520"/>
      <c r="I2715" s="523"/>
      <c r="J2715" s="521"/>
      <c r="K2715" s="522"/>
      <c r="M2715" s="301" t="str">
        <f>N2715&amp;AS[[#This Row],[Insurer Code]]&amp;"; "&amp;O2715&amp;AS[[#This Row],[Reporting Year]]&amp;"; "&amp;P2715&amp;AS[[#This Row],[Insurance Category Code]]&amp;"; "&amp;Q2715&amp;AS[[#This Row],[Large Provider Entity Code]]&amp;"; "&amp;R2715&amp;AS[[#This Row],[Age Band Code]]&amp;"; "&amp;S2715&amp;AS[[#This Row],[Sex Code]]</f>
        <v xml:space="preserve">Insurer Code ; Reporting Year ; Insurance Category Code ; Large Provider Entity Code ; Age Band Code ; Sex Code </v>
      </c>
      <c r="N2715" s="297" t="s">
        <v>197</v>
      </c>
      <c r="O2715" s="297" t="s">
        <v>198</v>
      </c>
      <c r="P2715" s="297" t="s">
        <v>199</v>
      </c>
      <c r="Q2715" s="297" t="s">
        <v>200</v>
      </c>
      <c r="R2715" s="297" t="s">
        <v>213</v>
      </c>
      <c r="S2715" s="297" t="s">
        <v>214</v>
      </c>
    </row>
    <row r="2716" spans="1:19" x14ac:dyDescent="0.4">
      <c r="A2716" s="291"/>
      <c r="B2716" s="292"/>
      <c r="C2716" s="312"/>
      <c r="D2716" s="292"/>
      <c r="E2716" s="489"/>
      <c r="F2716" s="489"/>
      <c r="G2716" s="490"/>
      <c r="H2716" s="520"/>
      <c r="I2716" s="523"/>
      <c r="J2716" s="521"/>
      <c r="K2716" s="522"/>
      <c r="M2716" s="301" t="str">
        <f>N2716&amp;AS[[#This Row],[Insurer Code]]&amp;"; "&amp;O2716&amp;AS[[#This Row],[Reporting Year]]&amp;"; "&amp;P2716&amp;AS[[#This Row],[Insurance Category Code]]&amp;"; "&amp;Q2716&amp;AS[[#This Row],[Large Provider Entity Code]]&amp;"; "&amp;R2716&amp;AS[[#This Row],[Age Band Code]]&amp;"; "&amp;S2716&amp;AS[[#This Row],[Sex Code]]</f>
        <v xml:space="preserve">Insurer Code ; Reporting Year ; Insurance Category Code ; Large Provider Entity Code ; Age Band Code ; Sex Code </v>
      </c>
      <c r="N2716" s="297" t="s">
        <v>197</v>
      </c>
      <c r="O2716" s="297" t="s">
        <v>198</v>
      </c>
      <c r="P2716" s="297" t="s">
        <v>199</v>
      </c>
      <c r="Q2716" s="297" t="s">
        <v>200</v>
      </c>
      <c r="R2716" s="297" t="s">
        <v>213</v>
      </c>
      <c r="S2716" s="297" t="s">
        <v>214</v>
      </c>
    </row>
    <row r="2717" spans="1:19" x14ac:dyDescent="0.4">
      <c r="A2717" s="291"/>
      <c r="B2717" s="292"/>
      <c r="C2717" s="312"/>
      <c r="D2717" s="292"/>
      <c r="E2717" s="489"/>
      <c r="F2717" s="489"/>
      <c r="G2717" s="490"/>
      <c r="H2717" s="520"/>
      <c r="I2717" s="523"/>
      <c r="J2717" s="521"/>
      <c r="K2717" s="522"/>
      <c r="M2717" s="301" t="str">
        <f>N2717&amp;AS[[#This Row],[Insurer Code]]&amp;"; "&amp;O2717&amp;AS[[#This Row],[Reporting Year]]&amp;"; "&amp;P2717&amp;AS[[#This Row],[Insurance Category Code]]&amp;"; "&amp;Q2717&amp;AS[[#This Row],[Large Provider Entity Code]]&amp;"; "&amp;R2717&amp;AS[[#This Row],[Age Band Code]]&amp;"; "&amp;S2717&amp;AS[[#This Row],[Sex Code]]</f>
        <v xml:space="preserve">Insurer Code ; Reporting Year ; Insurance Category Code ; Large Provider Entity Code ; Age Band Code ; Sex Code </v>
      </c>
      <c r="N2717" s="297" t="s">
        <v>197</v>
      </c>
      <c r="O2717" s="297" t="s">
        <v>198</v>
      </c>
      <c r="P2717" s="297" t="s">
        <v>199</v>
      </c>
      <c r="Q2717" s="297" t="s">
        <v>200</v>
      </c>
      <c r="R2717" s="297" t="s">
        <v>213</v>
      </c>
      <c r="S2717" s="297" t="s">
        <v>214</v>
      </c>
    </row>
    <row r="2718" spans="1:19" x14ac:dyDescent="0.4">
      <c r="A2718" s="291"/>
      <c r="B2718" s="292"/>
      <c r="C2718" s="312"/>
      <c r="D2718" s="292"/>
      <c r="E2718" s="489"/>
      <c r="F2718" s="489"/>
      <c r="G2718" s="490"/>
      <c r="H2718" s="520"/>
      <c r="I2718" s="523"/>
      <c r="J2718" s="521"/>
      <c r="K2718" s="522"/>
      <c r="M2718" s="301" t="str">
        <f>N2718&amp;AS[[#This Row],[Insurer Code]]&amp;"; "&amp;O2718&amp;AS[[#This Row],[Reporting Year]]&amp;"; "&amp;P2718&amp;AS[[#This Row],[Insurance Category Code]]&amp;"; "&amp;Q2718&amp;AS[[#This Row],[Large Provider Entity Code]]&amp;"; "&amp;R2718&amp;AS[[#This Row],[Age Band Code]]&amp;"; "&amp;S2718&amp;AS[[#This Row],[Sex Code]]</f>
        <v xml:space="preserve">Insurer Code ; Reporting Year ; Insurance Category Code ; Large Provider Entity Code ; Age Band Code ; Sex Code </v>
      </c>
      <c r="N2718" s="297" t="s">
        <v>197</v>
      </c>
      <c r="O2718" s="297" t="s">
        <v>198</v>
      </c>
      <c r="P2718" s="297" t="s">
        <v>199</v>
      </c>
      <c r="Q2718" s="297" t="s">
        <v>200</v>
      </c>
      <c r="R2718" s="297" t="s">
        <v>213</v>
      </c>
      <c r="S2718" s="297" t="s">
        <v>214</v>
      </c>
    </row>
    <row r="2719" spans="1:19" x14ac:dyDescent="0.4">
      <c r="A2719" s="291"/>
      <c r="B2719" s="292"/>
      <c r="C2719" s="312"/>
      <c r="D2719" s="292"/>
      <c r="E2719" s="489"/>
      <c r="F2719" s="489"/>
      <c r="G2719" s="490"/>
      <c r="H2719" s="520"/>
      <c r="I2719" s="523"/>
      <c r="J2719" s="521"/>
      <c r="K2719" s="522"/>
      <c r="M2719" s="301" t="str">
        <f>N2719&amp;AS[[#This Row],[Insurer Code]]&amp;"; "&amp;O2719&amp;AS[[#This Row],[Reporting Year]]&amp;"; "&amp;P2719&amp;AS[[#This Row],[Insurance Category Code]]&amp;"; "&amp;Q2719&amp;AS[[#This Row],[Large Provider Entity Code]]&amp;"; "&amp;R2719&amp;AS[[#This Row],[Age Band Code]]&amp;"; "&amp;S2719&amp;AS[[#This Row],[Sex Code]]</f>
        <v xml:space="preserve">Insurer Code ; Reporting Year ; Insurance Category Code ; Large Provider Entity Code ; Age Band Code ; Sex Code </v>
      </c>
      <c r="N2719" s="297" t="s">
        <v>197</v>
      </c>
      <c r="O2719" s="297" t="s">
        <v>198</v>
      </c>
      <c r="P2719" s="297" t="s">
        <v>199</v>
      </c>
      <c r="Q2719" s="297" t="s">
        <v>200</v>
      </c>
      <c r="R2719" s="297" t="s">
        <v>213</v>
      </c>
      <c r="S2719" s="297" t="s">
        <v>214</v>
      </c>
    </row>
    <row r="2720" spans="1:19" x14ac:dyDescent="0.4">
      <c r="A2720" s="291"/>
      <c r="B2720" s="292"/>
      <c r="C2720" s="312"/>
      <c r="D2720" s="292"/>
      <c r="E2720" s="489"/>
      <c r="F2720" s="489"/>
      <c r="G2720" s="490"/>
      <c r="H2720" s="520"/>
      <c r="I2720" s="523"/>
      <c r="J2720" s="521"/>
      <c r="K2720" s="522"/>
      <c r="M2720" s="301" t="str">
        <f>N2720&amp;AS[[#This Row],[Insurer Code]]&amp;"; "&amp;O2720&amp;AS[[#This Row],[Reporting Year]]&amp;"; "&amp;P2720&amp;AS[[#This Row],[Insurance Category Code]]&amp;"; "&amp;Q2720&amp;AS[[#This Row],[Large Provider Entity Code]]&amp;"; "&amp;R2720&amp;AS[[#This Row],[Age Band Code]]&amp;"; "&amp;S2720&amp;AS[[#This Row],[Sex Code]]</f>
        <v xml:space="preserve">Insurer Code ; Reporting Year ; Insurance Category Code ; Large Provider Entity Code ; Age Band Code ; Sex Code </v>
      </c>
      <c r="N2720" s="297" t="s">
        <v>197</v>
      </c>
      <c r="O2720" s="297" t="s">
        <v>198</v>
      </c>
      <c r="P2720" s="297" t="s">
        <v>199</v>
      </c>
      <c r="Q2720" s="297" t="s">
        <v>200</v>
      </c>
      <c r="R2720" s="297" t="s">
        <v>213</v>
      </c>
      <c r="S2720" s="297" t="s">
        <v>214</v>
      </c>
    </row>
    <row r="2721" spans="1:19" x14ac:dyDescent="0.4">
      <c r="A2721" s="291"/>
      <c r="B2721" s="292"/>
      <c r="C2721" s="312"/>
      <c r="D2721" s="292"/>
      <c r="E2721" s="489"/>
      <c r="F2721" s="489"/>
      <c r="G2721" s="490"/>
      <c r="H2721" s="520"/>
      <c r="I2721" s="523"/>
      <c r="J2721" s="521"/>
      <c r="K2721" s="522"/>
      <c r="M2721" s="301" t="str">
        <f>N2721&amp;AS[[#This Row],[Insurer Code]]&amp;"; "&amp;O2721&amp;AS[[#This Row],[Reporting Year]]&amp;"; "&amp;P2721&amp;AS[[#This Row],[Insurance Category Code]]&amp;"; "&amp;Q2721&amp;AS[[#This Row],[Large Provider Entity Code]]&amp;"; "&amp;R2721&amp;AS[[#This Row],[Age Band Code]]&amp;"; "&amp;S2721&amp;AS[[#This Row],[Sex Code]]</f>
        <v xml:space="preserve">Insurer Code ; Reporting Year ; Insurance Category Code ; Large Provider Entity Code ; Age Band Code ; Sex Code </v>
      </c>
      <c r="N2721" s="297" t="s">
        <v>197</v>
      </c>
      <c r="O2721" s="297" t="s">
        <v>198</v>
      </c>
      <c r="P2721" s="297" t="s">
        <v>199</v>
      </c>
      <c r="Q2721" s="297" t="s">
        <v>200</v>
      </c>
      <c r="R2721" s="297" t="s">
        <v>213</v>
      </c>
      <c r="S2721" s="297" t="s">
        <v>214</v>
      </c>
    </row>
    <row r="2722" spans="1:19" x14ac:dyDescent="0.4">
      <c r="A2722" s="291"/>
      <c r="B2722" s="292"/>
      <c r="C2722" s="312"/>
      <c r="D2722" s="292"/>
      <c r="E2722" s="489"/>
      <c r="F2722" s="489"/>
      <c r="G2722" s="490"/>
      <c r="H2722" s="520"/>
      <c r="I2722" s="523"/>
      <c r="J2722" s="521"/>
      <c r="K2722" s="522"/>
      <c r="M2722" s="301" t="str">
        <f>N2722&amp;AS[[#This Row],[Insurer Code]]&amp;"; "&amp;O2722&amp;AS[[#This Row],[Reporting Year]]&amp;"; "&amp;P2722&amp;AS[[#This Row],[Insurance Category Code]]&amp;"; "&amp;Q2722&amp;AS[[#This Row],[Large Provider Entity Code]]&amp;"; "&amp;R2722&amp;AS[[#This Row],[Age Band Code]]&amp;"; "&amp;S2722&amp;AS[[#This Row],[Sex Code]]</f>
        <v xml:space="preserve">Insurer Code ; Reporting Year ; Insurance Category Code ; Large Provider Entity Code ; Age Band Code ; Sex Code </v>
      </c>
      <c r="N2722" s="297" t="s">
        <v>197</v>
      </c>
      <c r="O2722" s="297" t="s">
        <v>198</v>
      </c>
      <c r="P2722" s="297" t="s">
        <v>199</v>
      </c>
      <c r="Q2722" s="297" t="s">
        <v>200</v>
      </c>
      <c r="R2722" s="297" t="s">
        <v>213</v>
      </c>
      <c r="S2722" s="297" t="s">
        <v>214</v>
      </c>
    </row>
    <row r="2723" spans="1:19" x14ac:dyDescent="0.4">
      <c r="A2723" s="291"/>
      <c r="B2723" s="292"/>
      <c r="C2723" s="312"/>
      <c r="D2723" s="292"/>
      <c r="E2723" s="489"/>
      <c r="F2723" s="489"/>
      <c r="G2723" s="490"/>
      <c r="H2723" s="520"/>
      <c r="I2723" s="523"/>
      <c r="J2723" s="521"/>
      <c r="K2723" s="522"/>
      <c r="M2723" s="301" t="str">
        <f>N2723&amp;AS[[#This Row],[Insurer Code]]&amp;"; "&amp;O2723&amp;AS[[#This Row],[Reporting Year]]&amp;"; "&amp;P2723&amp;AS[[#This Row],[Insurance Category Code]]&amp;"; "&amp;Q2723&amp;AS[[#This Row],[Large Provider Entity Code]]&amp;"; "&amp;R2723&amp;AS[[#This Row],[Age Band Code]]&amp;"; "&amp;S2723&amp;AS[[#This Row],[Sex Code]]</f>
        <v xml:space="preserve">Insurer Code ; Reporting Year ; Insurance Category Code ; Large Provider Entity Code ; Age Band Code ; Sex Code </v>
      </c>
      <c r="N2723" s="297" t="s">
        <v>197</v>
      </c>
      <c r="O2723" s="297" t="s">
        <v>198</v>
      </c>
      <c r="P2723" s="297" t="s">
        <v>199</v>
      </c>
      <c r="Q2723" s="297" t="s">
        <v>200</v>
      </c>
      <c r="R2723" s="297" t="s">
        <v>213</v>
      </c>
      <c r="S2723" s="297" t="s">
        <v>214</v>
      </c>
    </row>
    <row r="2724" spans="1:19" x14ac:dyDescent="0.4">
      <c r="A2724" s="291"/>
      <c r="B2724" s="292"/>
      <c r="C2724" s="312"/>
      <c r="D2724" s="292"/>
      <c r="E2724" s="489"/>
      <c r="F2724" s="489"/>
      <c r="G2724" s="490"/>
      <c r="H2724" s="520"/>
      <c r="I2724" s="523"/>
      <c r="J2724" s="521"/>
      <c r="K2724" s="522"/>
      <c r="M2724" s="301" t="str">
        <f>N2724&amp;AS[[#This Row],[Insurer Code]]&amp;"; "&amp;O2724&amp;AS[[#This Row],[Reporting Year]]&amp;"; "&amp;P2724&amp;AS[[#This Row],[Insurance Category Code]]&amp;"; "&amp;Q2724&amp;AS[[#This Row],[Large Provider Entity Code]]&amp;"; "&amp;R2724&amp;AS[[#This Row],[Age Band Code]]&amp;"; "&amp;S2724&amp;AS[[#This Row],[Sex Code]]</f>
        <v xml:space="preserve">Insurer Code ; Reporting Year ; Insurance Category Code ; Large Provider Entity Code ; Age Band Code ; Sex Code </v>
      </c>
      <c r="N2724" s="297" t="s">
        <v>197</v>
      </c>
      <c r="O2724" s="297" t="s">
        <v>198</v>
      </c>
      <c r="P2724" s="297" t="s">
        <v>199</v>
      </c>
      <c r="Q2724" s="297" t="s">
        <v>200</v>
      </c>
      <c r="R2724" s="297" t="s">
        <v>213</v>
      </c>
      <c r="S2724" s="297" t="s">
        <v>214</v>
      </c>
    </row>
    <row r="2725" spans="1:19" x14ac:dyDescent="0.4">
      <c r="A2725" s="291"/>
      <c r="B2725" s="292"/>
      <c r="C2725" s="312"/>
      <c r="D2725" s="292"/>
      <c r="E2725" s="489"/>
      <c r="F2725" s="489"/>
      <c r="G2725" s="490"/>
      <c r="H2725" s="520"/>
      <c r="I2725" s="523"/>
      <c r="J2725" s="521"/>
      <c r="K2725" s="522"/>
      <c r="M2725" s="301" t="str">
        <f>N2725&amp;AS[[#This Row],[Insurer Code]]&amp;"; "&amp;O2725&amp;AS[[#This Row],[Reporting Year]]&amp;"; "&amp;P2725&amp;AS[[#This Row],[Insurance Category Code]]&amp;"; "&amp;Q2725&amp;AS[[#This Row],[Large Provider Entity Code]]&amp;"; "&amp;R2725&amp;AS[[#This Row],[Age Band Code]]&amp;"; "&amp;S2725&amp;AS[[#This Row],[Sex Code]]</f>
        <v xml:space="preserve">Insurer Code ; Reporting Year ; Insurance Category Code ; Large Provider Entity Code ; Age Band Code ; Sex Code </v>
      </c>
      <c r="N2725" s="297" t="s">
        <v>197</v>
      </c>
      <c r="O2725" s="297" t="s">
        <v>198</v>
      </c>
      <c r="P2725" s="297" t="s">
        <v>199</v>
      </c>
      <c r="Q2725" s="297" t="s">
        <v>200</v>
      </c>
      <c r="R2725" s="297" t="s">
        <v>213</v>
      </c>
      <c r="S2725" s="297" t="s">
        <v>214</v>
      </c>
    </row>
    <row r="2726" spans="1:19" x14ac:dyDescent="0.4">
      <c r="A2726" s="291"/>
      <c r="B2726" s="292"/>
      <c r="C2726" s="312"/>
      <c r="D2726" s="292"/>
      <c r="E2726" s="489"/>
      <c r="F2726" s="489"/>
      <c r="G2726" s="490"/>
      <c r="H2726" s="520"/>
      <c r="I2726" s="523"/>
      <c r="J2726" s="521"/>
      <c r="K2726" s="522"/>
      <c r="M2726" s="301" t="str">
        <f>N2726&amp;AS[[#This Row],[Insurer Code]]&amp;"; "&amp;O2726&amp;AS[[#This Row],[Reporting Year]]&amp;"; "&amp;P2726&amp;AS[[#This Row],[Insurance Category Code]]&amp;"; "&amp;Q2726&amp;AS[[#This Row],[Large Provider Entity Code]]&amp;"; "&amp;R2726&amp;AS[[#This Row],[Age Band Code]]&amp;"; "&amp;S2726&amp;AS[[#This Row],[Sex Code]]</f>
        <v xml:space="preserve">Insurer Code ; Reporting Year ; Insurance Category Code ; Large Provider Entity Code ; Age Band Code ; Sex Code </v>
      </c>
      <c r="N2726" s="297" t="s">
        <v>197</v>
      </c>
      <c r="O2726" s="297" t="s">
        <v>198</v>
      </c>
      <c r="P2726" s="297" t="s">
        <v>199</v>
      </c>
      <c r="Q2726" s="297" t="s">
        <v>200</v>
      </c>
      <c r="R2726" s="297" t="s">
        <v>213</v>
      </c>
      <c r="S2726" s="297" t="s">
        <v>214</v>
      </c>
    </row>
    <row r="2727" spans="1:19" x14ac:dyDescent="0.4">
      <c r="A2727" s="291"/>
      <c r="B2727" s="292"/>
      <c r="C2727" s="312"/>
      <c r="D2727" s="292"/>
      <c r="E2727" s="489"/>
      <c r="F2727" s="489"/>
      <c r="G2727" s="490"/>
      <c r="H2727" s="520"/>
      <c r="I2727" s="523"/>
      <c r="J2727" s="521"/>
      <c r="K2727" s="522"/>
      <c r="M2727" s="301" t="str">
        <f>N2727&amp;AS[[#This Row],[Insurer Code]]&amp;"; "&amp;O2727&amp;AS[[#This Row],[Reporting Year]]&amp;"; "&amp;P2727&amp;AS[[#This Row],[Insurance Category Code]]&amp;"; "&amp;Q2727&amp;AS[[#This Row],[Large Provider Entity Code]]&amp;"; "&amp;R2727&amp;AS[[#This Row],[Age Band Code]]&amp;"; "&amp;S2727&amp;AS[[#This Row],[Sex Code]]</f>
        <v xml:space="preserve">Insurer Code ; Reporting Year ; Insurance Category Code ; Large Provider Entity Code ; Age Band Code ; Sex Code </v>
      </c>
      <c r="N2727" s="297" t="s">
        <v>197</v>
      </c>
      <c r="O2727" s="297" t="s">
        <v>198</v>
      </c>
      <c r="P2727" s="297" t="s">
        <v>199</v>
      </c>
      <c r="Q2727" s="297" t="s">
        <v>200</v>
      </c>
      <c r="R2727" s="297" t="s">
        <v>213</v>
      </c>
      <c r="S2727" s="297" t="s">
        <v>214</v>
      </c>
    </row>
    <row r="2728" spans="1:19" x14ac:dyDescent="0.4">
      <c r="A2728" s="291"/>
      <c r="B2728" s="292"/>
      <c r="C2728" s="312"/>
      <c r="D2728" s="292"/>
      <c r="E2728" s="489"/>
      <c r="F2728" s="489"/>
      <c r="G2728" s="490"/>
      <c r="H2728" s="520"/>
      <c r="I2728" s="523"/>
      <c r="J2728" s="521"/>
      <c r="K2728" s="522"/>
      <c r="M2728" s="301" t="str">
        <f>N2728&amp;AS[[#This Row],[Insurer Code]]&amp;"; "&amp;O2728&amp;AS[[#This Row],[Reporting Year]]&amp;"; "&amp;P2728&amp;AS[[#This Row],[Insurance Category Code]]&amp;"; "&amp;Q2728&amp;AS[[#This Row],[Large Provider Entity Code]]&amp;"; "&amp;R2728&amp;AS[[#This Row],[Age Band Code]]&amp;"; "&amp;S2728&amp;AS[[#This Row],[Sex Code]]</f>
        <v xml:space="preserve">Insurer Code ; Reporting Year ; Insurance Category Code ; Large Provider Entity Code ; Age Band Code ; Sex Code </v>
      </c>
      <c r="N2728" s="297" t="s">
        <v>197</v>
      </c>
      <c r="O2728" s="297" t="s">
        <v>198</v>
      </c>
      <c r="P2728" s="297" t="s">
        <v>199</v>
      </c>
      <c r="Q2728" s="297" t="s">
        <v>200</v>
      </c>
      <c r="R2728" s="297" t="s">
        <v>213</v>
      </c>
      <c r="S2728" s="297" t="s">
        <v>214</v>
      </c>
    </row>
    <row r="2729" spans="1:19" x14ac:dyDescent="0.4">
      <c r="A2729" s="291"/>
      <c r="B2729" s="292"/>
      <c r="C2729" s="312"/>
      <c r="D2729" s="292"/>
      <c r="E2729" s="489"/>
      <c r="F2729" s="489"/>
      <c r="G2729" s="490"/>
      <c r="H2729" s="520"/>
      <c r="I2729" s="523"/>
      <c r="J2729" s="521"/>
      <c r="K2729" s="522"/>
      <c r="M2729" s="301" t="str">
        <f>N2729&amp;AS[[#This Row],[Insurer Code]]&amp;"; "&amp;O2729&amp;AS[[#This Row],[Reporting Year]]&amp;"; "&amp;P2729&amp;AS[[#This Row],[Insurance Category Code]]&amp;"; "&amp;Q2729&amp;AS[[#This Row],[Large Provider Entity Code]]&amp;"; "&amp;R2729&amp;AS[[#This Row],[Age Band Code]]&amp;"; "&amp;S2729&amp;AS[[#This Row],[Sex Code]]</f>
        <v xml:space="preserve">Insurer Code ; Reporting Year ; Insurance Category Code ; Large Provider Entity Code ; Age Band Code ; Sex Code </v>
      </c>
      <c r="N2729" s="297" t="s">
        <v>197</v>
      </c>
      <c r="O2729" s="297" t="s">
        <v>198</v>
      </c>
      <c r="P2729" s="297" t="s">
        <v>199</v>
      </c>
      <c r="Q2729" s="297" t="s">
        <v>200</v>
      </c>
      <c r="R2729" s="297" t="s">
        <v>213</v>
      </c>
      <c r="S2729" s="297" t="s">
        <v>214</v>
      </c>
    </row>
    <row r="2730" spans="1:19" x14ac:dyDescent="0.4">
      <c r="A2730" s="291"/>
      <c r="B2730" s="292"/>
      <c r="C2730" s="312"/>
      <c r="D2730" s="292"/>
      <c r="E2730" s="489"/>
      <c r="F2730" s="489"/>
      <c r="G2730" s="490"/>
      <c r="H2730" s="520"/>
      <c r="I2730" s="523"/>
      <c r="J2730" s="521"/>
      <c r="K2730" s="522"/>
      <c r="M2730" s="301" t="str">
        <f>N2730&amp;AS[[#This Row],[Insurer Code]]&amp;"; "&amp;O2730&amp;AS[[#This Row],[Reporting Year]]&amp;"; "&amp;P2730&amp;AS[[#This Row],[Insurance Category Code]]&amp;"; "&amp;Q2730&amp;AS[[#This Row],[Large Provider Entity Code]]&amp;"; "&amp;R2730&amp;AS[[#This Row],[Age Band Code]]&amp;"; "&amp;S2730&amp;AS[[#This Row],[Sex Code]]</f>
        <v xml:space="preserve">Insurer Code ; Reporting Year ; Insurance Category Code ; Large Provider Entity Code ; Age Band Code ; Sex Code </v>
      </c>
      <c r="N2730" s="297" t="s">
        <v>197</v>
      </c>
      <c r="O2730" s="297" t="s">
        <v>198</v>
      </c>
      <c r="P2730" s="297" t="s">
        <v>199</v>
      </c>
      <c r="Q2730" s="297" t="s">
        <v>200</v>
      </c>
      <c r="R2730" s="297" t="s">
        <v>213</v>
      </c>
      <c r="S2730" s="297" t="s">
        <v>214</v>
      </c>
    </row>
    <row r="2731" spans="1:19" x14ac:dyDescent="0.4">
      <c r="A2731" s="291"/>
      <c r="B2731" s="292"/>
      <c r="C2731" s="312"/>
      <c r="D2731" s="292"/>
      <c r="E2731" s="489"/>
      <c r="F2731" s="489"/>
      <c r="G2731" s="490"/>
      <c r="H2731" s="520"/>
      <c r="I2731" s="523"/>
      <c r="J2731" s="521"/>
      <c r="K2731" s="522"/>
      <c r="M2731" s="301" t="str">
        <f>N2731&amp;AS[[#This Row],[Insurer Code]]&amp;"; "&amp;O2731&amp;AS[[#This Row],[Reporting Year]]&amp;"; "&amp;P2731&amp;AS[[#This Row],[Insurance Category Code]]&amp;"; "&amp;Q2731&amp;AS[[#This Row],[Large Provider Entity Code]]&amp;"; "&amp;R2731&amp;AS[[#This Row],[Age Band Code]]&amp;"; "&amp;S2731&amp;AS[[#This Row],[Sex Code]]</f>
        <v xml:space="preserve">Insurer Code ; Reporting Year ; Insurance Category Code ; Large Provider Entity Code ; Age Band Code ; Sex Code </v>
      </c>
      <c r="N2731" s="297" t="s">
        <v>197</v>
      </c>
      <c r="O2731" s="297" t="s">
        <v>198</v>
      </c>
      <c r="P2731" s="297" t="s">
        <v>199</v>
      </c>
      <c r="Q2731" s="297" t="s">
        <v>200</v>
      </c>
      <c r="R2731" s="297" t="s">
        <v>213</v>
      </c>
      <c r="S2731" s="297" t="s">
        <v>214</v>
      </c>
    </row>
    <row r="2732" spans="1:19" x14ac:dyDescent="0.4">
      <c r="A2732" s="291"/>
      <c r="B2732" s="292"/>
      <c r="C2732" s="312"/>
      <c r="D2732" s="292"/>
      <c r="E2732" s="489"/>
      <c r="F2732" s="489"/>
      <c r="G2732" s="490"/>
      <c r="H2732" s="520"/>
      <c r="I2732" s="523"/>
      <c r="J2732" s="521"/>
      <c r="K2732" s="522"/>
      <c r="M2732" s="301" t="str">
        <f>N2732&amp;AS[[#This Row],[Insurer Code]]&amp;"; "&amp;O2732&amp;AS[[#This Row],[Reporting Year]]&amp;"; "&amp;P2732&amp;AS[[#This Row],[Insurance Category Code]]&amp;"; "&amp;Q2732&amp;AS[[#This Row],[Large Provider Entity Code]]&amp;"; "&amp;R2732&amp;AS[[#This Row],[Age Band Code]]&amp;"; "&amp;S2732&amp;AS[[#This Row],[Sex Code]]</f>
        <v xml:space="preserve">Insurer Code ; Reporting Year ; Insurance Category Code ; Large Provider Entity Code ; Age Band Code ; Sex Code </v>
      </c>
      <c r="N2732" s="297" t="s">
        <v>197</v>
      </c>
      <c r="O2732" s="297" t="s">
        <v>198</v>
      </c>
      <c r="P2732" s="297" t="s">
        <v>199</v>
      </c>
      <c r="Q2732" s="297" t="s">
        <v>200</v>
      </c>
      <c r="R2732" s="297" t="s">
        <v>213</v>
      </c>
      <c r="S2732" s="297" t="s">
        <v>214</v>
      </c>
    </row>
    <row r="2733" spans="1:19" x14ac:dyDescent="0.4">
      <c r="A2733" s="291"/>
      <c r="B2733" s="292"/>
      <c r="C2733" s="312"/>
      <c r="D2733" s="292"/>
      <c r="E2733" s="489"/>
      <c r="F2733" s="489"/>
      <c r="G2733" s="490"/>
      <c r="H2733" s="520"/>
      <c r="I2733" s="523"/>
      <c r="J2733" s="521"/>
      <c r="K2733" s="522"/>
      <c r="M2733" s="301" t="str">
        <f>N2733&amp;AS[[#This Row],[Insurer Code]]&amp;"; "&amp;O2733&amp;AS[[#This Row],[Reporting Year]]&amp;"; "&amp;P2733&amp;AS[[#This Row],[Insurance Category Code]]&amp;"; "&amp;Q2733&amp;AS[[#This Row],[Large Provider Entity Code]]&amp;"; "&amp;R2733&amp;AS[[#This Row],[Age Band Code]]&amp;"; "&amp;S2733&amp;AS[[#This Row],[Sex Code]]</f>
        <v xml:space="preserve">Insurer Code ; Reporting Year ; Insurance Category Code ; Large Provider Entity Code ; Age Band Code ; Sex Code </v>
      </c>
      <c r="N2733" s="297" t="s">
        <v>197</v>
      </c>
      <c r="O2733" s="297" t="s">
        <v>198</v>
      </c>
      <c r="P2733" s="297" t="s">
        <v>199</v>
      </c>
      <c r="Q2733" s="297" t="s">
        <v>200</v>
      </c>
      <c r="R2733" s="297" t="s">
        <v>213</v>
      </c>
      <c r="S2733" s="297" t="s">
        <v>214</v>
      </c>
    </row>
    <row r="2734" spans="1:19" x14ac:dyDescent="0.4">
      <c r="A2734" s="291"/>
      <c r="B2734" s="292"/>
      <c r="C2734" s="312"/>
      <c r="D2734" s="292"/>
      <c r="E2734" s="489"/>
      <c r="F2734" s="489"/>
      <c r="G2734" s="490"/>
      <c r="H2734" s="520"/>
      <c r="I2734" s="523"/>
      <c r="J2734" s="521"/>
      <c r="K2734" s="522"/>
      <c r="M2734" s="301" t="str">
        <f>N2734&amp;AS[[#This Row],[Insurer Code]]&amp;"; "&amp;O2734&amp;AS[[#This Row],[Reporting Year]]&amp;"; "&amp;P2734&amp;AS[[#This Row],[Insurance Category Code]]&amp;"; "&amp;Q2734&amp;AS[[#This Row],[Large Provider Entity Code]]&amp;"; "&amp;R2734&amp;AS[[#This Row],[Age Band Code]]&amp;"; "&amp;S2734&amp;AS[[#This Row],[Sex Code]]</f>
        <v xml:space="preserve">Insurer Code ; Reporting Year ; Insurance Category Code ; Large Provider Entity Code ; Age Band Code ; Sex Code </v>
      </c>
      <c r="N2734" s="297" t="s">
        <v>197</v>
      </c>
      <c r="O2734" s="297" t="s">
        <v>198</v>
      </c>
      <c r="P2734" s="297" t="s">
        <v>199</v>
      </c>
      <c r="Q2734" s="297" t="s">
        <v>200</v>
      </c>
      <c r="R2734" s="297" t="s">
        <v>213</v>
      </c>
      <c r="S2734" s="297" t="s">
        <v>214</v>
      </c>
    </row>
    <row r="2735" spans="1:19" x14ac:dyDescent="0.4">
      <c r="A2735" s="291"/>
      <c r="B2735" s="292"/>
      <c r="C2735" s="312"/>
      <c r="D2735" s="292"/>
      <c r="E2735" s="489"/>
      <c r="F2735" s="489"/>
      <c r="G2735" s="490"/>
      <c r="H2735" s="520"/>
      <c r="I2735" s="523"/>
      <c r="J2735" s="521"/>
      <c r="K2735" s="522"/>
      <c r="M2735" s="301" t="str">
        <f>N2735&amp;AS[[#This Row],[Insurer Code]]&amp;"; "&amp;O2735&amp;AS[[#This Row],[Reporting Year]]&amp;"; "&amp;P2735&amp;AS[[#This Row],[Insurance Category Code]]&amp;"; "&amp;Q2735&amp;AS[[#This Row],[Large Provider Entity Code]]&amp;"; "&amp;R2735&amp;AS[[#This Row],[Age Band Code]]&amp;"; "&amp;S2735&amp;AS[[#This Row],[Sex Code]]</f>
        <v xml:space="preserve">Insurer Code ; Reporting Year ; Insurance Category Code ; Large Provider Entity Code ; Age Band Code ; Sex Code </v>
      </c>
      <c r="N2735" s="297" t="s">
        <v>197</v>
      </c>
      <c r="O2735" s="297" t="s">
        <v>198</v>
      </c>
      <c r="P2735" s="297" t="s">
        <v>199</v>
      </c>
      <c r="Q2735" s="297" t="s">
        <v>200</v>
      </c>
      <c r="R2735" s="297" t="s">
        <v>213</v>
      </c>
      <c r="S2735" s="297" t="s">
        <v>214</v>
      </c>
    </row>
    <row r="2736" spans="1:19" x14ac:dyDescent="0.4">
      <c r="A2736" s="291"/>
      <c r="B2736" s="292"/>
      <c r="C2736" s="312"/>
      <c r="D2736" s="292"/>
      <c r="E2736" s="489"/>
      <c r="F2736" s="489"/>
      <c r="G2736" s="490"/>
      <c r="H2736" s="520"/>
      <c r="I2736" s="523"/>
      <c r="J2736" s="521"/>
      <c r="K2736" s="522"/>
      <c r="M2736" s="301" t="str">
        <f>N2736&amp;AS[[#This Row],[Insurer Code]]&amp;"; "&amp;O2736&amp;AS[[#This Row],[Reporting Year]]&amp;"; "&amp;P2736&amp;AS[[#This Row],[Insurance Category Code]]&amp;"; "&amp;Q2736&amp;AS[[#This Row],[Large Provider Entity Code]]&amp;"; "&amp;R2736&amp;AS[[#This Row],[Age Band Code]]&amp;"; "&amp;S2736&amp;AS[[#This Row],[Sex Code]]</f>
        <v xml:space="preserve">Insurer Code ; Reporting Year ; Insurance Category Code ; Large Provider Entity Code ; Age Band Code ; Sex Code </v>
      </c>
      <c r="N2736" s="297" t="s">
        <v>197</v>
      </c>
      <c r="O2736" s="297" t="s">
        <v>198</v>
      </c>
      <c r="P2736" s="297" t="s">
        <v>199</v>
      </c>
      <c r="Q2736" s="297" t="s">
        <v>200</v>
      </c>
      <c r="R2736" s="297" t="s">
        <v>213</v>
      </c>
      <c r="S2736" s="297" t="s">
        <v>214</v>
      </c>
    </row>
    <row r="2737" spans="1:19" x14ac:dyDescent="0.4">
      <c r="A2737" s="291"/>
      <c r="B2737" s="292"/>
      <c r="C2737" s="312"/>
      <c r="D2737" s="292"/>
      <c r="E2737" s="489"/>
      <c r="F2737" s="489"/>
      <c r="G2737" s="490"/>
      <c r="H2737" s="520"/>
      <c r="I2737" s="523"/>
      <c r="J2737" s="521"/>
      <c r="K2737" s="522"/>
      <c r="M2737" s="301" t="str">
        <f>N2737&amp;AS[[#This Row],[Insurer Code]]&amp;"; "&amp;O2737&amp;AS[[#This Row],[Reporting Year]]&amp;"; "&amp;P2737&amp;AS[[#This Row],[Insurance Category Code]]&amp;"; "&amp;Q2737&amp;AS[[#This Row],[Large Provider Entity Code]]&amp;"; "&amp;R2737&amp;AS[[#This Row],[Age Band Code]]&amp;"; "&amp;S2737&amp;AS[[#This Row],[Sex Code]]</f>
        <v xml:space="preserve">Insurer Code ; Reporting Year ; Insurance Category Code ; Large Provider Entity Code ; Age Band Code ; Sex Code </v>
      </c>
      <c r="N2737" s="297" t="s">
        <v>197</v>
      </c>
      <c r="O2737" s="297" t="s">
        <v>198</v>
      </c>
      <c r="P2737" s="297" t="s">
        <v>199</v>
      </c>
      <c r="Q2737" s="297" t="s">
        <v>200</v>
      </c>
      <c r="R2737" s="297" t="s">
        <v>213</v>
      </c>
      <c r="S2737" s="297" t="s">
        <v>214</v>
      </c>
    </row>
    <row r="2738" spans="1:19" x14ac:dyDescent="0.4">
      <c r="A2738" s="291"/>
      <c r="B2738" s="292"/>
      <c r="C2738" s="312"/>
      <c r="D2738" s="292"/>
      <c r="E2738" s="489"/>
      <c r="F2738" s="489"/>
      <c r="G2738" s="490"/>
      <c r="H2738" s="520"/>
      <c r="I2738" s="523"/>
      <c r="J2738" s="521"/>
      <c r="K2738" s="522"/>
      <c r="M2738" s="301" t="str">
        <f>N2738&amp;AS[[#This Row],[Insurer Code]]&amp;"; "&amp;O2738&amp;AS[[#This Row],[Reporting Year]]&amp;"; "&amp;P2738&amp;AS[[#This Row],[Insurance Category Code]]&amp;"; "&amp;Q2738&amp;AS[[#This Row],[Large Provider Entity Code]]&amp;"; "&amp;R2738&amp;AS[[#This Row],[Age Band Code]]&amp;"; "&amp;S2738&amp;AS[[#This Row],[Sex Code]]</f>
        <v xml:space="preserve">Insurer Code ; Reporting Year ; Insurance Category Code ; Large Provider Entity Code ; Age Band Code ; Sex Code </v>
      </c>
      <c r="N2738" s="297" t="s">
        <v>197</v>
      </c>
      <c r="O2738" s="297" t="s">
        <v>198</v>
      </c>
      <c r="P2738" s="297" t="s">
        <v>199</v>
      </c>
      <c r="Q2738" s="297" t="s">
        <v>200</v>
      </c>
      <c r="R2738" s="297" t="s">
        <v>213</v>
      </c>
      <c r="S2738" s="297" t="s">
        <v>214</v>
      </c>
    </row>
    <row r="2739" spans="1:19" x14ac:dyDescent="0.4">
      <c r="A2739" s="291"/>
      <c r="B2739" s="292"/>
      <c r="C2739" s="312"/>
      <c r="D2739" s="292"/>
      <c r="E2739" s="489"/>
      <c r="F2739" s="489"/>
      <c r="G2739" s="490"/>
      <c r="H2739" s="520"/>
      <c r="I2739" s="523"/>
      <c r="J2739" s="521"/>
      <c r="K2739" s="522"/>
      <c r="M2739" s="301" t="str">
        <f>N2739&amp;AS[[#This Row],[Insurer Code]]&amp;"; "&amp;O2739&amp;AS[[#This Row],[Reporting Year]]&amp;"; "&amp;P2739&amp;AS[[#This Row],[Insurance Category Code]]&amp;"; "&amp;Q2739&amp;AS[[#This Row],[Large Provider Entity Code]]&amp;"; "&amp;R2739&amp;AS[[#This Row],[Age Band Code]]&amp;"; "&amp;S2739&amp;AS[[#This Row],[Sex Code]]</f>
        <v xml:space="preserve">Insurer Code ; Reporting Year ; Insurance Category Code ; Large Provider Entity Code ; Age Band Code ; Sex Code </v>
      </c>
      <c r="N2739" s="297" t="s">
        <v>197</v>
      </c>
      <c r="O2739" s="297" t="s">
        <v>198</v>
      </c>
      <c r="P2739" s="297" t="s">
        <v>199</v>
      </c>
      <c r="Q2739" s="297" t="s">
        <v>200</v>
      </c>
      <c r="R2739" s="297" t="s">
        <v>213</v>
      </c>
      <c r="S2739" s="297" t="s">
        <v>214</v>
      </c>
    </row>
    <row r="2740" spans="1:19" x14ac:dyDescent="0.4">
      <c r="A2740" s="291"/>
      <c r="B2740" s="292"/>
      <c r="C2740" s="312"/>
      <c r="D2740" s="292"/>
      <c r="E2740" s="489"/>
      <c r="F2740" s="489"/>
      <c r="G2740" s="490"/>
      <c r="H2740" s="520"/>
      <c r="I2740" s="523"/>
      <c r="J2740" s="521"/>
      <c r="K2740" s="522"/>
      <c r="M2740" s="301" t="str">
        <f>N2740&amp;AS[[#This Row],[Insurer Code]]&amp;"; "&amp;O2740&amp;AS[[#This Row],[Reporting Year]]&amp;"; "&amp;P2740&amp;AS[[#This Row],[Insurance Category Code]]&amp;"; "&amp;Q2740&amp;AS[[#This Row],[Large Provider Entity Code]]&amp;"; "&amp;R2740&amp;AS[[#This Row],[Age Band Code]]&amp;"; "&amp;S2740&amp;AS[[#This Row],[Sex Code]]</f>
        <v xml:space="preserve">Insurer Code ; Reporting Year ; Insurance Category Code ; Large Provider Entity Code ; Age Band Code ; Sex Code </v>
      </c>
      <c r="N2740" s="297" t="s">
        <v>197</v>
      </c>
      <c r="O2740" s="297" t="s">
        <v>198</v>
      </c>
      <c r="P2740" s="297" t="s">
        <v>199</v>
      </c>
      <c r="Q2740" s="297" t="s">
        <v>200</v>
      </c>
      <c r="R2740" s="297" t="s">
        <v>213</v>
      </c>
      <c r="S2740" s="297" t="s">
        <v>214</v>
      </c>
    </row>
    <row r="2741" spans="1:19" x14ac:dyDescent="0.4">
      <c r="A2741" s="291"/>
      <c r="B2741" s="292"/>
      <c r="C2741" s="312"/>
      <c r="D2741" s="292"/>
      <c r="E2741" s="489"/>
      <c r="F2741" s="489"/>
      <c r="G2741" s="490"/>
      <c r="H2741" s="520"/>
      <c r="I2741" s="523"/>
      <c r="J2741" s="521"/>
      <c r="K2741" s="522"/>
      <c r="M2741" s="301" t="str">
        <f>N2741&amp;AS[[#This Row],[Insurer Code]]&amp;"; "&amp;O2741&amp;AS[[#This Row],[Reporting Year]]&amp;"; "&amp;P2741&amp;AS[[#This Row],[Insurance Category Code]]&amp;"; "&amp;Q2741&amp;AS[[#This Row],[Large Provider Entity Code]]&amp;"; "&amp;R2741&amp;AS[[#This Row],[Age Band Code]]&amp;"; "&amp;S2741&amp;AS[[#This Row],[Sex Code]]</f>
        <v xml:space="preserve">Insurer Code ; Reporting Year ; Insurance Category Code ; Large Provider Entity Code ; Age Band Code ; Sex Code </v>
      </c>
      <c r="N2741" s="297" t="s">
        <v>197</v>
      </c>
      <c r="O2741" s="297" t="s">
        <v>198</v>
      </c>
      <c r="P2741" s="297" t="s">
        <v>199</v>
      </c>
      <c r="Q2741" s="297" t="s">
        <v>200</v>
      </c>
      <c r="R2741" s="297" t="s">
        <v>213</v>
      </c>
      <c r="S2741" s="297" t="s">
        <v>214</v>
      </c>
    </row>
    <row r="2742" spans="1:19" x14ac:dyDescent="0.4">
      <c r="A2742" s="291"/>
      <c r="B2742" s="292"/>
      <c r="C2742" s="312"/>
      <c r="D2742" s="292"/>
      <c r="E2742" s="489"/>
      <c r="F2742" s="489"/>
      <c r="G2742" s="490"/>
      <c r="H2742" s="520"/>
      <c r="I2742" s="523"/>
      <c r="J2742" s="521"/>
      <c r="K2742" s="522"/>
      <c r="M2742" s="301" t="str">
        <f>N2742&amp;AS[[#This Row],[Insurer Code]]&amp;"; "&amp;O2742&amp;AS[[#This Row],[Reporting Year]]&amp;"; "&amp;P2742&amp;AS[[#This Row],[Insurance Category Code]]&amp;"; "&amp;Q2742&amp;AS[[#This Row],[Large Provider Entity Code]]&amp;"; "&amp;R2742&amp;AS[[#This Row],[Age Band Code]]&amp;"; "&amp;S2742&amp;AS[[#This Row],[Sex Code]]</f>
        <v xml:space="preserve">Insurer Code ; Reporting Year ; Insurance Category Code ; Large Provider Entity Code ; Age Band Code ; Sex Code </v>
      </c>
      <c r="N2742" s="297" t="s">
        <v>197</v>
      </c>
      <c r="O2742" s="297" t="s">
        <v>198</v>
      </c>
      <c r="P2742" s="297" t="s">
        <v>199</v>
      </c>
      <c r="Q2742" s="297" t="s">
        <v>200</v>
      </c>
      <c r="R2742" s="297" t="s">
        <v>213</v>
      </c>
      <c r="S2742" s="297" t="s">
        <v>214</v>
      </c>
    </row>
    <row r="2743" spans="1:19" x14ac:dyDescent="0.4">
      <c r="A2743" s="291"/>
      <c r="B2743" s="292"/>
      <c r="C2743" s="312"/>
      <c r="D2743" s="292"/>
      <c r="E2743" s="489"/>
      <c r="F2743" s="489"/>
      <c r="G2743" s="490"/>
      <c r="H2743" s="520"/>
      <c r="I2743" s="523"/>
      <c r="J2743" s="521"/>
      <c r="K2743" s="522"/>
      <c r="M2743" s="301" t="str">
        <f>N2743&amp;AS[[#This Row],[Insurer Code]]&amp;"; "&amp;O2743&amp;AS[[#This Row],[Reporting Year]]&amp;"; "&amp;P2743&amp;AS[[#This Row],[Insurance Category Code]]&amp;"; "&amp;Q2743&amp;AS[[#This Row],[Large Provider Entity Code]]&amp;"; "&amp;R2743&amp;AS[[#This Row],[Age Band Code]]&amp;"; "&amp;S2743&amp;AS[[#This Row],[Sex Code]]</f>
        <v xml:space="preserve">Insurer Code ; Reporting Year ; Insurance Category Code ; Large Provider Entity Code ; Age Band Code ; Sex Code </v>
      </c>
      <c r="N2743" s="297" t="s">
        <v>197</v>
      </c>
      <c r="O2743" s="297" t="s">
        <v>198</v>
      </c>
      <c r="P2743" s="297" t="s">
        <v>199</v>
      </c>
      <c r="Q2743" s="297" t="s">
        <v>200</v>
      </c>
      <c r="R2743" s="297" t="s">
        <v>213</v>
      </c>
      <c r="S2743" s="297" t="s">
        <v>214</v>
      </c>
    </row>
    <row r="2744" spans="1:19" x14ac:dyDescent="0.4">
      <c r="A2744" s="291"/>
      <c r="B2744" s="292"/>
      <c r="C2744" s="312"/>
      <c r="D2744" s="292"/>
      <c r="E2744" s="489"/>
      <c r="F2744" s="489"/>
      <c r="G2744" s="490"/>
      <c r="H2744" s="520"/>
      <c r="I2744" s="523"/>
      <c r="J2744" s="521"/>
      <c r="K2744" s="522"/>
      <c r="M2744" s="301" t="str">
        <f>N2744&amp;AS[[#This Row],[Insurer Code]]&amp;"; "&amp;O2744&amp;AS[[#This Row],[Reporting Year]]&amp;"; "&amp;P2744&amp;AS[[#This Row],[Insurance Category Code]]&amp;"; "&amp;Q2744&amp;AS[[#This Row],[Large Provider Entity Code]]&amp;"; "&amp;R2744&amp;AS[[#This Row],[Age Band Code]]&amp;"; "&amp;S2744&amp;AS[[#This Row],[Sex Code]]</f>
        <v xml:space="preserve">Insurer Code ; Reporting Year ; Insurance Category Code ; Large Provider Entity Code ; Age Band Code ; Sex Code </v>
      </c>
      <c r="N2744" s="297" t="s">
        <v>197</v>
      </c>
      <c r="O2744" s="297" t="s">
        <v>198</v>
      </c>
      <c r="P2744" s="297" t="s">
        <v>199</v>
      </c>
      <c r="Q2744" s="297" t="s">
        <v>200</v>
      </c>
      <c r="R2744" s="297" t="s">
        <v>213</v>
      </c>
      <c r="S2744" s="297" t="s">
        <v>214</v>
      </c>
    </row>
    <row r="2745" spans="1:19" x14ac:dyDescent="0.4">
      <c r="A2745" s="291"/>
      <c r="B2745" s="292"/>
      <c r="C2745" s="312"/>
      <c r="D2745" s="292"/>
      <c r="E2745" s="489"/>
      <c r="F2745" s="489"/>
      <c r="G2745" s="490"/>
      <c r="H2745" s="520"/>
      <c r="I2745" s="523"/>
      <c r="J2745" s="521"/>
      <c r="K2745" s="522"/>
      <c r="M2745" s="301" t="str">
        <f>N2745&amp;AS[[#This Row],[Insurer Code]]&amp;"; "&amp;O2745&amp;AS[[#This Row],[Reporting Year]]&amp;"; "&amp;P2745&amp;AS[[#This Row],[Insurance Category Code]]&amp;"; "&amp;Q2745&amp;AS[[#This Row],[Large Provider Entity Code]]&amp;"; "&amp;R2745&amp;AS[[#This Row],[Age Band Code]]&amp;"; "&amp;S2745&amp;AS[[#This Row],[Sex Code]]</f>
        <v xml:space="preserve">Insurer Code ; Reporting Year ; Insurance Category Code ; Large Provider Entity Code ; Age Band Code ; Sex Code </v>
      </c>
      <c r="N2745" s="297" t="s">
        <v>197</v>
      </c>
      <c r="O2745" s="297" t="s">
        <v>198</v>
      </c>
      <c r="P2745" s="297" t="s">
        <v>199</v>
      </c>
      <c r="Q2745" s="297" t="s">
        <v>200</v>
      </c>
      <c r="R2745" s="297" t="s">
        <v>213</v>
      </c>
      <c r="S2745" s="297" t="s">
        <v>214</v>
      </c>
    </row>
    <row r="2746" spans="1:19" x14ac:dyDescent="0.4">
      <c r="A2746" s="291"/>
      <c r="B2746" s="292"/>
      <c r="C2746" s="312"/>
      <c r="D2746" s="292"/>
      <c r="E2746" s="489"/>
      <c r="F2746" s="489"/>
      <c r="G2746" s="490"/>
      <c r="H2746" s="520"/>
      <c r="I2746" s="523"/>
      <c r="J2746" s="521"/>
      <c r="K2746" s="522"/>
      <c r="M2746" s="301" t="str">
        <f>N2746&amp;AS[[#This Row],[Insurer Code]]&amp;"; "&amp;O2746&amp;AS[[#This Row],[Reporting Year]]&amp;"; "&amp;P2746&amp;AS[[#This Row],[Insurance Category Code]]&amp;"; "&amp;Q2746&amp;AS[[#This Row],[Large Provider Entity Code]]&amp;"; "&amp;R2746&amp;AS[[#This Row],[Age Band Code]]&amp;"; "&amp;S2746&amp;AS[[#This Row],[Sex Code]]</f>
        <v xml:space="preserve">Insurer Code ; Reporting Year ; Insurance Category Code ; Large Provider Entity Code ; Age Band Code ; Sex Code </v>
      </c>
      <c r="N2746" s="297" t="s">
        <v>197</v>
      </c>
      <c r="O2746" s="297" t="s">
        <v>198</v>
      </c>
      <c r="P2746" s="297" t="s">
        <v>199</v>
      </c>
      <c r="Q2746" s="297" t="s">
        <v>200</v>
      </c>
      <c r="R2746" s="297" t="s">
        <v>213</v>
      </c>
      <c r="S2746" s="297" t="s">
        <v>214</v>
      </c>
    </row>
    <row r="2747" spans="1:19" x14ac:dyDescent="0.4">
      <c r="A2747" s="291"/>
      <c r="B2747" s="292"/>
      <c r="C2747" s="312"/>
      <c r="D2747" s="292"/>
      <c r="E2747" s="489"/>
      <c r="F2747" s="489"/>
      <c r="G2747" s="490"/>
      <c r="H2747" s="520"/>
      <c r="I2747" s="523"/>
      <c r="J2747" s="521"/>
      <c r="K2747" s="522"/>
      <c r="M2747" s="301" t="str">
        <f>N2747&amp;AS[[#This Row],[Insurer Code]]&amp;"; "&amp;O2747&amp;AS[[#This Row],[Reporting Year]]&amp;"; "&amp;P2747&amp;AS[[#This Row],[Insurance Category Code]]&amp;"; "&amp;Q2747&amp;AS[[#This Row],[Large Provider Entity Code]]&amp;"; "&amp;R2747&amp;AS[[#This Row],[Age Band Code]]&amp;"; "&amp;S2747&amp;AS[[#This Row],[Sex Code]]</f>
        <v xml:space="preserve">Insurer Code ; Reporting Year ; Insurance Category Code ; Large Provider Entity Code ; Age Band Code ; Sex Code </v>
      </c>
      <c r="N2747" s="297" t="s">
        <v>197</v>
      </c>
      <c r="O2747" s="297" t="s">
        <v>198</v>
      </c>
      <c r="P2747" s="297" t="s">
        <v>199</v>
      </c>
      <c r="Q2747" s="297" t="s">
        <v>200</v>
      </c>
      <c r="R2747" s="297" t="s">
        <v>213</v>
      </c>
      <c r="S2747" s="297" t="s">
        <v>214</v>
      </c>
    </row>
    <row r="2748" spans="1:19" x14ac:dyDescent="0.4">
      <c r="A2748" s="291"/>
      <c r="B2748" s="292"/>
      <c r="C2748" s="312"/>
      <c r="D2748" s="292"/>
      <c r="E2748" s="489"/>
      <c r="F2748" s="489"/>
      <c r="G2748" s="490"/>
      <c r="H2748" s="520"/>
      <c r="I2748" s="523"/>
      <c r="J2748" s="521"/>
      <c r="K2748" s="522"/>
      <c r="M2748" s="301" t="str">
        <f>N2748&amp;AS[[#This Row],[Insurer Code]]&amp;"; "&amp;O2748&amp;AS[[#This Row],[Reporting Year]]&amp;"; "&amp;P2748&amp;AS[[#This Row],[Insurance Category Code]]&amp;"; "&amp;Q2748&amp;AS[[#This Row],[Large Provider Entity Code]]&amp;"; "&amp;R2748&amp;AS[[#This Row],[Age Band Code]]&amp;"; "&amp;S2748&amp;AS[[#This Row],[Sex Code]]</f>
        <v xml:space="preserve">Insurer Code ; Reporting Year ; Insurance Category Code ; Large Provider Entity Code ; Age Band Code ; Sex Code </v>
      </c>
      <c r="N2748" s="297" t="s">
        <v>197</v>
      </c>
      <c r="O2748" s="297" t="s">
        <v>198</v>
      </c>
      <c r="P2748" s="297" t="s">
        <v>199</v>
      </c>
      <c r="Q2748" s="297" t="s">
        <v>200</v>
      </c>
      <c r="R2748" s="297" t="s">
        <v>213</v>
      </c>
      <c r="S2748" s="297" t="s">
        <v>214</v>
      </c>
    </row>
    <row r="2749" spans="1:19" x14ac:dyDescent="0.4">
      <c r="A2749" s="291"/>
      <c r="B2749" s="292"/>
      <c r="C2749" s="312"/>
      <c r="D2749" s="292"/>
      <c r="E2749" s="489"/>
      <c r="F2749" s="489"/>
      <c r="G2749" s="490"/>
      <c r="H2749" s="520"/>
      <c r="I2749" s="523"/>
      <c r="J2749" s="521"/>
      <c r="K2749" s="522"/>
      <c r="M2749" s="301" t="str">
        <f>N2749&amp;AS[[#This Row],[Insurer Code]]&amp;"; "&amp;O2749&amp;AS[[#This Row],[Reporting Year]]&amp;"; "&amp;P2749&amp;AS[[#This Row],[Insurance Category Code]]&amp;"; "&amp;Q2749&amp;AS[[#This Row],[Large Provider Entity Code]]&amp;"; "&amp;R2749&amp;AS[[#This Row],[Age Band Code]]&amp;"; "&amp;S2749&amp;AS[[#This Row],[Sex Code]]</f>
        <v xml:space="preserve">Insurer Code ; Reporting Year ; Insurance Category Code ; Large Provider Entity Code ; Age Band Code ; Sex Code </v>
      </c>
      <c r="N2749" s="297" t="s">
        <v>197</v>
      </c>
      <c r="O2749" s="297" t="s">
        <v>198</v>
      </c>
      <c r="P2749" s="297" t="s">
        <v>199</v>
      </c>
      <c r="Q2749" s="297" t="s">
        <v>200</v>
      </c>
      <c r="R2749" s="297" t="s">
        <v>213</v>
      </c>
      <c r="S2749" s="297" t="s">
        <v>214</v>
      </c>
    </row>
    <row r="2750" spans="1:19" x14ac:dyDescent="0.4">
      <c r="A2750" s="291"/>
      <c r="B2750" s="292"/>
      <c r="C2750" s="312"/>
      <c r="D2750" s="292"/>
      <c r="E2750" s="489"/>
      <c r="F2750" s="489"/>
      <c r="G2750" s="490"/>
      <c r="H2750" s="520"/>
      <c r="I2750" s="523"/>
      <c r="J2750" s="521"/>
      <c r="K2750" s="522"/>
      <c r="M2750" s="301" t="str">
        <f>N2750&amp;AS[[#This Row],[Insurer Code]]&amp;"; "&amp;O2750&amp;AS[[#This Row],[Reporting Year]]&amp;"; "&amp;P2750&amp;AS[[#This Row],[Insurance Category Code]]&amp;"; "&amp;Q2750&amp;AS[[#This Row],[Large Provider Entity Code]]&amp;"; "&amp;R2750&amp;AS[[#This Row],[Age Band Code]]&amp;"; "&amp;S2750&amp;AS[[#This Row],[Sex Code]]</f>
        <v xml:space="preserve">Insurer Code ; Reporting Year ; Insurance Category Code ; Large Provider Entity Code ; Age Band Code ; Sex Code </v>
      </c>
      <c r="N2750" s="297" t="s">
        <v>197</v>
      </c>
      <c r="O2750" s="297" t="s">
        <v>198</v>
      </c>
      <c r="P2750" s="297" t="s">
        <v>199</v>
      </c>
      <c r="Q2750" s="297" t="s">
        <v>200</v>
      </c>
      <c r="R2750" s="297" t="s">
        <v>213</v>
      </c>
      <c r="S2750" s="297" t="s">
        <v>214</v>
      </c>
    </row>
    <row r="2751" spans="1:19" x14ac:dyDescent="0.4">
      <c r="A2751" s="291"/>
      <c r="B2751" s="292"/>
      <c r="C2751" s="312"/>
      <c r="D2751" s="292"/>
      <c r="E2751" s="489"/>
      <c r="F2751" s="489"/>
      <c r="G2751" s="490"/>
      <c r="H2751" s="520"/>
      <c r="I2751" s="523"/>
      <c r="J2751" s="521"/>
      <c r="K2751" s="522"/>
      <c r="M2751" s="301" t="str">
        <f>N2751&amp;AS[[#This Row],[Insurer Code]]&amp;"; "&amp;O2751&amp;AS[[#This Row],[Reporting Year]]&amp;"; "&amp;P2751&amp;AS[[#This Row],[Insurance Category Code]]&amp;"; "&amp;Q2751&amp;AS[[#This Row],[Large Provider Entity Code]]&amp;"; "&amp;R2751&amp;AS[[#This Row],[Age Band Code]]&amp;"; "&amp;S2751&amp;AS[[#This Row],[Sex Code]]</f>
        <v xml:space="preserve">Insurer Code ; Reporting Year ; Insurance Category Code ; Large Provider Entity Code ; Age Band Code ; Sex Code </v>
      </c>
      <c r="N2751" s="297" t="s">
        <v>197</v>
      </c>
      <c r="O2751" s="297" t="s">
        <v>198</v>
      </c>
      <c r="P2751" s="297" t="s">
        <v>199</v>
      </c>
      <c r="Q2751" s="297" t="s">
        <v>200</v>
      </c>
      <c r="R2751" s="297" t="s">
        <v>213</v>
      </c>
      <c r="S2751" s="297" t="s">
        <v>214</v>
      </c>
    </row>
    <row r="2752" spans="1:19" x14ac:dyDescent="0.4">
      <c r="A2752" s="291"/>
      <c r="B2752" s="292"/>
      <c r="C2752" s="312"/>
      <c r="D2752" s="292"/>
      <c r="E2752" s="489"/>
      <c r="F2752" s="489"/>
      <c r="G2752" s="490"/>
      <c r="H2752" s="520"/>
      <c r="I2752" s="523"/>
      <c r="J2752" s="521"/>
      <c r="K2752" s="522"/>
      <c r="M2752" s="301" t="str">
        <f>N2752&amp;AS[[#This Row],[Insurer Code]]&amp;"; "&amp;O2752&amp;AS[[#This Row],[Reporting Year]]&amp;"; "&amp;P2752&amp;AS[[#This Row],[Insurance Category Code]]&amp;"; "&amp;Q2752&amp;AS[[#This Row],[Large Provider Entity Code]]&amp;"; "&amp;R2752&amp;AS[[#This Row],[Age Band Code]]&amp;"; "&amp;S2752&amp;AS[[#This Row],[Sex Code]]</f>
        <v xml:space="preserve">Insurer Code ; Reporting Year ; Insurance Category Code ; Large Provider Entity Code ; Age Band Code ; Sex Code </v>
      </c>
      <c r="N2752" s="297" t="s">
        <v>197</v>
      </c>
      <c r="O2752" s="297" t="s">
        <v>198</v>
      </c>
      <c r="P2752" s="297" t="s">
        <v>199</v>
      </c>
      <c r="Q2752" s="297" t="s">
        <v>200</v>
      </c>
      <c r="R2752" s="297" t="s">
        <v>213</v>
      </c>
      <c r="S2752" s="297" t="s">
        <v>214</v>
      </c>
    </row>
    <row r="2753" spans="1:19" x14ac:dyDescent="0.4">
      <c r="A2753" s="291"/>
      <c r="B2753" s="292"/>
      <c r="C2753" s="312"/>
      <c r="D2753" s="292"/>
      <c r="E2753" s="489"/>
      <c r="F2753" s="489"/>
      <c r="G2753" s="490"/>
      <c r="H2753" s="520"/>
      <c r="I2753" s="523"/>
      <c r="J2753" s="521"/>
      <c r="K2753" s="522"/>
      <c r="M2753" s="301" t="str">
        <f>N2753&amp;AS[[#This Row],[Insurer Code]]&amp;"; "&amp;O2753&amp;AS[[#This Row],[Reporting Year]]&amp;"; "&amp;P2753&amp;AS[[#This Row],[Insurance Category Code]]&amp;"; "&amp;Q2753&amp;AS[[#This Row],[Large Provider Entity Code]]&amp;"; "&amp;R2753&amp;AS[[#This Row],[Age Band Code]]&amp;"; "&amp;S2753&amp;AS[[#This Row],[Sex Code]]</f>
        <v xml:space="preserve">Insurer Code ; Reporting Year ; Insurance Category Code ; Large Provider Entity Code ; Age Band Code ; Sex Code </v>
      </c>
      <c r="N2753" s="297" t="s">
        <v>197</v>
      </c>
      <c r="O2753" s="297" t="s">
        <v>198</v>
      </c>
      <c r="P2753" s="297" t="s">
        <v>199</v>
      </c>
      <c r="Q2753" s="297" t="s">
        <v>200</v>
      </c>
      <c r="R2753" s="297" t="s">
        <v>213</v>
      </c>
      <c r="S2753" s="297" t="s">
        <v>214</v>
      </c>
    </row>
    <row r="2754" spans="1:19" x14ac:dyDescent="0.4">
      <c r="A2754" s="291"/>
      <c r="B2754" s="292"/>
      <c r="C2754" s="312"/>
      <c r="D2754" s="292"/>
      <c r="E2754" s="489"/>
      <c r="F2754" s="489"/>
      <c r="G2754" s="490"/>
      <c r="H2754" s="520"/>
      <c r="I2754" s="523"/>
      <c r="J2754" s="521"/>
      <c r="K2754" s="522"/>
      <c r="M2754" s="301" t="str">
        <f>N2754&amp;AS[[#This Row],[Insurer Code]]&amp;"; "&amp;O2754&amp;AS[[#This Row],[Reporting Year]]&amp;"; "&amp;P2754&amp;AS[[#This Row],[Insurance Category Code]]&amp;"; "&amp;Q2754&amp;AS[[#This Row],[Large Provider Entity Code]]&amp;"; "&amp;R2754&amp;AS[[#This Row],[Age Band Code]]&amp;"; "&amp;S2754&amp;AS[[#This Row],[Sex Code]]</f>
        <v xml:space="preserve">Insurer Code ; Reporting Year ; Insurance Category Code ; Large Provider Entity Code ; Age Band Code ; Sex Code </v>
      </c>
      <c r="N2754" s="297" t="s">
        <v>197</v>
      </c>
      <c r="O2754" s="297" t="s">
        <v>198</v>
      </c>
      <c r="P2754" s="297" t="s">
        <v>199</v>
      </c>
      <c r="Q2754" s="297" t="s">
        <v>200</v>
      </c>
      <c r="R2754" s="297" t="s">
        <v>213</v>
      </c>
      <c r="S2754" s="297" t="s">
        <v>214</v>
      </c>
    </row>
    <row r="2755" spans="1:19" x14ac:dyDescent="0.4">
      <c r="A2755" s="291"/>
      <c r="B2755" s="292"/>
      <c r="C2755" s="312"/>
      <c r="D2755" s="292"/>
      <c r="E2755" s="489"/>
      <c r="F2755" s="489"/>
      <c r="G2755" s="490"/>
      <c r="H2755" s="520"/>
      <c r="I2755" s="523"/>
      <c r="J2755" s="521"/>
      <c r="K2755" s="522"/>
      <c r="M2755" s="301" t="str">
        <f>N2755&amp;AS[[#This Row],[Insurer Code]]&amp;"; "&amp;O2755&amp;AS[[#This Row],[Reporting Year]]&amp;"; "&amp;P2755&amp;AS[[#This Row],[Insurance Category Code]]&amp;"; "&amp;Q2755&amp;AS[[#This Row],[Large Provider Entity Code]]&amp;"; "&amp;R2755&amp;AS[[#This Row],[Age Band Code]]&amp;"; "&amp;S2755&amp;AS[[#This Row],[Sex Code]]</f>
        <v xml:space="preserve">Insurer Code ; Reporting Year ; Insurance Category Code ; Large Provider Entity Code ; Age Band Code ; Sex Code </v>
      </c>
      <c r="N2755" s="297" t="s">
        <v>197</v>
      </c>
      <c r="O2755" s="297" t="s">
        <v>198</v>
      </c>
      <c r="P2755" s="297" t="s">
        <v>199</v>
      </c>
      <c r="Q2755" s="297" t="s">
        <v>200</v>
      </c>
      <c r="R2755" s="297" t="s">
        <v>213</v>
      </c>
      <c r="S2755" s="297" t="s">
        <v>214</v>
      </c>
    </row>
    <row r="2756" spans="1:19" x14ac:dyDescent="0.4">
      <c r="A2756" s="291"/>
      <c r="B2756" s="292"/>
      <c r="C2756" s="312"/>
      <c r="D2756" s="292"/>
      <c r="E2756" s="489"/>
      <c r="F2756" s="489"/>
      <c r="G2756" s="490"/>
      <c r="H2756" s="520"/>
      <c r="I2756" s="523"/>
      <c r="J2756" s="521"/>
      <c r="K2756" s="522"/>
      <c r="M2756" s="301" t="str">
        <f>N2756&amp;AS[[#This Row],[Insurer Code]]&amp;"; "&amp;O2756&amp;AS[[#This Row],[Reporting Year]]&amp;"; "&amp;P2756&amp;AS[[#This Row],[Insurance Category Code]]&amp;"; "&amp;Q2756&amp;AS[[#This Row],[Large Provider Entity Code]]&amp;"; "&amp;R2756&amp;AS[[#This Row],[Age Band Code]]&amp;"; "&amp;S2756&amp;AS[[#This Row],[Sex Code]]</f>
        <v xml:space="preserve">Insurer Code ; Reporting Year ; Insurance Category Code ; Large Provider Entity Code ; Age Band Code ; Sex Code </v>
      </c>
      <c r="N2756" s="297" t="s">
        <v>197</v>
      </c>
      <c r="O2756" s="297" t="s">
        <v>198</v>
      </c>
      <c r="P2756" s="297" t="s">
        <v>199</v>
      </c>
      <c r="Q2756" s="297" t="s">
        <v>200</v>
      </c>
      <c r="R2756" s="297" t="s">
        <v>213</v>
      </c>
      <c r="S2756" s="297" t="s">
        <v>214</v>
      </c>
    </row>
    <row r="2757" spans="1:19" x14ac:dyDescent="0.4">
      <c r="A2757" s="291"/>
      <c r="B2757" s="292"/>
      <c r="C2757" s="312"/>
      <c r="D2757" s="292"/>
      <c r="E2757" s="489"/>
      <c r="F2757" s="489"/>
      <c r="G2757" s="490"/>
      <c r="H2757" s="520"/>
      <c r="I2757" s="523"/>
      <c r="J2757" s="521"/>
      <c r="K2757" s="522"/>
      <c r="M2757" s="301" t="str">
        <f>N2757&amp;AS[[#This Row],[Insurer Code]]&amp;"; "&amp;O2757&amp;AS[[#This Row],[Reporting Year]]&amp;"; "&amp;P2757&amp;AS[[#This Row],[Insurance Category Code]]&amp;"; "&amp;Q2757&amp;AS[[#This Row],[Large Provider Entity Code]]&amp;"; "&amp;R2757&amp;AS[[#This Row],[Age Band Code]]&amp;"; "&amp;S2757&amp;AS[[#This Row],[Sex Code]]</f>
        <v xml:space="preserve">Insurer Code ; Reporting Year ; Insurance Category Code ; Large Provider Entity Code ; Age Band Code ; Sex Code </v>
      </c>
      <c r="N2757" s="297" t="s">
        <v>197</v>
      </c>
      <c r="O2757" s="297" t="s">
        <v>198</v>
      </c>
      <c r="P2757" s="297" t="s">
        <v>199</v>
      </c>
      <c r="Q2757" s="297" t="s">
        <v>200</v>
      </c>
      <c r="R2757" s="297" t="s">
        <v>213</v>
      </c>
      <c r="S2757" s="297" t="s">
        <v>214</v>
      </c>
    </row>
    <row r="2758" spans="1:19" x14ac:dyDescent="0.4">
      <c r="A2758" s="291"/>
      <c r="B2758" s="292"/>
      <c r="C2758" s="312"/>
      <c r="D2758" s="292"/>
      <c r="E2758" s="489"/>
      <c r="F2758" s="489"/>
      <c r="G2758" s="490"/>
      <c r="H2758" s="520"/>
      <c r="I2758" s="523"/>
      <c r="J2758" s="521"/>
      <c r="K2758" s="522"/>
      <c r="M2758" s="301" t="str">
        <f>N2758&amp;AS[[#This Row],[Insurer Code]]&amp;"; "&amp;O2758&amp;AS[[#This Row],[Reporting Year]]&amp;"; "&amp;P2758&amp;AS[[#This Row],[Insurance Category Code]]&amp;"; "&amp;Q2758&amp;AS[[#This Row],[Large Provider Entity Code]]&amp;"; "&amp;R2758&amp;AS[[#This Row],[Age Band Code]]&amp;"; "&amp;S2758&amp;AS[[#This Row],[Sex Code]]</f>
        <v xml:space="preserve">Insurer Code ; Reporting Year ; Insurance Category Code ; Large Provider Entity Code ; Age Band Code ; Sex Code </v>
      </c>
      <c r="N2758" s="297" t="s">
        <v>197</v>
      </c>
      <c r="O2758" s="297" t="s">
        <v>198</v>
      </c>
      <c r="P2758" s="297" t="s">
        <v>199</v>
      </c>
      <c r="Q2758" s="297" t="s">
        <v>200</v>
      </c>
      <c r="R2758" s="297" t="s">
        <v>213</v>
      </c>
      <c r="S2758" s="297" t="s">
        <v>214</v>
      </c>
    </row>
    <row r="2759" spans="1:19" x14ac:dyDescent="0.4">
      <c r="A2759" s="291"/>
      <c r="B2759" s="292"/>
      <c r="C2759" s="312"/>
      <c r="D2759" s="292"/>
      <c r="E2759" s="489"/>
      <c r="F2759" s="489"/>
      <c r="G2759" s="490"/>
      <c r="H2759" s="520"/>
      <c r="I2759" s="523"/>
      <c r="J2759" s="521"/>
      <c r="K2759" s="522"/>
      <c r="M2759" s="301" t="str">
        <f>N2759&amp;AS[[#This Row],[Insurer Code]]&amp;"; "&amp;O2759&amp;AS[[#This Row],[Reporting Year]]&amp;"; "&amp;P2759&amp;AS[[#This Row],[Insurance Category Code]]&amp;"; "&amp;Q2759&amp;AS[[#This Row],[Large Provider Entity Code]]&amp;"; "&amp;R2759&amp;AS[[#This Row],[Age Band Code]]&amp;"; "&amp;S2759&amp;AS[[#This Row],[Sex Code]]</f>
        <v xml:space="preserve">Insurer Code ; Reporting Year ; Insurance Category Code ; Large Provider Entity Code ; Age Band Code ; Sex Code </v>
      </c>
      <c r="N2759" s="297" t="s">
        <v>197</v>
      </c>
      <c r="O2759" s="297" t="s">
        <v>198</v>
      </c>
      <c r="P2759" s="297" t="s">
        <v>199</v>
      </c>
      <c r="Q2759" s="297" t="s">
        <v>200</v>
      </c>
      <c r="R2759" s="297" t="s">
        <v>213</v>
      </c>
      <c r="S2759" s="297" t="s">
        <v>214</v>
      </c>
    </row>
    <row r="2760" spans="1:19" x14ac:dyDescent="0.4">
      <c r="A2760" s="291"/>
      <c r="B2760" s="292"/>
      <c r="C2760" s="312"/>
      <c r="D2760" s="292"/>
      <c r="E2760" s="489"/>
      <c r="F2760" s="489"/>
      <c r="G2760" s="490"/>
      <c r="H2760" s="520"/>
      <c r="I2760" s="523"/>
      <c r="J2760" s="521"/>
      <c r="K2760" s="522"/>
      <c r="M2760" s="301" t="str">
        <f>N2760&amp;AS[[#This Row],[Insurer Code]]&amp;"; "&amp;O2760&amp;AS[[#This Row],[Reporting Year]]&amp;"; "&amp;P2760&amp;AS[[#This Row],[Insurance Category Code]]&amp;"; "&amp;Q2760&amp;AS[[#This Row],[Large Provider Entity Code]]&amp;"; "&amp;R2760&amp;AS[[#This Row],[Age Band Code]]&amp;"; "&amp;S2760&amp;AS[[#This Row],[Sex Code]]</f>
        <v xml:space="preserve">Insurer Code ; Reporting Year ; Insurance Category Code ; Large Provider Entity Code ; Age Band Code ; Sex Code </v>
      </c>
      <c r="N2760" s="297" t="s">
        <v>197</v>
      </c>
      <c r="O2760" s="297" t="s">
        <v>198</v>
      </c>
      <c r="P2760" s="297" t="s">
        <v>199</v>
      </c>
      <c r="Q2760" s="297" t="s">
        <v>200</v>
      </c>
      <c r="R2760" s="297" t="s">
        <v>213</v>
      </c>
      <c r="S2760" s="297" t="s">
        <v>214</v>
      </c>
    </row>
    <row r="2761" spans="1:19" x14ac:dyDescent="0.4">
      <c r="A2761" s="291"/>
      <c r="B2761" s="292"/>
      <c r="C2761" s="312"/>
      <c r="D2761" s="292"/>
      <c r="E2761" s="489"/>
      <c r="F2761" s="489"/>
      <c r="G2761" s="490"/>
      <c r="H2761" s="520"/>
      <c r="I2761" s="523"/>
      <c r="J2761" s="521"/>
      <c r="K2761" s="522"/>
      <c r="M2761" s="301" t="str">
        <f>N2761&amp;AS[[#This Row],[Insurer Code]]&amp;"; "&amp;O2761&amp;AS[[#This Row],[Reporting Year]]&amp;"; "&amp;P2761&amp;AS[[#This Row],[Insurance Category Code]]&amp;"; "&amp;Q2761&amp;AS[[#This Row],[Large Provider Entity Code]]&amp;"; "&amp;R2761&amp;AS[[#This Row],[Age Band Code]]&amp;"; "&amp;S2761&amp;AS[[#This Row],[Sex Code]]</f>
        <v xml:space="preserve">Insurer Code ; Reporting Year ; Insurance Category Code ; Large Provider Entity Code ; Age Band Code ; Sex Code </v>
      </c>
      <c r="N2761" s="297" t="s">
        <v>197</v>
      </c>
      <c r="O2761" s="297" t="s">
        <v>198</v>
      </c>
      <c r="P2761" s="297" t="s">
        <v>199</v>
      </c>
      <c r="Q2761" s="297" t="s">
        <v>200</v>
      </c>
      <c r="R2761" s="297" t="s">
        <v>213</v>
      </c>
      <c r="S2761" s="297" t="s">
        <v>214</v>
      </c>
    </row>
    <row r="2762" spans="1:19" x14ac:dyDescent="0.4">
      <c r="A2762" s="291"/>
      <c r="B2762" s="292"/>
      <c r="C2762" s="312"/>
      <c r="D2762" s="292"/>
      <c r="E2762" s="489"/>
      <c r="F2762" s="489"/>
      <c r="G2762" s="490"/>
      <c r="H2762" s="520"/>
      <c r="I2762" s="523"/>
      <c r="J2762" s="521"/>
      <c r="K2762" s="522"/>
      <c r="M2762" s="301" t="str">
        <f>N2762&amp;AS[[#This Row],[Insurer Code]]&amp;"; "&amp;O2762&amp;AS[[#This Row],[Reporting Year]]&amp;"; "&amp;P2762&amp;AS[[#This Row],[Insurance Category Code]]&amp;"; "&amp;Q2762&amp;AS[[#This Row],[Large Provider Entity Code]]&amp;"; "&amp;R2762&amp;AS[[#This Row],[Age Band Code]]&amp;"; "&amp;S2762&amp;AS[[#This Row],[Sex Code]]</f>
        <v xml:space="preserve">Insurer Code ; Reporting Year ; Insurance Category Code ; Large Provider Entity Code ; Age Band Code ; Sex Code </v>
      </c>
      <c r="N2762" s="297" t="s">
        <v>197</v>
      </c>
      <c r="O2762" s="297" t="s">
        <v>198</v>
      </c>
      <c r="P2762" s="297" t="s">
        <v>199</v>
      </c>
      <c r="Q2762" s="297" t="s">
        <v>200</v>
      </c>
      <c r="R2762" s="297" t="s">
        <v>213</v>
      </c>
      <c r="S2762" s="297" t="s">
        <v>214</v>
      </c>
    </row>
    <row r="2763" spans="1:19" x14ac:dyDescent="0.4">
      <c r="A2763" s="291"/>
      <c r="B2763" s="292"/>
      <c r="C2763" s="312"/>
      <c r="D2763" s="292"/>
      <c r="E2763" s="489"/>
      <c r="F2763" s="489"/>
      <c r="G2763" s="490"/>
      <c r="H2763" s="520"/>
      <c r="I2763" s="523"/>
      <c r="J2763" s="521"/>
      <c r="K2763" s="522"/>
      <c r="M2763" s="301" t="str">
        <f>N2763&amp;AS[[#This Row],[Insurer Code]]&amp;"; "&amp;O2763&amp;AS[[#This Row],[Reporting Year]]&amp;"; "&amp;P2763&amp;AS[[#This Row],[Insurance Category Code]]&amp;"; "&amp;Q2763&amp;AS[[#This Row],[Large Provider Entity Code]]&amp;"; "&amp;R2763&amp;AS[[#This Row],[Age Band Code]]&amp;"; "&amp;S2763&amp;AS[[#This Row],[Sex Code]]</f>
        <v xml:space="preserve">Insurer Code ; Reporting Year ; Insurance Category Code ; Large Provider Entity Code ; Age Band Code ; Sex Code </v>
      </c>
      <c r="N2763" s="297" t="s">
        <v>197</v>
      </c>
      <c r="O2763" s="297" t="s">
        <v>198</v>
      </c>
      <c r="P2763" s="297" t="s">
        <v>199</v>
      </c>
      <c r="Q2763" s="297" t="s">
        <v>200</v>
      </c>
      <c r="R2763" s="297" t="s">
        <v>213</v>
      </c>
      <c r="S2763" s="297" t="s">
        <v>214</v>
      </c>
    </row>
    <row r="2764" spans="1:19" x14ac:dyDescent="0.4">
      <c r="A2764" s="291"/>
      <c r="B2764" s="292"/>
      <c r="C2764" s="312"/>
      <c r="D2764" s="292"/>
      <c r="E2764" s="489"/>
      <c r="F2764" s="489"/>
      <c r="G2764" s="490"/>
      <c r="H2764" s="520"/>
      <c r="I2764" s="523"/>
      <c r="J2764" s="521"/>
      <c r="K2764" s="522"/>
      <c r="M2764" s="301" t="str">
        <f>N2764&amp;AS[[#This Row],[Insurer Code]]&amp;"; "&amp;O2764&amp;AS[[#This Row],[Reporting Year]]&amp;"; "&amp;P2764&amp;AS[[#This Row],[Insurance Category Code]]&amp;"; "&amp;Q2764&amp;AS[[#This Row],[Large Provider Entity Code]]&amp;"; "&amp;R2764&amp;AS[[#This Row],[Age Band Code]]&amp;"; "&amp;S2764&amp;AS[[#This Row],[Sex Code]]</f>
        <v xml:space="preserve">Insurer Code ; Reporting Year ; Insurance Category Code ; Large Provider Entity Code ; Age Band Code ; Sex Code </v>
      </c>
      <c r="N2764" s="297" t="s">
        <v>197</v>
      </c>
      <c r="O2764" s="297" t="s">
        <v>198</v>
      </c>
      <c r="P2764" s="297" t="s">
        <v>199</v>
      </c>
      <c r="Q2764" s="297" t="s">
        <v>200</v>
      </c>
      <c r="R2764" s="297" t="s">
        <v>213</v>
      </c>
      <c r="S2764" s="297" t="s">
        <v>214</v>
      </c>
    </row>
    <row r="2765" spans="1:19" x14ac:dyDescent="0.4">
      <c r="A2765" s="291"/>
      <c r="B2765" s="292"/>
      <c r="C2765" s="312"/>
      <c r="D2765" s="292"/>
      <c r="E2765" s="489"/>
      <c r="F2765" s="489"/>
      <c r="G2765" s="490"/>
      <c r="H2765" s="520"/>
      <c r="I2765" s="523"/>
      <c r="J2765" s="521"/>
      <c r="K2765" s="522"/>
      <c r="M2765" s="301" t="str">
        <f>N2765&amp;AS[[#This Row],[Insurer Code]]&amp;"; "&amp;O2765&amp;AS[[#This Row],[Reporting Year]]&amp;"; "&amp;P2765&amp;AS[[#This Row],[Insurance Category Code]]&amp;"; "&amp;Q2765&amp;AS[[#This Row],[Large Provider Entity Code]]&amp;"; "&amp;R2765&amp;AS[[#This Row],[Age Band Code]]&amp;"; "&amp;S2765&amp;AS[[#This Row],[Sex Code]]</f>
        <v xml:space="preserve">Insurer Code ; Reporting Year ; Insurance Category Code ; Large Provider Entity Code ; Age Band Code ; Sex Code </v>
      </c>
      <c r="N2765" s="297" t="s">
        <v>197</v>
      </c>
      <c r="O2765" s="297" t="s">
        <v>198</v>
      </c>
      <c r="P2765" s="297" t="s">
        <v>199</v>
      </c>
      <c r="Q2765" s="297" t="s">
        <v>200</v>
      </c>
      <c r="R2765" s="297" t="s">
        <v>213</v>
      </c>
      <c r="S2765" s="297" t="s">
        <v>214</v>
      </c>
    </row>
    <row r="2766" spans="1:19" x14ac:dyDescent="0.4">
      <c r="A2766" s="291"/>
      <c r="B2766" s="292"/>
      <c r="C2766" s="312"/>
      <c r="D2766" s="292"/>
      <c r="E2766" s="489"/>
      <c r="F2766" s="489"/>
      <c r="G2766" s="490"/>
      <c r="H2766" s="520"/>
      <c r="I2766" s="523"/>
      <c r="J2766" s="521"/>
      <c r="K2766" s="522"/>
      <c r="M2766" s="301" t="str">
        <f>N2766&amp;AS[[#This Row],[Insurer Code]]&amp;"; "&amp;O2766&amp;AS[[#This Row],[Reporting Year]]&amp;"; "&amp;P2766&amp;AS[[#This Row],[Insurance Category Code]]&amp;"; "&amp;Q2766&amp;AS[[#This Row],[Large Provider Entity Code]]&amp;"; "&amp;R2766&amp;AS[[#This Row],[Age Band Code]]&amp;"; "&amp;S2766&amp;AS[[#This Row],[Sex Code]]</f>
        <v xml:space="preserve">Insurer Code ; Reporting Year ; Insurance Category Code ; Large Provider Entity Code ; Age Band Code ; Sex Code </v>
      </c>
      <c r="N2766" s="297" t="s">
        <v>197</v>
      </c>
      <c r="O2766" s="297" t="s">
        <v>198</v>
      </c>
      <c r="P2766" s="297" t="s">
        <v>199</v>
      </c>
      <c r="Q2766" s="297" t="s">
        <v>200</v>
      </c>
      <c r="R2766" s="297" t="s">
        <v>213</v>
      </c>
      <c r="S2766" s="297" t="s">
        <v>214</v>
      </c>
    </row>
    <row r="2767" spans="1:19" x14ac:dyDescent="0.4">
      <c r="A2767" s="291"/>
      <c r="B2767" s="292"/>
      <c r="C2767" s="312"/>
      <c r="D2767" s="292"/>
      <c r="E2767" s="489"/>
      <c r="F2767" s="489"/>
      <c r="G2767" s="490"/>
      <c r="H2767" s="520"/>
      <c r="I2767" s="523"/>
      <c r="J2767" s="521"/>
      <c r="K2767" s="522"/>
      <c r="M2767" s="301" t="str">
        <f>N2767&amp;AS[[#This Row],[Insurer Code]]&amp;"; "&amp;O2767&amp;AS[[#This Row],[Reporting Year]]&amp;"; "&amp;P2767&amp;AS[[#This Row],[Insurance Category Code]]&amp;"; "&amp;Q2767&amp;AS[[#This Row],[Large Provider Entity Code]]&amp;"; "&amp;R2767&amp;AS[[#This Row],[Age Band Code]]&amp;"; "&amp;S2767&amp;AS[[#This Row],[Sex Code]]</f>
        <v xml:space="preserve">Insurer Code ; Reporting Year ; Insurance Category Code ; Large Provider Entity Code ; Age Band Code ; Sex Code </v>
      </c>
      <c r="N2767" s="297" t="s">
        <v>197</v>
      </c>
      <c r="O2767" s="297" t="s">
        <v>198</v>
      </c>
      <c r="P2767" s="297" t="s">
        <v>199</v>
      </c>
      <c r="Q2767" s="297" t="s">
        <v>200</v>
      </c>
      <c r="R2767" s="297" t="s">
        <v>213</v>
      </c>
      <c r="S2767" s="297" t="s">
        <v>214</v>
      </c>
    </row>
    <row r="2768" spans="1:19" x14ac:dyDescent="0.4">
      <c r="A2768" s="291"/>
      <c r="B2768" s="292"/>
      <c r="C2768" s="312"/>
      <c r="D2768" s="292"/>
      <c r="E2768" s="489"/>
      <c r="F2768" s="489"/>
      <c r="G2768" s="490"/>
      <c r="H2768" s="520"/>
      <c r="I2768" s="523"/>
      <c r="J2768" s="521"/>
      <c r="K2768" s="522"/>
      <c r="M2768" s="301" t="str">
        <f>N2768&amp;AS[[#This Row],[Insurer Code]]&amp;"; "&amp;O2768&amp;AS[[#This Row],[Reporting Year]]&amp;"; "&amp;P2768&amp;AS[[#This Row],[Insurance Category Code]]&amp;"; "&amp;Q2768&amp;AS[[#This Row],[Large Provider Entity Code]]&amp;"; "&amp;R2768&amp;AS[[#This Row],[Age Band Code]]&amp;"; "&amp;S2768&amp;AS[[#This Row],[Sex Code]]</f>
        <v xml:space="preserve">Insurer Code ; Reporting Year ; Insurance Category Code ; Large Provider Entity Code ; Age Band Code ; Sex Code </v>
      </c>
      <c r="N2768" s="297" t="s">
        <v>197</v>
      </c>
      <c r="O2768" s="297" t="s">
        <v>198</v>
      </c>
      <c r="P2768" s="297" t="s">
        <v>199</v>
      </c>
      <c r="Q2768" s="297" t="s">
        <v>200</v>
      </c>
      <c r="R2768" s="297" t="s">
        <v>213</v>
      </c>
      <c r="S2768" s="297" t="s">
        <v>214</v>
      </c>
    </row>
    <row r="2769" spans="1:19" x14ac:dyDescent="0.4">
      <c r="A2769" s="291"/>
      <c r="B2769" s="292"/>
      <c r="C2769" s="312"/>
      <c r="D2769" s="292"/>
      <c r="E2769" s="489"/>
      <c r="F2769" s="489"/>
      <c r="G2769" s="490"/>
      <c r="H2769" s="520"/>
      <c r="I2769" s="523"/>
      <c r="J2769" s="521"/>
      <c r="K2769" s="522"/>
      <c r="M2769" s="301" t="str">
        <f>N2769&amp;AS[[#This Row],[Insurer Code]]&amp;"; "&amp;O2769&amp;AS[[#This Row],[Reporting Year]]&amp;"; "&amp;P2769&amp;AS[[#This Row],[Insurance Category Code]]&amp;"; "&amp;Q2769&amp;AS[[#This Row],[Large Provider Entity Code]]&amp;"; "&amp;R2769&amp;AS[[#This Row],[Age Band Code]]&amp;"; "&amp;S2769&amp;AS[[#This Row],[Sex Code]]</f>
        <v xml:space="preserve">Insurer Code ; Reporting Year ; Insurance Category Code ; Large Provider Entity Code ; Age Band Code ; Sex Code </v>
      </c>
      <c r="N2769" s="297" t="s">
        <v>197</v>
      </c>
      <c r="O2769" s="297" t="s">
        <v>198</v>
      </c>
      <c r="P2769" s="297" t="s">
        <v>199</v>
      </c>
      <c r="Q2769" s="297" t="s">
        <v>200</v>
      </c>
      <c r="R2769" s="297" t="s">
        <v>213</v>
      </c>
      <c r="S2769" s="297" t="s">
        <v>214</v>
      </c>
    </row>
    <row r="2770" spans="1:19" x14ac:dyDescent="0.4">
      <c r="A2770" s="291"/>
      <c r="B2770" s="292"/>
      <c r="C2770" s="312"/>
      <c r="D2770" s="292"/>
      <c r="E2770" s="489"/>
      <c r="F2770" s="489"/>
      <c r="G2770" s="490"/>
      <c r="H2770" s="520"/>
      <c r="I2770" s="523"/>
      <c r="J2770" s="521"/>
      <c r="K2770" s="522"/>
      <c r="M2770" s="301" t="str">
        <f>N2770&amp;AS[[#This Row],[Insurer Code]]&amp;"; "&amp;O2770&amp;AS[[#This Row],[Reporting Year]]&amp;"; "&amp;P2770&amp;AS[[#This Row],[Insurance Category Code]]&amp;"; "&amp;Q2770&amp;AS[[#This Row],[Large Provider Entity Code]]&amp;"; "&amp;R2770&amp;AS[[#This Row],[Age Band Code]]&amp;"; "&amp;S2770&amp;AS[[#This Row],[Sex Code]]</f>
        <v xml:space="preserve">Insurer Code ; Reporting Year ; Insurance Category Code ; Large Provider Entity Code ; Age Band Code ; Sex Code </v>
      </c>
      <c r="N2770" s="297" t="s">
        <v>197</v>
      </c>
      <c r="O2770" s="297" t="s">
        <v>198</v>
      </c>
      <c r="P2770" s="297" t="s">
        <v>199</v>
      </c>
      <c r="Q2770" s="297" t="s">
        <v>200</v>
      </c>
      <c r="R2770" s="297" t="s">
        <v>213</v>
      </c>
      <c r="S2770" s="297" t="s">
        <v>214</v>
      </c>
    </row>
    <row r="2771" spans="1:19" x14ac:dyDescent="0.4">
      <c r="A2771" s="291"/>
      <c r="B2771" s="292"/>
      <c r="C2771" s="312"/>
      <c r="D2771" s="292"/>
      <c r="E2771" s="489"/>
      <c r="F2771" s="489"/>
      <c r="G2771" s="490"/>
      <c r="H2771" s="520"/>
      <c r="I2771" s="523"/>
      <c r="J2771" s="521"/>
      <c r="K2771" s="522"/>
      <c r="M2771" s="301" t="str">
        <f>N2771&amp;AS[[#This Row],[Insurer Code]]&amp;"; "&amp;O2771&amp;AS[[#This Row],[Reporting Year]]&amp;"; "&amp;P2771&amp;AS[[#This Row],[Insurance Category Code]]&amp;"; "&amp;Q2771&amp;AS[[#This Row],[Large Provider Entity Code]]&amp;"; "&amp;R2771&amp;AS[[#This Row],[Age Band Code]]&amp;"; "&amp;S2771&amp;AS[[#This Row],[Sex Code]]</f>
        <v xml:space="preserve">Insurer Code ; Reporting Year ; Insurance Category Code ; Large Provider Entity Code ; Age Band Code ; Sex Code </v>
      </c>
      <c r="N2771" s="297" t="s">
        <v>197</v>
      </c>
      <c r="O2771" s="297" t="s">
        <v>198</v>
      </c>
      <c r="P2771" s="297" t="s">
        <v>199</v>
      </c>
      <c r="Q2771" s="297" t="s">
        <v>200</v>
      </c>
      <c r="R2771" s="297" t="s">
        <v>213</v>
      </c>
      <c r="S2771" s="297" t="s">
        <v>214</v>
      </c>
    </row>
    <row r="2772" spans="1:19" x14ac:dyDescent="0.4">
      <c r="A2772" s="291"/>
      <c r="B2772" s="292"/>
      <c r="C2772" s="312"/>
      <c r="D2772" s="292"/>
      <c r="E2772" s="489"/>
      <c r="F2772" s="489"/>
      <c r="G2772" s="490"/>
      <c r="H2772" s="520"/>
      <c r="I2772" s="523"/>
      <c r="J2772" s="521"/>
      <c r="K2772" s="522"/>
      <c r="M2772" s="301" t="str">
        <f>N2772&amp;AS[[#This Row],[Insurer Code]]&amp;"; "&amp;O2772&amp;AS[[#This Row],[Reporting Year]]&amp;"; "&amp;P2772&amp;AS[[#This Row],[Insurance Category Code]]&amp;"; "&amp;Q2772&amp;AS[[#This Row],[Large Provider Entity Code]]&amp;"; "&amp;R2772&amp;AS[[#This Row],[Age Band Code]]&amp;"; "&amp;S2772&amp;AS[[#This Row],[Sex Code]]</f>
        <v xml:space="preserve">Insurer Code ; Reporting Year ; Insurance Category Code ; Large Provider Entity Code ; Age Band Code ; Sex Code </v>
      </c>
      <c r="N2772" s="297" t="s">
        <v>197</v>
      </c>
      <c r="O2772" s="297" t="s">
        <v>198</v>
      </c>
      <c r="P2772" s="297" t="s">
        <v>199</v>
      </c>
      <c r="Q2772" s="297" t="s">
        <v>200</v>
      </c>
      <c r="R2772" s="297" t="s">
        <v>213</v>
      </c>
      <c r="S2772" s="297" t="s">
        <v>214</v>
      </c>
    </row>
    <row r="2773" spans="1:19" x14ac:dyDescent="0.4">
      <c r="A2773" s="291"/>
      <c r="B2773" s="292"/>
      <c r="C2773" s="312"/>
      <c r="D2773" s="292"/>
      <c r="E2773" s="489"/>
      <c r="F2773" s="489"/>
      <c r="G2773" s="490"/>
      <c r="H2773" s="520"/>
      <c r="I2773" s="523"/>
      <c r="J2773" s="521"/>
      <c r="K2773" s="522"/>
      <c r="M2773" s="301" t="str">
        <f>N2773&amp;AS[[#This Row],[Insurer Code]]&amp;"; "&amp;O2773&amp;AS[[#This Row],[Reporting Year]]&amp;"; "&amp;P2773&amp;AS[[#This Row],[Insurance Category Code]]&amp;"; "&amp;Q2773&amp;AS[[#This Row],[Large Provider Entity Code]]&amp;"; "&amp;R2773&amp;AS[[#This Row],[Age Band Code]]&amp;"; "&amp;S2773&amp;AS[[#This Row],[Sex Code]]</f>
        <v xml:space="preserve">Insurer Code ; Reporting Year ; Insurance Category Code ; Large Provider Entity Code ; Age Band Code ; Sex Code </v>
      </c>
      <c r="N2773" s="297" t="s">
        <v>197</v>
      </c>
      <c r="O2773" s="297" t="s">
        <v>198</v>
      </c>
      <c r="P2773" s="297" t="s">
        <v>199</v>
      </c>
      <c r="Q2773" s="297" t="s">
        <v>200</v>
      </c>
      <c r="R2773" s="297" t="s">
        <v>213</v>
      </c>
      <c r="S2773" s="297" t="s">
        <v>214</v>
      </c>
    </row>
    <row r="2774" spans="1:19" x14ac:dyDescent="0.4">
      <c r="A2774" s="291"/>
      <c r="B2774" s="292"/>
      <c r="C2774" s="312"/>
      <c r="D2774" s="292"/>
      <c r="E2774" s="489"/>
      <c r="F2774" s="489"/>
      <c r="G2774" s="490"/>
      <c r="H2774" s="520"/>
      <c r="I2774" s="523"/>
      <c r="J2774" s="521"/>
      <c r="K2774" s="522"/>
      <c r="M2774" s="301" t="str">
        <f>N2774&amp;AS[[#This Row],[Insurer Code]]&amp;"; "&amp;O2774&amp;AS[[#This Row],[Reporting Year]]&amp;"; "&amp;P2774&amp;AS[[#This Row],[Insurance Category Code]]&amp;"; "&amp;Q2774&amp;AS[[#This Row],[Large Provider Entity Code]]&amp;"; "&amp;R2774&amp;AS[[#This Row],[Age Band Code]]&amp;"; "&amp;S2774&amp;AS[[#This Row],[Sex Code]]</f>
        <v xml:space="preserve">Insurer Code ; Reporting Year ; Insurance Category Code ; Large Provider Entity Code ; Age Band Code ; Sex Code </v>
      </c>
      <c r="N2774" s="297" t="s">
        <v>197</v>
      </c>
      <c r="O2774" s="297" t="s">
        <v>198</v>
      </c>
      <c r="P2774" s="297" t="s">
        <v>199</v>
      </c>
      <c r="Q2774" s="297" t="s">
        <v>200</v>
      </c>
      <c r="R2774" s="297" t="s">
        <v>213</v>
      </c>
      <c r="S2774" s="297" t="s">
        <v>214</v>
      </c>
    </row>
    <row r="2775" spans="1:19" x14ac:dyDescent="0.4">
      <c r="A2775" s="291"/>
      <c r="B2775" s="292"/>
      <c r="C2775" s="312"/>
      <c r="D2775" s="292"/>
      <c r="E2775" s="489"/>
      <c r="F2775" s="489"/>
      <c r="G2775" s="490"/>
      <c r="H2775" s="520"/>
      <c r="I2775" s="523"/>
      <c r="J2775" s="521"/>
      <c r="K2775" s="522"/>
      <c r="M2775" s="301" t="str">
        <f>N2775&amp;AS[[#This Row],[Insurer Code]]&amp;"; "&amp;O2775&amp;AS[[#This Row],[Reporting Year]]&amp;"; "&amp;P2775&amp;AS[[#This Row],[Insurance Category Code]]&amp;"; "&amp;Q2775&amp;AS[[#This Row],[Large Provider Entity Code]]&amp;"; "&amp;R2775&amp;AS[[#This Row],[Age Band Code]]&amp;"; "&amp;S2775&amp;AS[[#This Row],[Sex Code]]</f>
        <v xml:space="preserve">Insurer Code ; Reporting Year ; Insurance Category Code ; Large Provider Entity Code ; Age Band Code ; Sex Code </v>
      </c>
      <c r="N2775" s="297" t="s">
        <v>197</v>
      </c>
      <c r="O2775" s="297" t="s">
        <v>198</v>
      </c>
      <c r="P2775" s="297" t="s">
        <v>199</v>
      </c>
      <c r="Q2775" s="297" t="s">
        <v>200</v>
      </c>
      <c r="R2775" s="297" t="s">
        <v>213</v>
      </c>
      <c r="S2775" s="297" t="s">
        <v>214</v>
      </c>
    </row>
    <row r="2776" spans="1:19" x14ac:dyDescent="0.4">
      <c r="A2776" s="291"/>
      <c r="B2776" s="292"/>
      <c r="C2776" s="312"/>
      <c r="D2776" s="292"/>
      <c r="E2776" s="489"/>
      <c r="F2776" s="489"/>
      <c r="G2776" s="490"/>
      <c r="H2776" s="520"/>
      <c r="I2776" s="523"/>
      <c r="J2776" s="521"/>
      <c r="K2776" s="522"/>
      <c r="M2776" s="301" t="str">
        <f>N2776&amp;AS[[#This Row],[Insurer Code]]&amp;"; "&amp;O2776&amp;AS[[#This Row],[Reporting Year]]&amp;"; "&amp;P2776&amp;AS[[#This Row],[Insurance Category Code]]&amp;"; "&amp;Q2776&amp;AS[[#This Row],[Large Provider Entity Code]]&amp;"; "&amp;R2776&amp;AS[[#This Row],[Age Band Code]]&amp;"; "&amp;S2776&amp;AS[[#This Row],[Sex Code]]</f>
        <v xml:space="preserve">Insurer Code ; Reporting Year ; Insurance Category Code ; Large Provider Entity Code ; Age Band Code ; Sex Code </v>
      </c>
      <c r="N2776" s="297" t="s">
        <v>197</v>
      </c>
      <c r="O2776" s="297" t="s">
        <v>198</v>
      </c>
      <c r="P2776" s="297" t="s">
        <v>199</v>
      </c>
      <c r="Q2776" s="297" t="s">
        <v>200</v>
      </c>
      <c r="R2776" s="297" t="s">
        <v>213</v>
      </c>
      <c r="S2776" s="297" t="s">
        <v>214</v>
      </c>
    </row>
    <row r="2777" spans="1:19" x14ac:dyDescent="0.4">
      <c r="A2777" s="291"/>
      <c r="B2777" s="292"/>
      <c r="C2777" s="312"/>
      <c r="D2777" s="292"/>
      <c r="E2777" s="489"/>
      <c r="F2777" s="489"/>
      <c r="G2777" s="490"/>
      <c r="H2777" s="520"/>
      <c r="I2777" s="523"/>
      <c r="J2777" s="521"/>
      <c r="K2777" s="522"/>
      <c r="M2777" s="301" t="str">
        <f>N2777&amp;AS[[#This Row],[Insurer Code]]&amp;"; "&amp;O2777&amp;AS[[#This Row],[Reporting Year]]&amp;"; "&amp;P2777&amp;AS[[#This Row],[Insurance Category Code]]&amp;"; "&amp;Q2777&amp;AS[[#This Row],[Large Provider Entity Code]]&amp;"; "&amp;R2777&amp;AS[[#This Row],[Age Band Code]]&amp;"; "&amp;S2777&amp;AS[[#This Row],[Sex Code]]</f>
        <v xml:space="preserve">Insurer Code ; Reporting Year ; Insurance Category Code ; Large Provider Entity Code ; Age Band Code ; Sex Code </v>
      </c>
      <c r="N2777" s="297" t="s">
        <v>197</v>
      </c>
      <c r="O2777" s="297" t="s">
        <v>198</v>
      </c>
      <c r="P2777" s="297" t="s">
        <v>199</v>
      </c>
      <c r="Q2777" s="297" t="s">
        <v>200</v>
      </c>
      <c r="R2777" s="297" t="s">
        <v>213</v>
      </c>
      <c r="S2777" s="297" t="s">
        <v>214</v>
      </c>
    </row>
    <row r="2778" spans="1:19" x14ac:dyDescent="0.4">
      <c r="A2778" s="291"/>
      <c r="B2778" s="292"/>
      <c r="C2778" s="312"/>
      <c r="D2778" s="292"/>
      <c r="E2778" s="489"/>
      <c r="F2778" s="489"/>
      <c r="G2778" s="490"/>
      <c r="H2778" s="520"/>
      <c r="I2778" s="523"/>
      <c r="J2778" s="521"/>
      <c r="K2778" s="522"/>
      <c r="M2778" s="301" t="str">
        <f>N2778&amp;AS[[#This Row],[Insurer Code]]&amp;"; "&amp;O2778&amp;AS[[#This Row],[Reporting Year]]&amp;"; "&amp;P2778&amp;AS[[#This Row],[Insurance Category Code]]&amp;"; "&amp;Q2778&amp;AS[[#This Row],[Large Provider Entity Code]]&amp;"; "&amp;R2778&amp;AS[[#This Row],[Age Band Code]]&amp;"; "&amp;S2778&amp;AS[[#This Row],[Sex Code]]</f>
        <v xml:space="preserve">Insurer Code ; Reporting Year ; Insurance Category Code ; Large Provider Entity Code ; Age Band Code ; Sex Code </v>
      </c>
      <c r="N2778" s="297" t="s">
        <v>197</v>
      </c>
      <c r="O2778" s="297" t="s">
        <v>198</v>
      </c>
      <c r="P2778" s="297" t="s">
        <v>199</v>
      </c>
      <c r="Q2778" s="297" t="s">
        <v>200</v>
      </c>
      <c r="R2778" s="297" t="s">
        <v>213</v>
      </c>
      <c r="S2778" s="297" t="s">
        <v>214</v>
      </c>
    </row>
    <row r="2779" spans="1:19" x14ac:dyDescent="0.4">
      <c r="A2779" s="291"/>
      <c r="B2779" s="292"/>
      <c r="C2779" s="312"/>
      <c r="D2779" s="292"/>
      <c r="E2779" s="489"/>
      <c r="F2779" s="489"/>
      <c r="G2779" s="490"/>
      <c r="H2779" s="520"/>
      <c r="I2779" s="523"/>
      <c r="J2779" s="521"/>
      <c r="K2779" s="522"/>
      <c r="M2779" s="301" t="str">
        <f>N2779&amp;AS[[#This Row],[Insurer Code]]&amp;"; "&amp;O2779&amp;AS[[#This Row],[Reporting Year]]&amp;"; "&amp;P2779&amp;AS[[#This Row],[Insurance Category Code]]&amp;"; "&amp;Q2779&amp;AS[[#This Row],[Large Provider Entity Code]]&amp;"; "&amp;R2779&amp;AS[[#This Row],[Age Band Code]]&amp;"; "&amp;S2779&amp;AS[[#This Row],[Sex Code]]</f>
        <v xml:space="preserve">Insurer Code ; Reporting Year ; Insurance Category Code ; Large Provider Entity Code ; Age Band Code ; Sex Code </v>
      </c>
      <c r="N2779" s="297" t="s">
        <v>197</v>
      </c>
      <c r="O2779" s="297" t="s">
        <v>198</v>
      </c>
      <c r="P2779" s="297" t="s">
        <v>199</v>
      </c>
      <c r="Q2779" s="297" t="s">
        <v>200</v>
      </c>
      <c r="R2779" s="297" t="s">
        <v>213</v>
      </c>
      <c r="S2779" s="297" t="s">
        <v>214</v>
      </c>
    </row>
    <row r="2780" spans="1:19" x14ac:dyDescent="0.4">
      <c r="A2780" s="291"/>
      <c r="B2780" s="292"/>
      <c r="C2780" s="312"/>
      <c r="D2780" s="292"/>
      <c r="E2780" s="489"/>
      <c r="F2780" s="489"/>
      <c r="G2780" s="490"/>
      <c r="H2780" s="520"/>
      <c r="I2780" s="523"/>
      <c r="J2780" s="521"/>
      <c r="K2780" s="522"/>
      <c r="M2780" s="301" t="str">
        <f>N2780&amp;AS[[#This Row],[Insurer Code]]&amp;"; "&amp;O2780&amp;AS[[#This Row],[Reporting Year]]&amp;"; "&amp;P2780&amp;AS[[#This Row],[Insurance Category Code]]&amp;"; "&amp;Q2780&amp;AS[[#This Row],[Large Provider Entity Code]]&amp;"; "&amp;R2780&amp;AS[[#This Row],[Age Band Code]]&amp;"; "&amp;S2780&amp;AS[[#This Row],[Sex Code]]</f>
        <v xml:space="preserve">Insurer Code ; Reporting Year ; Insurance Category Code ; Large Provider Entity Code ; Age Band Code ; Sex Code </v>
      </c>
      <c r="N2780" s="297" t="s">
        <v>197</v>
      </c>
      <c r="O2780" s="297" t="s">
        <v>198</v>
      </c>
      <c r="P2780" s="297" t="s">
        <v>199</v>
      </c>
      <c r="Q2780" s="297" t="s">
        <v>200</v>
      </c>
      <c r="R2780" s="297" t="s">
        <v>213</v>
      </c>
      <c r="S2780" s="297" t="s">
        <v>214</v>
      </c>
    </row>
    <row r="2781" spans="1:19" x14ac:dyDescent="0.4">
      <c r="A2781" s="291"/>
      <c r="B2781" s="292"/>
      <c r="C2781" s="312"/>
      <c r="D2781" s="292"/>
      <c r="E2781" s="489"/>
      <c r="F2781" s="489"/>
      <c r="G2781" s="490"/>
      <c r="H2781" s="520"/>
      <c r="I2781" s="523"/>
      <c r="J2781" s="521"/>
      <c r="K2781" s="522"/>
      <c r="M2781" s="301" t="str">
        <f>N2781&amp;AS[[#This Row],[Insurer Code]]&amp;"; "&amp;O2781&amp;AS[[#This Row],[Reporting Year]]&amp;"; "&amp;P2781&amp;AS[[#This Row],[Insurance Category Code]]&amp;"; "&amp;Q2781&amp;AS[[#This Row],[Large Provider Entity Code]]&amp;"; "&amp;R2781&amp;AS[[#This Row],[Age Band Code]]&amp;"; "&amp;S2781&amp;AS[[#This Row],[Sex Code]]</f>
        <v xml:space="preserve">Insurer Code ; Reporting Year ; Insurance Category Code ; Large Provider Entity Code ; Age Band Code ; Sex Code </v>
      </c>
      <c r="N2781" s="297" t="s">
        <v>197</v>
      </c>
      <c r="O2781" s="297" t="s">
        <v>198</v>
      </c>
      <c r="P2781" s="297" t="s">
        <v>199</v>
      </c>
      <c r="Q2781" s="297" t="s">
        <v>200</v>
      </c>
      <c r="R2781" s="297" t="s">
        <v>213</v>
      </c>
      <c r="S2781" s="297" t="s">
        <v>214</v>
      </c>
    </row>
    <row r="2782" spans="1:19" x14ac:dyDescent="0.4">
      <c r="A2782" s="291"/>
      <c r="B2782" s="292"/>
      <c r="C2782" s="312"/>
      <c r="D2782" s="292"/>
      <c r="E2782" s="489"/>
      <c r="F2782" s="489"/>
      <c r="G2782" s="490"/>
      <c r="H2782" s="520"/>
      <c r="I2782" s="523"/>
      <c r="J2782" s="521"/>
      <c r="K2782" s="522"/>
      <c r="M2782" s="301" t="str">
        <f>N2782&amp;AS[[#This Row],[Insurer Code]]&amp;"; "&amp;O2782&amp;AS[[#This Row],[Reporting Year]]&amp;"; "&amp;P2782&amp;AS[[#This Row],[Insurance Category Code]]&amp;"; "&amp;Q2782&amp;AS[[#This Row],[Large Provider Entity Code]]&amp;"; "&amp;R2782&amp;AS[[#This Row],[Age Band Code]]&amp;"; "&amp;S2782&amp;AS[[#This Row],[Sex Code]]</f>
        <v xml:space="preserve">Insurer Code ; Reporting Year ; Insurance Category Code ; Large Provider Entity Code ; Age Band Code ; Sex Code </v>
      </c>
      <c r="N2782" s="297" t="s">
        <v>197</v>
      </c>
      <c r="O2782" s="297" t="s">
        <v>198</v>
      </c>
      <c r="P2782" s="297" t="s">
        <v>199</v>
      </c>
      <c r="Q2782" s="297" t="s">
        <v>200</v>
      </c>
      <c r="R2782" s="297" t="s">
        <v>213</v>
      </c>
      <c r="S2782" s="297" t="s">
        <v>214</v>
      </c>
    </row>
    <row r="2783" spans="1:19" x14ac:dyDescent="0.4">
      <c r="A2783" s="291"/>
      <c r="B2783" s="292"/>
      <c r="C2783" s="312"/>
      <c r="D2783" s="292"/>
      <c r="E2783" s="489"/>
      <c r="F2783" s="489"/>
      <c r="G2783" s="490"/>
      <c r="H2783" s="520"/>
      <c r="I2783" s="523"/>
      <c r="J2783" s="521"/>
      <c r="K2783" s="522"/>
      <c r="M2783" s="301" t="str">
        <f>N2783&amp;AS[[#This Row],[Insurer Code]]&amp;"; "&amp;O2783&amp;AS[[#This Row],[Reporting Year]]&amp;"; "&amp;P2783&amp;AS[[#This Row],[Insurance Category Code]]&amp;"; "&amp;Q2783&amp;AS[[#This Row],[Large Provider Entity Code]]&amp;"; "&amp;R2783&amp;AS[[#This Row],[Age Band Code]]&amp;"; "&amp;S2783&amp;AS[[#This Row],[Sex Code]]</f>
        <v xml:space="preserve">Insurer Code ; Reporting Year ; Insurance Category Code ; Large Provider Entity Code ; Age Band Code ; Sex Code </v>
      </c>
      <c r="N2783" s="297" t="s">
        <v>197</v>
      </c>
      <c r="O2783" s="297" t="s">
        <v>198</v>
      </c>
      <c r="P2783" s="297" t="s">
        <v>199</v>
      </c>
      <c r="Q2783" s="297" t="s">
        <v>200</v>
      </c>
      <c r="R2783" s="297" t="s">
        <v>213</v>
      </c>
      <c r="S2783" s="297" t="s">
        <v>214</v>
      </c>
    </row>
    <row r="2784" spans="1:19" x14ac:dyDescent="0.4">
      <c r="A2784" s="291"/>
      <c r="B2784" s="292"/>
      <c r="C2784" s="312"/>
      <c r="D2784" s="292"/>
      <c r="E2784" s="489"/>
      <c r="F2784" s="489"/>
      <c r="G2784" s="490"/>
      <c r="H2784" s="520"/>
      <c r="I2784" s="523"/>
      <c r="J2784" s="521"/>
      <c r="K2784" s="522"/>
      <c r="M2784" s="301" t="str">
        <f>N2784&amp;AS[[#This Row],[Insurer Code]]&amp;"; "&amp;O2784&amp;AS[[#This Row],[Reporting Year]]&amp;"; "&amp;P2784&amp;AS[[#This Row],[Insurance Category Code]]&amp;"; "&amp;Q2784&amp;AS[[#This Row],[Large Provider Entity Code]]&amp;"; "&amp;R2784&amp;AS[[#This Row],[Age Band Code]]&amp;"; "&amp;S2784&amp;AS[[#This Row],[Sex Code]]</f>
        <v xml:space="preserve">Insurer Code ; Reporting Year ; Insurance Category Code ; Large Provider Entity Code ; Age Band Code ; Sex Code </v>
      </c>
      <c r="N2784" s="297" t="s">
        <v>197</v>
      </c>
      <c r="O2784" s="297" t="s">
        <v>198</v>
      </c>
      <c r="P2784" s="297" t="s">
        <v>199</v>
      </c>
      <c r="Q2784" s="297" t="s">
        <v>200</v>
      </c>
      <c r="R2784" s="297" t="s">
        <v>213</v>
      </c>
      <c r="S2784" s="297" t="s">
        <v>214</v>
      </c>
    </row>
    <row r="2785" spans="1:19" x14ac:dyDescent="0.4">
      <c r="A2785" s="291"/>
      <c r="B2785" s="292"/>
      <c r="C2785" s="312"/>
      <c r="D2785" s="292"/>
      <c r="E2785" s="489"/>
      <c r="F2785" s="489"/>
      <c r="G2785" s="490"/>
      <c r="H2785" s="520"/>
      <c r="I2785" s="523"/>
      <c r="J2785" s="521"/>
      <c r="K2785" s="522"/>
      <c r="M2785" s="301" t="str">
        <f>N2785&amp;AS[[#This Row],[Insurer Code]]&amp;"; "&amp;O2785&amp;AS[[#This Row],[Reporting Year]]&amp;"; "&amp;P2785&amp;AS[[#This Row],[Insurance Category Code]]&amp;"; "&amp;Q2785&amp;AS[[#This Row],[Large Provider Entity Code]]&amp;"; "&amp;R2785&amp;AS[[#This Row],[Age Band Code]]&amp;"; "&amp;S2785&amp;AS[[#This Row],[Sex Code]]</f>
        <v xml:space="preserve">Insurer Code ; Reporting Year ; Insurance Category Code ; Large Provider Entity Code ; Age Band Code ; Sex Code </v>
      </c>
      <c r="N2785" s="297" t="s">
        <v>197</v>
      </c>
      <c r="O2785" s="297" t="s">
        <v>198</v>
      </c>
      <c r="P2785" s="297" t="s">
        <v>199</v>
      </c>
      <c r="Q2785" s="297" t="s">
        <v>200</v>
      </c>
      <c r="R2785" s="297" t="s">
        <v>213</v>
      </c>
      <c r="S2785" s="297" t="s">
        <v>214</v>
      </c>
    </row>
    <row r="2786" spans="1:19" x14ac:dyDescent="0.4">
      <c r="A2786" s="291"/>
      <c r="B2786" s="292"/>
      <c r="C2786" s="312"/>
      <c r="D2786" s="292"/>
      <c r="E2786" s="489"/>
      <c r="F2786" s="489"/>
      <c r="G2786" s="490"/>
      <c r="H2786" s="520"/>
      <c r="I2786" s="523"/>
      <c r="J2786" s="521"/>
      <c r="K2786" s="522"/>
      <c r="M2786" s="301" t="str">
        <f>N2786&amp;AS[[#This Row],[Insurer Code]]&amp;"; "&amp;O2786&amp;AS[[#This Row],[Reporting Year]]&amp;"; "&amp;P2786&amp;AS[[#This Row],[Insurance Category Code]]&amp;"; "&amp;Q2786&amp;AS[[#This Row],[Large Provider Entity Code]]&amp;"; "&amp;R2786&amp;AS[[#This Row],[Age Band Code]]&amp;"; "&amp;S2786&amp;AS[[#This Row],[Sex Code]]</f>
        <v xml:space="preserve">Insurer Code ; Reporting Year ; Insurance Category Code ; Large Provider Entity Code ; Age Band Code ; Sex Code </v>
      </c>
      <c r="N2786" s="297" t="s">
        <v>197</v>
      </c>
      <c r="O2786" s="297" t="s">
        <v>198</v>
      </c>
      <c r="P2786" s="297" t="s">
        <v>199</v>
      </c>
      <c r="Q2786" s="297" t="s">
        <v>200</v>
      </c>
      <c r="R2786" s="297" t="s">
        <v>213</v>
      </c>
      <c r="S2786" s="297" t="s">
        <v>214</v>
      </c>
    </row>
    <row r="2787" spans="1:19" x14ac:dyDescent="0.4">
      <c r="A2787" s="291"/>
      <c r="B2787" s="292"/>
      <c r="C2787" s="312"/>
      <c r="D2787" s="292"/>
      <c r="E2787" s="489"/>
      <c r="F2787" s="489"/>
      <c r="G2787" s="490"/>
      <c r="H2787" s="520"/>
      <c r="I2787" s="523"/>
      <c r="J2787" s="521"/>
      <c r="K2787" s="522"/>
      <c r="M2787" s="301" t="str">
        <f>N2787&amp;AS[[#This Row],[Insurer Code]]&amp;"; "&amp;O2787&amp;AS[[#This Row],[Reporting Year]]&amp;"; "&amp;P2787&amp;AS[[#This Row],[Insurance Category Code]]&amp;"; "&amp;Q2787&amp;AS[[#This Row],[Large Provider Entity Code]]&amp;"; "&amp;R2787&amp;AS[[#This Row],[Age Band Code]]&amp;"; "&amp;S2787&amp;AS[[#This Row],[Sex Code]]</f>
        <v xml:space="preserve">Insurer Code ; Reporting Year ; Insurance Category Code ; Large Provider Entity Code ; Age Band Code ; Sex Code </v>
      </c>
      <c r="N2787" s="297" t="s">
        <v>197</v>
      </c>
      <c r="O2787" s="297" t="s">
        <v>198</v>
      </c>
      <c r="P2787" s="297" t="s">
        <v>199</v>
      </c>
      <c r="Q2787" s="297" t="s">
        <v>200</v>
      </c>
      <c r="R2787" s="297" t="s">
        <v>213</v>
      </c>
      <c r="S2787" s="297" t="s">
        <v>214</v>
      </c>
    </row>
    <row r="2788" spans="1:19" x14ac:dyDescent="0.4">
      <c r="A2788" s="291"/>
      <c r="B2788" s="292"/>
      <c r="C2788" s="312"/>
      <c r="D2788" s="292"/>
      <c r="E2788" s="489"/>
      <c r="F2788" s="489"/>
      <c r="G2788" s="490"/>
      <c r="H2788" s="520"/>
      <c r="I2788" s="523"/>
      <c r="J2788" s="521"/>
      <c r="K2788" s="522"/>
      <c r="M2788" s="301" t="str">
        <f>N2788&amp;AS[[#This Row],[Insurer Code]]&amp;"; "&amp;O2788&amp;AS[[#This Row],[Reporting Year]]&amp;"; "&amp;P2788&amp;AS[[#This Row],[Insurance Category Code]]&amp;"; "&amp;Q2788&amp;AS[[#This Row],[Large Provider Entity Code]]&amp;"; "&amp;R2788&amp;AS[[#This Row],[Age Band Code]]&amp;"; "&amp;S2788&amp;AS[[#This Row],[Sex Code]]</f>
        <v xml:space="preserve">Insurer Code ; Reporting Year ; Insurance Category Code ; Large Provider Entity Code ; Age Band Code ; Sex Code </v>
      </c>
      <c r="N2788" s="297" t="s">
        <v>197</v>
      </c>
      <c r="O2788" s="297" t="s">
        <v>198</v>
      </c>
      <c r="P2788" s="297" t="s">
        <v>199</v>
      </c>
      <c r="Q2788" s="297" t="s">
        <v>200</v>
      </c>
      <c r="R2788" s="297" t="s">
        <v>213</v>
      </c>
      <c r="S2788" s="297" t="s">
        <v>214</v>
      </c>
    </row>
    <row r="2789" spans="1:19" x14ac:dyDescent="0.4">
      <c r="A2789" s="291"/>
      <c r="B2789" s="292"/>
      <c r="C2789" s="312"/>
      <c r="D2789" s="292"/>
      <c r="E2789" s="489"/>
      <c r="F2789" s="489"/>
      <c r="G2789" s="490"/>
      <c r="H2789" s="520"/>
      <c r="I2789" s="523"/>
      <c r="J2789" s="521"/>
      <c r="K2789" s="522"/>
      <c r="M2789" s="301" t="str">
        <f>N2789&amp;AS[[#This Row],[Insurer Code]]&amp;"; "&amp;O2789&amp;AS[[#This Row],[Reporting Year]]&amp;"; "&amp;P2789&amp;AS[[#This Row],[Insurance Category Code]]&amp;"; "&amp;Q2789&amp;AS[[#This Row],[Large Provider Entity Code]]&amp;"; "&amp;R2789&amp;AS[[#This Row],[Age Band Code]]&amp;"; "&amp;S2789&amp;AS[[#This Row],[Sex Code]]</f>
        <v xml:space="preserve">Insurer Code ; Reporting Year ; Insurance Category Code ; Large Provider Entity Code ; Age Band Code ; Sex Code </v>
      </c>
      <c r="N2789" s="297" t="s">
        <v>197</v>
      </c>
      <c r="O2789" s="297" t="s">
        <v>198</v>
      </c>
      <c r="P2789" s="297" t="s">
        <v>199</v>
      </c>
      <c r="Q2789" s="297" t="s">
        <v>200</v>
      </c>
      <c r="R2789" s="297" t="s">
        <v>213</v>
      </c>
      <c r="S2789" s="297" t="s">
        <v>214</v>
      </c>
    </row>
    <row r="2790" spans="1:19" x14ac:dyDescent="0.4">
      <c r="A2790" s="291"/>
      <c r="B2790" s="292"/>
      <c r="C2790" s="312"/>
      <c r="D2790" s="292"/>
      <c r="E2790" s="489"/>
      <c r="F2790" s="489"/>
      <c r="G2790" s="490"/>
      <c r="H2790" s="520"/>
      <c r="I2790" s="523"/>
      <c r="J2790" s="521"/>
      <c r="K2790" s="522"/>
      <c r="M2790" s="301" t="str">
        <f>N2790&amp;AS[[#This Row],[Insurer Code]]&amp;"; "&amp;O2790&amp;AS[[#This Row],[Reporting Year]]&amp;"; "&amp;P2790&amp;AS[[#This Row],[Insurance Category Code]]&amp;"; "&amp;Q2790&amp;AS[[#This Row],[Large Provider Entity Code]]&amp;"; "&amp;R2790&amp;AS[[#This Row],[Age Band Code]]&amp;"; "&amp;S2790&amp;AS[[#This Row],[Sex Code]]</f>
        <v xml:space="preserve">Insurer Code ; Reporting Year ; Insurance Category Code ; Large Provider Entity Code ; Age Band Code ; Sex Code </v>
      </c>
      <c r="N2790" s="297" t="s">
        <v>197</v>
      </c>
      <c r="O2790" s="297" t="s">
        <v>198</v>
      </c>
      <c r="P2790" s="297" t="s">
        <v>199</v>
      </c>
      <c r="Q2790" s="297" t="s">
        <v>200</v>
      </c>
      <c r="R2790" s="297" t="s">
        <v>213</v>
      </c>
      <c r="S2790" s="297" t="s">
        <v>214</v>
      </c>
    </row>
    <row r="2791" spans="1:19" x14ac:dyDescent="0.4">
      <c r="A2791" s="291"/>
      <c r="B2791" s="292"/>
      <c r="C2791" s="312"/>
      <c r="D2791" s="292"/>
      <c r="E2791" s="489"/>
      <c r="F2791" s="489"/>
      <c r="G2791" s="490"/>
      <c r="H2791" s="520"/>
      <c r="I2791" s="523"/>
      <c r="J2791" s="521"/>
      <c r="K2791" s="522"/>
      <c r="M2791" s="301" t="str">
        <f>N2791&amp;AS[[#This Row],[Insurer Code]]&amp;"; "&amp;O2791&amp;AS[[#This Row],[Reporting Year]]&amp;"; "&amp;P2791&amp;AS[[#This Row],[Insurance Category Code]]&amp;"; "&amp;Q2791&amp;AS[[#This Row],[Large Provider Entity Code]]&amp;"; "&amp;R2791&amp;AS[[#This Row],[Age Band Code]]&amp;"; "&amp;S2791&amp;AS[[#This Row],[Sex Code]]</f>
        <v xml:space="preserve">Insurer Code ; Reporting Year ; Insurance Category Code ; Large Provider Entity Code ; Age Band Code ; Sex Code </v>
      </c>
      <c r="N2791" s="297" t="s">
        <v>197</v>
      </c>
      <c r="O2791" s="297" t="s">
        <v>198</v>
      </c>
      <c r="P2791" s="297" t="s">
        <v>199</v>
      </c>
      <c r="Q2791" s="297" t="s">
        <v>200</v>
      </c>
      <c r="R2791" s="297" t="s">
        <v>213</v>
      </c>
      <c r="S2791" s="297" t="s">
        <v>214</v>
      </c>
    </row>
    <row r="2792" spans="1:19" x14ac:dyDescent="0.4">
      <c r="A2792" s="291"/>
      <c r="B2792" s="292"/>
      <c r="C2792" s="312"/>
      <c r="D2792" s="292"/>
      <c r="E2792" s="489"/>
      <c r="F2792" s="489"/>
      <c r="G2792" s="490"/>
      <c r="H2792" s="520"/>
      <c r="I2792" s="523"/>
      <c r="J2792" s="521"/>
      <c r="K2792" s="522"/>
      <c r="M2792" s="301" t="str">
        <f>N2792&amp;AS[[#This Row],[Insurer Code]]&amp;"; "&amp;O2792&amp;AS[[#This Row],[Reporting Year]]&amp;"; "&amp;P2792&amp;AS[[#This Row],[Insurance Category Code]]&amp;"; "&amp;Q2792&amp;AS[[#This Row],[Large Provider Entity Code]]&amp;"; "&amp;R2792&amp;AS[[#This Row],[Age Band Code]]&amp;"; "&amp;S2792&amp;AS[[#This Row],[Sex Code]]</f>
        <v xml:space="preserve">Insurer Code ; Reporting Year ; Insurance Category Code ; Large Provider Entity Code ; Age Band Code ; Sex Code </v>
      </c>
      <c r="N2792" s="297" t="s">
        <v>197</v>
      </c>
      <c r="O2792" s="297" t="s">
        <v>198</v>
      </c>
      <c r="P2792" s="297" t="s">
        <v>199</v>
      </c>
      <c r="Q2792" s="297" t="s">
        <v>200</v>
      </c>
      <c r="R2792" s="297" t="s">
        <v>213</v>
      </c>
      <c r="S2792" s="297" t="s">
        <v>214</v>
      </c>
    </row>
    <row r="2793" spans="1:19" x14ac:dyDescent="0.4">
      <c r="A2793" s="291"/>
      <c r="B2793" s="292"/>
      <c r="C2793" s="312"/>
      <c r="D2793" s="292"/>
      <c r="E2793" s="489"/>
      <c r="F2793" s="489"/>
      <c r="G2793" s="490"/>
      <c r="H2793" s="520"/>
      <c r="I2793" s="523"/>
      <c r="J2793" s="521"/>
      <c r="K2793" s="522"/>
      <c r="M2793" s="301" t="str">
        <f>N2793&amp;AS[[#This Row],[Insurer Code]]&amp;"; "&amp;O2793&amp;AS[[#This Row],[Reporting Year]]&amp;"; "&amp;P2793&amp;AS[[#This Row],[Insurance Category Code]]&amp;"; "&amp;Q2793&amp;AS[[#This Row],[Large Provider Entity Code]]&amp;"; "&amp;R2793&amp;AS[[#This Row],[Age Band Code]]&amp;"; "&amp;S2793&amp;AS[[#This Row],[Sex Code]]</f>
        <v xml:space="preserve">Insurer Code ; Reporting Year ; Insurance Category Code ; Large Provider Entity Code ; Age Band Code ; Sex Code </v>
      </c>
      <c r="N2793" s="297" t="s">
        <v>197</v>
      </c>
      <c r="O2793" s="297" t="s">
        <v>198</v>
      </c>
      <c r="P2793" s="297" t="s">
        <v>199</v>
      </c>
      <c r="Q2793" s="297" t="s">
        <v>200</v>
      </c>
      <c r="R2793" s="297" t="s">
        <v>213</v>
      </c>
      <c r="S2793" s="297" t="s">
        <v>214</v>
      </c>
    </row>
    <row r="2794" spans="1:19" x14ac:dyDescent="0.4">
      <c r="A2794" s="291"/>
      <c r="B2794" s="292"/>
      <c r="C2794" s="312"/>
      <c r="D2794" s="292"/>
      <c r="E2794" s="489"/>
      <c r="F2794" s="489"/>
      <c r="G2794" s="490"/>
      <c r="H2794" s="520"/>
      <c r="I2794" s="523"/>
      <c r="J2794" s="521"/>
      <c r="K2794" s="522"/>
      <c r="M2794" s="301" t="str">
        <f>N2794&amp;AS[[#This Row],[Insurer Code]]&amp;"; "&amp;O2794&amp;AS[[#This Row],[Reporting Year]]&amp;"; "&amp;P2794&amp;AS[[#This Row],[Insurance Category Code]]&amp;"; "&amp;Q2794&amp;AS[[#This Row],[Large Provider Entity Code]]&amp;"; "&amp;R2794&amp;AS[[#This Row],[Age Band Code]]&amp;"; "&amp;S2794&amp;AS[[#This Row],[Sex Code]]</f>
        <v xml:space="preserve">Insurer Code ; Reporting Year ; Insurance Category Code ; Large Provider Entity Code ; Age Band Code ; Sex Code </v>
      </c>
      <c r="N2794" s="297" t="s">
        <v>197</v>
      </c>
      <c r="O2794" s="297" t="s">
        <v>198</v>
      </c>
      <c r="P2794" s="297" t="s">
        <v>199</v>
      </c>
      <c r="Q2794" s="297" t="s">
        <v>200</v>
      </c>
      <c r="R2794" s="297" t="s">
        <v>213</v>
      </c>
      <c r="S2794" s="297" t="s">
        <v>214</v>
      </c>
    </row>
    <row r="2795" spans="1:19" x14ac:dyDescent="0.4">
      <c r="A2795" s="291"/>
      <c r="B2795" s="292"/>
      <c r="C2795" s="312"/>
      <c r="D2795" s="292"/>
      <c r="E2795" s="489"/>
      <c r="F2795" s="489"/>
      <c r="G2795" s="490"/>
      <c r="H2795" s="520"/>
      <c r="I2795" s="523"/>
      <c r="J2795" s="521"/>
      <c r="K2795" s="522"/>
      <c r="M2795" s="301" t="str">
        <f>N2795&amp;AS[[#This Row],[Insurer Code]]&amp;"; "&amp;O2795&amp;AS[[#This Row],[Reporting Year]]&amp;"; "&amp;P2795&amp;AS[[#This Row],[Insurance Category Code]]&amp;"; "&amp;Q2795&amp;AS[[#This Row],[Large Provider Entity Code]]&amp;"; "&amp;R2795&amp;AS[[#This Row],[Age Band Code]]&amp;"; "&amp;S2795&amp;AS[[#This Row],[Sex Code]]</f>
        <v xml:space="preserve">Insurer Code ; Reporting Year ; Insurance Category Code ; Large Provider Entity Code ; Age Band Code ; Sex Code </v>
      </c>
      <c r="N2795" s="297" t="s">
        <v>197</v>
      </c>
      <c r="O2795" s="297" t="s">
        <v>198</v>
      </c>
      <c r="P2795" s="297" t="s">
        <v>199</v>
      </c>
      <c r="Q2795" s="297" t="s">
        <v>200</v>
      </c>
      <c r="R2795" s="297" t="s">
        <v>213</v>
      </c>
      <c r="S2795" s="297" t="s">
        <v>214</v>
      </c>
    </row>
    <row r="2796" spans="1:19" x14ac:dyDescent="0.4">
      <c r="A2796" s="291"/>
      <c r="B2796" s="292"/>
      <c r="C2796" s="312"/>
      <c r="D2796" s="292"/>
      <c r="E2796" s="489"/>
      <c r="F2796" s="489"/>
      <c r="G2796" s="490"/>
      <c r="H2796" s="520"/>
      <c r="I2796" s="523"/>
      <c r="J2796" s="521"/>
      <c r="K2796" s="522"/>
      <c r="M2796" s="301" t="str">
        <f>N2796&amp;AS[[#This Row],[Insurer Code]]&amp;"; "&amp;O2796&amp;AS[[#This Row],[Reporting Year]]&amp;"; "&amp;P2796&amp;AS[[#This Row],[Insurance Category Code]]&amp;"; "&amp;Q2796&amp;AS[[#This Row],[Large Provider Entity Code]]&amp;"; "&amp;R2796&amp;AS[[#This Row],[Age Band Code]]&amp;"; "&amp;S2796&amp;AS[[#This Row],[Sex Code]]</f>
        <v xml:space="preserve">Insurer Code ; Reporting Year ; Insurance Category Code ; Large Provider Entity Code ; Age Band Code ; Sex Code </v>
      </c>
      <c r="N2796" s="297" t="s">
        <v>197</v>
      </c>
      <c r="O2796" s="297" t="s">
        <v>198</v>
      </c>
      <c r="P2796" s="297" t="s">
        <v>199</v>
      </c>
      <c r="Q2796" s="297" t="s">
        <v>200</v>
      </c>
      <c r="R2796" s="297" t="s">
        <v>213</v>
      </c>
      <c r="S2796" s="297" t="s">
        <v>214</v>
      </c>
    </row>
    <row r="2797" spans="1:19" x14ac:dyDescent="0.4">
      <c r="A2797" s="291"/>
      <c r="B2797" s="292"/>
      <c r="C2797" s="312"/>
      <c r="D2797" s="292"/>
      <c r="E2797" s="489"/>
      <c r="F2797" s="489"/>
      <c r="G2797" s="490"/>
      <c r="H2797" s="520"/>
      <c r="I2797" s="523"/>
      <c r="J2797" s="521"/>
      <c r="K2797" s="522"/>
      <c r="M2797" s="301" t="str">
        <f>N2797&amp;AS[[#This Row],[Insurer Code]]&amp;"; "&amp;O2797&amp;AS[[#This Row],[Reporting Year]]&amp;"; "&amp;P2797&amp;AS[[#This Row],[Insurance Category Code]]&amp;"; "&amp;Q2797&amp;AS[[#This Row],[Large Provider Entity Code]]&amp;"; "&amp;R2797&amp;AS[[#This Row],[Age Band Code]]&amp;"; "&amp;S2797&amp;AS[[#This Row],[Sex Code]]</f>
        <v xml:space="preserve">Insurer Code ; Reporting Year ; Insurance Category Code ; Large Provider Entity Code ; Age Band Code ; Sex Code </v>
      </c>
      <c r="N2797" s="297" t="s">
        <v>197</v>
      </c>
      <c r="O2797" s="297" t="s">
        <v>198</v>
      </c>
      <c r="P2797" s="297" t="s">
        <v>199</v>
      </c>
      <c r="Q2797" s="297" t="s">
        <v>200</v>
      </c>
      <c r="R2797" s="297" t="s">
        <v>213</v>
      </c>
      <c r="S2797" s="297" t="s">
        <v>214</v>
      </c>
    </row>
    <row r="2798" spans="1:19" x14ac:dyDescent="0.4">
      <c r="A2798" s="291"/>
      <c r="B2798" s="292"/>
      <c r="C2798" s="312"/>
      <c r="D2798" s="292"/>
      <c r="E2798" s="489"/>
      <c r="F2798" s="489"/>
      <c r="G2798" s="490"/>
      <c r="H2798" s="520"/>
      <c r="I2798" s="523"/>
      <c r="J2798" s="521"/>
      <c r="K2798" s="522"/>
      <c r="M2798" s="301" t="str">
        <f>N2798&amp;AS[[#This Row],[Insurer Code]]&amp;"; "&amp;O2798&amp;AS[[#This Row],[Reporting Year]]&amp;"; "&amp;P2798&amp;AS[[#This Row],[Insurance Category Code]]&amp;"; "&amp;Q2798&amp;AS[[#This Row],[Large Provider Entity Code]]&amp;"; "&amp;R2798&amp;AS[[#This Row],[Age Band Code]]&amp;"; "&amp;S2798&amp;AS[[#This Row],[Sex Code]]</f>
        <v xml:space="preserve">Insurer Code ; Reporting Year ; Insurance Category Code ; Large Provider Entity Code ; Age Band Code ; Sex Code </v>
      </c>
      <c r="N2798" s="297" t="s">
        <v>197</v>
      </c>
      <c r="O2798" s="297" t="s">
        <v>198</v>
      </c>
      <c r="P2798" s="297" t="s">
        <v>199</v>
      </c>
      <c r="Q2798" s="297" t="s">
        <v>200</v>
      </c>
      <c r="R2798" s="297" t="s">
        <v>213</v>
      </c>
      <c r="S2798" s="297" t="s">
        <v>214</v>
      </c>
    </row>
    <row r="2799" spans="1:19" x14ac:dyDescent="0.4">
      <c r="A2799" s="291"/>
      <c r="B2799" s="292"/>
      <c r="C2799" s="312"/>
      <c r="D2799" s="292"/>
      <c r="E2799" s="489"/>
      <c r="F2799" s="489"/>
      <c r="G2799" s="490"/>
      <c r="H2799" s="520"/>
      <c r="I2799" s="523"/>
      <c r="J2799" s="521"/>
      <c r="K2799" s="522"/>
      <c r="M2799" s="301" t="str">
        <f>N2799&amp;AS[[#This Row],[Insurer Code]]&amp;"; "&amp;O2799&amp;AS[[#This Row],[Reporting Year]]&amp;"; "&amp;P2799&amp;AS[[#This Row],[Insurance Category Code]]&amp;"; "&amp;Q2799&amp;AS[[#This Row],[Large Provider Entity Code]]&amp;"; "&amp;R2799&amp;AS[[#This Row],[Age Band Code]]&amp;"; "&amp;S2799&amp;AS[[#This Row],[Sex Code]]</f>
        <v xml:space="preserve">Insurer Code ; Reporting Year ; Insurance Category Code ; Large Provider Entity Code ; Age Band Code ; Sex Code </v>
      </c>
      <c r="N2799" s="297" t="s">
        <v>197</v>
      </c>
      <c r="O2799" s="297" t="s">
        <v>198</v>
      </c>
      <c r="P2799" s="297" t="s">
        <v>199</v>
      </c>
      <c r="Q2799" s="297" t="s">
        <v>200</v>
      </c>
      <c r="R2799" s="297" t="s">
        <v>213</v>
      </c>
      <c r="S2799" s="297" t="s">
        <v>214</v>
      </c>
    </row>
    <row r="2800" spans="1:19" x14ac:dyDescent="0.4">
      <c r="A2800" s="291"/>
      <c r="B2800" s="292"/>
      <c r="C2800" s="312"/>
      <c r="D2800" s="292"/>
      <c r="E2800" s="489"/>
      <c r="F2800" s="489"/>
      <c r="G2800" s="490"/>
      <c r="H2800" s="520"/>
      <c r="I2800" s="523"/>
      <c r="J2800" s="521"/>
      <c r="K2800" s="522"/>
      <c r="M2800" s="301" t="str">
        <f>N2800&amp;AS[[#This Row],[Insurer Code]]&amp;"; "&amp;O2800&amp;AS[[#This Row],[Reporting Year]]&amp;"; "&amp;P2800&amp;AS[[#This Row],[Insurance Category Code]]&amp;"; "&amp;Q2800&amp;AS[[#This Row],[Large Provider Entity Code]]&amp;"; "&amp;R2800&amp;AS[[#This Row],[Age Band Code]]&amp;"; "&amp;S2800&amp;AS[[#This Row],[Sex Code]]</f>
        <v xml:space="preserve">Insurer Code ; Reporting Year ; Insurance Category Code ; Large Provider Entity Code ; Age Band Code ; Sex Code </v>
      </c>
      <c r="N2800" s="297" t="s">
        <v>197</v>
      </c>
      <c r="O2800" s="297" t="s">
        <v>198</v>
      </c>
      <c r="P2800" s="297" t="s">
        <v>199</v>
      </c>
      <c r="Q2800" s="297" t="s">
        <v>200</v>
      </c>
      <c r="R2800" s="297" t="s">
        <v>213</v>
      </c>
      <c r="S2800" s="297" t="s">
        <v>214</v>
      </c>
    </row>
    <row r="2801" spans="1:19" x14ac:dyDescent="0.4">
      <c r="A2801" s="291"/>
      <c r="B2801" s="292"/>
      <c r="C2801" s="312"/>
      <c r="D2801" s="292"/>
      <c r="E2801" s="489"/>
      <c r="F2801" s="489"/>
      <c r="G2801" s="490"/>
      <c r="H2801" s="520"/>
      <c r="I2801" s="523"/>
      <c r="J2801" s="521"/>
      <c r="K2801" s="522"/>
      <c r="M2801" s="301" t="str">
        <f>N2801&amp;AS[[#This Row],[Insurer Code]]&amp;"; "&amp;O2801&amp;AS[[#This Row],[Reporting Year]]&amp;"; "&amp;P2801&amp;AS[[#This Row],[Insurance Category Code]]&amp;"; "&amp;Q2801&amp;AS[[#This Row],[Large Provider Entity Code]]&amp;"; "&amp;R2801&amp;AS[[#This Row],[Age Band Code]]&amp;"; "&amp;S2801&amp;AS[[#This Row],[Sex Code]]</f>
        <v xml:space="preserve">Insurer Code ; Reporting Year ; Insurance Category Code ; Large Provider Entity Code ; Age Band Code ; Sex Code </v>
      </c>
      <c r="N2801" s="297" t="s">
        <v>197</v>
      </c>
      <c r="O2801" s="297" t="s">
        <v>198</v>
      </c>
      <c r="P2801" s="297" t="s">
        <v>199</v>
      </c>
      <c r="Q2801" s="297" t="s">
        <v>200</v>
      </c>
      <c r="R2801" s="297" t="s">
        <v>213</v>
      </c>
      <c r="S2801" s="297" t="s">
        <v>214</v>
      </c>
    </row>
    <row r="2802" spans="1:19" x14ac:dyDescent="0.4">
      <c r="A2802" s="291"/>
      <c r="B2802" s="292"/>
      <c r="C2802" s="312"/>
      <c r="D2802" s="292"/>
      <c r="E2802" s="489"/>
      <c r="F2802" s="489"/>
      <c r="G2802" s="490"/>
      <c r="H2802" s="520"/>
      <c r="I2802" s="523"/>
      <c r="J2802" s="521"/>
      <c r="K2802" s="522"/>
      <c r="M2802" s="301" t="str">
        <f>N2802&amp;AS[[#This Row],[Insurer Code]]&amp;"; "&amp;O2802&amp;AS[[#This Row],[Reporting Year]]&amp;"; "&amp;P2802&amp;AS[[#This Row],[Insurance Category Code]]&amp;"; "&amp;Q2802&amp;AS[[#This Row],[Large Provider Entity Code]]&amp;"; "&amp;R2802&amp;AS[[#This Row],[Age Band Code]]&amp;"; "&amp;S2802&amp;AS[[#This Row],[Sex Code]]</f>
        <v xml:space="preserve">Insurer Code ; Reporting Year ; Insurance Category Code ; Large Provider Entity Code ; Age Band Code ; Sex Code </v>
      </c>
      <c r="N2802" s="297" t="s">
        <v>197</v>
      </c>
      <c r="O2802" s="297" t="s">
        <v>198</v>
      </c>
      <c r="P2802" s="297" t="s">
        <v>199</v>
      </c>
      <c r="Q2802" s="297" t="s">
        <v>200</v>
      </c>
      <c r="R2802" s="297" t="s">
        <v>213</v>
      </c>
      <c r="S2802" s="297" t="s">
        <v>214</v>
      </c>
    </row>
    <row r="2803" spans="1:19" x14ac:dyDescent="0.4">
      <c r="A2803" s="291"/>
      <c r="B2803" s="292"/>
      <c r="C2803" s="312"/>
      <c r="D2803" s="292"/>
      <c r="E2803" s="489"/>
      <c r="F2803" s="489"/>
      <c r="G2803" s="490"/>
      <c r="H2803" s="520"/>
      <c r="I2803" s="523"/>
      <c r="J2803" s="521"/>
      <c r="K2803" s="522"/>
      <c r="M2803" s="301" t="str">
        <f>N2803&amp;AS[[#This Row],[Insurer Code]]&amp;"; "&amp;O2803&amp;AS[[#This Row],[Reporting Year]]&amp;"; "&amp;P2803&amp;AS[[#This Row],[Insurance Category Code]]&amp;"; "&amp;Q2803&amp;AS[[#This Row],[Large Provider Entity Code]]&amp;"; "&amp;R2803&amp;AS[[#This Row],[Age Band Code]]&amp;"; "&amp;S2803&amp;AS[[#This Row],[Sex Code]]</f>
        <v xml:space="preserve">Insurer Code ; Reporting Year ; Insurance Category Code ; Large Provider Entity Code ; Age Band Code ; Sex Code </v>
      </c>
      <c r="N2803" s="297" t="s">
        <v>197</v>
      </c>
      <c r="O2803" s="297" t="s">
        <v>198</v>
      </c>
      <c r="P2803" s="297" t="s">
        <v>199</v>
      </c>
      <c r="Q2803" s="297" t="s">
        <v>200</v>
      </c>
      <c r="R2803" s="297" t="s">
        <v>213</v>
      </c>
      <c r="S2803" s="297" t="s">
        <v>214</v>
      </c>
    </row>
    <row r="2804" spans="1:19" x14ac:dyDescent="0.4">
      <c r="A2804" s="291"/>
      <c r="B2804" s="292"/>
      <c r="C2804" s="312"/>
      <c r="D2804" s="292"/>
      <c r="E2804" s="489"/>
      <c r="F2804" s="489"/>
      <c r="G2804" s="490"/>
      <c r="H2804" s="520"/>
      <c r="I2804" s="523"/>
      <c r="J2804" s="521"/>
      <c r="K2804" s="522"/>
      <c r="M2804" s="301" t="str">
        <f>N2804&amp;AS[[#This Row],[Insurer Code]]&amp;"; "&amp;O2804&amp;AS[[#This Row],[Reporting Year]]&amp;"; "&amp;P2804&amp;AS[[#This Row],[Insurance Category Code]]&amp;"; "&amp;Q2804&amp;AS[[#This Row],[Large Provider Entity Code]]&amp;"; "&amp;R2804&amp;AS[[#This Row],[Age Band Code]]&amp;"; "&amp;S2804&amp;AS[[#This Row],[Sex Code]]</f>
        <v xml:space="preserve">Insurer Code ; Reporting Year ; Insurance Category Code ; Large Provider Entity Code ; Age Band Code ; Sex Code </v>
      </c>
      <c r="N2804" s="297" t="s">
        <v>197</v>
      </c>
      <c r="O2804" s="297" t="s">
        <v>198</v>
      </c>
      <c r="P2804" s="297" t="s">
        <v>199</v>
      </c>
      <c r="Q2804" s="297" t="s">
        <v>200</v>
      </c>
      <c r="R2804" s="297" t="s">
        <v>213</v>
      </c>
      <c r="S2804" s="297" t="s">
        <v>214</v>
      </c>
    </row>
    <row r="2805" spans="1:19" x14ac:dyDescent="0.4">
      <c r="A2805" s="291"/>
      <c r="B2805" s="292"/>
      <c r="C2805" s="312"/>
      <c r="D2805" s="292"/>
      <c r="E2805" s="489"/>
      <c r="F2805" s="489"/>
      <c r="G2805" s="490"/>
      <c r="H2805" s="520"/>
      <c r="I2805" s="523"/>
      <c r="J2805" s="521"/>
      <c r="K2805" s="522"/>
      <c r="M2805" s="301" t="str">
        <f>N2805&amp;AS[[#This Row],[Insurer Code]]&amp;"; "&amp;O2805&amp;AS[[#This Row],[Reporting Year]]&amp;"; "&amp;P2805&amp;AS[[#This Row],[Insurance Category Code]]&amp;"; "&amp;Q2805&amp;AS[[#This Row],[Large Provider Entity Code]]&amp;"; "&amp;R2805&amp;AS[[#This Row],[Age Band Code]]&amp;"; "&amp;S2805&amp;AS[[#This Row],[Sex Code]]</f>
        <v xml:space="preserve">Insurer Code ; Reporting Year ; Insurance Category Code ; Large Provider Entity Code ; Age Band Code ; Sex Code </v>
      </c>
      <c r="N2805" s="297" t="s">
        <v>197</v>
      </c>
      <c r="O2805" s="297" t="s">
        <v>198</v>
      </c>
      <c r="P2805" s="297" t="s">
        <v>199</v>
      </c>
      <c r="Q2805" s="297" t="s">
        <v>200</v>
      </c>
      <c r="R2805" s="297" t="s">
        <v>213</v>
      </c>
      <c r="S2805" s="297" t="s">
        <v>214</v>
      </c>
    </row>
    <row r="2806" spans="1:19" x14ac:dyDescent="0.4">
      <c r="A2806" s="291"/>
      <c r="B2806" s="292"/>
      <c r="C2806" s="312"/>
      <c r="D2806" s="292"/>
      <c r="E2806" s="489"/>
      <c r="F2806" s="489"/>
      <c r="G2806" s="490"/>
      <c r="H2806" s="520"/>
      <c r="I2806" s="523"/>
      <c r="J2806" s="521"/>
      <c r="K2806" s="522"/>
      <c r="M2806" s="301" t="str">
        <f>N2806&amp;AS[[#This Row],[Insurer Code]]&amp;"; "&amp;O2806&amp;AS[[#This Row],[Reporting Year]]&amp;"; "&amp;P2806&amp;AS[[#This Row],[Insurance Category Code]]&amp;"; "&amp;Q2806&amp;AS[[#This Row],[Large Provider Entity Code]]&amp;"; "&amp;R2806&amp;AS[[#This Row],[Age Band Code]]&amp;"; "&amp;S2806&amp;AS[[#This Row],[Sex Code]]</f>
        <v xml:space="preserve">Insurer Code ; Reporting Year ; Insurance Category Code ; Large Provider Entity Code ; Age Band Code ; Sex Code </v>
      </c>
      <c r="N2806" s="297" t="s">
        <v>197</v>
      </c>
      <c r="O2806" s="297" t="s">
        <v>198</v>
      </c>
      <c r="P2806" s="297" t="s">
        <v>199</v>
      </c>
      <c r="Q2806" s="297" t="s">
        <v>200</v>
      </c>
      <c r="R2806" s="297" t="s">
        <v>213</v>
      </c>
      <c r="S2806" s="297" t="s">
        <v>214</v>
      </c>
    </row>
    <row r="2807" spans="1:19" x14ac:dyDescent="0.4">
      <c r="A2807" s="291"/>
      <c r="B2807" s="292"/>
      <c r="C2807" s="312"/>
      <c r="D2807" s="292"/>
      <c r="E2807" s="489"/>
      <c r="F2807" s="489"/>
      <c r="G2807" s="490"/>
      <c r="H2807" s="520"/>
      <c r="I2807" s="523"/>
      <c r="J2807" s="521"/>
      <c r="K2807" s="522"/>
      <c r="M2807" s="301" t="str">
        <f>N2807&amp;AS[[#This Row],[Insurer Code]]&amp;"; "&amp;O2807&amp;AS[[#This Row],[Reporting Year]]&amp;"; "&amp;P2807&amp;AS[[#This Row],[Insurance Category Code]]&amp;"; "&amp;Q2807&amp;AS[[#This Row],[Large Provider Entity Code]]&amp;"; "&amp;R2807&amp;AS[[#This Row],[Age Band Code]]&amp;"; "&amp;S2807&amp;AS[[#This Row],[Sex Code]]</f>
        <v xml:space="preserve">Insurer Code ; Reporting Year ; Insurance Category Code ; Large Provider Entity Code ; Age Band Code ; Sex Code </v>
      </c>
      <c r="N2807" s="297" t="s">
        <v>197</v>
      </c>
      <c r="O2807" s="297" t="s">
        <v>198</v>
      </c>
      <c r="P2807" s="297" t="s">
        <v>199</v>
      </c>
      <c r="Q2807" s="297" t="s">
        <v>200</v>
      </c>
      <c r="R2807" s="297" t="s">
        <v>213</v>
      </c>
      <c r="S2807" s="297" t="s">
        <v>214</v>
      </c>
    </row>
    <row r="2808" spans="1:19" x14ac:dyDescent="0.4">
      <c r="A2808" s="291"/>
      <c r="B2808" s="292"/>
      <c r="C2808" s="312"/>
      <c r="D2808" s="292"/>
      <c r="E2808" s="489"/>
      <c r="F2808" s="489"/>
      <c r="G2808" s="490"/>
      <c r="H2808" s="520"/>
      <c r="I2808" s="523"/>
      <c r="J2808" s="521"/>
      <c r="K2808" s="522"/>
      <c r="M2808" s="301" t="str">
        <f>N2808&amp;AS[[#This Row],[Insurer Code]]&amp;"; "&amp;O2808&amp;AS[[#This Row],[Reporting Year]]&amp;"; "&amp;P2808&amp;AS[[#This Row],[Insurance Category Code]]&amp;"; "&amp;Q2808&amp;AS[[#This Row],[Large Provider Entity Code]]&amp;"; "&amp;R2808&amp;AS[[#This Row],[Age Band Code]]&amp;"; "&amp;S2808&amp;AS[[#This Row],[Sex Code]]</f>
        <v xml:space="preserve">Insurer Code ; Reporting Year ; Insurance Category Code ; Large Provider Entity Code ; Age Band Code ; Sex Code </v>
      </c>
      <c r="N2808" s="297" t="s">
        <v>197</v>
      </c>
      <c r="O2808" s="297" t="s">
        <v>198</v>
      </c>
      <c r="P2808" s="297" t="s">
        <v>199</v>
      </c>
      <c r="Q2808" s="297" t="s">
        <v>200</v>
      </c>
      <c r="R2808" s="297" t="s">
        <v>213</v>
      </c>
      <c r="S2808" s="297" t="s">
        <v>214</v>
      </c>
    </row>
    <row r="2809" spans="1:19" x14ac:dyDescent="0.4">
      <c r="A2809" s="291"/>
      <c r="B2809" s="292"/>
      <c r="C2809" s="312"/>
      <c r="D2809" s="292"/>
      <c r="E2809" s="489"/>
      <c r="F2809" s="489"/>
      <c r="G2809" s="490"/>
      <c r="H2809" s="520"/>
      <c r="I2809" s="523"/>
      <c r="J2809" s="521"/>
      <c r="K2809" s="522"/>
      <c r="M2809" s="301" t="str">
        <f>N2809&amp;AS[[#This Row],[Insurer Code]]&amp;"; "&amp;O2809&amp;AS[[#This Row],[Reporting Year]]&amp;"; "&amp;P2809&amp;AS[[#This Row],[Insurance Category Code]]&amp;"; "&amp;Q2809&amp;AS[[#This Row],[Large Provider Entity Code]]&amp;"; "&amp;R2809&amp;AS[[#This Row],[Age Band Code]]&amp;"; "&amp;S2809&amp;AS[[#This Row],[Sex Code]]</f>
        <v xml:space="preserve">Insurer Code ; Reporting Year ; Insurance Category Code ; Large Provider Entity Code ; Age Band Code ; Sex Code </v>
      </c>
      <c r="N2809" s="297" t="s">
        <v>197</v>
      </c>
      <c r="O2809" s="297" t="s">
        <v>198</v>
      </c>
      <c r="P2809" s="297" t="s">
        <v>199</v>
      </c>
      <c r="Q2809" s="297" t="s">
        <v>200</v>
      </c>
      <c r="R2809" s="297" t="s">
        <v>213</v>
      </c>
      <c r="S2809" s="297" t="s">
        <v>214</v>
      </c>
    </row>
    <row r="2810" spans="1:19" x14ac:dyDescent="0.4">
      <c r="A2810" s="291"/>
      <c r="B2810" s="292"/>
      <c r="C2810" s="312"/>
      <c r="D2810" s="292"/>
      <c r="E2810" s="489"/>
      <c r="F2810" s="489"/>
      <c r="G2810" s="490"/>
      <c r="H2810" s="520"/>
      <c r="I2810" s="523"/>
      <c r="J2810" s="521"/>
      <c r="K2810" s="522"/>
      <c r="M2810" s="301" t="str">
        <f>N2810&amp;AS[[#This Row],[Insurer Code]]&amp;"; "&amp;O2810&amp;AS[[#This Row],[Reporting Year]]&amp;"; "&amp;P2810&amp;AS[[#This Row],[Insurance Category Code]]&amp;"; "&amp;Q2810&amp;AS[[#This Row],[Large Provider Entity Code]]&amp;"; "&amp;R2810&amp;AS[[#This Row],[Age Band Code]]&amp;"; "&amp;S2810&amp;AS[[#This Row],[Sex Code]]</f>
        <v xml:space="preserve">Insurer Code ; Reporting Year ; Insurance Category Code ; Large Provider Entity Code ; Age Band Code ; Sex Code </v>
      </c>
      <c r="N2810" s="297" t="s">
        <v>197</v>
      </c>
      <c r="O2810" s="297" t="s">
        <v>198</v>
      </c>
      <c r="P2810" s="297" t="s">
        <v>199</v>
      </c>
      <c r="Q2810" s="297" t="s">
        <v>200</v>
      </c>
      <c r="R2810" s="297" t="s">
        <v>213</v>
      </c>
      <c r="S2810" s="297" t="s">
        <v>214</v>
      </c>
    </row>
    <row r="2811" spans="1:19" x14ac:dyDescent="0.4">
      <c r="A2811" s="291"/>
      <c r="B2811" s="292"/>
      <c r="C2811" s="312"/>
      <c r="D2811" s="292"/>
      <c r="E2811" s="489"/>
      <c r="F2811" s="489"/>
      <c r="G2811" s="490"/>
      <c r="H2811" s="520"/>
      <c r="I2811" s="523"/>
      <c r="J2811" s="521"/>
      <c r="K2811" s="522"/>
      <c r="M2811" s="301" t="str">
        <f>N2811&amp;AS[[#This Row],[Insurer Code]]&amp;"; "&amp;O2811&amp;AS[[#This Row],[Reporting Year]]&amp;"; "&amp;P2811&amp;AS[[#This Row],[Insurance Category Code]]&amp;"; "&amp;Q2811&amp;AS[[#This Row],[Large Provider Entity Code]]&amp;"; "&amp;R2811&amp;AS[[#This Row],[Age Band Code]]&amp;"; "&amp;S2811&amp;AS[[#This Row],[Sex Code]]</f>
        <v xml:space="preserve">Insurer Code ; Reporting Year ; Insurance Category Code ; Large Provider Entity Code ; Age Band Code ; Sex Code </v>
      </c>
      <c r="N2811" s="297" t="s">
        <v>197</v>
      </c>
      <c r="O2811" s="297" t="s">
        <v>198</v>
      </c>
      <c r="P2811" s="297" t="s">
        <v>199</v>
      </c>
      <c r="Q2811" s="297" t="s">
        <v>200</v>
      </c>
      <c r="R2811" s="297" t="s">
        <v>213</v>
      </c>
      <c r="S2811" s="297" t="s">
        <v>214</v>
      </c>
    </row>
    <row r="2812" spans="1:19" x14ac:dyDescent="0.4">
      <c r="A2812" s="291"/>
      <c r="B2812" s="292"/>
      <c r="C2812" s="312"/>
      <c r="D2812" s="292"/>
      <c r="E2812" s="489"/>
      <c r="F2812" s="489"/>
      <c r="G2812" s="490"/>
      <c r="H2812" s="520"/>
      <c r="I2812" s="523"/>
      <c r="J2812" s="521"/>
      <c r="K2812" s="522"/>
      <c r="M2812" s="301" t="str">
        <f>N2812&amp;AS[[#This Row],[Insurer Code]]&amp;"; "&amp;O2812&amp;AS[[#This Row],[Reporting Year]]&amp;"; "&amp;P2812&amp;AS[[#This Row],[Insurance Category Code]]&amp;"; "&amp;Q2812&amp;AS[[#This Row],[Large Provider Entity Code]]&amp;"; "&amp;R2812&amp;AS[[#This Row],[Age Band Code]]&amp;"; "&amp;S2812&amp;AS[[#This Row],[Sex Code]]</f>
        <v xml:space="preserve">Insurer Code ; Reporting Year ; Insurance Category Code ; Large Provider Entity Code ; Age Band Code ; Sex Code </v>
      </c>
      <c r="N2812" s="297" t="s">
        <v>197</v>
      </c>
      <c r="O2812" s="297" t="s">
        <v>198</v>
      </c>
      <c r="P2812" s="297" t="s">
        <v>199</v>
      </c>
      <c r="Q2812" s="297" t="s">
        <v>200</v>
      </c>
      <c r="R2812" s="297" t="s">
        <v>213</v>
      </c>
      <c r="S2812" s="297" t="s">
        <v>214</v>
      </c>
    </row>
    <row r="2813" spans="1:19" x14ac:dyDescent="0.4">
      <c r="A2813" s="291"/>
      <c r="B2813" s="292"/>
      <c r="C2813" s="312"/>
      <c r="D2813" s="292"/>
      <c r="E2813" s="489"/>
      <c r="F2813" s="489"/>
      <c r="G2813" s="490"/>
      <c r="H2813" s="520"/>
      <c r="I2813" s="523"/>
      <c r="J2813" s="521"/>
      <c r="K2813" s="522"/>
      <c r="M2813" s="301" t="str">
        <f>N2813&amp;AS[[#This Row],[Insurer Code]]&amp;"; "&amp;O2813&amp;AS[[#This Row],[Reporting Year]]&amp;"; "&amp;P2813&amp;AS[[#This Row],[Insurance Category Code]]&amp;"; "&amp;Q2813&amp;AS[[#This Row],[Large Provider Entity Code]]&amp;"; "&amp;R2813&amp;AS[[#This Row],[Age Band Code]]&amp;"; "&amp;S2813&amp;AS[[#This Row],[Sex Code]]</f>
        <v xml:space="preserve">Insurer Code ; Reporting Year ; Insurance Category Code ; Large Provider Entity Code ; Age Band Code ; Sex Code </v>
      </c>
      <c r="N2813" s="297" t="s">
        <v>197</v>
      </c>
      <c r="O2813" s="297" t="s">
        <v>198</v>
      </c>
      <c r="P2813" s="297" t="s">
        <v>199</v>
      </c>
      <c r="Q2813" s="297" t="s">
        <v>200</v>
      </c>
      <c r="R2813" s="297" t="s">
        <v>213</v>
      </c>
      <c r="S2813" s="297" t="s">
        <v>214</v>
      </c>
    </row>
    <row r="2814" spans="1:19" x14ac:dyDescent="0.4">
      <c r="A2814" s="291"/>
      <c r="B2814" s="292"/>
      <c r="C2814" s="312"/>
      <c r="D2814" s="292"/>
      <c r="E2814" s="489"/>
      <c r="F2814" s="489"/>
      <c r="G2814" s="490"/>
      <c r="H2814" s="520"/>
      <c r="I2814" s="523"/>
      <c r="J2814" s="521"/>
      <c r="K2814" s="522"/>
      <c r="M2814" s="301" t="str">
        <f>N2814&amp;AS[[#This Row],[Insurer Code]]&amp;"; "&amp;O2814&amp;AS[[#This Row],[Reporting Year]]&amp;"; "&amp;P2814&amp;AS[[#This Row],[Insurance Category Code]]&amp;"; "&amp;Q2814&amp;AS[[#This Row],[Large Provider Entity Code]]&amp;"; "&amp;R2814&amp;AS[[#This Row],[Age Band Code]]&amp;"; "&amp;S2814&amp;AS[[#This Row],[Sex Code]]</f>
        <v xml:space="preserve">Insurer Code ; Reporting Year ; Insurance Category Code ; Large Provider Entity Code ; Age Band Code ; Sex Code </v>
      </c>
      <c r="N2814" s="297" t="s">
        <v>197</v>
      </c>
      <c r="O2814" s="297" t="s">
        <v>198</v>
      </c>
      <c r="P2814" s="297" t="s">
        <v>199</v>
      </c>
      <c r="Q2814" s="297" t="s">
        <v>200</v>
      </c>
      <c r="R2814" s="297" t="s">
        <v>213</v>
      </c>
      <c r="S2814" s="297" t="s">
        <v>214</v>
      </c>
    </row>
    <row r="2815" spans="1:19" x14ac:dyDescent="0.4">
      <c r="A2815" s="291"/>
      <c r="B2815" s="292"/>
      <c r="C2815" s="312"/>
      <c r="D2815" s="292"/>
      <c r="E2815" s="489"/>
      <c r="F2815" s="489"/>
      <c r="G2815" s="490"/>
      <c r="H2815" s="520"/>
      <c r="I2815" s="523"/>
      <c r="J2815" s="521"/>
      <c r="K2815" s="522"/>
      <c r="M2815" s="301" t="str">
        <f>N2815&amp;AS[[#This Row],[Insurer Code]]&amp;"; "&amp;O2815&amp;AS[[#This Row],[Reporting Year]]&amp;"; "&amp;P2815&amp;AS[[#This Row],[Insurance Category Code]]&amp;"; "&amp;Q2815&amp;AS[[#This Row],[Large Provider Entity Code]]&amp;"; "&amp;R2815&amp;AS[[#This Row],[Age Band Code]]&amp;"; "&amp;S2815&amp;AS[[#This Row],[Sex Code]]</f>
        <v xml:space="preserve">Insurer Code ; Reporting Year ; Insurance Category Code ; Large Provider Entity Code ; Age Band Code ; Sex Code </v>
      </c>
      <c r="N2815" s="297" t="s">
        <v>197</v>
      </c>
      <c r="O2815" s="297" t="s">
        <v>198</v>
      </c>
      <c r="P2815" s="297" t="s">
        <v>199</v>
      </c>
      <c r="Q2815" s="297" t="s">
        <v>200</v>
      </c>
      <c r="R2815" s="297" t="s">
        <v>213</v>
      </c>
      <c r="S2815" s="297" t="s">
        <v>214</v>
      </c>
    </row>
    <row r="2816" spans="1:19" x14ac:dyDescent="0.4">
      <c r="A2816" s="291"/>
      <c r="B2816" s="292"/>
      <c r="C2816" s="312"/>
      <c r="D2816" s="292"/>
      <c r="E2816" s="489"/>
      <c r="F2816" s="489"/>
      <c r="G2816" s="490"/>
      <c r="H2816" s="520"/>
      <c r="I2816" s="523"/>
      <c r="J2816" s="521"/>
      <c r="K2816" s="522"/>
      <c r="M2816" s="301" t="str">
        <f>N2816&amp;AS[[#This Row],[Insurer Code]]&amp;"; "&amp;O2816&amp;AS[[#This Row],[Reporting Year]]&amp;"; "&amp;P2816&amp;AS[[#This Row],[Insurance Category Code]]&amp;"; "&amp;Q2816&amp;AS[[#This Row],[Large Provider Entity Code]]&amp;"; "&amp;R2816&amp;AS[[#This Row],[Age Band Code]]&amp;"; "&amp;S2816&amp;AS[[#This Row],[Sex Code]]</f>
        <v xml:space="preserve">Insurer Code ; Reporting Year ; Insurance Category Code ; Large Provider Entity Code ; Age Band Code ; Sex Code </v>
      </c>
      <c r="N2816" s="297" t="s">
        <v>197</v>
      </c>
      <c r="O2816" s="297" t="s">
        <v>198</v>
      </c>
      <c r="P2816" s="297" t="s">
        <v>199</v>
      </c>
      <c r="Q2816" s="297" t="s">
        <v>200</v>
      </c>
      <c r="R2816" s="297" t="s">
        <v>213</v>
      </c>
      <c r="S2816" s="297" t="s">
        <v>214</v>
      </c>
    </row>
    <row r="2817" spans="1:19" x14ac:dyDescent="0.4">
      <c r="A2817" s="291"/>
      <c r="B2817" s="292"/>
      <c r="C2817" s="312"/>
      <c r="D2817" s="292"/>
      <c r="E2817" s="489"/>
      <c r="F2817" s="489"/>
      <c r="G2817" s="490"/>
      <c r="H2817" s="520"/>
      <c r="I2817" s="523"/>
      <c r="J2817" s="521"/>
      <c r="K2817" s="522"/>
      <c r="M2817" s="301" t="str">
        <f>N2817&amp;AS[[#This Row],[Insurer Code]]&amp;"; "&amp;O2817&amp;AS[[#This Row],[Reporting Year]]&amp;"; "&amp;P2817&amp;AS[[#This Row],[Insurance Category Code]]&amp;"; "&amp;Q2817&amp;AS[[#This Row],[Large Provider Entity Code]]&amp;"; "&amp;R2817&amp;AS[[#This Row],[Age Band Code]]&amp;"; "&amp;S2817&amp;AS[[#This Row],[Sex Code]]</f>
        <v xml:space="preserve">Insurer Code ; Reporting Year ; Insurance Category Code ; Large Provider Entity Code ; Age Band Code ; Sex Code </v>
      </c>
      <c r="N2817" s="297" t="s">
        <v>197</v>
      </c>
      <c r="O2817" s="297" t="s">
        <v>198</v>
      </c>
      <c r="P2817" s="297" t="s">
        <v>199</v>
      </c>
      <c r="Q2817" s="297" t="s">
        <v>200</v>
      </c>
      <c r="R2817" s="297" t="s">
        <v>213</v>
      </c>
      <c r="S2817" s="297" t="s">
        <v>214</v>
      </c>
    </row>
    <row r="2818" spans="1:19" x14ac:dyDescent="0.4">
      <c r="A2818" s="291"/>
      <c r="B2818" s="292"/>
      <c r="C2818" s="312"/>
      <c r="D2818" s="292"/>
      <c r="E2818" s="489"/>
      <c r="F2818" s="489"/>
      <c r="G2818" s="490"/>
      <c r="H2818" s="520"/>
      <c r="I2818" s="523"/>
      <c r="J2818" s="521"/>
      <c r="K2818" s="522"/>
      <c r="M2818" s="301" t="str">
        <f>N2818&amp;AS[[#This Row],[Insurer Code]]&amp;"; "&amp;O2818&amp;AS[[#This Row],[Reporting Year]]&amp;"; "&amp;P2818&amp;AS[[#This Row],[Insurance Category Code]]&amp;"; "&amp;Q2818&amp;AS[[#This Row],[Large Provider Entity Code]]&amp;"; "&amp;R2818&amp;AS[[#This Row],[Age Band Code]]&amp;"; "&amp;S2818&amp;AS[[#This Row],[Sex Code]]</f>
        <v xml:space="preserve">Insurer Code ; Reporting Year ; Insurance Category Code ; Large Provider Entity Code ; Age Band Code ; Sex Code </v>
      </c>
      <c r="N2818" s="297" t="s">
        <v>197</v>
      </c>
      <c r="O2818" s="297" t="s">
        <v>198</v>
      </c>
      <c r="P2818" s="297" t="s">
        <v>199</v>
      </c>
      <c r="Q2818" s="297" t="s">
        <v>200</v>
      </c>
      <c r="R2818" s="297" t="s">
        <v>213</v>
      </c>
      <c r="S2818" s="297" t="s">
        <v>214</v>
      </c>
    </row>
    <row r="2819" spans="1:19" x14ac:dyDescent="0.4">
      <c r="A2819" s="291"/>
      <c r="B2819" s="292"/>
      <c r="C2819" s="312"/>
      <c r="D2819" s="292"/>
      <c r="E2819" s="489"/>
      <c r="F2819" s="489"/>
      <c r="G2819" s="490"/>
      <c r="H2819" s="520"/>
      <c r="I2819" s="523"/>
      <c r="J2819" s="521"/>
      <c r="K2819" s="522"/>
      <c r="M2819" s="301" t="str">
        <f>N2819&amp;AS[[#This Row],[Insurer Code]]&amp;"; "&amp;O2819&amp;AS[[#This Row],[Reporting Year]]&amp;"; "&amp;P2819&amp;AS[[#This Row],[Insurance Category Code]]&amp;"; "&amp;Q2819&amp;AS[[#This Row],[Large Provider Entity Code]]&amp;"; "&amp;R2819&amp;AS[[#This Row],[Age Band Code]]&amp;"; "&amp;S2819&amp;AS[[#This Row],[Sex Code]]</f>
        <v xml:space="preserve">Insurer Code ; Reporting Year ; Insurance Category Code ; Large Provider Entity Code ; Age Band Code ; Sex Code </v>
      </c>
      <c r="N2819" s="297" t="s">
        <v>197</v>
      </c>
      <c r="O2819" s="297" t="s">
        <v>198</v>
      </c>
      <c r="P2819" s="297" t="s">
        <v>199</v>
      </c>
      <c r="Q2819" s="297" t="s">
        <v>200</v>
      </c>
      <c r="R2819" s="297" t="s">
        <v>213</v>
      </c>
      <c r="S2819" s="297" t="s">
        <v>214</v>
      </c>
    </row>
    <row r="2820" spans="1:19" x14ac:dyDescent="0.4">
      <c r="A2820" s="291"/>
      <c r="B2820" s="292"/>
      <c r="C2820" s="312"/>
      <c r="D2820" s="292"/>
      <c r="E2820" s="489"/>
      <c r="F2820" s="489"/>
      <c r="G2820" s="490"/>
      <c r="H2820" s="520"/>
      <c r="I2820" s="523"/>
      <c r="J2820" s="521"/>
      <c r="K2820" s="522"/>
      <c r="M2820" s="301" t="str">
        <f>N2820&amp;AS[[#This Row],[Insurer Code]]&amp;"; "&amp;O2820&amp;AS[[#This Row],[Reporting Year]]&amp;"; "&amp;P2820&amp;AS[[#This Row],[Insurance Category Code]]&amp;"; "&amp;Q2820&amp;AS[[#This Row],[Large Provider Entity Code]]&amp;"; "&amp;R2820&amp;AS[[#This Row],[Age Band Code]]&amp;"; "&amp;S2820&amp;AS[[#This Row],[Sex Code]]</f>
        <v xml:space="preserve">Insurer Code ; Reporting Year ; Insurance Category Code ; Large Provider Entity Code ; Age Band Code ; Sex Code </v>
      </c>
      <c r="N2820" s="297" t="s">
        <v>197</v>
      </c>
      <c r="O2820" s="297" t="s">
        <v>198</v>
      </c>
      <c r="P2820" s="297" t="s">
        <v>199</v>
      </c>
      <c r="Q2820" s="297" t="s">
        <v>200</v>
      </c>
      <c r="R2820" s="297" t="s">
        <v>213</v>
      </c>
      <c r="S2820" s="297" t="s">
        <v>214</v>
      </c>
    </row>
    <row r="2821" spans="1:19" x14ac:dyDescent="0.4">
      <c r="A2821" s="291"/>
      <c r="B2821" s="292"/>
      <c r="C2821" s="312"/>
      <c r="D2821" s="292"/>
      <c r="E2821" s="489"/>
      <c r="F2821" s="489"/>
      <c r="G2821" s="490"/>
      <c r="H2821" s="520"/>
      <c r="I2821" s="523"/>
      <c r="J2821" s="521"/>
      <c r="K2821" s="522"/>
      <c r="M2821" s="301" t="str">
        <f>N2821&amp;AS[[#This Row],[Insurer Code]]&amp;"; "&amp;O2821&amp;AS[[#This Row],[Reporting Year]]&amp;"; "&amp;P2821&amp;AS[[#This Row],[Insurance Category Code]]&amp;"; "&amp;Q2821&amp;AS[[#This Row],[Large Provider Entity Code]]&amp;"; "&amp;R2821&amp;AS[[#This Row],[Age Band Code]]&amp;"; "&amp;S2821&amp;AS[[#This Row],[Sex Code]]</f>
        <v xml:space="preserve">Insurer Code ; Reporting Year ; Insurance Category Code ; Large Provider Entity Code ; Age Band Code ; Sex Code </v>
      </c>
      <c r="N2821" s="297" t="s">
        <v>197</v>
      </c>
      <c r="O2821" s="297" t="s">
        <v>198</v>
      </c>
      <c r="P2821" s="297" t="s">
        <v>199</v>
      </c>
      <c r="Q2821" s="297" t="s">
        <v>200</v>
      </c>
      <c r="R2821" s="297" t="s">
        <v>213</v>
      </c>
      <c r="S2821" s="297" t="s">
        <v>214</v>
      </c>
    </row>
    <row r="2822" spans="1:19" x14ac:dyDescent="0.4">
      <c r="A2822" s="291"/>
      <c r="B2822" s="292"/>
      <c r="C2822" s="312"/>
      <c r="D2822" s="292"/>
      <c r="E2822" s="489"/>
      <c r="F2822" s="489"/>
      <c r="G2822" s="490"/>
      <c r="H2822" s="520"/>
      <c r="I2822" s="523"/>
      <c r="J2822" s="521"/>
      <c r="K2822" s="522"/>
      <c r="M2822" s="301" t="str">
        <f>N2822&amp;AS[[#This Row],[Insurer Code]]&amp;"; "&amp;O2822&amp;AS[[#This Row],[Reporting Year]]&amp;"; "&amp;P2822&amp;AS[[#This Row],[Insurance Category Code]]&amp;"; "&amp;Q2822&amp;AS[[#This Row],[Large Provider Entity Code]]&amp;"; "&amp;R2822&amp;AS[[#This Row],[Age Band Code]]&amp;"; "&amp;S2822&amp;AS[[#This Row],[Sex Code]]</f>
        <v xml:space="preserve">Insurer Code ; Reporting Year ; Insurance Category Code ; Large Provider Entity Code ; Age Band Code ; Sex Code </v>
      </c>
      <c r="N2822" s="297" t="s">
        <v>197</v>
      </c>
      <c r="O2822" s="297" t="s">
        <v>198</v>
      </c>
      <c r="P2822" s="297" t="s">
        <v>199</v>
      </c>
      <c r="Q2822" s="297" t="s">
        <v>200</v>
      </c>
      <c r="R2822" s="297" t="s">
        <v>213</v>
      </c>
      <c r="S2822" s="297" t="s">
        <v>214</v>
      </c>
    </row>
    <row r="2823" spans="1:19" x14ac:dyDescent="0.4">
      <c r="A2823" s="291"/>
      <c r="B2823" s="292"/>
      <c r="C2823" s="312"/>
      <c r="D2823" s="292"/>
      <c r="E2823" s="489"/>
      <c r="F2823" s="489"/>
      <c r="G2823" s="490"/>
      <c r="H2823" s="520"/>
      <c r="I2823" s="523"/>
      <c r="J2823" s="521"/>
      <c r="K2823" s="522"/>
      <c r="M2823" s="301" t="str">
        <f>N2823&amp;AS[[#This Row],[Insurer Code]]&amp;"; "&amp;O2823&amp;AS[[#This Row],[Reporting Year]]&amp;"; "&amp;P2823&amp;AS[[#This Row],[Insurance Category Code]]&amp;"; "&amp;Q2823&amp;AS[[#This Row],[Large Provider Entity Code]]&amp;"; "&amp;R2823&amp;AS[[#This Row],[Age Band Code]]&amp;"; "&amp;S2823&amp;AS[[#This Row],[Sex Code]]</f>
        <v xml:space="preserve">Insurer Code ; Reporting Year ; Insurance Category Code ; Large Provider Entity Code ; Age Band Code ; Sex Code </v>
      </c>
      <c r="N2823" s="297" t="s">
        <v>197</v>
      </c>
      <c r="O2823" s="297" t="s">
        <v>198</v>
      </c>
      <c r="P2823" s="297" t="s">
        <v>199</v>
      </c>
      <c r="Q2823" s="297" t="s">
        <v>200</v>
      </c>
      <c r="R2823" s="297" t="s">
        <v>213</v>
      </c>
      <c r="S2823" s="297" t="s">
        <v>214</v>
      </c>
    </row>
    <row r="2824" spans="1:19" x14ac:dyDescent="0.4">
      <c r="A2824" s="291"/>
      <c r="B2824" s="292"/>
      <c r="C2824" s="312"/>
      <c r="D2824" s="292"/>
      <c r="E2824" s="489"/>
      <c r="F2824" s="489"/>
      <c r="G2824" s="490"/>
      <c r="H2824" s="520"/>
      <c r="I2824" s="523"/>
      <c r="J2824" s="521"/>
      <c r="K2824" s="522"/>
      <c r="M2824" s="301" t="str">
        <f>N2824&amp;AS[[#This Row],[Insurer Code]]&amp;"; "&amp;O2824&amp;AS[[#This Row],[Reporting Year]]&amp;"; "&amp;P2824&amp;AS[[#This Row],[Insurance Category Code]]&amp;"; "&amp;Q2824&amp;AS[[#This Row],[Large Provider Entity Code]]&amp;"; "&amp;R2824&amp;AS[[#This Row],[Age Band Code]]&amp;"; "&amp;S2824&amp;AS[[#This Row],[Sex Code]]</f>
        <v xml:space="preserve">Insurer Code ; Reporting Year ; Insurance Category Code ; Large Provider Entity Code ; Age Band Code ; Sex Code </v>
      </c>
      <c r="N2824" s="297" t="s">
        <v>197</v>
      </c>
      <c r="O2824" s="297" t="s">
        <v>198</v>
      </c>
      <c r="P2824" s="297" t="s">
        <v>199</v>
      </c>
      <c r="Q2824" s="297" t="s">
        <v>200</v>
      </c>
      <c r="R2824" s="297" t="s">
        <v>213</v>
      </c>
      <c r="S2824" s="297" t="s">
        <v>214</v>
      </c>
    </row>
    <row r="2825" spans="1:19" x14ac:dyDescent="0.4">
      <c r="A2825" s="291"/>
      <c r="B2825" s="292"/>
      <c r="C2825" s="312"/>
      <c r="D2825" s="292"/>
      <c r="E2825" s="489"/>
      <c r="F2825" s="489"/>
      <c r="G2825" s="490"/>
      <c r="H2825" s="520"/>
      <c r="I2825" s="523"/>
      <c r="J2825" s="521"/>
      <c r="K2825" s="522"/>
      <c r="M2825" s="301" t="str">
        <f>N2825&amp;AS[[#This Row],[Insurer Code]]&amp;"; "&amp;O2825&amp;AS[[#This Row],[Reporting Year]]&amp;"; "&amp;P2825&amp;AS[[#This Row],[Insurance Category Code]]&amp;"; "&amp;Q2825&amp;AS[[#This Row],[Large Provider Entity Code]]&amp;"; "&amp;R2825&amp;AS[[#This Row],[Age Band Code]]&amp;"; "&amp;S2825&amp;AS[[#This Row],[Sex Code]]</f>
        <v xml:space="preserve">Insurer Code ; Reporting Year ; Insurance Category Code ; Large Provider Entity Code ; Age Band Code ; Sex Code </v>
      </c>
      <c r="N2825" s="297" t="s">
        <v>197</v>
      </c>
      <c r="O2825" s="297" t="s">
        <v>198</v>
      </c>
      <c r="P2825" s="297" t="s">
        <v>199</v>
      </c>
      <c r="Q2825" s="297" t="s">
        <v>200</v>
      </c>
      <c r="R2825" s="297" t="s">
        <v>213</v>
      </c>
      <c r="S2825" s="297" t="s">
        <v>214</v>
      </c>
    </row>
    <row r="2826" spans="1:19" x14ac:dyDescent="0.4">
      <c r="A2826" s="291"/>
      <c r="B2826" s="292"/>
      <c r="C2826" s="312"/>
      <c r="D2826" s="292"/>
      <c r="E2826" s="489"/>
      <c r="F2826" s="489"/>
      <c r="G2826" s="490"/>
      <c r="H2826" s="520"/>
      <c r="I2826" s="523"/>
      <c r="J2826" s="521"/>
      <c r="K2826" s="522"/>
      <c r="M2826" s="301" t="str">
        <f>N2826&amp;AS[[#This Row],[Insurer Code]]&amp;"; "&amp;O2826&amp;AS[[#This Row],[Reporting Year]]&amp;"; "&amp;P2826&amp;AS[[#This Row],[Insurance Category Code]]&amp;"; "&amp;Q2826&amp;AS[[#This Row],[Large Provider Entity Code]]&amp;"; "&amp;R2826&amp;AS[[#This Row],[Age Band Code]]&amp;"; "&amp;S2826&amp;AS[[#This Row],[Sex Code]]</f>
        <v xml:space="preserve">Insurer Code ; Reporting Year ; Insurance Category Code ; Large Provider Entity Code ; Age Band Code ; Sex Code </v>
      </c>
      <c r="N2826" s="297" t="s">
        <v>197</v>
      </c>
      <c r="O2826" s="297" t="s">
        <v>198</v>
      </c>
      <c r="P2826" s="297" t="s">
        <v>199</v>
      </c>
      <c r="Q2826" s="297" t="s">
        <v>200</v>
      </c>
      <c r="R2826" s="297" t="s">
        <v>213</v>
      </c>
      <c r="S2826" s="297" t="s">
        <v>214</v>
      </c>
    </row>
    <row r="2827" spans="1:19" x14ac:dyDescent="0.4">
      <c r="A2827" s="291"/>
      <c r="B2827" s="292"/>
      <c r="C2827" s="312"/>
      <c r="D2827" s="292"/>
      <c r="E2827" s="489"/>
      <c r="F2827" s="489"/>
      <c r="G2827" s="490"/>
      <c r="H2827" s="520"/>
      <c r="I2827" s="523"/>
      <c r="J2827" s="521"/>
      <c r="K2827" s="522"/>
      <c r="M2827" s="301" t="str">
        <f>N2827&amp;AS[[#This Row],[Insurer Code]]&amp;"; "&amp;O2827&amp;AS[[#This Row],[Reporting Year]]&amp;"; "&amp;P2827&amp;AS[[#This Row],[Insurance Category Code]]&amp;"; "&amp;Q2827&amp;AS[[#This Row],[Large Provider Entity Code]]&amp;"; "&amp;R2827&amp;AS[[#This Row],[Age Band Code]]&amp;"; "&amp;S2827&amp;AS[[#This Row],[Sex Code]]</f>
        <v xml:space="preserve">Insurer Code ; Reporting Year ; Insurance Category Code ; Large Provider Entity Code ; Age Band Code ; Sex Code </v>
      </c>
      <c r="N2827" s="297" t="s">
        <v>197</v>
      </c>
      <c r="O2827" s="297" t="s">
        <v>198</v>
      </c>
      <c r="P2827" s="297" t="s">
        <v>199</v>
      </c>
      <c r="Q2827" s="297" t="s">
        <v>200</v>
      </c>
      <c r="R2827" s="297" t="s">
        <v>213</v>
      </c>
      <c r="S2827" s="297" t="s">
        <v>214</v>
      </c>
    </row>
    <row r="2828" spans="1:19" x14ac:dyDescent="0.4">
      <c r="A2828" s="291"/>
      <c r="B2828" s="292"/>
      <c r="C2828" s="312"/>
      <c r="D2828" s="292"/>
      <c r="E2828" s="489"/>
      <c r="F2828" s="489"/>
      <c r="G2828" s="490"/>
      <c r="H2828" s="520"/>
      <c r="I2828" s="523"/>
      <c r="J2828" s="521"/>
      <c r="K2828" s="522"/>
      <c r="M2828" s="301" t="str">
        <f>N2828&amp;AS[[#This Row],[Insurer Code]]&amp;"; "&amp;O2828&amp;AS[[#This Row],[Reporting Year]]&amp;"; "&amp;P2828&amp;AS[[#This Row],[Insurance Category Code]]&amp;"; "&amp;Q2828&amp;AS[[#This Row],[Large Provider Entity Code]]&amp;"; "&amp;R2828&amp;AS[[#This Row],[Age Band Code]]&amp;"; "&amp;S2828&amp;AS[[#This Row],[Sex Code]]</f>
        <v xml:space="preserve">Insurer Code ; Reporting Year ; Insurance Category Code ; Large Provider Entity Code ; Age Band Code ; Sex Code </v>
      </c>
      <c r="N2828" s="297" t="s">
        <v>197</v>
      </c>
      <c r="O2828" s="297" t="s">
        <v>198</v>
      </c>
      <c r="P2828" s="297" t="s">
        <v>199</v>
      </c>
      <c r="Q2828" s="297" t="s">
        <v>200</v>
      </c>
      <c r="R2828" s="297" t="s">
        <v>213</v>
      </c>
      <c r="S2828" s="297" t="s">
        <v>214</v>
      </c>
    </row>
    <row r="2829" spans="1:19" x14ac:dyDescent="0.4">
      <c r="A2829" s="291"/>
      <c r="B2829" s="292"/>
      <c r="C2829" s="312"/>
      <c r="D2829" s="292"/>
      <c r="E2829" s="489"/>
      <c r="F2829" s="489"/>
      <c r="G2829" s="490"/>
      <c r="H2829" s="520"/>
      <c r="I2829" s="523"/>
      <c r="J2829" s="521"/>
      <c r="K2829" s="522"/>
      <c r="M2829" s="301" t="str">
        <f>N2829&amp;AS[[#This Row],[Insurer Code]]&amp;"; "&amp;O2829&amp;AS[[#This Row],[Reporting Year]]&amp;"; "&amp;P2829&amp;AS[[#This Row],[Insurance Category Code]]&amp;"; "&amp;Q2829&amp;AS[[#This Row],[Large Provider Entity Code]]&amp;"; "&amp;R2829&amp;AS[[#This Row],[Age Band Code]]&amp;"; "&amp;S2829&amp;AS[[#This Row],[Sex Code]]</f>
        <v xml:space="preserve">Insurer Code ; Reporting Year ; Insurance Category Code ; Large Provider Entity Code ; Age Band Code ; Sex Code </v>
      </c>
      <c r="N2829" s="297" t="s">
        <v>197</v>
      </c>
      <c r="O2829" s="297" t="s">
        <v>198</v>
      </c>
      <c r="P2829" s="297" t="s">
        <v>199</v>
      </c>
      <c r="Q2829" s="297" t="s">
        <v>200</v>
      </c>
      <c r="R2829" s="297" t="s">
        <v>213</v>
      </c>
      <c r="S2829" s="297" t="s">
        <v>214</v>
      </c>
    </row>
    <row r="2830" spans="1:19" x14ac:dyDescent="0.4">
      <c r="A2830" s="291"/>
      <c r="B2830" s="292"/>
      <c r="C2830" s="312"/>
      <c r="D2830" s="292"/>
      <c r="E2830" s="489"/>
      <c r="F2830" s="489"/>
      <c r="G2830" s="490"/>
      <c r="H2830" s="520"/>
      <c r="I2830" s="523"/>
      <c r="J2830" s="521"/>
      <c r="K2830" s="522"/>
      <c r="M2830" s="301" t="str">
        <f>N2830&amp;AS[[#This Row],[Insurer Code]]&amp;"; "&amp;O2830&amp;AS[[#This Row],[Reporting Year]]&amp;"; "&amp;P2830&amp;AS[[#This Row],[Insurance Category Code]]&amp;"; "&amp;Q2830&amp;AS[[#This Row],[Large Provider Entity Code]]&amp;"; "&amp;R2830&amp;AS[[#This Row],[Age Band Code]]&amp;"; "&amp;S2830&amp;AS[[#This Row],[Sex Code]]</f>
        <v xml:space="preserve">Insurer Code ; Reporting Year ; Insurance Category Code ; Large Provider Entity Code ; Age Band Code ; Sex Code </v>
      </c>
      <c r="N2830" s="297" t="s">
        <v>197</v>
      </c>
      <c r="O2830" s="297" t="s">
        <v>198</v>
      </c>
      <c r="P2830" s="297" t="s">
        <v>199</v>
      </c>
      <c r="Q2830" s="297" t="s">
        <v>200</v>
      </c>
      <c r="R2830" s="297" t="s">
        <v>213</v>
      </c>
      <c r="S2830" s="297" t="s">
        <v>214</v>
      </c>
    </row>
    <row r="2831" spans="1:19" x14ac:dyDescent="0.4">
      <c r="A2831" s="291"/>
      <c r="B2831" s="292"/>
      <c r="C2831" s="312"/>
      <c r="D2831" s="292"/>
      <c r="E2831" s="489"/>
      <c r="F2831" s="489"/>
      <c r="G2831" s="490"/>
      <c r="H2831" s="520"/>
      <c r="I2831" s="523"/>
      <c r="J2831" s="521"/>
      <c r="K2831" s="522"/>
      <c r="M2831" s="301" t="str">
        <f>N2831&amp;AS[[#This Row],[Insurer Code]]&amp;"; "&amp;O2831&amp;AS[[#This Row],[Reporting Year]]&amp;"; "&amp;P2831&amp;AS[[#This Row],[Insurance Category Code]]&amp;"; "&amp;Q2831&amp;AS[[#This Row],[Large Provider Entity Code]]&amp;"; "&amp;R2831&amp;AS[[#This Row],[Age Band Code]]&amp;"; "&amp;S2831&amp;AS[[#This Row],[Sex Code]]</f>
        <v xml:space="preserve">Insurer Code ; Reporting Year ; Insurance Category Code ; Large Provider Entity Code ; Age Band Code ; Sex Code </v>
      </c>
      <c r="N2831" s="297" t="s">
        <v>197</v>
      </c>
      <c r="O2831" s="297" t="s">
        <v>198</v>
      </c>
      <c r="P2831" s="297" t="s">
        <v>199</v>
      </c>
      <c r="Q2831" s="297" t="s">
        <v>200</v>
      </c>
      <c r="R2831" s="297" t="s">
        <v>213</v>
      </c>
      <c r="S2831" s="297" t="s">
        <v>214</v>
      </c>
    </row>
    <row r="2832" spans="1:19" x14ac:dyDescent="0.4">
      <c r="A2832" s="291"/>
      <c r="B2832" s="292"/>
      <c r="C2832" s="312"/>
      <c r="D2832" s="292"/>
      <c r="E2832" s="489"/>
      <c r="F2832" s="489"/>
      <c r="G2832" s="490"/>
      <c r="H2832" s="520"/>
      <c r="I2832" s="523"/>
      <c r="J2832" s="521"/>
      <c r="K2832" s="522"/>
      <c r="M2832" s="301" t="str">
        <f>N2832&amp;AS[[#This Row],[Insurer Code]]&amp;"; "&amp;O2832&amp;AS[[#This Row],[Reporting Year]]&amp;"; "&amp;P2832&amp;AS[[#This Row],[Insurance Category Code]]&amp;"; "&amp;Q2832&amp;AS[[#This Row],[Large Provider Entity Code]]&amp;"; "&amp;R2832&amp;AS[[#This Row],[Age Band Code]]&amp;"; "&amp;S2832&amp;AS[[#This Row],[Sex Code]]</f>
        <v xml:space="preserve">Insurer Code ; Reporting Year ; Insurance Category Code ; Large Provider Entity Code ; Age Band Code ; Sex Code </v>
      </c>
      <c r="N2832" s="297" t="s">
        <v>197</v>
      </c>
      <c r="O2832" s="297" t="s">
        <v>198</v>
      </c>
      <c r="P2832" s="297" t="s">
        <v>199</v>
      </c>
      <c r="Q2832" s="297" t="s">
        <v>200</v>
      </c>
      <c r="R2832" s="297" t="s">
        <v>213</v>
      </c>
      <c r="S2832" s="297" t="s">
        <v>214</v>
      </c>
    </row>
    <row r="2833" spans="1:19" x14ac:dyDescent="0.4">
      <c r="A2833" s="291"/>
      <c r="B2833" s="292"/>
      <c r="C2833" s="312"/>
      <c r="D2833" s="292"/>
      <c r="E2833" s="489"/>
      <c r="F2833" s="489"/>
      <c r="G2833" s="490"/>
      <c r="H2833" s="520"/>
      <c r="I2833" s="523"/>
      <c r="J2833" s="521"/>
      <c r="K2833" s="522"/>
      <c r="M2833" s="301" t="str">
        <f>N2833&amp;AS[[#This Row],[Insurer Code]]&amp;"; "&amp;O2833&amp;AS[[#This Row],[Reporting Year]]&amp;"; "&amp;P2833&amp;AS[[#This Row],[Insurance Category Code]]&amp;"; "&amp;Q2833&amp;AS[[#This Row],[Large Provider Entity Code]]&amp;"; "&amp;R2833&amp;AS[[#This Row],[Age Band Code]]&amp;"; "&amp;S2833&amp;AS[[#This Row],[Sex Code]]</f>
        <v xml:space="preserve">Insurer Code ; Reporting Year ; Insurance Category Code ; Large Provider Entity Code ; Age Band Code ; Sex Code </v>
      </c>
      <c r="N2833" s="297" t="s">
        <v>197</v>
      </c>
      <c r="O2833" s="297" t="s">
        <v>198</v>
      </c>
      <c r="P2833" s="297" t="s">
        <v>199</v>
      </c>
      <c r="Q2833" s="297" t="s">
        <v>200</v>
      </c>
      <c r="R2833" s="297" t="s">
        <v>213</v>
      </c>
      <c r="S2833" s="297" t="s">
        <v>214</v>
      </c>
    </row>
    <row r="2834" spans="1:19" x14ac:dyDescent="0.4">
      <c r="A2834" s="291"/>
      <c r="B2834" s="292"/>
      <c r="C2834" s="312"/>
      <c r="D2834" s="292"/>
      <c r="E2834" s="489"/>
      <c r="F2834" s="489"/>
      <c r="G2834" s="490"/>
      <c r="H2834" s="520"/>
      <c r="I2834" s="523"/>
      <c r="J2834" s="521"/>
      <c r="K2834" s="522"/>
      <c r="M2834" s="301" t="str">
        <f>N2834&amp;AS[[#This Row],[Insurer Code]]&amp;"; "&amp;O2834&amp;AS[[#This Row],[Reporting Year]]&amp;"; "&amp;P2834&amp;AS[[#This Row],[Insurance Category Code]]&amp;"; "&amp;Q2834&amp;AS[[#This Row],[Large Provider Entity Code]]&amp;"; "&amp;R2834&amp;AS[[#This Row],[Age Band Code]]&amp;"; "&amp;S2834&amp;AS[[#This Row],[Sex Code]]</f>
        <v xml:space="preserve">Insurer Code ; Reporting Year ; Insurance Category Code ; Large Provider Entity Code ; Age Band Code ; Sex Code </v>
      </c>
      <c r="N2834" s="297" t="s">
        <v>197</v>
      </c>
      <c r="O2834" s="297" t="s">
        <v>198</v>
      </c>
      <c r="P2834" s="297" t="s">
        <v>199</v>
      </c>
      <c r="Q2834" s="297" t="s">
        <v>200</v>
      </c>
      <c r="R2834" s="297" t="s">
        <v>213</v>
      </c>
      <c r="S2834" s="297" t="s">
        <v>214</v>
      </c>
    </row>
    <row r="2835" spans="1:19" x14ac:dyDescent="0.4">
      <c r="A2835" s="291"/>
      <c r="B2835" s="292"/>
      <c r="C2835" s="312"/>
      <c r="D2835" s="292"/>
      <c r="E2835" s="489"/>
      <c r="F2835" s="489"/>
      <c r="G2835" s="490"/>
      <c r="H2835" s="520"/>
      <c r="I2835" s="523"/>
      <c r="J2835" s="521"/>
      <c r="K2835" s="522"/>
      <c r="M2835" s="301" t="str">
        <f>N2835&amp;AS[[#This Row],[Insurer Code]]&amp;"; "&amp;O2835&amp;AS[[#This Row],[Reporting Year]]&amp;"; "&amp;P2835&amp;AS[[#This Row],[Insurance Category Code]]&amp;"; "&amp;Q2835&amp;AS[[#This Row],[Large Provider Entity Code]]&amp;"; "&amp;R2835&amp;AS[[#This Row],[Age Band Code]]&amp;"; "&amp;S2835&amp;AS[[#This Row],[Sex Code]]</f>
        <v xml:space="preserve">Insurer Code ; Reporting Year ; Insurance Category Code ; Large Provider Entity Code ; Age Band Code ; Sex Code </v>
      </c>
      <c r="N2835" s="297" t="s">
        <v>197</v>
      </c>
      <c r="O2835" s="297" t="s">
        <v>198</v>
      </c>
      <c r="P2835" s="297" t="s">
        <v>199</v>
      </c>
      <c r="Q2835" s="297" t="s">
        <v>200</v>
      </c>
      <c r="R2835" s="297" t="s">
        <v>213</v>
      </c>
      <c r="S2835" s="297" t="s">
        <v>214</v>
      </c>
    </row>
    <row r="2836" spans="1:19" x14ac:dyDescent="0.4">
      <c r="A2836" s="291"/>
      <c r="B2836" s="292"/>
      <c r="C2836" s="312"/>
      <c r="D2836" s="292"/>
      <c r="E2836" s="489"/>
      <c r="F2836" s="489"/>
      <c r="G2836" s="490"/>
      <c r="H2836" s="520"/>
      <c r="I2836" s="523"/>
      <c r="J2836" s="521"/>
      <c r="K2836" s="522"/>
      <c r="M2836" s="301" t="str">
        <f>N2836&amp;AS[[#This Row],[Insurer Code]]&amp;"; "&amp;O2836&amp;AS[[#This Row],[Reporting Year]]&amp;"; "&amp;P2836&amp;AS[[#This Row],[Insurance Category Code]]&amp;"; "&amp;Q2836&amp;AS[[#This Row],[Large Provider Entity Code]]&amp;"; "&amp;R2836&amp;AS[[#This Row],[Age Band Code]]&amp;"; "&amp;S2836&amp;AS[[#This Row],[Sex Code]]</f>
        <v xml:space="preserve">Insurer Code ; Reporting Year ; Insurance Category Code ; Large Provider Entity Code ; Age Band Code ; Sex Code </v>
      </c>
      <c r="N2836" s="297" t="s">
        <v>197</v>
      </c>
      <c r="O2836" s="297" t="s">
        <v>198</v>
      </c>
      <c r="P2836" s="297" t="s">
        <v>199</v>
      </c>
      <c r="Q2836" s="297" t="s">
        <v>200</v>
      </c>
      <c r="R2836" s="297" t="s">
        <v>213</v>
      </c>
      <c r="S2836" s="297" t="s">
        <v>214</v>
      </c>
    </row>
    <row r="2837" spans="1:19" x14ac:dyDescent="0.4">
      <c r="A2837" s="291"/>
      <c r="B2837" s="292"/>
      <c r="C2837" s="312"/>
      <c r="D2837" s="292"/>
      <c r="E2837" s="489"/>
      <c r="F2837" s="489"/>
      <c r="G2837" s="490"/>
      <c r="H2837" s="520"/>
      <c r="I2837" s="523"/>
      <c r="J2837" s="521"/>
      <c r="K2837" s="522"/>
      <c r="M2837" s="301" t="str">
        <f>N2837&amp;AS[[#This Row],[Insurer Code]]&amp;"; "&amp;O2837&amp;AS[[#This Row],[Reporting Year]]&amp;"; "&amp;P2837&amp;AS[[#This Row],[Insurance Category Code]]&amp;"; "&amp;Q2837&amp;AS[[#This Row],[Large Provider Entity Code]]&amp;"; "&amp;R2837&amp;AS[[#This Row],[Age Band Code]]&amp;"; "&amp;S2837&amp;AS[[#This Row],[Sex Code]]</f>
        <v xml:space="preserve">Insurer Code ; Reporting Year ; Insurance Category Code ; Large Provider Entity Code ; Age Band Code ; Sex Code </v>
      </c>
      <c r="N2837" s="297" t="s">
        <v>197</v>
      </c>
      <c r="O2837" s="297" t="s">
        <v>198</v>
      </c>
      <c r="P2837" s="297" t="s">
        <v>199</v>
      </c>
      <c r="Q2837" s="297" t="s">
        <v>200</v>
      </c>
      <c r="R2837" s="297" t="s">
        <v>213</v>
      </c>
      <c r="S2837" s="297" t="s">
        <v>214</v>
      </c>
    </row>
    <row r="2838" spans="1:19" x14ac:dyDescent="0.4">
      <c r="A2838" s="291"/>
      <c r="B2838" s="292"/>
      <c r="C2838" s="312"/>
      <c r="D2838" s="292"/>
      <c r="E2838" s="489"/>
      <c r="F2838" s="489"/>
      <c r="G2838" s="490"/>
      <c r="H2838" s="520"/>
      <c r="I2838" s="523"/>
      <c r="J2838" s="521"/>
      <c r="K2838" s="522"/>
      <c r="M2838" s="301" t="str">
        <f>N2838&amp;AS[[#This Row],[Insurer Code]]&amp;"; "&amp;O2838&amp;AS[[#This Row],[Reporting Year]]&amp;"; "&amp;P2838&amp;AS[[#This Row],[Insurance Category Code]]&amp;"; "&amp;Q2838&amp;AS[[#This Row],[Large Provider Entity Code]]&amp;"; "&amp;R2838&amp;AS[[#This Row],[Age Band Code]]&amp;"; "&amp;S2838&amp;AS[[#This Row],[Sex Code]]</f>
        <v xml:space="preserve">Insurer Code ; Reporting Year ; Insurance Category Code ; Large Provider Entity Code ; Age Band Code ; Sex Code </v>
      </c>
      <c r="N2838" s="297" t="s">
        <v>197</v>
      </c>
      <c r="O2838" s="297" t="s">
        <v>198</v>
      </c>
      <c r="P2838" s="297" t="s">
        <v>199</v>
      </c>
      <c r="Q2838" s="297" t="s">
        <v>200</v>
      </c>
      <c r="R2838" s="297" t="s">
        <v>213</v>
      </c>
      <c r="S2838" s="297" t="s">
        <v>214</v>
      </c>
    </row>
    <row r="2839" spans="1:19" x14ac:dyDescent="0.4">
      <c r="A2839" s="291"/>
      <c r="B2839" s="292"/>
      <c r="C2839" s="312"/>
      <c r="D2839" s="292"/>
      <c r="E2839" s="489"/>
      <c r="F2839" s="489"/>
      <c r="G2839" s="490"/>
      <c r="H2839" s="520"/>
      <c r="I2839" s="523"/>
      <c r="J2839" s="521"/>
      <c r="K2839" s="522"/>
      <c r="M2839" s="301" t="str">
        <f>N2839&amp;AS[[#This Row],[Insurer Code]]&amp;"; "&amp;O2839&amp;AS[[#This Row],[Reporting Year]]&amp;"; "&amp;P2839&amp;AS[[#This Row],[Insurance Category Code]]&amp;"; "&amp;Q2839&amp;AS[[#This Row],[Large Provider Entity Code]]&amp;"; "&amp;R2839&amp;AS[[#This Row],[Age Band Code]]&amp;"; "&amp;S2839&amp;AS[[#This Row],[Sex Code]]</f>
        <v xml:space="preserve">Insurer Code ; Reporting Year ; Insurance Category Code ; Large Provider Entity Code ; Age Band Code ; Sex Code </v>
      </c>
      <c r="N2839" s="297" t="s">
        <v>197</v>
      </c>
      <c r="O2839" s="297" t="s">
        <v>198</v>
      </c>
      <c r="P2839" s="297" t="s">
        <v>199</v>
      </c>
      <c r="Q2839" s="297" t="s">
        <v>200</v>
      </c>
      <c r="R2839" s="297" t="s">
        <v>213</v>
      </c>
      <c r="S2839" s="297" t="s">
        <v>214</v>
      </c>
    </row>
    <row r="2840" spans="1:19" x14ac:dyDescent="0.4">
      <c r="A2840" s="291"/>
      <c r="B2840" s="292"/>
      <c r="C2840" s="312"/>
      <c r="D2840" s="292"/>
      <c r="E2840" s="489"/>
      <c r="F2840" s="489"/>
      <c r="G2840" s="490"/>
      <c r="H2840" s="520"/>
      <c r="I2840" s="523"/>
      <c r="J2840" s="521"/>
      <c r="K2840" s="522"/>
      <c r="M2840" s="301" t="str">
        <f>N2840&amp;AS[[#This Row],[Insurer Code]]&amp;"; "&amp;O2840&amp;AS[[#This Row],[Reporting Year]]&amp;"; "&amp;P2840&amp;AS[[#This Row],[Insurance Category Code]]&amp;"; "&amp;Q2840&amp;AS[[#This Row],[Large Provider Entity Code]]&amp;"; "&amp;R2840&amp;AS[[#This Row],[Age Band Code]]&amp;"; "&amp;S2840&amp;AS[[#This Row],[Sex Code]]</f>
        <v xml:space="preserve">Insurer Code ; Reporting Year ; Insurance Category Code ; Large Provider Entity Code ; Age Band Code ; Sex Code </v>
      </c>
      <c r="N2840" s="297" t="s">
        <v>197</v>
      </c>
      <c r="O2840" s="297" t="s">
        <v>198</v>
      </c>
      <c r="P2840" s="297" t="s">
        <v>199</v>
      </c>
      <c r="Q2840" s="297" t="s">
        <v>200</v>
      </c>
      <c r="R2840" s="297" t="s">
        <v>213</v>
      </c>
      <c r="S2840" s="297" t="s">
        <v>214</v>
      </c>
    </row>
    <row r="2841" spans="1:19" x14ac:dyDescent="0.4">
      <c r="A2841" s="291"/>
      <c r="B2841" s="292"/>
      <c r="C2841" s="312"/>
      <c r="D2841" s="292"/>
      <c r="E2841" s="489"/>
      <c r="F2841" s="489"/>
      <c r="G2841" s="490"/>
      <c r="H2841" s="520"/>
      <c r="I2841" s="523"/>
      <c r="J2841" s="521"/>
      <c r="K2841" s="522"/>
      <c r="M2841" s="301" t="str">
        <f>N2841&amp;AS[[#This Row],[Insurer Code]]&amp;"; "&amp;O2841&amp;AS[[#This Row],[Reporting Year]]&amp;"; "&amp;P2841&amp;AS[[#This Row],[Insurance Category Code]]&amp;"; "&amp;Q2841&amp;AS[[#This Row],[Large Provider Entity Code]]&amp;"; "&amp;R2841&amp;AS[[#This Row],[Age Band Code]]&amp;"; "&amp;S2841&amp;AS[[#This Row],[Sex Code]]</f>
        <v xml:space="preserve">Insurer Code ; Reporting Year ; Insurance Category Code ; Large Provider Entity Code ; Age Band Code ; Sex Code </v>
      </c>
      <c r="N2841" s="297" t="s">
        <v>197</v>
      </c>
      <c r="O2841" s="297" t="s">
        <v>198</v>
      </c>
      <c r="P2841" s="297" t="s">
        <v>199</v>
      </c>
      <c r="Q2841" s="297" t="s">
        <v>200</v>
      </c>
      <c r="R2841" s="297" t="s">
        <v>213</v>
      </c>
      <c r="S2841" s="297" t="s">
        <v>214</v>
      </c>
    </row>
    <row r="2842" spans="1:19" x14ac:dyDescent="0.4">
      <c r="A2842" s="291"/>
      <c r="B2842" s="292"/>
      <c r="C2842" s="312"/>
      <c r="D2842" s="292"/>
      <c r="E2842" s="489"/>
      <c r="F2842" s="489"/>
      <c r="G2842" s="490"/>
      <c r="H2842" s="520"/>
      <c r="I2842" s="523"/>
      <c r="J2842" s="521"/>
      <c r="K2842" s="522"/>
      <c r="M2842" s="301" t="str">
        <f>N2842&amp;AS[[#This Row],[Insurer Code]]&amp;"; "&amp;O2842&amp;AS[[#This Row],[Reporting Year]]&amp;"; "&amp;P2842&amp;AS[[#This Row],[Insurance Category Code]]&amp;"; "&amp;Q2842&amp;AS[[#This Row],[Large Provider Entity Code]]&amp;"; "&amp;R2842&amp;AS[[#This Row],[Age Band Code]]&amp;"; "&amp;S2842&amp;AS[[#This Row],[Sex Code]]</f>
        <v xml:space="preserve">Insurer Code ; Reporting Year ; Insurance Category Code ; Large Provider Entity Code ; Age Band Code ; Sex Code </v>
      </c>
      <c r="N2842" s="297" t="s">
        <v>197</v>
      </c>
      <c r="O2842" s="297" t="s">
        <v>198</v>
      </c>
      <c r="P2842" s="297" t="s">
        <v>199</v>
      </c>
      <c r="Q2842" s="297" t="s">
        <v>200</v>
      </c>
      <c r="R2842" s="297" t="s">
        <v>213</v>
      </c>
      <c r="S2842" s="297" t="s">
        <v>214</v>
      </c>
    </row>
    <row r="2843" spans="1:19" x14ac:dyDescent="0.4">
      <c r="A2843" s="291"/>
      <c r="B2843" s="292"/>
      <c r="C2843" s="312"/>
      <c r="D2843" s="292"/>
      <c r="E2843" s="489"/>
      <c r="F2843" s="489"/>
      <c r="G2843" s="490"/>
      <c r="H2843" s="520"/>
      <c r="I2843" s="523"/>
      <c r="J2843" s="521"/>
      <c r="K2843" s="522"/>
      <c r="M2843" s="301" t="str">
        <f>N2843&amp;AS[[#This Row],[Insurer Code]]&amp;"; "&amp;O2843&amp;AS[[#This Row],[Reporting Year]]&amp;"; "&amp;P2843&amp;AS[[#This Row],[Insurance Category Code]]&amp;"; "&amp;Q2843&amp;AS[[#This Row],[Large Provider Entity Code]]&amp;"; "&amp;R2843&amp;AS[[#This Row],[Age Band Code]]&amp;"; "&amp;S2843&amp;AS[[#This Row],[Sex Code]]</f>
        <v xml:space="preserve">Insurer Code ; Reporting Year ; Insurance Category Code ; Large Provider Entity Code ; Age Band Code ; Sex Code </v>
      </c>
      <c r="N2843" s="297" t="s">
        <v>197</v>
      </c>
      <c r="O2843" s="297" t="s">
        <v>198</v>
      </c>
      <c r="P2843" s="297" t="s">
        <v>199</v>
      </c>
      <c r="Q2843" s="297" t="s">
        <v>200</v>
      </c>
      <c r="R2843" s="297" t="s">
        <v>213</v>
      </c>
      <c r="S2843" s="297" t="s">
        <v>214</v>
      </c>
    </row>
    <row r="2844" spans="1:19" x14ac:dyDescent="0.4">
      <c r="A2844" s="291"/>
      <c r="B2844" s="292"/>
      <c r="C2844" s="312"/>
      <c r="D2844" s="292"/>
      <c r="E2844" s="489"/>
      <c r="F2844" s="489"/>
      <c r="G2844" s="490"/>
      <c r="H2844" s="520"/>
      <c r="I2844" s="523"/>
      <c r="J2844" s="521"/>
      <c r="K2844" s="522"/>
      <c r="M2844" s="301" t="str">
        <f>N2844&amp;AS[[#This Row],[Insurer Code]]&amp;"; "&amp;O2844&amp;AS[[#This Row],[Reporting Year]]&amp;"; "&amp;P2844&amp;AS[[#This Row],[Insurance Category Code]]&amp;"; "&amp;Q2844&amp;AS[[#This Row],[Large Provider Entity Code]]&amp;"; "&amp;R2844&amp;AS[[#This Row],[Age Band Code]]&amp;"; "&amp;S2844&amp;AS[[#This Row],[Sex Code]]</f>
        <v xml:space="preserve">Insurer Code ; Reporting Year ; Insurance Category Code ; Large Provider Entity Code ; Age Band Code ; Sex Code </v>
      </c>
      <c r="N2844" s="297" t="s">
        <v>197</v>
      </c>
      <c r="O2844" s="297" t="s">
        <v>198</v>
      </c>
      <c r="P2844" s="297" t="s">
        <v>199</v>
      </c>
      <c r="Q2844" s="297" t="s">
        <v>200</v>
      </c>
      <c r="R2844" s="297" t="s">
        <v>213</v>
      </c>
      <c r="S2844" s="297" t="s">
        <v>214</v>
      </c>
    </row>
    <row r="2845" spans="1:19" x14ac:dyDescent="0.4">
      <c r="A2845" s="291"/>
      <c r="B2845" s="292"/>
      <c r="C2845" s="312"/>
      <c r="D2845" s="292"/>
      <c r="E2845" s="489"/>
      <c r="F2845" s="489"/>
      <c r="G2845" s="490"/>
      <c r="H2845" s="520"/>
      <c r="I2845" s="523"/>
      <c r="J2845" s="521"/>
      <c r="K2845" s="522"/>
      <c r="M2845" s="301" t="str">
        <f>N2845&amp;AS[[#This Row],[Insurer Code]]&amp;"; "&amp;O2845&amp;AS[[#This Row],[Reporting Year]]&amp;"; "&amp;P2845&amp;AS[[#This Row],[Insurance Category Code]]&amp;"; "&amp;Q2845&amp;AS[[#This Row],[Large Provider Entity Code]]&amp;"; "&amp;R2845&amp;AS[[#This Row],[Age Band Code]]&amp;"; "&amp;S2845&amp;AS[[#This Row],[Sex Code]]</f>
        <v xml:space="preserve">Insurer Code ; Reporting Year ; Insurance Category Code ; Large Provider Entity Code ; Age Band Code ; Sex Code </v>
      </c>
      <c r="N2845" s="297" t="s">
        <v>197</v>
      </c>
      <c r="O2845" s="297" t="s">
        <v>198</v>
      </c>
      <c r="P2845" s="297" t="s">
        <v>199</v>
      </c>
      <c r="Q2845" s="297" t="s">
        <v>200</v>
      </c>
      <c r="R2845" s="297" t="s">
        <v>213</v>
      </c>
      <c r="S2845" s="297" t="s">
        <v>214</v>
      </c>
    </row>
    <row r="2846" spans="1:19" x14ac:dyDescent="0.4">
      <c r="A2846" s="291"/>
      <c r="B2846" s="292"/>
      <c r="C2846" s="312"/>
      <c r="D2846" s="292"/>
      <c r="E2846" s="489"/>
      <c r="F2846" s="489"/>
      <c r="G2846" s="490"/>
      <c r="H2846" s="520"/>
      <c r="I2846" s="523"/>
      <c r="J2846" s="521"/>
      <c r="K2846" s="522"/>
      <c r="M2846" s="301" t="str">
        <f>N2846&amp;AS[[#This Row],[Insurer Code]]&amp;"; "&amp;O2846&amp;AS[[#This Row],[Reporting Year]]&amp;"; "&amp;P2846&amp;AS[[#This Row],[Insurance Category Code]]&amp;"; "&amp;Q2846&amp;AS[[#This Row],[Large Provider Entity Code]]&amp;"; "&amp;R2846&amp;AS[[#This Row],[Age Band Code]]&amp;"; "&amp;S2846&amp;AS[[#This Row],[Sex Code]]</f>
        <v xml:space="preserve">Insurer Code ; Reporting Year ; Insurance Category Code ; Large Provider Entity Code ; Age Band Code ; Sex Code </v>
      </c>
      <c r="N2846" s="297" t="s">
        <v>197</v>
      </c>
      <c r="O2846" s="297" t="s">
        <v>198</v>
      </c>
      <c r="P2846" s="297" t="s">
        <v>199</v>
      </c>
      <c r="Q2846" s="297" t="s">
        <v>200</v>
      </c>
      <c r="R2846" s="297" t="s">
        <v>213</v>
      </c>
      <c r="S2846" s="297" t="s">
        <v>214</v>
      </c>
    </row>
    <row r="2847" spans="1:19" x14ac:dyDescent="0.4">
      <c r="A2847" s="291"/>
      <c r="B2847" s="292"/>
      <c r="C2847" s="312"/>
      <c r="D2847" s="292"/>
      <c r="E2847" s="489"/>
      <c r="F2847" s="489"/>
      <c r="G2847" s="490"/>
      <c r="H2847" s="520"/>
      <c r="I2847" s="523"/>
      <c r="J2847" s="521"/>
      <c r="K2847" s="522"/>
      <c r="M2847" s="301" t="str">
        <f>N2847&amp;AS[[#This Row],[Insurer Code]]&amp;"; "&amp;O2847&amp;AS[[#This Row],[Reporting Year]]&amp;"; "&amp;P2847&amp;AS[[#This Row],[Insurance Category Code]]&amp;"; "&amp;Q2847&amp;AS[[#This Row],[Large Provider Entity Code]]&amp;"; "&amp;R2847&amp;AS[[#This Row],[Age Band Code]]&amp;"; "&amp;S2847&amp;AS[[#This Row],[Sex Code]]</f>
        <v xml:space="preserve">Insurer Code ; Reporting Year ; Insurance Category Code ; Large Provider Entity Code ; Age Band Code ; Sex Code </v>
      </c>
      <c r="N2847" s="297" t="s">
        <v>197</v>
      </c>
      <c r="O2847" s="297" t="s">
        <v>198</v>
      </c>
      <c r="P2847" s="297" t="s">
        <v>199</v>
      </c>
      <c r="Q2847" s="297" t="s">
        <v>200</v>
      </c>
      <c r="R2847" s="297" t="s">
        <v>213</v>
      </c>
      <c r="S2847" s="297" t="s">
        <v>214</v>
      </c>
    </row>
    <row r="2848" spans="1:19" x14ac:dyDescent="0.4">
      <c r="A2848" s="291"/>
      <c r="B2848" s="292"/>
      <c r="C2848" s="312"/>
      <c r="D2848" s="292"/>
      <c r="E2848" s="489"/>
      <c r="F2848" s="489"/>
      <c r="G2848" s="490"/>
      <c r="H2848" s="520"/>
      <c r="I2848" s="523"/>
      <c r="J2848" s="521"/>
      <c r="K2848" s="522"/>
      <c r="M2848" s="301" t="str">
        <f>N2848&amp;AS[[#This Row],[Insurer Code]]&amp;"; "&amp;O2848&amp;AS[[#This Row],[Reporting Year]]&amp;"; "&amp;P2848&amp;AS[[#This Row],[Insurance Category Code]]&amp;"; "&amp;Q2848&amp;AS[[#This Row],[Large Provider Entity Code]]&amp;"; "&amp;R2848&amp;AS[[#This Row],[Age Band Code]]&amp;"; "&amp;S2848&amp;AS[[#This Row],[Sex Code]]</f>
        <v xml:space="preserve">Insurer Code ; Reporting Year ; Insurance Category Code ; Large Provider Entity Code ; Age Band Code ; Sex Code </v>
      </c>
      <c r="N2848" s="297" t="s">
        <v>197</v>
      </c>
      <c r="O2848" s="297" t="s">
        <v>198</v>
      </c>
      <c r="P2848" s="297" t="s">
        <v>199</v>
      </c>
      <c r="Q2848" s="297" t="s">
        <v>200</v>
      </c>
      <c r="R2848" s="297" t="s">
        <v>213</v>
      </c>
      <c r="S2848" s="297" t="s">
        <v>214</v>
      </c>
    </row>
    <row r="2849" spans="1:19" x14ac:dyDescent="0.4">
      <c r="A2849" s="291"/>
      <c r="B2849" s="292"/>
      <c r="C2849" s="312"/>
      <c r="D2849" s="292"/>
      <c r="E2849" s="489"/>
      <c r="F2849" s="489"/>
      <c r="G2849" s="490"/>
      <c r="H2849" s="520"/>
      <c r="I2849" s="523"/>
      <c r="J2849" s="521"/>
      <c r="K2849" s="522"/>
      <c r="M2849" s="301" t="str">
        <f>N2849&amp;AS[[#This Row],[Insurer Code]]&amp;"; "&amp;O2849&amp;AS[[#This Row],[Reporting Year]]&amp;"; "&amp;P2849&amp;AS[[#This Row],[Insurance Category Code]]&amp;"; "&amp;Q2849&amp;AS[[#This Row],[Large Provider Entity Code]]&amp;"; "&amp;R2849&amp;AS[[#This Row],[Age Band Code]]&amp;"; "&amp;S2849&amp;AS[[#This Row],[Sex Code]]</f>
        <v xml:space="preserve">Insurer Code ; Reporting Year ; Insurance Category Code ; Large Provider Entity Code ; Age Band Code ; Sex Code </v>
      </c>
      <c r="N2849" s="297" t="s">
        <v>197</v>
      </c>
      <c r="O2849" s="297" t="s">
        <v>198</v>
      </c>
      <c r="P2849" s="297" t="s">
        <v>199</v>
      </c>
      <c r="Q2849" s="297" t="s">
        <v>200</v>
      </c>
      <c r="R2849" s="297" t="s">
        <v>213</v>
      </c>
      <c r="S2849" s="297" t="s">
        <v>214</v>
      </c>
    </row>
    <row r="2850" spans="1:19" x14ac:dyDescent="0.4">
      <c r="A2850" s="291"/>
      <c r="B2850" s="292"/>
      <c r="C2850" s="312"/>
      <c r="D2850" s="292"/>
      <c r="E2850" s="489"/>
      <c r="F2850" s="489"/>
      <c r="G2850" s="490"/>
      <c r="H2850" s="520"/>
      <c r="I2850" s="523"/>
      <c r="J2850" s="521"/>
      <c r="K2850" s="522"/>
      <c r="M2850" s="301" t="str">
        <f>N2850&amp;AS[[#This Row],[Insurer Code]]&amp;"; "&amp;O2850&amp;AS[[#This Row],[Reporting Year]]&amp;"; "&amp;P2850&amp;AS[[#This Row],[Insurance Category Code]]&amp;"; "&amp;Q2850&amp;AS[[#This Row],[Large Provider Entity Code]]&amp;"; "&amp;R2850&amp;AS[[#This Row],[Age Band Code]]&amp;"; "&amp;S2850&amp;AS[[#This Row],[Sex Code]]</f>
        <v xml:space="preserve">Insurer Code ; Reporting Year ; Insurance Category Code ; Large Provider Entity Code ; Age Band Code ; Sex Code </v>
      </c>
      <c r="N2850" s="297" t="s">
        <v>197</v>
      </c>
      <c r="O2850" s="297" t="s">
        <v>198</v>
      </c>
      <c r="P2850" s="297" t="s">
        <v>199</v>
      </c>
      <c r="Q2850" s="297" t="s">
        <v>200</v>
      </c>
      <c r="R2850" s="297" t="s">
        <v>213</v>
      </c>
      <c r="S2850" s="297" t="s">
        <v>214</v>
      </c>
    </row>
    <row r="2851" spans="1:19" x14ac:dyDescent="0.4">
      <c r="A2851" s="291"/>
      <c r="B2851" s="292"/>
      <c r="C2851" s="312"/>
      <c r="D2851" s="292"/>
      <c r="E2851" s="489"/>
      <c r="F2851" s="489"/>
      <c r="G2851" s="490"/>
      <c r="H2851" s="520"/>
      <c r="I2851" s="523"/>
      <c r="J2851" s="521"/>
      <c r="K2851" s="522"/>
      <c r="M2851" s="301" t="str">
        <f>N2851&amp;AS[[#This Row],[Insurer Code]]&amp;"; "&amp;O2851&amp;AS[[#This Row],[Reporting Year]]&amp;"; "&amp;P2851&amp;AS[[#This Row],[Insurance Category Code]]&amp;"; "&amp;Q2851&amp;AS[[#This Row],[Large Provider Entity Code]]&amp;"; "&amp;R2851&amp;AS[[#This Row],[Age Band Code]]&amp;"; "&amp;S2851&amp;AS[[#This Row],[Sex Code]]</f>
        <v xml:space="preserve">Insurer Code ; Reporting Year ; Insurance Category Code ; Large Provider Entity Code ; Age Band Code ; Sex Code </v>
      </c>
      <c r="N2851" s="297" t="s">
        <v>197</v>
      </c>
      <c r="O2851" s="297" t="s">
        <v>198</v>
      </c>
      <c r="P2851" s="297" t="s">
        <v>199</v>
      </c>
      <c r="Q2851" s="297" t="s">
        <v>200</v>
      </c>
      <c r="R2851" s="297" t="s">
        <v>213</v>
      </c>
      <c r="S2851" s="297" t="s">
        <v>214</v>
      </c>
    </row>
    <row r="2852" spans="1:19" x14ac:dyDescent="0.4">
      <c r="A2852" s="291"/>
      <c r="B2852" s="292"/>
      <c r="C2852" s="312"/>
      <c r="D2852" s="292"/>
      <c r="E2852" s="489"/>
      <c r="F2852" s="489"/>
      <c r="G2852" s="490"/>
      <c r="H2852" s="520"/>
      <c r="I2852" s="523"/>
      <c r="J2852" s="521"/>
      <c r="K2852" s="522"/>
      <c r="M2852" s="301" t="str">
        <f>N2852&amp;AS[[#This Row],[Insurer Code]]&amp;"; "&amp;O2852&amp;AS[[#This Row],[Reporting Year]]&amp;"; "&amp;P2852&amp;AS[[#This Row],[Insurance Category Code]]&amp;"; "&amp;Q2852&amp;AS[[#This Row],[Large Provider Entity Code]]&amp;"; "&amp;R2852&amp;AS[[#This Row],[Age Band Code]]&amp;"; "&amp;S2852&amp;AS[[#This Row],[Sex Code]]</f>
        <v xml:space="preserve">Insurer Code ; Reporting Year ; Insurance Category Code ; Large Provider Entity Code ; Age Band Code ; Sex Code </v>
      </c>
      <c r="N2852" s="297" t="s">
        <v>197</v>
      </c>
      <c r="O2852" s="297" t="s">
        <v>198</v>
      </c>
      <c r="P2852" s="297" t="s">
        <v>199</v>
      </c>
      <c r="Q2852" s="297" t="s">
        <v>200</v>
      </c>
      <c r="R2852" s="297" t="s">
        <v>213</v>
      </c>
      <c r="S2852" s="297" t="s">
        <v>214</v>
      </c>
    </row>
    <row r="2853" spans="1:19" x14ac:dyDescent="0.4">
      <c r="A2853" s="291"/>
      <c r="B2853" s="292"/>
      <c r="C2853" s="312"/>
      <c r="D2853" s="292"/>
      <c r="E2853" s="489"/>
      <c r="F2853" s="489"/>
      <c r="G2853" s="490"/>
      <c r="H2853" s="520"/>
      <c r="I2853" s="523"/>
      <c r="J2853" s="521"/>
      <c r="K2853" s="522"/>
      <c r="M2853" s="301" t="str">
        <f>N2853&amp;AS[[#This Row],[Insurer Code]]&amp;"; "&amp;O2853&amp;AS[[#This Row],[Reporting Year]]&amp;"; "&amp;P2853&amp;AS[[#This Row],[Insurance Category Code]]&amp;"; "&amp;Q2853&amp;AS[[#This Row],[Large Provider Entity Code]]&amp;"; "&amp;R2853&amp;AS[[#This Row],[Age Band Code]]&amp;"; "&amp;S2853&amp;AS[[#This Row],[Sex Code]]</f>
        <v xml:space="preserve">Insurer Code ; Reporting Year ; Insurance Category Code ; Large Provider Entity Code ; Age Band Code ; Sex Code </v>
      </c>
      <c r="N2853" s="297" t="s">
        <v>197</v>
      </c>
      <c r="O2853" s="297" t="s">
        <v>198</v>
      </c>
      <c r="P2853" s="297" t="s">
        <v>199</v>
      </c>
      <c r="Q2853" s="297" t="s">
        <v>200</v>
      </c>
      <c r="R2853" s="297" t="s">
        <v>213</v>
      </c>
      <c r="S2853" s="297" t="s">
        <v>214</v>
      </c>
    </row>
    <row r="2854" spans="1:19" x14ac:dyDescent="0.4">
      <c r="A2854" s="291"/>
      <c r="B2854" s="292"/>
      <c r="C2854" s="312"/>
      <c r="D2854" s="292"/>
      <c r="E2854" s="489"/>
      <c r="F2854" s="489"/>
      <c r="G2854" s="490"/>
      <c r="H2854" s="520"/>
      <c r="I2854" s="523"/>
      <c r="J2854" s="521"/>
      <c r="K2854" s="522"/>
      <c r="M2854" s="301" t="str">
        <f>N2854&amp;AS[[#This Row],[Insurer Code]]&amp;"; "&amp;O2854&amp;AS[[#This Row],[Reporting Year]]&amp;"; "&amp;P2854&amp;AS[[#This Row],[Insurance Category Code]]&amp;"; "&amp;Q2854&amp;AS[[#This Row],[Large Provider Entity Code]]&amp;"; "&amp;R2854&amp;AS[[#This Row],[Age Band Code]]&amp;"; "&amp;S2854&amp;AS[[#This Row],[Sex Code]]</f>
        <v xml:space="preserve">Insurer Code ; Reporting Year ; Insurance Category Code ; Large Provider Entity Code ; Age Band Code ; Sex Code </v>
      </c>
      <c r="N2854" s="297" t="s">
        <v>197</v>
      </c>
      <c r="O2854" s="297" t="s">
        <v>198</v>
      </c>
      <c r="P2854" s="297" t="s">
        <v>199</v>
      </c>
      <c r="Q2854" s="297" t="s">
        <v>200</v>
      </c>
      <c r="R2854" s="297" t="s">
        <v>213</v>
      </c>
      <c r="S2854" s="297" t="s">
        <v>214</v>
      </c>
    </row>
    <row r="2855" spans="1:19" x14ac:dyDescent="0.4">
      <c r="A2855" s="291"/>
      <c r="B2855" s="292"/>
      <c r="C2855" s="312"/>
      <c r="D2855" s="292"/>
      <c r="E2855" s="489"/>
      <c r="F2855" s="489"/>
      <c r="G2855" s="490"/>
      <c r="H2855" s="520"/>
      <c r="I2855" s="523"/>
      <c r="J2855" s="521"/>
      <c r="K2855" s="522"/>
      <c r="M2855" s="301" t="str">
        <f>N2855&amp;AS[[#This Row],[Insurer Code]]&amp;"; "&amp;O2855&amp;AS[[#This Row],[Reporting Year]]&amp;"; "&amp;P2855&amp;AS[[#This Row],[Insurance Category Code]]&amp;"; "&amp;Q2855&amp;AS[[#This Row],[Large Provider Entity Code]]&amp;"; "&amp;R2855&amp;AS[[#This Row],[Age Band Code]]&amp;"; "&amp;S2855&amp;AS[[#This Row],[Sex Code]]</f>
        <v xml:space="preserve">Insurer Code ; Reporting Year ; Insurance Category Code ; Large Provider Entity Code ; Age Band Code ; Sex Code </v>
      </c>
      <c r="N2855" s="297" t="s">
        <v>197</v>
      </c>
      <c r="O2855" s="297" t="s">
        <v>198</v>
      </c>
      <c r="P2855" s="297" t="s">
        <v>199</v>
      </c>
      <c r="Q2855" s="297" t="s">
        <v>200</v>
      </c>
      <c r="R2855" s="297" t="s">
        <v>213</v>
      </c>
      <c r="S2855" s="297" t="s">
        <v>214</v>
      </c>
    </row>
    <row r="2856" spans="1:19" x14ac:dyDescent="0.4">
      <c r="A2856" s="291"/>
      <c r="B2856" s="292"/>
      <c r="C2856" s="312"/>
      <c r="D2856" s="292"/>
      <c r="E2856" s="489"/>
      <c r="F2856" s="489"/>
      <c r="G2856" s="490"/>
      <c r="H2856" s="520"/>
      <c r="I2856" s="523"/>
      <c r="J2856" s="521"/>
      <c r="K2856" s="522"/>
      <c r="M2856" s="301" t="str">
        <f>N2856&amp;AS[[#This Row],[Insurer Code]]&amp;"; "&amp;O2856&amp;AS[[#This Row],[Reporting Year]]&amp;"; "&amp;P2856&amp;AS[[#This Row],[Insurance Category Code]]&amp;"; "&amp;Q2856&amp;AS[[#This Row],[Large Provider Entity Code]]&amp;"; "&amp;R2856&amp;AS[[#This Row],[Age Band Code]]&amp;"; "&amp;S2856&amp;AS[[#This Row],[Sex Code]]</f>
        <v xml:space="preserve">Insurer Code ; Reporting Year ; Insurance Category Code ; Large Provider Entity Code ; Age Band Code ; Sex Code </v>
      </c>
      <c r="N2856" s="297" t="s">
        <v>197</v>
      </c>
      <c r="O2856" s="297" t="s">
        <v>198</v>
      </c>
      <c r="P2856" s="297" t="s">
        <v>199</v>
      </c>
      <c r="Q2856" s="297" t="s">
        <v>200</v>
      </c>
      <c r="R2856" s="297" t="s">
        <v>213</v>
      </c>
      <c r="S2856" s="297" t="s">
        <v>214</v>
      </c>
    </row>
    <row r="2857" spans="1:19" x14ac:dyDescent="0.4">
      <c r="A2857" s="291"/>
      <c r="B2857" s="292"/>
      <c r="C2857" s="312"/>
      <c r="D2857" s="292"/>
      <c r="E2857" s="489"/>
      <c r="F2857" s="489"/>
      <c r="G2857" s="490"/>
      <c r="H2857" s="520"/>
      <c r="I2857" s="523"/>
      <c r="J2857" s="521"/>
      <c r="K2857" s="522"/>
      <c r="M2857" s="301" t="str">
        <f>N2857&amp;AS[[#This Row],[Insurer Code]]&amp;"; "&amp;O2857&amp;AS[[#This Row],[Reporting Year]]&amp;"; "&amp;P2857&amp;AS[[#This Row],[Insurance Category Code]]&amp;"; "&amp;Q2857&amp;AS[[#This Row],[Large Provider Entity Code]]&amp;"; "&amp;R2857&amp;AS[[#This Row],[Age Band Code]]&amp;"; "&amp;S2857&amp;AS[[#This Row],[Sex Code]]</f>
        <v xml:space="preserve">Insurer Code ; Reporting Year ; Insurance Category Code ; Large Provider Entity Code ; Age Band Code ; Sex Code </v>
      </c>
      <c r="N2857" s="297" t="s">
        <v>197</v>
      </c>
      <c r="O2857" s="297" t="s">
        <v>198</v>
      </c>
      <c r="P2857" s="297" t="s">
        <v>199</v>
      </c>
      <c r="Q2857" s="297" t="s">
        <v>200</v>
      </c>
      <c r="R2857" s="297" t="s">
        <v>213</v>
      </c>
      <c r="S2857" s="297" t="s">
        <v>214</v>
      </c>
    </row>
    <row r="2858" spans="1:19" x14ac:dyDescent="0.4">
      <c r="A2858" s="291"/>
      <c r="B2858" s="292"/>
      <c r="C2858" s="312"/>
      <c r="D2858" s="292"/>
      <c r="E2858" s="489"/>
      <c r="F2858" s="489"/>
      <c r="G2858" s="490"/>
      <c r="H2858" s="520"/>
      <c r="I2858" s="523"/>
      <c r="J2858" s="521"/>
      <c r="K2858" s="522"/>
      <c r="M2858" s="301" t="str">
        <f>N2858&amp;AS[[#This Row],[Insurer Code]]&amp;"; "&amp;O2858&amp;AS[[#This Row],[Reporting Year]]&amp;"; "&amp;P2858&amp;AS[[#This Row],[Insurance Category Code]]&amp;"; "&amp;Q2858&amp;AS[[#This Row],[Large Provider Entity Code]]&amp;"; "&amp;R2858&amp;AS[[#This Row],[Age Band Code]]&amp;"; "&amp;S2858&amp;AS[[#This Row],[Sex Code]]</f>
        <v xml:space="preserve">Insurer Code ; Reporting Year ; Insurance Category Code ; Large Provider Entity Code ; Age Band Code ; Sex Code </v>
      </c>
      <c r="N2858" s="297" t="s">
        <v>197</v>
      </c>
      <c r="O2858" s="297" t="s">
        <v>198</v>
      </c>
      <c r="P2858" s="297" t="s">
        <v>199</v>
      </c>
      <c r="Q2858" s="297" t="s">
        <v>200</v>
      </c>
      <c r="R2858" s="297" t="s">
        <v>213</v>
      </c>
      <c r="S2858" s="297" t="s">
        <v>214</v>
      </c>
    </row>
    <row r="2859" spans="1:19" x14ac:dyDescent="0.4">
      <c r="A2859" s="291"/>
      <c r="B2859" s="292"/>
      <c r="C2859" s="312"/>
      <c r="D2859" s="292"/>
      <c r="E2859" s="489"/>
      <c r="F2859" s="489"/>
      <c r="G2859" s="490"/>
      <c r="H2859" s="520"/>
      <c r="I2859" s="523"/>
      <c r="J2859" s="521"/>
      <c r="K2859" s="522"/>
      <c r="M2859" s="301" t="str">
        <f>N2859&amp;AS[[#This Row],[Insurer Code]]&amp;"; "&amp;O2859&amp;AS[[#This Row],[Reporting Year]]&amp;"; "&amp;P2859&amp;AS[[#This Row],[Insurance Category Code]]&amp;"; "&amp;Q2859&amp;AS[[#This Row],[Large Provider Entity Code]]&amp;"; "&amp;R2859&amp;AS[[#This Row],[Age Band Code]]&amp;"; "&amp;S2859&amp;AS[[#This Row],[Sex Code]]</f>
        <v xml:space="preserve">Insurer Code ; Reporting Year ; Insurance Category Code ; Large Provider Entity Code ; Age Band Code ; Sex Code </v>
      </c>
      <c r="N2859" s="297" t="s">
        <v>197</v>
      </c>
      <c r="O2859" s="297" t="s">
        <v>198</v>
      </c>
      <c r="P2859" s="297" t="s">
        <v>199</v>
      </c>
      <c r="Q2859" s="297" t="s">
        <v>200</v>
      </c>
      <c r="R2859" s="297" t="s">
        <v>213</v>
      </c>
      <c r="S2859" s="297" t="s">
        <v>214</v>
      </c>
    </row>
    <row r="2860" spans="1:19" x14ac:dyDescent="0.4">
      <c r="A2860" s="291"/>
      <c r="B2860" s="292"/>
      <c r="C2860" s="312"/>
      <c r="D2860" s="292"/>
      <c r="E2860" s="489"/>
      <c r="F2860" s="489"/>
      <c r="G2860" s="490"/>
      <c r="H2860" s="520"/>
      <c r="I2860" s="523"/>
      <c r="J2860" s="521"/>
      <c r="K2860" s="522"/>
      <c r="M2860" s="301" t="str">
        <f>N2860&amp;AS[[#This Row],[Insurer Code]]&amp;"; "&amp;O2860&amp;AS[[#This Row],[Reporting Year]]&amp;"; "&amp;P2860&amp;AS[[#This Row],[Insurance Category Code]]&amp;"; "&amp;Q2860&amp;AS[[#This Row],[Large Provider Entity Code]]&amp;"; "&amp;R2860&amp;AS[[#This Row],[Age Band Code]]&amp;"; "&amp;S2860&amp;AS[[#This Row],[Sex Code]]</f>
        <v xml:space="preserve">Insurer Code ; Reporting Year ; Insurance Category Code ; Large Provider Entity Code ; Age Band Code ; Sex Code </v>
      </c>
      <c r="N2860" s="297" t="s">
        <v>197</v>
      </c>
      <c r="O2860" s="297" t="s">
        <v>198</v>
      </c>
      <c r="P2860" s="297" t="s">
        <v>199</v>
      </c>
      <c r="Q2860" s="297" t="s">
        <v>200</v>
      </c>
      <c r="R2860" s="297" t="s">
        <v>213</v>
      </c>
      <c r="S2860" s="297" t="s">
        <v>214</v>
      </c>
    </row>
    <row r="2861" spans="1:19" x14ac:dyDescent="0.4">
      <c r="A2861" s="291"/>
      <c r="B2861" s="292"/>
      <c r="C2861" s="312"/>
      <c r="D2861" s="292"/>
      <c r="E2861" s="489"/>
      <c r="F2861" s="489"/>
      <c r="G2861" s="490"/>
      <c r="H2861" s="520"/>
      <c r="I2861" s="523"/>
      <c r="J2861" s="521"/>
      <c r="K2861" s="522"/>
      <c r="M2861" s="301" t="str">
        <f>N2861&amp;AS[[#This Row],[Insurer Code]]&amp;"; "&amp;O2861&amp;AS[[#This Row],[Reporting Year]]&amp;"; "&amp;P2861&amp;AS[[#This Row],[Insurance Category Code]]&amp;"; "&amp;Q2861&amp;AS[[#This Row],[Large Provider Entity Code]]&amp;"; "&amp;R2861&amp;AS[[#This Row],[Age Band Code]]&amp;"; "&amp;S2861&amp;AS[[#This Row],[Sex Code]]</f>
        <v xml:space="preserve">Insurer Code ; Reporting Year ; Insurance Category Code ; Large Provider Entity Code ; Age Band Code ; Sex Code </v>
      </c>
      <c r="N2861" s="297" t="s">
        <v>197</v>
      </c>
      <c r="O2861" s="297" t="s">
        <v>198</v>
      </c>
      <c r="P2861" s="297" t="s">
        <v>199</v>
      </c>
      <c r="Q2861" s="297" t="s">
        <v>200</v>
      </c>
      <c r="R2861" s="297" t="s">
        <v>213</v>
      </c>
      <c r="S2861" s="297" t="s">
        <v>214</v>
      </c>
    </row>
    <row r="2862" spans="1:19" x14ac:dyDescent="0.4">
      <c r="A2862" s="291"/>
      <c r="B2862" s="292"/>
      <c r="C2862" s="312"/>
      <c r="D2862" s="292"/>
      <c r="E2862" s="489"/>
      <c r="F2862" s="489"/>
      <c r="G2862" s="490"/>
      <c r="H2862" s="520"/>
      <c r="I2862" s="523"/>
      <c r="J2862" s="521"/>
      <c r="K2862" s="522"/>
      <c r="M2862" s="301" t="str">
        <f>N2862&amp;AS[[#This Row],[Insurer Code]]&amp;"; "&amp;O2862&amp;AS[[#This Row],[Reporting Year]]&amp;"; "&amp;P2862&amp;AS[[#This Row],[Insurance Category Code]]&amp;"; "&amp;Q2862&amp;AS[[#This Row],[Large Provider Entity Code]]&amp;"; "&amp;R2862&amp;AS[[#This Row],[Age Band Code]]&amp;"; "&amp;S2862&amp;AS[[#This Row],[Sex Code]]</f>
        <v xml:space="preserve">Insurer Code ; Reporting Year ; Insurance Category Code ; Large Provider Entity Code ; Age Band Code ; Sex Code </v>
      </c>
      <c r="N2862" s="297" t="s">
        <v>197</v>
      </c>
      <c r="O2862" s="297" t="s">
        <v>198</v>
      </c>
      <c r="P2862" s="297" t="s">
        <v>199</v>
      </c>
      <c r="Q2862" s="297" t="s">
        <v>200</v>
      </c>
      <c r="R2862" s="297" t="s">
        <v>213</v>
      </c>
      <c r="S2862" s="297" t="s">
        <v>214</v>
      </c>
    </row>
    <row r="2863" spans="1:19" x14ac:dyDescent="0.4">
      <c r="A2863" s="291"/>
      <c r="B2863" s="292"/>
      <c r="C2863" s="312"/>
      <c r="D2863" s="292"/>
      <c r="E2863" s="489"/>
      <c r="F2863" s="489"/>
      <c r="G2863" s="490"/>
      <c r="H2863" s="520"/>
      <c r="I2863" s="523"/>
      <c r="J2863" s="521"/>
      <c r="K2863" s="522"/>
      <c r="M2863" s="301" t="str">
        <f>N2863&amp;AS[[#This Row],[Insurer Code]]&amp;"; "&amp;O2863&amp;AS[[#This Row],[Reporting Year]]&amp;"; "&amp;P2863&amp;AS[[#This Row],[Insurance Category Code]]&amp;"; "&amp;Q2863&amp;AS[[#This Row],[Large Provider Entity Code]]&amp;"; "&amp;R2863&amp;AS[[#This Row],[Age Band Code]]&amp;"; "&amp;S2863&amp;AS[[#This Row],[Sex Code]]</f>
        <v xml:space="preserve">Insurer Code ; Reporting Year ; Insurance Category Code ; Large Provider Entity Code ; Age Band Code ; Sex Code </v>
      </c>
      <c r="N2863" s="297" t="s">
        <v>197</v>
      </c>
      <c r="O2863" s="297" t="s">
        <v>198</v>
      </c>
      <c r="P2863" s="297" t="s">
        <v>199</v>
      </c>
      <c r="Q2863" s="297" t="s">
        <v>200</v>
      </c>
      <c r="R2863" s="297" t="s">
        <v>213</v>
      </c>
      <c r="S2863" s="297" t="s">
        <v>214</v>
      </c>
    </row>
    <row r="2864" spans="1:19" x14ac:dyDescent="0.4">
      <c r="A2864" s="291"/>
      <c r="B2864" s="292"/>
      <c r="C2864" s="312"/>
      <c r="D2864" s="292"/>
      <c r="E2864" s="489"/>
      <c r="F2864" s="489"/>
      <c r="G2864" s="490"/>
      <c r="H2864" s="520"/>
      <c r="I2864" s="523"/>
      <c r="J2864" s="521"/>
      <c r="K2864" s="522"/>
      <c r="M2864" s="301" t="str">
        <f>N2864&amp;AS[[#This Row],[Insurer Code]]&amp;"; "&amp;O2864&amp;AS[[#This Row],[Reporting Year]]&amp;"; "&amp;P2864&amp;AS[[#This Row],[Insurance Category Code]]&amp;"; "&amp;Q2864&amp;AS[[#This Row],[Large Provider Entity Code]]&amp;"; "&amp;R2864&amp;AS[[#This Row],[Age Band Code]]&amp;"; "&amp;S2864&amp;AS[[#This Row],[Sex Code]]</f>
        <v xml:space="preserve">Insurer Code ; Reporting Year ; Insurance Category Code ; Large Provider Entity Code ; Age Band Code ; Sex Code </v>
      </c>
      <c r="N2864" s="297" t="s">
        <v>197</v>
      </c>
      <c r="O2864" s="297" t="s">
        <v>198</v>
      </c>
      <c r="P2864" s="297" t="s">
        <v>199</v>
      </c>
      <c r="Q2864" s="297" t="s">
        <v>200</v>
      </c>
      <c r="R2864" s="297" t="s">
        <v>213</v>
      </c>
      <c r="S2864" s="297" t="s">
        <v>214</v>
      </c>
    </row>
    <row r="2865" spans="1:19" x14ac:dyDescent="0.4">
      <c r="A2865" s="291"/>
      <c r="B2865" s="292"/>
      <c r="C2865" s="312"/>
      <c r="D2865" s="292"/>
      <c r="E2865" s="489"/>
      <c r="F2865" s="489"/>
      <c r="G2865" s="490"/>
      <c r="H2865" s="520"/>
      <c r="I2865" s="523"/>
      <c r="J2865" s="521"/>
      <c r="K2865" s="522"/>
      <c r="M2865" s="301" t="str">
        <f>N2865&amp;AS[[#This Row],[Insurer Code]]&amp;"; "&amp;O2865&amp;AS[[#This Row],[Reporting Year]]&amp;"; "&amp;P2865&amp;AS[[#This Row],[Insurance Category Code]]&amp;"; "&amp;Q2865&amp;AS[[#This Row],[Large Provider Entity Code]]&amp;"; "&amp;R2865&amp;AS[[#This Row],[Age Band Code]]&amp;"; "&amp;S2865&amp;AS[[#This Row],[Sex Code]]</f>
        <v xml:space="preserve">Insurer Code ; Reporting Year ; Insurance Category Code ; Large Provider Entity Code ; Age Band Code ; Sex Code </v>
      </c>
      <c r="N2865" s="297" t="s">
        <v>197</v>
      </c>
      <c r="O2865" s="297" t="s">
        <v>198</v>
      </c>
      <c r="P2865" s="297" t="s">
        <v>199</v>
      </c>
      <c r="Q2865" s="297" t="s">
        <v>200</v>
      </c>
      <c r="R2865" s="297" t="s">
        <v>213</v>
      </c>
      <c r="S2865" s="297" t="s">
        <v>214</v>
      </c>
    </row>
    <row r="2866" spans="1:19" x14ac:dyDescent="0.4">
      <c r="A2866" s="291"/>
      <c r="B2866" s="292"/>
      <c r="C2866" s="312"/>
      <c r="D2866" s="292"/>
      <c r="E2866" s="489"/>
      <c r="F2866" s="489"/>
      <c r="G2866" s="490"/>
      <c r="H2866" s="520"/>
      <c r="I2866" s="523"/>
      <c r="J2866" s="521"/>
      <c r="K2866" s="522"/>
      <c r="M2866" s="301" t="str">
        <f>N2866&amp;AS[[#This Row],[Insurer Code]]&amp;"; "&amp;O2866&amp;AS[[#This Row],[Reporting Year]]&amp;"; "&amp;P2866&amp;AS[[#This Row],[Insurance Category Code]]&amp;"; "&amp;Q2866&amp;AS[[#This Row],[Large Provider Entity Code]]&amp;"; "&amp;R2866&amp;AS[[#This Row],[Age Band Code]]&amp;"; "&amp;S2866&amp;AS[[#This Row],[Sex Code]]</f>
        <v xml:space="preserve">Insurer Code ; Reporting Year ; Insurance Category Code ; Large Provider Entity Code ; Age Band Code ; Sex Code </v>
      </c>
      <c r="N2866" s="297" t="s">
        <v>197</v>
      </c>
      <c r="O2866" s="297" t="s">
        <v>198</v>
      </c>
      <c r="P2866" s="297" t="s">
        <v>199</v>
      </c>
      <c r="Q2866" s="297" t="s">
        <v>200</v>
      </c>
      <c r="R2866" s="297" t="s">
        <v>213</v>
      </c>
      <c r="S2866" s="297" t="s">
        <v>214</v>
      </c>
    </row>
    <row r="2867" spans="1:19" x14ac:dyDescent="0.4">
      <c r="A2867" s="291"/>
      <c r="B2867" s="292"/>
      <c r="C2867" s="312"/>
      <c r="D2867" s="292"/>
      <c r="E2867" s="489"/>
      <c r="F2867" s="489"/>
      <c r="G2867" s="490"/>
      <c r="H2867" s="520"/>
      <c r="I2867" s="523"/>
      <c r="J2867" s="521"/>
      <c r="K2867" s="522"/>
      <c r="M2867" s="301" t="str">
        <f>N2867&amp;AS[[#This Row],[Insurer Code]]&amp;"; "&amp;O2867&amp;AS[[#This Row],[Reporting Year]]&amp;"; "&amp;P2867&amp;AS[[#This Row],[Insurance Category Code]]&amp;"; "&amp;Q2867&amp;AS[[#This Row],[Large Provider Entity Code]]&amp;"; "&amp;R2867&amp;AS[[#This Row],[Age Band Code]]&amp;"; "&amp;S2867&amp;AS[[#This Row],[Sex Code]]</f>
        <v xml:space="preserve">Insurer Code ; Reporting Year ; Insurance Category Code ; Large Provider Entity Code ; Age Band Code ; Sex Code </v>
      </c>
      <c r="N2867" s="297" t="s">
        <v>197</v>
      </c>
      <c r="O2867" s="297" t="s">
        <v>198</v>
      </c>
      <c r="P2867" s="297" t="s">
        <v>199</v>
      </c>
      <c r="Q2867" s="297" t="s">
        <v>200</v>
      </c>
      <c r="R2867" s="297" t="s">
        <v>213</v>
      </c>
      <c r="S2867" s="297" t="s">
        <v>214</v>
      </c>
    </row>
    <row r="2868" spans="1:19" x14ac:dyDescent="0.4">
      <c r="A2868" s="291"/>
      <c r="B2868" s="292"/>
      <c r="C2868" s="312"/>
      <c r="D2868" s="292"/>
      <c r="E2868" s="489"/>
      <c r="F2868" s="489"/>
      <c r="G2868" s="490"/>
      <c r="H2868" s="520"/>
      <c r="I2868" s="523"/>
      <c r="J2868" s="521"/>
      <c r="K2868" s="522"/>
      <c r="M2868" s="301" t="str">
        <f>N2868&amp;AS[[#This Row],[Insurer Code]]&amp;"; "&amp;O2868&amp;AS[[#This Row],[Reporting Year]]&amp;"; "&amp;P2868&amp;AS[[#This Row],[Insurance Category Code]]&amp;"; "&amp;Q2868&amp;AS[[#This Row],[Large Provider Entity Code]]&amp;"; "&amp;R2868&amp;AS[[#This Row],[Age Band Code]]&amp;"; "&amp;S2868&amp;AS[[#This Row],[Sex Code]]</f>
        <v xml:space="preserve">Insurer Code ; Reporting Year ; Insurance Category Code ; Large Provider Entity Code ; Age Band Code ; Sex Code </v>
      </c>
      <c r="N2868" s="297" t="s">
        <v>197</v>
      </c>
      <c r="O2868" s="297" t="s">
        <v>198</v>
      </c>
      <c r="P2868" s="297" t="s">
        <v>199</v>
      </c>
      <c r="Q2868" s="297" t="s">
        <v>200</v>
      </c>
      <c r="R2868" s="297" t="s">
        <v>213</v>
      </c>
      <c r="S2868" s="297" t="s">
        <v>214</v>
      </c>
    </row>
    <row r="2869" spans="1:19" x14ac:dyDescent="0.4">
      <c r="A2869" s="291"/>
      <c r="B2869" s="292"/>
      <c r="C2869" s="312"/>
      <c r="D2869" s="292"/>
      <c r="E2869" s="489"/>
      <c r="F2869" s="489"/>
      <c r="G2869" s="490"/>
      <c r="H2869" s="520"/>
      <c r="I2869" s="523"/>
      <c r="J2869" s="521"/>
      <c r="K2869" s="522"/>
      <c r="M2869" s="301" t="str">
        <f>N2869&amp;AS[[#This Row],[Insurer Code]]&amp;"; "&amp;O2869&amp;AS[[#This Row],[Reporting Year]]&amp;"; "&amp;P2869&amp;AS[[#This Row],[Insurance Category Code]]&amp;"; "&amp;Q2869&amp;AS[[#This Row],[Large Provider Entity Code]]&amp;"; "&amp;R2869&amp;AS[[#This Row],[Age Band Code]]&amp;"; "&amp;S2869&amp;AS[[#This Row],[Sex Code]]</f>
        <v xml:space="preserve">Insurer Code ; Reporting Year ; Insurance Category Code ; Large Provider Entity Code ; Age Band Code ; Sex Code </v>
      </c>
      <c r="N2869" s="297" t="s">
        <v>197</v>
      </c>
      <c r="O2869" s="297" t="s">
        <v>198</v>
      </c>
      <c r="P2869" s="297" t="s">
        <v>199</v>
      </c>
      <c r="Q2869" s="297" t="s">
        <v>200</v>
      </c>
      <c r="R2869" s="297" t="s">
        <v>213</v>
      </c>
      <c r="S2869" s="297" t="s">
        <v>214</v>
      </c>
    </row>
    <row r="2870" spans="1:19" x14ac:dyDescent="0.4">
      <c r="A2870" s="291"/>
      <c r="B2870" s="292"/>
      <c r="C2870" s="312"/>
      <c r="D2870" s="292"/>
      <c r="E2870" s="489"/>
      <c r="F2870" s="489"/>
      <c r="G2870" s="490"/>
      <c r="H2870" s="520"/>
      <c r="I2870" s="523"/>
      <c r="J2870" s="521"/>
      <c r="K2870" s="522"/>
      <c r="M2870" s="301" t="str">
        <f>N2870&amp;AS[[#This Row],[Insurer Code]]&amp;"; "&amp;O2870&amp;AS[[#This Row],[Reporting Year]]&amp;"; "&amp;P2870&amp;AS[[#This Row],[Insurance Category Code]]&amp;"; "&amp;Q2870&amp;AS[[#This Row],[Large Provider Entity Code]]&amp;"; "&amp;R2870&amp;AS[[#This Row],[Age Band Code]]&amp;"; "&amp;S2870&amp;AS[[#This Row],[Sex Code]]</f>
        <v xml:space="preserve">Insurer Code ; Reporting Year ; Insurance Category Code ; Large Provider Entity Code ; Age Band Code ; Sex Code </v>
      </c>
      <c r="N2870" s="297" t="s">
        <v>197</v>
      </c>
      <c r="O2870" s="297" t="s">
        <v>198</v>
      </c>
      <c r="P2870" s="297" t="s">
        <v>199</v>
      </c>
      <c r="Q2870" s="297" t="s">
        <v>200</v>
      </c>
      <c r="R2870" s="297" t="s">
        <v>213</v>
      </c>
      <c r="S2870" s="297" t="s">
        <v>214</v>
      </c>
    </row>
    <row r="2871" spans="1:19" x14ac:dyDescent="0.4">
      <c r="A2871" s="291"/>
      <c r="B2871" s="292"/>
      <c r="C2871" s="312"/>
      <c r="D2871" s="292"/>
      <c r="E2871" s="489"/>
      <c r="F2871" s="489"/>
      <c r="G2871" s="490"/>
      <c r="H2871" s="520"/>
      <c r="I2871" s="523"/>
      <c r="J2871" s="521"/>
      <c r="K2871" s="522"/>
      <c r="M2871" s="301" t="str">
        <f>N2871&amp;AS[[#This Row],[Insurer Code]]&amp;"; "&amp;O2871&amp;AS[[#This Row],[Reporting Year]]&amp;"; "&amp;P2871&amp;AS[[#This Row],[Insurance Category Code]]&amp;"; "&amp;Q2871&amp;AS[[#This Row],[Large Provider Entity Code]]&amp;"; "&amp;R2871&amp;AS[[#This Row],[Age Band Code]]&amp;"; "&amp;S2871&amp;AS[[#This Row],[Sex Code]]</f>
        <v xml:space="preserve">Insurer Code ; Reporting Year ; Insurance Category Code ; Large Provider Entity Code ; Age Band Code ; Sex Code </v>
      </c>
      <c r="N2871" s="297" t="s">
        <v>197</v>
      </c>
      <c r="O2871" s="297" t="s">
        <v>198</v>
      </c>
      <c r="P2871" s="297" t="s">
        <v>199</v>
      </c>
      <c r="Q2871" s="297" t="s">
        <v>200</v>
      </c>
      <c r="R2871" s="297" t="s">
        <v>213</v>
      </c>
      <c r="S2871" s="297" t="s">
        <v>214</v>
      </c>
    </row>
    <row r="2872" spans="1:19" x14ac:dyDescent="0.4">
      <c r="A2872" s="291"/>
      <c r="B2872" s="292"/>
      <c r="C2872" s="312"/>
      <c r="D2872" s="292"/>
      <c r="E2872" s="489"/>
      <c r="F2872" s="489"/>
      <c r="G2872" s="490"/>
      <c r="H2872" s="520"/>
      <c r="I2872" s="523"/>
      <c r="J2872" s="521"/>
      <c r="K2872" s="522"/>
      <c r="M2872" s="301" t="str">
        <f>N2872&amp;AS[[#This Row],[Insurer Code]]&amp;"; "&amp;O2872&amp;AS[[#This Row],[Reporting Year]]&amp;"; "&amp;P2872&amp;AS[[#This Row],[Insurance Category Code]]&amp;"; "&amp;Q2872&amp;AS[[#This Row],[Large Provider Entity Code]]&amp;"; "&amp;R2872&amp;AS[[#This Row],[Age Band Code]]&amp;"; "&amp;S2872&amp;AS[[#This Row],[Sex Code]]</f>
        <v xml:space="preserve">Insurer Code ; Reporting Year ; Insurance Category Code ; Large Provider Entity Code ; Age Band Code ; Sex Code </v>
      </c>
      <c r="N2872" s="297" t="s">
        <v>197</v>
      </c>
      <c r="O2872" s="297" t="s">
        <v>198</v>
      </c>
      <c r="P2872" s="297" t="s">
        <v>199</v>
      </c>
      <c r="Q2872" s="297" t="s">
        <v>200</v>
      </c>
      <c r="R2872" s="297" t="s">
        <v>213</v>
      </c>
      <c r="S2872" s="297" t="s">
        <v>214</v>
      </c>
    </row>
    <row r="2873" spans="1:19" x14ac:dyDescent="0.4">
      <c r="A2873" s="291"/>
      <c r="B2873" s="292"/>
      <c r="C2873" s="312"/>
      <c r="D2873" s="292"/>
      <c r="E2873" s="489"/>
      <c r="F2873" s="489"/>
      <c r="G2873" s="490"/>
      <c r="H2873" s="520"/>
      <c r="I2873" s="523"/>
      <c r="J2873" s="521"/>
      <c r="K2873" s="522"/>
      <c r="M2873" s="301" t="str">
        <f>N2873&amp;AS[[#This Row],[Insurer Code]]&amp;"; "&amp;O2873&amp;AS[[#This Row],[Reporting Year]]&amp;"; "&amp;P2873&amp;AS[[#This Row],[Insurance Category Code]]&amp;"; "&amp;Q2873&amp;AS[[#This Row],[Large Provider Entity Code]]&amp;"; "&amp;R2873&amp;AS[[#This Row],[Age Band Code]]&amp;"; "&amp;S2873&amp;AS[[#This Row],[Sex Code]]</f>
        <v xml:space="preserve">Insurer Code ; Reporting Year ; Insurance Category Code ; Large Provider Entity Code ; Age Band Code ; Sex Code </v>
      </c>
      <c r="N2873" s="297" t="s">
        <v>197</v>
      </c>
      <c r="O2873" s="297" t="s">
        <v>198</v>
      </c>
      <c r="P2873" s="297" t="s">
        <v>199</v>
      </c>
      <c r="Q2873" s="297" t="s">
        <v>200</v>
      </c>
      <c r="R2873" s="297" t="s">
        <v>213</v>
      </c>
      <c r="S2873" s="297" t="s">
        <v>214</v>
      </c>
    </row>
    <row r="2874" spans="1:19" x14ac:dyDescent="0.4">
      <c r="A2874" s="291"/>
      <c r="B2874" s="292"/>
      <c r="C2874" s="312"/>
      <c r="D2874" s="292"/>
      <c r="E2874" s="489"/>
      <c r="F2874" s="489"/>
      <c r="G2874" s="490"/>
      <c r="H2874" s="520"/>
      <c r="I2874" s="523"/>
      <c r="J2874" s="521"/>
      <c r="K2874" s="522"/>
      <c r="M2874" s="301" t="str">
        <f>N2874&amp;AS[[#This Row],[Insurer Code]]&amp;"; "&amp;O2874&amp;AS[[#This Row],[Reporting Year]]&amp;"; "&amp;P2874&amp;AS[[#This Row],[Insurance Category Code]]&amp;"; "&amp;Q2874&amp;AS[[#This Row],[Large Provider Entity Code]]&amp;"; "&amp;R2874&amp;AS[[#This Row],[Age Band Code]]&amp;"; "&amp;S2874&amp;AS[[#This Row],[Sex Code]]</f>
        <v xml:space="preserve">Insurer Code ; Reporting Year ; Insurance Category Code ; Large Provider Entity Code ; Age Band Code ; Sex Code </v>
      </c>
      <c r="N2874" s="297" t="s">
        <v>197</v>
      </c>
      <c r="O2874" s="297" t="s">
        <v>198</v>
      </c>
      <c r="P2874" s="297" t="s">
        <v>199</v>
      </c>
      <c r="Q2874" s="297" t="s">
        <v>200</v>
      </c>
      <c r="R2874" s="297" t="s">
        <v>213</v>
      </c>
      <c r="S2874" s="297" t="s">
        <v>214</v>
      </c>
    </row>
    <row r="2875" spans="1:19" x14ac:dyDescent="0.4">
      <c r="A2875" s="291"/>
      <c r="B2875" s="292"/>
      <c r="C2875" s="312"/>
      <c r="D2875" s="292"/>
      <c r="E2875" s="489"/>
      <c r="F2875" s="489"/>
      <c r="G2875" s="490"/>
      <c r="H2875" s="520"/>
      <c r="I2875" s="523"/>
      <c r="J2875" s="521"/>
      <c r="K2875" s="522"/>
      <c r="M2875" s="301" t="str">
        <f>N2875&amp;AS[[#This Row],[Insurer Code]]&amp;"; "&amp;O2875&amp;AS[[#This Row],[Reporting Year]]&amp;"; "&amp;P2875&amp;AS[[#This Row],[Insurance Category Code]]&amp;"; "&amp;Q2875&amp;AS[[#This Row],[Large Provider Entity Code]]&amp;"; "&amp;R2875&amp;AS[[#This Row],[Age Band Code]]&amp;"; "&amp;S2875&amp;AS[[#This Row],[Sex Code]]</f>
        <v xml:space="preserve">Insurer Code ; Reporting Year ; Insurance Category Code ; Large Provider Entity Code ; Age Band Code ; Sex Code </v>
      </c>
      <c r="N2875" s="297" t="s">
        <v>197</v>
      </c>
      <c r="O2875" s="297" t="s">
        <v>198</v>
      </c>
      <c r="P2875" s="297" t="s">
        <v>199</v>
      </c>
      <c r="Q2875" s="297" t="s">
        <v>200</v>
      </c>
      <c r="R2875" s="297" t="s">
        <v>213</v>
      </c>
      <c r="S2875" s="297" t="s">
        <v>214</v>
      </c>
    </row>
    <row r="2876" spans="1:19" x14ac:dyDescent="0.4">
      <c r="A2876" s="291"/>
      <c r="B2876" s="292"/>
      <c r="C2876" s="312"/>
      <c r="D2876" s="292"/>
      <c r="E2876" s="489"/>
      <c r="F2876" s="489"/>
      <c r="G2876" s="490"/>
      <c r="H2876" s="520"/>
      <c r="I2876" s="523"/>
      <c r="J2876" s="521"/>
      <c r="K2876" s="522"/>
      <c r="M2876" s="301" t="str">
        <f>N2876&amp;AS[[#This Row],[Insurer Code]]&amp;"; "&amp;O2876&amp;AS[[#This Row],[Reporting Year]]&amp;"; "&amp;P2876&amp;AS[[#This Row],[Insurance Category Code]]&amp;"; "&amp;Q2876&amp;AS[[#This Row],[Large Provider Entity Code]]&amp;"; "&amp;R2876&amp;AS[[#This Row],[Age Band Code]]&amp;"; "&amp;S2876&amp;AS[[#This Row],[Sex Code]]</f>
        <v xml:space="preserve">Insurer Code ; Reporting Year ; Insurance Category Code ; Large Provider Entity Code ; Age Band Code ; Sex Code </v>
      </c>
      <c r="N2876" s="297" t="s">
        <v>197</v>
      </c>
      <c r="O2876" s="297" t="s">
        <v>198</v>
      </c>
      <c r="P2876" s="297" t="s">
        <v>199</v>
      </c>
      <c r="Q2876" s="297" t="s">
        <v>200</v>
      </c>
      <c r="R2876" s="297" t="s">
        <v>213</v>
      </c>
      <c r="S2876" s="297" t="s">
        <v>214</v>
      </c>
    </row>
    <row r="2877" spans="1:19" x14ac:dyDescent="0.4">
      <c r="A2877" s="291"/>
      <c r="B2877" s="292"/>
      <c r="C2877" s="312"/>
      <c r="D2877" s="292"/>
      <c r="E2877" s="489"/>
      <c r="F2877" s="489"/>
      <c r="G2877" s="490"/>
      <c r="H2877" s="520"/>
      <c r="I2877" s="523"/>
      <c r="J2877" s="521"/>
      <c r="K2877" s="522"/>
      <c r="M2877" s="301" t="str">
        <f>N2877&amp;AS[[#This Row],[Insurer Code]]&amp;"; "&amp;O2877&amp;AS[[#This Row],[Reporting Year]]&amp;"; "&amp;P2877&amp;AS[[#This Row],[Insurance Category Code]]&amp;"; "&amp;Q2877&amp;AS[[#This Row],[Large Provider Entity Code]]&amp;"; "&amp;R2877&amp;AS[[#This Row],[Age Band Code]]&amp;"; "&amp;S2877&amp;AS[[#This Row],[Sex Code]]</f>
        <v xml:space="preserve">Insurer Code ; Reporting Year ; Insurance Category Code ; Large Provider Entity Code ; Age Band Code ; Sex Code </v>
      </c>
      <c r="N2877" s="297" t="s">
        <v>197</v>
      </c>
      <c r="O2877" s="297" t="s">
        <v>198</v>
      </c>
      <c r="P2877" s="297" t="s">
        <v>199</v>
      </c>
      <c r="Q2877" s="297" t="s">
        <v>200</v>
      </c>
      <c r="R2877" s="297" t="s">
        <v>213</v>
      </c>
      <c r="S2877" s="297" t="s">
        <v>214</v>
      </c>
    </row>
    <row r="2878" spans="1:19" x14ac:dyDescent="0.4">
      <c r="A2878" s="291"/>
      <c r="B2878" s="292"/>
      <c r="C2878" s="312"/>
      <c r="D2878" s="292"/>
      <c r="E2878" s="489"/>
      <c r="F2878" s="489"/>
      <c r="G2878" s="490"/>
      <c r="H2878" s="520"/>
      <c r="I2878" s="523"/>
      <c r="J2878" s="521"/>
      <c r="K2878" s="522"/>
      <c r="M2878" s="301" t="str">
        <f>N2878&amp;AS[[#This Row],[Insurer Code]]&amp;"; "&amp;O2878&amp;AS[[#This Row],[Reporting Year]]&amp;"; "&amp;P2878&amp;AS[[#This Row],[Insurance Category Code]]&amp;"; "&amp;Q2878&amp;AS[[#This Row],[Large Provider Entity Code]]&amp;"; "&amp;R2878&amp;AS[[#This Row],[Age Band Code]]&amp;"; "&amp;S2878&amp;AS[[#This Row],[Sex Code]]</f>
        <v xml:space="preserve">Insurer Code ; Reporting Year ; Insurance Category Code ; Large Provider Entity Code ; Age Band Code ; Sex Code </v>
      </c>
      <c r="N2878" s="297" t="s">
        <v>197</v>
      </c>
      <c r="O2878" s="297" t="s">
        <v>198</v>
      </c>
      <c r="P2878" s="297" t="s">
        <v>199</v>
      </c>
      <c r="Q2878" s="297" t="s">
        <v>200</v>
      </c>
      <c r="R2878" s="297" t="s">
        <v>213</v>
      </c>
      <c r="S2878" s="297" t="s">
        <v>214</v>
      </c>
    </row>
    <row r="2879" spans="1:19" x14ac:dyDescent="0.4">
      <c r="A2879" s="291"/>
      <c r="B2879" s="292"/>
      <c r="C2879" s="312"/>
      <c r="D2879" s="292"/>
      <c r="E2879" s="489"/>
      <c r="F2879" s="489"/>
      <c r="G2879" s="490"/>
      <c r="H2879" s="520"/>
      <c r="I2879" s="523"/>
      <c r="J2879" s="521"/>
      <c r="K2879" s="522"/>
      <c r="M2879" s="301" t="str">
        <f>N2879&amp;AS[[#This Row],[Insurer Code]]&amp;"; "&amp;O2879&amp;AS[[#This Row],[Reporting Year]]&amp;"; "&amp;P2879&amp;AS[[#This Row],[Insurance Category Code]]&amp;"; "&amp;Q2879&amp;AS[[#This Row],[Large Provider Entity Code]]&amp;"; "&amp;R2879&amp;AS[[#This Row],[Age Band Code]]&amp;"; "&amp;S2879&amp;AS[[#This Row],[Sex Code]]</f>
        <v xml:space="preserve">Insurer Code ; Reporting Year ; Insurance Category Code ; Large Provider Entity Code ; Age Band Code ; Sex Code </v>
      </c>
      <c r="N2879" s="297" t="s">
        <v>197</v>
      </c>
      <c r="O2879" s="297" t="s">
        <v>198</v>
      </c>
      <c r="P2879" s="297" t="s">
        <v>199</v>
      </c>
      <c r="Q2879" s="297" t="s">
        <v>200</v>
      </c>
      <c r="R2879" s="297" t="s">
        <v>213</v>
      </c>
      <c r="S2879" s="297" t="s">
        <v>214</v>
      </c>
    </row>
    <row r="2880" spans="1:19" x14ac:dyDescent="0.4">
      <c r="A2880" s="291"/>
      <c r="B2880" s="292"/>
      <c r="C2880" s="312"/>
      <c r="D2880" s="292"/>
      <c r="E2880" s="489"/>
      <c r="F2880" s="489"/>
      <c r="G2880" s="490"/>
      <c r="H2880" s="520"/>
      <c r="I2880" s="523"/>
      <c r="J2880" s="521"/>
      <c r="K2880" s="522"/>
      <c r="M2880" s="301" t="str">
        <f>N2880&amp;AS[[#This Row],[Insurer Code]]&amp;"; "&amp;O2880&amp;AS[[#This Row],[Reporting Year]]&amp;"; "&amp;P2880&amp;AS[[#This Row],[Insurance Category Code]]&amp;"; "&amp;Q2880&amp;AS[[#This Row],[Large Provider Entity Code]]&amp;"; "&amp;R2880&amp;AS[[#This Row],[Age Band Code]]&amp;"; "&amp;S2880&amp;AS[[#This Row],[Sex Code]]</f>
        <v xml:space="preserve">Insurer Code ; Reporting Year ; Insurance Category Code ; Large Provider Entity Code ; Age Band Code ; Sex Code </v>
      </c>
      <c r="N2880" s="297" t="s">
        <v>197</v>
      </c>
      <c r="O2880" s="297" t="s">
        <v>198</v>
      </c>
      <c r="P2880" s="297" t="s">
        <v>199</v>
      </c>
      <c r="Q2880" s="297" t="s">
        <v>200</v>
      </c>
      <c r="R2880" s="297" t="s">
        <v>213</v>
      </c>
      <c r="S2880" s="297" t="s">
        <v>214</v>
      </c>
    </row>
    <row r="2881" spans="1:19" x14ac:dyDescent="0.4">
      <c r="A2881" s="291"/>
      <c r="B2881" s="292"/>
      <c r="C2881" s="312"/>
      <c r="D2881" s="292"/>
      <c r="E2881" s="489"/>
      <c r="F2881" s="489"/>
      <c r="G2881" s="490"/>
      <c r="H2881" s="520"/>
      <c r="I2881" s="523"/>
      <c r="J2881" s="521"/>
      <c r="K2881" s="522"/>
      <c r="M2881" s="301" t="str">
        <f>N2881&amp;AS[[#This Row],[Insurer Code]]&amp;"; "&amp;O2881&amp;AS[[#This Row],[Reporting Year]]&amp;"; "&amp;P2881&amp;AS[[#This Row],[Insurance Category Code]]&amp;"; "&amp;Q2881&amp;AS[[#This Row],[Large Provider Entity Code]]&amp;"; "&amp;R2881&amp;AS[[#This Row],[Age Band Code]]&amp;"; "&amp;S2881&amp;AS[[#This Row],[Sex Code]]</f>
        <v xml:space="preserve">Insurer Code ; Reporting Year ; Insurance Category Code ; Large Provider Entity Code ; Age Band Code ; Sex Code </v>
      </c>
      <c r="N2881" s="297" t="s">
        <v>197</v>
      </c>
      <c r="O2881" s="297" t="s">
        <v>198</v>
      </c>
      <c r="P2881" s="297" t="s">
        <v>199</v>
      </c>
      <c r="Q2881" s="297" t="s">
        <v>200</v>
      </c>
      <c r="R2881" s="297" t="s">
        <v>213</v>
      </c>
      <c r="S2881" s="297" t="s">
        <v>214</v>
      </c>
    </row>
    <row r="2882" spans="1:19" x14ac:dyDescent="0.4">
      <c r="A2882" s="291"/>
      <c r="B2882" s="292"/>
      <c r="C2882" s="312"/>
      <c r="D2882" s="292"/>
      <c r="E2882" s="489"/>
      <c r="F2882" s="489"/>
      <c r="G2882" s="490"/>
      <c r="H2882" s="520"/>
      <c r="I2882" s="523"/>
      <c r="J2882" s="521"/>
      <c r="K2882" s="522"/>
      <c r="M2882" s="301" t="str">
        <f>N2882&amp;AS[[#This Row],[Insurer Code]]&amp;"; "&amp;O2882&amp;AS[[#This Row],[Reporting Year]]&amp;"; "&amp;P2882&amp;AS[[#This Row],[Insurance Category Code]]&amp;"; "&amp;Q2882&amp;AS[[#This Row],[Large Provider Entity Code]]&amp;"; "&amp;R2882&amp;AS[[#This Row],[Age Band Code]]&amp;"; "&amp;S2882&amp;AS[[#This Row],[Sex Code]]</f>
        <v xml:space="preserve">Insurer Code ; Reporting Year ; Insurance Category Code ; Large Provider Entity Code ; Age Band Code ; Sex Code </v>
      </c>
      <c r="N2882" s="297" t="s">
        <v>197</v>
      </c>
      <c r="O2882" s="297" t="s">
        <v>198</v>
      </c>
      <c r="P2882" s="297" t="s">
        <v>199</v>
      </c>
      <c r="Q2882" s="297" t="s">
        <v>200</v>
      </c>
      <c r="R2882" s="297" t="s">
        <v>213</v>
      </c>
      <c r="S2882" s="297" t="s">
        <v>214</v>
      </c>
    </row>
    <row r="2883" spans="1:19" x14ac:dyDescent="0.4">
      <c r="A2883" s="291"/>
      <c r="B2883" s="292"/>
      <c r="C2883" s="312"/>
      <c r="D2883" s="292"/>
      <c r="E2883" s="489"/>
      <c r="F2883" s="489"/>
      <c r="G2883" s="490"/>
      <c r="H2883" s="520"/>
      <c r="I2883" s="523"/>
      <c r="J2883" s="521"/>
      <c r="K2883" s="522"/>
      <c r="M2883" s="301" t="str">
        <f>N2883&amp;AS[[#This Row],[Insurer Code]]&amp;"; "&amp;O2883&amp;AS[[#This Row],[Reporting Year]]&amp;"; "&amp;P2883&amp;AS[[#This Row],[Insurance Category Code]]&amp;"; "&amp;Q2883&amp;AS[[#This Row],[Large Provider Entity Code]]&amp;"; "&amp;R2883&amp;AS[[#This Row],[Age Band Code]]&amp;"; "&amp;S2883&amp;AS[[#This Row],[Sex Code]]</f>
        <v xml:space="preserve">Insurer Code ; Reporting Year ; Insurance Category Code ; Large Provider Entity Code ; Age Band Code ; Sex Code </v>
      </c>
      <c r="N2883" s="297" t="s">
        <v>197</v>
      </c>
      <c r="O2883" s="297" t="s">
        <v>198</v>
      </c>
      <c r="P2883" s="297" t="s">
        <v>199</v>
      </c>
      <c r="Q2883" s="297" t="s">
        <v>200</v>
      </c>
      <c r="R2883" s="297" t="s">
        <v>213</v>
      </c>
      <c r="S2883" s="297" t="s">
        <v>214</v>
      </c>
    </row>
    <row r="2884" spans="1:19" x14ac:dyDescent="0.4">
      <c r="A2884" s="291"/>
      <c r="B2884" s="292"/>
      <c r="C2884" s="312"/>
      <c r="D2884" s="292"/>
      <c r="E2884" s="489"/>
      <c r="F2884" s="489"/>
      <c r="G2884" s="490"/>
      <c r="H2884" s="520"/>
      <c r="I2884" s="523"/>
      <c r="J2884" s="521"/>
      <c r="K2884" s="522"/>
      <c r="M2884" s="301" t="str">
        <f>N2884&amp;AS[[#This Row],[Insurer Code]]&amp;"; "&amp;O2884&amp;AS[[#This Row],[Reporting Year]]&amp;"; "&amp;P2884&amp;AS[[#This Row],[Insurance Category Code]]&amp;"; "&amp;Q2884&amp;AS[[#This Row],[Large Provider Entity Code]]&amp;"; "&amp;R2884&amp;AS[[#This Row],[Age Band Code]]&amp;"; "&amp;S2884&amp;AS[[#This Row],[Sex Code]]</f>
        <v xml:space="preserve">Insurer Code ; Reporting Year ; Insurance Category Code ; Large Provider Entity Code ; Age Band Code ; Sex Code </v>
      </c>
      <c r="N2884" s="297" t="s">
        <v>197</v>
      </c>
      <c r="O2884" s="297" t="s">
        <v>198</v>
      </c>
      <c r="P2884" s="297" t="s">
        <v>199</v>
      </c>
      <c r="Q2884" s="297" t="s">
        <v>200</v>
      </c>
      <c r="R2884" s="297" t="s">
        <v>213</v>
      </c>
      <c r="S2884" s="297" t="s">
        <v>214</v>
      </c>
    </row>
    <row r="2885" spans="1:19" x14ac:dyDescent="0.4">
      <c r="A2885" s="291"/>
      <c r="B2885" s="292"/>
      <c r="C2885" s="312"/>
      <c r="D2885" s="292"/>
      <c r="E2885" s="489"/>
      <c r="F2885" s="489"/>
      <c r="G2885" s="490"/>
      <c r="H2885" s="520"/>
      <c r="I2885" s="523"/>
      <c r="J2885" s="521"/>
      <c r="K2885" s="522"/>
      <c r="M2885" s="301" t="str">
        <f>N2885&amp;AS[[#This Row],[Insurer Code]]&amp;"; "&amp;O2885&amp;AS[[#This Row],[Reporting Year]]&amp;"; "&amp;P2885&amp;AS[[#This Row],[Insurance Category Code]]&amp;"; "&amp;Q2885&amp;AS[[#This Row],[Large Provider Entity Code]]&amp;"; "&amp;R2885&amp;AS[[#This Row],[Age Band Code]]&amp;"; "&amp;S2885&amp;AS[[#This Row],[Sex Code]]</f>
        <v xml:space="preserve">Insurer Code ; Reporting Year ; Insurance Category Code ; Large Provider Entity Code ; Age Band Code ; Sex Code </v>
      </c>
      <c r="N2885" s="297" t="s">
        <v>197</v>
      </c>
      <c r="O2885" s="297" t="s">
        <v>198</v>
      </c>
      <c r="P2885" s="297" t="s">
        <v>199</v>
      </c>
      <c r="Q2885" s="297" t="s">
        <v>200</v>
      </c>
      <c r="R2885" s="297" t="s">
        <v>213</v>
      </c>
      <c r="S2885" s="297" t="s">
        <v>214</v>
      </c>
    </row>
    <row r="2886" spans="1:19" x14ac:dyDescent="0.4">
      <c r="A2886" s="291"/>
      <c r="B2886" s="292"/>
      <c r="C2886" s="312"/>
      <c r="D2886" s="292"/>
      <c r="E2886" s="489"/>
      <c r="F2886" s="489"/>
      <c r="G2886" s="490"/>
      <c r="H2886" s="520"/>
      <c r="I2886" s="523"/>
      <c r="J2886" s="521"/>
      <c r="K2886" s="522"/>
      <c r="M2886" s="301" t="str">
        <f>N2886&amp;AS[[#This Row],[Insurer Code]]&amp;"; "&amp;O2886&amp;AS[[#This Row],[Reporting Year]]&amp;"; "&amp;P2886&amp;AS[[#This Row],[Insurance Category Code]]&amp;"; "&amp;Q2886&amp;AS[[#This Row],[Large Provider Entity Code]]&amp;"; "&amp;R2886&amp;AS[[#This Row],[Age Band Code]]&amp;"; "&amp;S2886&amp;AS[[#This Row],[Sex Code]]</f>
        <v xml:space="preserve">Insurer Code ; Reporting Year ; Insurance Category Code ; Large Provider Entity Code ; Age Band Code ; Sex Code </v>
      </c>
      <c r="N2886" s="297" t="s">
        <v>197</v>
      </c>
      <c r="O2886" s="297" t="s">
        <v>198</v>
      </c>
      <c r="P2886" s="297" t="s">
        <v>199</v>
      </c>
      <c r="Q2886" s="297" t="s">
        <v>200</v>
      </c>
      <c r="R2886" s="297" t="s">
        <v>213</v>
      </c>
      <c r="S2886" s="297" t="s">
        <v>214</v>
      </c>
    </row>
    <row r="2887" spans="1:19" x14ac:dyDescent="0.4">
      <c r="A2887" s="291"/>
      <c r="B2887" s="292"/>
      <c r="C2887" s="312"/>
      <c r="D2887" s="292"/>
      <c r="E2887" s="489"/>
      <c r="F2887" s="489"/>
      <c r="G2887" s="490"/>
      <c r="H2887" s="520"/>
      <c r="I2887" s="523"/>
      <c r="J2887" s="521"/>
      <c r="K2887" s="522"/>
      <c r="M2887" s="301" t="str">
        <f>N2887&amp;AS[[#This Row],[Insurer Code]]&amp;"; "&amp;O2887&amp;AS[[#This Row],[Reporting Year]]&amp;"; "&amp;P2887&amp;AS[[#This Row],[Insurance Category Code]]&amp;"; "&amp;Q2887&amp;AS[[#This Row],[Large Provider Entity Code]]&amp;"; "&amp;R2887&amp;AS[[#This Row],[Age Band Code]]&amp;"; "&amp;S2887&amp;AS[[#This Row],[Sex Code]]</f>
        <v xml:space="preserve">Insurer Code ; Reporting Year ; Insurance Category Code ; Large Provider Entity Code ; Age Band Code ; Sex Code </v>
      </c>
      <c r="N2887" s="297" t="s">
        <v>197</v>
      </c>
      <c r="O2887" s="297" t="s">
        <v>198</v>
      </c>
      <c r="P2887" s="297" t="s">
        <v>199</v>
      </c>
      <c r="Q2887" s="297" t="s">
        <v>200</v>
      </c>
      <c r="R2887" s="297" t="s">
        <v>213</v>
      </c>
      <c r="S2887" s="297" t="s">
        <v>214</v>
      </c>
    </row>
    <row r="2888" spans="1:19" x14ac:dyDescent="0.4">
      <c r="A2888" s="291"/>
      <c r="B2888" s="292"/>
      <c r="C2888" s="312"/>
      <c r="D2888" s="292"/>
      <c r="E2888" s="489"/>
      <c r="F2888" s="489"/>
      <c r="G2888" s="490"/>
      <c r="H2888" s="520"/>
      <c r="I2888" s="523"/>
      <c r="J2888" s="521"/>
      <c r="K2888" s="522"/>
      <c r="M2888" s="301" t="str">
        <f>N2888&amp;AS[[#This Row],[Insurer Code]]&amp;"; "&amp;O2888&amp;AS[[#This Row],[Reporting Year]]&amp;"; "&amp;P2888&amp;AS[[#This Row],[Insurance Category Code]]&amp;"; "&amp;Q2888&amp;AS[[#This Row],[Large Provider Entity Code]]&amp;"; "&amp;R2888&amp;AS[[#This Row],[Age Band Code]]&amp;"; "&amp;S2888&amp;AS[[#This Row],[Sex Code]]</f>
        <v xml:space="preserve">Insurer Code ; Reporting Year ; Insurance Category Code ; Large Provider Entity Code ; Age Band Code ; Sex Code </v>
      </c>
      <c r="N2888" s="297" t="s">
        <v>197</v>
      </c>
      <c r="O2888" s="297" t="s">
        <v>198</v>
      </c>
      <c r="P2888" s="297" t="s">
        <v>199</v>
      </c>
      <c r="Q2888" s="297" t="s">
        <v>200</v>
      </c>
      <c r="R2888" s="297" t="s">
        <v>213</v>
      </c>
      <c r="S2888" s="297" t="s">
        <v>214</v>
      </c>
    </row>
    <row r="2889" spans="1:19" x14ac:dyDescent="0.4">
      <c r="A2889" s="291"/>
      <c r="B2889" s="292"/>
      <c r="C2889" s="312"/>
      <c r="D2889" s="292"/>
      <c r="E2889" s="489"/>
      <c r="F2889" s="489"/>
      <c r="G2889" s="490"/>
      <c r="H2889" s="520"/>
      <c r="I2889" s="523"/>
      <c r="J2889" s="521"/>
      <c r="K2889" s="522"/>
      <c r="M2889" s="301" t="str">
        <f>N2889&amp;AS[[#This Row],[Insurer Code]]&amp;"; "&amp;O2889&amp;AS[[#This Row],[Reporting Year]]&amp;"; "&amp;P2889&amp;AS[[#This Row],[Insurance Category Code]]&amp;"; "&amp;Q2889&amp;AS[[#This Row],[Large Provider Entity Code]]&amp;"; "&amp;R2889&amp;AS[[#This Row],[Age Band Code]]&amp;"; "&amp;S2889&amp;AS[[#This Row],[Sex Code]]</f>
        <v xml:space="preserve">Insurer Code ; Reporting Year ; Insurance Category Code ; Large Provider Entity Code ; Age Band Code ; Sex Code </v>
      </c>
      <c r="N2889" s="297" t="s">
        <v>197</v>
      </c>
      <c r="O2889" s="297" t="s">
        <v>198</v>
      </c>
      <c r="P2889" s="297" t="s">
        <v>199</v>
      </c>
      <c r="Q2889" s="297" t="s">
        <v>200</v>
      </c>
      <c r="R2889" s="297" t="s">
        <v>213</v>
      </c>
      <c r="S2889" s="297" t="s">
        <v>214</v>
      </c>
    </row>
    <row r="2890" spans="1:19" x14ac:dyDescent="0.4">
      <c r="A2890" s="291"/>
      <c r="B2890" s="292"/>
      <c r="C2890" s="312"/>
      <c r="D2890" s="292"/>
      <c r="E2890" s="489"/>
      <c r="F2890" s="489"/>
      <c r="G2890" s="490"/>
      <c r="H2890" s="520"/>
      <c r="I2890" s="523"/>
      <c r="J2890" s="521"/>
      <c r="K2890" s="522"/>
      <c r="M2890" s="301" t="str">
        <f>N2890&amp;AS[[#This Row],[Insurer Code]]&amp;"; "&amp;O2890&amp;AS[[#This Row],[Reporting Year]]&amp;"; "&amp;P2890&amp;AS[[#This Row],[Insurance Category Code]]&amp;"; "&amp;Q2890&amp;AS[[#This Row],[Large Provider Entity Code]]&amp;"; "&amp;R2890&amp;AS[[#This Row],[Age Band Code]]&amp;"; "&amp;S2890&amp;AS[[#This Row],[Sex Code]]</f>
        <v xml:space="preserve">Insurer Code ; Reporting Year ; Insurance Category Code ; Large Provider Entity Code ; Age Band Code ; Sex Code </v>
      </c>
      <c r="N2890" s="297" t="s">
        <v>197</v>
      </c>
      <c r="O2890" s="297" t="s">
        <v>198</v>
      </c>
      <c r="P2890" s="297" t="s">
        <v>199</v>
      </c>
      <c r="Q2890" s="297" t="s">
        <v>200</v>
      </c>
      <c r="R2890" s="297" t="s">
        <v>213</v>
      </c>
      <c r="S2890" s="297" t="s">
        <v>214</v>
      </c>
    </row>
    <row r="2891" spans="1:19" x14ac:dyDescent="0.4">
      <c r="A2891" s="291"/>
      <c r="B2891" s="292"/>
      <c r="C2891" s="312"/>
      <c r="D2891" s="292"/>
      <c r="E2891" s="489"/>
      <c r="F2891" s="489"/>
      <c r="G2891" s="490"/>
      <c r="H2891" s="520"/>
      <c r="I2891" s="523"/>
      <c r="J2891" s="521"/>
      <c r="K2891" s="522"/>
      <c r="M2891" s="301" t="str">
        <f>N2891&amp;AS[[#This Row],[Insurer Code]]&amp;"; "&amp;O2891&amp;AS[[#This Row],[Reporting Year]]&amp;"; "&amp;P2891&amp;AS[[#This Row],[Insurance Category Code]]&amp;"; "&amp;Q2891&amp;AS[[#This Row],[Large Provider Entity Code]]&amp;"; "&amp;R2891&amp;AS[[#This Row],[Age Band Code]]&amp;"; "&amp;S2891&amp;AS[[#This Row],[Sex Code]]</f>
        <v xml:space="preserve">Insurer Code ; Reporting Year ; Insurance Category Code ; Large Provider Entity Code ; Age Band Code ; Sex Code </v>
      </c>
      <c r="N2891" s="297" t="s">
        <v>197</v>
      </c>
      <c r="O2891" s="297" t="s">
        <v>198</v>
      </c>
      <c r="P2891" s="297" t="s">
        <v>199</v>
      </c>
      <c r="Q2891" s="297" t="s">
        <v>200</v>
      </c>
      <c r="R2891" s="297" t="s">
        <v>213</v>
      </c>
      <c r="S2891" s="297" t="s">
        <v>214</v>
      </c>
    </row>
    <row r="2892" spans="1:19" x14ac:dyDescent="0.4">
      <c r="A2892" s="291"/>
      <c r="B2892" s="292"/>
      <c r="C2892" s="312"/>
      <c r="D2892" s="292"/>
      <c r="E2892" s="489"/>
      <c r="F2892" s="489"/>
      <c r="G2892" s="490"/>
      <c r="H2892" s="520"/>
      <c r="I2892" s="523"/>
      <c r="J2892" s="521"/>
      <c r="K2892" s="522"/>
      <c r="M2892" s="301" t="str">
        <f>N2892&amp;AS[[#This Row],[Insurer Code]]&amp;"; "&amp;O2892&amp;AS[[#This Row],[Reporting Year]]&amp;"; "&amp;P2892&amp;AS[[#This Row],[Insurance Category Code]]&amp;"; "&amp;Q2892&amp;AS[[#This Row],[Large Provider Entity Code]]&amp;"; "&amp;R2892&amp;AS[[#This Row],[Age Band Code]]&amp;"; "&amp;S2892&amp;AS[[#This Row],[Sex Code]]</f>
        <v xml:space="preserve">Insurer Code ; Reporting Year ; Insurance Category Code ; Large Provider Entity Code ; Age Band Code ; Sex Code </v>
      </c>
      <c r="N2892" s="297" t="s">
        <v>197</v>
      </c>
      <c r="O2892" s="297" t="s">
        <v>198</v>
      </c>
      <c r="P2892" s="297" t="s">
        <v>199</v>
      </c>
      <c r="Q2892" s="297" t="s">
        <v>200</v>
      </c>
      <c r="R2892" s="297" t="s">
        <v>213</v>
      </c>
      <c r="S2892" s="297" t="s">
        <v>214</v>
      </c>
    </row>
    <row r="2893" spans="1:19" x14ac:dyDescent="0.4">
      <c r="A2893" s="291"/>
      <c r="B2893" s="292"/>
      <c r="C2893" s="312"/>
      <c r="D2893" s="292"/>
      <c r="E2893" s="489"/>
      <c r="F2893" s="489"/>
      <c r="G2893" s="490"/>
      <c r="H2893" s="520"/>
      <c r="I2893" s="523"/>
      <c r="J2893" s="521"/>
      <c r="K2893" s="522"/>
      <c r="M2893" s="301" t="str">
        <f>N2893&amp;AS[[#This Row],[Insurer Code]]&amp;"; "&amp;O2893&amp;AS[[#This Row],[Reporting Year]]&amp;"; "&amp;P2893&amp;AS[[#This Row],[Insurance Category Code]]&amp;"; "&amp;Q2893&amp;AS[[#This Row],[Large Provider Entity Code]]&amp;"; "&amp;R2893&amp;AS[[#This Row],[Age Band Code]]&amp;"; "&amp;S2893&amp;AS[[#This Row],[Sex Code]]</f>
        <v xml:space="preserve">Insurer Code ; Reporting Year ; Insurance Category Code ; Large Provider Entity Code ; Age Band Code ; Sex Code </v>
      </c>
      <c r="N2893" s="297" t="s">
        <v>197</v>
      </c>
      <c r="O2893" s="297" t="s">
        <v>198</v>
      </c>
      <c r="P2893" s="297" t="s">
        <v>199</v>
      </c>
      <c r="Q2893" s="297" t="s">
        <v>200</v>
      </c>
      <c r="R2893" s="297" t="s">
        <v>213</v>
      </c>
      <c r="S2893" s="297" t="s">
        <v>214</v>
      </c>
    </row>
    <row r="2894" spans="1:19" x14ac:dyDescent="0.4">
      <c r="A2894" s="291"/>
      <c r="B2894" s="292"/>
      <c r="C2894" s="312"/>
      <c r="D2894" s="292"/>
      <c r="E2894" s="489"/>
      <c r="F2894" s="489"/>
      <c r="G2894" s="490"/>
      <c r="H2894" s="520"/>
      <c r="I2894" s="523"/>
      <c r="J2894" s="521"/>
      <c r="K2894" s="522"/>
      <c r="M2894" s="301" t="str">
        <f>N2894&amp;AS[[#This Row],[Insurer Code]]&amp;"; "&amp;O2894&amp;AS[[#This Row],[Reporting Year]]&amp;"; "&amp;P2894&amp;AS[[#This Row],[Insurance Category Code]]&amp;"; "&amp;Q2894&amp;AS[[#This Row],[Large Provider Entity Code]]&amp;"; "&amp;R2894&amp;AS[[#This Row],[Age Band Code]]&amp;"; "&amp;S2894&amp;AS[[#This Row],[Sex Code]]</f>
        <v xml:space="preserve">Insurer Code ; Reporting Year ; Insurance Category Code ; Large Provider Entity Code ; Age Band Code ; Sex Code </v>
      </c>
      <c r="N2894" s="297" t="s">
        <v>197</v>
      </c>
      <c r="O2894" s="297" t="s">
        <v>198</v>
      </c>
      <c r="P2894" s="297" t="s">
        <v>199</v>
      </c>
      <c r="Q2894" s="297" t="s">
        <v>200</v>
      </c>
      <c r="R2894" s="297" t="s">
        <v>213</v>
      </c>
      <c r="S2894" s="297" t="s">
        <v>214</v>
      </c>
    </row>
    <row r="2895" spans="1:19" x14ac:dyDescent="0.4">
      <c r="A2895" s="291"/>
      <c r="B2895" s="292"/>
      <c r="C2895" s="312"/>
      <c r="D2895" s="292"/>
      <c r="E2895" s="489"/>
      <c r="F2895" s="489"/>
      <c r="G2895" s="490"/>
      <c r="H2895" s="520"/>
      <c r="I2895" s="523"/>
      <c r="J2895" s="521"/>
      <c r="K2895" s="522"/>
      <c r="M2895" s="301" t="str">
        <f>N2895&amp;AS[[#This Row],[Insurer Code]]&amp;"; "&amp;O2895&amp;AS[[#This Row],[Reporting Year]]&amp;"; "&amp;P2895&amp;AS[[#This Row],[Insurance Category Code]]&amp;"; "&amp;Q2895&amp;AS[[#This Row],[Large Provider Entity Code]]&amp;"; "&amp;R2895&amp;AS[[#This Row],[Age Band Code]]&amp;"; "&amp;S2895&amp;AS[[#This Row],[Sex Code]]</f>
        <v xml:space="preserve">Insurer Code ; Reporting Year ; Insurance Category Code ; Large Provider Entity Code ; Age Band Code ; Sex Code </v>
      </c>
      <c r="N2895" s="297" t="s">
        <v>197</v>
      </c>
      <c r="O2895" s="297" t="s">
        <v>198</v>
      </c>
      <c r="P2895" s="297" t="s">
        <v>199</v>
      </c>
      <c r="Q2895" s="297" t="s">
        <v>200</v>
      </c>
      <c r="R2895" s="297" t="s">
        <v>213</v>
      </c>
      <c r="S2895" s="297" t="s">
        <v>214</v>
      </c>
    </row>
    <row r="2896" spans="1:19" x14ac:dyDescent="0.4">
      <c r="A2896" s="291"/>
      <c r="B2896" s="292"/>
      <c r="C2896" s="312"/>
      <c r="D2896" s="292"/>
      <c r="E2896" s="489"/>
      <c r="F2896" s="489"/>
      <c r="G2896" s="490"/>
      <c r="H2896" s="520"/>
      <c r="I2896" s="523"/>
      <c r="J2896" s="521"/>
      <c r="K2896" s="522"/>
      <c r="M2896" s="301" t="str">
        <f>N2896&amp;AS[[#This Row],[Insurer Code]]&amp;"; "&amp;O2896&amp;AS[[#This Row],[Reporting Year]]&amp;"; "&amp;P2896&amp;AS[[#This Row],[Insurance Category Code]]&amp;"; "&amp;Q2896&amp;AS[[#This Row],[Large Provider Entity Code]]&amp;"; "&amp;R2896&amp;AS[[#This Row],[Age Band Code]]&amp;"; "&amp;S2896&amp;AS[[#This Row],[Sex Code]]</f>
        <v xml:space="preserve">Insurer Code ; Reporting Year ; Insurance Category Code ; Large Provider Entity Code ; Age Band Code ; Sex Code </v>
      </c>
      <c r="N2896" s="297" t="s">
        <v>197</v>
      </c>
      <c r="O2896" s="297" t="s">
        <v>198</v>
      </c>
      <c r="P2896" s="297" t="s">
        <v>199</v>
      </c>
      <c r="Q2896" s="297" t="s">
        <v>200</v>
      </c>
      <c r="R2896" s="297" t="s">
        <v>213</v>
      </c>
      <c r="S2896" s="297" t="s">
        <v>214</v>
      </c>
    </row>
    <row r="2897" spans="1:19" x14ac:dyDescent="0.4">
      <c r="A2897" s="291"/>
      <c r="B2897" s="292"/>
      <c r="C2897" s="312"/>
      <c r="D2897" s="292"/>
      <c r="E2897" s="489"/>
      <c r="F2897" s="489"/>
      <c r="G2897" s="490"/>
      <c r="H2897" s="520"/>
      <c r="I2897" s="523"/>
      <c r="J2897" s="521"/>
      <c r="K2897" s="522"/>
      <c r="M2897" s="301" t="str">
        <f>N2897&amp;AS[[#This Row],[Insurer Code]]&amp;"; "&amp;O2897&amp;AS[[#This Row],[Reporting Year]]&amp;"; "&amp;P2897&amp;AS[[#This Row],[Insurance Category Code]]&amp;"; "&amp;Q2897&amp;AS[[#This Row],[Large Provider Entity Code]]&amp;"; "&amp;R2897&amp;AS[[#This Row],[Age Band Code]]&amp;"; "&amp;S2897&amp;AS[[#This Row],[Sex Code]]</f>
        <v xml:space="preserve">Insurer Code ; Reporting Year ; Insurance Category Code ; Large Provider Entity Code ; Age Band Code ; Sex Code </v>
      </c>
      <c r="N2897" s="297" t="s">
        <v>197</v>
      </c>
      <c r="O2897" s="297" t="s">
        <v>198</v>
      </c>
      <c r="P2897" s="297" t="s">
        <v>199</v>
      </c>
      <c r="Q2897" s="297" t="s">
        <v>200</v>
      </c>
      <c r="R2897" s="297" t="s">
        <v>213</v>
      </c>
      <c r="S2897" s="297" t="s">
        <v>214</v>
      </c>
    </row>
    <row r="2898" spans="1:19" x14ac:dyDescent="0.4">
      <c r="A2898" s="291"/>
      <c r="B2898" s="292"/>
      <c r="C2898" s="312"/>
      <c r="D2898" s="292"/>
      <c r="E2898" s="489"/>
      <c r="F2898" s="489"/>
      <c r="G2898" s="490"/>
      <c r="H2898" s="520"/>
      <c r="I2898" s="523"/>
      <c r="J2898" s="521"/>
      <c r="K2898" s="522"/>
      <c r="M2898" s="301" t="str">
        <f>N2898&amp;AS[[#This Row],[Insurer Code]]&amp;"; "&amp;O2898&amp;AS[[#This Row],[Reporting Year]]&amp;"; "&amp;P2898&amp;AS[[#This Row],[Insurance Category Code]]&amp;"; "&amp;Q2898&amp;AS[[#This Row],[Large Provider Entity Code]]&amp;"; "&amp;R2898&amp;AS[[#This Row],[Age Band Code]]&amp;"; "&amp;S2898&amp;AS[[#This Row],[Sex Code]]</f>
        <v xml:space="preserve">Insurer Code ; Reporting Year ; Insurance Category Code ; Large Provider Entity Code ; Age Band Code ; Sex Code </v>
      </c>
      <c r="N2898" s="297" t="s">
        <v>197</v>
      </c>
      <c r="O2898" s="297" t="s">
        <v>198</v>
      </c>
      <c r="P2898" s="297" t="s">
        <v>199</v>
      </c>
      <c r="Q2898" s="297" t="s">
        <v>200</v>
      </c>
      <c r="R2898" s="297" t="s">
        <v>213</v>
      </c>
      <c r="S2898" s="297" t="s">
        <v>214</v>
      </c>
    </row>
    <row r="2899" spans="1:19" x14ac:dyDescent="0.4">
      <c r="A2899" s="291"/>
      <c r="B2899" s="292"/>
      <c r="C2899" s="312"/>
      <c r="D2899" s="292"/>
      <c r="E2899" s="489"/>
      <c r="F2899" s="489"/>
      <c r="G2899" s="490"/>
      <c r="H2899" s="520"/>
      <c r="I2899" s="523"/>
      <c r="J2899" s="521"/>
      <c r="K2899" s="522"/>
      <c r="M2899" s="301" t="str">
        <f>N2899&amp;AS[[#This Row],[Insurer Code]]&amp;"; "&amp;O2899&amp;AS[[#This Row],[Reporting Year]]&amp;"; "&amp;P2899&amp;AS[[#This Row],[Insurance Category Code]]&amp;"; "&amp;Q2899&amp;AS[[#This Row],[Large Provider Entity Code]]&amp;"; "&amp;R2899&amp;AS[[#This Row],[Age Band Code]]&amp;"; "&amp;S2899&amp;AS[[#This Row],[Sex Code]]</f>
        <v xml:space="preserve">Insurer Code ; Reporting Year ; Insurance Category Code ; Large Provider Entity Code ; Age Band Code ; Sex Code </v>
      </c>
      <c r="N2899" s="297" t="s">
        <v>197</v>
      </c>
      <c r="O2899" s="297" t="s">
        <v>198</v>
      </c>
      <c r="P2899" s="297" t="s">
        <v>199</v>
      </c>
      <c r="Q2899" s="297" t="s">
        <v>200</v>
      </c>
      <c r="R2899" s="297" t="s">
        <v>213</v>
      </c>
      <c r="S2899" s="297" t="s">
        <v>214</v>
      </c>
    </row>
    <row r="2900" spans="1:19" x14ac:dyDescent="0.4">
      <c r="A2900" s="291"/>
      <c r="B2900" s="292"/>
      <c r="C2900" s="312"/>
      <c r="D2900" s="292"/>
      <c r="E2900" s="489"/>
      <c r="F2900" s="489"/>
      <c r="G2900" s="490"/>
      <c r="H2900" s="520"/>
      <c r="I2900" s="523"/>
      <c r="J2900" s="521"/>
      <c r="K2900" s="522"/>
      <c r="M2900" s="301" t="str">
        <f>N2900&amp;AS[[#This Row],[Insurer Code]]&amp;"; "&amp;O2900&amp;AS[[#This Row],[Reporting Year]]&amp;"; "&amp;P2900&amp;AS[[#This Row],[Insurance Category Code]]&amp;"; "&amp;Q2900&amp;AS[[#This Row],[Large Provider Entity Code]]&amp;"; "&amp;R2900&amp;AS[[#This Row],[Age Band Code]]&amp;"; "&amp;S2900&amp;AS[[#This Row],[Sex Code]]</f>
        <v xml:space="preserve">Insurer Code ; Reporting Year ; Insurance Category Code ; Large Provider Entity Code ; Age Band Code ; Sex Code </v>
      </c>
      <c r="N2900" s="297" t="s">
        <v>197</v>
      </c>
      <c r="O2900" s="297" t="s">
        <v>198</v>
      </c>
      <c r="P2900" s="297" t="s">
        <v>199</v>
      </c>
      <c r="Q2900" s="297" t="s">
        <v>200</v>
      </c>
      <c r="R2900" s="297" t="s">
        <v>213</v>
      </c>
      <c r="S2900" s="297" t="s">
        <v>214</v>
      </c>
    </row>
    <row r="2901" spans="1:19" x14ac:dyDescent="0.4">
      <c r="A2901" s="291"/>
      <c r="B2901" s="292"/>
      <c r="C2901" s="312"/>
      <c r="D2901" s="292"/>
      <c r="E2901" s="489"/>
      <c r="F2901" s="489"/>
      <c r="G2901" s="490"/>
      <c r="H2901" s="520"/>
      <c r="I2901" s="523"/>
      <c r="J2901" s="521"/>
      <c r="K2901" s="522"/>
      <c r="M2901" s="301" t="str">
        <f>N2901&amp;AS[[#This Row],[Insurer Code]]&amp;"; "&amp;O2901&amp;AS[[#This Row],[Reporting Year]]&amp;"; "&amp;P2901&amp;AS[[#This Row],[Insurance Category Code]]&amp;"; "&amp;Q2901&amp;AS[[#This Row],[Large Provider Entity Code]]&amp;"; "&amp;R2901&amp;AS[[#This Row],[Age Band Code]]&amp;"; "&amp;S2901&amp;AS[[#This Row],[Sex Code]]</f>
        <v xml:space="preserve">Insurer Code ; Reporting Year ; Insurance Category Code ; Large Provider Entity Code ; Age Band Code ; Sex Code </v>
      </c>
      <c r="N2901" s="297" t="s">
        <v>197</v>
      </c>
      <c r="O2901" s="297" t="s">
        <v>198</v>
      </c>
      <c r="P2901" s="297" t="s">
        <v>199</v>
      </c>
      <c r="Q2901" s="297" t="s">
        <v>200</v>
      </c>
      <c r="R2901" s="297" t="s">
        <v>213</v>
      </c>
      <c r="S2901" s="297" t="s">
        <v>214</v>
      </c>
    </row>
    <row r="2902" spans="1:19" x14ac:dyDescent="0.4">
      <c r="A2902" s="291"/>
      <c r="B2902" s="292"/>
      <c r="C2902" s="312"/>
      <c r="D2902" s="292"/>
      <c r="E2902" s="489"/>
      <c r="F2902" s="489"/>
      <c r="G2902" s="490"/>
      <c r="H2902" s="520"/>
      <c r="I2902" s="523"/>
      <c r="J2902" s="521"/>
      <c r="K2902" s="522"/>
      <c r="M2902" s="301" t="str">
        <f>N2902&amp;AS[[#This Row],[Insurer Code]]&amp;"; "&amp;O2902&amp;AS[[#This Row],[Reporting Year]]&amp;"; "&amp;P2902&amp;AS[[#This Row],[Insurance Category Code]]&amp;"; "&amp;Q2902&amp;AS[[#This Row],[Large Provider Entity Code]]&amp;"; "&amp;R2902&amp;AS[[#This Row],[Age Band Code]]&amp;"; "&amp;S2902&amp;AS[[#This Row],[Sex Code]]</f>
        <v xml:space="preserve">Insurer Code ; Reporting Year ; Insurance Category Code ; Large Provider Entity Code ; Age Band Code ; Sex Code </v>
      </c>
      <c r="N2902" s="297" t="s">
        <v>197</v>
      </c>
      <c r="O2902" s="297" t="s">
        <v>198</v>
      </c>
      <c r="P2902" s="297" t="s">
        <v>199</v>
      </c>
      <c r="Q2902" s="297" t="s">
        <v>200</v>
      </c>
      <c r="R2902" s="297" t="s">
        <v>213</v>
      </c>
      <c r="S2902" s="297" t="s">
        <v>214</v>
      </c>
    </row>
    <row r="2903" spans="1:19" x14ac:dyDescent="0.4">
      <c r="A2903" s="291"/>
      <c r="B2903" s="292"/>
      <c r="C2903" s="312"/>
      <c r="D2903" s="292"/>
      <c r="E2903" s="489"/>
      <c r="F2903" s="489"/>
      <c r="G2903" s="490"/>
      <c r="H2903" s="520"/>
      <c r="I2903" s="523"/>
      <c r="J2903" s="521"/>
      <c r="K2903" s="522"/>
      <c r="M2903" s="301" t="str">
        <f>N2903&amp;AS[[#This Row],[Insurer Code]]&amp;"; "&amp;O2903&amp;AS[[#This Row],[Reporting Year]]&amp;"; "&amp;P2903&amp;AS[[#This Row],[Insurance Category Code]]&amp;"; "&amp;Q2903&amp;AS[[#This Row],[Large Provider Entity Code]]&amp;"; "&amp;R2903&amp;AS[[#This Row],[Age Band Code]]&amp;"; "&amp;S2903&amp;AS[[#This Row],[Sex Code]]</f>
        <v xml:space="preserve">Insurer Code ; Reporting Year ; Insurance Category Code ; Large Provider Entity Code ; Age Band Code ; Sex Code </v>
      </c>
      <c r="N2903" s="297" t="s">
        <v>197</v>
      </c>
      <c r="O2903" s="297" t="s">
        <v>198</v>
      </c>
      <c r="P2903" s="297" t="s">
        <v>199</v>
      </c>
      <c r="Q2903" s="297" t="s">
        <v>200</v>
      </c>
      <c r="R2903" s="297" t="s">
        <v>213</v>
      </c>
      <c r="S2903" s="297" t="s">
        <v>214</v>
      </c>
    </row>
    <row r="2904" spans="1:19" x14ac:dyDescent="0.4">
      <c r="A2904" s="291"/>
      <c r="B2904" s="292"/>
      <c r="C2904" s="312"/>
      <c r="D2904" s="292"/>
      <c r="E2904" s="489"/>
      <c r="F2904" s="489"/>
      <c r="G2904" s="490"/>
      <c r="H2904" s="520"/>
      <c r="I2904" s="523"/>
      <c r="J2904" s="521"/>
      <c r="K2904" s="522"/>
      <c r="M2904" s="301" t="str">
        <f>N2904&amp;AS[[#This Row],[Insurer Code]]&amp;"; "&amp;O2904&amp;AS[[#This Row],[Reporting Year]]&amp;"; "&amp;P2904&amp;AS[[#This Row],[Insurance Category Code]]&amp;"; "&amp;Q2904&amp;AS[[#This Row],[Large Provider Entity Code]]&amp;"; "&amp;R2904&amp;AS[[#This Row],[Age Band Code]]&amp;"; "&amp;S2904&amp;AS[[#This Row],[Sex Code]]</f>
        <v xml:space="preserve">Insurer Code ; Reporting Year ; Insurance Category Code ; Large Provider Entity Code ; Age Band Code ; Sex Code </v>
      </c>
      <c r="N2904" s="297" t="s">
        <v>197</v>
      </c>
      <c r="O2904" s="297" t="s">
        <v>198</v>
      </c>
      <c r="P2904" s="297" t="s">
        <v>199</v>
      </c>
      <c r="Q2904" s="297" t="s">
        <v>200</v>
      </c>
      <c r="R2904" s="297" t="s">
        <v>213</v>
      </c>
      <c r="S2904" s="297" t="s">
        <v>214</v>
      </c>
    </row>
    <row r="2905" spans="1:19" x14ac:dyDescent="0.4">
      <c r="A2905" s="291"/>
      <c r="B2905" s="292"/>
      <c r="C2905" s="312"/>
      <c r="D2905" s="292"/>
      <c r="E2905" s="489"/>
      <c r="F2905" s="489"/>
      <c r="G2905" s="490"/>
      <c r="H2905" s="520"/>
      <c r="I2905" s="523"/>
      <c r="J2905" s="521"/>
      <c r="K2905" s="522"/>
      <c r="M2905" s="301" t="str">
        <f>N2905&amp;AS[[#This Row],[Insurer Code]]&amp;"; "&amp;O2905&amp;AS[[#This Row],[Reporting Year]]&amp;"; "&amp;P2905&amp;AS[[#This Row],[Insurance Category Code]]&amp;"; "&amp;Q2905&amp;AS[[#This Row],[Large Provider Entity Code]]&amp;"; "&amp;R2905&amp;AS[[#This Row],[Age Band Code]]&amp;"; "&amp;S2905&amp;AS[[#This Row],[Sex Code]]</f>
        <v xml:space="preserve">Insurer Code ; Reporting Year ; Insurance Category Code ; Large Provider Entity Code ; Age Band Code ; Sex Code </v>
      </c>
      <c r="N2905" s="297" t="s">
        <v>197</v>
      </c>
      <c r="O2905" s="297" t="s">
        <v>198</v>
      </c>
      <c r="P2905" s="297" t="s">
        <v>199</v>
      </c>
      <c r="Q2905" s="297" t="s">
        <v>200</v>
      </c>
      <c r="R2905" s="297" t="s">
        <v>213</v>
      </c>
      <c r="S2905" s="297" t="s">
        <v>214</v>
      </c>
    </row>
    <row r="2906" spans="1:19" x14ac:dyDescent="0.4">
      <c r="A2906" s="291"/>
      <c r="B2906" s="292"/>
      <c r="C2906" s="312"/>
      <c r="D2906" s="292"/>
      <c r="E2906" s="489"/>
      <c r="F2906" s="489"/>
      <c r="G2906" s="490"/>
      <c r="H2906" s="520"/>
      <c r="I2906" s="523"/>
      <c r="J2906" s="521"/>
      <c r="K2906" s="522"/>
      <c r="M2906" s="301" t="str">
        <f>N2906&amp;AS[[#This Row],[Insurer Code]]&amp;"; "&amp;O2906&amp;AS[[#This Row],[Reporting Year]]&amp;"; "&amp;P2906&amp;AS[[#This Row],[Insurance Category Code]]&amp;"; "&amp;Q2906&amp;AS[[#This Row],[Large Provider Entity Code]]&amp;"; "&amp;R2906&amp;AS[[#This Row],[Age Band Code]]&amp;"; "&amp;S2906&amp;AS[[#This Row],[Sex Code]]</f>
        <v xml:space="preserve">Insurer Code ; Reporting Year ; Insurance Category Code ; Large Provider Entity Code ; Age Band Code ; Sex Code </v>
      </c>
      <c r="N2906" s="297" t="s">
        <v>197</v>
      </c>
      <c r="O2906" s="297" t="s">
        <v>198</v>
      </c>
      <c r="P2906" s="297" t="s">
        <v>199</v>
      </c>
      <c r="Q2906" s="297" t="s">
        <v>200</v>
      </c>
      <c r="R2906" s="297" t="s">
        <v>213</v>
      </c>
      <c r="S2906" s="297" t="s">
        <v>214</v>
      </c>
    </row>
    <row r="2907" spans="1:19" x14ac:dyDescent="0.4">
      <c r="A2907" s="291"/>
      <c r="B2907" s="292"/>
      <c r="C2907" s="312"/>
      <c r="D2907" s="292"/>
      <c r="E2907" s="489"/>
      <c r="F2907" s="489"/>
      <c r="G2907" s="490"/>
      <c r="H2907" s="520"/>
      <c r="I2907" s="523"/>
      <c r="J2907" s="521"/>
      <c r="K2907" s="522"/>
      <c r="M2907" s="301" t="str">
        <f>N2907&amp;AS[[#This Row],[Insurer Code]]&amp;"; "&amp;O2907&amp;AS[[#This Row],[Reporting Year]]&amp;"; "&amp;P2907&amp;AS[[#This Row],[Insurance Category Code]]&amp;"; "&amp;Q2907&amp;AS[[#This Row],[Large Provider Entity Code]]&amp;"; "&amp;R2907&amp;AS[[#This Row],[Age Band Code]]&amp;"; "&amp;S2907&amp;AS[[#This Row],[Sex Code]]</f>
        <v xml:space="preserve">Insurer Code ; Reporting Year ; Insurance Category Code ; Large Provider Entity Code ; Age Band Code ; Sex Code </v>
      </c>
      <c r="N2907" s="297" t="s">
        <v>197</v>
      </c>
      <c r="O2907" s="297" t="s">
        <v>198</v>
      </c>
      <c r="P2907" s="297" t="s">
        <v>199</v>
      </c>
      <c r="Q2907" s="297" t="s">
        <v>200</v>
      </c>
      <c r="R2907" s="297" t="s">
        <v>213</v>
      </c>
      <c r="S2907" s="297" t="s">
        <v>214</v>
      </c>
    </row>
    <row r="2908" spans="1:19" x14ac:dyDescent="0.4">
      <c r="A2908" s="291"/>
      <c r="B2908" s="292"/>
      <c r="C2908" s="312"/>
      <c r="D2908" s="292"/>
      <c r="E2908" s="489"/>
      <c r="F2908" s="489"/>
      <c r="G2908" s="490"/>
      <c r="H2908" s="520"/>
      <c r="I2908" s="523"/>
      <c r="J2908" s="521"/>
      <c r="K2908" s="522"/>
      <c r="M2908" s="301" t="str">
        <f>N2908&amp;AS[[#This Row],[Insurer Code]]&amp;"; "&amp;O2908&amp;AS[[#This Row],[Reporting Year]]&amp;"; "&amp;P2908&amp;AS[[#This Row],[Insurance Category Code]]&amp;"; "&amp;Q2908&amp;AS[[#This Row],[Large Provider Entity Code]]&amp;"; "&amp;R2908&amp;AS[[#This Row],[Age Band Code]]&amp;"; "&amp;S2908&amp;AS[[#This Row],[Sex Code]]</f>
        <v xml:space="preserve">Insurer Code ; Reporting Year ; Insurance Category Code ; Large Provider Entity Code ; Age Band Code ; Sex Code </v>
      </c>
      <c r="N2908" s="297" t="s">
        <v>197</v>
      </c>
      <c r="O2908" s="297" t="s">
        <v>198</v>
      </c>
      <c r="P2908" s="297" t="s">
        <v>199</v>
      </c>
      <c r="Q2908" s="297" t="s">
        <v>200</v>
      </c>
      <c r="R2908" s="297" t="s">
        <v>213</v>
      </c>
      <c r="S2908" s="297" t="s">
        <v>214</v>
      </c>
    </row>
    <row r="2909" spans="1:19" x14ac:dyDescent="0.4">
      <c r="A2909" s="291"/>
      <c r="B2909" s="292"/>
      <c r="C2909" s="312"/>
      <c r="D2909" s="292"/>
      <c r="E2909" s="489"/>
      <c r="F2909" s="489"/>
      <c r="G2909" s="490"/>
      <c r="H2909" s="520"/>
      <c r="I2909" s="523"/>
      <c r="J2909" s="521"/>
      <c r="K2909" s="522"/>
      <c r="M2909" s="301" t="str">
        <f>N2909&amp;AS[[#This Row],[Insurer Code]]&amp;"; "&amp;O2909&amp;AS[[#This Row],[Reporting Year]]&amp;"; "&amp;P2909&amp;AS[[#This Row],[Insurance Category Code]]&amp;"; "&amp;Q2909&amp;AS[[#This Row],[Large Provider Entity Code]]&amp;"; "&amp;R2909&amp;AS[[#This Row],[Age Band Code]]&amp;"; "&amp;S2909&amp;AS[[#This Row],[Sex Code]]</f>
        <v xml:space="preserve">Insurer Code ; Reporting Year ; Insurance Category Code ; Large Provider Entity Code ; Age Band Code ; Sex Code </v>
      </c>
      <c r="N2909" s="297" t="s">
        <v>197</v>
      </c>
      <c r="O2909" s="297" t="s">
        <v>198</v>
      </c>
      <c r="P2909" s="297" t="s">
        <v>199</v>
      </c>
      <c r="Q2909" s="297" t="s">
        <v>200</v>
      </c>
      <c r="R2909" s="297" t="s">
        <v>213</v>
      </c>
      <c r="S2909" s="297" t="s">
        <v>214</v>
      </c>
    </row>
    <row r="2910" spans="1:19" x14ac:dyDescent="0.4">
      <c r="A2910" s="291"/>
      <c r="B2910" s="292"/>
      <c r="C2910" s="312"/>
      <c r="D2910" s="292"/>
      <c r="E2910" s="489"/>
      <c r="F2910" s="489"/>
      <c r="G2910" s="490"/>
      <c r="H2910" s="520"/>
      <c r="I2910" s="523"/>
      <c r="J2910" s="521"/>
      <c r="K2910" s="522"/>
      <c r="M2910" s="301" t="str">
        <f>N2910&amp;AS[[#This Row],[Insurer Code]]&amp;"; "&amp;O2910&amp;AS[[#This Row],[Reporting Year]]&amp;"; "&amp;P2910&amp;AS[[#This Row],[Insurance Category Code]]&amp;"; "&amp;Q2910&amp;AS[[#This Row],[Large Provider Entity Code]]&amp;"; "&amp;R2910&amp;AS[[#This Row],[Age Band Code]]&amp;"; "&amp;S2910&amp;AS[[#This Row],[Sex Code]]</f>
        <v xml:space="preserve">Insurer Code ; Reporting Year ; Insurance Category Code ; Large Provider Entity Code ; Age Band Code ; Sex Code </v>
      </c>
      <c r="N2910" s="297" t="s">
        <v>197</v>
      </c>
      <c r="O2910" s="297" t="s">
        <v>198</v>
      </c>
      <c r="P2910" s="297" t="s">
        <v>199</v>
      </c>
      <c r="Q2910" s="297" t="s">
        <v>200</v>
      </c>
      <c r="R2910" s="297" t="s">
        <v>213</v>
      </c>
      <c r="S2910" s="297" t="s">
        <v>214</v>
      </c>
    </row>
    <row r="2911" spans="1:19" x14ac:dyDescent="0.4">
      <c r="A2911" s="291"/>
      <c r="B2911" s="292"/>
      <c r="C2911" s="312"/>
      <c r="D2911" s="292"/>
      <c r="E2911" s="489"/>
      <c r="F2911" s="489"/>
      <c r="G2911" s="490"/>
      <c r="H2911" s="520"/>
      <c r="I2911" s="523"/>
      <c r="J2911" s="521"/>
      <c r="K2911" s="522"/>
      <c r="M2911" s="301" t="str">
        <f>N2911&amp;AS[[#This Row],[Insurer Code]]&amp;"; "&amp;O2911&amp;AS[[#This Row],[Reporting Year]]&amp;"; "&amp;P2911&amp;AS[[#This Row],[Insurance Category Code]]&amp;"; "&amp;Q2911&amp;AS[[#This Row],[Large Provider Entity Code]]&amp;"; "&amp;R2911&amp;AS[[#This Row],[Age Band Code]]&amp;"; "&amp;S2911&amp;AS[[#This Row],[Sex Code]]</f>
        <v xml:space="preserve">Insurer Code ; Reporting Year ; Insurance Category Code ; Large Provider Entity Code ; Age Band Code ; Sex Code </v>
      </c>
      <c r="N2911" s="297" t="s">
        <v>197</v>
      </c>
      <c r="O2911" s="297" t="s">
        <v>198</v>
      </c>
      <c r="P2911" s="297" t="s">
        <v>199</v>
      </c>
      <c r="Q2911" s="297" t="s">
        <v>200</v>
      </c>
      <c r="R2911" s="297" t="s">
        <v>213</v>
      </c>
      <c r="S2911" s="297" t="s">
        <v>214</v>
      </c>
    </row>
    <row r="2912" spans="1:19" x14ac:dyDescent="0.4">
      <c r="A2912" s="291"/>
      <c r="B2912" s="292"/>
      <c r="C2912" s="312"/>
      <c r="D2912" s="292"/>
      <c r="E2912" s="489"/>
      <c r="F2912" s="489"/>
      <c r="G2912" s="490"/>
      <c r="H2912" s="520"/>
      <c r="I2912" s="523"/>
      <c r="J2912" s="521"/>
      <c r="K2912" s="522"/>
      <c r="M2912" s="301" t="str">
        <f>N2912&amp;AS[[#This Row],[Insurer Code]]&amp;"; "&amp;O2912&amp;AS[[#This Row],[Reporting Year]]&amp;"; "&amp;P2912&amp;AS[[#This Row],[Insurance Category Code]]&amp;"; "&amp;Q2912&amp;AS[[#This Row],[Large Provider Entity Code]]&amp;"; "&amp;R2912&amp;AS[[#This Row],[Age Band Code]]&amp;"; "&amp;S2912&amp;AS[[#This Row],[Sex Code]]</f>
        <v xml:space="preserve">Insurer Code ; Reporting Year ; Insurance Category Code ; Large Provider Entity Code ; Age Band Code ; Sex Code </v>
      </c>
      <c r="N2912" s="297" t="s">
        <v>197</v>
      </c>
      <c r="O2912" s="297" t="s">
        <v>198</v>
      </c>
      <c r="P2912" s="297" t="s">
        <v>199</v>
      </c>
      <c r="Q2912" s="297" t="s">
        <v>200</v>
      </c>
      <c r="R2912" s="297" t="s">
        <v>213</v>
      </c>
      <c r="S2912" s="297" t="s">
        <v>214</v>
      </c>
    </row>
    <row r="2913" spans="1:19" x14ac:dyDescent="0.4">
      <c r="A2913" s="291"/>
      <c r="B2913" s="292"/>
      <c r="C2913" s="312"/>
      <c r="D2913" s="292"/>
      <c r="E2913" s="489"/>
      <c r="F2913" s="489"/>
      <c r="G2913" s="490"/>
      <c r="H2913" s="520"/>
      <c r="I2913" s="523"/>
      <c r="J2913" s="521"/>
      <c r="K2913" s="522"/>
      <c r="M2913" s="301" t="str">
        <f>N2913&amp;AS[[#This Row],[Insurer Code]]&amp;"; "&amp;O2913&amp;AS[[#This Row],[Reporting Year]]&amp;"; "&amp;P2913&amp;AS[[#This Row],[Insurance Category Code]]&amp;"; "&amp;Q2913&amp;AS[[#This Row],[Large Provider Entity Code]]&amp;"; "&amp;R2913&amp;AS[[#This Row],[Age Band Code]]&amp;"; "&amp;S2913&amp;AS[[#This Row],[Sex Code]]</f>
        <v xml:space="preserve">Insurer Code ; Reporting Year ; Insurance Category Code ; Large Provider Entity Code ; Age Band Code ; Sex Code </v>
      </c>
      <c r="N2913" s="297" t="s">
        <v>197</v>
      </c>
      <c r="O2913" s="297" t="s">
        <v>198</v>
      </c>
      <c r="P2913" s="297" t="s">
        <v>199</v>
      </c>
      <c r="Q2913" s="297" t="s">
        <v>200</v>
      </c>
      <c r="R2913" s="297" t="s">
        <v>213</v>
      </c>
      <c r="S2913" s="297" t="s">
        <v>214</v>
      </c>
    </row>
    <row r="2914" spans="1:19" x14ac:dyDescent="0.4">
      <c r="A2914" s="291"/>
      <c r="B2914" s="292"/>
      <c r="C2914" s="312"/>
      <c r="D2914" s="292"/>
      <c r="E2914" s="489"/>
      <c r="F2914" s="489"/>
      <c r="G2914" s="490"/>
      <c r="H2914" s="520"/>
      <c r="I2914" s="523"/>
      <c r="J2914" s="521"/>
      <c r="K2914" s="522"/>
      <c r="M2914" s="301" t="str">
        <f>N2914&amp;AS[[#This Row],[Insurer Code]]&amp;"; "&amp;O2914&amp;AS[[#This Row],[Reporting Year]]&amp;"; "&amp;P2914&amp;AS[[#This Row],[Insurance Category Code]]&amp;"; "&amp;Q2914&amp;AS[[#This Row],[Large Provider Entity Code]]&amp;"; "&amp;R2914&amp;AS[[#This Row],[Age Band Code]]&amp;"; "&amp;S2914&amp;AS[[#This Row],[Sex Code]]</f>
        <v xml:space="preserve">Insurer Code ; Reporting Year ; Insurance Category Code ; Large Provider Entity Code ; Age Band Code ; Sex Code </v>
      </c>
      <c r="N2914" s="297" t="s">
        <v>197</v>
      </c>
      <c r="O2914" s="297" t="s">
        <v>198</v>
      </c>
      <c r="P2914" s="297" t="s">
        <v>199</v>
      </c>
      <c r="Q2914" s="297" t="s">
        <v>200</v>
      </c>
      <c r="R2914" s="297" t="s">
        <v>213</v>
      </c>
      <c r="S2914" s="297" t="s">
        <v>214</v>
      </c>
    </row>
    <row r="2915" spans="1:19" x14ac:dyDescent="0.4">
      <c r="A2915" s="291"/>
      <c r="B2915" s="292"/>
      <c r="C2915" s="312"/>
      <c r="D2915" s="292"/>
      <c r="E2915" s="489"/>
      <c r="F2915" s="489"/>
      <c r="G2915" s="490"/>
      <c r="H2915" s="520"/>
      <c r="I2915" s="523"/>
      <c r="J2915" s="521"/>
      <c r="K2915" s="522"/>
      <c r="M2915" s="301" t="str">
        <f>N2915&amp;AS[[#This Row],[Insurer Code]]&amp;"; "&amp;O2915&amp;AS[[#This Row],[Reporting Year]]&amp;"; "&amp;P2915&amp;AS[[#This Row],[Insurance Category Code]]&amp;"; "&amp;Q2915&amp;AS[[#This Row],[Large Provider Entity Code]]&amp;"; "&amp;R2915&amp;AS[[#This Row],[Age Band Code]]&amp;"; "&amp;S2915&amp;AS[[#This Row],[Sex Code]]</f>
        <v xml:space="preserve">Insurer Code ; Reporting Year ; Insurance Category Code ; Large Provider Entity Code ; Age Band Code ; Sex Code </v>
      </c>
      <c r="N2915" s="297" t="s">
        <v>197</v>
      </c>
      <c r="O2915" s="297" t="s">
        <v>198</v>
      </c>
      <c r="P2915" s="297" t="s">
        <v>199</v>
      </c>
      <c r="Q2915" s="297" t="s">
        <v>200</v>
      </c>
      <c r="R2915" s="297" t="s">
        <v>213</v>
      </c>
      <c r="S2915" s="297" t="s">
        <v>214</v>
      </c>
    </row>
    <row r="2916" spans="1:19" x14ac:dyDescent="0.4">
      <c r="A2916" s="291"/>
      <c r="B2916" s="292"/>
      <c r="C2916" s="312"/>
      <c r="D2916" s="292"/>
      <c r="E2916" s="489"/>
      <c r="F2916" s="489"/>
      <c r="G2916" s="490"/>
      <c r="H2916" s="520"/>
      <c r="I2916" s="523"/>
      <c r="J2916" s="521"/>
      <c r="K2916" s="522"/>
      <c r="M2916" s="301" t="str">
        <f>N2916&amp;AS[[#This Row],[Insurer Code]]&amp;"; "&amp;O2916&amp;AS[[#This Row],[Reporting Year]]&amp;"; "&amp;P2916&amp;AS[[#This Row],[Insurance Category Code]]&amp;"; "&amp;Q2916&amp;AS[[#This Row],[Large Provider Entity Code]]&amp;"; "&amp;R2916&amp;AS[[#This Row],[Age Band Code]]&amp;"; "&amp;S2916&amp;AS[[#This Row],[Sex Code]]</f>
        <v xml:space="preserve">Insurer Code ; Reporting Year ; Insurance Category Code ; Large Provider Entity Code ; Age Band Code ; Sex Code </v>
      </c>
      <c r="N2916" s="297" t="s">
        <v>197</v>
      </c>
      <c r="O2916" s="297" t="s">
        <v>198</v>
      </c>
      <c r="P2916" s="297" t="s">
        <v>199</v>
      </c>
      <c r="Q2916" s="297" t="s">
        <v>200</v>
      </c>
      <c r="R2916" s="297" t="s">
        <v>213</v>
      </c>
      <c r="S2916" s="297" t="s">
        <v>214</v>
      </c>
    </row>
    <row r="2917" spans="1:19" x14ac:dyDescent="0.4">
      <c r="A2917" s="291"/>
      <c r="B2917" s="292"/>
      <c r="C2917" s="312"/>
      <c r="D2917" s="292"/>
      <c r="E2917" s="489"/>
      <c r="F2917" s="489"/>
      <c r="G2917" s="490"/>
      <c r="H2917" s="520"/>
      <c r="I2917" s="523"/>
      <c r="J2917" s="521"/>
      <c r="K2917" s="522"/>
      <c r="M2917" s="301" t="str">
        <f>N2917&amp;AS[[#This Row],[Insurer Code]]&amp;"; "&amp;O2917&amp;AS[[#This Row],[Reporting Year]]&amp;"; "&amp;P2917&amp;AS[[#This Row],[Insurance Category Code]]&amp;"; "&amp;Q2917&amp;AS[[#This Row],[Large Provider Entity Code]]&amp;"; "&amp;R2917&amp;AS[[#This Row],[Age Band Code]]&amp;"; "&amp;S2917&amp;AS[[#This Row],[Sex Code]]</f>
        <v xml:space="preserve">Insurer Code ; Reporting Year ; Insurance Category Code ; Large Provider Entity Code ; Age Band Code ; Sex Code </v>
      </c>
      <c r="N2917" s="297" t="s">
        <v>197</v>
      </c>
      <c r="O2917" s="297" t="s">
        <v>198</v>
      </c>
      <c r="P2917" s="297" t="s">
        <v>199</v>
      </c>
      <c r="Q2917" s="297" t="s">
        <v>200</v>
      </c>
      <c r="R2917" s="297" t="s">
        <v>213</v>
      </c>
      <c r="S2917" s="297" t="s">
        <v>214</v>
      </c>
    </row>
    <row r="2918" spans="1:19" x14ac:dyDescent="0.4">
      <c r="A2918" s="291"/>
      <c r="B2918" s="292"/>
      <c r="C2918" s="312"/>
      <c r="D2918" s="292"/>
      <c r="E2918" s="489"/>
      <c r="F2918" s="489"/>
      <c r="G2918" s="490"/>
      <c r="H2918" s="520"/>
      <c r="I2918" s="523"/>
      <c r="J2918" s="521"/>
      <c r="K2918" s="522"/>
      <c r="M2918" s="301" t="str">
        <f>N2918&amp;AS[[#This Row],[Insurer Code]]&amp;"; "&amp;O2918&amp;AS[[#This Row],[Reporting Year]]&amp;"; "&amp;P2918&amp;AS[[#This Row],[Insurance Category Code]]&amp;"; "&amp;Q2918&amp;AS[[#This Row],[Large Provider Entity Code]]&amp;"; "&amp;R2918&amp;AS[[#This Row],[Age Band Code]]&amp;"; "&amp;S2918&amp;AS[[#This Row],[Sex Code]]</f>
        <v xml:space="preserve">Insurer Code ; Reporting Year ; Insurance Category Code ; Large Provider Entity Code ; Age Band Code ; Sex Code </v>
      </c>
      <c r="N2918" s="297" t="s">
        <v>197</v>
      </c>
      <c r="O2918" s="297" t="s">
        <v>198</v>
      </c>
      <c r="P2918" s="297" t="s">
        <v>199</v>
      </c>
      <c r="Q2918" s="297" t="s">
        <v>200</v>
      </c>
      <c r="R2918" s="297" t="s">
        <v>213</v>
      </c>
      <c r="S2918" s="297" t="s">
        <v>214</v>
      </c>
    </row>
    <row r="2919" spans="1:19" x14ac:dyDescent="0.4">
      <c r="A2919" s="291"/>
      <c r="B2919" s="292"/>
      <c r="C2919" s="312"/>
      <c r="D2919" s="292"/>
      <c r="E2919" s="489"/>
      <c r="F2919" s="489"/>
      <c r="G2919" s="490"/>
      <c r="H2919" s="520"/>
      <c r="I2919" s="523"/>
      <c r="J2919" s="521"/>
      <c r="K2919" s="522"/>
      <c r="M2919" s="301" t="str">
        <f>N2919&amp;AS[[#This Row],[Insurer Code]]&amp;"; "&amp;O2919&amp;AS[[#This Row],[Reporting Year]]&amp;"; "&amp;P2919&amp;AS[[#This Row],[Insurance Category Code]]&amp;"; "&amp;Q2919&amp;AS[[#This Row],[Large Provider Entity Code]]&amp;"; "&amp;R2919&amp;AS[[#This Row],[Age Band Code]]&amp;"; "&amp;S2919&amp;AS[[#This Row],[Sex Code]]</f>
        <v xml:space="preserve">Insurer Code ; Reporting Year ; Insurance Category Code ; Large Provider Entity Code ; Age Band Code ; Sex Code </v>
      </c>
      <c r="N2919" s="297" t="s">
        <v>197</v>
      </c>
      <c r="O2919" s="297" t="s">
        <v>198</v>
      </c>
      <c r="P2919" s="297" t="s">
        <v>199</v>
      </c>
      <c r="Q2919" s="297" t="s">
        <v>200</v>
      </c>
      <c r="R2919" s="297" t="s">
        <v>213</v>
      </c>
      <c r="S2919" s="297" t="s">
        <v>214</v>
      </c>
    </row>
    <row r="2920" spans="1:19" x14ac:dyDescent="0.4">
      <c r="A2920" s="291"/>
      <c r="B2920" s="292"/>
      <c r="C2920" s="312"/>
      <c r="D2920" s="292"/>
      <c r="E2920" s="489"/>
      <c r="F2920" s="489"/>
      <c r="G2920" s="490"/>
      <c r="H2920" s="520"/>
      <c r="I2920" s="523"/>
      <c r="J2920" s="521"/>
      <c r="K2920" s="522"/>
      <c r="M2920" s="301" t="str">
        <f>N2920&amp;AS[[#This Row],[Insurer Code]]&amp;"; "&amp;O2920&amp;AS[[#This Row],[Reporting Year]]&amp;"; "&amp;P2920&amp;AS[[#This Row],[Insurance Category Code]]&amp;"; "&amp;Q2920&amp;AS[[#This Row],[Large Provider Entity Code]]&amp;"; "&amp;R2920&amp;AS[[#This Row],[Age Band Code]]&amp;"; "&amp;S2920&amp;AS[[#This Row],[Sex Code]]</f>
        <v xml:space="preserve">Insurer Code ; Reporting Year ; Insurance Category Code ; Large Provider Entity Code ; Age Band Code ; Sex Code </v>
      </c>
      <c r="N2920" s="297" t="s">
        <v>197</v>
      </c>
      <c r="O2920" s="297" t="s">
        <v>198</v>
      </c>
      <c r="P2920" s="297" t="s">
        <v>199</v>
      </c>
      <c r="Q2920" s="297" t="s">
        <v>200</v>
      </c>
      <c r="R2920" s="297" t="s">
        <v>213</v>
      </c>
      <c r="S2920" s="297" t="s">
        <v>214</v>
      </c>
    </row>
    <row r="2921" spans="1:19" x14ac:dyDescent="0.4">
      <c r="A2921" s="291"/>
      <c r="B2921" s="292"/>
      <c r="C2921" s="312"/>
      <c r="D2921" s="292"/>
      <c r="E2921" s="489"/>
      <c r="F2921" s="489"/>
      <c r="G2921" s="490"/>
      <c r="H2921" s="520"/>
      <c r="I2921" s="523"/>
      <c r="J2921" s="521"/>
      <c r="K2921" s="522"/>
      <c r="M2921" s="301" t="str">
        <f>N2921&amp;AS[[#This Row],[Insurer Code]]&amp;"; "&amp;O2921&amp;AS[[#This Row],[Reporting Year]]&amp;"; "&amp;P2921&amp;AS[[#This Row],[Insurance Category Code]]&amp;"; "&amp;Q2921&amp;AS[[#This Row],[Large Provider Entity Code]]&amp;"; "&amp;R2921&amp;AS[[#This Row],[Age Band Code]]&amp;"; "&amp;S2921&amp;AS[[#This Row],[Sex Code]]</f>
        <v xml:space="preserve">Insurer Code ; Reporting Year ; Insurance Category Code ; Large Provider Entity Code ; Age Band Code ; Sex Code </v>
      </c>
      <c r="N2921" s="297" t="s">
        <v>197</v>
      </c>
      <c r="O2921" s="297" t="s">
        <v>198</v>
      </c>
      <c r="P2921" s="297" t="s">
        <v>199</v>
      </c>
      <c r="Q2921" s="297" t="s">
        <v>200</v>
      </c>
      <c r="R2921" s="297" t="s">
        <v>213</v>
      </c>
      <c r="S2921" s="297" t="s">
        <v>214</v>
      </c>
    </row>
    <row r="2922" spans="1:19" x14ac:dyDescent="0.4">
      <c r="A2922" s="291"/>
      <c r="B2922" s="292"/>
      <c r="C2922" s="312"/>
      <c r="D2922" s="292"/>
      <c r="E2922" s="489"/>
      <c r="F2922" s="489"/>
      <c r="G2922" s="490"/>
      <c r="H2922" s="520"/>
      <c r="I2922" s="523"/>
      <c r="J2922" s="521"/>
      <c r="K2922" s="522"/>
      <c r="M2922" s="301" t="str">
        <f>N2922&amp;AS[[#This Row],[Insurer Code]]&amp;"; "&amp;O2922&amp;AS[[#This Row],[Reporting Year]]&amp;"; "&amp;P2922&amp;AS[[#This Row],[Insurance Category Code]]&amp;"; "&amp;Q2922&amp;AS[[#This Row],[Large Provider Entity Code]]&amp;"; "&amp;R2922&amp;AS[[#This Row],[Age Band Code]]&amp;"; "&amp;S2922&amp;AS[[#This Row],[Sex Code]]</f>
        <v xml:space="preserve">Insurer Code ; Reporting Year ; Insurance Category Code ; Large Provider Entity Code ; Age Band Code ; Sex Code </v>
      </c>
      <c r="N2922" s="297" t="s">
        <v>197</v>
      </c>
      <c r="O2922" s="297" t="s">
        <v>198</v>
      </c>
      <c r="P2922" s="297" t="s">
        <v>199</v>
      </c>
      <c r="Q2922" s="297" t="s">
        <v>200</v>
      </c>
      <c r="R2922" s="297" t="s">
        <v>213</v>
      </c>
      <c r="S2922" s="297" t="s">
        <v>214</v>
      </c>
    </row>
    <row r="2923" spans="1:19" x14ac:dyDescent="0.4">
      <c r="A2923" s="291"/>
      <c r="B2923" s="292"/>
      <c r="C2923" s="312"/>
      <c r="D2923" s="292"/>
      <c r="E2923" s="489"/>
      <c r="F2923" s="489"/>
      <c r="G2923" s="490"/>
      <c r="H2923" s="520"/>
      <c r="I2923" s="523"/>
      <c r="J2923" s="521"/>
      <c r="K2923" s="522"/>
      <c r="M2923" s="301" t="str">
        <f>N2923&amp;AS[[#This Row],[Insurer Code]]&amp;"; "&amp;O2923&amp;AS[[#This Row],[Reporting Year]]&amp;"; "&amp;P2923&amp;AS[[#This Row],[Insurance Category Code]]&amp;"; "&amp;Q2923&amp;AS[[#This Row],[Large Provider Entity Code]]&amp;"; "&amp;R2923&amp;AS[[#This Row],[Age Band Code]]&amp;"; "&amp;S2923&amp;AS[[#This Row],[Sex Code]]</f>
        <v xml:space="preserve">Insurer Code ; Reporting Year ; Insurance Category Code ; Large Provider Entity Code ; Age Band Code ; Sex Code </v>
      </c>
      <c r="N2923" s="297" t="s">
        <v>197</v>
      </c>
      <c r="O2923" s="297" t="s">
        <v>198</v>
      </c>
      <c r="P2923" s="297" t="s">
        <v>199</v>
      </c>
      <c r="Q2923" s="297" t="s">
        <v>200</v>
      </c>
      <c r="R2923" s="297" t="s">
        <v>213</v>
      </c>
      <c r="S2923" s="297" t="s">
        <v>214</v>
      </c>
    </row>
    <row r="2924" spans="1:19" x14ac:dyDescent="0.4">
      <c r="A2924" s="291"/>
      <c r="B2924" s="292"/>
      <c r="C2924" s="312"/>
      <c r="D2924" s="292"/>
      <c r="E2924" s="489"/>
      <c r="F2924" s="489"/>
      <c r="G2924" s="490"/>
      <c r="H2924" s="520"/>
      <c r="I2924" s="523"/>
      <c r="J2924" s="521"/>
      <c r="K2924" s="522"/>
      <c r="M2924" s="301" t="str">
        <f>N2924&amp;AS[[#This Row],[Insurer Code]]&amp;"; "&amp;O2924&amp;AS[[#This Row],[Reporting Year]]&amp;"; "&amp;P2924&amp;AS[[#This Row],[Insurance Category Code]]&amp;"; "&amp;Q2924&amp;AS[[#This Row],[Large Provider Entity Code]]&amp;"; "&amp;R2924&amp;AS[[#This Row],[Age Band Code]]&amp;"; "&amp;S2924&amp;AS[[#This Row],[Sex Code]]</f>
        <v xml:space="preserve">Insurer Code ; Reporting Year ; Insurance Category Code ; Large Provider Entity Code ; Age Band Code ; Sex Code </v>
      </c>
      <c r="N2924" s="297" t="s">
        <v>197</v>
      </c>
      <c r="O2924" s="297" t="s">
        <v>198</v>
      </c>
      <c r="P2924" s="297" t="s">
        <v>199</v>
      </c>
      <c r="Q2924" s="297" t="s">
        <v>200</v>
      </c>
      <c r="R2924" s="297" t="s">
        <v>213</v>
      </c>
      <c r="S2924" s="297" t="s">
        <v>214</v>
      </c>
    </row>
    <row r="2925" spans="1:19" x14ac:dyDescent="0.4">
      <c r="A2925" s="291"/>
      <c r="B2925" s="292"/>
      <c r="C2925" s="312"/>
      <c r="D2925" s="292"/>
      <c r="E2925" s="489"/>
      <c r="F2925" s="489"/>
      <c r="G2925" s="490"/>
      <c r="H2925" s="520"/>
      <c r="I2925" s="523"/>
      <c r="J2925" s="521"/>
      <c r="K2925" s="522"/>
      <c r="M2925" s="301" t="str">
        <f>N2925&amp;AS[[#This Row],[Insurer Code]]&amp;"; "&amp;O2925&amp;AS[[#This Row],[Reporting Year]]&amp;"; "&amp;P2925&amp;AS[[#This Row],[Insurance Category Code]]&amp;"; "&amp;Q2925&amp;AS[[#This Row],[Large Provider Entity Code]]&amp;"; "&amp;R2925&amp;AS[[#This Row],[Age Band Code]]&amp;"; "&amp;S2925&amp;AS[[#This Row],[Sex Code]]</f>
        <v xml:space="preserve">Insurer Code ; Reporting Year ; Insurance Category Code ; Large Provider Entity Code ; Age Band Code ; Sex Code </v>
      </c>
      <c r="N2925" s="297" t="s">
        <v>197</v>
      </c>
      <c r="O2925" s="297" t="s">
        <v>198</v>
      </c>
      <c r="P2925" s="297" t="s">
        <v>199</v>
      </c>
      <c r="Q2925" s="297" t="s">
        <v>200</v>
      </c>
      <c r="R2925" s="297" t="s">
        <v>213</v>
      </c>
      <c r="S2925" s="297" t="s">
        <v>214</v>
      </c>
    </row>
    <row r="2926" spans="1:19" x14ac:dyDescent="0.4">
      <c r="A2926" s="291"/>
      <c r="B2926" s="292"/>
      <c r="C2926" s="312"/>
      <c r="D2926" s="292"/>
      <c r="E2926" s="489"/>
      <c r="F2926" s="489"/>
      <c r="G2926" s="490"/>
      <c r="H2926" s="520"/>
      <c r="I2926" s="523"/>
      <c r="J2926" s="521"/>
      <c r="K2926" s="522"/>
      <c r="M2926" s="301" t="str">
        <f>N2926&amp;AS[[#This Row],[Insurer Code]]&amp;"; "&amp;O2926&amp;AS[[#This Row],[Reporting Year]]&amp;"; "&amp;P2926&amp;AS[[#This Row],[Insurance Category Code]]&amp;"; "&amp;Q2926&amp;AS[[#This Row],[Large Provider Entity Code]]&amp;"; "&amp;R2926&amp;AS[[#This Row],[Age Band Code]]&amp;"; "&amp;S2926&amp;AS[[#This Row],[Sex Code]]</f>
        <v xml:space="preserve">Insurer Code ; Reporting Year ; Insurance Category Code ; Large Provider Entity Code ; Age Band Code ; Sex Code </v>
      </c>
      <c r="N2926" s="297" t="s">
        <v>197</v>
      </c>
      <c r="O2926" s="297" t="s">
        <v>198</v>
      </c>
      <c r="P2926" s="297" t="s">
        <v>199</v>
      </c>
      <c r="Q2926" s="297" t="s">
        <v>200</v>
      </c>
      <c r="R2926" s="297" t="s">
        <v>213</v>
      </c>
      <c r="S2926" s="297" t="s">
        <v>214</v>
      </c>
    </row>
    <row r="2927" spans="1:19" x14ac:dyDescent="0.4">
      <c r="A2927" s="291"/>
      <c r="B2927" s="292"/>
      <c r="C2927" s="312"/>
      <c r="D2927" s="292"/>
      <c r="E2927" s="489"/>
      <c r="F2927" s="489"/>
      <c r="G2927" s="490"/>
      <c r="H2927" s="520"/>
      <c r="I2927" s="523"/>
      <c r="J2927" s="521"/>
      <c r="K2927" s="522"/>
      <c r="M2927" s="301" t="str">
        <f>N2927&amp;AS[[#This Row],[Insurer Code]]&amp;"; "&amp;O2927&amp;AS[[#This Row],[Reporting Year]]&amp;"; "&amp;P2927&amp;AS[[#This Row],[Insurance Category Code]]&amp;"; "&amp;Q2927&amp;AS[[#This Row],[Large Provider Entity Code]]&amp;"; "&amp;R2927&amp;AS[[#This Row],[Age Band Code]]&amp;"; "&amp;S2927&amp;AS[[#This Row],[Sex Code]]</f>
        <v xml:space="preserve">Insurer Code ; Reporting Year ; Insurance Category Code ; Large Provider Entity Code ; Age Band Code ; Sex Code </v>
      </c>
      <c r="N2927" s="297" t="s">
        <v>197</v>
      </c>
      <c r="O2927" s="297" t="s">
        <v>198</v>
      </c>
      <c r="P2927" s="297" t="s">
        <v>199</v>
      </c>
      <c r="Q2927" s="297" t="s">
        <v>200</v>
      </c>
      <c r="R2927" s="297" t="s">
        <v>213</v>
      </c>
      <c r="S2927" s="297" t="s">
        <v>214</v>
      </c>
    </row>
    <row r="2928" spans="1:19" x14ac:dyDescent="0.4">
      <c r="A2928" s="291"/>
      <c r="B2928" s="292"/>
      <c r="C2928" s="312"/>
      <c r="D2928" s="292"/>
      <c r="E2928" s="489"/>
      <c r="F2928" s="489"/>
      <c r="G2928" s="490"/>
      <c r="H2928" s="520"/>
      <c r="I2928" s="523"/>
      <c r="J2928" s="521"/>
      <c r="K2928" s="522"/>
      <c r="M2928" s="301" t="str">
        <f>N2928&amp;AS[[#This Row],[Insurer Code]]&amp;"; "&amp;O2928&amp;AS[[#This Row],[Reporting Year]]&amp;"; "&amp;P2928&amp;AS[[#This Row],[Insurance Category Code]]&amp;"; "&amp;Q2928&amp;AS[[#This Row],[Large Provider Entity Code]]&amp;"; "&amp;R2928&amp;AS[[#This Row],[Age Band Code]]&amp;"; "&amp;S2928&amp;AS[[#This Row],[Sex Code]]</f>
        <v xml:space="preserve">Insurer Code ; Reporting Year ; Insurance Category Code ; Large Provider Entity Code ; Age Band Code ; Sex Code </v>
      </c>
      <c r="N2928" s="297" t="s">
        <v>197</v>
      </c>
      <c r="O2928" s="297" t="s">
        <v>198</v>
      </c>
      <c r="P2928" s="297" t="s">
        <v>199</v>
      </c>
      <c r="Q2928" s="297" t="s">
        <v>200</v>
      </c>
      <c r="R2928" s="297" t="s">
        <v>213</v>
      </c>
      <c r="S2928" s="297" t="s">
        <v>214</v>
      </c>
    </row>
    <row r="2929" spans="1:19" x14ac:dyDescent="0.4">
      <c r="A2929" s="291"/>
      <c r="B2929" s="292"/>
      <c r="C2929" s="312"/>
      <c r="D2929" s="292"/>
      <c r="E2929" s="489"/>
      <c r="F2929" s="489"/>
      <c r="G2929" s="490"/>
      <c r="H2929" s="520"/>
      <c r="I2929" s="523"/>
      <c r="J2929" s="521"/>
      <c r="K2929" s="522"/>
      <c r="M2929" s="301" t="str">
        <f>N2929&amp;AS[[#This Row],[Insurer Code]]&amp;"; "&amp;O2929&amp;AS[[#This Row],[Reporting Year]]&amp;"; "&amp;P2929&amp;AS[[#This Row],[Insurance Category Code]]&amp;"; "&amp;Q2929&amp;AS[[#This Row],[Large Provider Entity Code]]&amp;"; "&amp;R2929&amp;AS[[#This Row],[Age Band Code]]&amp;"; "&amp;S2929&amp;AS[[#This Row],[Sex Code]]</f>
        <v xml:space="preserve">Insurer Code ; Reporting Year ; Insurance Category Code ; Large Provider Entity Code ; Age Band Code ; Sex Code </v>
      </c>
      <c r="N2929" s="297" t="s">
        <v>197</v>
      </c>
      <c r="O2929" s="297" t="s">
        <v>198</v>
      </c>
      <c r="P2929" s="297" t="s">
        <v>199</v>
      </c>
      <c r="Q2929" s="297" t="s">
        <v>200</v>
      </c>
      <c r="R2929" s="297" t="s">
        <v>213</v>
      </c>
      <c r="S2929" s="297" t="s">
        <v>214</v>
      </c>
    </row>
    <row r="2930" spans="1:19" x14ac:dyDescent="0.4">
      <c r="A2930" s="291"/>
      <c r="B2930" s="292"/>
      <c r="C2930" s="312"/>
      <c r="D2930" s="292"/>
      <c r="E2930" s="489"/>
      <c r="F2930" s="489"/>
      <c r="G2930" s="490"/>
      <c r="H2930" s="520"/>
      <c r="I2930" s="523"/>
      <c r="J2930" s="521"/>
      <c r="K2930" s="522"/>
      <c r="M2930" s="301" t="str">
        <f>N2930&amp;AS[[#This Row],[Insurer Code]]&amp;"; "&amp;O2930&amp;AS[[#This Row],[Reporting Year]]&amp;"; "&amp;P2930&amp;AS[[#This Row],[Insurance Category Code]]&amp;"; "&amp;Q2930&amp;AS[[#This Row],[Large Provider Entity Code]]&amp;"; "&amp;R2930&amp;AS[[#This Row],[Age Band Code]]&amp;"; "&amp;S2930&amp;AS[[#This Row],[Sex Code]]</f>
        <v xml:space="preserve">Insurer Code ; Reporting Year ; Insurance Category Code ; Large Provider Entity Code ; Age Band Code ; Sex Code </v>
      </c>
      <c r="N2930" s="297" t="s">
        <v>197</v>
      </c>
      <c r="O2930" s="297" t="s">
        <v>198</v>
      </c>
      <c r="P2930" s="297" t="s">
        <v>199</v>
      </c>
      <c r="Q2930" s="297" t="s">
        <v>200</v>
      </c>
      <c r="R2930" s="297" t="s">
        <v>213</v>
      </c>
      <c r="S2930" s="297" t="s">
        <v>214</v>
      </c>
    </row>
    <row r="2931" spans="1:19" x14ac:dyDescent="0.4">
      <c r="A2931" s="291"/>
      <c r="B2931" s="292"/>
      <c r="C2931" s="312"/>
      <c r="D2931" s="292"/>
      <c r="E2931" s="489"/>
      <c r="F2931" s="489"/>
      <c r="G2931" s="490"/>
      <c r="H2931" s="520"/>
      <c r="I2931" s="523"/>
      <c r="J2931" s="521"/>
      <c r="K2931" s="522"/>
      <c r="M2931" s="301" t="str">
        <f>N2931&amp;AS[[#This Row],[Insurer Code]]&amp;"; "&amp;O2931&amp;AS[[#This Row],[Reporting Year]]&amp;"; "&amp;P2931&amp;AS[[#This Row],[Insurance Category Code]]&amp;"; "&amp;Q2931&amp;AS[[#This Row],[Large Provider Entity Code]]&amp;"; "&amp;R2931&amp;AS[[#This Row],[Age Band Code]]&amp;"; "&amp;S2931&amp;AS[[#This Row],[Sex Code]]</f>
        <v xml:space="preserve">Insurer Code ; Reporting Year ; Insurance Category Code ; Large Provider Entity Code ; Age Band Code ; Sex Code </v>
      </c>
      <c r="N2931" s="297" t="s">
        <v>197</v>
      </c>
      <c r="O2931" s="297" t="s">
        <v>198</v>
      </c>
      <c r="P2931" s="297" t="s">
        <v>199</v>
      </c>
      <c r="Q2931" s="297" t="s">
        <v>200</v>
      </c>
      <c r="R2931" s="297" t="s">
        <v>213</v>
      </c>
      <c r="S2931" s="297" t="s">
        <v>214</v>
      </c>
    </row>
    <row r="2932" spans="1:19" x14ac:dyDescent="0.4">
      <c r="A2932" s="291"/>
      <c r="B2932" s="292"/>
      <c r="C2932" s="312"/>
      <c r="D2932" s="292"/>
      <c r="E2932" s="489"/>
      <c r="F2932" s="489"/>
      <c r="G2932" s="490"/>
      <c r="H2932" s="520"/>
      <c r="I2932" s="523"/>
      <c r="J2932" s="521"/>
      <c r="K2932" s="522"/>
      <c r="M2932" s="301" t="str">
        <f>N2932&amp;AS[[#This Row],[Insurer Code]]&amp;"; "&amp;O2932&amp;AS[[#This Row],[Reporting Year]]&amp;"; "&amp;P2932&amp;AS[[#This Row],[Insurance Category Code]]&amp;"; "&amp;Q2932&amp;AS[[#This Row],[Large Provider Entity Code]]&amp;"; "&amp;R2932&amp;AS[[#This Row],[Age Band Code]]&amp;"; "&amp;S2932&amp;AS[[#This Row],[Sex Code]]</f>
        <v xml:space="preserve">Insurer Code ; Reporting Year ; Insurance Category Code ; Large Provider Entity Code ; Age Band Code ; Sex Code </v>
      </c>
      <c r="N2932" s="297" t="s">
        <v>197</v>
      </c>
      <c r="O2932" s="297" t="s">
        <v>198</v>
      </c>
      <c r="P2932" s="297" t="s">
        <v>199</v>
      </c>
      <c r="Q2932" s="297" t="s">
        <v>200</v>
      </c>
      <c r="R2932" s="297" t="s">
        <v>213</v>
      </c>
      <c r="S2932" s="297" t="s">
        <v>214</v>
      </c>
    </row>
    <row r="2933" spans="1:19" x14ac:dyDescent="0.4">
      <c r="A2933" s="291"/>
      <c r="B2933" s="292"/>
      <c r="C2933" s="312"/>
      <c r="D2933" s="292"/>
      <c r="E2933" s="489"/>
      <c r="F2933" s="489"/>
      <c r="G2933" s="490"/>
      <c r="H2933" s="520"/>
      <c r="I2933" s="523"/>
      <c r="J2933" s="521"/>
      <c r="K2933" s="522"/>
      <c r="M2933" s="301" t="str">
        <f>N2933&amp;AS[[#This Row],[Insurer Code]]&amp;"; "&amp;O2933&amp;AS[[#This Row],[Reporting Year]]&amp;"; "&amp;P2933&amp;AS[[#This Row],[Insurance Category Code]]&amp;"; "&amp;Q2933&amp;AS[[#This Row],[Large Provider Entity Code]]&amp;"; "&amp;R2933&amp;AS[[#This Row],[Age Band Code]]&amp;"; "&amp;S2933&amp;AS[[#This Row],[Sex Code]]</f>
        <v xml:space="preserve">Insurer Code ; Reporting Year ; Insurance Category Code ; Large Provider Entity Code ; Age Band Code ; Sex Code </v>
      </c>
      <c r="N2933" s="297" t="s">
        <v>197</v>
      </c>
      <c r="O2933" s="297" t="s">
        <v>198</v>
      </c>
      <c r="P2933" s="297" t="s">
        <v>199</v>
      </c>
      <c r="Q2933" s="297" t="s">
        <v>200</v>
      </c>
      <c r="R2933" s="297" t="s">
        <v>213</v>
      </c>
      <c r="S2933" s="297" t="s">
        <v>214</v>
      </c>
    </row>
    <row r="2934" spans="1:19" x14ac:dyDescent="0.4">
      <c r="A2934" s="291"/>
      <c r="B2934" s="292"/>
      <c r="C2934" s="312"/>
      <c r="D2934" s="292"/>
      <c r="E2934" s="489"/>
      <c r="F2934" s="489"/>
      <c r="G2934" s="490"/>
      <c r="H2934" s="520"/>
      <c r="I2934" s="523"/>
      <c r="J2934" s="521"/>
      <c r="K2934" s="522"/>
      <c r="M2934" s="301" t="str">
        <f>N2934&amp;AS[[#This Row],[Insurer Code]]&amp;"; "&amp;O2934&amp;AS[[#This Row],[Reporting Year]]&amp;"; "&amp;P2934&amp;AS[[#This Row],[Insurance Category Code]]&amp;"; "&amp;Q2934&amp;AS[[#This Row],[Large Provider Entity Code]]&amp;"; "&amp;R2934&amp;AS[[#This Row],[Age Band Code]]&amp;"; "&amp;S2934&amp;AS[[#This Row],[Sex Code]]</f>
        <v xml:space="preserve">Insurer Code ; Reporting Year ; Insurance Category Code ; Large Provider Entity Code ; Age Band Code ; Sex Code </v>
      </c>
      <c r="N2934" s="297" t="s">
        <v>197</v>
      </c>
      <c r="O2934" s="297" t="s">
        <v>198</v>
      </c>
      <c r="P2934" s="297" t="s">
        <v>199</v>
      </c>
      <c r="Q2934" s="297" t="s">
        <v>200</v>
      </c>
      <c r="R2934" s="297" t="s">
        <v>213</v>
      </c>
      <c r="S2934" s="297" t="s">
        <v>214</v>
      </c>
    </row>
    <row r="2935" spans="1:19" x14ac:dyDescent="0.4">
      <c r="A2935" s="291"/>
      <c r="B2935" s="292"/>
      <c r="C2935" s="312"/>
      <c r="D2935" s="292"/>
      <c r="E2935" s="489"/>
      <c r="F2935" s="489"/>
      <c r="G2935" s="490"/>
      <c r="H2935" s="520"/>
      <c r="I2935" s="523"/>
      <c r="J2935" s="521"/>
      <c r="K2935" s="522"/>
      <c r="M2935" s="301" t="str">
        <f>N2935&amp;AS[[#This Row],[Insurer Code]]&amp;"; "&amp;O2935&amp;AS[[#This Row],[Reporting Year]]&amp;"; "&amp;P2935&amp;AS[[#This Row],[Insurance Category Code]]&amp;"; "&amp;Q2935&amp;AS[[#This Row],[Large Provider Entity Code]]&amp;"; "&amp;R2935&amp;AS[[#This Row],[Age Band Code]]&amp;"; "&amp;S2935&amp;AS[[#This Row],[Sex Code]]</f>
        <v xml:space="preserve">Insurer Code ; Reporting Year ; Insurance Category Code ; Large Provider Entity Code ; Age Band Code ; Sex Code </v>
      </c>
      <c r="N2935" s="297" t="s">
        <v>197</v>
      </c>
      <c r="O2935" s="297" t="s">
        <v>198</v>
      </c>
      <c r="P2935" s="297" t="s">
        <v>199</v>
      </c>
      <c r="Q2935" s="297" t="s">
        <v>200</v>
      </c>
      <c r="R2935" s="297" t="s">
        <v>213</v>
      </c>
      <c r="S2935" s="297" t="s">
        <v>214</v>
      </c>
    </row>
    <row r="2936" spans="1:19" x14ac:dyDescent="0.4">
      <c r="A2936" s="291"/>
      <c r="B2936" s="292"/>
      <c r="C2936" s="312"/>
      <c r="D2936" s="292"/>
      <c r="E2936" s="489"/>
      <c r="F2936" s="489"/>
      <c r="G2936" s="490"/>
      <c r="H2936" s="520"/>
      <c r="I2936" s="523"/>
      <c r="J2936" s="521"/>
      <c r="K2936" s="522"/>
      <c r="M2936" s="301" t="str">
        <f>N2936&amp;AS[[#This Row],[Insurer Code]]&amp;"; "&amp;O2936&amp;AS[[#This Row],[Reporting Year]]&amp;"; "&amp;P2936&amp;AS[[#This Row],[Insurance Category Code]]&amp;"; "&amp;Q2936&amp;AS[[#This Row],[Large Provider Entity Code]]&amp;"; "&amp;R2936&amp;AS[[#This Row],[Age Band Code]]&amp;"; "&amp;S2936&amp;AS[[#This Row],[Sex Code]]</f>
        <v xml:space="preserve">Insurer Code ; Reporting Year ; Insurance Category Code ; Large Provider Entity Code ; Age Band Code ; Sex Code </v>
      </c>
      <c r="N2936" s="297" t="s">
        <v>197</v>
      </c>
      <c r="O2936" s="297" t="s">
        <v>198</v>
      </c>
      <c r="P2936" s="297" t="s">
        <v>199</v>
      </c>
      <c r="Q2936" s="297" t="s">
        <v>200</v>
      </c>
      <c r="R2936" s="297" t="s">
        <v>213</v>
      </c>
      <c r="S2936" s="297" t="s">
        <v>214</v>
      </c>
    </row>
    <row r="2937" spans="1:19" x14ac:dyDescent="0.4">
      <c r="A2937" s="291"/>
      <c r="B2937" s="292"/>
      <c r="C2937" s="312"/>
      <c r="D2937" s="292"/>
      <c r="E2937" s="489"/>
      <c r="F2937" s="489"/>
      <c r="G2937" s="490"/>
      <c r="H2937" s="520"/>
      <c r="I2937" s="523"/>
      <c r="J2937" s="521"/>
      <c r="K2937" s="522"/>
      <c r="M2937" s="301" t="str">
        <f>N2937&amp;AS[[#This Row],[Insurer Code]]&amp;"; "&amp;O2937&amp;AS[[#This Row],[Reporting Year]]&amp;"; "&amp;P2937&amp;AS[[#This Row],[Insurance Category Code]]&amp;"; "&amp;Q2937&amp;AS[[#This Row],[Large Provider Entity Code]]&amp;"; "&amp;R2937&amp;AS[[#This Row],[Age Band Code]]&amp;"; "&amp;S2937&amp;AS[[#This Row],[Sex Code]]</f>
        <v xml:space="preserve">Insurer Code ; Reporting Year ; Insurance Category Code ; Large Provider Entity Code ; Age Band Code ; Sex Code </v>
      </c>
      <c r="N2937" s="297" t="s">
        <v>197</v>
      </c>
      <c r="O2937" s="297" t="s">
        <v>198</v>
      </c>
      <c r="P2937" s="297" t="s">
        <v>199</v>
      </c>
      <c r="Q2937" s="297" t="s">
        <v>200</v>
      </c>
      <c r="R2937" s="297" t="s">
        <v>213</v>
      </c>
      <c r="S2937" s="297" t="s">
        <v>214</v>
      </c>
    </row>
    <row r="2938" spans="1:19" x14ac:dyDescent="0.4">
      <c r="A2938" s="291"/>
      <c r="B2938" s="292"/>
      <c r="C2938" s="312"/>
      <c r="D2938" s="292"/>
      <c r="E2938" s="489"/>
      <c r="F2938" s="489"/>
      <c r="G2938" s="490"/>
      <c r="H2938" s="520"/>
      <c r="I2938" s="523"/>
      <c r="J2938" s="521"/>
      <c r="K2938" s="522"/>
      <c r="M2938" s="301" t="str">
        <f>N2938&amp;AS[[#This Row],[Insurer Code]]&amp;"; "&amp;O2938&amp;AS[[#This Row],[Reporting Year]]&amp;"; "&amp;P2938&amp;AS[[#This Row],[Insurance Category Code]]&amp;"; "&amp;Q2938&amp;AS[[#This Row],[Large Provider Entity Code]]&amp;"; "&amp;R2938&amp;AS[[#This Row],[Age Band Code]]&amp;"; "&amp;S2938&amp;AS[[#This Row],[Sex Code]]</f>
        <v xml:space="preserve">Insurer Code ; Reporting Year ; Insurance Category Code ; Large Provider Entity Code ; Age Band Code ; Sex Code </v>
      </c>
      <c r="N2938" s="297" t="s">
        <v>197</v>
      </c>
      <c r="O2938" s="297" t="s">
        <v>198</v>
      </c>
      <c r="P2938" s="297" t="s">
        <v>199</v>
      </c>
      <c r="Q2938" s="297" t="s">
        <v>200</v>
      </c>
      <c r="R2938" s="297" t="s">
        <v>213</v>
      </c>
      <c r="S2938" s="297" t="s">
        <v>214</v>
      </c>
    </row>
    <row r="2939" spans="1:19" x14ac:dyDescent="0.4">
      <c r="A2939" s="291"/>
      <c r="B2939" s="292"/>
      <c r="C2939" s="312"/>
      <c r="D2939" s="292"/>
      <c r="E2939" s="489"/>
      <c r="F2939" s="489"/>
      <c r="G2939" s="490"/>
      <c r="H2939" s="520"/>
      <c r="I2939" s="523"/>
      <c r="J2939" s="521"/>
      <c r="K2939" s="522"/>
      <c r="M2939" s="301" t="str">
        <f>N2939&amp;AS[[#This Row],[Insurer Code]]&amp;"; "&amp;O2939&amp;AS[[#This Row],[Reporting Year]]&amp;"; "&amp;P2939&amp;AS[[#This Row],[Insurance Category Code]]&amp;"; "&amp;Q2939&amp;AS[[#This Row],[Large Provider Entity Code]]&amp;"; "&amp;R2939&amp;AS[[#This Row],[Age Band Code]]&amp;"; "&amp;S2939&amp;AS[[#This Row],[Sex Code]]</f>
        <v xml:space="preserve">Insurer Code ; Reporting Year ; Insurance Category Code ; Large Provider Entity Code ; Age Band Code ; Sex Code </v>
      </c>
      <c r="N2939" s="297" t="s">
        <v>197</v>
      </c>
      <c r="O2939" s="297" t="s">
        <v>198</v>
      </c>
      <c r="P2939" s="297" t="s">
        <v>199</v>
      </c>
      <c r="Q2939" s="297" t="s">
        <v>200</v>
      </c>
      <c r="R2939" s="297" t="s">
        <v>213</v>
      </c>
      <c r="S2939" s="297" t="s">
        <v>214</v>
      </c>
    </row>
    <row r="2940" spans="1:19" x14ac:dyDescent="0.4">
      <c r="A2940" s="291"/>
      <c r="B2940" s="292"/>
      <c r="C2940" s="312"/>
      <c r="D2940" s="292"/>
      <c r="E2940" s="489"/>
      <c r="F2940" s="489"/>
      <c r="G2940" s="490"/>
      <c r="H2940" s="520"/>
      <c r="I2940" s="523"/>
      <c r="J2940" s="521"/>
      <c r="K2940" s="522"/>
      <c r="M2940" s="301" t="str">
        <f>N2940&amp;AS[[#This Row],[Insurer Code]]&amp;"; "&amp;O2940&amp;AS[[#This Row],[Reporting Year]]&amp;"; "&amp;P2940&amp;AS[[#This Row],[Insurance Category Code]]&amp;"; "&amp;Q2940&amp;AS[[#This Row],[Large Provider Entity Code]]&amp;"; "&amp;R2940&amp;AS[[#This Row],[Age Band Code]]&amp;"; "&amp;S2940&amp;AS[[#This Row],[Sex Code]]</f>
        <v xml:space="preserve">Insurer Code ; Reporting Year ; Insurance Category Code ; Large Provider Entity Code ; Age Band Code ; Sex Code </v>
      </c>
      <c r="N2940" s="297" t="s">
        <v>197</v>
      </c>
      <c r="O2940" s="297" t="s">
        <v>198</v>
      </c>
      <c r="P2940" s="297" t="s">
        <v>199</v>
      </c>
      <c r="Q2940" s="297" t="s">
        <v>200</v>
      </c>
      <c r="R2940" s="297" t="s">
        <v>213</v>
      </c>
      <c r="S2940" s="297" t="s">
        <v>214</v>
      </c>
    </row>
    <row r="2941" spans="1:19" x14ac:dyDescent="0.4">
      <c r="A2941" s="291"/>
      <c r="B2941" s="292"/>
      <c r="C2941" s="312"/>
      <c r="D2941" s="292"/>
      <c r="E2941" s="489"/>
      <c r="F2941" s="489"/>
      <c r="G2941" s="490"/>
      <c r="H2941" s="520"/>
      <c r="I2941" s="523"/>
      <c r="J2941" s="521"/>
      <c r="K2941" s="522"/>
      <c r="M2941" s="301" t="str">
        <f>N2941&amp;AS[[#This Row],[Insurer Code]]&amp;"; "&amp;O2941&amp;AS[[#This Row],[Reporting Year]]&amp;"; "&amp;P2941&amp;AS[[#This Row],[Insurance Category Code]]&amp;"; "&amp;Q2941&amp;AS[[#This Row],[Large Provider Entity Code]]&amp;"; "&amp;R2941&amp;AS[[#This Row],[Age Band Code]]&amp;"; "&amp;S2941&amp;AS[[#This Row],[Sex Code]]</f>
        <v xml:space="preserve">Insurer Code ; Reporting Year ; Insurance Category Code ; Large Provider Entity Code ; Age Band Code ; Sex Code </v>
      </c>
      <c r="N2941" s="297" t="s">
        <v>197</v>
      </c>
      <c r="O2941" s="297" t="s">
        <v>198</v>
      </c>
      <c r="P2941" s="297" t="s">
        <v>199</v>
      </c>
      <c r="Q2941" s="297" t="s">
        <v>200</v>
      </c>
      <c r="R2941" s="297" t="s">
        <v>213</v>
      </c>
      <c r="S2941" s="297" t="s">
        <v>214</v>
      </c>
    </row>
    <row r="2942" spans="1:19" x14ac:dyDescent="0.4">
      <c r="A2942" s="291"/>
      <c r="B2942" s="292"/>
      <c r="C2942" s="312"/>
      <c r="D2942" s="292"/>
      <c r="E2942" s="489"/>
      <c r="F2942" s="489"/>
      <c r="G2942" s="490"/>
      <c r="H2942" s="520"/>
      <c r="I2942" s="523"/>
      <c r="J2942" s="521"/>
      <c r="K2942" s="522"/>
      <c r="M2942" s="301" t="str">
        <f>N2942&amp;AS[[#This Row],[Insurer Code]]&amp;"; "&amp;O2942&amp;AS[[#This Row],[Reporting Year]]&amp;"; "&amp;P2942&amp;AS[[#This Row],[Insurance Category Code]]&amp;"; "&amp;Q2942&amp;AS[[#This Row],[Large Provider Entity Code]]&amp;"; "&amp;R2942&amp;AS[[#This Row],[Age Band Code]]&amp;"; "&amp;S2942&amp;AS[[#This Row],[Sex Code]]</f>
        <v xml:space="preserve">Insurer Code ; Reporting Year ; Insurance Category Code ; Large Provider Entity Code ; Age Band Code ; Sex Code </v>
      </c>
      <c r="N2942" s="297" t="s">
        <v>197</v>
      </c>
      <c r="O2942" s="297" t="s">
        <v>198</v>
      </c>
      <c r="P2942" s="297" t="s">
        <v>199</v>
      </c>
      <c r="Q2942" s="297" t="s">
        <v>200</v>
      </c>
      <c r="R2942" s="297" t="s">
        <v>213</v>
      </c>
      <c r="S2942" s="297" t="s">
        <v>214</v>
      </c>
    </row>
    <row r="2943" spans="1:19" x14ac:dyDescent="0.4">
      <c r="A2943" s="291"/>
      <c r="B2943" s="292"/>
      <c r="C2943" s="312"/>
      <c r="D2943" s="292"/>
      <c r="E2943" s="489"/>
      <c r="F2943" s="489"/>
      <c r="G2943" s="490"/>
      <c r="H2943" s="520"/>
      <c r="I2943" s="523"/>
      <c r="J2943" s="521"/>
      <c r="K2943" s="522"/>
      <c r="M2943" s="301" t="str">
        <f>N2943&amp;AS[[#This Row],[Insurer Code]]&amp;"; "&amp;O2943&amp;AS[[#This Row],[Reporting Year]]&amp;"; "&amp;P2943&amp;AS[[#This Row],[Insurance Category Code]]&amp;"; "&amp;Q2943&amp;AS[[#This Row],[Large Provider Entity Code]]&amp;"; "&amp;R2943&amp;AS[[#This Row],[Age Band Code]]&amp;"; "&amp;S2943&amp;AS[[#This Row],[Sex Code]]</f>
        <v xml:space="preserve">Insurer Code ; Reporting Year ; Insurance Category Code ; Large Provider Entity Code ; Age Band Code ; Sex Code </v>
      </c>
      <c r="N2943" s="297" t="s">
        <v>197</v>
      </c>
      <c r="O2943" s="297" t="s">
        <v>198</v>
      </c>
      <c r="P2943" s="297" t="s">
        <v>199</v>
      </c>
      <c r="Q2943" s="297" t="s">
        <v>200</v>
      </c>
      <c r="R2943" s="297" t="s">
        <v>213</v>
      </c>
      <c r="S2943" s="297" t="s">
        <v>214</v>
      </c>
    </row>
    <row r="2944" spans="1:19" x14ac:dyDescent="0.4">
      <c r="A2944" s="291"/>
      <c r="B2944" s="292"/>
      <c r="C2944" s="312"/>
      <c r="D2944" s="292"/>
      <c r="E2944" s="489"/>
      <c r="F2944" s="489"/>
      <c r="G2944" s="490"/>
      <c r="H2944" s="520"/>
      <c r="I2944" s="523"/>
      <c r="J2944" s="521"/>
      <c r="K2944" s="522"/>
      <c r="M2944" s="301" t="str">
        <f>N2944&amp;AS[[#This Row],[Insurer Code]]&amp;"; "&amp;O2944&amp;AS[[#This Row],[Reporting Year]]&amp;"; "&amp;P2944&amp;AS[[#This Row],[Insurance Category Code]]&amp;"; "&amp;Q2944&amp;AS[[#This Row],[Large Provider Entity Code]]&amp;"; "&amp;R2944&amp;AS[[#This Row],[Age Band Code]]&amp;"; "&amp;S2944&amp;AS[[#This Row],[Sex Code]]</f>
        <v xml:space="preserve">Insurer Code ; Reporting Year ; Insurance Category Code ; Large Provider Entity Code ; Age Band Code ; Sex Code </v>
      </c>
      <c r="N2944" s="297" t="s">
        <v>197</v>
      </c>
      <c r="O2944" s="297" t="s">
        <v>198</v>
      </c>
      <c r="P2944" s="297" t="s">
        <v>199</v>
      </c>
      <c r="Q2944" s="297" t="s">
        <v>200</v>
      </c>
      <c r="R2944" s="297" t="s">
        <v>213</v>
      </c>
      <c r="S2944" s="297" t="s">
        <v>214</v>
      </c>
    </row>
    <row r="2945" spans="1:19" x14ac:dyDescent="0.4">
      <c r="A2945" s="291"/>
      <c r="B2945" s="292"/>
      <c r="C2945" s="312"/>
      <c r="D2945" s="292"/>
      <c r="E2945" s="489"/>
      <c r="F2945" s="489"/>
      <c r="G2945" s="490"/>
      <c r="H2945" s="520"/>
      <c r="I2945" s="523"/>
      <c r="J2945" s="521"/>
      <c r="K2945" s="522"/>
      <c r="M2945" s="301" t="str">
        <f>N2945&amp;AS[[#This Row],[Insurer Code]]&amp;"; "&amp;O2945&amp;AS[[#This Row],[Reporting Year]]&amp;"; "&amp;P2945&amp;AS[[#This Row],[Insurance Category Code]]&amp;"; "&amp;Q2945&amp;AS[[#This Row],[Large Provider Entity Code]]&amp;"; "&amp;R2945&amp;AS[[#This Row],[Age Band Code]]&amp;"; "&amp;S2945&amp;AS[[#This Row],[Sex Code]]</f>
        <v xml:space="preserve">Insurer Code ; Reporting Year ; Insurance Category Code ; Large Provider Entity Code ; Age Band Code ; Sex Code </v>
      </c>
      <c r="N2945" s="297" t="s">
        <v>197</v>
      </c>
      <c r="O2945" s="297" t="s">
        <v>198</v>
      </c>
      <c r="P2945" s="297" t="s">
        <v>199</v>
      </c>
      <c r="Q2945" s="297" t="s">
        <v>200</v>
      </c>
      <c r="R2945" s="297" t="s">
        <v>213</v>
      </c>
      <c r="S2945" s="297" t="s">
        <v>214</v>
      </c>
    </row>
    <row r="2946" spans="1:19" x14ac:dyDescent="0.4">
      <c r="A2946" s="291"/>
      <c r="B2946" s="292"/>
      <c r="C2946" s="312"/>
      <c r="D2946" s="292"/>
      <c r="E2946" s="489"/>
      <c r="F2946" s="489"/>
      <c r="G2946" s="490"/>
      <c r="H2946" s="520"/>
      <c r="I2946" s="523"/>
      <c r="J2946" s="521"/>
      <c r="K2946" s="522"/>
      <c r="M2946" s="301" t="str">
        <f>N2946&amp;AS[[#This Row],[Insurer Code]]&amp;"; "&amp;O2946&amp;AS[[#This Row],[Reporting Year]]&amp;"; "&amp;P2946&amp;AS[[#This Row],[Insurance Category Code]]&amp;"; "&amp;Q2946&amp;AS[[#This Row],[Large Provider Entity Code]]&amp;"; "&amp;R2946&amp;AS[[#This Row],[Age Band Code]]&amp;"; "&amp;S2946&amp;AS[[#This Row],[Sex Code]]</f>
        <v xml:space="preserve">Insurer Code ; Reporting Year ; Insurance Category Code ; Large Provider Entity Code ; Age Band Code ; Sex Code </v>
      </c>
      <c r="N2946" s="297" t="s">
        <v>197</v>
      </c>
      <c r="O2946" s="297" t="s">
        <v>198</v>
      </c>
      <c r="P2946" s="297" t="s">
        <v>199</v>
      </c>
      <c r="Q2946" s="297" t="s">
        <v>200</v>
      </c>
      <c r="R2946" s="297" t="s">
        <v>213</v>
      </c>
      <c r="S2946" s="297" t="s">
        <v>214</v>
      </c>
    </row>
    <row r="2947" spans="1:19" x14ac:dyDescent="0.4">
      <c r="A2947" s="291"/>
      <c r="B2947" s="292"/>
      <c r="C2947" s="312"/>
      <c r="D2947" s="292"/>
      <c r="E2947" s="489"/>
      <c r="F2947" s="489"/>
      <c r="G2947" s="490"/>
      <c r="H2947" s="520"/>
      <c r="I2947" s="523"/>
      <c r="J2947" s="521"/>
      <c r="K2947" s="522"/>
      <c r="M2947" s="301" t="str">
        <f>N2947&amp;AS[[#This Row],[Insurer Code]]&amp;"; "&amp;O2947&amp;AS[[#This Row],[Reporting Year]]&amp;"; "&amp;P2947&amp;AS[[#This Row],[Insurance Category Code]]&amp;"; "&amp;Q2947&amp;AS[[#This Row],[Large Provider Entity Code]]&amp;"; "&amp;R2947&amp;AS[[#This Row],[Age Band Code]]&amp;"; "&amp;S2947&amp;AS[[#This Row],[Sex Code]]</f>
        <v xml:space="preserve">Insurer Code ; Reporting Year ; Insurance Category Code ; Large Provider Entity Code ; Age Band Code ; Sex Code </v>
      </c>
      <c r="N2947" s="297" t="s">
        <v>197</v>
      </c>
      <c r="O2947" s="297" t="s">
        <v>198</v>
      </c>
      <c r="P2947" s="297" t="s">
        <v>199</v>
      </c>
      <c r="Q2947" s="297" t="s">
        <v>200</v>
      </c>
      <c r="R2947" s="297" t="s">
        <v>213</v>
      </c>
      <c r="S2947" s="297" t="s">
        <v>214</v>
      </c>
    </row>
    <row r="2948" spans="1:19" x14ac:dyDescent="0.4">
      <c r="A2948" s="291"/>
      <c r="B2948" s="292"/>
      <c r="C2948" s="312"/>
      <c r="D2948" s="292"/>
      <c r="E2948" s="489"/>
      <c r="F2948" s="489"/>
      <c r="G2948" s="490"/>
      <c r="H2948" s="520"/>
      <c r="I2948" s="523"/>
      <c r="J2948" s="521"/>
      <c r="K2948" s="522"/>
      <c r="M2948" s="301" t="str">
        <f>N2948&amp;AS[[#This Row],[Insurer Code]]&amp;"; "&amp;O2948&amp;AS[[#This Row],[Reporting Year]]&amp;"; "&amp;P2948&amp;AS[[#This Row],[Insurance Category Code]]&amp;"; "&amp;Q2948&amp;AS[[#This Row],[Large Provider Entity Code]]&amp;"; "&amp;R2948&amp;AS[[#This Row],[Age Band Code]]&amp;"; "&amp;S2948&amp;AS[[#This Row],[Sex Code]]</f>
        <v xml:space="preserve">Insurer Code ; Reporting Year ; Insurance Category Code ; Large Provider Entity Code ; Age Band Code ; Sex Code </v>
      </c>
      <c r="N2948" s="297" t="s">
        <v>197</v>
      </c>
      <c r="O2948" s="297" t="s">
        <v>198</v>
      </c>
      <c r="P2948" s="297" t="s">
        <v>199</v>
      </c>
      <c r="Q2948" s="297" t="s">
        <v>200</v>
      </c>
      <c r="R2948" s="297" t="s">
        <v>213</v>
      </c>
      <c r="S2948" s="297" t="s">
        <v>214</v>
      </c>
    </row>
    <row r="2949" spans="1:19" x14ac:dyDescent="0.4">
      <c r="A2949" s="291"/>
      <c r="B2949" s="292"/>
      <c r="C2949" s="312"/>
      <c r="D2949" s="292"/>
      <c r="E2949" s="489"/>
      <c r="F2949" s="489"/>
      <c r="G2949" s="490"/>
      <c r="H2949" s="520"/>
      <c r="I2949" s="523"/>
      <c r="J2949" s="521"/>
      <c r="K2949" s="522"/>
      <c r="M2949" s="301" t="str">
        <f>N2949&amp;AS[[#This Row],[Insurer Code]]&amp;"; "&amp;O2949&amp;AS[[#This Row],[Reporting Year]]&amp;"; "&amp;P2949&amp;AS[[#This Row],[Insurance Category Code]]&amp;"; "&amp;Q2949&amp;AS[[#This Row],[Large Provider Entity Code]]&amp;"; "&amp;R2949&amp;AS[[#This Row],[Age Band Code]]&amp;"; "&amp;S2949&amp;AS[[#This Row],[Sex Code]]</f>
        <v xml:space="preserve">Insurer Code ; Reporting Year ; Insurance Category Code ; Large Provider Entity Code ; Age Band Code ; Sex Code </v>
      </c>
      <c r="N2949" s="297" t="s">
        <v>197</v>
      </c>
      <c r="O2949" s="297" t="s">
        <v>198</v>
      </c>
      <c r="P2949" s="297" t="s">
        <v>199</v>
      </c>
      <c r="Q2949" s="297" t="s">
        <v>200</v>
      </c>
      <c r="R2949" s="297" t="s">
        <v>213</v>
      </c>
      <c r="S2949" s="297" t="s">
        <v>214</v>
      </c>
    </row>
    <row r="2950" spans="1:19" x14ac:dyDescent="0.4">
      <c r="A2950" s="291"/>
      <c r="B2950" s="292"/>
      <c r="C2950" s="312"/>
      <c r="D2950" s="292"/>
      <c r="E2950" s="489"/>
      <c r="F2950" s="489"/>
      <c r="G2950" s="490"/>
      <c r="H2950" s="520"/>
      <c r="I2950" s="523"/>
      <c r="J2950" s="521"/>
      <c r="K2950" s="522"/>
      <c r="M2950" s="301" t="str">
        <f>N2950&amp;AS[[#This Row],[Insurer Code]]&amp;"; "&amp;O2950&amp;AS[[#This Row],[Reporting Year]]&amp;"; "&amp;P2950&amp;AS[[#This Row],[Insurance Category Code]]&amp;"; "&amp;Q2950&amp;AS[[#This Row],[Large Provider Entity Code]]&amp;"; "&amp;R2950&amp;AS[[#This Row],[Age Band Code]]&amp;"; "&amp;S2950&amp;AS[[#This Row],[Sex Code]]</f>
        <v xml:space="preserve">Insurer Code ; Reporting Year ; Insurance Category Code ; Large Provider Entity Code ; Age Band Code ; Sex Code </v>
      </c>
      <c r="N2950" s="297" t="s">
        <v>197</v>
      </c>
      <c r="O2950" s="297" t="s">
        <v>198</v>
      </c>
      <c r="P2950" s="297" t="s">
        <v>199</v>
      </c>
      <c r="Q2950" s="297" t="s">
        <v>200</v>
      </c>
      <c r="R2950" s="297" t="s">
        <v>213</v>
      </c>
      <c r="S2950" s="297" t="s">
        <v>214</v>
      </c>
    </row>
    <row r="2951" spans="1:19" x14ac:dyDescent="0.4">
      <c r="A2951" s="291"/>
      <c r="B2951" s="292"/>
      <c r="C2951" s="312"/>
      <c r="D2951" s="292"/>
      <c r="E2951" s="489"/>
      <c r="F2951" s="489"/>
      <c r="G2951" s="490"/>
      <c r="H2951" s="520"/>
      <c r="I2951" s="523"/>
      <c r="J2951" s="521"/>
      <c r="K2951" s="522"/>
      <c r="M2951" s="301" t="str">
        <f>N2951&amp;AS[[#This Row],[Insurer Code]]&amp;"; "&amp;O2951&amp;AS[[#This Row],[Reporting Year]]&amp;"; "&amp;P2951&amp;AS[[#This Row],[Insurance Category Code]]&amp;"; "&amp;Q2951&amp;AS[[#This Row],[Large Provider Entity Code]]&amp;"; "&amp;R2951&amp;AS[[#This Row],[Age Band Code]]&amp;"; "&amp;S2951&amp;AS[[#This Row],[Sex Code]]</f>
        <v xml:space="preserve">Insurer Code ; Reporting Year ; Insurance Category Code ; Large Provider Entity Code ; Age Band Code ; Sex Code </v>
      </c>
      <c r="N2951" s="297" t="s">
        <v>197</v>
      </c>
      <c r="O2951" s="297" t="s">
        <v>198</v>
      </c>
      <c r="P2951" s="297" t="s">
        <v>199</v>
      </c>
      <c r="Q2951" s="297" t="s">
        <v>200</v>
      </c>
      <c r="R2951" s="297" t="s">
        <v>213</v>
      </c>
      <c r="S2951" s="297" t="s">
        <v>214</v>
      </c>
    </row>
    <row r="2952" spans="1:19" x14ac:dyDescent="0.4">
      <c r="A2952" s="291"/>
      <c r="B2952" s="292"/>
      <c r="C2952" s="312"/>
      <c r="D2952" s="292"/>
      <c r="E2952" s="489"/>
      <c r="F2952" s="489"/>
      <c r="G2952" s="490"/>
      <c r="H2952" s="520"/>
      <c r="I2952" s="523"/>
      <c r="J2952" s="521"/>
      <c r="K2952" s="522"/>
      <c r="M2952" s="301" t="str">
        <f>N2952&amp;AS[[#This Row],[Insurer Code]]&amp;"; "&amp;O2952&amp;AS[[#This Row],[Reporting Year]]&amp;"; "&amp;P2952&amp;AS[[#This Row],[Insurance Category Code]]&amp;"; "&amp;Q2952&amp;AS[[#This Row],[Large Provider Entity Code]]&amp;"; "&amp;R2952&amp;AS[[#This Row],[Age Band Code]]&amp;"; "&amp;S2952&amp;AS[[#This Row],[Sex Code]]</f>
        <v xml:space="preserve">Insurer Code ; Reporting Year ; Insurance Category Code ; Large Provider Entity Code ; Age Band Code ; Sex Code </v>
      </c>
      <c r="N2952" s="297" t="s">
        <v>197</v>
      </c>
      <c r="O2952" s="297" t="s">
        <v>198</v>
      </c>
      <c r="P2952" s="297" t="s">
        <v>199</v>
      </c>
      <c r="Q2952" s="297" t="s">
        <v>200</v>
      </c>
      <c r="R2952" s="297" t="s">
        <v>213</v>
      </c>
      <c r="S2952" s="297" t="s">
        <v>214</v>
      </c>
    </row>
    <row r="2953" spans="1:19" x14ac:dyDescent="0.4">
      <c r="A2953" s="291"/>
      <c r="B2953" s="292"/>
      <c r="C2953" s="312"/>
      <c r="D2953" s="292"/>
      <c r="E2953" s="489"/>
      <c r="F2953" s="489"/>
      <c r="G2953" s="490"/>
      <c r="H2953" s="520"/>
      <c r="I2953" s="523"/>
      <c r="J2953" s="521"/>
      <c r="K2953" s="522"/>
      <c r="M2953" s="301" t="str">
        <f>N2953&amp;AS[[#This Row],[Insurer Code]]&amp;"; "&amp;O2953&amp;AS[[#This Row],[Reporting Year]]&amp;"; "&amp;P2953&amp;AS[[#This Row],[Insurance Category Code]]&amp;"; "&amp;Q2953&amp;AS[[#This Row],[Large Provider Entity Code]]&amp;"; "&amp;R2953&amp;AS[[#This Row],[Age Band Code]]&amp;"; "&amp;S2953&amp;AS[[#This Row],[Sex Code]]</f>
        <v xml:space="preserve">Insurer Code ; Reporting Year ; Insurance Category Code ; Large Provider Entity Code ; Age Band Code ; Sex Code </v>
      </c>
      <c r="N2953" s="297" t="s">
        <v>197</v>
      </c>
      <c r="O2953" s="297" t="s">
        <v>198</v>
      </c>
      <c r="P2953" s="297" t="s">
        <v>199</v>
      </c>
      <c r="Q2953" s="297" t="s">
        <v>200</v>
      </c>
      <c r="R2953" s="297" t="s">
        <v>213</v>
      </c>
      <c r="S2953" s="297" t="s">
        <v>214</v>
      </c>
    </row>
    <row r="2954" spans="1:19" x14ac:dyDescent="0.4">
      <c r="A2954" s="291"/>
      <c r="B2954" s="292"/>
      <c r="C2954" s="312"/>
      <c r="D2954" s="292"/>
      <c r="E2954" s="489"/>
      <c r="F2954" s="489"/>
      <c r="G2954" s="490"/>
      <c r="H2954" s="520"/>
      <c r="I2954" s="523"/>
      <c r="J2954" s="521"/>
      <c r="K2954" s="522"/>
      <c r="M2954" s="301" t="str">
        <f>N2954&amp;AS[[#This Row],[Insurer Code]]&amp;"; "&amp;O2954&amp;AS[[#This Row],[Reporting Year]]&amp;"; "&amp;P2954&amp;AS[[#This Row],[Insurance Category Code]]&amp;"; "&amp;Q2954&amp;AS[[#This Row],[Large Provider Entity Code]]&amp;"; "&amp;R2954&amp;AS[[#This Row],[Age Band Code]]&amp;"; "&amp;S2954&amp;AS[[#This Row],[Sex Code]]</f>
        <v xml:space="preserve">Insurer Code ; Reporting Year ; Insurance Category Code ; Large Provider Entity Code ; Age Band Code ; Sex Code </v>
      </c>
      <c r="N2954" s="297" t="s">
        <v>197</v>
      </c>
      <c r="O2954" s="297" t="s">
        <v>198</v>
      </c>
      <c r="P2954" s="297" t="s">
        <v>199</v>
      </c>
      <c r="Q2954" s="297" t="s">
        <v>200</v>
      </c>
      <c r="R2954" s="297" t="s">
        <v>213</v>
      </c>
      <c r="S2954" s="297" t="s">
        <v>214</v>
      </c>
    </row>
    <row r="2955" spans="1:19" x14ac:dyDescent="0.4">
      <c r="A2955" s="291"/>
      <c r="B2955" s="292"/>
      <c r="C2955" s="312"/>
      <c r="D2955" s="292"/>
      <c r="E2955" s="489"/>
      <c r="F2955" s="489"/>
      <c r="G2955" s="490"/>
      <c r="H2955" s="520"/>
      <c r="I2955" s="523"/>
      <c r="J2955" s="521"/>
      <c r="K2955" s="522"/>
      <c r="M2955" s="301" t="str">
        <f>N2955&amp;AS[[#This Row],[Insurer Code]]&amp;"; "&amp;O2955&amp;AS[[#This Row],[Reporting Year]]&amp;"; "&amp;P2955&amp;AS[[#This Row],[Insurance Category Code]]&amp;"; "&amp;Q2955&amp;AS[[#This Row],[Large Provider Entity Code]]&amp;"; "&amp;R2955&amp;AS[[#This Row],[Age Band Code]]&amp;"; "&amp;S2955&amp;AS[[#This Row],[Sex Code]]</f>
        <v xml:space="preserve">Insurer Code ; Reporting Year ; Insurance Category Code ; Large Provider Entity Code ; Age Band Code ; Sex Code </v>
      </c>
      <c r="N2955" s="297" t="s">
        <v>197</v>
      </c>
      <c r="O2955" s="297" t="s">
        <v>198</v>
      </c>
      <c r="P2955" s="297" t="s">
        <v>199</v>
      </c>
      <c r="Q2955" s="297" t="s">
        <v>200</v>
      </c>
      <c r="R2955" s="297" t="s">
        <v>213</v>
      </c>
      <c r="S2955" s="297" t="s">
        <v>214</v>
      </c>
    </row>
    <row r="2956" spans="1:19" x14ac:dyDescent="0.4">
      <c r="A2956" s="291"/>
      <c r="B2956" s="292"/>
      <c r="C2956" s="312"/>
      <c r="D2956" s="292"/>
      <c r="E2956" s="489"/>
      <c r="F2956" s="489"/>
      <c r="G2956" s="490"/>
      <c r="H2956" s="520"/>
      <c r="I2956" s="523"/>
      <c r="J2956" s="521"/>
      <c r="K2956" s="522"/>
      <c r="M2956" s="301" t="str">
        <f>N2956&amp;AS[[#This Row],[Insurer Code]]&amp;"; "&amp;O2956&amp;AS[[#This Row],[Reporting Year]]&amp;"; "&amp;P2956&amp;AS[[#This Row],[Insurance Category Code]]&amp;"; "&amp;Q2956&amp;AS[[#This Row],[Large Provider Entity Code]]&amp;"; "&amp;R2956&amp;AS[[#This Row],[Age Band Code]]&amp;"; "&amp;S2956&amp;AS[[#This Row],[Sex Code]]</f>
        <v xml:space="preserve">Insurer Code ; Reporting Year ; Insurance Category Code ; Large Provider Entity Code ; Age Band Code ; Sex Code </v>
      </c>
      <c r="N2956" s="297" t="s">
        <v>197</v>
      </c>
      <c r="O2956" s="297" t="s">
        <v>198</v>
      </c>
      <c r="P2956" s="297" t="s">
        <v>199</v>
      </c>
      <c r="Q2956" s="297" t="s">
        <v>200</v>
      </c>
      <c r="R2956" s="297" t="s">
        <v>213</v>
      </c>
      <c r="S2956" s="297" t="s">
        <v>214</v>
      </c>
    </row>
    <row r="2957" spans="1:19" x14ac:dyDescent="0.4">
      <c r="A2957" s="291"/>
      <c r="B2957" s="292"/>
      <c r="C2957" s="312"/>
      <c r="D2957" s="292"/>
      <c r="E2957" s="489"/>
      <c r="F2957" s="489"/>
      <c r="G2957" s="490"/>
      <c r="H2957" s="520"/>
      <c r="I2957" s="523"/>
      <c r="J2957" s="521"/>
      <c r="K2957" s="522"/>
      <c r="M2957" s="301" t="str">
        <f>N2957&amp;AS[[#This Row],[Insurer Code]]&amp;"; "&amp;O2957&amp;AS[[#This Row],[Reporting Year]]&amp;"; "&amp;P2957&amp;AS[[#This Row],[Insurance Category Code]]&amp;"; "&amp;Q2957&amp;AS[[#This Row],[Large Provider Entity Code]]&amp;"; "&amp;R2957&amp;AS[[#This Row],[Age Band Code]]&amp;"; "&amp;S2957&amp;AS[[#This Row],[Sex Code]]</f>
        <v xml:space="preserve">Insurer Code ; Reporting Year ; Insurance Category Code ; Large Provider Entity Code ; Age Band Code ; Sex Code </v>
      </c>
      <c r="N2957" s="297" t="s">
        <v>197</v>
      </c>
      <c r="O2957" s="297" t="s">
        <v>198</v>
      </c>
      <c r="P2957" s="297" t="s">
        <v>199</v>
      </c>
      <c r="Q2957" s="297" t="s">
        <v>200</v>
      </c>
      <c r="R2957" s="297" t="s">
        <v>213</v>
      </c>
      <c r="S2957" s="297" t="s">
        <v>214</v>
      </c>
    </row>
    <row r="2958" spans="1:19" x14ac:dyDescent="0.4">
      <c r="A2958" s="291"/>
      <c r="B2958" s="292"/>
      <c r="C2958" s="312"/>
      <c r="D2958" s="292"/>
      <c r="E2958" s="489"/>
      <c r="F2958" s="489"/>
      <c r="G2958" s="490"/>
      <c r="H2958" s="520"/>
      <c r="I2958" s="523"/>
      <c r="J2958" s="521"/>
      <c r="K2958" s="522"/>
      <c r="M2958" s="301" t="str">
        <f>N2958&amp;AS[[#This Row],[Insurer Code]]&amp;"; "&amp;O2958&amp;AS[[#This Row],[Reporting Year]]&amp;"; "&amp;P2958&amp;AS[[#This Row],[Insurance Category Code]]&amp;"; "&amp;Q2958&amp;AS[[#This Row],[Large Provider Entity Code]]&amp;"; "&amp;R2958&amp;AS[[#This Row],[Age Band Code]]&amp;"; "&amp;S2958&amp;AS[[#This Row],[Sex Code]]</f>
        <v xml:space="preserve">Insurer Code ; Reporting Year ; Insurance Category Code ; Large Provider Entity Code ; Age Band Code ; Sex Code </v>
      </c>
      <c r="N2958" s="297" t="s">
        <v>197</v>
      </c>
      <c r="O2958" s="297" t="s">
        <v>198</v>
      </c>
      <c r="P2958" s="297" t="s">
        <v>199</v>
      </c>
      <c r="Q2958" s="297" t="s">
        <v>200</v>
      </c>
      <c r="R2958" s="297" t="s">
        <v>213</v>
      </c>
      <c r="S2958" s="297" t="s">
        <v>214</v>
      </c>
    </row>
    <row r="2959" spans="1:19" x14ac:dyDescent="0.4">
      <c r="A2959" s="291"/>
      <c r="B2959" s="292"/>
      <c r="C2959" s="312"/>
      <c r="D2959" s="292"/>
      <c r="E2959" s="489"/>
      <c r="F2959" s="489"/>
      <c r="G2959" s="490"/>
      <c r="H2959" s="520"/>
      <c r="I2959" s="523"/>
      <c r="J2959" s="521"/>
      <c r="K2959" s="522"/>
      <c r="M2959" s="301" t="str">
        <f>N2959&amp;AS[[#This Row],[Insurer Code]]&amp;"; "&amp;O2959&amp;AS[[#This Row],[Reporting Year]]&amp;"; "&amp;P2959&amp;AS[[#This Row],[Insurance Category Code]]&amp;"; "&amp;Q2959&amp;AS[[#This Row],[Large Provider Entity Code]]&amp;"; "&amp;R2959&amp;AS[[#This Row],[Age Band Code]]&amp;"; "&amp;S2959&amp;AS[[#This Row],[Sex Code]]</f>
        <v xml:space="preserve">Insurer Code ; Reporting Year ; Insurance Category Code ; Large Provider Entity Code ; Age Band Code ; Sex Code </v>
      </c>
      <c r="N2959" s="297" t="s">
        <v>197</v>
      </c>
      <c r="O2959" s="297" t="s">
        <v>198</v>
      </c>
      <c r="P2959" s="297" t="s">
        <v>199</v>
      </c>
      <c r="Q2959" s="297" t="s">
        <v>200</v>
      </c>
      <c r="R2959" s="297" t="s">
        <v>213</v>
      </c>
      <c r="S2959" s="297" t="s">
        <v>214</v>
      </c>
    </row>
    <row r="2960" spans="1:19" x14ac:dyDescent="0.4">
      <c r="A2960" s="291"/>
      <c r="B2960" s="292"/>
      <c r="C2960" s="312"/>
      <c r="D2960" s="292"/>
      <c r="E2960" s="489"/>
      <c r="F2960" s="489"/>
      <c r="G2960" s="490"/>
      <c r="H2960" s="520"/>
      <c r="I2960" s="523"/>
      <c r="J2960" s="521"/>
      <c r="K2960" s="522"/>
      <c r="M2960" s="301" t="str">
        <f>N2960&amp;AS[[#This Row],[Insurer Code]]&amp;"; "&amp;O2960&amp;AS[[#This Row],[Reporting Year]]&amp;"; "&amp;P2960&amp;AS[[#This Row],[Insurance Category Code]]&amp;"; "&amp;Q2960&amp;AS[[#This Row],[Large Provider Entity Code]]&amp;"; "&amp;R2960&amp;AS[[#This Row],[Age Band Code]]&amp;"; "&amp;S2960&amp;AS[[#This Row],[Sex Code]]</f>
        <v xml:space="preserve">Insurer Code ; Reporting Year ; Insurance Category Code ; Large Provider Entity Code ; Age Band Code ; Sex Code </v>
      </c>
      <c r="N2960" s="297" t="s">
        <v>197</v>
      </c>
      <c r="O2960" s="297" t="s">
        <v>198</v>
      </c>
      <c r="P2960" s="297" t="s">
        <v>199</v>
      </c>
      <c r="Q2960" s="297" t="s">
        <v>200</v>
      </c>
      <c r="R2960" s="297" t="s">
        <v>213</v>
      </c>
      <c r="S2960" s="297" t="s">
        <v>214</v>
      </c>
    </row>
    <row r="2961" spans="1:19" x14ac:dyDescent="0.4">
      <c r="A2961" s="291"/>
      <c r="B2961" s="292"/>
      <c r="C2961" s="312"/>
      <c r="D2961" s="292"/>
      <c r="E2961" s="489"/>
      <c r="F2961" s="489"/>
      <c r="G2961" s="490"/>
      <c r="H2961" s="520"/>
      <c r="I2961" s="523"/>
      <c r="J2961" s="521"/>
      <c r="K2961" s="522"/>
      <c r="M2961" s="301" t="str">
        <f>N2961&amp;AS[[#This Row],[Insurer Code]]&amp;"; "&amp;O2961&amp;AS[[#This Row],[Reporting Year]]&amp;"; "&amp;P2961&amp;AS[[#This Row],[Insurance Category Code]]&amp;"; "&amp;Q2961&amp;AS[[#This Row],[Large Provider Entity Code]]&amp;"; "&amp;R2961&amp;AS[[#This Row],[Age Band Code]]&amp;"; "&amp;S2961&amp;AS[[#This Row],[Sex Code]]</f>
        <v xml:space="preserve">Insurer Code ; Reporting Year ; Insurance Category Code ; Large Provider Entity Code ; Age Band Code ; Sex Code </v>
      </c>
      <c r="N2961" s="297" t="s">
        <v>197</v>
      </c>
      <c r="O2961" s="297" t="s">
        <v>198</v>
      </c>
      <c r="P2961" s="297" t="s">
        <v>199</v>
      </c>
      <c r="Q2961" s="297" t="s">
        <v>200</v>
      </c>
      <c r="R2961" s="297" t="s">
        <v>213</v>
      </c>
      <c r="S2961" s="297" t="s">
        <v>214</v>
      </c>
    </row>
    <row r="2962" spans="1:19" x14ac:dyDescent="0.4">
      <c r="A2962" s="291"/>
      <c r="B2962" s="292"/>
      <c r="C2962" s="312"/>
      <c r="D2962" s="292"/>
      <c r="E2962" s="489"/>
      <c r="F2962" s="489"/>
      <c r="G2962" s="490"/>
      <c r="H2962" s="520"/>
      <c r="I2962" s="523"/>
      <c r="J2962" s="521"/>
      <c r="K2962" s="522"/>
      <c r="M2962" s="301" t="str">
        <f>N2962&amp;AS[[#This Row],[Insurer Code]]&amp;"; "&amp;O2962&amp;AS[[#This Row],[Reporting Year]]&amp;"; "&amp;P2962&amp;AS[[#This Row],[Insurance Category Code]]&amp;"; "&amp;Q2962&amp;AS[[#This Row],[Large Provider Entity Code]]&amp;"; "&amp;R2962&amp;AS[[#This Row],[Age Band Code]]&amp;"; "&amp;S2962&amp;AS[[#This Row],[Sex Code]]</f>
        <v xml:space="preserve">Insurer Code ; Reporting Year ; Insurance Category Code ; Large Provider Entity Code ; Age Band Code ; Sex Code </v>
      </c>
      <c r="N2962" s="297" t="s">
        <v>197</v>
      </c>
      <c r="O2962" s="297" t="s">
        <v>198</v>
      </c>
      <c r="P2962" s="297" t="s">
        <v>199</v>
      </c>
      <c r="Q2962" s="297" t="s">
        <v>200</v>
      </c>
      <c r="R2962" s="297" t="s">
        <v>213</v>
      </c>
      <c r="S2962" s="297" t="s">
        <v>214</v>
      </c>
    </row>
    <row r="2963" spans="1:19" x14ac:dyDescent="0.4">
      <c r="A2963" s="291"/>
      <c r="B2963" s="292"/>
      <c r="C2963" s="312"/>
      <c r="D2963" s="292"/>
      <c r="E2963" s="489"/>
      <c r="F2963" s="489"/>
      <c r="G2963" s="490"/>
      <c r="H2963" s="520"/>
      <c r="I2963" s="523"/>
      <c r="J2963" s="521"/>
      <c r="K2963" s="522"/>
      <c r="M2963" s="301" t="str">
        <f>N2963&amp;AS[[#This Row],[Insurer Code]]&amp;"; "&amp;O2963&amp;AS[[#This Row],[Reporting Year]]&amp;"; "&amp;P2963&amp;AS[[#This Row],[Insurance Category Code]]&amp;"; "&amp;Q2963&amp;AS[[#This Row],[Large Provider Entity Code]]&amp;"; "&amp;R2963&amp;AS[[#This Row],[Age Band Code]]&amp;"; "&amp;S2963&amp;AS[[#This Row],[Sex Code]]</f>
        <v xml:space="preserve">Insurer Code ; Reporting Year ; Insurance Category Code ; Large Provider Entity Code ; Age Band Code ; Sex Code </v>
      </c>
      <c r="N2963" s="297" t="s">
        <v>197</v>
      </c>
      <c r="O2963" s="297" t="s">
        <v>198</v>
      </c>
      <c r="P2963" s="297" t="s">
        <v>199</v>
      </c>
      <c r="Q2963" s="297" t="s">
        <v>200</v>
      </c>
      <c r="R2963" s="297" t="s">
        <v>213</v>
      </c>
      <c r="S2963" s="297" t="s">
        <v>214</v>
      </c>
    </row>
    <row r="2964" spans="1:19" x14ac:dyDescent="0.4">
      <c r="A2964" s="291"/>
      <c r="B2964" s="292"/>
      <c r="C2964" s="312"/>
      <c r="D2964" s="292"/>
      <c r="E2964" s="489"/>
      <c r="F2964" s="489"/>
      <c r="G2964" s="490"/>
      <c r="H2964" s="520"/>
      <c r="I2964" s="523"/>
      <c r="J2964" s="521"/>
      <c r="K2964" s="522"/>
      <c r="M2964" s="301" t="str">
        <f>N2964&amp;AS[[#This Row],[Insurer Code]]&amp;"; "&amp;O2964&amp;AS[[#This Row],[Reporting Year]]&amp;"; "&amp;P2964&amp;AS[[#This Row],[Insurance Category Code]]&amp;"; "&amp;Q2964&amp;AS[[#This Row],[Large Provider Entity Code]]&amp;"; "&amp;R2964&amp;AS[[#This Row],[Age Band Code]]&amp;"; "&amp;S2964&amp;AS[[#This Row],[Sex Code]]</f>
        <v xml:space="preserve">Insurer Code ; Reporting Year ; Insurance Category Code ; Large Provider Entity Code ; Age Band Code ; Sex Code </v>
      </c>
      <c r="N2964" s="297" t="s">
        <v>197</v>
      </c>
      <c r="O2964" s="297" t="s">
        <v>198</v>
      </c>
      <c r="P2964" s="297" t="s">
        <v>199</v>
      </c>
      <c r="Q2964" s="297" t="s">
        <v>200</v>
      </c>
      <c r="R2964" s="297" t="s">
        <v>213</v>
      </c>
      <c r="S2964" s="297" t="s">
        <v>214</v>
      </c>
    </row>
    <row r="2965" spans="1:19" x14ac:dyDescent="0.4">
      <c r="A2965" s="291"/>
      <c r="B2965" s="292"/>
      <c r="C2965" s="312"/>
      <c r="D2965" s="292"/>
      <c r="E2965" s="489"/>
      <c r="F2965" s="489"/>
      <c r="G2965" s="490"/>
      <c r="H2965" s="520"/>
      <c r="I2965" s="523"/>
      <c r="J2965" s="521"/>
      <c r="K2965" s="522"/>
      <c r="M2965" s="301" t="str">
        <f>N2965&amp;AS[[#This Row],[Insurer Code]]&amp;"; "&amp;O2965&amp;AS[[#This Row],[Reporting Year]]&amp;"; "&amp;P2965&amp;AS[[#This Row],[Insurance Category Code]]&amp;"; "&amp;Q2965&amp;AS[[#This Row],[Large Provider Entity Code]]&amp;"; "&amp;R2965&amp;AS[[#This Row],[Age Band Code]]&amp;"; "&amp;S2965&amp;AS[[#This Row],[Sex Code]]</f>
        <v xml:space="preserve">Insurer Code ; Reporting Year ; Insurance Category Code ; Large Provider Entity Code ; Age Band Code ; Sex Code </v>
      </c>
      <c r="N2965" s="297" t="s">
        <v>197</v>
      </c>
      <c r="O2965" s="297" t="s">
        <v>198</v>
      </c>
      <c r="P2965" s="297" t="s">
        <v>199</v>
      </c>
      <c r="Q2965" s="297" t="s">
        <v>200</v>
      </c>
      <c r="R2965" s="297" t="s">
        <v>213</v>
      </c>
      <c r="S2965" s="297" t="s">
        <v>214</v>
      </c>
    </row>
    <row r="2966" spans="1:19" x14ac:dyDescent="0.4">
      <c r="A2966" s="291"/>
      <c r="B2966" s="292"/>
      <c r="C2966" s="312"/>
      <c r="D2966" s="292"/>
      <c r="E2966" s="489"/>
      <c r="F2966" s="489"/>
      <c r="G2966" s="490"/>
      <c r="H2966" s="520"/>
      <c r="I2966" s="523"/>
      <c r="J2966" s="521"/>
      <c r="K2966" s="522"/>
      <c r="M2966" s="301" t="str">
        <f>N2966&amp;AS[[#This Row],[Insurer Code]]&amp;"; "&amp;O2966&amp;AS[[#This Row],[Reporting Year]]&amp;"; "&amp;P2966&amp;AS[[#This Row],[Insurance Category Code]]&amp;"; "&amp;Q2966&amp;AS[[#This Row],[Large Provider Entity Code]]&amp;"; "&amp;R2966&amp;AS[[#This Row],[Age Band Code]]&amp;"; "&amp;S2966&amp;AS[[#This Row],[Sex Code]]</f>
        <v xml:space="preserve">Insurer Code ; Reporting Year ; Insurance Category Code ; Large Provider Entity Code ; Age Band Code ; Sex Code </v>
      </c>
      <c r="N2966" s="297" t="s">
        <v>197</v>
      </c>
      <c r="O2966" s="297" t="s">
        <v>198</v>
      </c>
      <c r="P2966" s="297" t="s">
        <v>199</v>
      </c>
      <c r="Q2966" s="297" t="s">
        <v>200</v>
      </c>
      <c r="R2966" s="297" t="s">
        <v>213</v>
      </c>
      <c r="S2966" s="297" t="s">
        <v>214</v>
      </c>
    </row>
    <row r="2967" spans="1:19" x14ac:dyDescent="0.4">
      <c r="A2967" s="291"/>
      <c r="B2967" s="292"/>
      <c r="C2967" s="312"/>
      <c r="D2967" s="292"/>
      <c r="E2967" s="489"/>
      <c r="F2967" s="489"/>
      <c r="G2967" s="490"/>
      <c r="H2967" s="520"/>
      <c r="I2967" s="523"/>
      <c r="J2967" s="521"/>
      <c r="K2967" s="522"/>
      <c r="M2967" s="301" t="str">
        <f>N2967&amp;AS[[#This Row],[Insurer Code]]&amp;"; "&amp;O2967&amp;AS[[#This Row],[Reporting Year]]&amp;"; "&amp;P2967&amp;AS[[#This Row],[Insurance Category Code]]&amp;"; "&amp;Q2967&amp;AS[[#This Row],[Large Provider Entity Code]]&amp;"; "&amp;R2967&amp;AS[[#This Row],[Age Band Code]]&amp;"; "&amp;S2967&amp;AS[[#This Row],[Sex Code]]</f>
        <v xml:space="preserve">Insurer Code ; Reporting Year ; Insurance Category Code ; Large Provider Entity Code ; Age Band Code ; Sex Code </v>
      </c>
      <c r="N2967" s="297" t="s">
        <v>197</v>
      </c>
      <c r="O2967" s="297" t="s">
        <v>198</v>
      </c>
      <c r="P2967" s="297" t="s">
        <v>199</v>
      </c>
      <c r="Q2967" s="297" t="s">
        <v>200</v>
      </c>
      <c r="R2967" s="297" t="s">
        <v>213</v>
      </c>
      <c r="S2967" s="297" t="s">
        <v>214</v>
      </c>
    </row>
    <row r="2968" spans="1:19" x14ac:dyDescent="0.4">
      <c r="A2968" s="291"/>
      <c r="B2968" s="292"/>
      <c r="C2968" s="312"/>
      <c r="D2968" s="292"/>
      <c r="E2968" s="489"/>
      <c r="F2968" s="489"/>
      <c r="G2968" s="490"/>
      <c r="H2968" s="520"/>
      <c r="I2968" s="523"/>
      <c r="J2968" s="521"/>
      <c r="K2968" s="522"/>
      <c r="M2968" s="301" t="str">
        <f>N2968&amp;AS[[#This Row],[Insurer Code]]&amp;"; "&amp;O2968&amp;AS[[#This Row],[Reporting Year]]&amp;"; "&amp;P2968&amp;AS[[#This Row],[Insurance Category Code]]&amp;"; "&amp;Q2968&amp;AS[[#This Row],[Large Provider Entity Code]]&amp;"; "&amp;R2968&amp;AS[[#This Row],[Age Band Code]]&amp;"; "&amp;S2968&amp;AS[[#This Row],[Sex Code]]</f>
        <v xml:space="preserve">Insurer Code ; Reporting Year ; Insurance Category Code ; Large Provider Entity Code ; Age Band Code ; Sex Code </v>
      </c>
      <c r="N2968" s="297" t="s">
        <v>197</v>
      </c>
      <c r="O2968" s="297" t="s">
        <v>198</v>
      </c>
      <c r="P2968" s="297" t="s">
        <v>199</v>
      </c>
      <c r="Q2968" s="297" t="s">
        <v>200</v>
      </c>
      <c r="R2968" s="297" t="s">
        <v>213</v>
      </c>
      <c r="S2968" s="297" t="s">
        <v>214</v>
      </c>
    </row>
    <row r="2969" spans="1:19" x14ac:dyDescent="0.4">
      <c r="A2969" s="291"/>
      <c r="B2969" s="292"/>
      <c r="C2969" s="312"/>
      <c r="D2969" s="292"/>
      <c r="E2969" s="489"/>
      <c r="F2969" s="489"/>
      <c r="G2969" s="490"/>
      <c r="H2969" s="520"/>
      <c r="I2969" s="523"/>
      <c r="J2969" s="521"/>
      <c r="K2969" s="522"/>
      <c r="M2969" s="301" t="str">
        <f>N2969&amp;AS[[#This Row],[Insurer Code]]&amp;"; "&amp;O2969&amp;AS[[#This Row],[Reporting Year]]&amp;"; "&amp;P2969&amp;AS[[#This Row],[Insurance Category Code]]&amp;"; "&amp;Q2969&amp;AS[[#This Row],[Large Provider Entity Code]]&amp;"; "&amp;R2969&amp;AS[[#This Row],[Age Band Code]]&amp;"; "&amp;S2969&amp;AS[[#This Row],[Sex Code]]</f>
        <v xml:space="preserve">Insurer Code ; Reporting Year ; Insurance Category Code ; Large Provider Entity Code ; Age Band Code ; Sex Code </v>
      </c>
      <c r="N2969" s="297" t="s">
        <v>197</v>
      </c>
      <c r="O2969" s="297" t="s">
        <v>198</v>
      </c>
      <c r="P2969" s="297" t="s">
        <v>199</v>
      </c>
      <c r="Q2969" s="297" t="s">
        <v>200</v>
      </c>
      <c r="R2969" s="297" t="s">
        <v>213</v>
      </c>
      <c r="S2969" s="297" t="s">
        <v>214</v>
      </c>
    </row>
    <row r="2970" spans="1:19" x14ac:dyDescent="0.4">
      <c r="A2970" s="291"/>
      <c r="B2970" s="292"/>
      <c r="C2970" s="312"/>
      <c r="D2970" s="292"/>
      <c r="E2970" s="489"/>
      <c r="F2970" s="489"/>
      <c r="G2970" s="490"/>
      <c r="H2970" s="520"/>
      <c r="I2970" s="523"/>
      <c r="J2970" s="521"/>
      <c r="K2970" s="522"/>
      <c r="M2970" s="301" t="str">
        <f>N2970&amp;AS[[#This Row],[Insurer Code]]&amp;"; "&amp;O2970&amp;AS[[#This Row],[Reporting Year]]&amp;"; "&amp;P2970&amp;AS[[#This Row],[Insurance Category Code]]&amp;"; "&amp;Q2970&amp;AS[[#This Row],[Large Provider Entity Code]]&amp;"; "&amp;R2970&amp;AS[[#This Row],[Age Band Code]]&amp;"; "&amp;S2970&amp;AS[[#This Row],[Sex Code]]</f>
        <v xml:space="preserve">Insurer Code ; Reporting Year ; Insurance Category Code ; Large Provider Entity Code ; Age Band Code ; Sex Code </v>
      </c>
      <c r="N2970" s="297" t="s">
        <v>197</v>
      </c>
      <c r="O2970" s="297" t="s">
        <v>198</v>
      </c>
      <c r="P2970" s="297" t="s">
        <v>199</v>
      </c>
      <c r="Q2970" s="297" t="s">
        <v>200</v>
      </c>
      <c r="R2970" s="297" t="s">
        <v>213</v>
      </c>
      <c r="S2970" s="297" t="s">
        <v>214</v>
      </c>
    </row>
    <row r="2971" spans="1:19" x14ac:dyDescent="0.4">
      <c r="A2971" s="291"/>
      <c r="B2971" s="292"/>
      <c r="C2971" s="312"/>
      <c r="D2971" s="292"/>
      <c r="E2971" s="489"/>
      <c r="F2971" s="489"/>
      <c r="G2971" s="490"/>
      <c r="H2971" s="520"/>
      <c r="I2971" s="523"/>
      <c r="J2971" s="521"/>
      <c r="K2971" s="522"/>
      <c r="M2971" s="301" t="str">
        <f>N2971&amp;AS[[#This Row],[Insurer Code]]&amp;"; "&amp;O2971&amp;AS[[#This Row],[Reporting Year]]&amp;"; "&amp;P2971&amp;AS[[#This Row],[Insurance Category Code]]&amp;"; "&amp;Q2971&amp;AS[[#This Row],[Large Provider Entity Code]]&amp;"; "&amp;R2971&amp;AS[[#This Row],[Age Band Code]]&amp;"; "&amp;S2971&amp;AS[[#This Row],[Sex Code]]</f>
        <v xml:space="preserve">Insurer Code ; Reporting Year ; Insurance Category Code ; Large Provider Entity Code ; Age Band Code ; Sex Code </v>
      </c>
      <c r="N2971" s="297" t="s">
        <v>197</v>
      </c>
      <c r="O2971" s="297" t="s">
        <v>198</v>
      </c>
      <c r="P2971" s="297" t="s">
        <v>199</v>
      </c>
      <c r="Q2971" s="297" t="s">
        <v>200</v>
      </c>
      <c r="R2971" s="297" t="s">
        <v>213</v>
      </c>
      <c r="S2971" s="297" t="s">
        <v>214</v>
      </c>
    </row>
    <row r="2972" spans="1:19" x14ac:dyDescent="0.4">
      <c r="A2972" s="291"/>
      <c r="B2972" s="292"/>
      <c r="C2972" s="312"/>
      <c r="D2972" s="292"/>
      <c r="E2972" s="489"/>
      <c r="F2972" s="489"/>
      <c r="G2972" s="490"/>
      <c r="H2972" s="520"/>
      <c r="I2972" s="523"/>
      <c r="J2972" s="521"/>
      <c r="K2972" s="522"/>
      <c r="M2972" s="301" t="str">
        <f>N2972&amp;AS[[#This Row],[Insurer Code]]&amp;"; "&amp;O2972&amp;AS[[#This Row],[Reporting Year]]&amp;"; "&amp;P2972&amp;AS[[#This Row],[Insurance Category Code]]&amp;"; "&amp;Q2972&amp;AS[[#This Row],[Large Provider Entity Code]]&amp;"; "&amp;R2972&amp;AS[[#This Row],[Age Band Code]]&amp;"; "&amp;S2972&amp;AS[[#This Row],[Sex Code]]</f>
        <v xml:space="preserve">Insurer Code ; Reporting Year ; Insurance Category Code ; Large Provider Entity Code ; Age Band Code ; Sex Code </v>
      </c>
      <c r="N2972" s="297" t="s">
        <v>197</v>
      </c>
      <c r="O2972" s="297" t="s">
        <v>198</v>
      </c>
      <c r="P2972" s="297" t="s">
        <v>199</v>
      </c>
      <c r="Q2972" s="297" t="s">
        <v>200</v>
      </c>
      <c r="R2972" s="297" t="s">
        <v>213</v>
      </c>
      <c r="S2972" s="297" t="s">
        <v>214</v>
      </c>
    </row>
    <row r="2973" spans="1:19" x14ac:dyDescent="0.4">
      <c r="A2973" s="291"/>
      <c r="B2973" s="292"/>
      <c r="C2973" s="312"/>
      <c r="D2973" s="292"/>
      <c r="E2973" s="489"/>
      <c r="F2973" s="489"/>
      <c r="G2973" s="490"/>
      <c r="H2973" s="520"/>
      <c r="I2973" s="523"/>
      <c r="J2973" s="521"/>
      <c r="K2973" s="522"/>
      <c r="M2973" s="301" t="str">
        <f>N2973&amp;AS[[#This Row],[Insurer Code]]&amp;"; "&amp;O2973&amp;AS[[#This Row],[Reporting Year]]&amp;"; "&amp;P2973&amp;AS[[#This Row],[Insurance Category Code]]&amp;"; "&amp;Q2973&amp;AS[[#This Row],[Large Provider Entity Code]]&amp;"; "&amp;R2973&amp;AS[[#This Row],[Age Band Code]]&amp;"; "&amp;S2973&amp;AS[[#This Row],[Sex Code]]</f>
        <v xml:space="preserve">Insurer Code ; Reporting Year ; Insurance Category Code ; Large Provider Entity Code ; Age Band Code ; Sex Code </v>
      </c>
      <c r="N2973" s="297" t="s">
        <v>197</v>
      </c>
      <c r="O2973" s="297" t="s">
        <v>198</v>
      </c>
      <c r="P2973" s="297" t="s">
        <v>199</v>
      </c>
      <c r="Q2973" s="297" t="s">
        <v>200</v>
      </c>
      <c r="R2973" s="297" t="s">
        <v>213</v>
      </c>
      <c r="S2973" s="297" t="s">
        <v>214</v>
      </c>
    </row>
    <row r="2974" spans="1:19" x14ac:dyDescent="0.4">
      <c r="A2974" s="291"/>
      <c r="B2974" s="292"/>
      <c r="C2974" s="312"/>
      <c r="D2974" s="292"/>
      <c r="E2974" s="489"/>
      <c r="F2974" s="489"/>
      <c r="G2974" s="490"/>
      <c r="H2974" s="520"/>
      <c r="I2974" s="523"/>
      <c r="J2974" s="521"/>
      <c r="K2974" s="522"/>
      <c r="M2974" s="301" t="str">
        <f>N2974&amp;AS[[#This Row],[Insurer Code]]&amp;"; "&amp;O2974&amp;AS[[#This Row],[Reporting Year]]&amp;"; "&amp;P2974&amp;AS[[#This Row],[Insurance Category Code]]&amp;"; "&amp;Q2974&amp;AS[[#This Row],[Large Provider Entity Code]]&amp;"; "&amp;R2974&amp;AS[[#This Row],[Age Band Code]]&amp;"; "&amp;S2974&amp;AS[[#This Row],[Sex Code]]</f>
        <v xml:space="preserve">Insurer Code ; Reporting Year ; Insurance Category Code ; Large Provider Entity Code ; Age Band Code ; Sex Code </v>
      </c>
      <c r="N2974" s="297" t="s">
        <v>197</v>
      </c>
      <c r="O2974" s="297" t="s">
        <v>198</v>
      </c>
      <c r="P2974" s="297" t="s">
        <v>199</v>
      </c>
      <c r="Q2974" s="297" t="s">
        <v>200</v>
      </c>
      <c r="R2974" s="297" t="s">
        <v>213</v>
      </c>
      <c r="S2974" s="297" t="s">
        <v>214</v>
      </c>
    </row>
    <row r="2975" spans="1:19" x14ac:dyDescent="0.4">
      <c r="A2975" s="291"/>
      <c r="B2975" s="292"/>
      <c r="C2975" s="312"/>
      <c r="D2975" s="292"/>
      <c r="E2975" s="489"/>
      <c r="F2975" s="489"/>
      <c r="G2975" s="490"/>
      <c r="H2975" s="520"/>
      <c r="I2975" s="523"/>
      <c r="J2975" s="521"/>
      <c r="K2975" s="522"/>
      <c r="M2975" s="301" t="str">
        <f>N2975&amp;AS[[#This Row],[Insurer Code]]&amp;"; "&amp;O2975&amp;AS[[#This Row],[Reporting Year]]&amp;"; "&amp;P2975&amp;AS[[#This Row],[Insurance Category Code]]&amp;"; "&amp;Q2975&amp;AS[[#This Row],[Large Provider Entity Code]]&amp;"; "&amp;R2975&amp;AS[[#This Row],[Age Band Code]]&amp;"; "&amp;S2975&amp;AS[[#This Row],[Sex Code]]</f>
        <v xml:space="preserve">Insurer Code ; Reporting Year ; Insurance Category Code ; Large Provider Entity Code ; Age Band Code ; Sex Code </v>
      </c>
      <c r="N2975" s="297" t="s">
        <v>197</v>
      </c>
      <c r="O2975" s="297" t="s">
        <v>198</v>
      </c>
      <c r="P2975" s="297" t="s">
        <v>199</v>
      </c>
      <c r="Q2975" s="297" t="s">
        <v>200</v>
      </c>
      <c r="R2975" s="297" t="s">
        <v>213</v>
      </c>
      <c r="S2975" s="297" t="s">
        <v>214</v>
      </c>
    </row>
    <row r="2976" spans="1:19" x14ac:dyDescent="0.4">
      <c r="A2976" s="291"/>
      <c r="B2976" s="292"/>
      <c r="C2976" s="312"/>
      <c r="D2976" s="292"/>
      <c r="E2976" s="489"/>
      <c r="F2976" s="489"/>
      <c r="G2976" s="490"/>
      <c r="H2976" s="520"/>
      <c r="I2976" s="523"/>
      <c r="J2976" s="521"/>
      <c r="K2976" s="522"/>
      <c r="M2976" s="301" t="str">
        <f>N2976&amp;AS[[#This Row],[Insurer Code]]&amp;"; "&amp;O2976&amp;AS[[#This Row],[Reporting Year]]&amp;"; "&amp;P2976&amp;AS[[#This Row],[Insurance Category Code]]&amp;"; "&amp;Q2976&amp;AS[[#This Row],[Large Provider Entity Code]]&amp;"; "&amp;R2976&amp;AS[[#This Row],[Age Band Code]]&amp;"; "&amp;S2976&amp;AS[[#This Row],[Sex Code]]</f>
        <v xml:space="preserve">Insurer Code ; Reporting Year ; Insurance Category Code ; Large Provider Entity Code ; Age Band Code ; Sex Code </v>
      </c>
      <c r="N2976" s="297" t="s">
        <v>197</v>
      </c>
      <c r="O2976" s="297" t="s">
        <v>198</v>
      </c>
      <c r="P2976" s="297" t="s">
        <v>199</v>
      </c>
      <c r="Q2976" s="297" t="s">
        <v>200</v>
      </c>
      <c r="R2976" s="297" t="s">
        <v>213</v>
      </c>
      <c r="S2976" s="297" t="s">
        <v>214</v>
      </c>
    </row>
    <row r="2977" spans="1:19" x14ac:dyDescent="0.4">
      <c r="A2977" s="291"/>
      <c r="B2977" s="292"/>
      <c r="C2977" s="312"/>
      <c r="D2977" s="292"/>
      <c r="E2977" s="489"/>
      <c r="F2977" s="489"/>
      <c r="G2977" s="490"/>
      <c r="H2977" s="520"/>
      <c r="I2977" s="523"/>
      <c r="J2977" s="521"/>
      <c r="K2977" s="522"/>
      <c r="M2977" s="301" t="str">
        <f>N2977&amp;AS[[#This Row],[Insurer Code]]&amp;"; "&amp;O2977&amp;AS[[#This Row],[Reporting Year]]&amp;"; "&amp;P2977&amp;AS[[#This Row],[Insurance Category Code]]&amp;"; "&amp;Q2977&amp;AS[[#This Row],[Large Provider Entity Code]]&amp;"; "&amp;R2977&amp;AS[[#This Row],[Age Band Code]]&amp;"; "&amp;S2977&amp;AS[[#This Row],[Sex Code]]</f>
        <v xml:space="preserve">Insurer Code ; Reporting Year ; Insurance Category Code ; Large Provider Entity Code ; Age Band Code ; Sex Code </v>
      </c>
      <c r="N2977" s="297" t="s">
        <v>197</v>
      </c>
      <c r="O2977" s="297" t="s">
        <v>198</v>
      </c>
      <c r="P2977" s="297" t="s">
        <v>199</v>
      </c>
      <c r="Q2977" s="297" t="s">
        <v>200</v>
      </c>
      <c r="R2977" s="297" t="s">
        <v>213</v>
      </c>
      <c r="S2977" s="297" t="s">
        <v>214</v>
      </c>
    </row>
    <row r="2978" spans="1:19" x14ac:dyDescent="0.4">
      <c r="A2978" s="291"/>
      <c r="B2978" s="292"/>
      <c r="C2978" s="312"/>
      <c r="D2978" s="292"/>
      <c r="E2978" s="489"/>
      <c r="F2978" s="489"/>
      <c r="G2978" s="490"/>
      <c r="H2978" s="520"/>
      <c r="I2978" s="523"/>
      <c r="J2978" s="521"/>
      <c r="K2978" s="522"/>
      <c r="M2978" s="301" t="str">
        <f>N2978&amp;AS[[#This Row],[Insurer Code]]&amp;"; "&amp;O2978&amp;AS[[#This Row],[Reporting Year]]&amp;"; "&amp;P2978&amp;AS[[#This Row],[Insurance Category Code]]&amp;"; "&amp;Q2978&amp;AS[[#This Row],[Large Provider Entity Code]]&amp;"; "&amp;R2978&amp;AS[[#This Row],[Age Band Code]]&amp;"; "&amp;S2978&amp;AS[[#This Row],[Sex Code]]</f>
        <v xml:space="preserve">Insurer Code ; Reporting Year ; Insurance Category Code ; Large Provider Entity Code ; Age Band Code ; Sex Code </v>
      </c>
      <c r="N2978" s="297" t="s">
        <v>197</v>
      </c>
      <c r="O2978" s="297" t="s">
        <v>198</v>
      </c>
      <c r="P2978" s="297" t="s">
        <v>199</v>
      </c>
      <c r="Q2978" s="297" t="s">
        <v>200</v>
      </c>
      <c r="R2978" s="297" t="s">
        <v>213</v>
      </c>
      <c r="S2978" s="297" t="s">
        <v>214</v>
      </c>
    </row>
    <row r="2979" spans="1:19" x14ac:dyDescent="0.4">
      <c r="A2979" s="291"/>
      <c r="B2979" s="292"/>
      <c r="C2979" s="312"/>
      <c r="D2979" s="292"/>
      <c r="E2979" s="489"/>
      <c r="F2979" s="489"/>
      <c r="G2979" s="490"/>
      <c r="H2979" s="520"/>
      <c r="I2979" s="523"/>
      <c r="J2979" s="521"/>
      <c r="K2979" s="522"/>
      <c r="M2979" s="301" t="str">
        <f>N2979&amp;AS[[#This Row],[Insurer Code]]&amp;"; "&amp;O2979&amp;AS[[#This Row],[Reporting Year]]&amp;"; "&amp;P2979&amp;AS[[#This Row],[Insurance Category Code]]&amp;"; "&amp;Q2979&amp;AS[[#This Row],[Large Provider Entity Code]]&amp;"; "&amp;R2979&amp;AS[[#This Row],[Age Band Code]]&amp;"; "&amp;S2979&amp;AS[[#This Row],[Sex Code]]</f>
        <v xml:space="preserve">Insurer Code ; Reporting Year ; Insurance Category Code ; Large Provider Entity Code ; Age Band Code ; Sex Code </v>
      </c>
      <c r="N2979" s="297" t="s">
        <v>197</v>
      </c>
      <c r="O2979" s="297" t="s">
        <v>198</v>
      </c>
      <c r="P2979" s="297" t="s">
        <v>199</v>
      </c>
      <c r="Q2979" s="297" t="s">
        <v>200</v>
      </c>
      <c r="R2979" s="297" t="s">
        <v>213</v>
      </c>
      <c r="S2979" s="297" t="s">
        <v>214</v>
      </c>
    </row>
    <row r="2980" spans="1:19" x14ac:dyDescent="0.4">
      <c r="A2980" s="291"/>
      <c r="B2980" s="292"/>
      <c r="C2980" s="312"/>
      <c r="D2980" s="292"/>
      <c r="E2980" s="489"/>
      <c r="F2980" s="489"/>
      <c r="G2980" s="490"/>
      <c r="H2980" s="520"/>
      <c r="I2980" s="523"/>
      <c r="J2980" s="521"/>
      <c r="K2980" s="522"/>
      <c r="M2980" s="301" t="str">
        <f>N2980&amp;AS[[#This Row],[Insurer Code]]&amp;"; "&amp;O2980&amp;AS[[#This Row],[Reporting Year]]&amp;"; "&amp;P2980&amp;AS[[#This Row],[Insurance Category Code]]&amp;"; "&amp;Q2980&amp;AS[[#This Row],[Large Provider Entity Code]]&amp;"; "&amp;R2980&amp;AS[[#This Row],[Age Band Code]]&amp;"; "&amp;S2980&amp;AS[[#This Row],[Sex Code]]</f>
        <v xml:space="preserve">Insurer Code ; Reporting Year ; Insurance Category Code ; Large Provider Entity Code ; Age Band Code ; Sex Code </v>
      </c>
      <c r="N2980" s="297" t="s">
        <v>197</v>
      </c>
      <c r="O2980" s="297" t="s">
        <v>198</v>
      </c>
      <c r="P2980" s="297" t="s">
        <v>199</v>
      </c>
      <c r="Q2980" s="297" t="s">
        <v>200</v>
      </c>
      <c r="R2980" s="297" t="s">
        <v>213</v>
      </c>
      <c r="S2980" s="297" t="s">
        <v>214</v>
      </c>
    </row>
    <row r="2981" spans="1:19" x14ac:dyDescent="0.4">
      <c r="A2981" s="291"/>
      <c r="B2981" s="292"/>
      <c r="C2981" s="312"/>
      <c r="D2981" s="292"/>
      <c r="E2981" s="489"/>
      <c r="F2981" s="489"/>
      <c r="G2981" s="490"/>
      <c r="H2981" s="520"/>
      <c r="I2981" s="523"/>
      <c r="J2981" s="521"/>
      <c r="K2981" s="522"/>
      <c r="M2981" s="301" t="str">
        <f>N2981&amp;AS[[#This Row],[Insurer Code]]&amp;"; "&amp;O2981&amp;AS[[#This Row],[Reporting Year]]&amp;"; "&amp;P2981&amp;AS[[#This Row],[Insurance Category Code]]&amp;"; "&amp;Q2981&amp;AS[[#This Row],[Large Provider Entity Code]]&amp;"; "&amp;R2981&amp;AS[[#This Row],[Age Band Code]]&amp;"; "&amp;S2981&amp;AS[[#This Row],[Sex Code]]</f>
        <v xml:space="preserve">Insurer Code ; Reporting Year ; Insurance Category Code ; Large Provider Entity Code ; Age Band Code ; Sex Code </v>
      </c>
      <c r="N2981" s="297" t="s">
        <v>197</v>
      </c>
      <c r="O2981" s="297" t="s">
        <v>198</v>
      </c>
      <c r="P2981" s="297" t="s">
        <v>199</v>
      </c>
      <c r="Q2981" s="297" t="s">
        <v>200</v>
      </c>
      <c r="R2981" s="297" t="s">
        <v>213</v>
      </c>
      <c r="S2981" s="297" t="s">
        <v>214</v>
      </c>
    </row>
    <row r="2982" spans="1:19" x14ac:dyDescent="0.4">
      <c r="A2982" s="291"/>
      <c r="B2982" s="292"/>
      <c r="C2982" s="312"/>
      <c r="D2982" s="292"/>
      <c r="E2982" s="489"/>
      <c r="F2982" s="489"/>
      <c r="G2982" s="490"/>
      <c r="H2982" s="520"/>
      <c r="I2982" s="523"/>
      <c r="J2982" s="521"/>
      <c r="K2982" s="522"/>
      <c r="M2982" s="301" t="str">
        <f>N2982&amp;AS[[#This Row],[Insurer Code]]&amp;"; "&amp;O2982&amp;AS[[#This Row],[Reporting Year]]&amp;"; "&amp;P2982&amp;AS[[#This Row],[Insurance Category Code]]&amp;"; "&amp;Q2982&amp;AS[[#This Row],[Large Provider Entity Code]]&amp;"; "&amp;R2982&amp;AS[[#This Row],[Age Band Code]]&amp;"; "&amp;S2982&amp;AS[[#This Row],[Sex Code]]</f>
        <v xml:space="preserve">Insurer Code ; Reporting Year ; Insurance Category Code ; Large Provider Entity Code ; Age Band Code ; Sex Code </v>
      </c>
      <c r="N2982" s="297" t="s">
        <v>197</v>
      </c>
      <c r="O2982" s="297" t="s">
        <v>198</v>
      </c>
      <c r="P2982" s="297" t="s">
        <v>199</v>
      </c>
      <c r="Q2982" s="297" t="s">
        <v>200</v>
      </c>
      <c r="R2982" s="297" t="s">
        <v>213</v>
      </c>
      <c r="S2982" s="297" t="s">
        <v>214</v>
      </c>
    </row>
    <row r="2983" spans="1:19" x14ac:dyDescent="0.4">
      <c r="A2983" s="291"/>
      <c r="B2983" s="292"/>
      <c r="C2983" s="312"/>
      <c r="D2983" s="292"/>
      <c r="E2983" s="489"/>
      <c r="F2983" s="489"/>
      <c r="G2983" s="490"/>
      <c r="H2983" s="520"/>
      <c r="I2983" s="523"/>
      <c r="J2983" s="521"/>
      <c r="K2983" s="522"/>
      <c r="M2983" s="301" t="str">
        <f>N2983&amp;AS[[#This Row],[Insurer Code]]&amp;"; "&amp;O2983&amp;AS[[#This Row],[Reporting Year]]&amp;"; "&amp;P2983&amp;AS[[#This Row],[Insurance Category Code]]&amp;"; "&amp;Q2983&amp;AS[[#This Row],[Large Provider Entity Code]]&amp;"; "&amp;R2983&amp;AS[[#This Row],[Age Band Code]]&amp;"; "&amp;S2983&amp;AS[[#This Row],[Sex Code]]</f>
        <v xml:space="preserve">Insurer Code ; Reporting Year ; Insurance Category Code ; Large Provider Entity Code ; Age Band Code ; Sex Code </v>
      </c>
      <c r="N2983" s="297" t="s">
        <v>197</v>
      </c>
      <c r="O2983" s="297" t="s">
        <v>198</v>
      </c>
      <c r="P2983" s="297" t="s">
        <v>199</v>
      </c>
      <c r="Q2983" s="297" t="s">
        <v>200</v>
      </c>
      <c r="R2983" s="297" t="s">
        <v>213</v>
      </c>
      <c r="S2983" s="297" t="s">
        <v>214</v>
      </c>
    </row>
    <row r="2984" spans="1:19" x14ac:dyDescent="0.4">
      <c r="A2984" s="291"/>
      <c r="B2984" s="292"/>
      <c r="C2984" s="312"/>
      <c r="D2984" s="292"/>
      <c r="E2984" s="489"/>
      <c r="F2984" s="489"/>
      <c r="G2984" s="490"/>
      <c r="H2984" s="520"/>
      <c r="I2984" s="523"/>
      <c r="J2984" s="521"/>
      <c r="K2984" s="522"/>
      <c r="M2984" s="301" t="str">
        <f>N2984&amp;AS[[#This Row],[Insurer Code]]&amp;"; "&amp;O2984&amp;AS[[#This Row],[Reporting Year]]&amp;"; "&amp;P2984&amp;AS[[#This Row],[Insurance Category Code]]&amp;"; "&amp;Q2984&amp;AS[[#This Row],[Large Provider Entity Code]]&amp;"; "&amp;R2984&amp;AS[[#This Row],[Age Band Code]]&amp;"; "&amp;S2984&amp;AS[[#This Row],[Sex Code]]</f>
        <v xml:space="preserve">Insurer Code ; Reporting Year ; Insurance Category Code ; Large Provider Entity Code ; Age Band Code ; Sex Code </v>
      </c>
      <c r="N2984" s="297" t="s">
        <v>197</v>
      </c>
      <c r="O2984" s="297" t="s">
        <v>198</v>
      </c>
      <c r="P2984" s="297" t="s">
        <v>199</v>
      </c>
      <c r="Q2984" s="297" t="s">
        <v>200</v>
      </c>
      <c r="R2984" s="297" t="s">
        <v>213</v>
      </c>
      <c r="S2984" s="297" t="s">
        <v>214</v>
      </c>
    </row>
    <row r="2985" spans="1:19" x14ac:dyDescent="0.4">
      <c r="A2985" s="291"/>
      <c r="B2985" s="292"/>
      <c r="C2985" s="312"/>
      <c r="D2985" s="292"/>
      <c r="E2985" s="489"/>
      <c r="F2985" s="489"/>
      <c r="G2985" s="490"/>
      <c r="H2985" s="520"/>
      <c r="I2985" s="523"/>
      <c r="J2985" s="521"/>
      <c r="K2985" s="522"/>
      <c r="M2985" s="301" t="str">
        <f>N2985&amp;AS[[#This Row],[Insurer Code]]&amp;"; "&amp;O2985&amp;AS[[#This Row],[Reporting Year]]&amp;"; "&amp;P2985&amp;AS[[#This Row],[Insurance Category Code]]&amp;"; "&amp;Q2985&amp;AS[[#This Row],[Large Provider Entity Code]]&amp;"; "&amp;R2985&amp;AS[[#This Row],[Age Band Code]]&amp;"; "&amp;S2985&amp;AS[[#This Row],[Sex Code]]</f>
        <v xml:space="preserve">Insurer Code ; Reporting Year ; Insurance Category Code ; Large Provider Entity Code ; Age Band Code ; Sex Code </v>
      </c>
      <c r="N2985" s="297" t="s">
        <v>197</v>
      </c>
      <c r="O2985" s="297" t="s">
        <v>198</v>
      </c>
      <c r="P2985" s="297" t="s">
        <v>199</v>
      </c>
      <c r="Q2985" s="297" t="s">
        <v>200</v>
      </c>
      <c r="R2985" s="297" t="s">
        <v>213</v>
      </c>
      <c r="S2985" s="297" t="s">
        <v>214</v>
      </c>
    </row>
    <row r="2986" spans="1:19" x14ac:dyDescent="0.4">
      <c r="A2986" s="291"/>
      <c r="B2986" s="292"/>
      <c r="C2986" s="312"/>
      <c r="D2986" s="292"/>
      <c r="E2986" s="489"/>
      <c r="F2986" s="489"/>
      <c r="G2986" s="490"/>
      <c r="H2986" s="520"/>
      <c r="I2986" s="523"/>
      <c r="J2986" s="521"/>
      <c r="K2986" s="522"/>
      <c r="M2986" s="301" t="str">
        <f>N2986&amp;AS[[#This Row],[Insurer Code]]&amp;"; "&amp;O2986&amp;AS[[#This Row],[Reporting Year]]&amp;"; "&amp;P2986&amp;AS[[#This Row],[Insurance Category Code]]&amp;"; "&amp;Q2986&amp;AS[[#This Row],[Large Provider Entity Code]]&amp;"; "&amp;R2986&amp;AS[[#This Row],[Age Band Code]]&amp;"; "&amp;S2986&amp;AS[[#This Row],[Sex Code]]</f>
        <v xml:space="preserve">Insurer Code ; Reporting Year ; Insurance Category Code ; Large Provider Entity Code ; Age Band Code ; Sex Code </v>
      </c>
      <c r="N2986" s="297" t="s">
        <v>197</v>
      </c>
      <c r="O2986" s="297" t="s">
        <v>198</v>
      </c>
      <c r="P2986" s="297" t="s">
        <v>199</v>
      </c>
      <c r="Q2986" s="297" t="s">
        <v>200</v>
      </c>
      <c r="R2986" s="297" t="s">
        <v>213</v>
      </c>
      <c r="S2986" s="297" t="s">
        <v>214</v>
      </c>
    </row>
    <row r="2987" spans="1:19" x14ac:dyDescent="0.4">
      <c r="A2987" s="291"/>
      <c r="B2987" s="292"/>
      <c r="C2987" s="312"/>
      <c r="D2987" s="292"/>
      <c r="E2987" s="489"/>
      <c r="F2987" s="489"/>
      <c r="G2987" s="490"/>
      <c r="H2987" s="520"/>
      <c r="I2987" s="523"/>
      <c r="J2987" s="521"/>
      <c r="K2987" s="522"/>
      <c r="M2987" s="301" t="str">
        <f>N2987&amp;AS[[#This Row],[Insurer Code]]&amp;"; "&amp;O2987&amp;AS[[#This Row],[Reporting Year]]&amp;"; "&amp;P2987&amp;AS[[#This Row],[Insurance Category Code]]&amp;"; "&amp;Q2987&amp;AS[[#This Row],[Large Provider Entity Code]]&amp;"; "&amp;R2987&amp;AS[[#This Row],[Age Band Code]]&amp;"; "&amp;S2987&amp;AS[[#This Row],[Sex Code]]</f>
        <v xml:space="preserve">Insurer Code ; Reporting Year ; Insurance Category Code ; Large Provider Entity Code ; Age Band Code ; Sex Code </v>
      </c>
      <c r="N2987" s="297" t="s">
        <v>197</v>
      </c>
      <c r="O2987" s="297" t="s">
        <v>198</v>
      </c>
      <c r="P2987" s="297" t="s">
        <v>199</v>
      </c>
      <c r="Q2987" s="297" t="s">
        <v>200</v>
      </c>
      <c r="R2987" s="297" t="s">
        <v>213</v>
      </c>
      <c r="S2987" s="297" t="s">
        <v>214</v>
      </c>
    </row>
    <row r="2988" spans="1:19" x14ac:dyDescent="0.4">
      <c r="A2988" s="291"/>
      <c r="B2988" s="292"/>
      <c r="C2988" s="312"/>
      <c r="D2988" s="292"/>
      <c r="E2988" s="489"/>
      <c r="F2988" s="489"/>
      <c r="G2988" s="490"/>
      <c r="H2988" s="520"/>
      <c r="I2988" s="523"/>
      <c r="J2988" s="521"/>
      <c r="K2988" s="522"/>
      <c r="M2988" s="301" t="str">
        <f>N2988&amp;AS[[#This Row],[Insurer Code]]&amp;"; "&amp;O2988&amp;AS[[#This Row],[Reporting Year]]&amp;"; "&amp;P2988&amp;AS[[#This Row],[Insurance Category Code]]&amp;"; "&amp;Q2988&amp;AS[[#This Row],[Large Provider Entity Code]]&amp;"; "&amp;R2988&amp;AS[[#This Row],[Age Band Code]]&amp;"; "&amp;S2988&amp;AS[[#This Row],[Sex Code]]</f>
        <v xml:space="preserve">Insurer Code ; Reporting Year ; Insurance Category Code ; Large Provider Entity Code ; Age Band Code ; Sex Code </v>
      </c>
      <c r="N2988" s="297" t="s">
        <v>197</v>
      </c>
      <c r="O2988" s="297" t="s">
        <v>198</v>
      </c>
      <c r="P2988" s="297" t="s">
        <v>199</v>
      </c>
      <c r="Q2988" s="297" t="s">
        <v>200</v>
      </c>
      <c r="R2988" s="297" t="s">
        <v>213</v>
      </c>
      <c r="S2988" s="297" t="s">
        <v>214</v>
      </c>
    </row>
    <row r="2989" spans="1:19" x14ac:dyDescent="0.4">
      <c r="A2989" s="291"/>
      <c r="B2989" s="292"/>
      <c r="C2989" s="312"/>
      <c r="D2989" s="292"/>
      <c r="E2989" s="489"/>
      <c r="F2989" s="489"/>
      <c r="G2989" s="490"/>
      <c r="H2989" s="520"/>
      <c r="I2989" s="523"/>
      <c r="J2989" s="521"/>
      <c r="K2989" s="522"/>
      <c r="M2989" s="301" t="str">
        <f>N2989&amp;AS[[#This Row],[Insurer Code]]&amp;"; "&amp;O2989&amp;AS[[#This Row],[Reporting Year]]&amp;"; "&amp;P2989&amp;AS[[#This Row],[Insurance Category Code]]&amp;"; "&amp;Q2989&amp;AS[[#This Row],[Large Provider Entity Code]]&amp;"; "&amp;R2989&amp;AS[[#This Row],[Age Band Code]]&amp;"; "&amp;S2989&amp;AS[[#This Row],[Sex Code]]</f>
        <v xml:space="preserve">Insurer Code ; Reporting Year ; Insurance Category Code ; Large Provider Entity Code ; Age Band Code ; Sex Code </v>
      </c>
      <c r="N2989" s="297" t="s">
        <v>197</v>
      </c>
      <c r="O2989" s="297" t="s">
        <v>198</v>
      </c>
      <c r="P2989" s="297" t="s">
        <v>199</v>
      </c>
      <c r="Q2989" s="297" t="s">
        <v>200</v>
      </c>
      <c r="R2989" s="297" t="s">
        <v>213</v>
      </c>
      <c r="S2989" s="297" t="s">
        <v>214</v>
      </c>
    </row>
    <row r="2990" spans="1:19" x14ac:dyDescent="0.4">
      <c r="A2990" s="291"/>
      <c r="B2990" s="292"/>
      <c r="C2990" s="312"/>
      <c r="D2990" s="292"/>
      <c r="E2990" s="489"/>
      <c r="F2990" s="489"/>
      <c r="G2990" s="490"/>
      <c r="H2990" s="520"/>
      <c r="I2990" s="523"/>
      <c r="J2990" s="521"/>
      <c r="K2990" s="522"/>
      <c r="M2990" s="301" t="str">
        <f>N2990&amp;AS[[#This Row],[Insurer Code]]&amp;"; "&amp;O2990&amp;AS[[#This Row],[Reporting Year]]&amp;"; "&amp;P2990&amp;AS[[#This Row],[Insurance Category Code]]&amp;"; "&amp;Q2990&amp;AS[[#This Row],[Large Provider Entity Code]]&amp;"; "&amp;R2990&amp;AS[[#This Row],[Age Band Code]]&amp;"; "&amp;S2990&amp;AS[[#This Row],[Sex Code]]</f>
        <v xml:space="preserve">Insurer Code ; Reporting Year ; Insurance Category Code ; Large Provider Entity Code ; Age Band Code ; Sex Code </v>
      </c>
      <c r="N2990" s="297" t="s">
        <v>197</v>
      </c>
      <c r="O2990" s="297" t="s">
        <v>198</v>
      </c>
      <c r="P2990" s="297" t="s">
        <v>199</v>
      </c>
      <c r="Q2990" s="297" t="s">
        <v>200</v>
      </c>
      <c r="R2990" s="297" t="s">
        <v>213</v>
      </c>
      <c r="S2990" s="297" t="s">
        <v>214</v>
      </c>
    </row>
    <row r="2991" spans="1:19" x14ac:dyDescent="0.4">
      <c r="A2991" s="291"/>
      <c r="B2991" s="292"/>
      <c r="C2991" s="312"/>
      <c r="D2991" s="292"/>
      <c r="E2991" s="489"/>
      <c r="F2991" s="489"/>
      <c r="G2991" s="490"/>
      <c r="H2991" s="520"/>
      <c r="I2991" s="523"/>
      <c r="J2991" s="521"/>
      <c r="K2991" s="522"/>
      <c r="M2991" s="301" t="str">
        <f>N2991&amp;AS[[#This Row],[Insurer Code]]&amp;"; "&amp;O2991&amp;AS[[#This Row],[Reporting Year]]&amp;"; "&amp;P2991&amp;AS[[#This Row],[Insurance Category Code]]&amp;"; "&amp;Q2991&amp;AS[[#This Row],[Large Provider Entity Code]]&amp;"; "&amp;R2991&amp;AS[[#This Row],[Age Band Code]]&amp;"; "&amp;S2991&amp;AS[[#This Row],[Sex Code]]</f>
        <v xml:space="preserve">Insurer Code ; Reporting Year ; Insurance Category Code ; Large Provider Entity Code ; Age Band Code ; Sex Code </v>
      </c>
      <c r="N2991" s="297" t="s">
        <v>197</v>
      </c>
      <c r="O2991" s="297" t="s">
        <v>198</v>
      </c>
      <c r="P2991" s="297" t="s">
        <v>199</v>
      </c>
      <c r="Q2991" s="297" t="s">
        <v>200</v>
      </c>
      <c r="R2991" s="297" t="s">
        <v>213</v>
      </c>
      <c r="S2991" s="297" t="s">
        <v>214</v>
      </c>
    </row>
    <row r="2992" spans="1:19" x14ac:dyDescent="0.4">
      <c r="A2992" s="291"/>
      <c r="B2992" s="292"/>
      <c r="C2992" s="312"/>
      <c r="D2992" s="292"/>
      <c r="E2992" s="489"/>
      <c r="F2992" s="489"/>
      <c r="G2992" s="490"/>
      <c r="H2992" s="520"/>
      <c r="I2992" s="523"/>
      <c r="J2992" s="521"/>
      <c r="K2992" s="522"/>
      <c r="M2992" s="301" t="str">
        <f>N2992&amp;AS[[#This Row],[Insurer Code]]&amp;"; "&amp;O2992&amp;AS[[#This Row],[Reporting Year]]&amp;"; "&amp;P2992&amp;AS[[#This Row],[Insurance Category Code]]&amp;"; "&amp;Q2992&amp;AS[[#This Row],[Large Provider Entity Code]]&amp;"; "&amp;R2992&amp;AS[[#This Row],[Age Band Code]]&amp;"; "&amp;S2992&amp;AS[[#This Row],[Sex Code]]</f>
        <v xml:space="preserve">Insurer Code ; Reporting Year ; Insurance Category Code ; Large Provider Entity Code ; Age Band Code ; Sex Code </v>
      </c>
      <c r="N2992" s="297" t="s">
        <v>197</v>
      </c>
      <c r="O2992" s="297" t="s">
        <v>198</v>
      </c>
      <c r="P2992" s="297" t="s">
        <v>199</v>
      </c>
      <c r="Q2992" s="297" t="s">
        <v>200</v>
      </c>
      <c r="R2992" s="297" t="s">
        <v>213</v>
      </c>
      <c r="S2992" s="297" t="s">
        <v>214</v>
      </c>
    </row>
    <row r="2993" spans="1:19" x14ac:dyDescent="0.4">
      <c r="A2993" s="291"/>
      <c r="B2993" s="292"/>
      <c r="C2993" s="312"/>
      <c r="D2993" s="292"/>
      <c r="E2993" s="489"/>
      <c r="F2993" s="489"/>
      <c r="G2993" s="490"/>
      <c r="H2993" s="520"/>
      <c r="I2993" s="523"/>
      <c r="J2993" s="521"/>
      <c r="K2993" s="522"/>
      <c r="M2993" s="301" t="str">
        <f>N2993&amp;AS[[#This Row],[Insurer Code]]&amp;"; "&amp;O2993&amp;AS[[#This Row],[Reporting Year]]&amp;"; "&amp;P2993&amp;AS[[#This Row],[Insurance Category Code]]&amp;"; "&amp;Q2993&amp;AS[[#This Row],[Large Provider Entity Code]]&amp;"; "&amp;R2993&amp;AS[[#This Row],[Age Band Code]]&amp;"; "&amp;S2993&amp;AS[[#This Row],[Sex Code]]</f>
        <v xml:space="preserve">Insurer Code ; Reporting Year ; Insurance Category Code ; Large Provider Entity Code ; Age Band Code ; Sex Code </v>
      </c>
      <c r="N2993" s="297" t="s">
        <v>197</v>
      </c>
      <c r="O2993" s="297" t="s">
        <v>198</v>
      </c>
      <c r="P2993" s="297" t="s">
        <v>199</v>
      </c>
      <c r="Q2993" s="297" t="s">
        <v>200</v>
      </c>
      <c r="R2993" s="297" t="s">
        <v>213</v>
      </c>
      <c r="S2993" s="297" t="s">
        <v>214</v>
      </c>
    </row>
    <row r="2994" spans="1:19" x14ac:dyDescent="0.4">
      <c r="A2994" s="291"/>
      <c r="B2994" s="292"/>
      <c r="C2994" s="312"/>
      <c r="D2994" s="292"/>
      <c r="E2994" s="489"/>
      <c r="F2994" s="489"/>
      <c r="G2994" s="490"/>
      <c r="H2994" s="520"/>
      <c r="I2994" s="523"/>
      <c r="J2994" s="521"/>
      <c r="K2994" s="522"/>
      <c r="M2994" s="301" t="str">
        <f>N2994&amp;AS[[#This Row],[Insurer Code]]&amp;"; "&amp;O2994&amp;AS[[#This Row],[Reporting Year]]&amp;"; "&amp;P2994&amp;AS[[#This Row],[Insurance Category Code]]&amp;"; "&amp;Q2994&amp;AS[[#This Row],[Large Provider Entity Code]]&amp;"; "&amp;R2994&amp;AS[[#This Row],[Age Band Code]]&amp;"; "&amp;S2994&amp;AS[[#This Row],[Sex Code]]</f>
        <v xml:space="preserve">Insurer Code ; Reporting Year ; Insurance Category Code ; Large Provider Entity Code ; Age Band Code ; Sex Code </v>
      </c>
      <c r="N2994" s="297" t="s">
        <v>197</v>
      </c>
      <c r="O2994" s="297" t="s">
        <v>198</v>
      </c>
      <c r="P2994" s="297" t="s">
        <v>199</v>
      </c>
      <c r="Q2994" s="297" t="s">
        <v>200</v>
      </c>
      <c r="R2994" s="297" t="s">
        <v>213</v>
      </c>
      <c r="S2994" s="297" t="s">
        <v>214</v>
      </c>
    </row>
    <row r="2995" spans="1:19" x14ac:dyDescent="0.4">
      <c r="A2995" s="291"/>
      <c r="B2995" s="292"/>
      <c r="C2995" s="312"/>
      <c r="D2995" s="292"/>
      <c r="E2995" s="489"/>
      <c r="F2995" s="489"/>
      <c r="G2995" s="490"/>
      <c r="H2995" s="520"/>
      <c r="I2995" s="523"/>
      <c r="J2995" s="521"/>
      <c r="K2995" s="522"/>
      <c r="M2995" s="301" t="str">
        <f>N2995&amp;AS[[#This Row],[Insurer Code]]&amp;"; "&amp;O2995&amp;AS[[#This Row],[Reporting Year]]&amp;"; "&amp;P2995&amp;AS[[#This Row],[Insurance Category Code]]&amp;"; "&amp;Q2995&amp;AS[[#This Row],[Large Provider Entity Code]]&amp;"; "&amp;R2995&amp;AS[[#This Row],[Age Band Code]]&amp;"; "&amp;S2995&amp;AS[[#This Row],[Sex Code]]</f>
        <v xml:space="preserve">Insurer Code ; Reporting Year ; Insurance Category Code ; Large Provider Entity Code ; Age Band Code ; Sex Code </v>
      </c>
      <c r="N2995" s="297" t="s">
        <v>197</v>
      </c>
      <c r="O2995" s="297" t="s">
        <v>198</v>
      </c>
      <c r="P2995" s="297" t="s">
        <v>199</v>
      </c>
      <c r="Q2995" s="297" t="s">
        <v>200</v>
      </c>
      <c r="R2995" s="297" t="s">
        <v>213</v>
      </c>
      <c r="S2995" s="297" t="s">
        <v>214</v>
      </c>
    </row>
    <row r="2996" spans="1:19" x14ac:dyDescent="0.4">
      <c r="A2996" s="291"/>
      <c r="B2996" s="292"/>
      <c r="C2996" s="312"/>
      <c r="D2996" s="292"/>
      <c r="E2996" s="489"/>
      <c r="F2996" s="489"/>
      <c r="G2996" s="490"/>
      <c r="H2996" s="520"/>
      <c r="I2996" s="523"/>
      <c r="J2996" s="521"/>
      <c r="K2996" s="522"/>
      <c r="M2996" s="301" t="str">
        <f>N2996&amp;AS[[#This Row],[Insurer Code]]&amp;"; "&amp;O2996&amp;AS[[#This Row],[Reporting Year]]&amp;"; "&amp;P2996&amp;AS[[#This Row],[Insurance Category Code]]&amp;"; "&amp;Q2996&amp;AS[[#This Row],[Large Provider Entity Code]]&amp;"; "&amp;R2996&amp;AS[[#This Row],[Age Band Code]]&amp;"; "&amp;S2996&amp;AS[[#This Row],[Sex Code]]</f>
        <v xml:space="preserve">Insurer Code ; Reporting Year ; Insurance Category Code ; Large Provider Entity Code ; Age Band Code ; Sex Code </v>
      </c>
      <c r="N2996" s="297" t="s">
        <v>197</v>
      </c>
      <c r="O2996" s="297" t="s">
        <v>198</v>
      </c>
      <c r="P2996" s="297" t="s">
        <v>199</v>
      </c>
      <c r="Q2996" s="297" t="s">
        <v>200</v>
      </c>
      <c r="R2996" s="297" t="s">
        <v>213</v>
      </c>
      <c r="S2996" s="297" t="s">
        <v>214</v>
      </c>
    </row>
    <row r="2997" spans="1:19" x14ac:dyDescent="0.4">
      <c r="A2997" s="291"/>
      <c r="B2997" s="292"/>
      <c r="C2997" s="312"/>
      <c r="D2997" s="292"/>
      <c r="E2997" s="489"/>
      <c r="F2997" s="489"/>
      <c r="G2997" s="490"/>
      <c r="H2997" s="520"/>
      <c r="I2997" s="523"/>
      <c r="J2997" s="521"/>
      <c r="K2997" s="522"/>
      <c r="M2997" s="301" t="str">
        <f>N2997&amp;AS[[#This Row],[Insurer Code]]&amp;"; "&amp;O2997&amp;AS[[#This Row],[Reporting Year]]&amp;"; "&amp;P2997&amp;AS[[#This Row],[Insurance Category Code]]&amp;"; "&amp;Q2997&amp;AS[[#This Row],[Large Provider Entity Code]]&amp;"; "&amp;R2997&amp;AS[[#This Row],[Age Band Code]]&amp;"; "&amp;S2997&amp;AS[[#This Row],[Sex Code]]</f>
        <v xml:space="preserve">Insurer Code ; Reporting Year ; Insurance Category Code ; Large Provider Entity Code ; Age Band Code ; Sex Code </v>
      </c>
      <c r="N2997" s="297" t="s">
        <v>197</v>
      </c>
      <c r="O2997" s="297" t="s">
        <v>198</v>
      </c>
      <c r="P2997" s="297" t="s">
        <v>199</v>
      </c>
      <c r="Q2997" s="297" t="s">
        <v>200</v>
      </c>
      <c r="R2997" s="297" t="s">
        <v>213</v>
      </c>
      <c r="S2997" s="297" t="s">
        <v>214</v>
      </c>
    </row>
    <row r="2998" spans="1:19" x14ac:dyDescent="0.4">
      <c r="A2998" s="291"/>
      <c r="B2998" s="292"/>
      <c r="C2998" s="312"/>
      <c r="D2998" s="292"/>
      <c r="E2998" s="489"/>
      <c r="F2998" s="489"/>
      <c r="G2998" s="490"/>
      <c r="H2998" s="520"/>
      <c r="I2998" s="523"/>
      <c r="J2998" s="521"/>
      <c r="K2998" s="522"/>
      <c r="M2998" s="301" t="str">
        <f>N2998&amp;AS[[#This Row],[Insurer Code]]&amp;"; "&amp;O2998&amp;AS[[#This Row],[Reporting Year]]&amp;"; "&amp;P2998&amp;AS[[#This Row],[Insurance Category Code]]&amp;"; "&amp;Q2998&amp;AS[[#This Row],[Large Provider Entity Code]]&amp;"; "&amp;R2998&amp;AS[[#This Row],[Age Band Code]]&amp;"; "&amp;S2998&amp;AS[[#This Row],[Sex Code]]</f>
        <v xml:space="preserve">Insurer Code ; Reporting Year ; Insurance Category Code ; Large Provider Entity Code ; Age Band Code ; Sex Code </v>
      </c>
      <c r="N2998" s="297" t="s">
        <v>197</v>
      </c>
      <c r="O2998" s="297" t="s">
        <v>198</v>
      </c>
      <c r="P2998" s="297" t="s">
        <v>199</v>
      </c>
      <c r="Q2998" s="297" t="s">
        <v>200</v>
      </c>
      <c r="R2998" s="297" t="s">
        <v>213</v>
      </c>
      <c r="S2998" s="297" t="s">
        <v>214</v>
      </c>
    </row>
    <row r="2999" spans="1:19" x14ac:dyDescent="0.4">
      <c r="A2999" s="291"/>
      <c r="B2999" s="292"/>
      <c r="C2999" s="312"/>
      <c r="D2999" s="292"/>
      <c r="E2999" s="489"/>
      <c r="F2999" s="489"/>
      <c r="G2999" s="490"/>
      <c r="H2999" s="520"/>
      <c r="I2999" s="523"/>
      <c r="J2999" s="521"/>
      <c r="K2999" s="522"/>
      <c r="M2999" s="301" t="str">
        <f>N2999&amp;AS[[#This Row],[Insurer Code]]&amp;"; "&amp;O2999&amp;AS[[#This Row],[Reporting Year]]&amp;"; "&amp;P2999&amp;AS[[#This Row],[Insurance Category Code]]&amp;"; "&amp;Q2999&amp;AS[[#This Row],[Large Provider Entity Code]]&amp;"; "&amp;R2999&amp;AS[[#This Row],[Age Band Code]]&amp;"; "&amp;S2999&amp;AS[[#This Row],[Sex Code]]</f>
        <v xml:space="preserve">Insurer Code ; Reporting Year ; Insurance Category Code ; Large Provider Entity Code ; Age Band Code ; Sex Code </v>
      </c>
      <c r="N2999" s="297" t="s">
        <v>197</v>
      </c>
      <c r="O2999" s="297" t="s">
        <v>198</v>
      </c>
      <c r="P2999" s="297" t="s">
        <v>199</v>
      </c>
      <c r="Q2999" s="297" t="s">
        <v>200</v>
      </c>
      <c r="R2999" s="297" t="s">
        <v>213</v>
      </c>
      <c r="S2999" s="297" t="s">
        <v>214</v>
      </c>
    </row>
    <row r="3000" spans="1:19" x14ac:dyDescent="0.4">
      <c r="A3000" s="291"/>
      <c r="B3000" s="292"/>
      <c r="C3000" s="312"/>
      <c r="D3000" s="292"/>
      <c r="E3000" s="489"/>
      <c r="F3000" s="489"/>
      <c r="G3000" s="490"/>
      <c r="H3000" s="520"/>
      <c r="I3000" s="523"/>
      <c r="J3000" s="521"/>
      <c r="K3000" s="522"/>
      <c r="M3000" s="301" t="str">
        <f>N3000&amp;AS[[#This Row],[Insurer Code]]&amp;"; "&amp;O3000&amp;AS[[#This Row],[Reporting Year]]&amp;"; "&amp;P3000&amp;AS[[#This Row],[Insurance Category Code]]&amp;"; "&amp;Q3000&amp;AS[[#This Row],[Large Provider Entity Code]]&amp;"; "&amp;R3000&amp;AS[[#This Row],[Age Band Code]]&amp;"; "&amp;S3000&amp;AS[[#This Row],[Sex Code]]</f>
        <v xml:space="preserve">Insurer Code ; Reporting Year ; Insurance Category Code ; Large Provider Entity Code ; Age Band Code ; Sex Code </v>
      </c>
      <c r="N3000" s="297" t="s">
        <v>197</v>
      </c>
      <c r="O3000" s="297" t="s">
        <v>198</v>
      </c>
      <c r="P3000" s="297" t="s">
        <v>199</v>
      </c>
      <c r="Q3000" s="297" t="s">
        <v>200</v>
      </c>
      <c r="R3000" s="297" t="s">
        <v>213</v>
      </c>
      <c r="S3000" s="297" t="s">
        <v>214</v>
      </c>
    </row>
    <row r="3001" spans="1:19" x14ac:dyDescent="0.4">
      <c r="A3001" s="291"/>
      <c r="B3001" s="292"/>
      <c r="C3001" s="312"/>
      <c r="D3001" s="292"/>
      <c r="E3001" s="489"/>
      <c r="F3001" s="489"/>
      <c r="G3001" s="490"/>
      <c r="H3001" s="520"/>
      <c r="I3001" s="523"/>
      <c r="J3001" s="521"/>
      <c r="K3001" s="522"/>
      <c r="M3001" s="301" t="str">
        <f>N3001&amp;AS[[#This Row],[Insurer Code]]&amp;"; "&amp;O3001&amp;AS[[#This Row],[Reporting Year]]&amp;"; "&amp;P3001&amp;AS[[#This Row],[Insurance Category Code]]&amp;"; "&amp;Q3001&amp;AS[[#This Row],[Large Provider Entity Code]]&amp;"; "&amp;R3001&amp;AS[[#This Row],[Age Band Code]]&amp;"; "&amp;S3001&amp;AS[[#This Row],[Sex Code]]</f>
        <v xml:space="preserve">Insurer Code ; Reporting Year ; Insurance Category Code ; Large Provider Entity Code ; Age Band Code ; Sex Code </v>
      </c>
      <c r="N3001" s="297" t="s">
        <v>197</v>
      </c>
      <c r="O3001" s="297" t="s">
        <v>198</v>
      </c>
      <c r="P3001" s="297" t="s">
        <v>199</v>
      </c>
      <c r="Q3001" s="297" t="s">
        <v>200</v>
      </c>
      <c r="R3001" s="297" t="s">
        <v>213</v>
      </c>
      <c r="S3001" s="297" t="s">
        <v>214</v>
      </c>
    </row>
    <row r="3002" spans="1:19" x14ac:dyDescent="0.4">
      <c r="A3002" s="291"/>
      <c r="B3002" s="292"/>
      <c r="C3002" s="312"/>
      <c r="D3002" s="292"/>
      <c r="E3002" s="489"/>
      <c r="F3002" s="489"/>
      <c r="G3002" s="490"/>
      <c r="H3002" s="520"/>
      <c r="I3002" s="523"/>
      <c r="J3002" s="521"/>
      <c r="K3002" s="522"/>
      <c r="M3002" s="301" t="str">
        <f>N3002&amp;AS[[#This Row],[Insurer Code]]&amp;"; "&amp;O3002&amp;AS[[#This Row],[Reporting Year]]&amp;"; "&amp;P3002&amp;AS[[#This Row],[Insurance Category Code]]&amp;"; "&amp;Q3002&amp;AS[[#This Row],[Large Provider Entity Code]]&amp;"; "&amp;R3002&amp;AS[[#This Row],[Age Band Code]]&amp;"; "&amp;S3002&amp;AS[[#This Row],[Sex Code]]</f>
        <v xml:space="preserve">Insurer Code ; Reporting Year ; Insurance Category Code ; Large Provider Entity Code ; Age Band Code ; Sex Code </v>
      </c>
      <c r="N3002" s="297" t="s">
        <v>197</v>
      </c>
      <c r="O3002" s="297" t="s">
        <v>198</v>
      </c>
      <c r="P3002" s="297" t="s">
        <v>199</v>
      </c>
      <c r="Q3002" s="297" t="s">
        <v>200</v>
      </c>
      <c r="R3002" s="297" t="s">
        <v>213</v>
      </c>
      <c r="S3002" s="297" t="s">
        <v>214</v>
      </c>
    </row>
    <row r="3003" spans="1:19" x14ac:dyDescent="0.4">
      <c r="A3003" s="291"/>
      <c r="B3003" s="292"/>
      <c r="C3003" s="312"/>
      <c r="D3003" s="292"/>
      <c r="E3003" s="489"/>
      <c r="F3003" s="489"/>
      <c r="G3003" s="490"/>
      <c r="H3003" s="520"/>
      <c r="I3003" s="523"/>
      <c r="J3003" s="521"/>
      <c r="K3003" s="522"/>
      <c r="M3003" s="301" t="str">
        <f>N3003&amp;AS[[#This Row],[Insurer Code]]&amp;"; "&amp;O3003&amp;AS[[#This Row],[Reporting Year]]&amp;"; "&amp;P3003&amp;AS[[#This Row],[Insurance Category Code]]&amp;"; "&amp;Q3003&amp;AS[[#This Row],[Large Provider Entity Code]]&amp;"; "&amp;R3003&amp;AS[[#This Row],[Age Band Code]]&amp;"; "&amp;S3003&amp;AS[[#This Row],[Sex Code]]</f>
        <v xml:space="preserve">Insurer Code ; Reporting Year ; Insurance Category Code ; Large Provider Entity Code ; Age Band Code ; Sex Code </v>
      </c>
      <c r="N3003" s="297" t="s">
        <v>197</v>
      </c>
      <c r="O3003" s="297" t="s">
        <v>198</v>
      </c>
      <c r="P3003" s="297" t="s">
        <v>199</v>
      </c>
      <c r="Q3003" s="297" t="s">
        <v>200</v>
      </c>
      <c r="R3003" s="297" t="s">
        <v>213</v>
      </c>
      <c r="S3003" s="297" t="s">
        <v>214</v>
      </c>
    </row>
    <row r="3004" spans="1:19" x14ac:dyDescent="0.4">
      <c r="A3004" s="291"/>
      <c r="B3004" s="292"/>
      <c r="C3004" s="312"/>
      <c r="D3004" s="292"/>
      <c r="E3004" s="489"/>
      <c r="F3004" s="489"/>
      <c r="G3004" s="490"/>
      <c r="H3004" s="520"/>
      <c r="I3004" s="523"/>
      <c r="J3004" s="521"/>
      <c r="K3004" s="522"/>
      <c r="M3004" s="301" t="str">
        <f>N3004&amp;AS[[#This Row],[Insurer Code]]&amp;"; "&amp;O3004&amp;AS[[#This Row],[Reporting Year]]&amp;"; "&amp;P3004&amp;AS[[#This Row],[Insurance Category Code]]&amp;"; "&amp;Q3004&amp;AS[[#This Row],[Large Provider Entity Code]]&amp;"; "&amp;R3004&amp;AS[[#This Row],[Age Band Code]]&amp;"; "&amp;S3004&amp;AS[[#This Row],[Sex Code]]</f>
        <v xml:space="preserve">Insurer Code ; Reporting Year ; Insurance Category Code ; Large Provider Entity Code ; Age Band Code ; Sex Code </v>
      </c>
      <c r="N3004" s="297" t="s">
        <v>197</v>
      </c>
      <c r="O3004" s="297" t="s">
        <v>198</v>
      </c>
      <c r="P3004" s="297" t="s">
        <v>199</v>
      </c>
      <c r="Q3004" s="297" t="s">
        <v>200</v>
      </c>
      <c r="R3004" s="297" t="s">
        <v>213</v>
      </c>
      <c r="S3004" s="297" t="s">
        <v>214</v>
      </c>
    </row>
    <row r="3005" spans="1:19" x14ac:dyDescent="0.4">
      <c r="A3005" s="291"/>
      <c r="B3005" s="292"/>
      <c r="C3005" s="312"/>
      <c r="D3005" s="292"/>
      <c r="E3005" s="489"/>
      <c r="F3005" s="489"/>
      <c r="G3005" s="490"/>
      <c r="H3005" s="520"/>
      <c r="I3005" s="523"/>
      <c r="J3005" s="521"/>
      <c r="K3005" s="522"/>
      <c r="M3005" s="301" t="str">
        <f>N3005&amp;AS[[#This Row],[Insurer Code]]&amp;"; "&amp;O3005&amp;AS[[#This Row],[Reporting Year]]&amp;"; "&amp;P3005&amp;AS[[#This Row],[Insurance Category Code]]&amp;"; "&amp;Q3005&amp;AS[[#This Row],[Large Provider Entity Code]]&amp;"; "&amp;R3005&amp;AS[[#This Row],[Age Band Code]]&amp;"; "&amp;S3005&amp;AS[[#This Row],[Sex Code]]</f>
        <v xml:space="preserve">Insurer Code ; Reporting Year ; Insurance Category Code ; Large Provider Entity Code ; Age Band Code ; Sex Code </v>
      </c>
      <c r="N3005" s="297" t="s">
        <v>197</v>
      </c>
      <c r="O3005" s="297" t="s">
        <v>198</v>
      </c>
      <c r="P3005" s="297" t="s">
        <v>199</v>
      </c>
      <c r="Q3005" s="297" t="s">
        <v>200</v>
      </c>
      <c r="R3005" s="297" t="s">
        <v>213</v>
      </c>
      <c r="S3005" s="297" t="s">
        <v>214</v>
      </c>
    </row>
    <row r="3006" spans="1:19" x14ac:dyDescent="0.4">
      <c r="A3006" s="291"/>
      <c r="B3006" s="292"/>
      <c r="C3006" s="312"/>
      <c r="D3006" s="292"/>
      <c r="E3006" s="489"/>
      <c r="F3006" s="489"/>
      <c r="G3006" s="490"/>
      <c r="H3006" s="520"/>
      <c r="I3006" s="523"/>
      <c r="J3006" s="521"/>
      <c r="K3006" s="522"/>
      <c r="M3006" s="301" t="str">
        <f>N3006&amp;AS[[#This Row],[Insurer Code]]&amp;"; "&amp;O3006&amp;AS[[#This Row],[Reporting Year]]&amp;"; "&amp;P3006&amp;AS[[#This Row],[Insurance Category Code]]&amp;"; "&amp;Q3006&amp;AS[[#This Row],[Large Provider Entity Code]]&amp;"; "&amp;R3006&amp;AS[[#This Row],[Age Band Code]]&amp;"; "&amp;S3006&amp;AS[[#This Row],[Sex Code]]</f>
        <v xml:space="preserve">Insurer Code ; Reporting Year ; Insurance Category Code ; Large Provider Entity Code ; Age Band Code ; Sex Code </v>
      </c>
      <c r="N3006" s="297" t="s">
        <v>197</v>
      </c>
      <c r="O3006" s="297" t="s">
        <v>198</v>
      </c>
      <c r="P3006" s="297" t="s">
        <v>199</v>
      </c>
      <c r="Q3006" s="297" t="s">
        <v>200</v>
      </c>
      <c r="R3006" s="297" t="s">
        <v>213</v>
      </c>
      <c r="S3006" s="297" t="s">
        <v>214</v>
      </c>
    </row>
    <row r="3007" spans="1:19" x14ac:dyDescent="0.4">
      <c r="A3007" s="291"/>
      <c r="B3007" s="292"/>
      <c r="C3007" s="312"/>
      <c r="D3007" s="292"/>
      <c r="E3007" s="489"/>
      <c r="F3007" s="489"/>
      <c r="G3007" s="490"/>
      <c r="H3007" s="520"/>
      <c r="I3007" s="523"/>
      <c r="J3007" s="521"/>
      <c r="K3007" s="522"/>
      <c r="M3007" s="301" t="str">
        <f>N3007&amp;AS[[#This Row],[Insurer Code]]&amp;"; "&amp;O3007&amp;AS[[#This Row],[Reporting Year]]&amp;"; "&amp;P3007&amp;AS[[#This Row],[Insurance Category Code]]&amp;"; "&amp;Q3007&amp;AS[[#This Row],[Large Provider Entity Code]]&amp;"; "&amp;R3007&amp;AS[[#This Row],[Age Band Code]]&amp;"; "&amp;S3007&amp;AS[[#This Row],[Sex Code]]</f>
        <v xml:space="preserve">Insurer Code ; Reporting Year ; Insurance Category Code ; Large Provider Entity Code ; Age Band Code ; Sex Code </v>
      </c>
      <c r="N3007" s="297" t="s">
        <v>197</v>
      </c>
      <c r="O3007" s="297" t="s">
        <v>198</v>
      </c>
      <c r="P3007" s="297" t="s">
        <v>199</v>
      </c>
      <c r="Q3007" s="297" t="s">
        <v>200</v>
      </c>
      <c r="R3007" s="297" t="s">
        <v>213</v>
      </c>
      <c r="S3007" s="297" t="s">
        <v>214</v>
      </c>
    </row>
    <row r="3008" spans="1:19" x14ac:dyDescent="0.4">
      <c r="A3008" s="291"/>
      <c r="B3008" s="292"/>
      <c r="C3008" s="312"/>
      <c r="D3008" s="292"/>
      <c r="E3008" s="489"/>
      <c r="F3008" s="489"/>
      <c r="G3008" s="490"/>
      <c r="H3008" s="520"/>
      <c r="I3008" s="523"/>
      <c r="J3008" s="521"/>
      <c r="K3008" s="522"/>
      <c r="M3008" s="301" t="str">
        <f>N3008&amp;AS[[#This Row],[Insurer Code]]&amp;"; "&amp;O3008&amp;AS[[#This Row],[Reporting Year]]&amp;"; "&amp;P3008&amp;AS[[#This Row],[Insurance Category Code]]&amp;"; "&amp;Q3008&amp;AS[[#This Row],[Large Provider Entity Code]]&amp;"; "&amp;R3008&amp;AS[[#This Row],[Age Band Code]]&amp;"; "&amp;S3008&amp;AS[[#This Row],[Sex Code]]</f>
        <v xml:space="preserve">Insurer Code ; Reporting Year ; Insurance Category Code ; Large Provider Entity Code ; Age Band Code ; Sex Code </v>
      </c>
      <c r="N3008" s="297" t="s">
        <v>197</v>
      </c>
      <c r="O3008" s="297" t="s">
        <v>198</v>
      </c>
      <c r="P3008" s="297" t="s">
        <v>199</v>
      </c>
      <c r="Q3008" s="297" t="s">
        <v>200</v>
      </c>
      <c r="R3008" s="297" t="s">
        <v>213</v>
      </c>
      <c r="S3008" s="297" t="s">
        <v>214</v>
      </c>
    </row>
    <row r="3009" spans="1:19" x14ac:dyDescent="0.4">
      <c r="A3009" s="291"/>
      <c r="B3009" s="292"/>
      <c r="C3009" s="312"/>
      <c r="D3009" s="292"/>
      <c r="E3009" s="489"/>
      <c r="F3009" s="489"/>
      <c r="G3009" s="490"/>
      <c r="H3009" s="520"/>
      <c r="I3009" s="523"/>
      <c r="J3009" s="521"/>
      <c r="K3009" s="522"/>
      <c r="M3009" s="301" t="str">
        <f>N3009&amp;AS[[#This Row],[Insurer Code]]&amp;"; "&amp;O3009&amp;AS[[#This Row],[Reporting Year]]&amp;"; "&amp;P3009&amp;AS[[#This Row],[Insurance Category Code]]&amp;"; "&amp;Q3009&amp;AS[[#This Row],[Large Provider Entity Code]]&amp;"; "&amp;R3009&amp;AS[[#This Row],[Age Band Code]]&amp;"; "&amp;S3009&amp;AS[[#This Row],[Sex Code]]</f>
        <v xml:space="preserve">Insurer Code ; Reporting Year ; Insurance Category Code ; Large Provider Entity Code ; Age Band Code ; Sex Code </v>
      </c>
      <c r="N3009" s="297" t="s">
        <v>197</v>
      </c>
      <c r="O3009" s="297" t="s">
        <v>198</v>
      </c>
      <c r="P3009" s="297" t="s">
        <v>199</v>
      </c>
      <c r="Q3009" s="297" t="s">
        <v>200</v>
      </c>
      <c r="R3009" s="297" t="s">
        <v>213</v>
      </c>
      <c r="S3009" s="297" t="s">
        <v>214</v>
      </c>
    </row>
    <row r="3010" spans="1:19" x14ac:dyDescent="0.4">
      <c r="A3010" s="291"/>
      <c r="B3010" s="292"/>
      <c r="C3010" s="312"/>
      <c r="D3010" s="292"/>
      <c r="E3010" s="489"/>
      <c r="F3010" s="489"/>
      <c r="G3010" s="490"/>
      <c r="H3010" s="520"/>
      <c r="I3010" s="523"/>
      <c r="J3010" s="521"/>
      <c r="K3010" s="522"/>
      <c r="M3010" s="301" t="str">
        <f>N3010&amp;AS[[#This Row],[Insurer Code]]&amp;"; "&amp;O3010&amp;AS[[#This Row],[Reporting Year]]&amp;"; "&amp;P3010&amp;AS[[#This Row],[Insurance Category Code]]&amp;"; "&amp;Q3010&amp;AS[[#This Row],[Large Provider Entity Code]]&amp;"; "&amp;R3010&amp;AS[[#This Row],[Age Band Code]]&amp;"; "&amp;S3010&amp;AS[[#This Row],[Sex Code]]</f>
        <v xml:space="preserve">Insurer Code ; Reporting Year ; Insurance Category Code ; Large Provider Entity Code ; Age Band Code ; Sex Code </v>
      </c>
      <c r="N3010" s="297" t="s">
        <v>197</v>
      </c>
      <c r="O3010" s="297" t="s">
        <v>198</v>
      </c>
      <c r="P3010" s="297" t="s">
        <v>199</v>
      </c>
      <c r="Q3010" s="297" t="s">
        <v>200</v>
      </c>
      <c r="R3010" s="297" t="s">
        <v>213</v>
      </c>
      <c r="S3010" s="297" t="s">
        <v>214</v>
      </c>
    </row>
    <row r="3011" spans="1:19" x14ac:dyDescent="0.4">
      <c r="A3011" s="291"/>
      <c r="B3011" s="292"/>
      <c r="C3011" s="312"/>
      <c r="D3011" s="292"/>
      <c r="E3011" s="489"/>
      <c r="F3011" s="489"/>
      <c r="G3011" s="490"/>
      <c r="H3011" s="520"/>
      <c r="I3011" s="523"/>
      <c r="J3011" s="521"/>
      <c r="K3011" s="522"/>
      <c r="M3011" s="301" t="str">
        <f>N3011&amp;AS[[#This Row],[Insurer Code]]&amp;"; "&amp;O3011&amp;AS[[#This Row],[Reporting Year]]&amp;"; "&amp;P3011&amp;AS[[#This Row],[Insurance Category Code]]&amp;"; "&amp;Q3011&amp;AS[[#This Row],[Large Provider Entity Code]]&amp;"; "&amp;R3011&amp;AS[[#This Row],[Age Band Code]]&amp;"; "&amp;S3011&amp;AS[[#This Row],[Sex Code]]</f>
        <v xml:space="preserve">Insurer Code ; Reporting Year ; Insurance Category Code ; Large Provider Entity Code ; Age Band Code ; Sex Code </v>
      </c>
      <c r="N3011" s="297" t="s">
        <v>197</v>
      </c>
      <c r="O3011" s="297" t="s">
        <v>198</v>
      </c>
      <c r="P3011" s="297" t="s">
        <v>199</v>
      </c>
      <c r="Q3011" s="297" t="s">
        <v>200</v>
      </c>
      <c r="R3011" s="297" t="s">
        <v>213</v>
      </c>
      <c r="S3011" s="297" t="s">
        <v>214</v>
      </c>
    </row>
    <row r="3012" spans="1:19" x14ac:dyDescent="0.4">
      <c r="A3012" s="291"/>
      <c r="B3012" s="292"/>
      <c r="C3012" s="312"/>
      <c r="D3012" s="292"/>
      <c r="E3012" s="489"/>
      <c r="F3012" s="489"/>
      <c r="G3012" s="490"/>
      <c r="H3012" s="520"/>
      <c r="I3012" s="523"/>
      <c r="J3012" s="521"/>
      <c r="K3012" s="522"/>
      <c r="M3012" s="301" t="str">
        <f>N3012&amp;AS[[#This Row],[Insurer Code]]&amp;"; "&amp;O3012&amp;AS[[#This Row],[Reporting Year]]&amp;"; "&amp;P3012&amp;AS[[#This Row],[Insurance Category Code]]&amp;"; "&amp;Q3012&amp;AS[[#This Row],[Large Provider Entity Code]]&amp;"; "&amp;R3012&amp;AS[[#This Row],[Age Band Code]]&amp;"; "&amp;S3012&amp;AS[[#This Row],[Sex Code]]</f>
        <v xml:space="preserve">Insurer Code ; Reporting Year ; Insurance Category Code ; Large Provider Entity Code ; Age Band Code ; Sex Code </v>
      </c>
      <c r="N3012" s="297" t="s">
        <v>197</v>
      </c>
      <c r="O3012" s="297" t="s">
        <v>198</v>
      </c>
      <c r="P3012" s="297" t="s">
        <v>199</v>
      </c>
      <c r="Q3012" s="297" t="s">
        <v>200</v>
      </c>
      <c r="R3012" s="297" t="s">
        <v>213</v>
      </c>
      <c r="S3012" s="297" t="s">
        <v>214</v>
      </c>
    </row>
    <row r="3013" spans="1:19" x14ac:dyDescent="0.4">
      <c r="A3013" s="291"/>
      <c r="B3013" s="292"/>
      <c r="C3013" s="312"/>
      <c r="D3013" s="292"/>
      <c r="E3013" s="489"/>
      <c r="F3013" s="489"/>
      <c r="G3013" s="490"/>
      <c r="H3013" s="520"/>
      <c r="I3013" s="523"/>
      <c r="J3013" s="521"/>
      <c r="K3013" s="522"/>
      <c r="M3013" s="301" t="str">
        <f>N3013&amp;AS[[#This Row],[Insurer Code]]&amp;"; "&amp;O3013&amp;AS[[#This Row],[Reporting Year]]&amp;"; "&amp;P3013&amp;AS[[#This Row],[Insurance Category Code]]&amp;"; "&amp;Q3013&amp;AS[[#This Row],[Large Provider Entity Code]]&amp;"; "&amp;R3013&amp;AS[[#This Row],[Age Band Code]]&amp;"; "&amp;S3013&amp;AS[[#This Row],[Sex Code]]</f>
        <v xml:space="preserve">Insurer Code ; Reporting Year ; Insurance Category Code ; Large Provider Entity Code ; Age Band Code ; Sex Code </v>
      </c>
      <c r="N3013" s="297" t="s">
        <v>197</v>
      </c>
      <c r="O3013" s="297" t="s">
        <v>198</v>
      </c>
      <c r="P3013" s="297" t="s">
        <v>199</v>
      </c>
      <c r="Q3013" s="297" t="s">
        <v>200</v>
      </c>
      <c r="R3013" s="297" t="s">
        <v>213</v>
      </c>
      <c r="S3013" s="297" t="s">
        <v>214</v>
      </c>
    </row>
    <row r="3014" spans="1:19" x14ac:dyDescent="0.4">
      <c r="A3014" s="291"/>
      <c r="B3014" s="292"/>
      <c r="C3014" s="312"/>
      <c r="D3014" s="292"/>
      <c r="E3014" s="489"/>
      <c r="F3014" s="489"/>
      <c r="G3014" s="490"/>
      <c r="H3014" s="520"/>
      <c r="I3014" s="523"/>
      <c r="J3014" s="521"/>
      <c r="K3014" s="522"/>
      <c r="M3014" s="301" t="str">
        <f>N3014&amp;AS[[#This Row],[Insurer Code]]&amp;"; "&amp;O3014&amp;AS[[#This Row],[Reporting Year]]&amp;"; "&amp;P3014&amp;AS[[#This Row],[Insurance Category Code]]&amp;"; "&amp;Q3014&amp;AS[[#This Row],[Large Provider Entity Code]]&amp;"; "&amp;R3014&amp;AS[[#This Row],[Age Band Code]]&amp;"; "&amp;S3014&amp;AS[[#This Row],[Sex Code]]</f>
        <v xml:space="preserve">Insurer Code ; Reporting Year ; Insurance Category Code ; Large Provider Entity Code ; Age Band Code ; Sex Code </v>
      </c>
      <c r="N3014" s="297" t="s">
        <v>197</v>
      </c>
      <c r="O3014" s="297" t="s">
        <v>198</v>
      </c>
      <c r="P3014" s="297" t="s">
        <v>199</v>
      </c>
      <c r="Q3014" s="297" t="s">
        <v>200</v>
      </c>
      <c r="R3014" s="297" t="s">
        <v>213</v>
      </c>
      <c r="S3014" s="297" t="s">
        <v>214</v>
      </c>
    </row>
    <row r="3015" spans="1:19" x14ac:dyDescent="0.4">
      <c r="A3015" s="291"/>
      <c r="B3015" s="292"/>
      <c r="C3015" s="312"/>
      <c r="D3015" s="292"/>
      <c r="E3015" s="489"/>
      <c r="F3015" s="489"/>
      <c r="G3015" s="490"/>
      <c r="H3015" s="520"/>
      <c r="I3015" s="523"/>
      <c r="J3015" s="521"/>
      <c r="K3015" s="522"/>
      <c r="M3015" s="301" t="str">
        <f>N3015&amp;AS[[#This Row],[Insurer Code]]&amp;"; "&amp;O3015&amp;AS[[#This Row],[Reporting Year]]&amp;"; "&amp;P3015&amp;AS[[#This Row],[Insurance Category Code]]&amp;"; "&amp;Q3015&amp;AS[[#This Row],[Large Provider Entity Code]]&amp;"; "&amp;R3015&amp;AS[[#This Row],[Age Band Code]]&amp;"; "&amp;S3015&amp;AS[[#This Row],[Sex Code]]</f>
        <v xml:space="preserve">Insurer Code ; Reporting Year ; Insurance Category Code ; Large Provider Entity Code ; Age Band Code ; Sex Code </v>
      </c>
      <c r="N3015" s="297" t="s">
        <v>197</v>
      </c>
      <c r="O3015" s="297" t="s">
        <v>198</v>
      </c>
      <c r="P3015" s="297" t="s">
        <v>199</v>
      </c>
      <c r="Q3015" s="297" t="s">
        <v>200</v>
      </c>
      <c r="R3015" s="297" t="s">
        <v>213</v>
      </c>
      <c r="S3015" s="297" t="s">
        <v>214</v>
      </c>
    </row>
    <row r="3016" spans="1:19" x14ac:dyDescent="0.4">
      <c r="A3016" s="291"/>
      <c r="B3016" s="292"/>
      <c r="C3016" s="312"/>
      <c r="D3016" s="292"/>
      <c r="E3016" s="489"/>
      <c r="F3016" s="489"/>
      <c r="G3016" s="490"/>
      <c r="H3016" s="520"/>
      <c r="I3016" s="523"/>
      <c r="J3016" s="521"/>
      <c r="K3016" s="522"/>
      <c r="M3016" s="301" t="str">
        <f>N3016&amp;AS[[#This Row],[Insurer Code]]&amp;"; "&amp;O3016&amp;AS[[#This Row],[Reporting Year]]&amp;"; "&amp;P3016&amp;AS[[#This Row],[Insurance Category Code]]&amp;"; "&amp;Q3016&amp;AS[[#This Row],[Large Provider Entity Code]]&amp;"; "&amp;R3016&amp;AS[[#This Row],[Age Band Code]]&amp;"; "&amp;S3016&amp;AS[[#This Row],[Sex Code]]</f>
        <v xml:space="preserve">Insurer Code ; Reporting Year ; Insurance Category Code ; Large Provider Entity Code ; Age Band Code ; Sex Code </v>
      </c>
      <c r="N3016" s="297" t="s">
        <v>197</v>
      </c>
      <c r="O3016" s="297" t="s">
        <v>198</v>
      </c>
      <c r="P3016" s="297" t="s">
        <v>199</v>
      </c>
      <c r="Q3016" s="297" t="s">
        <v>200</v>
      </c>
      <c r="R3016" s="297" t="s">
        <v>213</v>
      </c>
      <c r="S3016" s="297" t="s">
        <v>214</v>
      </c>
    </row>
    <row r="3017" spans="1:19" x14ac:dyDescent="0.4">
      <c r="A3017" s="291"/>
      <c r="B3017" s="292"/>
      <c r="C3017" s="312"/>
      <c r="D3017" s="292"/>
      <c r="E3017" s="489"/>
      <c r="F3017" s="489"/>
      <c r="G3017" s="490"/>
      <c r="H3017" s="520"/>
      <c r="I3017" s="523"/>
      <c r="J3017" s="521"/>
      <c r="K3017" s="522"/>
      <c r="M3017" s="301" t="str">
        <f>N3017&amp;AS[[#This Row],[Insurer Code]]&amp;"; "&amp;O3017&amp;AS[[#This Row],[Reporting Year]]&amp;"; "&amp;P3017&amp;AS[[#This Row],[Insurance Category Code]]&amp;"; "&amp;Q3017&amp;AS[[#This Row],[Large Provider Entity Code]]&amp;"; "&amp;R3017&amp;AS[[#This Row],[Age Band Code]]&amp;"; "&amp;S3017&amp;AS[[#This Row],[Sex Code]]</f>
        <v xml:space="preserve">Insurer Code ; Reporting Year ; Insurance Category Code ; Large Provider Entity Code ; Age Band Code ; Sex Code </v>
      </c>
      <c r="N3017" s="297" t="s">
        <v>197</v>
      </c>
      <c r="O3017" s="297" t="s">
        <v>198</v>
      </c>
      <c r="P3017" s="297" t="s">
        <v>199</v>
      </c>
      <c r="Q3017" s="297" t="s">
        <v>200</v>
      </c>
      <c r="R3017" s="297" t="s">
        <v>213</v>
      </c>
      <c r="S3017" s="297" t="s">
        <v>214</v>
      </c>
    </row>
    <row r="3018" spans="1:19" x14ac:dyDescent="0.4">
      <c r="A3018" s="291"/>
      <c r="B3018" s="292"/>
      <c r="C3018" s="312"/>
      <c r="D3018" s="292"/>
      <c r="E3018" s="489"/>
      <c r="F3018" s="489"/>
      <c r="G3018" s="490"/>
      <c r="H3018" s="520"/>
      <c r="I3018" s="523"/>
      <c r="J3018" s="521"/>
      <c r="K3018" s="522"/>
      <c r="M3018" s="301" t="str">
        <f>N3018&amp;AS[[#This Row],[Insurer Code]]&amp;"; "&amp;O3018&amp;AS[[#This Row],[Reporting Year]]&amp;"; "&amp;P3018&amp;AS[[#This Row],[Insurance Category Code]]&amp;"; "&amp;Q3018&amp;AS[[#This Row],[Large Provider Entity Code]]&amp;"; "&amp;R3018&amp;AS[[#This Row],[Age Band Code]]&amp;"; "&amp;S3018&amp;AS[[#This Row],[Sex Code]]</f>
        <v xml:space="preserve">Insurer Code ; Reporting Year ; Insurance Category Code ; Large Provider Entity Code ; Age Band Code ; Sex Code </v>
      </c>
      <c r="N3018" s="297" t="s">
        <v>197</v>
      </c>
      <c r="O3018" s="297" t="s">
        <v>198</v>
      </c>
      <c r="P3018" s="297" t="s">
        <v>199</v>
      </c>
      <c r="Q3018" s="297" t="s">
        <v>200</v>
      </c>
      <c r="R3018" s="297" t="s">
        <v>213</v>
      </c>
      <c r="S3018" s="297" t="s">
        <v>214</v>
      </c>
    </row>
    <row r="3019" spans="1:19" x14ac:dyDescent="0.4">
      <c r="A3019" s="291"/>
      <c r="B3019" s="292"/>
      <c r="C3019" s="312"/>
      <c r="D3019" s="292"/>
      <c r="E3019" s="489"/>
      <c r="F3019" s="489"/>
      <c r="G3019" s="490"/>
      <c r="H3019" s="520"/>
      <c r="I3019" s="523"/>
      <c r="J3019" s="521"/>
      <c r="K3019" s="522"/>
      <c r="M3019" s="301" t="str">
        <f>N3019&amp;AS[[#This Row],[Insurer Code]]&amp;"; "&amp;O3019&amp;AS[[#This Row],[Reporting Year]]&amp;"; "&amp;P3019&amp;AS[[#This Row],[Insurance Category Code]]&amp;"; "&amp;Q3019&amp;AS[[#This Row],[Large Provider Entity Code]]&amp;"; "&amp;R3019&amp;AS[[#This Row],[Age Band Code]]&amp;"; "&amp;S3019&amp;AS[[#This Row],[Sex Code]]</f>
        <v xml:space="preserve">Insurer Code ; Reporting Year ; Insurance Category Code ; Large Provider Entity Code ; Age Band Code ; Sex Code </v>
      </c>
      <c r="N3019" s="297" t="s">
        <v>197</v>
      </c>
      <c r="O3019" s="297" t="s">
        <v>198</v>
      </c>
      <c r="P3019" s="297" t="s">
        <v>199</v>
      </c>
      <c r="Q3019" s="297" t="s">
        <v>200</v>
      </c>
      <c r="R3019" s="297" t="s">
        <v>213</v>
      </c>
      <c r="S3019" s="297" t="s">
        <v>214</v>
      </c>
    </row>
    <row r="3020" spans="1:19" x14ac:dyDescent="0.4">
      <c r="A3020" s="291"/>
      <c r="B3020" s="292"/>
      <c r="C3020" s="312"/>
      <c r="D3020" s="292"/>
      <c r="E3020" s="489"/>
      <c r="F3020" s="489"/>
      <c r="G3020" s="490"/>
      <c r="H3020" s="520"/>
      <c r="I3020" s="523"/>
      <c r="J3020" s="521"/>
      <c r="K3020" s="522"/>
      <c r="M3020" s="301" t="str">
        <f>N3020&amp;AS[[#This Row],[Insurer Code]]&amp;"; "&amp;O3020&amp;AS[[#This Row],[Reporting Year]]&amp;"; "&amp;P3020&amp;AS[[#This Row],[Insurance Category Code]]&amp;"; "&amp;Q3020&amp;AS[[#This Row],[Large Provider Entity Code]]&amp;"; "&amp;R3020&amp;AS[[#This Row],[Age Band Code]]&amp;"; "&amp;S3020&amp;AS[[#This Row],[Sex Code]]</f>
        <v xml:space="preserve">Insurer Code ; Reporting Year ; Insurance Category Code ; Large Provider Entity Code ; Age Band Code ; Sex Code </v>
      </c>
      <c r="N3020" s="297" t="s">
        <v>197</v>
      </c>
      <c r="O3020" s="297" t="s">
        <v>198</v>
      </c>
      <c r="P3020" s="297" t="s">
        <v>199</v>
      </c>
      <c r="Q3020" s="297" t="s">
        <v>200</v>
      </c>
      <c r="R3020" s="297" t="s">
        <v>213</v>
      </c>
      <c r="S3020" s="297" t="s">
        <v>214</v>
      </c>
    </row>
    <row r="3021" spans="1:19" x14ac:dyDescent="0.4">
      <c r="A3021" s="291"/>
      <c r="B3021" s="292"/>
      <c r="C3021" s="312"/>
      <c r="D3021" s="292"/>
      <c r="E3021" s="489"/>
      <c r="F3021" s="489"/>
      <c r="G3021" s="490"/>
      <c r="H3021" s="520"/>
      <c r="I3021" s="523"/>
      <c r="J3021" s="521"/>
      <c r="K3021" s="522"/>
      <c r="M3021" s="301" t="str">
        <f>N3021&amp;AS[[#This Row],[Insurer Code]]&amp;"; "&amp;O3021&amp;AS[[#This Row],[Reporting Year]]&amp;"; "&amp;P3021&amp;AS[[#This Row],[Insurance Category Code]]&amp;"; "&amp;Q3021&amp;AS[[#This Row],[Large Provider Entity Code]]&amp;"; "&amp;R3021&amp;AS[[#This Row],[Age Band Code]]&amp;"; "&amp;S3021&amp;AS[[#This Row],[Sex Code]]</f>
        <v xml:space="preserve">Insurer Code ; Reporting Year ; Insurance Category Code ; Large Provider Entity Code ; Age Band Code ; Sex Code </v>
      </c>
      <c r="N3021" s="297" t="s">
        <v>197</v>
      </c>
      <c r="O3021" s="297" t="s">
        <v>198</v>
      </c>
      <c r="P3021" s="297" t="s">
        <v>199</v>
      </c>
      <c r="Q3021" s="297" t="s">
        <v>200</v>
      </c>
      <c r="R3021" s="297" t="s">
        <v>213</v>
      </c>
      <c r="S3021" s="297" t="s">
        <v>214</v>
      </c>
    </row>
    <row r="3022" spans="1:19" x14ac:dyDescent="0.4">
      <c r="A3022" s="291"/>
      <c r="B3022" s="292"/>
      <c r="C3022" s="312"/>
      <c r="D3022" s="292"/>
      <c r="E3022" s="489"/>
      <c r="F3022" s="489"/>
      <c r="G3022" s="490"/>
      <c r="H3022" s="520"/>
      <c r="I3022" s="523"/>
      <c r="J3022" s="521"/>
      <c r="K3022" s="522"/>
      <c r="M3022" s="301" t="str">
        <f>N3022&amp;AS[[#This Row],[Insurer Code]]&amp;"; "&amp;O3022&amp;AS[[#This Row],[Reporting Year]]&amp;"; "&amp;P3022&amp;AS[[#This Row],[Insurance Category Code]]&amp;"; "&amp;Q3022&amp;AS[[#This Row],[Large Provider Entity Code]]&amp;"; "&amp;R3022&amp;AS[[#This Row],[Age Band Code]]&amp;"; "&amp;S3022&amp;AS[[#This Row],[Sex Code]]</f>
        <v xml:space="preserve">Insurer Code ; Reporting Year ; Insurance Category Code ; Large Provider Entity Code ; Age Band Code ; Sex Code </v>
      </c>
      <c r="N3022" s="297" t="s">
        <v>197</v>
      </c>
      <c r="O3022" s="297" t="s">
        <v>198</v>
      </c>
      <c r="P3022" s="297" t="s">
        <v>199</v>
      </c>
      <c r="Q3022" s="297" t="s">
        <v>200</v>
      </c>
      <c r="R3022" s="297" t="s">
        <v>213</v>
      </c>
      <c r="S3022" s="297" t="s">
        <v>214</v>
      </c>
    </row>
    <row r="3023" spans="1:19" x14ac:dyDescent="0.4">
      <c r="A3023" s="291"/>
      <c r="B3023" s="292"/>
      <c r="C3023" s="312"/>
      <c r="D3023" s="292"/>
      <c r="E3023" s="489"/>
      <c r="F3023" s="489"/>
      <c r="G3023" s="490"/>
      <c r="H3023" s="520"/>
      <c r="I3023" s="523"/>
      <c r="J3023" s="521"/>
      <c r="K3023" s="522"/>
      <c r="M3023" s="301" t="str">
        <f>N3023&amp;AS[[#This Row],[Insurer Code]]&amp;"; "&amp;O3023&amp;AS[[#This Row],[Reporting Year]]&amp;"; "&amp;P3023&amp;AS[[#This Row],[Insurance Category Code]]&amp;"; "&amp;Q3023&amp;AS[[#This Row],[Large Provider Entity Code]]&amp;"; "&amp;R3023&amp;AS[[#This Row],[Age Band Code]]&amp;"; "&amp;S3023&amp;AS[[#This Row],[Sex Code]]</f>
        <v xml:space="preserve">Insurer Code ; Reporting Year ; Insurance Category Code ; Large Provider Entity Code ; Age Band Code ; Sex Code </v>
      </c>
      <c r="N3023" s="297" t="s">
        <v>197</v>
      </c>
      <c r="O3023" s="297" t="s">
        <v>198</v>
      </c>
      <c r="P3023" s="297" t="s">
        <v>199</v>
      </c>
      <c r="Q3023" s="297" t="s">
        <v>200</v>
      </c>
      <c r="R3023" s="297" t="s">
        <v>213</v>
      </c>
      <c r="S3023" s="297" t="s">
        <v>214</v>
      </c>
    </row>
    <row r="3024" spans="1:19" x14ac:dyDescent="0.4">
      <c r="A3024" s="291"/>
      <c r="B3024" s="292"/>
      <c r="C3024" s="312"/>
      <c r="D3024" s="292"/>
      <c r="E3024" s="489"/>
      <c r="F3024" s="489"/>
      <c r="G3024" s="490"/>
      <c r="H3024" s="520"/>
      <c r="I3024" s="523"/>
      <c r="J3024" s="521"/>
      <c r="K3024" s="522"/>
      <c r="M3024" s="301" t="str">
        <f>N3024&amp;AS[[#This Row],[Insurer Code]]&amp;"; "&amp;O3024&amp;AS[[#This Row],[Reporting Year]]&amp;"; "&amp;P3024&amp;AS[[#This Row],[Insurance Category Code]]&amp;"; "&amp;Q3024&amp;AS[[#This Row],[Large Provider Entity Code]]&amp;"; "&amp;R3024&amp;AS[[#This Row],[Age Band Code]]&amp;"; "&amp;S3024&amp;AS[[#This Row],[Sex Code]]</f>
        <v xml:space="preserve">Insurer Code ; Reporting Year ; Insurance Category Code ; Large Provider Entity Code ; Age Band Code ; Sex Code </v>
      </c>
      <c r="N3024" s="297" t="s">
        <v>197</v>
      </c>
      <c r="O3024" s="297" t="s">
        <v>198</v>
      </c>
      <c r="P3024" s="297" t="s">
        <v>199</v>
      </c>
      <c r="Q3024" s="297" t="s">
        <v>200</v>
      </c>
      <c r="R3024" s="297" t="s">
        <v>213</v>
      </c>
      <c r="S3024" s="297" t="s">
        <v>214</v>
      </c>
    </row>
    <row r="3025" spans="1:19" x14ac:dyDescent="0.4">
      <c r="A3025" s="291"/>
      <c r="B3025" s="292"/>
      <c r="C3025" s="312"/>
      <c r="D3025" s="292"/>
      <c r="E3025" s="489"/>
      <c r="F3025" s="489"/>
      <c r="G3025" s="490"/>
      <c r="H3025" s="520"/>
      <c r="I3025" s="523"/>
      <c r="J3025" s="521"/>
      <c r="K3025" s="522"/>
      <c r="M3025" s="301" t="str">
        <f>N3025&amp;AS[[#This Row],[Insurer Code]]&amp;"; "&amp;O3025&amp;AS[[#This Row],[Reporting Year]]&amp;"; "&amp;P3025&amp;AS[[#This Row],[Insurance Category Code]]&amp;"; "&amp;Q3025&amp;AS[[#This Row],[Large Provider Entity Code]]&amp;"; "&amp;R3025&amp;AS[[#This Row],[Age Band Code]]&amp;"; "&amp;S3025&amp;AS[[#This Row],[Sex Code]]</f>
        <v xml:space="preserve">Insurer Code ; Reporting Year ; Insurance Category Code ; Large Provider Entity Code ; Age Band Code ; Sex Code </v>
      </c>
      <c r="N3025" s="297" t="s">
        <v>197</v>
      </c>
      <c r="O3025" s="297" t="s">
        <v>198</v>
      </c>
      <c r="P3025" s="297" t="s">
        <v>199</v>
      </c>
      <c r="Q3025" s="297" t="s">
        <v>200</v>
      </c>
      <c r="R3025" s="297" t="s">
        <v>213</v>
      </c>
      <c r="S3025" s="297" t="s">
        <v>214</v>
      </c>
    </row>
    <row r="3026" spans="1:19" x14ac:dyDescent="0.4">
      <c r="A3026" s="291"/>
      <c r="B3026" s="292"/>
      <c r="C3026" s="312"/>
      <c r="D3026" s="292"/>
      <c r="E3026" s="489"/>
      <c r="F3026" s="489"/>
      <c r="G3026" s="490"/>
      <c r="H3026" s="520"/>
      <c r="I3026" s="523"/>
      <c r="J3026" s="521"/>
      <c r="K3026" s="522"/>
      <c r="M3026" s="301" t="str">
        <f>N3026&amp;AS[[#This Row],[Insurer Code]]&amp;"; "&amp;O3026&amp;AS[[#This Row],[Reporting Year]]&amp;"; "&amp;P3026&amp;AS[[#This Row],[Insurance Category Code]]&amp;"; "&amp;Q3026&amp;AS[[#This Row],[Large Provider Entity Code]]&amp;"; "&amp;R3026&amp;AS[[#This Row],[Age Band Code]]&amp;"; "&amp;S3026&amp;AS[[#This Row],[Sex Code]]</f>
        <v xml:space="preserve">Insurer Code ; Reporting Year ; Insurance Category Code ; Large Provider Entity Code ; Age Band Code ; Sex Code </v>
      </c>
      <c r="N3026" s="297" t="s">
        <v>197</v>
      </c>
      <c r="O3026" s="297" t="s">
        <v>198</v>
      </c>
      <c r="P3026" s="297" t="s">
        <v>199</v>
      </c>
      <c r="Q3026" s="297" t="s">
        <v>200</v>
      </c>
      <c r="R3026" s="297" t="s">
        <v>213</v>
      </c>
      <c r="S3026" s="297" t="s">
        <v>214</v>
      </c>
    </row>
    <row r="3027" spans="1:19" x14ac:dyDescent="0.4">
      <c r="A3027" s="291"/>
      <c r="B3027" s="292"/>
      <c r="C3027" s="312"/>
      <c r="D3027" s="292"/>
      <c r="E3027" s="489"/>
      <c r="F3027" s="489"/>
      <c r="G3027" s="490"/>
      <c r="H3027" s="520"/>
      <c r="I3027" s="523"/>
      <c r="J3027" s="521"/>
      <c r="K3027" s="522"/>
      <c r="M3027" s="301" t="str">
        <f>N3027&amp;AS[[#This Row],[Insurer Code]]&amp;"; "&amp;O3027&amp;AS[[#This Row],[Reporting Year]]&amp;"; "&amp;P3027&amp;AS[[#This Row],[Insurance Category Code]]&amp;"; "&amp;Q3027&amp;AS[[#This Row],[Large Provider Entity Code]]&amp;"; "&amp;R3027&amp;AS[[#This Row],[Age Band Code]]&amp;"; "&amp;S3027&amp;AS[[#This Row],[Sex Code]]</f>
        <v xml:space="preserve">Insurer Code ; Reporting Year ; Insurance Category Code ; Large Provider Entity Code ; Age Band Code ; Sex Code </v>
      </c>
      <c r="N3027" s="297" t="s">
        <v>197</v>
      </c>
      <c r="O3027" s="297" t="s">
        <v>198</v>
      </c>
      <c r="P3027" s="297" t="s">
        <v>199</v>
      </c>
      <c r="Q3027" s="297" t="s">
        <v>200</v>
      </c>
      <c r="R3027" s="297" t="s">
        <v>213</v>
      </c>
      <c r="S3027" s="297" t="s">
        <v>214</v>
      </c>
    </row>
    <row r="3028" spans="1:19" x14ac:dyDescent="0.4">
      <c r="A3028" s="291"/>
      <c r="B3028" s="292"/>
      <c r="C3028" s="312"/>
      <c r="D3028" s="292"/>
      <c r="E3028" s="489"/>
      <c r="F3028" s="489"/>
      <c r="G3028" s="490"/>
      <c r="H3028" s="520"/>
      <c r="I3028" s="523"/>
      <c r="J3028" s="521"/>
      <c r="K3028" s="522"/>
      <c r="M3028" s="301" t="str">
        <f>N3028&amp;AS[[#This Row],[Insurer Code]]&amp;"; "&amp;O3028&amp;AS[[#This Row],[Reporting Year]]&amp;"; "&amp;P3028&amp;AS[[#This Row],[Insurance Category Code]]&amp;"; "&amp;Q3028&amp;AS[[#This Row],[Large Provider Entity Code]]&amp;"; "&amp;R3028&amp;AS[[#This Row],[Age Band Code]]&amp;"; "&amp;S3028&amp;AS[[#This Row],[Sex Code]]</f>
        <v xml:space="preserve">Insurer Code ; Reporting Year ; Insurance Category Code ; Large Provider Entity Code ; Age Band Code ; Sex Code </v>
      </c>
      <c r="N3028" s="297" t="s">
        <v>197</v>
      </c>
      <c r="O3028" s="297" t="s">
        <v>198</v>
      </c>
      <c r="P3028" s="297" t="s">
        <v>199</v>
      </c>
      <c r="Q3028" s="297" t="s">
        <v>200</v>
      </c>
      <c r="R3028" s="297" t="s">
        <v>213</v>
      </c>
      <c r="S3028" s="297" t="s">
        <v>214</v>
      </c>
    </row>
    <row r="3029" spans="1:19" x14ac:dyDescent="0.4">
      <c r="A3029" s="291"/>
      <c r="B3029" s="292"/>
      <c r="C3029" s="312"/>
      <c r="D3029" s="292"/>
      <c r="E3029" s="489"/>
      <c r="F3029" s="489"/>
      <c r="G3029" s="490"/>
      <c r="H3029" s="520"/>
      <c r="I3029" s="523"/>
      <c r="J3029" s="521"/>
      <c r="K3029" s="522"/>
      <c r="M3029" s="301" t="str">
        <f>N3029&amp;AS[[#This Row],[Insurer Code]]&amp;"; "&amp;O3029&amp;AS[[#This Row],[Reporting Year]]&amp;"; "&amp;P3029&amp;AS[[#This Row],[Insurance Category Code]]&amp;"; "&amp;Q3029&amp;AS[[#This Row],[Large Provider Entity Code]]&amp;"; "&amp;R3029&amp;AS[[#This Row],[Age Band Code]]&amp;"; "&amp;S3029&amp;AS[[#This Row],[Sex Code]]</f>
        <v xml:space="preserve">Insurer Code ; Reporting Year ; Insurance Category Code ; Large Provider Entity Code ; Age Band Code ; Sex Code </v>
      </c>
      <c r="N3029" s="297" t="s">
        <v>197</v>
      </c>
      <c r="O3029" s="297" t="s">
        <v>198</v>
      </c>
      <c r="P3029" s="297" t="s">
        <v>199</v>
      </c>
      <c r="Q3029" s="297" t="s">
        <v>200</v>
      </c>
      <c r="R3029" s="297" t="s">
        <v>213</v>
      </c>
      <c r="S3029" s="297" t="s">
        <v>214</v>
      </c>
    </row>
    <row r="3030" spans="1:19" x14ac:dyDescent="0.4">
      <c r="A3030" s="291"/>
      <c r="B3030" s="292"/>
      <c r="C3030" s="312"/>
      <c r="D3030" s="292"/>
      <c r="E3030" s="489"/>
      <c r="F3030" s="489"/>
      <c r="G3030" s="490"/>
      <c r="H3030" s="520"/>
      <c r="I3030" s="523"/>
      <c r="J3030" s="521"/>
      <c r="K3030" s="522"/>
      <c r="M3030" s="301" t="str">
        <f>N3030&amp;AS[[#This Row],[Insurer Code]]&amp;"; "&amp;O3030&amp;AS[[#This Row],[Reporting Year]]&amp;"; "&amp;P3030&amp;AS[[#This Row],[Insurance Category Code]]&amp;"; "&amp;Q3030&amp;AS[[#This Row],[Large Provider Entity Code]]&amp;"; "&amp;R3030&amp;AS[[#This Row],[Age Band Code]]&amp;"; "&amp;S3030&amp;AS[[#This Row],[Sex Code]]</f>
        <v xml:space="preserve">Insurer Code ; Reporting Year ; Insurance Category Code ; Large Provider Entity Code ; Age Band Code ; Sex Code </v>
      </c>
      <c r="N3030" s="297" t="s">
        <v>197</v>
      </c>
      <c r="O3030" s="297" t="s">
        <v>198</v>
      </c>
      <c r="P3030" s="297" t="s">
        <v>199</v>
      </c>
      <c r="Q3030" s="297" t="s">
        <v>200</v>
      </c>
      <c r="R3030" s="297" t="s">
        <v>213</v>
      </c>
      <c r="S3030" s="297" t="s">
        <v>214</v>
      </c>
    </row>
    <row r="3031" spans="1:19" x14ac:dyDescent="0.4">
      <c r="A3031" s="291"/>
      <c r="B3031" s="292"/>
      <c r="C3031" s="312"/>
      <c r="D3031" s="292"/>
      <c r="E3031" s="489"/>
      <c r="F3031" s="489"/>
      <c r="G3031" s="490"/>
      <c r="H3031" s="520"/>
      <c r="I3031" s="523"/>
      <c r="J3031" s="521"/>
      <c r="K3031" s="522"/>
      <c r="M3031" s="301" t="str">
        <f>N3031&amp;AS[[#This Row],[Insurer Code]]&amp;"; "&amp;O3031&amp;AS[[#This Row],[Reporting Year]]&amp;"; "&amp;P3031&amp;AS[[#This Row],[Insurance Category Code]]&amp;"; "&amp;Q3031&amp;AS[[#This Row],[Large Provider Entity Code]]&amp;"; "&amp;R3031&amp;AS[[#This Row],[Age Band Code]]&amp;"; "&amp;S3031&amp;AS[[#This Row],[Sex Code]]</f>
        <v xml:space="preserve">Insurer Code ; Reporting Year ; Insurance Category Code ; Large Provider Entity Code ; Age Band Code ; Sex Code </v>
      </c>
      <c r="N3031" s="297" t="s">
        <v>197</v>
      </c>
      <c r="O3031" s="297" t="s">
        <v>198</v>
      </c>
      <c r="P3031" s="297" t="s">
        <v>199</v>
      </c>
      <c r="Q3031" s="297" t="s">
        <v>200</v>
      </c>
      <c r="R3031" s="297" t="s">
        <v>213</v>
      </c>
      <c r="S3031" s="297" t="s">
        <v>214</v>
      </c>
    </row>
    <row r="3032" spans="1:19" x14ac:dyDescent="0.4">
      <c r="A3032" s="291"/>
      <c r="B3032" s="292"/>
      <c r="C3032" s="312"/>
      <c r="D3032" s="292"/>
      <c r="E3032" s="489"/>
      <c r="F3032" s="489"/>
      <c r="G3032" s="490"/>
      <c r="H3032" s="520"/>
      <c r="I3032" s="523"/>
      <c r="J3032" s="521"/>
      <c r="K3032" s="522"/>
      <c r="M3032" s="301" t="str">
        <f>N3032&amp;AS[[#This Row],[Insurer Code]]&amp;"; "&amp;O3032&amp;AS[[#This Row],[Reporting Year]]&amp;"; "&amp;P3032&amp;AS[[#This Row],[Insurance Category Code]]&amp;"; "&amp;Q3032&amp;AS[[#This Row],[Large Provider Entity Code]]&amp;"; "&amp;R3032&amp;AS[[#This Row],[Age Band Code]]&amp;"; "&amp;S3032&amp;AS[[#This Row],[Sex Code]]</f>
        <v xml:space="preserve">Insurer Code ; Reporting Year ; Insurance Category Code ; Large Provider Entity Code ; Age Band Code ; Sex Code </v>
      </c>
      <c r="N3032" s="297" t="s">
        <v>197</v>
      </c>
      <c r="O3032" s="297" t="s">
        <v>198</v>
      </c>
      <c r="P3032" s="297" t="s">
        <v>199</v>
      </c>
      <c r="Q3032" s="297" t="s">
        <v>200</v>
      </c>
      <c r="R3032" s="297" t="s">
        <v>213</v>
      </c>
      <c r="S3032" s="297" t="s">
        <v>214</v>
      </c>
    </row>
    <row r="3033" spans="1:19" x14ac:dyDescent="0.4">
      <c r="A3033" s="291"/>
      <c r="B3033" s="292"/>
      <c r="C3033" s="312"/>
      <c r="D3033" s="292"/>
      <c r="E3033" s="489"/>
      <c r="F3033" s="489"/>
      <c r="G3033" s="490"/>
      <c r="H3033" s="520"/>
      <c r="I3033" s="523"/>
      <c r="J3033" s="521"/>
      <c r="K3033" s="522"/>
      <c r="M3033" s="301" t="str">
        <f>N3033&amp;AS[[#This Row],[Insurer Code]]&amp;"; "&amp;O3033&amp;AS[[#This Row],[Reporting Year]]&amp;"; "&amp;P3033&amp;AS[[#This Row],[Insurance Category Code]]&amp;"; "&amp;Q3033&amp;AS[[#This Row],[Large Provider Entity Code]]&amp;"; "&amp;R3033&amp;AS[[#This Row],[Age Band Code]]&amp;"; "&amp;S3033&amp;AS[[#This Row],[Sex Code]]</f>
        <v xml:space="preserve">Insurer Code ; Reporting Year ; Insurance Category Code ; Large Provider Entity Code ; Age Band Code ; Sex Code </v>
      </c>
      <c r="N3033" s="297" t="s">
        <v>197</v>
      </c>
      <c r="O3033" s="297" t="s">
        <v>198</v>
      </c>
      <c r="P3033" s="297" t="s">
        <v>199</v>
      </c>
      <c r="Q3033" s="297" t="s">
        <v>200</v>
      </c>
      <c r="R3033" s="297" t="s">
        <v>213</v>
      </c>
      <c r="S3033" s="297" t="s">
        <v>214</v>
      </c>
    </row>
    <row r="3034" spans="1:19" x14ac:dyDescent="0.4">
      <c r="A3034" s="291"/>
      <c r="B3034" s="292"/>
      <c r="C3034" s="312"/>
      <c r="D3034" s="292"/>
      <c r="E3034" s="489"/>
      <c r="F3034" s="489"/>
      <c r="G3034" s="490"/>
      <c r="H3034" s="520"/>
      <c r="I3034" s="523"/>
      <c r="J3034" s="521"/>
      <c r="K3034" s="522"/>
      <c r="M3034" s="301" t="str">
        <f>N3034&amp;AS[[#This Row],[Insurer Code]]&amp;"; "&amp;O3034&amp;AS[[#This Row],[Reporting Year]]&amp;"; "&amp;P3034&amp;AS[[#This Row],[Insurance Category Code]]&amp;"; "&amp;Q3034&amp;AS[[#This Row],[Large Provider Entity Code]]&amp;"; "&amp;R3034&amp;AS[[#This Row],[Age Band Code]]&amp;"; "&amp;S3034&amp;AS[[#This Row],[Sex Code]]</f>
        <v xml:space="preserve">Insurer Code ; Reporting Year ; Insurance Category Code ; Large Provider Entity Code ; Age Band Code ; Sex Code </v>
      </c>
      <c r="N3034" s="297" t="s">
        <v>197</v>
      </c>
      <c r="O3034" s="297" t="s">
        <v>198</v>
      </c>
      <c r="P3034" s="297" t="s">
        <v>199</v>
      </c>
      <c r="Q3034" s="297" t="s">
        <v>200</v>
      </c>
      <c r="R3034" s="297" t="s">
        <v>213</v>
      </c>
      <c r="S3034" s="297" t="s">
        <v>214</v>
      </c>
    </row>
    <row r="3035" spans="1:19" x14ac:dyDescent="0.4">
      <c r="A3035" s="291"/>
      <c r="B3035" s="292"/>
      <c r="C3035" s="312"/>
      <c r="D3035" s="292"/>
      <c r="E3035" s="489"/>
      <c r="F3035" s="489"/>
      <c r="G3035" s="490"/>
      <c r="H3035" s="520"/>
      <c r="I3035" s="523"/>
      <c r="J3035" s="521"/>
      <c r="K3035" s="522"/>
      <c r="M3035" s="301" t="str">
        <f>N3035&amp;AS[[#This Row],[Insurer Code]]&amp;"; "&amp;O3035&amp;AS[[#This Row],[Reporting Year]]&amp;"; "&amp;P3035&amp;AS[[#This Row],[Insurance Category Code]]&amp;"; "&amp;Q3035&amp;AS[[#This Row],[Large Provider Entity Code]]&amp;"; "&amp;R3035&amp;AS[[#This Row],[Age Band Code]]&amp;"; "&amp;S3035&amp;AS[[#This Row],[Sex Code]]</f>
        <v xml:space="preserve">Insurer Code ; Reporting Year ; Insurance Category Code ; Large Provider Entity Code ; Age Band Code ; Sex Code </v>
      </c>
      <c r="N3035" s="297" t="s">
        <v>197</v>
      </c>
      <c r="O3035" s="297" t="s">
        <v>198</v>
      </c>
      <c r="P3035" s="297" t="s">
        <v>199</v>
      </c>
      <c r="Q3035" s="297" t="s">
        <v>200</v>
      </c>
      <c r="R3035" s="297" t="s">
        <v>213</v>
      </c>
      <c r="S3035" s="297" t="s">
        <v>214</v>
      </c>
    </row>
    <row r="3036" spans="1:19" x14ac:dyDescent="0.4">
      <c r="A3036" s="291"/>
      <c r="B3036" s="292"/>
      <c r="C3036" s="312"/>
      <c r="D3036" s="292"/>
      <c r="E3036" s="489"/>
      <c r="F3036" s="489"/>
      <c r="G3036" s="490"/>
      <c r="H3036" s="520"/>
      <c r="I3036" s="523"/>
      <c r="J3036" s="521"/>
      <c r="K3036" s="522"/>
      <c r="M3036" s="301" t="str">
        <f>N3036&amp;AS[[#This Row],[Insurer Code]]&amp;"; "&amp;O3036&amp;AS[[#This Row],[Reporting Year]]&amp;"; "&amp;P3036&amp;AS[[#This Row],[Insurance Category Code]]&amp;"; "&amp;Q3036&amp;AS[[#This Row],[Large Provider Entity Code]]&amp;"; "&amp;R3036&amp;AS[[#This Row],[Age Band Code]]&amp;"; "&amp;S3036&amp;AS[[#This Row],[Sex Code]]</f>
        <v xml:space="preserve">Insurer Code ; Reporting Year ; Insurance Category Code ; Large Provider Entity Code ; Age Band Code ; Sex Code </v>
      </c>
      <c r="N3036" s="297" t="s">
        <v>197</v>
      </c>
      <c r="O3036" s="297" t="s">
        <v>198</v>
      </c>
      <c r="P3036" s="297" t="s">
        <v>199</v>
      </c>
      <c r="Q3036" s="297" t="s">
        <v>200</v>
      </c>
      <c r="R3036" s="297" t="s">
        <v>213</v>
      </c>
      <c r="S3036" s="297" t="s">
        <v>214</v>
      </c>
    </row>
    <row r="3037" spans="1:19" x14ac:dyDescent="0.4">
      <c r="A3037" s="291"/>
      <c r="B3037" s="292"/>
      <c r="C3037" s="312"/>
      <c r="D3037" s="292"/>
      <c r="E3037" s="489"/>
      <c r="F3037" s="489"/>
      <c r="G3037" s="490"/>
      <c r="H3037" s="520"/>
      <c r="I3037" s="523"/>
      <c r="J3037" s="521"/>
      <c r="K3037" s="522"/>
      <c r="M3037" s="301" t="str">
        <f>N3037&amp;AS[[#This Row],[Insurer Code]]&amp;"; "&amp;O3037&amp;AS[[#This Row],[Reporting Year]]&amp;"; "&amp;P3037&amp;AS[[#This Row],[Insurance Category Code]]&amp;"; "&amp;Q3037&amp;AS[[#This Row],[Large Provider Entity Code]]&amp;"; "&amp;R3037&amp;AS[[#This Row],[Age Band Code]]&amp;"; "&amp;S3037&amp;AS[[#This Row],[Sex Code]]</f>
        <v xml:space="preserve">Insurer Code ; Reporting Year ; Insurance Category Code ; Large Provider Entity Code ; Age Band Code ; Sex Code </v>
      </c>
      <c r="N3037" s="297" t="s">
        <v>197</v>
      </c>
      <c r="O3037" s="297" t="s">
        <v>198</v>
      </c>
      <c r="P3037" s="297" t="s">
        <v>199</v>
      </c>
      <c r="Q3037" s="297" t="s">
        <v>200</v>
      </c>
      <c r="R3037" s="297" t="s">
        <v>213</v>
      </c>
      <c r="S3037" s="297" t="s">
        <v>214</v>
      </c>
    </row>
    <row r="3038" spans="1:19" x14ac:dyDescent="0.4">
      <c r="A3038" s="291"/>
      <c r="B3038" s="292"/>
      <c r="C3038" s="312"/>
      <c r="D3038" s="292"/>
      <c r="E3038" s="489"/>
      <c r="F3038" s="489"/>
      <c r="G3038" s="490"/>
      <c r="H3038" s="520"/>
      <c r="I3038" s="523"/>
      <c r="J3038" s="521"/>
      <c r="K3038" s="522"/>
      <c r="M3038" s="301" t="str">
        <f>N3038&amp;AS[[#This Row],[Insurer Code]]&amp;"; "&amp;O3038&amp;AS[[#This Row],[Reporting Year]]&amp;"; "&amp;P3038&amp;AS[[#This Row],[Insurance Category Code]]&amp;"; "&amp;Q3038&amp;AS[[#This Row],[Large Provider Entity Code]]&amp;"; "&amp;R3038&amp;AS[[#This Row],[Age Band Code]]&amp;"; "&amp;S3038&amp;AS[[#This Row],[Sex Code]]</f>
        <v xml:space="preserve">Insurer Code ; Reporting Year ; Insurance Category Code ; Large Provider Entity Code ; Age Band Code ; Sex Code </v>
      </c>
      <c r="N3038" s="297" t="s">
        <v>197</v>
      </c>
      <c r="O3038" s="297" t="s">
        <v>198</v>
      </c>
      <c r="P3038" s="297" t="s">
        <v>199</v>
      </c>
      <c r="Q3038" s="297" t="s">
        <v>200</v>
      </c>
      <c r="R3038" s="297" t="s">
        <v>213</v>
      </c>
      <c r="S3038" s="297" t="s">
        <v>214</v>
      </c>
    </row>
    <row r="3039" spans="1:19" x14ac:dyDescent="0.4">
      <c r="A3039" s="291"/>
      <c r="B3039" s="292"/>
      <c r="C3039" s="312"/>
      <c r="D3039" s="292"/>
      <c r="E3039" s="489"/>
      <c r="F3039" s="489"/>
      <c r="G3039" s="490"/>
      <c r="H3039" s="520"/>
      <c r="I3039" s="523"/>
      <c r="J3039" s="521"/>
      <c r="K3039" s="522"/>
      <c r="M3039" s="301" t="str">
        <f>N3039&amp;AS[[#This Row],[Insurer Code]]&amp;"; "&amp;O3039&amp;AS[[#This Row],[Reporting Year]]&amp;"; "&amp;P3039&amp;AS[[#This Row],[Insurance Category Code]]&amp;"; "&amp;Q3039&amp;AS[[#This Row],[Large Provider Entity Code]]&amp;"; "&amp;R3039&amp;AS[[#This Row],[Age Band Code]]&amp;"; "&amp;S3039&amp;AS[[#This Row],[Sex Code]]</f>
        <v xml:space="preserve">Insurer Code ; Reporting Year ; Insurance Category Code ; Large Provider Entity Code ; Age Band Code ; Sex Code </v>
      </c>
      <c r="N3039" s="297" t="s">
        <v>197</v>
      </c>
      <c r="O3039" s="297" t="s">
        <v>198</v>
      </c>
      <c r="P3039" s="297" t="s">
        <v>199</v>
      </c>
      <c r="Q3039" s="297" t="s">
        <v>200</v>
      </c>
      <c r="R3039" s="297" t="s">
        <v>213</v>
      </c>
      <c r="S3039" s="297" t="s">
        <v>214</v>
      </c>
    </row>
    <row r="3040" spans="1:19" x14ac:dyDescent="0.4">
      <c r="A3040" s="291"/>
      <c r="B3040" s="292"/>
      <c r="C3040" s="312"/>
      <c r="D3040" s="292"/>
      <c r="E3040" s="489"/>
      <c r="F3040" s="489"/>
      <c r="G3040" s="490"/>
      <c r="H3040" s="520"/>
      <c r="I3040" s="523"/>
      <c r="J3040" s="521"/>
      <c r="K3040" s="522"/>
      <c r="M3040" s="301" t="str">
        <f>N3040&amp;AS[[#This Row],[Insurer Code]]&amp;"; "&amp;O3040&amp;AS[[#This Row],[Reporting Year]]&amp;"; "&amp;P3040&amp;AS[[#This Row],[Insurance Category Code]]&amp;"; "&amp;Q3040&amp;AS[[#This Row],[Large Provider Entity Code]]&amp;"; "&amp;R3040&amp;AS[[#This Row],[Age Band Code]]&amp;"; "&amp;S3040&amp;AS[[#This Row],[Sex Code]]</f>
        <v xml:space="preserve">Insurer Code ; Reporting Year ; Insurance Category Code ; Large Provider Entity Code ; Age Band Code ; Sex Code </v>
      </c>
      <c r="N3040" s="297" t="s">
        <v>197</v>
      </c>
      <c r="O3040" s="297" t="s">
        <v>198</v>
      </c>
      <c r="P3040" s="297" t="s">
        <v>199</v>
      </c>
      <c r="Q3040" s="297" t="s">
        <v>200</v>
      </c>
      <c r="R3040" s="297" t="s">
        <v>213</v>
      </c>
      <c r="S3040" s="297" t="s">
        <v>214</v>
      </c>
    </row>
    <row r="3041" spans="1:19" x14ac:dyDescent="0.4">
      <c r="A3041" s="291"/>
      <c r="B3041" s="292"/>
      <c r="C3041" s="312"/>
      <c r="D3041" s="292"/>
      <c r="E3041" s="489"/>
      <c r="F3041" s="489"/>
      <c r="G3041" s="490"/>
      <c r="H3041" s="520"/>
      <c r="I3041" s="523"/>
      <c r="J3041" s="521"/>
      <c r="K3041" s="522"/>
      <c r="M3041" s="301" t="str">
        <f>N3041&amp;AS[[#This Row],[Insurer Code]]&amp;"; "&amp;O3041&amp;AS[[#This Row],[Reporting Year]]&amp;"; "&amp;P3041&amp;AS[[#This Row],[Insurance Category Code]]&amp;"; "&amp;Q3041&amp;AS[[#This Row],[Large Provider Entity Code]]&amp;"; "&amp;R3041&amp;AS[[#This Row],[Age Band Code]]&amp;"; "&amp;S3041&amp;AS[[#This Row],[Sex Code]]</f>
        <v xml:space="preserve">Insurer Code ; Reporting Year ; Insurance Category Code ; Large Provider Entity Code ; Age Band Code ; Sex Code </v>
      </c>
      <c r="N3041" s="297" t="s">
        <v>197</v>
      </c>
      <c r="O3041" s="297" t="s">
        <v>198</v>
      </c>
      <c r="P3041" s="297" t="s">
        <v>199</v>
      </c>
      <c r="Q3041" s="297" t="s">
        <v>200</v>
      </c>
      <c r="R3041" s="297" t="s">
        <v>213</v>
      </c>
      <c r="S3041" s="297" t="s">
        <v>214</v>
      </c>
    </row>
    <row r="3042" spans="1:19" x14ac:dyDescent="0.4">
      <c r="A3042" s="291"/>
      <c r="B3042" s="292"/>
      <c r="C3042" s="312"/>
      <c r="D3042" s="292"/>
      <c r="E3042" s="489"/>
      <c r="F3042" s="489"/>
      <c r="G3042" s="490"/>
      <c r="H3042" s="520"/>
      <c r="I3042" s="523"/>
      <c r="J3042" s="521"/>
      <c r="K3042" s="522"/>
      <c r="M3042" s="301" t="str">
        <f>N3042&amp;AS[[#This Row],[Insurer Code]]&amp;"; "&amp;O3042&amp;AS[[#This Row],[Reporting Year]]&amp;"; "&amp;P3042&amp;AS[[#This Row],[Insurance Category Code]]&amp;"; "&amp;Q3042&amp;AS[[#This Row],[Large Provider Entity Code]]&amp;"; "&amp;R3042&amp;AS[[#This Row],[Age Band Code]]&amp;"; "&amp;S3042&amp;AS[[#This Row],[Sex Code]]</f>
        <v xml:space="preserve">Insurer Code ; Reporting Year ; Insurance Category Code ; Large Provider Entity Code ; Age Band Code ; Sex Code </v>
      </c>
      <c r="N3042" s="297" t="s">
        <v>197</v>
      </c>
      <c r="O3042" s="297" t="s">
        <v>198</v>
      </c>
      <c r="P3042" s="297" t="s">
        <v>199</v>
      </c>
      <c r="Q3042" s="297" t="s">
        <v>200</v>
      </c>
      <c r="R3042" s="297" t="s">
        <v>213</v>
      </c>
      <c r="S3042" s="297" t="s">
        <v>214</v>
      </c>
    </row>
    <row r="3043" spans="1:19" x14ac:dyDescent="0.4">
      <c r="A3043" s="291"/>
      <c r="B3043" s="292"/>
      <c r="C3043" s="312"/>
      <c r="D3043" s="292"/>
      <c r="E3043" s="489"/>
      <c r="F3043" s="489"/>
      <c r="G3043" s="490"/>
      <c r="H3043" s="520"/>
      <c r="I3043" s="523"/>
      <c r="J3043" s="521"/>
      <c r="K3043" s="522"/>
      <c r="M3043" s="301" t="str">
        <f>N3043&amp;AS[[#This Row],[Insurer Code]]&amp;"; "&amp;O3043&amp;AS[[#This Row],[Reporting Year]]&amp;"; "&amp;P3043&amp;AS[[#This Row],[Insurance Category Code]]&amp;"; "&amp;Q3043&amp;AS[[#This Row],[Large Provider Entity Code]]&amp;"; "&amp;R3043&amp;AS[[#This Row],[Age Band Code]]&amp;"; "&amp;S3043&amp;AS[[#This Row],[Sex Code]]</f>
        <v xml:space="preserve">Insurer Code ; Reporting Year ; Insurance Category Code ; Large Provider Entity Code ; Age Band Code ; Sex Code </v>
      </c>
      <c r="N3043" s="297" t="s">
        <v>197</v>
      </c>
      <c r="O3043" s="297" t="s">
        <v>198</v>
      </c>
      <c r="P3043" s="297" t="s">
        <v>199</v>
      </c>
      <c r="Q3043" s="297" t="s">
        <v>200</v>
      </c>
      <c r="R3043" s="297" t="s">
        <v>213</v>
      </c>
      <c r="S3043" s="297" t="s">
        <v>214</v>
      </c>
    </row>
    <row r="3044" spans="1:19" x14ac:dyDescent="0.4">
      <c r="A3044" s="291"/>
      <c r="B3044" s="292"/>
      <c r="C3044" s="312"/>
      <c r="D3044" s="292"/>
      <c r="E3044" s="489"/>
      <c r="F3044" s="489"/>
      <c r="G3044" s="490"/>
      <c r="H3044" s="520"/>
      <c r="I3044" s="523"/>
      <c r="J3044" s="521"/>
      <c r="K3044" s="522"/>
      <c r="M3044" s="301" t="str">
        <f>N3044&amp;AS[[#This Row],[Insurer Code]]&amp;"; "&amp;O3044&amp;AS[[#This Row],[Reporting Year]]&amp;"; "&amp;P3044&amp;AS[[#This Row],[Insurance Category Code]]&amp;"; "&amp;Q3044&amp;AS[[#This Row],[Large Provider Entity Code]]&amp;"; "&amp;R3044&amp;AS[[#This Row],[Age Band Code]]&amp;"; "&amp;S3044&amp;AS[[#This Row],[Sex Code]]</f>
        <v xml:space="preserve">Insurer Code ; Reporting Year ; Insurance Category Code ; Large Provider Entity Code ; Age Band Code ; Sex Code </v>
      </c>
      <c r="N3044" s="297" t="s">
        <v>197</v>
      </c>
      <c r="O3044" s="297" t="s">
        <v>198</v>
      </c>
      <c r="P3044" s="297" t="s">
        <v>199</v>
      </c>
      <c r="Q3044" s="297" t="s">
        <v>200</v>
      </c>
      <c r="R3044" s="297" t="s">
        <v>213</v>
      </c>
      <c r="S3044" s="297" t="s">
        <v>214</v>
      </c>
    </row>
    <row r="3045" spans="1:19" x14ac:dyDescent="0.4">
      <c r="A3045" s="291"/>
      <c r="B3045" s="292"/>
      <c r="C3045" s="312"/>
      <c r="D3045" s="292"/>
      <c r="E3045" s="489"/>
      <c r="F3045" s="489"/>
      <c r="G3045" s="490"/>
      <c r="H3045" s="520"/>
      <c r="I3045" s="523"/>
      <c r="J3045" s="521"/>
      <c r="K3045" s="522"/>
      <c r="M3045" s="301" t="str">
        <f>N3045&amp;AS[[#This Row],[Insurer Code]]&amp;"; "&amp;O3045&amp;AS[[#This Row],[Reporting Year]]&amp;"; "&amp;P3045&amp;AS[[#This Row],[Insurance Category Code]]&amp;"; "&amp;Q3045&amp;AS[[#This Row],[Large Provider Entity Code]]&amp;"; "&amp;R3045&amp;AS[[#This Row],[Age Band Code]]&amp;"; "&amp;S3045&amp;AS[[#This Row],[Sex Code]]</f>
        <v xml:space="preserve">Insurer Code ; Reporting Year ; Insurance Category Code ; Large Provider Entity Code ; Age Band Code ; Sex Code </v>
      </c>
      <c r="N3045" s="297" t="s">
        <v>197</v>
      </c>
      <c r="O3045" s="297" t="s">
        <v>198</v>
      </c>
      <c r="P3045" s="297" t="s">
        <v>199</v>
      </c>
      <c r="Q3045" s="297" t="s">
        <v>200</v>
      </c>
      <c r="R3045" s="297" t="s">
        <v>213</v>
      </c>
      <c r="S3045" s="297" t="s">
        <v>214</v>
      </c>
    </row>
    <row r="3046" spans="1:19" x14ac:dyDescent="0.4">
      <c r="A3046" s="291"/>
      <c r="B3046" s="292"/>
      <c r="C3046" s="312"/>
      <c r="D3046" s="292"/>
      <c r="E3046" s="489"/>
      <c r="F3046" s="489"/>
      <c r="G3046" s="490"/>
      <c r="H3046" s="520"/>
      <c r="I3046" s="523"/>
      <c r="J3046" s="521"/>
      <c r="K3046" s="522"/>
      <c r="M3046" s="301" t="str">
        <f>N3046&amp;AS[[#This Row],[Insurer Code]]&amp;"; "&amp;O3046&amp;AS[[#This Row],[Reporting Year]]&amp;"; "&amp;P3046&amp;AS[[#This Row],[Insurance Category Code]]&amp;"; "&amp;Q3046&amp;AS[[#This Row],[Large Provider Entity Code]]&amp;"; "&amp;R3046&amp;AS[[#This Row],[Age Band Code]]&amp;"; "&amp;S3046&amp;AS[[#This Row],[Sex Code]]</f>
        <v xml:space="preserve">Insurer Code ; Reporting Year ; Insurance Category Code ; Large Provider Entity Code ; Age Band Code ; Sex Code </v>
      </c>
      <c r="N3046" s="297" t="s">
        <v>197</v>
      </c>
      <c r="O3046" s="297" t="s">
        <v>198</v>
      </c>
      <c r="P3046" s="297" t="s">
        <v>199</v>
      </c>
      <c r="Q3046" s="297" t="s">
        <v>200</v>
      </c>
      <c r="R3046" s="297" t="s">
        <v>213</v>
      </c>
      <c r="S3046" s="297" t="s">
        <v>214</v>
      </c>
    </row>
    <row r="3047" spans="1:19" x14ac:dyDescent="0.4">
      <c r="A3047" s="291"/>
      <c r="B3047" s="292"/>
      <c r="C3047" s="312"/>
      <c r="D3047" s="292"/>
      <c r="E3047" s="489"/>
      <c r="F3047" s="489"/>
      <c r="G3047" s="490"/>
      <c r="H3047" s="520"/>
      <c r="I3047" s="523"/>
      <c r="J3047" s="521"/>
      <c r="K3047" s="522"/>
      <c r="M3047" s="301" t="str">
        <f>N3047&amp;AS[[#This Row],[Insurer Code]]&amp;"; "&amp;O3047&amp;AS[[#This Row],[Reporting Year]]&amp;"; "&amp;P3047&amp;AS[[#This Row],[Insurance Category Code]]&amp;"; "&amp;Q3047&amp;AS[[#This Row],[Large Provider Entity Code]]&amp;"; "&amp;R3047&amp;AS[[#This Row],[Age Band Code]]&amp;"; "&amp;S3047&amp;AS[[#This Row],[Sex Code]]</f>
        <v xml:space="preserve">Insurer Code ; Reporting Year ; Insurance Category Code ; Large Provider Entity Code ; Age Band Code ; Sex Code </v>
      </c>
      <c r="N3047" s="297" t="s">
        <v>197</v>
      </c>
      <c r="O3047" s="297" t="s">
        <v>198</v>
      </c>
      <c r="P3047" s="297" t="s">
        <v>199</v>
      </c>
      <c r="Q3047" s="297" t="s">
        <v>200</v>
      </c>
      <c r="R3047" s="297" t="s">
        <v>213</v>
      </c>
      <c r="S3047" s="297" t="s">
        <v>214</v>
      </c>
    </row>
    <row r="3048" spans="1:19" x14ac:dyDescent="0.4">
      <c r="A3048" s="291"/>
      <c r="B3048" s="292"/>
      <c r="C3048" s="312"/>
      <c r="D3048" s="292"/>
      <c r="E3048" s="489"/>
      <c r="F3048" s="489"/>
      <c r="G3048" s="490"/>
      <c r="H3048" s="520"/>
      <c r="I3048" s="523"/>
      <c r="J3048" s="521"/>
      <c r="K3048" s="522"/>
      <c r="M3048" s="301" t="str">
        <f>N3048&amp;AS[[#This Row],[Insurer Code]]&amp;"; "&amp;O3048&amp;AS[[#This Row],[Reporting Year]]&amp;"; "&amp;P3048&amp;AS[[#This Row],[Insurance Category Code]]&amp;"; "&amp;Q3048&amp;AS[[#This Row],[Large Provider Entity Code]]&amp;"; "&amp;R3048&amp;AS[[#This Row],[Age Band Code]]&amp;"; "&amp;S3048&amp;AS[[#This Row],[Sex Code]]</f>
        <v xml:space="preserve">Insurer Code ; Reporting Year ; Insurance Category Code ; Large Provider Entity Code ; Age Band Code ; Sex Code </v>
      </c>
      <c r="N3048" s="297" t="s">
        <v>197</v>
      </c>
      <c r="O3048" s="297" t="s">
        <v>198</v>
      </c>
      <c r="P3048" s="297" t="s">
        <v>199</v>
      </c>
      <c r="Q3048" s="297" t="s">
        <v>200</v>
      </c>
      <c r="R3048" s="297" t="s">
        <v>213</v>
      </c>
      <c r="S3048" s="297" t="s">
        <v>214</v>
      </c>
    </row>
    <row r="3049" spans="1:19" x14ac:dyDescent="0.4">
      <c r="A3049" s="291"/>
      <c r="B3049" s="292"/>
      <c r="C3049" s="312"/>
      <c r="D3049" s="292"/>
      <c r="E3049" s="489"/>
      <c r="F3049" s="489"/>
      <c r="G3049" s="490"/>
      <c r="H3049" s="520"/>
      <c r="I3049" s="523"/>
      <c r="J3049" s="521"/>
      <c r="K3049" s="522"/>
      <c r="M3049" s="301" t="str">
        <f>N3049&amp;AS[[#This Row],[Insurer Code]]&amp;"; "&amp;O3049&amp;AS[[#This Row],[Reporting Year]]&amp;"; "&amp;P3049&amp;AS[[#This Row],[Insurance Category Code]]&amp;"; "&amp;Q3049&amp;AS[[#This Row],[Large Provider Entity Code]]&amp;"; "&amp;R3049&amp;AS[[#This Row],[Age Band Code]]&amp;"; "&amp;S3049&amp;AS[[#This Row],[Sex Code]]</f>
        <v xml:space="preserve">Insurer Code ; Reporting Year ; Insurance Category Code ; Large Provider Entity Code ; Age Band Code ; Sex Code </v>
      </c>
      <c r="N3049" s="297" t="s">
        <v>197</v>
      </c>
      <c r="O3049" s="297" t="s">
        <v>198</v>
      </c>
      <c r="P3049" s="297" t="s">
        <v>199</v>
      </c>
      <c r="Q3049" s="297" t="s">
        <v>200</v>
      </c>
      <c r="R3049" s="297" t="s">
        <v>213</v>
      </c>
      <c r="S3049" s="297" t="s">
        <v>214</v>
      </c>
    </row>
    <row r="3050" spans="1:19" x14ac:dyDescent="0.4">
      <c r="A3050" s="291"/>
      <c r="B3050" s="292"/>
      <c r="C3050" s="312"/>
      <c r="D3050" s="292"/>
      <c r="E3050" s="489"/>
      <c r="F3050" s="489"/>
      <c r="G3050" s="490"/>
      <c r="H3050" s="520"/>
      <c r="I3050" s="523"/>
      <c r="J3050" s="521"/>
      <c r="K3050" s="522"/>
      <c r="M3050" s="301" t="str">
        <f>N3050&amp;AS[[#This Row],[Insurer Code]]&amp;"; "&amp;O3050&amp;AS[[#This Row],[Reporting Year]]&amp;"; "&amp;P3050&amp;AS[[#This Row],[Insurance Category Code]]&amp;"; "&amp;Q3050&amp;AS[[#This Row],[Large Provider Entity Code]]&amp;"; "&amp;R3050&amp;AS[[#This Row],[Age Band Code]]&amp;"; "&amp;S3050&amp;AS[[#This Row],[Sex Code]]</f>
        <v xml:space="preserve">Insurer Code ; Reporting Year ; Insurance Category Code ; Large Provider Entity Code ; Age Band Code ; Sex Code </v>
      </c>
      <c r="N3050" s="297" t="s">
        <v>197</v>
      </c>
      <c r="O3050" s="297" t="s">
        <v>198</v>
      </c>
      <c r="P3050" s="297" t="s">
        <v>199</v>
      </c>
      <c r="Q3050" s="297" t="s">
        <v>200</v>
      </c>
      <c r="R3050" s="297" t="s">
        <v>213</v>
      </c>
      <c r="S3050" s="297" t="s">
        <v>214</v>
      </c>
    </row>
    <row r="3051" spans="1:19" x14ac:dyDescent="0.4">
      <c r="A3051" s="291"/>
      <c r="B3051" s="292"/>
      <c r="C3051" s="312"/>
      <c r="D3051" s="292"/>
      <c r="E3051" s="489"/>
      <c r="F3051" s="489"/>
      <c r="G3051" s="490"/>
      <c r="H3051" s="520"/>
      <c r="I3051" s="523"/>
      <c r="J3051" s="521"/>
      <c r="K3051" s="522"/>
      <c r="M3051" s="301" t="str">
        <f>N3051&amp;AS[[#This Row],[Insurer Code]]&amp;"; "&amp;O3051&amp;AS[[#This Row],[Reporting Year]]&amp;"; "&amp;P3051&amp;AS[[#This Row],[Insurance Category Code]]&amp;"; "&amp;Q3051&amp;AS[[#This Row],[Large Provider Entity Code]]&amp;"; "&amp;R3051&amp;AS[[#This Row],[Age Band Code]]&amp;"; "&amp;S3051&amp;AS[[#This Row],[Sex Code]]</f>
        <v xml:space="preserve">Insurer Code ; Reporting Year ; Insurance Category Code ; Large Provider Entity Code ; Age Band Code ; Sex Code </v>
      </c>
      <c r="N3051" s="297" t="s">
        <v>197</v>
      </c>
      <c r="O3051" s="297" t="s">
        <v>198</v>
      </c>
      <c r="P3051" s="297" t="s">
        <v>199</v>
      </c>
      <c r="Q3051" s="297" t="s">
        <v>200</v>
      </c>
      <c r="R3051" s="297" t="s">
        <v>213</v>
      </c>
      <c r="S3051" s="297" t="s">
        <v>214</v>
      </c>
    </row>
    <row r="3052" spans="1:19" x14ac:dyDescent="0.4">
      <c r="A3052" s="291"/>
      <c r="B3052" s="292"/>
      <c r="C3052" s="312"/>
      <c r="D3052" s="292"/>
      <c r="E3052" s="489"/>
      <c r="F3052" s="489"/>
      <c r="G3052" s="490"/>
      <c r="H3052" s="520"/>
      <c r="I3052" s="523"/>
      <c r="J3052" s="521"/>
      <c r="K3052" s="522"/>
      <c r="M3052" s="301" t="str">
        <f>N3052&amp;AS[[#This Row],[Insurer Code]]&amp;"; "&amp;O3052&amp;AS[[#This Row],[Reporting Year]]&amp;"; "&amp;P3052&amp;AS[[#This Row],[Insurance Category Code]]&amp;"; "&amp;Q3052&amp;AS[[#This Row],[Large Provider Entity Code]]&amp;"; "&amp;R3052&amp;AS[[#This Row],[Age Band Code]]&amp;"; "&amp;S3052&amp;AS[[#This Row],[Sex Code]]</f>
        <v xml:space="preserve">Insurer Code ; Reporting Year ; Insurance Category Code ; Large Provider Entity Code ; Age Band Code ; Sex Code </v>
      </c>
      <c r="N3052" s="297" t="s">
        <v>197</v>
      </c>
      <c r="O3052" s="297" t="s">
        <v>198</v>
      </c>
      <c r="P3052" s="297" t="s">
        <v>199</v>
      </c>
      <c r="Q3052" s="297" t="s">
        <v>200</v>
      </c>
      <c r="R3052" s="297" t="s">
        <v>213</v>
      </c>
      <c r="S3052" s="297" t="s">
        <v>214</v>
      </c>
    </row>
    <row r="3053" spans="1:19" x14ac:dyDescent="0.4">
      <c r="A3053" s="291"/>
      <c r="B3053" s="292"/>
      <c r="C3053" s="312"/>
      <c r="D3053" s="292"/>
      <c r="E3053" s="489"/>
      <c r="F3053" s="489"/>
      <c r="G3053" s="490"/>
      <c r="H3053" s="520"/>
      <c r="I3053" s="523"/>
      <c r="J3053" s="521"/>
      <c r="K3053" s="522"/>
      <c r="M3053" s="301" t="str">
        <f>N3053&amp;AS[[#This Row],[Insurer Code]]&amp;"; "&amp;O3053&amp;AS[[#This Row],[Reporting Year]]&amp;"; "&amp;P3053&amp;AS[[#This Row],[Insurance Category Code]]&amp;"; "&amp;Q3053&amp;AS[[#This Row],[Large Provider Entity Code]]&amp;"; "&amp;R3053&amp;AS[[#This Row],[Age Band Code]]&amp;"; "&amp;S3053&amp;AS[[#This Row],[Sex Code]]</f>
        <v xml:space="preserve">Insurer Code ; Reporting Year ; Insurance Category Code ; Large Provider Entity Code ; Age Band Code ; Sex Code </v>
      </c>
      <c r="N3053" s="297" t="s">
        <v>197</v>
      </c>
      <c r="O3053" s="297" t="s">
        <v>198</v>
      </c>
      <c r="P3053" s="297" t="s">
        <v>199</v>
      </c>
      <c r="Q3053" s="297" t="s">
        <v>200</v>
      </c>
      <c r="R3053" s="297" t="s">
        <v>213</v>
      </c>
      <c r="S3053" s="297" t="s">
        <v>214</v>
      </c>
    </row>
    <row r="3054" spans="1:19" x14ac:dyDescent="0.4">
      <c r="A3054" s="291"/>
      <c r="B3054" s="292"/>
      <c r="C3054" s="312"/>
      <c r="D3054" s="292"/>
      <c r="E3054" s="489"/>
      <c r="F3054" s="489"/>
      <c r="G3054" s="490"/>
      <c r="H3054" s="520"/>
      <c r="I3054" s="523"/>
      <c r="J3054" s="521"/>
      <c r="K3054" s="522"/>
      <c r="M3054" s="301" t="str">
        <f>N3054&amp;AS[[#This Row],[Insurer Code]]&amp;"; "&amp;O3054&amp;AS[[#This Row],[Reporting Year]]&amp;"; "&amp;P3054&amp;AS[[#This Row],[Insurance Category Code]]&amp;"; "&amp;Q3054&amp;AS[[#This Row],[Large Provider Entity Code]]&amp;"; "&amp;R3054&amp;AS[[#This Row],[Age Band Code]]&amp;"; "&amp;S3054&amp;AS[[#This Row],[Sex Code]]</f>
        <v xml:space="preserve">Insurer Code ; Reporting Year ; Insurance Category Code ; Large Provider Entity Code ; Age Band Code ; Sex Code </v>
      </c>
      <c r="N3054" s="297" t="s">
        <v>197</v>
      </c>
      <c r="O3054" s="297" t="s">
        <v>198</v>
      </c>
      <c r="P3054" s="297" t="s">
        <v>199</v>
      </c>
      <c r="Q3054" s="297" t="s">
        <v>200</v>
      </c>
      <c r="R3054" s="297" t="s">
        <v>213</v>
      </c>
      <c r="S3054" s="297" t="s">
        <v>214</v>
      </c>
    </row>
    <row r="3055" spans="1:19" x14ac:dyDescent="0.4">
      <c r="A3055" s="291"/>
      <c r="B3055" s="292"/>
      <c r="C3055" s="312"/>
      <c r="D3055" s="292"/>
      <c r="E3055" s="489"/>
      <c r="F3055" s="489"/>
      <c r="G3055" s="490"/>
      <c r="H3055" s="520"/>
      <c r="I3055" s="523"/>
      <c r="J3055" s="521"/>
      <c r="K3055" s="522"/>
      <c r="M3055" s="301" t="str">
        <f>N3055&amp;AS[[#This Row],[Insurer Code]]&amp;"; "&amp;O3055&amp;AS[[#This Row],[Reporting Year]]&amp;"; "&amp;P3055&amp;AS[[#This Row],[Insurance Category Code]]&amp;"; "&amp;Q3055&amp;AS[[#This Row],[Large Provider Entity Code]]&amp;"; "&amp;R3055&amp;AS[[#This Row],[Age Band Code]]&amp;"; "&amp;S3055&amp;AS[[#This Row],[Sex Code]]</f>
        <v xml:space="preserve">Insurer Code ; Reporting Year ; Insurance Category Code ; Large Provider Entity Code ; Age Band Code ; Sex Code </v>
      </c>
      <c r="N3055" s="297" t="s">
        <v>197</v>
      </c>
      <c r="O3055" s="297" t="s">
        <v>198</v>
      </c>
      <c r="P3055" s="297" t="s">
        <v>199</v>
      </c>
      <c r="Q3055" s="297" t="s">
        <v>200</v>
      </c>
      <c r="R3055" s="297" t="s">
        <v>213</v>
      </c>
      <c r="S3055" s="297" t="s">
        <v>214</v>
      </c>
    </row>
    <row r="3056" spans="1:19" x14ac:dyDescent="0.4">
      <c r="A3056" s="291"/>
      <c r="B3056" s="292"/>
      <c r="C3056" s="312"/>
      <c r="D3056" s="292"/>
      <c r="E3056" s="489"/>
      <c r="F3056" s="489"/>
      <c r="G3056" s="490"/>
      <c r="H3056" s="520"/>
      <c r="I3056" s="523"/>
      <c r="J3056" s="521"/>
      <c r="K3056" s="522"/>
      <c r="M3056" s="301" t="str">
        <f>N3056&amp;AS[[#This Row],[Insurer Code]]&amp;"; "&amp;O3056&amp;AS[[#This Row],[Reporting Year]]&amp;"; "&amp;P3056&amp;AS[[#This Row],[Insurance Category Code]]&amp;"; "&amp;Q3056&amp;AS[[#This Row],[Large Provider Entity Code]]&amp;"; "&amp;R3056&amp;AS[[#This Row],[Age Band Code]]&amp;"; "&amp;S3056&amp;AS[[#This Row],[Sex Code]]</f>
        <v xml:space="preserve">Insurer Code ; Reporting Year ; Insurance Category Code ; Large Provider Entity Code ; Age Band Code ; Sex Code </v>
      </c>
      <c r="N3056" s="297" t="s">
        <v>197</v>
      </c>
      <c r="O3056" s="297" t="s">
        <v>198</v>
      </c>
      <c r="P3056" s="297" t="s">
        <v>199</v>
      </c>
      <c r="Q3056" s="297" t="s">
        <v>200</v>
      </c>
      <c r="R3056" s="297" t="s">
        <v>213</v>
      </c>
      <c r="S3056" s="297" t="s">
        <v>214</v>
      </c>
    </row>
    <row r="3057" spans="1:19" x14ac:dyDescent="0.4">
      <c r="A3057" s="291"/>
      <c r="B3057" s="292"/>
      <c r="C3057" s="312"/>
      <c r="D3057" s="292"/>
      <c r="E3057" s="489"/>
      <c r="F3057" s="489"/>
      <c r="G3057" s="490"/>
      <c r="H3057" s="520"/>
      <c r="I3057" s="523"/>
      <c r="J3057" s="521"/>
      <c r="K3057" s="522"/>
      <c r="M3057" s="301" t="str">
        <f>N3057&amp;AS[[#This Row],[Insurer Code]]&amp;"; "&amp;O3057&amp;AS[[#This Row],[Reporting Year]]&amp;"; "&amp;P3057&amp;AS[[#This Row],[Insurance Category Code]]&amp;"; "&amp;Q3057&amp;AS[[#This Row],[Large Provider Entity Code]]&amp;"; "&amp;R3057&amp;AS[[#This Row],[Age Band Code]]&amp;"; "&amp;S3057&amp;AS[[#This Row],[Sex Code]]</f>
        <v xml:space="preserve">Insurer Code ; Reporting Year ; Insurance Category Code ; Large Provider Entity Code ; Age Band Code ; Sex Code </v>
      </c>
      <c r="N3057" s="297" t="s">
        <v>197</v>
      </c>
      <c r="O3057" s="297" t="s">
        <v>198</v>
      </c>
      <c r="P3057" s="297" t="s">
        <v>199</v>
      </c>
      <c r="Q3057" s="297" t="s">
        <v>200</v>
      </c>
      <c r="R3057" s="297" t="s">
        <v>213</v>
      </c>
      <c r="S3057" s="297" t="s">
        <v>214</v>
      </c>
    </row>
    <row r="3058" spans="1:19" x14ac:dyDescent="0.4">
      <c r="A3058" s="291"/>
      <c r="B3058" s="292"/>
      <c r="C3058" s="312"/>
      <c r="D3058" s="292"/>
      <c r="E3058" s="489"/>
      <c r="F3058" s="489"/>
      <c r="G3058" s="490"/>
      <c r="H3058" s="520"/>
      <c r="I3058" s="523"/>
      <c r="J3058" s="521"/>
      <c r="K3058" s="522"/>
      <c r="M3058" s="301" t="str">
        <f>N3058&amp;AS[[#This Row],[Insurer Code]]&amp;"; "&amp;O3058&amp;AS[[#This Row],[Reporting Year]]&amp;"; "&amp;P3058&amp;AS[[#This Row],[Insurance Category Code]]&amp;"; "&amp;Q3058&amp;AS[[#This Row],[Large Provider Entity Code]]&amp;"; "&amp;R3058&amp;AS[[#This Row],[Age Band Code]]&amp;"; "&amp;S3058&amp;AS[[#This Row],[Sex Code]]</f>
        <v xml:space="preserve">Insurer Code ; Reporting Year ; Insurance Category Code ; Large Provider Entity Code ; Age Band Code ; Sex Code </v>
      </c>
      <c r="N3058" s="297" t="s">
        <v>197</v>
      </c>
      <c r="O3058" s="297" t="s">
        <v>198</v>
      </c>
      <c r="P3058" s="297" t="s">
        <v>199</v>
      </c>
      <c r="Q3058" s="297" t="s">
        <v>200</v>
      </c>
      <c r="R3058" s="297" t="s">
        <v>213</v>
      </c>
      <c r="S3058" s="297" t="s">
        <v>214</v>
      </c>
    </row>
    <row r="3059" spans="1:19" x14ac:dyDescent="0.4">
      <c r="A3059" s="291"/>
      <c r="B3059" s="292"/>
      <c r="C3059" s="312"/>
      <c r="D3059" s="292"/>
      <c r="E3059" s="489"/>
      <c r="F3059" s="489"/>
      <c r="G3059" s="490"/>
      <c r="H3059" s="520"/>
      <c r="I3059" s="523"/>
      <c r="J3059" s="521"/>
      <c r="K3059" s="522"/>
      <c r="M3059" s="301" t="str">
        <f>N3059&amp;AS[[#This Row],[Insurer Code]]&amp;"; "&amp;O3059&amp;AS[[#This Row],[Reporting Year]]&amp;"; "&amp;P3059&amp;AS[[#This Row],[Insurance Category Code]]&amp;"; "&amp;Q3059&amp;AS[[#This Row],[Large Provider Entity Code]]&amp;"; "&amp;R3059&amp;AS[[#This Row],[Age Band Code]]&amp;"; "&amp;S3059&amp;AS[[#This Row],[Sex Code]]</f>
        <v xml:space="preserve">Insurer Code ; Reporting Year ; Insurance Category Code ; Large Provider Entity Code ; Age Band Code ; Sex Code </v>
      </c>
      <c r="N3059" s="297" t="s">
        <v>197</v>
      </c>
      <c r="O3059" s="297" t="s">
        <v>198</v>
      </c>
      <c r="P3059" s="297" t="s">
        <v>199</v>
      </c>
      <c r="Q3059" s="297" t="s">
        <v>200</v>
      </c>
      <c r="R3059" s="297" t="s">
        <v>213</v>
      </c>
      <c r="S3059" s="297" t="s">
        <v>214</v>
      </c>
    </row>
    <row r="3060" spans="1:19" x14ac:dyDescent="0.4">
      <c r="A3060" s="291"/>
      <c r="B3060" s="292"/>
      <c r="C3060" s="312"/>
      <c r="D3060" s="292"/>
      <c r="E3060" s="489"/>
      <c r="F3060" s="489"/>
      <c r="G3060" s="490"/>
      <c r="H3060" s="520"/>
      <c r="I3060" s="523"/>
      <c r="J3060" s="521"/>
      <c r="K3060" s="522"/>
      <c r="M3060" s="301" t="str">
        <f>N3060&amp;AS[[#This Row],[Insurer Code]]&amp;"; "&amp;O3060&amp;AS[[#This Row],[Reporting Year]]&amp;"; "&amp;P3060&amp;AS[[#This Row],[Insurance Category Code]]&amp;"; "&amp;Q3060&amp;AS[[#This Row],[Large Provider Entity Code]]&amp;"; "&amp;R3060&amp;AS[[#This Row],[Age Band Code]]&amp;"; "&amp;S3060&amp;AS[[#This Row],[Sex Code]]</f>
        <v xml:space="preserve">Insurer Code ; Reporting Year ; Insurance Category Code ; Large Provider Entity Code ; Age Band Code ; Sex Code </v>
      </c>
      <c r="N3060" s="297" t="s">
        <v>197</v>
      </c>
      <c r="O3060" s="297" t="s">
        <v>198</v>
      </c>
      <c r="P3060" s="297" t="s">
        <v>199</v>
      </c>
      <c r="Q3060" s="297" t="s">
        <v>200</v>
      </c>
      <c r="R3060" s="297" t="s">
        <v>213</v>
      </c>
      <c r="S3060" s="297" t="s">
        <v>214</v>
      </c>
    </row>
    <row r="3061" spans="1:19" x14ac:dyDescent="0.4">
      <c r="A3061" s="291"/>
      <c r="B3061" s="292"/>
      <c r="C3061" s="312"/>
      <c r="D3061" s="292"/>
      <c r="E3061" s="489"/>
      <c r="F3061" s="489"/>
      <c r="G3061" s="490"/>
      <c r="H3061" s="520"/>
      <c r="I3061" s="523"/>
      <c r="J3061" s="521"/>
      <c r="K3061" s="522"/>
      <c r="M3061" s="301" t="str">
        <f>N3061&amp;AS[[#This Row],[Insurer Code]]&amp;"; "&amp;O3061&amp;AS[[#This Row],[Reporting Year]]&amp;"; "&amp;P3061&amp;AS[[#This Row],[Insurance Category Code]]&amp;"; "&amp;Q3061&amp;AS[[#This Row],[Large Provider Entity Code]]&amp;"; "&amp;R3061&amp;AS[[#This Row],[Age Band Code]]&amp;"; "&amp;S3061&amp;AS[[#This Row],[Sex Code]]</f>
        <v xml:space="preserve">Insurer Code ; Reporting Year ; Insurance Category Code ; Large Provider Entity Code ; Age Band Code ; Sex Code </v>
      </c>
      <c r="N3061" s="297" t="s">
        <v>197</v>
      </c>
      <c r="O3061" s="297" t="s">
        <v>198</v>
      </c>
      <c r="P3061" s="297" t="s">
        <v>199</v>
      </c>
      <c r="Q3061" s="297" t="s">
        <v>200</v>
      </c>
      <c r="R3061" s="297" t="s">
        <v>213</v>
      </c>
      <c r="S3061" s="297" t="s">
        <v>214</v>
      </c>
    </row>
    <row r="3062" spans="1:19" x14ac:dyDescent="0.4">
      <c r="A3062" s="291"/>
      <c r="B3062" s="292"/>
      <c r="C3062" s="312"/>
      <c r="D3062" s="292"/>
      <c r="E3062" s="489"/>
      <c r="F3062" s="489"/>
      <c r="G3062" s="490"/>
      <c r="H3062" s="520"/>
      <c r="I3062" s="523"/>
      <c r="J3062" s="521"/>
      <c r="K3062" s="522"/>
      <c r="M3062" s="301" t="str">
        <f>N3062&amp;AS[[#This Row],[Insurer Code]]&amp;"; "&amp;O3062&amp;AS[[#This Row],[Reporting Year]]&amp;"; "&amp;P3062&amp;AS[[#This Row],[Insurance Category Code]]&amp;"; "&amp;Q3062&amp;AS[[#This Row],[Large Provider Entity Code]]&amp;"; "&amp;R3062&amp;AS[[#This Row],[Age Band Code]]&amp;"; "&amp;S3062&amp;AS[[#This Row],[Sex Code]]</f>
        <v xml:space="preserve">Insurer Code ; Reporting Year ; Insurance Category Code ; Large Provider Entity Code ; Age Band Code ; Sex Code </v>
      </c>
      <c r="N3062" s="297" t="s">
        <v>197</v>
      </c>
      <c r="O3062" s="297" t="s">
        <v>198</v>
      </c>
      <c r="P3062" s="297" t="s">
        <v>199</v>
      </c>
      <c r="Q3062" s="297" t="s">
        <v>200</v>
      </c>
      <c r="R3062" s="297" t="s">
        <v>213</v>
      </c>
      <c r="S3062" s="297" t="s">
        <v>214</v>
      </c>
    </row>
    <row r="3063" spans="1:19" x14ac:dyDescent="0.4">
      <c r="A3063" s="291"/>
      <c r="B3063" s="292"/>
      <c r="C3063" s="312"/>
      <c r="D3063" s="292"/>
      <c r="E3063" s="489"/>
      <c r="F3063" s="489"/>
      <c r="G3063" s="490"/>
      <c r="H3063" s="520"/>
      <c r="I3063" s="523"/>
      <c r="J3063" s="521"/>
      <c r="K3063" s="522"/>
      <c r="M3063" s="301" t="str">
        <f>N3063&amp;AS[[#This Row],[Insurer Code]]&amp;"; "&amp;O3063&amp;AS[[#This Row],[Reporting Year]]&amp;"; "&amp;P3063&amp;AS[[#This Row],[Insurance Category Code]]&amp;"; "&amp;Q3063&amp;AS[[#This Row],[Large Provider Entity Code]]&amp;"; "&amp;R3063&amp;AS[[#This Row],[Age Band Code]]&amp;"; "&amp;S3063&amp;AS[[#This Row],[Sex Code]]</f>
        <v xml:space="preserve">Insurer Code ; Reporting Year ; Insurance Category Code ; Large Provider Entity Code ; Age Band Code ; Sex Code </v>
      </c>
      <c r="N3063" s="297" t="s">
        <v>197</v>
      </c>
      <c r="O3063" s="297" t="s">
        <v>198</v>
      </c>
      <c r="P3063" s="297" t="s">
        <v>199</v>
      </c>
      <c r="Q3063" s="297" t="s">
        <v>200</v>
      </c>
      <c r="R3063" s="297" t="s">
        <v>213</v>
      </c>
      <c r="S3063" s="297" t="s">
        <v>214</v>
      </c>
    </row>
    <row r="3064" spans="1:19" x14ac:dyDescent="0.4">
      <c r="A3064" s="291"/>
      <c r="B3064" s="292"/>
      <c r="C3064" s="312"/>
      <c r="D3064" s="292"/>
      <c r="E3064" s="489"/>
      <c r="F3064" s="489"/>
      <c r="G3064" s="490"/>
      <c r="H3064" s="520"/>
      <c r="I3064" s="523"/>
      <c r="J3064" s="521"/>
      <c r="K3064" s="522"/>
      <c r="M3064" s="301" t="str">
        <f>N3064&amp;AS[[#This Row],[Insurer Code]]&amp;"; "&amp;O3064&amp;AS[[#This Row],[Reporting Year]]&amp;"; "&amp;P3064&amp;AS[[#This Row],[Insurance Category Code]]&amp;"; "&amp;Q3064&amp;AS[[#This Row],[Large Provider Entity Code]]&amp;"; "&amp;R3064&amp;AS[[#This Row],[Age Band Code]]&amp;"; "&amp;S3064&amp;AS[[#This Row],[Sex Code]]</f>
        <v xml:space="preserve">Insurer Code ; Reporting Year ; Insurance Category Code ; Large Provider Entity Code ; Age Band Code ; Sex Code </v>
      </c>
      <c r="N3064" s="297" t="s">
        <v>197</v>
      </c>
      <c r="O3064" s="297" t="s">
        <v>198</v>
      </c>
      <c r="P3064" s="297" t="s">
        <v>199</v>
      </c>
      <c r="Q3064" s="297" t="s">
        <v>200</v>
      </c>
      <c r="R3064" s="297" t="s">
        <v>213</v>
      </c>
      <c r="S3064" s="297" t="s">
        <v>214</v>
      </c>
    </row>
    <row r="3065" spans="1:19" x14ac:dyDescent="0.4">
      <c r="A3065" s="291"/>
      <c r="B3065" s="292"/>
      <c r="C3065" s="312"/>
      <c r="D3065" s="292"/>
      <c r="E3065" s="489"/>
      <c r="F3065" s="489"/>
      <c r="G3065" s="490"/>
      <c r="H3065" s="520"/>
      <c r="I3065" s="523"/>
      <c r="J3065" s="521"/>
      <c r="K3065" s="522"/>
      <c r="M3065" s="301" t="str">
        <f>N3065&amp;AS[[#This Row],[Insurer Code]]&amp;"; "&amp;O3065&amp;AS[[#This Row],[Reporting Year]]&amp;"; "&amp;P3065&amp;AS[[#This Row],[Insurance Category Code]]&amp;"; "&amp;Q3065&amp;AS[[#This Row],[Large Provider Entity Code]]&amp;"; "&amp;R3065&amp;AS[[#This Row],[Age Band Code]]&amp;"; "&amp;S3065&amp;AS[[#This Row],[Sex Code]]</f>
        <v xml:space="preserve">Insurer Code ; Reporting Year ; Insurance Category Code ; Large Provider Entity Code ; Age Band Code ; Sex Code </v>
      </c>
      <c r="N3065" s="297" t="s">
        <v>197</v>
      </c>
      <c r="O3065" s="297" t="s">
        <v>198</v>
      </c>
      <c r="P3065" s="297" t="s">
        <v>199</v>
      </c>
      <c r="Q3065" s="297" t="s">
        <v>200</v>
      </c>
      <c r="R3065" s="297" t="s">
        <v>213</v>
      </c>
      <c r="S3065" s="297" t="s">
        <v>214</v>
      </c>
    </row>
    <row r="3066" spans="1:19" x14ac:dyDescent="0.4">
      <c r="A3066" s="291"/>
      <c r="B3066" s="292"/>
      <c r="C3066" s="312"/>
      <c r="D3066" s="292"/>
      <c r="E3066" s="489"/>
      <c r="F3066" s="489"/>
      <c r="G3066" s="490"/>
      <c r="H3066" s="520"/>
      <c r="I3066" s="523"/>
      <c r="J3066" s="521"/>
      <c r="K3066" s="522"/>
      <c r="M3066" s="301" t="str">
        <f>N3066&amp;AS[[#This Row],[Insurer Code]]&amp;"; "&amp;O3066&amp;AS[[#This Row],[Reporting Year]]&amp;"; "&amp;P3066&amp;AS[[#This Row],[Insurance Category Code]]&amp;"; "&amp;Q3066&amp;AS[[#This Row],[Large Provider Entity Code]]&amp;"; "&amp;R3066&amp;AS[[#This Row],[Age Band Code]]&amp;"; "&amp;S3066&amp;AS[[#This Row],[Sex Code]]</f>
        <v xml:space="preserve">Insurer Code ; Reporting Year ; Insurance Category Code ; Large Provider Entity Code ; Age Band Code ; Sex Code </v>
      </c>
      <c r="N3066" s="297" t="s">
        <v>197</v>
      </c>
      <c r="O3066" s="297" t="s">
        <v>198</v>
      </c>
      <c r="P3066" s="297" t="s">
        <v>199</v>
      </c>
      <c r="Q3066" s="297" t="s">
        <v>200</v>
      </c>
      <c r="R3066" s="297" t="s">
        <v>213</v>
      </c>
      <c r="S3066" s="297" t="s">
        <v>214</v>
      </c>
    </row>
    <row r="3067" spans="1:19" x14ac:dyDescent="0.4">
      <c r="A3067" s="291"/>
      <c r="B3067" s="292"/>
      <c r="C3067" s="312"/>
      <c r="D3067" s="292"/>
      <c r="E3067" s="489"/>
      <c r="F3067" s="489"/>
      <c r="G3067" s="490"/>
      <c r="H3067" s="520"/>
      <c r="I3067" s="523"/>
      <c r="J3067" s="521"/>
      <c r="K3067" s="522"/>
      <c r="M3067" s="301" t="str">
        <f>N3067&amp;AS[[#This Row],[Insurer Code]]&amp;"; "&amp;O3067&amp;AS[[#This Row],[Reporting Year]]&amp;"; "&amp;P3067&amp;AS[[#This Row],[Insurance Category Code]]&amp;"; "&amp;Q3067&amp;AS[[#This Row],[Large Provider Entity Code]]&amp;"; "&amp;R3067&amp;AS[[#This Row],[Age Band Code]]&amp;"; "&amp;S3067&amp;AS[[#This Row],[Sex Code]]</f>
        <v xml:space="preserve">Insurer Code ; Reporting Year ; Insurance Category Code ; Large Provider Entity Code ; Age Band Code ; Sex Code </v>
      </c>
      <c r="N3067" s="297" t="s">
        <v>197</v>
      </c>
      <c r="O3067" s="297" t="s">
        <v>198</v>
      </c>
      <c r="P3067" s="297" t="s">
        <v>199</v>
      </c>
      <c r="Q3067" s="297" t="s">
        <v>200</v>
      </c>
      <c r="R3067" s="297" t="s">
        <v>213</v>
      </c>
      <c r="S3067" s="297" t="s">
        <v>214</v>
      </c>
    </row>
    <row r="3068" spans="1:19" x14ac:dyDescent="0.4">
      <c r="A3068" s="291"/>
      <c r="B3068" s="292"/>
      <c r="C3068" s="312"/>
      <c r="D3068" s="292"/>
      <c r="E3068" s="489"/>
      <c r="F3068" s="489"/>
      <c r="G3068" s="490"/>
      <c r="H3068" s="520"/>
      <c r="I3068" s="523"/>
      <c r="J3068" s="521"/>
      <c r="K3068" s="522"/>
      <c r="M3068" s="301" t="str">
        <f>N3068&amp;AS[[#This Row],[Insurer Code]]&amp;"; "&amp;O3068&amp;AS[[#This Row],[Reporting Year]]&amp;"; "&amp;P3068&amp;AS[[#This Row],[Insurance Category Code]]&amp;"; "&amp;Q3068&amp;AS[[#This Row],[Large Provider Entity Code]]&amp;"; "&amp;R3068&amp;AS[[#This Row],[Age Band Code]]&amp;"; "&amp;S3068&amp;AS[[#This Row],[Sex Code]]</f>
        <v xml:space="preserve">Insurer Code ; Reporting Year ; Insurance Category Code ; Large Provider Entity Code ; Age Band Code ; Sex Code </v>
      </c>
      <c r="N3068" s="297" t="s">
        <v>197</v>
      </c>
      <c r="O3068" s="297" t="s">
        <v>198</v>
      </c>
      <c r="P3068" s="297" t="s">
        <v>199</v>
      </c>
      <c r="Q3068" s="297" t="s">
        <v>200</v>
      </c>
      <c r="R3068" s="297" t="s">
        <v>213</v>
      </c>
      <c r="S3068" s="297" t="s">
        <v>214</v>
      </c>
    </row>
    <row r="3069" spans="1:19" x14ac:dyDescent="0.4">
      <c r="A3069" s="291"/>
      <c r="B3069" s="292"/>
      <c r="C3069" s="312"/>
      <c r="D3069" s="292"/>
      <c r="E3069" s="489"/>
      <c r="F3069" s="489"/>
      <c r="G3069" s="490"/>
      <c r="H3069" s="520"/>
      <c r="I3069" s="523"/>
      <c r="J3069" s="521"/>
      <c r="K3069" s="522"/>
      <c r="M3069" s="301" t="str">
        <f>N3069&amp;AS[[#This Row],[Insurer Code]]&amp;"; "&amp;O3069&amp;AS[[#This Row],[Reporting Year]]&amp;"; "&amp;P3069&amp;AS[[#This Row],[Insurance Category Code]]&amp;"; "&amp;Q3069&amp;AS[[#This Row],[Large Provider Entity Code]]&amp;"; "&amp;R3069&amp;AS[[#This Row],[Age Band Code]]&amp;"; "&amp;S3069&amp;AS[[#This Row],[Sex Code]]</f>
        <v xml:space="preserve">Insurer Code ; Reporting Year ; Insurance Category Code ; Large Provider Entity Code ; Age Band Code ; Sex Code </v>
      </c>
      <c r="N3069" s="297" t="s">
        <v>197</v>
      </c>
      <c r="O3069" s="297" t="s">
        <v>198</v>
      </c>
      <c r="P3069" s="297" t="s">
        <v>199</v>
      </c>
      <c r="Q3069" s="297" t="s">
        <v>200</v>
      </c>
      <c r="R3069" s="297" t="s">
        <v>213</v>
      </c>
      <c r="S3069" s="297" t="s">
        <v>214</v>
      </c>
    </row>
    <row r="3070" spans="1:19" x14ac:dyDescent="0.4">
      <c r="A3070" s="291"/>
      <c r="B3070" s="292"/>
      <c r="C3070" s="312"/>
      <c r="D3070" s="292"/>
      <c r="E3070" s="489"/>
      <c r="F3070" s="489"/>
      <c r="G3070" s="490"/>
      <c r="H3070" s="520"/>
      <c r="I3070" s="523"/>
      <c r="J3070" s="521"/>
      <c r="K3070" s="522"/>
      <c r="M3070" s="301" t="str">
        <f>N3070&amp;AS[[#This Row],[Insurer Code]]&amp;"; "&amp;O3070&amp;AS[[#This Row],[Reporting Year]]&amp;"; "&amp;P3070&amp;AS[[#This Row],[Insurance Category Code]]&amp;"; "&amp;Q3070&amp;AS[[#This Row],[Large Provider Entity Code]]&amp;"; "&amp;R3070&amp;AS[[#This Row],[Age Band Code]]&amp;"; "&amp;S3070&amp;AS[[#This Row],[Sex Code]]</f>
        <v xml:space="preserve">Insurer Code ; Reporting Year ; Insurance Category Code ; Large Provider Entity Code ; Age Band Code ; Sex Code </v>
      </c>
      <c r="N3070" s="297" t="s">
        <v>197</v>
      </c>
      <c r="O3070" s="297" t="s">
        <v>198</v>
      </c>
      <c r="P3070" s="297" t="s">
        <v>199</v>
      </c>
      <c r="Q3070" s="297" t="s">
        <v>200</v>
      </c>
      <c r="R3070" s="297" t="s">
        <v>213</v>
      </c>
      <c r="S3070" s="297" t="s">
        <v>214</v>
      </c>
    </row>
    <row r="3071" spans="1:19" x14ac:dyDescent="0.4">
      <c r="A3071" s="291"/>
      <c r="B3071" s="292"/>
      <c r="C3071" s="312"/>
      <c r="D3071" s="292"/>
      <c r="E3071" s="489"/>
      <c r="F3071" s="489"/>
      <c r="G3071" s="490"/>
      <c r="H3071" s="520"/>
      <c r="I3071" s="523"/>
      <c r="J3071" s="521"/>
      <c r="K3071" s="522"/>
      <c r="M3071" s="301" t="str">
        <f>N3071&amp;AS[[#This Row],[Insurer Code]]&amp;"; "&amp;O3071&amp;AS[[#This Row],[Reporting Year]]&amp;"; "&amp;P3071&amp;AS[[#This Row],[Insurance Category Code]]&amp;"; "&amp;Q3071&amp;AS[[#This Row],[Large Provider Entity Code]]&amp;"; "&amp;R3071&amp;AS[[#This Row],[Age Band Code]]&amp;"; "&amp;S3071&amp;AS[[#This Row],[Sex Code]]</f>
        <v xml:space="preserve">Insurer Code ; Reporting Year ; Insurance Category Code ; Large Provider Entity Code ; Age Band Code ; Sex Code </v>
      </c>
      <c r="N3071" s="297" t="s">
        <v>197</v>
      </c>
      <c r="O3071" s="297" t="s">
        <v>198</v>
      </c>
      <c r="P3071" s="297" t="s">
        <v>199</v>
      </c>
      <c r="Q3071" s="297" t="s">
        <v>200</v>
      </c>
      <c r="R3071" s="297" t="s">
        <v>213</v>
      </c>
      <c r="S3071" s="297" t="s">
        <v>214</v>
      </c>
    </row>
    <row r="3072" spans="1:19" x14ac:dyDescent="0.4">
      <c r="A3072" s="291"/>
      <c r="B3072" s="292"/>
      <c r="C3072" s="312"/>
      <c r="D3072" s="292"/>
      <c r="E3072" s="489"/>
      <c r="F3072" s="489"/>
      <c r="G3072" s="490"/>
      <c r="H3072" s="520"/>
      <c r="I3072" s="523"/>
      <c r="J3072" s="521"/>
      <c r="K3072" s="522"/>
      <c r="M3072" s="301" t="str">
        <f>N3072&amp;AS[[#This Row],[Insurer Code]]&amp;"; "&amp;O3072&amp;AS[[#This Row],[Reporting Year]]&amp;"; "&amp;P3072&amp;AS[[#This Row],[Insurance Category Code]]&amp;"; "&amp;Q3072&amp;AS[[#This Row],[Large Provider Entity Code]]&amp;"; "&amp;R3072&amp;AS[[#This Row],[Age Band Code]]&amp;"; "&amp;S3072&amp;AS[[#This Row],[Sex Code]]</f>
        <v xml:space="preserve">Insurer Code ; Reporting Year ; Insurance Category Code ; Large Provider Entity Code ; Age Band Code ; Sex Code </v>
      </c>
      <c r="N3072" s="297" t="s">
        <v>197</v>
      </c>
      <c r="O3072" s="297" t="s">
        <v>198</v>
      </c>
      <c r="P3072" s="297" t="s">
        <v>199</v>
      </c>
      <c r="Q3072" s="297" t="s">
        <v>200</v>
      </c>
      <c r="R3072" s="297" t="s">
        <v>213</v>
      </c>
      <c r="S3072" s="297" t="s">
        <v>214</v>
      </c>
    </row>
    <row r="3073" spans="1:19" x14ac:dyDescent="0.4">
      <c r="A3073" s="291"/>
      <c r="B3073" s="292"/>
      <c r="C3073" s="312"/>
      <c r="D3073" s="292"/>
      <c r="E3073" s="489"/>
      <c r="F3073" s="489"/>
      <c r="G3073" s="490"/>
      <c r="H3073" s="520"/>
      <c r="I3073" s="523"/>
      <c r="J3073" s="521"/>
      <c r="K3073" s="522"/>
      <c r="M3073" s="301" t="str">
        <f>N3073&amp;AS[[#This Row],[Insurer Code]]&amp;"; "&amp;O3073&amp;AS[[#This Row],[Reporting Year]]&amp;"; "&amp;P3073&amp;AS[[#This Row],[Insurance Category Code]]&amp;"; "&amp;Q3073&amp;AS[[#This Row],[Large Provider Entity Code]]&amp;"; "&amp;R3073&amp;AS[[#This Row],[Age Band Code]]&amp;"; "&amp;S3073&amp;AS[[#This Row],[Sex Code]]</f>
        <v xml:space="preserve">Insurer Code ; Reporting Year ; Insurance Category Code ; Large Provider Entity Code ; Age Band Code ; Sex Code </v>
      </c>
      <c r="N3073" s="297" t="s">
        <v>197</v>
      </c>
      <c r="O3073" s="297" t="s">
        <v>198</v>
      </c>
      <c r="P3073" s="297" t="s">
        <v>199</v>
      </c>
      <c r="Q3073" s="297" t="s">
        <v>200</v>
      </c>
      <c r="R3073" s="297" t="s">
        <v>213</v>
      </c>
      <c r="S3073" s="297" t="s">
        <v>214</v>
      </c>
    </row>
    <row r="3074" spans="1:19" x14ac:dyDescent="0.4">
      <c r="A3074" s="291"/>
      <c r="B3074" s="292"/>
      <c r="C3074" s="312"/>
      <c r="D3074" s="292"/>
      <c r="E3074" s="489"/>
      <c r="F3074" s="489"/>
      <c r="G3074" s="490"/>
      <c r="H3074" s="520"/>
      <c r="I3074" s="523"/>
      <c r="J3074" s="521"/>
      <c r="K3074" s="522"/>
      <c r="M3074" s="301" t="str">
        <f>N3074&amp;AS[[#This Row],[Insurer Code]]&amp;"; "&amp;O3074&amp;AS[[#This Row],[Reporting Year]]&amp;"; "&amp;P3074&amp;AS[[#This Row],[Insurance Category Code]]&amp;"; "&amp;Q3074&amp;AS[[#This Row],[Large Provider Entity Code]]&amp;"; "&amp;R3074&amp;AS[[#This Row],[Age Band Code]]&amp;"; "&amp;S3074&amp;AS[[#This Row],[Sex Code]]</f>
        <v xml:space="preserve">Insurer Code ; Reporting Year ; Insurance Category Code ; Large Provider Entity Code ; Age Band Code ; Sex Code </v>
      </c>
      <c r="N3074" s="297" t="s">
        <v>197</v>
      </c>
      <c r="O3074" s="297" t="s">
        <v>198</v>
      </c>
      <c r="P3074" s="297" t="s">
        <v>199</v>
      </c>
      <c r="Q3074" s="297" t="s">
        <v>200</v>
      </c>
      <c r="R3074" s="297" t="s">
        <v>213</v>
      </c>
      <c r="S3074" s="297" t="s">
        <v>214</v>
      </c>
    </row>
    <row r="3075" spans="1:19" x14ac:dyDescent="0.4">
      <c r="A3075" s="291"/>
      <c r="B3075" s="292"/>
      <c r="C3075" s="312"/>
      <c r="D3075" s="292"/>
      <c r="E3075" s="489"/>
      <c r="F3075" s="489"/>
      <c r="G3075" s="490"/>
      <c r="H3075" s="520"/>
      <c r="I3075" s="523"/>
      <c r="J3075" s="521"/>
      <c r="K3075" s="522"/>
      <c r="M3075" s="301" t="str">
        <f>N3075&amp;AS[[#This Row],[Insurer Code]]&amp;"; "&amp;O3075&amp;AS[[#This Row],[Reporting Year]]&amp;"; "&amp;P3075&amp;AS[[#This Row],[Insurance Category Code]]&amp;"; "&amp;Q3075&amp;AS[[#This Row],[Large Provider Entity Code]]&amp;"; "&amp;R3075&amp;AS[[#This Row],[Age Band Code]]&amp;"; "&amp;S3075&amp;AS[[#This Row],[Sex Code]]</f>
        <v xml:space="preserve">Insurer Code ; Reporting Year ; Insurance Category Code ; Large Provider Entity Code ; Age Band Code ; Sex Code </v>
      </c>
      <c r="N3075" s="297" t="s">
        <v>197</v>
      </c>
      <c r="O3075" s="297" t="s">
        <v>198</v>
      </c>
      <c r="P3075" s="297" t="s">
        <v>199</v>
      </c>
      <c r="Q3075" s="297" t="s">
        <v>200</v>
      </c>
      <c r="R3075" s="297" t="s">
        <v>213</v>
      </c>
      <c r="S3075" s="297" t="s">
        <v>214</v>
      </c>
    </row>
    <row r="3076" spans="1:19" x14ac:dyDescent="0.4">
      <c r="A3076" s="291"/>
      <c r="B3076" s="292"/>
      <c r="C3076" s="312"/>
      <c r="D3076" s="292"/>
      <c r="E3076" s="489"/>
      <c r="F3076" s="489"/>
      <c r="G3076" s="490"/>
      <c r="H3076" s="520"/>
      <c r="I3076" s="523"/>
      <c r="J3076" s="521"/>
      <c r="K3076" s="522"/>
      <c r="M3076" s="301" t="str">
        <f>N3076&amp;AS[[#This Row],[Insurer Code]]&amp;"; "&amp;O3076&amp;AS[[#This Row],[Reporting Year]]&amp;"; "&amp;P3076&amp;AS[[#This Row],[Insurance Category Code]]&amp;"; "&amp;Q3076&amp;AS[[#This Row],[Large Provider Entity Code]]&amp;"; "&amp;R3076&amp;AS[[#This Row],[Age Band Code]]&amp;"; "&amp;S3076&amp;AS[[#This Row],[Sex Code]]</f>
        <v xml:space="preserve">Insurer Code ; Reporting Year ; Insurance Category Code ; Large Provider Entity Code ; Age Band Code ; Sex Code </v>
      </c>
      <c r="N3076" s="297" t="s">
        <v>197</v>
      </c>
      <c r="O3076" s="297" t="s">
        <v>198</v>
      </c>
      <c r="P3076" s="297" t="s">
        <v>199</v>
      </c>
      <c r="Q3076" s="297" t="s">
        <v>200</v>
      </c>
      <c r="R3076" s="297" t="s">
        <v>213</v>
      </c>
      <c r="S3076" s="297" t="s">
        <v>214</v>
      </c>
    </row>
    <row r="3077" spans="1:19" x14ac:dyDescent="0.4">
      <c r="A3077" s="291"/>
      <c r="B3077" s="292"/>
      <c r="C3077" s="312"/>
      <c r="D3077" s="292"/>
      <c r="E3077" s="489"/>
      <c r="F3077" s="489"/>
      <c r="G3077" s="490"/>
      <c r="H3077" s="520"/>
      <c r="I3077" s="523"/>
      <c r="J3077" s="521"/>
      <c r="K3077" s="522"/>
      <c r="M3077" s="301" t="str">
        <f>N3077&amp;AS[[#This Row],[Insurer Code]]&amp;"; "&amp;O3077&amp;AS[[#This Row],[Reporting Year]]&amp;"; "&amp;P3077&amp;AS[[#This Row],[Insurance Category Code]]&amp;"; "&amp;Q3077&amp;AS[[#This Row],[Large Provider Entity Code]]&amp;"; "&amp;R3077&amp;AS[[#This Row],[Age Band Code]]&amp;"; "&amp;S3077&amp;AS[[#This Row],[Sex Code]]</f>
        <v xml:space="preserve">Insurer Code ; Reporting Year ; Insurance Category Code ; Large Provider Entity Code ; Age Band Code ; Sex Code </v>
      </c>
      <c r="N3077" s="297" t="s">
        <v>197</v>
      </c>
      <c r="O3077" s="297" t="s">
        <v>198</v>
      </c>
      <c r="P3077" s="297" t="s">
        <v>199</v>
      </c>
      <c r="Q3077" s="297" t="s">
        <v>200</v>
      </c>
      <c r="R3077" s="297" t="s">
        <v>213</v>
      </c>
      <c r="S3077" s="297" t="s">
        <v>214</v>
      </c>
    </row>
    <row r="3078" spans="1:19" x14ac:dyDescent="0.4">
      <c r="A3078" s="291"/>
      <c r="B3078" s="292"/>
      <c r="C3078" s="312"/>
      <c r="D3078" s="292"/>
      <c r="E3078" s="489"/>
      <c r="F3078" s="489"/>
      <c r="G3078" s="490"/>
      <c r="H3078" s="520"/>
      <c r="I3078" s="523"/>
      <c r="J3078" s="521"/>
      <c r="K3078" s="522"/>
      <c r="M3078" s="301" t="str">
        <f>N3078&amp;AS[[#This Row],[Insurer Code]]&amp;"; "&amp;O3078&amp;AS[[#This Row],[Reporting Year]]&amp;"; "&amp;P3078&amp;AS[[#This Row],[Insurance Category Code]]&amp;"; "&amp;Q3078&amp;AS[[#This Row],[Large Provider Entity Code]]&amp;"; "&amp;R3078&amp;AS[[#This Row],[Age Band Code]]&amp;"; "&amp;S3078&amp;AS[[#This Row],[Sex Code]]</f>
        <v xml:space="preserve">Insurer Code ; Reporting Year ; Insurance Category Code ; Large Provider Entity Code ; Age Band Code ; Sex Code </v>
      </c>
      <c r="N3078" s="297" t="s">
        <v>197</v>
      </c>
      <c r="O3078" s="297" t="s">
        <v>198</v>
      </c>
      <c r="P3078" s="297" t="s">
        <v>199</v>
      </c>
      <c r="Q3078" s="297" t="s">
        <v>200</v>
      </c>
      <c r="R3078" s="297" t="s">
        <v>213</v>
      </c>
      <c r="S3078" s="297" t="s">
        <v>214</v>
      </c>
    </row>
    <row r="3079" spans="1:19" x14ac:dyDescent="0.4">
      <c r="A3079" s="291"/>
      <c r="B3079" s="292"/>
      <c r="C3079" s="312"/>
      <c r="D3079" s="292"/>
      <c r="E3079" s="489"/>
      <c r="F3079" s="489"/>
      <c r="G3079" s="490"/>
      <c r="H3079" s="520"/>
      <c r="I3079" s="523"/>
      <c r="J3079" s="521"/>
      <c r="K3079" s="522"/>
      <c r="M3079" s="301" t="str">
        <f>N3079&amp;AS[[#This Row],[Insurer Code]]&amp;"; "&amp;O3079&amp;AS[[#This Row],[Reporting Year]]&amp;"; "&amp;P3079&amp;AS[[#This Row],[Insurance Category Code]]&amp;"; "&amp;Q3079&amp;AS[[#This Row],[Large Provider Entity Code]]&amp;"; "&amp;R3079&amp;AS[[#This Row],[Age Band Code]]&amp;"; "&amp;S3079&amp;AS[[#This Row],[Sex Code]]</f>
        <v xml:space="preserve">Insurer Code ; Reporting Year ; Insurance Category Code ; Large Provider Entity Code ; Age Band Code ; Sex Code </v>
      </c>
      <c r="N3079" s="297" t="s">
        <v>197</v>
      </c>
      <c r="O3079" s="297" t="s">
        <v>198</v>
      </c>
      <c r="P3079" s="297" t="s">
        <v>199</v>
      </c>
      <c r="Q3079" s="297" t="s">
        <v>200</v>
      </c>
      <c r="R3079" s="297" t="s">
        <v>213</v>
      </c>
      <c r="S3079" s="297" t="s">
        <v>214</v>
      </c>
    </row>
    <row r="3080" spans="1:19" x14ac:dyDescent="0.4">
      <c r="A3080" s="291"/>
      <c r="B3080" s="292"/>
      <c r="C3080" s="312"/>
      <c r="D3080" s="292"/>
      <c r="E3080" s="489"/>
      <c r="F3080" s="489"/>
      <c r="G3080" s="490"/>
      <c r="H3080" s="520"/>
      <c r="I3080" s="523"/>
      <c r="J3080" s="521"/>
      <c r="K3080" s="522"/>
      <c r="M3080" s="301" t="str">
        <f>N3080&amp;AS[[#This Row],[Insurer Code]]&amp;"; "&amp;O3080&amp;AS[[#This Row],[Reporting Year]]&amp;"; "&amp;P3080&amp;AS[[#This Row],[Insurance Category Code]]&amp;"; "&amp;Q3080&amp;AS[[#This Row],[Large Provider Entity Code]]&amp;"; "&amp;R3080&amp;AS[[#This Row],[Age Band Code]]&amp;"; "&amp;S3080&amp;AS[[#This Row],[Sex Code]]</f>
        <v xml:space="preserve">Insurer Code ; Reporting Year ; Insurance Category Code ; Large Provider Entity Code ; Age Band Code ; Sex Code </v>
      </c>
      <c r="N3080" s="297" t="s">
        <v>197</v>
      </c>
      <c r="O3080" s="297" t="s">
        <v>198</v>
      </c>
      <c r="P3080" s="297" t="s">
        <v>199</v>
      </c>
      <c r="Q3080" s="297" t="s">
        <v>200</v>
      </c>
      <c r="R3080" s="297" t="s">
        <v>213</v>
      </c>
      <c r="S3080" s="297" t="s">
        <v>214</v>
      </c>
    </row>
    <row r="3081" spans="1:19" x14ac:dyDescent="0.4">
      <c r="A3081" s="291"/>
      <c r="B3081" s="292"/>
      <c r="C3081" s="312"/>
      <c r="D3081" s="292"/>
      <c r="E3081" s="489"/>
      <c r="F3081" s="489"/>
      <c r="G3081" s="490"/>
      <c r="H3081" s="520"/>
      <c r="I3081" s="523"/>
      <c r="J3081" s="521"/>
      <c r="K3081" s="522"/>
      <c r="M3081" s="301" t="str">
        <f>N3081&amp;AS[[#This Row],[Insurer Code]]&amp;"; "&amp;O3081&amp;AS[[#This Row],[Reporting Year]]&amp;"; "&amp;P3081&amp;AS[[#This Row],[Insurance Category Code]]&amp;"; "&amp;Q3081&amp;AS[[#This Row],[Large Provider Entity Code]]&amp;"; "&amp;R3081&amp;AS[[#This Row],[Age Band Code]]&amp;"; "&amp;S3081&amp;AS[[#This Row],[Sex Code]]</f>
        <v xml:space="preserve">Insurer Code ; Reporting Year ; Insurance Category Code ; Large Provider Entity Code ; Age Band Code ; Sex Code </v>
      </c>
      <c r="N3081" s="297" t="s">
        <v>197</v>
      </c>
      <c r="O3081" s="297" t="s">
        <v>198</v>
      </c>
      <c r="P3081" s="297" t="s">
        <v>199</v>
      </c>
      <c r="Q3081" s="297" t="s">
        <v>200</v>
      </c>
      <c r="R3081" s="297" t="s">
        <v>213</v>
      </c>
      <c r="S3081" s="297" t="s">
        <v>214</v>
      </c>
    </row>
    <row r="3082" spans="1:19" x14ac:dyDescent="0.4">
      <c r="A3082" s="291"/>
      <c r="B3082" s="292"/>
      <c r="C3082" s="312"/>
      <c r="D3082" s="292"/>
      <c r="E3082" s="489"/>
      <c r="F3082" s="489"/>
      <c r="G3082" s="490"/>
      <c r="H3082" s="520"/>
      <c r="I3082" s="523"/>
      <c r="J3082" s="521"/>
      <c r="K3082" s="522"/>
      <c r="M3082" s="301" t="str">
        <f>N3082&amp;AS[[#This Row],[Insurer Code]]&amp;"; "&amp;O3082&amp;AS[[#This Row],[Reporting Year]]&amp;"; "&amp;P3082&amp;AS[[#This Row],[Insurance Category Code]]&amp;"; "&amp;Q3082&amp;AS[[#This Row],[Large Provider Entity Code]]&amp;"; "&amp;R3082&amp;AS[[#This Row],[Age Band Code]]&amp;"; "&amp;S3082&amp;AS[[#This Row],[Sex Code]]</f>
        <v xml:space="preserve">Insurer Code ; Reporting Year ; Insurance Category Code ; Large Provider Entity Code ; Age Band Code ; Sex Code </v>
      </c>
      <c r="N3082" s="297" t="s">
        <v>197</v>
      </c>
      <c r="O3082" s="297" t="s">
        <v>198</v>
      </c>
      <c r="P3082" s="297" t="s">
        <v>199</v>
      </c>
      <c r="Q3082" s="297" t="s">
        <v>200</v>
      </c>
      <c r="R3082" s="297" t="s">
        <v>213</v>
      </c>
      <c r="S3082" s="297" t="s">
        <v>214</v>
      </c>
    </row>
    <row r="3083" spans="1:19" x14ac:dyDescent="0.4">
      <c r="A3083" s="291"/>
      <c r="B3083" s="292"/>
      <c r="C3083" s="312"/>
      <c r="D3083" s="292"/>
      <c r="E3083" s="489"/>
      <c r="F3083" s="489"/>
      <c r="G3083" s="490"/>
      <c r="H3083" s="520"/>
      <c r="I3083" s="523"/>
      <c r="J3083" s="521"/>
      <c r="K3083" s="522"/>
      <c r="M3083" s="301" t="str">
        <f>N3083&amp;AS[[#This Row],[Insurer Code]]&amp;"; "&amp;O3083&amp;AS[[#This Row],[Reporting Year]]&amp;"; "&amp;P3083&amp;AS[[#This Row],[Insurance Category Code]]&amp;"; "&amp;Q3083&amp;AS[[#This Row],[Large Provider Entity Code]]&amp;"; "&amp;R3083&amp;AS[[#This Row],[Age Band Code]]&amp;"; "&amp;S3083&amp;AS[[#This Row],[Sex Code]]</f>
        <v xml:space="preserve">Insurer Code ; Reporting Year ; Insurance Category Code ; Large Provider Entity Code ; Age Band Code ; Sex Code </v>
      </c>
      <c r="N3083" s="297" t="s">
        <v>197</v>
      </c>
      <c r="O3083" s="297" t="s">
        <v>198</v>
      </c>
      <c r="P3083" s="297" t="s">
        <v>199</v>
      </c>
      <c r="Q3083" s="297" t="s">
        <v>200</v>
      </c>
      <c r="R3083" s="297" t="s">
        <v>213</v>
      </c>
      <c r="S3083" s="297" t="s">
        <v>214</v>
      </c>
    </row>
    <row r="3084" spans="1:19" x14ac:dyDescent="0.4">
      <c r="A3084" s="291"/>
      <c r="B3084" s="292"/>
      <c r="C3084" s="312"/>
      <c r="D3084" s="292"/>
      <c r="E3084" s="489"/>
      <c r="F3084" s="489"/>
      <c r="G3084" s="490"/>
      <c r="H3084" s="520"/>
      <c r="I3084" s="523"/>
      <c r="J3084" s="521"/>
      <c r="K3084" s="522"/>
      <c r="M3084" s="301" t="str">
        <f>N3084&amp;AS[[#This Row],[Insurer Code]]&amp;"; "&amp;O3084&amp;AS[[#This Row],[Reporting Year]]&amp;"; "&amp;P3084&amp;AS[[#This Row],[Insurance Category Code]]&amp;"; "&amp;Q3084&amp;AS[[#This Row],[Large Provider Entity Code]]&amp;"; "&amp;R3084&amp;AS[[#This Row],[Age Band Code]]&amp;"; "&amp;S3084&amp;AS[[#This Row],[Sex Code]]</f>
        <v xml:space="preserve">Insurer Code ; Reporting Year ; Insurance Category Code ; Large Provider Entity Code ; Age Band Code ; Sex Code </v>
      </c>
      <c r="N3084" s="297" t="s">
        <v>197</v>
      </c>
      <c r="O3084" s="297" t="s">
        <v>198</v>
      </c>
      <c r="P3084" s="297" t="s">
        <v>199</v>
      </c>
      <c r="Q3084" s="297" t="s">
        <v>200</v>
      </c>
      <c r="R3084" s="297" t="s">
        <v>213</v>
      </c>
      <c r="S3084" s="297" t="s">
        <v>214</v>
      </c>
    </row>
    <row r="3085" spans="1:19" x14ac:dyDescent="0.4">
      <c r="A3085" s="291"/>
      <c r="B3085" s="292"/>
      <c r="C3085" s="312"/>
      <c r="D3085" s="292"/>
      <c r="E3085" s="489"/>
      <c r="F3085" s="489"/>
      <c r="G3085" s="490"/>
      <c r="H3085" s="520"/>
      <c r="I3085" s="523"/>
      <c r="J3085" s="521"/>
      <c r="K3085" s="522"/>
      <c r="M3085" s="301" t="str">
        <f>N3085&amp;AS[[#This Row],[Insurer Code]]&amp;"; "&amp;O3085&amp;AS[[#This Row],[Reporting Year]]&amp;"; "&amp;P3085&amp;AS[[#This Row],[Insurance Category Code]]&amp;"; "&amp;Q3085&amp;AS[[#This Row],[Large Provider Entity Code]]&amp;"; "&amp;R3085&amp;AS[[#This Row],[Age Band Code]]&amp;"; "&amp;S3085&amp;AS[[#This Row],[Sex Code]]</f>
        <v xml:space="preserve">Insurer Code ; Reporting Year ; Insurance Category Code ; Large Provider Entity Code ; Age Band Code ; Sex Code </v>
      </c>
      <c r="N3085" s="297" t="s">
        <v>197</v>
      </c>
      <c r="O3085" s="297" t="s">
        <v>198</v>
      </c>
      <c r="P3085" s="297" t="s">
        <v>199</v>
      </c>
      <c r="Q3085" s="297" t="s">
        <v>200</v>
      </c>
      <c r="R3085" s="297" t="s">
        <v>213</v>
      </c>
      <c r="S3085" s="297" t="s">
        <v>214</v>
      </c>
    </row>
    <row r="3086" spans="1:19" x14ac:dyDescent="0.4">
      <c r="A3086" s="291"/>
      <c r="B3086" s="292"/>
      <c r="C3086" s="312"/>
      <c r="D3086" s="292"/>
      <c r="E3086" s="489"/>
      <c r="F3086" s="489"/>
      <c r="G3086" s="490"/>
      <c r="H3086" s="520"/>
      <c r="I3086" s="523"/>
      <c r="J3086" s="521"/>
      <c r="K3086" s="522"/>
      <c r="M3086" s="301" t="str">
        <f>N3086&amp;AS[[#This Row],[Insurer Code]]&amp;"; "&amp;O3086&amp;AS[[#This Row],[Reporting Year]]&amp;"; "&amp;P3086&amp;AS[[#This Row],[Insurance Category Code]]&amp;"; "&amp;Q3086&amp;AS[[#This Row],[Large Provider Entity Code]]&amp;"; "&amp;R3086&amp;AS[[#This Row],[Age Band Code]]&amp;"; "&amp;S3086&amp;AS[[#This Row],[Sex Code]]</f>
        <v xml:space="preserve">Insurer Code ; Reporting Year ; Insurance Category Code ; Large Provider Entity Code ; Age Band Code ; Sex Code </v>
      </c>
      <c r="N3086" s="297" t="s">
        <v>197</v>
      </c>
      <c r="O3086" s="297" t="s">
        <v>198</v>
      </c>
      <c r="P3086" s="297" t="s">
        <v>199</v>
      </c>
      <c r="Q3086" s="297" t="s">
        <v>200</v>
      </c>
      <c r="R3086" s="297" t="s">
        <v>213</v>
      </c>
      <c r="S3086" s="297" t="s">
        <v>214</v>
      </c>
    </row>
    <row r="3087" spans="1:19" x14ac:dyDescent="0.4">
      <c r="A3087" s="291"/>
      <c r="B3087" s="292"/>
      <c r="C3087" s="312"/>
      <c r="D3087" s="292"/>
      <c r="E3087" s="489"/>
      <c r="F3087" s="489"/>
      <c r="G3087" s="490"/>
      <c r="H3087" s="520"/>
      <c r="I3087" s="523"/>
      <c r="J3087" s="521"/>
      <c r="K3087" s="522"/>
      <c r="M3087" s="301" t="str">
        <f>N3087&amp;AS[[#This Row],[Insurer Code]]&amp;"; "&amp;O3087&amp;AS[[#This Row],[Reporting Year]]&amp;"; "&amp;P3087&amp;AS[[#This Row],[Insurance Category Code]]&amp;"; "&amp;Q3087&amp;AS[[#This Row],[Large Provider Entity Code]]&amp;"; "&amp;R3087&amp;AS[[#This Row],[Age Band Code]]&amp;"; "&amp;S3087&amp;AS[[#This Row],[Sex Code]]</f>
        <v xml:space="preserve">Insurer Code ; Reporting Year ; Insurance Category Code ; Large Provider Entity Code ; Age Band Code ; Sex Code </v>
      </c>
      <c r="N3087" s="297" t="s">
        <v>197</v>
      </c>
      <c r="O3087" s="297" t="s">
        <v>198</v>
      </c>
      <c r="P3087" s="297" t="s">
        <v>199</v>
      </c>
      <c r="Q3087" s="297" t="s">
        <v>200</v>
      </c>
      <c r="R3087" s="297" t="s">
        <v>213</v>
      </c>
      <c r="S3087" s="297" t="s">
        <v>214</v>
      </c>
    </row>
    <row r="3088" spans="1:19" x14ac:dyDescent="0.4">
      <c r="A3088" s="291"/>
      <c r="B3088" s="292"/>
      <c r="C3088" s="312"/>
      <c r="D3088" s="292"/>
      <c r="E3088" s="489"/>
      <c r="F3088" s="489"/>
      <c r="G3088" s="490"/>
      <c r="H3088" s="520"/>
      <c r="I3088" s="523"/>
      <c r="J3088" s="521"/>
      <c r="K3088" s="522"/>
      <c r="M3088" s="301" t="str">
        <f>N3088&amp;AS[[#This Row],[Insurer Code]]&amp;"; "&amp;O3088&amp;AS[[#This Row],[Reporting Year]]&amp;"; "&amp;P3088&amp;AS[[#This Row],[Insurance Category Code]]&amp;"; "&amp;Q3088&amp;AS[[#This Row],[Large Provider Entity Code]]&amp;"; "&amp;R3088&amp;AS[[#This Row],[Age Band Code]]&amp;"; "&amp;S3088&amp;AS[[#This Row],[Sex Code]]</f>
        <v xml:space="preserve">Insurer Code ; Reporting Year ; Insurance Category Code ; Large Provider Entity Code ; Age Band Code ; Sex Code </v>
      </c>
      <c r="N3088" s="297" t="s">
        <v>197</v>
      </c>
      <c r="O3088" s="297" t="s">
        <v>198</v>
      </c>
      <c r="P3088" s="297" t="s">
        <v>199</v>
      </c>
      <c r="Q3088" s="297" t="s">
        <v>200</v>
      </c>
      <c r="R3088" s="297" t="s">
        <v>213</v>
      </c>
      <c r="S3088" s="297" t="s">
        <v>214</v>
      </c>
    </row>
    <row r="3089" spans="1:19" x14ac:dyDescent="0.4">
      <c r="A3089" s="291"/>
      <c r="B3089" s="292"/>
      <c r="C3089" s="312"/>
      <c r="D3089" s="292"/>
      <c r="E3089" s="489"/>
      <c r="F3089" s="489"/>
      <c r="G3089" s="490"/>
      <c r="H3089" s="520"/>
      <c r="I3089" s="523"/>
      <c r="J3089" s="521"/>
      <c r="K3089" s="522"/>
      <c r="M3089" s="301" t="str">
        <f>N3089&amp;AS[[#This Row],[Insurer Code]]&amp;"; "&amp;O3089&amp;AS[[#This Row],[Reporting Year]]&amp;"; "&amp;P3089&amp;AS[[#This Row],[Insurance Category Code]]&amp;"; "&amp;Q3089&amp;AS[[#This Row],[Large Provider Entity Code]]&amp;"; "&amp;R3089&amp;AS[[#This Row],[Age Band Code]]&amp;"; "&amp;S3089&amp;AS[[#This Row],[Sex Code]]</f>
        <v xml:space="preserve">Insurer Code ; Reporting Year ; Insurance Category Code ; Large Provider Entity Code ; Age Band Code ; Sex Code </v>
      </c>
      <c r="N3089" s="297" t="s">
        <v>197</v>
      </c>
      <c r="O3089" s="297" t="s">
        <v>198</v>
      </c>
      <c r="P3089" s="297" t="s">
        <v>199</v>
      </c>
      <c r="Q3089" s="297" t="s">
        <v>200</v>
      </c>
      <c r="R3089" s="297" t="s">
        <v>213</v>
      </c>
      <c r="S3089" s="297" t="s">
        <v>214</v>
      </c>
    </row>
    <row r="3090" spans="1:19" x14ac:dyDescent="0.4">
      <c r="A3090" s="291"/>
      <c r="B3090" s="292"/>
      <c r="C3090" s="312"/>
      <c r="D3090" s="292"/>
      <c r="E3090" s="489"/>
      <c r="F3090" s="489"/>
      <c r="G3090" s="490"/>
      <c r="H3090" s="520"/>
      <c r="I3090" s="523"/>
      <c r="J3090" s="521"/>
      <c r="K3090" s="522"/>
      <c r="M3090" s="301" t="str">
        <f>N3090&amp;AS[[#This Row],[Insurer Code]]&amp;"; "&amp;O3090&amp;AS[[#This Row],[Reporting Year]]&amp;"; "&amp;P3090&amp;AS[[#This Row],[Insurance Category Code]]&amp;"; "&amp;Q3090&amp;AS[[#This Row],[Large Provider Entity Code]]&amp;"; "&amp;R3090&amp;AS[[#This Row],[Age Band Code]]&amp;"; "&amp;S3090&amp;AS[[#This Row],[Sex Code]]</f>
        <v xml:space="preserve">Insurer Code ; Reporting Year ; Insurance Category Code ; Large Provider Entity Code ; Age Band Code ; Sex Code </v>
      </c>
      <c r="N3090" s="297" t="s">
        <v>197</v>
      </c>
      <c r="O3090" s="297" t="s">
        <v>198</v>
      </c>
      <c r="P3090" s="297" t="s">
        <v>199</v>
      </c>
      <c r="Q3090" s="297" t="s">
        <v>200</v>
      </c>
      <c r="R3090" s="297" t="s">
        <v>213</v>
      </c>
      <c r="S3090" s="297" t="s">
        <v>214</v>
      </c>
    </row>
    <row r="3091" spans="1:19" x14ac:dyDescent="0.4">
      <c r="A3091" s="291"/>
      <c r="B3091" s="292"/>
      <c r="C3091" s="312"/>
      <c r="D3091" s="292"/>
      <c r="E3091" s="489"/>
      <c r="F3091" s="489"/>
      <c r="G3091" s="490"/>
      <c r="H3091" s="520"/>
      <c r="I3091" s="523"/>
      <c r="J3091" s="521"/>
      <c r="K3091" s="522"/>
      <c r="M3091" s="301" t="str">
        <f>N3091&amp;AS[[#This Row],[Insurer Code]]&amp;"; "&amp;O3091&amp;AS[[#This Row],[Reporting Year]]&amp;"; "&amp;P3091&amp;AS[[#This Row],[Insurance Category Code]]&amp;"; "&amp;Q3091&amp;AS[[#This Row],[Large Provider Entity Code]]&amp;"; "&amp;R3091&amp;AS[[#This Row],[Age Band Code]]&amp;"; "&amp;S3091&amp;AS[[#This Row],[Sex Code]]</f>
        <v xml:space="preserve">Insurer Code ; Reporting Year ; Insurance Category Code ; Large Provider Entity Code ; Age Band Code ; Sex Code </v>
      </c>
      <c r="N3091" s="297" t="s">
        <v>197</v>
      </c>
      <c r="O3091" s="297" t="s">
        <v>198</v>
      </c>
      <c r="P3091" s="297" t="s">
        <v>199</v>
      </c>
      <c r="Q3091" s="297" t="s">
        <v>200</v>
      </c>
      <c r="R3091" s="297" t="s">
        <v>213</v>
      </c>
      <c r="S3091" s="297" t="s">
        <v>214</v>
      </c>
    </row>
    <row r="3092" spans="1:19" x14ac:dyDescent="0.4">
      <c r="A3092" s="291"/>
      <c r="B3092" s="292"/>
      <c r="C3092" s="312"/>
      <c r="D3092" s="292"/>
      <c r="E3092" s="489"/>
      <c r="F3092" s="489"/>
      <c r="G3092" s="490"/>
      <c r="H3092" s="520"/>
      <c r="I3092" s="523"/>
      <c r="J3092" s="521"/>
      <c r="K3092" s="522"/>
      <c r="M3092" s="301" t="str">
        <f>N3092&amp;AS[[#This Row],[Insurer Code]]&amp;"; "&amp;O3092&amp;AS[[#This Row],[Reporting Year]]&amp;"; "&amp;P3092&amp;AS[[#This Row],[Insurance Category Code]]&amp;"; "&amp;Q3092&amp;AS[[#This Row],[Large Provider Entity Code]]&amp;"; "&amp;R3092&amp;AS[[#This Row],[Age Band Code]]&amp;"; "&amp;S3092&amp;AS[[#This Row],[Sex Code]]</f>
        <v xml:space="preserve">Insurer Code ; Reporting Year ; Insurance Category Code ; Large Provider Entity Code ; Age Band Code ; Sex Code </v>
      </c>
      <c r="N3092" s="297" t="s">
        <v>197</v>
      </c>
      <c r="O3092" s="297" t="s">
        <v>198</v>
      </c>
      <c r="P3092" s="297" t="s">
        <v>199</v>
      </c>
      <c r="Q3092" s="297" t="s">
        <v>200</v>
      </c>
      <c r="R3092" s="297" t="s">
        <v>213</v>
      </c>
      <c r="S3092" s="297" t="s">
        <v>214</v>
      </c>
    </row>
    <row r="3093" spans="1:19" x14ac:dyDescent="0.4">
      <c r="A3093" s="291"/>
      <c r="B3093" s="292"/>
      <c r="C3093" s="312"/>
      <c r="D3093" s="292"/>
      <c r="E3093" s="489"/>
      <c r="F3093" s="489"/>
      <c r="G3093" s="490"/>
      <c r="H3093" s="520"/>
      <c r="I3093" s="523"/>
      <c r="J3093" s="521"/>
      <c r="K3093" s="522"/>
      <c r="M3093" s="301" t="str">
        <f>N3093&amp;AS[[#This Row],[Insurer Code]]&amp;"; "&amp;O3093&amp;AS[[#This Row],[Reporting Year]]&amp;"; "&amp;P3093&amp;AS[[#This Row],[Insurance Category Code]]&amp;"; "&amp;Q3093&amp;AS[[#This Row],[Large Provider Entity Code]]&amp;"; "&amp;R3093&amp;AS[[#This Row],[Age Band Code]]&amp;"; "&amp;S3093&amp;AS[[#This Row],[Sex Code]]</f>
        <v xml:space="preserve">Insurer Code ; Reporting Year ; Insurance Category Code ; Large Provider Entity Code ; Age Band Code ; Sex Code </v>
      </c>
      <c r="N3093" s="297" t="s">
        <v>197</v>
      </c>
      <c r="O3093" s="297" t="s">
        <v>198</v>
      </c>
      <c r="P3093" s="297" t="s">
        <v>199</v>
      </c>
      <c r="Q3093" s="297" t="s">
        <v>200</v>
      </c>
      <c r="R3093" s="297" t="s">
        <v>213</v>
      </c>
      <c r="S3093" s="297" t="s">
        <v>214</v>
      </c>
    </row>
    <row r="3094" spans="1:19" x14ac:dyDescent="0.4">
      <c r="A3094" s="291"/>
      <c r="B3094" s="292"/>
      <c r="C3094" s="312"/>
      <c r="D3094" s="292"/>
      <c r="E3094" s="489"/>
      <c r="F3094" s="489"/>
      <c r="G3094" s="490"/>
      <c r="H3094" s="520"/>
      <c r="I3094" s="523"/>
      <c r="J3094" s="521"/>
      <c r="K3094" s="522"/>
      <c r="M3094" s="301" t="str">
        <f>N3094&amp;AS[[#This Row],[Insurer Code]]&amp;"; "&amp;O3094&amp;AS[[#This Row],[Reporting Year]]&amp;"; "&amp;P3094&amp;AS[[#This Row],[Insurance Category Code]]&amp;"; "&amp;Q3094&amp;AS[[#This Row],[Large Provider Entity Code]]&amp;"; "&amp;R3094&amp;AS[[#This Row],[Age Band Code]]&amp;"; "&amp;S3094&amp;AS[[#This Row],[Sex Code]]</f>
        <v xml:space="preserve">Insurer Code ; Reporting Year ; Insurance Category Code ; Large Provider Entity Code ; Age Band Code ; Sex Code </v>
      </c>
      <c r="N3094" s="297" t="s">
        <v>197</v>
      </c>
      <c r="O3094" s="297" t="s">
        <v>198</v>
      </c>
      <c r="P3094" s="297" t="s">
        <v>199</v>
      </c>
      <c r="Q3094" s="297" t="s">
        <v>200</v>
      </c>
      <c r="R3094" s="297" t="s">
        <v>213</v>
      </c>
      <c r="S3094" s="297" t="s">
        <v>214</v>
      </c>
    </row>
    <row r="3095" spans="1:19" x14ac:dyDescent="0.4">
      <c r="A3095" s="291"/>
      <c r="B3095" s="292"/>
      <c r="C3095" s="312"/>
      <c r="D3095" s="292"/>
      <c r="E3095" s="489"/>
      <c r="F3095" s="489"/>
      <c r="G3095" s="490"/>
      <c r="H3095" s="520"/>
      <c r="I3095" s="523"/>
      <c r="J3095" s="521"/>
      <c r="K3095" s="522"/>
      <c r="M3095" s="301" t="str">
        <f>N3095&amp;AS[[#This Row],[Insurer Code]]&amp;"; "&amp;O3095&amp;AS[[#This Row],[Reporting Year]]&amp;"; "&amp;P3095&amp;AS[[#This Row],[Insurance Category Code]]&amp;"; "&amp;Q3095&amp;AS[[#This Row],[Large Provider Entity Code]]&amp;"; "&amp;R3095&amp;AS[[#This Row],[Age Band Code]]&amp;"; "&amp;S3095&amp;AS[[#This Row],[Sex Code]]</f>
        <v xml:space="preserve">Insurer Code ; Reporting Year ; Insurance Category Code ; Large Provider Entity Code ; Age Band Code ; Sex Code </v>
      </c>
      <c r="N3095" s="297" t="s">
        <v>197</v>
      </c>
      <c r="O3095" s="297" t="s">
        <v>198</v>
      </c>
      <c r="P3095" s="297" t="s">
        <v>199</v>
      </c>
      <c r="Q3095" s="297" t="s">
        <v>200</v>
      </c>
      <c r="R3095" s="297" t="s">
        <v>213</v>
      </c>
      <c r="S3095" s="297" t="s">
        <v>214</v>
      </c>
    </row>
    <row r="3096" spans="1:19" x14ac:dyDescent="0.4">
      <c r="A3096" s="291"/>
      <c r="B3096" s="292"/>
      <c r="C3096" s="312"/>
      <c r="D3096" s="292"/>
      <c r="E3096" s="489"/>
      <c r="F3096" s="489"/>
      <c r="G3096" s="490"/>
      <c r="H3096" s="520"/>
      <c r="I3096" s="523"/>
      <c r="J3096" s="521"/>
      <c r="K3096" s="522"/>
      <c r="M3096" s="301" t="str">
        <f>N3096&amp;AS[[#This Row],[Insurer Code]]&amp;"; "&amp;O3096&amp;AS[[#This Row],[Reporting Year]]&amp;"; "&amp;P3096&amp;AS[[#This Row],[Insurance Category Code]]&amp;"; "&amp;Q3096&amp;AS[[#This Row],[Large Provider Entity Code]]&amp;"; "&amp;R3096&amp;AS[[#This Row],[Age Band Code]]&amp;"; "&amp;S3096&amp;AS[[#This Row],[Sex Code]]</f>
        <v xml:space="preserve">Insurer Code ; Reporting Year ; Insurance Category Code ; Large Provider Entity Code ; Age Band Code ; Sex Code </v>
      </c>
      <c r="N3096" s="297" t="s">
        <v>197</v>
      </c>
      <c r="O3096" s="297" t="s">
        <v>198</v>
      </c>
      <c r="P3096" s="297" t="s">
        <v>199</v>
      </c>
      <c r="Q3096" s="297" t="s">
        <v>200</v>
      </c>
      <c r="R3096" s="297" t="s">
        <v>213</v>
      </c>
      <c r="S3096" s="297" t="s">
        <v>214</v>
      </c>
    </row>
    <row r="3097" spans="1:19" x14ac:dyDescent="0.4">
      <c r="A3097" s="291"/>
      <c r="B3097" s="292"/>
      <c r="C3097" s="312"/>
      <c r="D3097" s="292"/>
      <c r="E3097" s="489"/>
      <c r="F3097" s="489"/>
      <c r="G3097" s="490"/>
      <c r="H3097" s="520"/>
      <c r="I3097" s="523"/>
      <c r="J3097" s="521"/>
      <c r="K3097" s="522"/>
      <c r="M3097" s="301" t="str">
        <f>N3097&amp;AS[[#This Row],[Insurer Code]]&amp;"; "&amp;O3097&amp;AS[[#This Row],[Reporting Year]]&amp;"; "&amp;P3097&amp;AS[[#This Row],[Insurance Category Code]]&amp;"; "&amp;Q3097&amp;AS[[#This Row],[Large Provider Entity Code]]&amp;"; "&amp;R3097&amp;AS[[#This Row],[Age Band Code]]&amp;"; "&amp;S3097&amp;AS[[#This Row],[Sex Code]]</f>
        <v xml:space="preserve">Insurer Code ; Reporting Year ; Insurance Category Code ; Large Provider Entity Code ; Age Band Code ; Sex Code </v>
      </c>
      <c r="N3097" s="297" t="s">
        <v>197</v>
      </c>
      <c r="O3097" s="297" t="s">
        <v>198</v>
      </c>
      <c r="P3097" s="297" t="s">
        <v>199</v>
      </c>
      <c r="Q3097" s="297" t="s">
        <v>200</v>
      </c>
      <c r="R3097" s="297" t="s">
        <v>213</v>
      </c>
      <c r="S3097" s="297" t="s">
        <v>214</v>
      </c>
    </row>
    <row r="3098" spans="1:19" x14ac:dyDescent="0.4">
      <c r="A3098" s="291"/>
      <c r="B3098" s="292"/>
      <c r="C3098" s="312"/>
      <c r="D3098" s="292"/>
      <c r="E3098" s="489"/>
      <c r="F3098" s="489"/>
      <c r="G3098" s="490"/>
      <c r="H3098" s="520"/>
      <c r="I3098" s="523"/>
      <c r="J3098" s="521"/>
      <c r="K3098" s="522"/>
      <c r="M3098" s="301" t="str">
        <f>N3098&amp;AS[[#This Row],[Insurer Code]]&amp;"; "&amp;O3098&amp;AS[[#This Row],[Reporting Year]]&amp;"; "&amp;P3098&amp;AS[[#This Row],[Insurance Category Code]]&amp;"; "&amp;Q3098&amp;AS[[#This Row],[Large Provider Entity Code]]&amp;"; "&amp;R3098&amp;AS[[#This Row],[Age Band Code]]&amp;"; "&amp;S3098&amp;AS[[#This Row],[Sex Code]]</f>
        <v xml:space="preserve">Insurer Code ; Reporting Year ; Insurance Category Code ; Large Provider Entity Code ; Age Band Code ; Sex Code </v>
      </c>
      <c r="N3098" s="297" t="s">
        <v>197</v>
      </c>
      <c r="O3098" s="297" t="s">
        <v>198</v>
      </c>
      <c r="P3098" s="297" t="s">
        <v>199</v>
      </c>
      <c r="Q3098" s="297" t="s">
        <v>200</v>
      </c>
      <c r="R3098" s="297" t="s">
        <v>213</v>
      </c>
      <c r="S3098" s="297" t="s">
        <v>214</v>
      </c>
    </row>
    <row r="3099" spans="1:19" x14ac:dyDescent="0.4">
      <c r="A3099" s="291"/>
      <c r="B3099" s="292"/>
      <c r="C3099" s="312"/>
      <c r="D3099" s="292"/>
      <c r="E3099" s="489"/>
      <c r="F3099" s="489"/>
      <c r="G3099" s="490"/>
      <c r="H3099" s="520"/>
      <c r="I3099" s="523"/>
      <c r="J3099" s="521"/>
      <c r="K3099" s="522"/>
      <c r="M3099" s="301" t="str">
        <f>N3099&amp;AS[[#This Row],[Insurer Code]]&amp;"; "&amp;O3099&amp;AS[[#This Row],[Reporting Year]]&amp;"; "&amp;P3099&amp;AS[[#This Row],[Insurance Category Code]]&amp;"; "&amp;Q3099&amp;AS[[#This Row],[Large Provider Entity Code]]&amp;"; "&amp;R3099&amp;AS[[#This Row],[Age Band Code]]&amp;"; "&amp;S3099&amp;AS[[#This Row],[Sex Code]]</f>
        <v xml:space="preserve">Insurer Code ; Reporting Year ; Insurance Category Code ; Large Provider Entity Code ; Age Band Code ; Sex Code </v>
      </c>
      <c r="N3099" s="297" t="s">
        <v>197</v>
      </c>
      <c r="O3099" s="297" t="s">
        <v>198</v>
      </c>
      <c r="P3099" s="297" t="s">
        <v>199</v>
      </c>
      <c r="Q3099" s="297" t="s">
        <v>200</v>
      </c>
      <c r="R3099" s="297" t="s">
        <v>213</v>
      </c>
      <c r="S3099" s="297" t="s">
        <v>214</v>
      </c>
    </row>
    <row r="3100" spans="1:19" x14ac:dyDescent="0.4">
      <c r="A3100" s="291"/>
      <c r="B3100" s="292"/>
      <c r="C3100" s="312"/>
      <c r="D3100" s="292"/>
      <c r="E3100" s="489"/>
      <c r="F3100" s="489"/>
      <c r="G3100" s="490"/>
      <c r="H3100" s="520"/>
      <c r="I3100" s="523"/>
      <c r="J3100" s="521"/>
      <c r="K3100" s="522"/>
      <c r="M3100" s="301" t="str">
        <f>N3100&amp;AS[[#This Row],[Insurer Code]]&amp;"; "&amp;O3100&amp;AS[[#This Row],[Reporting Year]]&amp;"; "&amp;P3100&amp;AS[[#This Row],[Insurance Category Code]]&amp;"; "&amp;Q3100&amp;AS[[#This Row],[Large Provider Entity Code]]&amp;"; "&amp;R3100&amp;AS[[#This Row],[Age Band Code]]&amp;"; "&amp;S3100&amp;AS[[#This Row],[Sex Code]]</f>
        <v xml:space="preserve">Insurer Code ; Reporting Year ; Insurance Category Code ; Large Provider Entity Code ; Age Band Code ; Sex Code </v>
      </c>
      <c r="N3100" s="297" t="s">
        <v>197</v>
      </c>
      <c r="O3100" s="297" t="s">
        <v>198</v>
      </c>
      <c r="P3100" s="297" t="s">
        <v>199</v>
      </c>
      <c r="Q3100" s="297" t="s">
        <v>200</v>
      </c>
      <c r="R3100" s="297" t="s">
        <v>213</v>
      </c>
      <c r="S3100" s="297" t="s">
        <v>214</v>
      </c>
    </row>
    <row r="3101" spans="1:19" x14ac:dyDescent="0.4">
      <c r="A3101" s="291"/>
      <c r="B3101" s="292"/>
      <c r="C3101" s="312"/>
      <c r="D3101" s="292"/>
      <c r="E3101" s="489"/>
      <c r="F3101" s="489"/>
      <c r="G3101" s="490"/>
      <c r="H3101" s="520"/>
      <c r="I3101" s="523"/>
      <c r="J3101" s="521"/>
      <c r="K3101" s="522"/>
      <c r="M3101" s="301" t="str">
        <f>N3101&amp;AS[[#This Row],[Insurer Code]]&amp;"; "&amp;O3101&amp;AS[[#This Row],[Reporting Year]]&amp;"; "&amp;P3101&amp;AS[[#This Row],[Insurance Category Code]]&amp;"; "&amp;Q3101&amp;AS[[#This Row],[Large Provider Entity Code]]&amp;"; "&amp;R3101&amp;AS[[#This Row],[Age Band Code]]&amp;"; "&amp;S3101&amp;AS[[#This Row],[Sex Code]]</f>
        <v xml:space="preserve">Insurer Code ; Reporting Year ; Insurance Category Code ; Large Provider Entity Code ; Age Band Code ; Sex Code </v>
      </c>
      <c r="N3101" s="297" t="s">
        <v>197</v>
      </c>
      <c r="O3101" s="297" t="s">
        <v>198</v>
      </c>
      <c r="P3101" s="297" t="s">
        <v>199</v>
      </c>
      <c r="Q3101" s="297" t="s">
        <v>200</v>
      </c>
      <c r="R3101" s="297" t="s">
        <v>213</v>
      </c>
      <c r="S3101" s="297" t="s">
        <v>214</v>
      </c>
    </row>
    <row r="3102" spans="1:19" x14ac:dyDescent="0.4">
      <c r="A3102" s="291"/>
      <c r="B3102" s="292"/>
      <c r="C3102" s="312"/>
      <c r="D3102" s="292"/>
      <c r="E3102" s="489"/>
      <c r="F3102" s="489"/>
      <c r="G3102" s="490"/>
      <c r="H3102" s="520"/>
      <c r="I3102" s="523"/>
      <c r="J3102" s="521"/>
      <c r="K3102" s="522"/>
      <c r="M3102" s="301" t="str">
        <f>N3102&amp;AS[[#This Row],[Insurer Code]]&amp;"; "&amp;O3102&amp;AS[[#This Row],[Reporting Year]]&amp;"; "&amp;P3102&amp;AS[[#This Row],[Insurance Category Code]]&amp;"; "&amp;Q3102&amp;AS[[#This Row],[Large Provider Entity Code]]&amp;"; "&amp;R3102&amp;AS[[#This Row],[Age Band Code]]&amp;"; "&amp;S3102&amp;AS[[#This Row],[Sex Code]]</f>
        <v xml:space="preserve">Insurer Code ; Reporting Year ; Insurance Category Code ; Large Provider Entity Code ; Age Band Code ; Sex Code </v>
      </c>
      <c r="N3102" s="297" t="s">
        <v>197</v>
      </c>
      <c r="O3102" s="297" t="s">
        <v>198</v>
      </c>
      <c r="P3102" s="297" t="s">
        <v>199</v>
      </c>
      <c r="Q3102" s="297" t="s">
        <v>200</v>
      </c>
      <c r="R3102" s="297" t="s">
        <v>213</v>
      </c>
      <c r="S3102" s="297" t="s">
        <v>214</v>
      </c>
    </row>
    <row r="3103" spans="1:19" x14ac:dyDescent="0.4">
      <c r="A3103" s="291"/>
      <c r="B3103" s="292"/>
      <c r="C3103" s="312"/>
      <c r="D3103" s="292"/>
      <c r="E3103" s="489"/>
      <c r="F3103" s="489"/>
      <c r="G3103" s="490"/>
      <c r="H3103" s="520"/>
      <c r="I3103" s="523"/>
      <c r="J3103" s="521"/>
      <c r="K3103" s="522"/>
      <c r="M3103" s="301" t="str">
        <f>N3103&amp;AS[[#This Row],[Insurer Code]]&amp;"; "&amp;O3103&amp;AS[[#This Row],[Reporting Year]]&amp;"; "&amp;P3103&amp;AS[[#This Row],[Insurance Category Code]]&amp;"; "&amp;Q3103&amp;AS[[#This Row],[Large Provider Entity Code]]&amp;"; "&amp;R3103&amp;AS[[#This Row],[Age Band Code]]&amp;"; "&amp;S3103&amp;AS[[#This Row],[Sex Code]]</f>
        <v xml:space="preserve">Insurer Code ; Reporting Year ; Insurance Category Code ; Large Provider Entity Code ; Age Band Code ; Sex Code </v>
      </c>
      <c r="N3103" s="297" t="s">
        <v>197</v>
      </c>
      <c r="O3103" s="297" t="s">
        <v>198</v>
      </c>
      <c r="P3103" s="297" t="s">
        <v>199</v>
      </c>
      <c r="Q3103" s="297" t="s">
        <v>200</v>
      </c>
      <c r="R3103" s="297" t="s">
        <v>213</v>
      </c>
      <c r="S3103" s="297" t="s">
        <v>214</v>
      </c>
    </row>
    <row r="3104" spans="1:19" x14ac:dyDescent="0.4">
      <c r="A3104" s="291"/>
      <c r="B3104" s="292"/>
      <c r="C3104" s="312"/>
      <c r="D3104" s="292"/>
      <c r="E3104" s="489"/>
      <c r="F3104" s="489"/>
      <c r="G3104" s="490"/>
      <c r="H3104" s="520"/>
      <c r="I3104" s="523"/>
      <c r="J3104" s="521"/>
      <c r="K3104" s="522"/>
      <c r="M3104" s="301" t="str">
        <f>N3104&amp;AS[[#This Row],[Insurer Code]]&amp;"; "&amp;O3104&amp;AS[[#This Row],[Reporting Year]]&amp;"; "&amp;P3104&amp;AS[[#This Row],[Insurance Category Code]]&amp;"; "&amp;Q3104&amp;AS[[#This Row],[Large Provider Entity Code]]&amp;"; "&amp;R3104&amp;AS[[#This Row],[Age Band Code]]&amp;"; "&amp;S3104&amp;AS[[#This Row],[Sex Code]]</f>
        <v xml:space="preserve">Insurer Code ; Reporting Year ; Insurance Category Code ; Large Provider Entity Code ; Age Band Code ; Sex Code </v>
      </c>
      <c r="N3104" s="297" t="s">
        <v>197</v>
      </c>
      <c r="O3104" s="297" t="s">
        <v>198</v>
      </c>
      <c r="P3104" s="297" t="s">
        <v>199</v>
      </c>
      <c r="Q3104" s="297" t="s">
        <v>200</v>
      </c>
      <c r="R3104" s="297" t="s">
        <v>213</v>
      </c>
      <c r="S3104" s="297" t="s">
        <v>214</v>
      </c>
    </row>
    <row r="3105" spans="1:19" x14ac:dyDescent="0.4">
      <c r="A3105" s="291"/>
      <c r="B3105" s="292"/>
      <c r="C3105" s="312"/>
      <c r="D3105" s="292"/>
      <c r="E3105" s="489"/>
      <c r="F3105" s="489"/>
      <c r="G3105" s="490"/>
      <c r="H3105" s="520"/>
      <c r="I3105" s="523"/>
      <c r="J3105" s="521"/>
      <c r="K3105" s="522"/>
      <c r="M3105" s="301" t="str">
        <f>N3105&amp;AS[[#This Row],[Insurer Code]]&amp;"; "&amp;O3105&amp;AS[[#This Row],[Reporting Year]]&amp;"; "&amp;P3105&amp;AS[[#This Row],[Insurance Category Code]]&amp;"; "&amp;Q3105&amp;AS[[#This Row],[Large Provider Entity Code]]&amp;"; "&amp;R3105&amp;AS[[#This Row],[Age Band Code]]&amp;"; "&amp;S3105&amp;AS[[#This Row],[Sex Code]]</f>
        <v xml:space="preserve">Insurer Code ; Reporting Year ; Insurance Category Code ; Large Provider Entity Code ; Age Band Code ; Sex Code </v>
      </c>
      <c r="N3105" s="297" t="s">
        <v>197</v>
      </c>
      <c r="O3105" s="297" t="s">
        <v>198</v>
      </c>
      <c r="P3105" s="297" t="s">
        <v>199</v>
      </c>
      <c r="Q3105" s="297" t="s">
        <v>200</v>
      </c>
      <c r="R3105" s="297" t="s">
        <v>213</v>
      </c>
      <c r="S3105" s="297" t="s">
        <v>214</v>
      </c>
    </row>
    <row r="3106" spans="1:19" x14ac:dyDescent="0.4">
      <c r="A3106" s="291"/>
      <c r="B3106" s="292"/>
      <c r="C3106" s="312"/>
      <c r="D3106" s="292"/>
      <c r="E3106" s="489"/>
      <c r="F3106" s="489"/>
      <c r="G3106" s="490"/>
      <c r="H3106" s="520"/>
      <c r="I3106" s="523"/>
      <c r="J3106" s="521"/>
      <c r="K3106" s="522"/>
      <c r="M3106" s="301" t="str">
        <f>N3106&amp;AS[[#This Row],[Insurer Code]]&amp;"; "&amp;O3106&amp;AS[[#This Row],[Reporting Year]]&amp;"; "&amp;P3106&amp;AS[[#This Row],[Insurance Category Code]]&amp;"; "&amp;Q3106&amp;AS[[#This Row],[Large Provider Entity Code]]&amp;"; "&amp;R3106&amp;AS[[#This Row],[Age Band Code]]&amp;"; "&amp;S3106&amp;AS[[#This Row],[Sex Code]]</f>
        <v xml:space="preserve">Insurer Code ; Reporting Year ; Insurance Category Code ; Large Provider Entity Code ; Age Band Code ; Sex Code </v>
      </c>
      <c r="N3106" s="297" t="s">
        <v>197</v>
      </c>
      <c r="O3106" s="297" t="s">
        <v>198</v>
      </c>
      <c r="P3106" s="297" t="s">
        <v>199</v>
      </c>
      <c r="Q3106" s="297" t="s">
        <v>200</v>
      </c>
      <c r="R3106" s="297" t="s">
        <v>213</v>
      </c>
      <c r="S3106" s="297" t="s">
        <v>214</v>
      </c>
    </row>
    <row r="3107" spans="1:19" x14ac:dyDescent="0.4">
      <c r="A3107" s="291"/>
      <c r="B3107" s="292"/>
      <c r="C3107" s="312"/>
      <c r="D3107" s="292"/>
      <c r="E3107" s="489"/>
      <c r="F3107" s="489"/>
      <c r="G3107" s="490"/>
      <c r="H3107" s="520"/>
      <c r="I3107" s="523"/>
      <c r="J3107" s="521"/>
      <c r="K3107" s="522"/>
      <c r="M3107" s="301" t="str">
        <f>N3107&amp;AS[[#This Row],[Insurer Code]]&amp;"; "&amp;O3107&amp;AS[[#This Row],[Reporting Year]]&amp;"; "&amp;P3107&amp;AS[[#This Row],[Insurance Category Code]]&amp;"; "&amp;Q3107&amp;AS[[#This Row],[Large Provider Entity Code]]&amp;"; "&amp;R3107&amp;AS[[#This Row],[Age Band Code]]&amp;"; "&amp;S3107&amp;AS[[#This Row],[Sex Code]]</f>
        <v xml:space="preserve">Insurer Code ; Reporting Year ; Insurance Category Code ; Large Provider Entity Code ; Age Band Code ; Sex Code </v>
      </c>
      <c r="N3107" s="297" t="s">
        <v>197</v>
      </c>
      <c r="O3107" s="297" t="s">
        <v>198</v>
      </c>
      <c r="P3107" s="297" t="s">
        <v>199</v>
      </c>
      <c r="Q3107" s="297" t="s">
        <v>200</v>
      </c>
      <c r="R3107" s="297" t="s">
        <v>213</v>
      </c>
      <c r="S3107" s="297" t="s">
        <v>214</v>
      </c>
    </row>
    <row r="3108" spans="1:19" x14ac:dyDescent="0.4">
      <c r="A3108" s="291"/>
      <c r="B3108" s="292"/>
      <c r="C3108" s="312"/>
      <c r="D3108" s="292"/>
      <c r="E3108" s="489"/>
      <c r="F3108" s="489"/>
      <c r="G3108" s="490"/>
      <c r="H3108" s="520"/>
      <c r="I3108" s="523"/>
      <c r="J3108" s="521"/>
      <c r="K3108" s="522"/>
      <c r="M3108" s="301" t="str">
        <f>N3108&amp;AS[[#This Row],[Insurer Code]]&amp;"; "&amp;O3108&amp;AS[[#This Row],[Reporting Year]]&amp;"; "&amp;P3108&amp;AS[[#This Row],[Insurance Category Code]]&amp;"; "&amp;Q3108&amp;AS[[#This Row],[Large Provider Entity Code]]&amp;"; "&amp;R3108&amp;AS[[#This Row],[Age Band Code]]&amp;"; "&amp;S3108&amp;AS[[#This Row],[Sex Code]]</f>
        <v xml:space="preserve">Insurer Code ; Reporting Year ; Insurance Category Code ; Large Provider Entity Code ; Age Band Code ; Sex Code </v>
      </c>
      <c r="N3108" s="297" t="s">
        <v>197</v>
      </c>
      <c r="O3108" s="297" t="s">
        <v>198</v>
      </c>
      <c r="P3108" s="297" t="s">
        <v>199</v>
      </c>
      <c r="Q3108" s="297" t="s">
        <v>200</v>
      </c>
      <c r="R3108" s="297" t="s">
        <v>213</v>
      </c>
      <c r="S3108" s="297" t="s">
        <v>214</v>
      </c>
    </row>
    <row r="3109" spans="1:19" x14ac:dyDescent="0.4">
      <c r="A3109" s="291"/>
      <c r="B3109" s="292"/>
      <c r="C3109" s="312"/>
      <c r="D3109" s="292"/>
      <c r="E3109" s="489"/>
      <c r="F3109" s="489"/>
      <c r="G3109" s="490"/>
      <c r="H3109" s="520"/>
      <c r="I3109" s="523"/>
      <c r="J3109" s="521"/>
      <c r="K3109" s="522"/>
      <c r="M3109" s="301" t="str">
        <f>N3109&amp;AS[[#This Row],[Insurer Code]]&amp;"; "&amp;O3109&amp;AS[[#This Row],[Reporting Year]]&amp;"; "&amp;P3109&amp;AS[[#This Row],[Insurance Category Code]]&amp;"; "&amp;Q3109&amp;AS[[#This Row],[Large Provider Entity Code]]&amp;"; "&amp;R3109&amp;AS[[#This Row],[Age Band Code]]&amp;"; "&amp;S3109&amp;AS[[#This Row],[Sex Code]]</f>
        <v xml:space="preserve">Insurer Code ; Reporting Year ; Insurance Category Code ; Large Provider Entity Code ; Age Band Code ; Sex Code </v>
      </c>
      <c r="N3109" s="297" t="s">
        <v>197</v>
      </c>
      <c r="O3109" s="297" t="s">
        <v>198</v>
      </c>
      <c r="P3109" s="297" t="s">
        <v>199</v>
      </c>
      <c r="Q3109" s="297" t="s">
        <v>200</v>
      </c>
      <c r="R3109" s="297" t="s">
        <v>213</v>
      </c>
      <c r="S3109" s="297" t="s">
        <v>214</v>
      </c>
    </row>
    <row r="3110" spans="1:19" x14ac:dyDescent="0.4">
      <c r="A3110" s="291"/>
      <c r="B3110" s="292"/>
      <c r="C3110" s="312"/>
      <c r="D3110" s="292"/>
      <c r="E3110" s="489"/>
      <c r="F3110" s="489"/>
      <c r="G3110" s="490"/>
      <c r="H3110" s="520"/>
      <c r="I3110" s="523"/>
      <c r="J3110" s="521"/>
      <c r="K3110" s="522"/>
      <c r="M3110" s="301" t="str">
        <f>N3110&amp;AS[[#This Row],[Insurer Code]]&amp;"; "&amp;O3110&amp;AS[[#This Row],[Reporting Year]]&amp;"; "&amp;P3110&amp;AS[[#This Row],[Insurance Category Code]]&amp;"; "&amp;Q3110&amp;AS[[#This Row],[Large Provider Entity Code]]&amp;"; "&amp;R3110&amp;AS[[#This Row],[Age Band Code]]&amp;"; "&amp;S3110&amp;AS[[#This Row],[Sex Code]]</f>
        <v xml:space="preserve">Insurer Code ; Reporting Year ; Insurance Category Code ; Large Provider Entity Code ; Age Band Code ; Sex Code </v>
      </c>
      <c r="N3110" s="297" t="s">
        <v>197</v>
      </c>
      <c r="O3110" s="297" t="s">
        <v>198</v>
      </c>
      <c r="P3110" s="297" t="s">
        <v>199</v>
      </c>
      <c r="Q3110" s="297" t="s">
        <v>200</v>
      </c>
      <c r="R3110" s="297" t="s">
        <v>213</v>
      </c>
      <c r="S3110" s="297" t="s">
        <v>214</v>
      </c>
    </row>
    <row r="3111" spans="1:19" x14ac:dyDescent="0.4">
      <c r="A3111" s="291"/>
      <c r="B3111" s="292"/>
      <c r="C3111" s="312"/>
      <c r="D3111" s="292"/>
      <c r="E3111" s="489"/>
      <c r="F3111" s="489"/>
      <c r="G3111" s="490"/>
      <c r="H3111" s="520"/>
      <c r="I3111" s="523"/>
      <c r="J3111" s="521"/>
      <c r="K3111" s="522"/>
      <c r="M3111" s="301" t="str">
        <f>N3111&amp;AS[[#This Row],[Insurer Code]]&amp;"; "&amp;O3111&amp;AS[[#This Row],[Reporting Year]]&amp;"; "&amp;P3111&amp;AS[[#This Row],[Insurance Category Code]]&amp;"; "&amp;Q3111&amp;AS[[#This Row],[Large Provider Entity Code]]&amp;"; "&amp;R3111&amp;AS[[#This Row],[Age Band Code]]&amp;"; "&amp;S3111&amp;AS[[#This Row],[Sex Code]]</f>
        <v xml:space="preserve">Insurer Code ; Reporting Year ; Insurance Category Code ; Large Provider Entity Code ; Age Band Code ; Sex Code </v>
      </c>
      <c r="N3111" s="297" t="s">
        <v>197</v>
      </c>
      <c r="O3111" s="297" t="s">
        <v>198</v>
      </c>
      <c r="P3111" s="297" t="s">
        <v>199</v>
      </c>
      <c r="Q3111" s="297" t="s">
        <v>200</v>
      </c>
      <c r="R3111" s="297" t="s">
        <v>213</v>
      </c>
      <c r="S3111" s="297" t="s">
        <v>214</v>
      </c>
    </row>
    <row r="3112" spans="1:19" x14ac:dyDescent="0.4">
      <c r="A3112" s="291"/>
      <c r="B3112" s="292"/>
      <c r="C3112" s="312"/>
      <c r="D3112" s="292"/>
      <c r="E3112" s="489"/>
      <c r="F3112" s="489"/>
      <c r="G3112" s="490"/>
      <c r="H3112" s="520"/>
      <c r="I3112" s="523"/>
      <c r="J3112" s="521"/>
      <c r="K3112" s="522"/>
      <c r="M3112" s="301" t="str">
        <f>N3112&amp;AS[[#This Row],[Insurer Code]]&amp;"; "&amp;O3112&amp;AS[[#This Row],[Reporting Year]]&amp;"; "&amp;P3112&amp;AS[[#This Row],[Insurance Category Code]]&amp;"; "&amp;Q3112&amp;AS[[#This Row],[Large Provider Entity Code]]&amp;"; "&amp;R3112&amp;AS[[#This Row],[Age Band Code]]&amp;"; "&amp;S3112&amp;AS[[#This Row],[Sex Code]]</f>
        <v xml:space="preserve">Insurer Code ; Reporting Year ; Insurance Category Code ; Large Provider Entity Code ; Age Band Code ; Sex Code </v>
      </c>
      <c r="N3112" s="297" t="s">
        <v>197</v>
      </c>
      <c r="O3112" s="297" t="s">
        <v>198</v>
      </c>
      <c r="P3112" s="297" t="s">
        <v>199</v>
      </c>
      <c r="Q3112" s="297" t="s">
        <v>200</v>
      </c>
      <c r="R3112" s="297" t="s">
        <v>213</v>
      </c>
      <c r="S3112" s="297" t="s">
        <v>214</v>
      </c>
    </row>
    <row r="3113" spans="1:19" x14ac:dyDescent="0.4">
      <c r="A3113" s="291"/>
      <c r="B3113" s="292"/>
      <c r="C3113" s="312"/>
      <c r="D3113" s="292"/>
      <c r="E3113" s="489"/>
      <c r="F3113" s="489"/>
      <c r="G3113" s="490"/>
      <c r="H3113" s="520"/>
      <c r="I3113" s="523"/>
      <c r="J3113" s="521"/>
      <c r="K3113" s="522"/>
      <c r="M3113" s="301" t="str">
        <f>N3113&amp;AS[[#This Row],[Insurer Code]]&amp;"; "&amp;O3113&amp;AS[[#This Row],[Reporting Year]]&amp;"; "&amp;P3113&amp;AS[[#This Row],[Insurance Category Code]]&amp;"; "&amp;Q3113&amp;AS[[#This Row],[Large Provider Entity Code]]&amp;"; "&amp;R3113&amp;AS[[#This Row],[Age Band Code]]&amp;"; "&amp;S3113&amp;AS[[#This Row],[Sex Code]]</f>
        <v xml:space="preserve">Insurer Code ; Reporting Year ; Insurance Category Code ; Large Provider Entity Code ; Age Band Code ; Sex Code </v>
      </c>
      <c r="N3113" s="297" t="s">
        <v>197</v>
      </c>
      <c r="O3113" s="297" t="s">
        <v>198</v>
      </c>
      <c r="P3113" s="297" t="s">
        <v>199</v>
      </c>
      <c r="Q3113" s="297" t="s">
        <v>200</v>
      </c>
      <c r="R3113" s="297" t="s">
        <v>213</v>
      </c>
      <c r="S3113" s="297" t="s">
        <v>214</v>
      </c>
    </row>
    <row r="3114" spans="1:19" x14ac:dyDescent="0.4">
      <c r="A3114" s="291"/>
      <c r="B3114" s="292"/>
      <c r="C3114" s="312"/>
      <c r="D3114" s="292"/>
      <c r="E3114" s="489"/>
      <c r="F3114" s="489"/>
      <c r="G3114" s="490"/>
      <c r="H3114" s="520"/>
      <c r="I3114" s="523"/>
      <c r="J3114" s="521"/>
      <c r="K3114" s="522"/>
      <c r="M3114" s="301" t="str">
        <f>N3114&amp;AS[[#This Row],[Insurer Code]]&amp;"; "&amp;O3114&amp;AS[[#This Row],[Reporting Year]]&amp;"; "&amp;P3114&amp;AS[[#This Row],[Insurance Category Code]]&amp;"; "&amp;Q3114&amp;AS[[#This Row],[Large Provider Entity Code]]&amp;"; "&amp;R3114&amp;AS[[#This Row],[Age Band Code]]&amp;"; "&amp;S3114&amp;AS[[#This Row],[Sex Code]]</f>
        <v xml:space="preserve">Insurer Code ; Reporting Year ; Insurance Category Code ; Large Provider Entity Code ; Age Band Code ; Sex Code </v>
      </c>
      <c r="N3114" s="297" t="s">
        <v>197</v>
      </c>
      <c r="O3114" s="297" t="s">
        <v>198</v>
      </c>
      <c r="P3114" s="297" t="s">
        <v>199</v>
      </c>
      <c r="Q3114" s="297" t="s">
        <v>200</v>
      </c>
      <c r="R3114" s="297" t="s">
        <v>213</v>
      </c>
      <c r="S3114" s="297" t="s">
        <v>214</v>
      </c>
    </row>
    <row r="3115" spans="1:19" x14ac:dyDescent="0.4">
      <c r="A3115" s="291"/>
      <c r="B3115" s="292"/>
      <c r="C3115" s="312"/>
      <c r="D3115" s="292"/>
      <c r="E3115" s="489"/>
      <c r="F3115" s="489"/>
      <c r="G3115" s="490"/>
      <c r="H3115" s="520"/>
      <c r="I3115" s="523"/>
      <c r="J3115" s="521"/>
      <c r="K3115" s="522"/>
      <c r="M3115" s="301" t="str">
        <f>N3115&amp;AS[[#This Row],[Insurer Code]]&amp;"; "&amp;O3115&amp;AS[[#This Row],[Reporting Year]]&amp;"; "&amp;P3115&amp;AS[[#This Row],[Insurance Category Code]]&amp;"; "&amp;Q3115&amp;AS[[#This Row],[Large Provider Entity Code]]&amp;"; "&amp;R3115&amp;AS[[#This Row],[Age Band Code]]&amp;"; "&amp;S3115&amp;AS[[#This Row],[Sex Code]]</f>
        <v xml:space="preserve">Insurer Code ; Reporting Year ; Insurance Category Code ; Large Provider Entity Code ; Age Band Code ; Sex Code </v>
      </c>
      <c r="N3115" s="297" t="s">
        <v>197</v>
      </c>
      <c r="O3115" s="297" t="s">
        <v>198</v>
      </c>
      <c r="P3115" s="297" t="s">
        <v>199</v>
      </c>
      <c r="Q3115" s="297" t="s">
        <v>200</v>
      </c>
      <c r="R3115" s="297" t="s">
        <v>213</v>
      </c>
      <c r="S3115" s="297" t="s">
        <v>214</v>
      </c>
    </row>
    <row r="3116" spans="1:19" x14ac:dyDescent="0.4">
      <c r="A3116" s="291"/>
      <c r="B3116" s="292"/>
      <c r="C3116" s="312"/>
      <c r="D3116" s="292"/>
      <c r="E3116" s="489"/>
      <c r="F3116" s="489"/>
      <c r="G3116" s="490"/>
      <c r="H3116" s="520"/>
      <c r="I3116" s="523"/>
      <c r="J3116" s="521"/>
      <c r="K3116" s="522"/>
      <c r="M3116" s="301" t="str">
        <f>N3116&amp;AS[[#This Row],[Insurer Code]]&amp;"; "&amp;O3116&amp;AS[[#This Row],[Reporting Year]]&amp;"; "&amp;P3116&amp;AS[[#This Row],[Insurance Category Code]]&amp;"; "&amp;Q3116&amp;AS[[#This Row],[Large Provider Entity Code]]&amp;"; "&amp;R3116&amp;AS[[#This Row],[Age Band Code]]&amp;"; "&amp;S3116&amp;AS[[#This Row],[Sex Code]]</f>
        <v xml:space="preserve">Insurer Code ; Reporting Year ; Insurance Category Code ; Large Provider Entity Code ; Age Band Code ; Sex Code </v>
      </c>
      <c r="N3116" s="297" t="s">
        <v>197</v>
      </c>
      <c r="O3116" s="297" t="s">
        <v>198</v>
      </c>
      <c r="P3116" s="297" t="s">
        <v>199</v>
      </c>
      <c r="Q3116" s="297" t="s">
        <v>200</v>
      </c>
      <c r="R3116" s="297" t="s">
        <v>213</v>
      </c>
      <c r="S3116" s="297" t="s">
        <v>214</v>
      </c>
    </row>
    <row r="3117" spans="1:19" x14ac:dyDescent="0.4">
      <c r="A3117" s="291"/>
      <c r="B3117" s="292"/>
      <c r="C3117" s="312"/>
      <c r="D3117" s="292"/>
      <c r="E3117" s="489"/>
      <c r="F3117" s="489"/>
      <c r="G3117" s="490"/>
      <c r="H3117" s="520"/>
      <c r="I3117" s="523"/>
      <c r="J3117" s="521"/>
      <c r="K3117" s="522"/>
      <c r="M3117" s="301" t="str">
        <f>N3117&amp;AS[[#This Row],[Insurer Code]]&amp;"; "&amp;O3117&amp;AS[[#This Row],[Reporting Year]]&amp;"; "&amp;P3117&amp;AS[[#This Row],[Insurance Category Code]]&amp;"; "&amp;Q3117&amp;AS[[#This Row],[Large Provider Entity Code]]&amp;"; "&amp;R3117&amp;AS[[#This Row],[Age Band Code]]&amp;"; "&amp;S3117&amp;AS[[#This Row],[Sex Code]]</f>
        <v xml:space="preserve">Insurer Code ; Reporting Year ; Insurance Category Code ; Large Provider Entity Code ; Age Band Code ; Sex Code </v>
      </c>
      <c r="N3117" s="297" t="s">
        <v>197</v>
      </c>
      <c r="O3117" s="297" t="s">
        <v>198</v>
      </c>
      <c r="P3117" s="297" t="s">
        <v>199</v>
      </c>
      <c r="Q3117" s="297" t="s">
        <v>200</v>
      </c>
      <c r="R3117" s="297" t="s">
        <v>213</v>
      </c>
      <c r="S3117" s="297" t="s">
        <v>214</v>
      </c>
    </row>
    <row r="3118" spans="1:19" x14ac:dyDescent="0.4">
      <c r="A3118" s="291"/>
      <c r="B3118" s="292"/>
      <c r="C3118" s="312"/>
      <c r="D3118" s="292"/>
      <c r="E3118" s="489"/>
      <c r="F3118" s="489"/>
      <c r="G3118" s="490"/>
      <c r="H3118" s="520"/>
      <c r="I3118" s="523"/>
      <c r="J3118" s="521"/>
      <c r="K3118" s="522"/>
      <c r="M3118" s="301" t="str">
        <f>N3118&amp;AS[[#This Row],[Insurer Code]]&amp;"; "&amp;O3118&amp;AS[[#This Row],[Reporting Year]]&amp;"; "&amp;P3118&amp;AS[[#This Row],[Insurance Category Code]]&amp;"; "&amp;Q3118&amp;AS[[#This Row],[Large Provider Entity Code]]&amp;"; "&amp;R3118&amp;AS[[#This Row],[Age Band Code]]&amp;"; "&amp;S3118&amp;AS[[#This Row],[Sex Code]]</f>
        <v xml:space="preserve">Insurer Code ; Reporting Year ; Insurance Category Code ; Large Provider Entity Code ; Age Band Code ; Sex Code </v>
      </c>
      <c r="N3118" s="297" t="s">
        <v>197</v>
      </c>
      <c r="O3118" s="297" t="s">
        <v>198</v>
      </c>
      <c r="P3118" s="297" t="s">
        <v>199</v>
      </c>
      <c r="Q3118" s="297" t="s">
        <v>200</v>
      </c>
      <c r="R3118" s="297" t="s">
        <v>213</v>
      </c>
      <c r="S3118" s="297" t="s">
        <v>214</v>
      </c>
    </row>
    <row r="3119" spans="1:19" x14ac:dyDescent="0.4">
      <c r="A3119" s="291"/>
      <c r="B3119" s="292"/>
      <c r="C3119" s="312"/>
      <c r="D3119" s="292"/>
      <c r="E3119" s="489"/>
      <c r="F3119" s="489"/>
      <c r="G3119" s="490"/>
      <c r="H3119" s="520"/>
      <c r="I3119" s="523"/>
      <c r="J3119" s="521"/>
      <c r="K3119" s="522"/>
      <c r="M3119" s="301" t="str">
        <f>N3119&amp;AS[[#This Row],[Insurer Code]]&amp;"; "&amp;O3119&amp;AS[[#This Row],[Reporting Year]]&amp;"; "&amp;P3119&amp;AS[[#This Row],[Insurance Category Code]]&amp;"; "&amp;Q3119&amp;AS[[#This Row],[Large Provider Entity Code]]&amp;"; "&amp;R3119&amp;AS[[#This Row],[Age Band Code]]&amp;"; "&amp;S3119&amp;AS[[#This Row],[Sex Code]]</f>
        <v xml:space="preserve">Insurer Code ; Reporting Year ; Insurance Category Code ; Large Provider Entity Code ; Age Band Code ; Sex Code </v>
      </c>
      <c r="N3119" s="297" t="s">
        <v>197</v>
      </c>
      <c r="O3119" s="297" t="s">
        <v>198</v>
      </c>
      <c r="P3119" s="297" t="s">
        <v>199</v>
      </c>
      <c r="Q3119" s="297" t="s">
        <v>200</v>
      </c>
      <c r="R3119" s="297" t="s">
        <v>213</v>
      </c>
      <c r="S3119" s="297" t="s">
        <v>214</v>
      </c>
    </row>
    <row r="3120" spans="1:19" x14ac:dyDescent="0.4">
      <c r="A3120" s="291"/>
      <c r="B3120" s="292"/>
      <c r="C3120" s="312"/>
      <c r="D3120" s="292"/>
      <c r="E3120" s="489"/>
      <c r="F3120" s="489"/>
      <c r="G3120" s="490"/>
      <c r="H3120" s="520"/>
      <c r="I3120" s="523"/>
      <c r="J3120" s="521"/>
      <c r="K3120" s="522"/>
      <c r="M3120" s="301" t="str">
        <f>N3120&amp;AS[[#This Row],[Insurer Code]]&amp;"; "&amp;O3120&amp;AS[[#This Row],[Reporting Year]]&amp;"; "&amp;P3120&amp;AS[[#This Row],[Insurance Category Code]]&amp;"; "&amp;Q3120&amp;AS[[#This Row],[Large Provider Entity Code]]&amp;"; "&amp;R3120&amp;AS[[#This Row],[Age Band Code]]&amp;"; "&amp;S3120&amp;AS[[#This Row],[Sex Code]]</f>
        <v xml:space="preserve">Insurer Code ; Reporting Year ; Insurance Category Code ; Large Provider Entity Code ; Age Band Code ; Sex Code </v>
      </c>
      <c r="N3120" s="297" t="s">
        <v>197</v>
      </c>
      <c r="O3120" s="297" t="s">
        <v>198</v>
      </c>
      <c r="P3120" s="297" t="s">
        <v>199</v>
      </c>
      <c r="Q3120" s="297" t="s">
        <v>200</v>
      </c>
      <c r="R3120" s="297" t="s">
        <v>213</v>
      </c>
      <c r="S3120" s="297" t="s">
        <v>214</v>
      </c>
    </row>
    <row r="3121" spans="1:19" x14ac:dyDescent="0.4">
      <c r="A3121" s="291"/>
      <c r="B3121" s="292"/>
      <c r="C3121" s="312"/>
      <c r="D3121" s="292"/>
      <c r="E3121" s="489"/>
      <c r="F3121" s="489"/>
      <c r="G3121" s="490"/>
      <c r="H3121" s="520"/>
      <c r="I3121" s="523"/>
      <c r="J3121" s="521"/>
      <c r="K3121" s="522"/>
      <c r="M3121" s="301" t="str">
        <f>N3121&amp;AS[[#This Row],[Insurer Code]]&amp;"; "&amp;O3121&amp;AS[[#This Row],[Reporting Year]]&amp;"; "&amp;P3121&amp;AS[[#This Row],[Insurance Category Code]]&amp;"; "&amp;Q3121&amp;AS[[#This Row],[Large Provider Entity Code]]&amp;"; "&amp;R3121&amp;AS[[#This Row],[Age Band Code]]&amp;"; "&amp;S3121&amp;AS[[#This Row],[Sex Code]]</f>
        <v xml:space="preserve">Insurer Code ; Reporting Year ; Insurance Category Code ; Large Provider Entity Code ; Age Band Code ; Sex Code </v>
      </c>
      <c r="N3121" s="297" t="s">
        <v>197</v>
      </c>
      <c r="O3121" s="297" t="s">
        <v>198</v>
      </c>
      <c r="P3121" s="297" t="s">
        <v>199</v>
      </c>
      <c r="Q3121" s="297" t="s">
        <v>200</v>
      </c>
      <c r="R3121" s="297" t="s">
        <v>213</v>
      </c>
      <c r="S3121" s="297" t="s">
        <v>214</v>
      </c>
    </row>
    <row r="3122" spans="1:19" x14ac:dyDescent="0.4">
      <c r="A3122" s="291"/>
      <c r="B3122" s="292"/>
      <c r="C3122" s="312"/>
      <c r="D3122" s="292"/>
      <c r="E3122" s="489"/>
      <c r="F3122" s="489"/>
      <c r="G3122" s="490"/>
      <c r="H3122" s="520"/>
      <c r="I3122" s="523"/>
      <c r="J3122" s="521"/>
      <c r="K3122" s="522"/>
      <c r="M3122" s="301" t="str">
        <f>N3122&amp;AS[[#This Row],[Insurer Code]]&amp;"; "&amp;O3122&amp;AS[[#This Row],[Reporting Year]]&amp;"; "&amp;P3122&amp;AS[[#This Row],[Insurance Category Code]]&amp;"; "&amp;Q3122&amp;AS[[#This Row],[Large Provider Entity Code]]&amp;"; "&amp;R3122&amp;AS[[#This Row],[Age Band Code]]&amp;"; "&amp;S3122&amp;AS[[#This Row],[Sex Code]]</f>
        <v xml:space="preserve">Insurer Code ; Reporting Year ; Insurance Category Code ; Large Provider Entity Code ; Age Band Code ; Sex Code </v>
      </c>
      <c r="N3122" s="297" t="s">
        <v>197</v>
      </c>
      <c r="O3122" s="297" t="s">
        <v>198</v>
      </c>
      <c r="P3122" s="297" t="s">
        <v>199</v>
      </c>
      <c r="Q3122" s="297" t="s">
        <v>200</v>
      </c>
      <c r="R3122" s="297" t="s">
        <v>213</v>
      </c>
      <c r="S3122" s="297" t="s">
        <v>214</v>
      </c>
    </row>
    <row r="3123" spans="1:19" x14ac:dyDescent="0.4">
      <c r="A3123" s="291"/>
      <c r="B3123" s="292"/>
      <c r="C3123" s="312"/>
      <c r="D3123" s="292"/>
      <c r="E3123" s="489"/>
      <c r="F3123" s="489"/>
      <c r="G3123" s="490"/>
      <c r="H3123" s="520"/>
      <c r="I3123" s="523"/>
      <c r="J3123" s="521"/>
      <c r="K3123" s="522"/>
      <c r="M3123" s="301" t="str">
        <f>N3123&amp;AS[[#This Row],[Insurer Code]]&amp;"; "&amp;O3123&amp;AS[[#This Row],[Reporting Year]]&amp;"; "&amp;P3123&amp;AS[[#This Row],[Insurance Category Code]]&amp;"; "&amp;Q3123&amp;AS[[#This Row],[Large Provider Entity Code]]&amp;"; "&amp;R3123&amp;AS[[#This Row],[Age Band Code]]&amp;"; "&amp;S3123&amp;AS[[#This Row],[Sex Code]]</f>
        <v xml:space="preserve">Insurer Code ; Reporting Year ; Insurance Category Code ; Large Provider Entity Code ; Age Band Code ; Sex Code </v>
      </c>
      <c r="N3123" s="297" t="s">
        <v>197</v>
      </c>
      <c r="O3123" s="297" t="s">
        <v>198</v>
      </c>
      <c r="P3123" s="297" t="s">
        <v>199</v>
      </c>
      <c r="Q3123" s="297" t="s">
        <v>200</v>
      </c>
      <c r="R3123" s="297" t="s">
        <v>213</v>
      </c>
      <c r="S3123" s="297" t="s">
        <v>214</v>
      </c>
    </row>
    <row r="3124" spans="1:19" x14ac:dyDescent="0.4">
      <c r="A3124" s="291"/>
      <c r="B3124" s="292"/>
      <c r="C3124" s="312"/>
      <c r="D3124" s="292"/>
      <c r="E3124" s="489"/>
      <c r="F3124" s="489"/>
      <c r="G3124" s="490"/>
      <c r="H3124" s="520"/>
      <c r="I3124" s="523"/>
      <c r="J3124" s="521"/>
      <c r="K3124" s="522"/>
      <c r="M3124" s="301" t="str">
        <f>N3124&amp;AS[[#This Row],[Insurer Code]]&amp;"; "&amp;O3124&amp;AS[[#This Row],[Reporting Year]]&amp;"; "&amp;P3124&amp;AS[[#This Row],[Insurance Category Code]]&amp;"; "&amp;Q3124&amp;AS[[#This Row],[Large Provider Entity Code]]&amp;"; "&amp;R3124&amp;AS[[#This Row],[Age Band Code]]&amp;"; "&amp;S3124&amp;AS[[#This Row],[Sex Code]]</f>
        <v xml:space="preserve">Insurer Code ; Reporting Year ; Insurance Category Code ; Large Provider Entity Code ; Age Band Code ; Sex Code </v>
      </c>
      <c r="N3124" s="297" t="s">
        <v>197</v>
      </c>
      <c r="O3124" s="297" t="s">
        <v>198</v>
      </c>
      <c r="P3124" s="297" t="s">
        <v>199</v>
      </c>
      <c r="Q3124" s="297" t="s">
        <v>200</v>
      </c>
      <c r="R3124" s="297" t="s">
        <v>213</v>
      </c>
      <c r="S3124" s="297" t="s">
        <v>214</v>
      </c>
    </row>
    <row r="3125" spans="1:19" x14ac:dyDescent="0.4">
      <c r="A3125" s="291"/>
      <c r="B3125" s="292"/>
      <c r="C3125" s="312"/>
      <c r="D3125" s="292"/>
      <c r="E3125" s="489"/>
      <c r="F3125" s="489"/>
      <c r="G3125" s="490"/>
      <c r="H3125" s="520"/>
      <c r="I3125" s="523"/>
      <c r="J3125" s="521"/>
      <c r="K3125" s="522"/>
      <c r="M3125" s="301" t="str">
        <f>N3125&amp;AS[[#This Row],[Insurer Code]]&amp;"; "&amp;O3125&amp;AS[[#This Row],[Reporting Year]]&amp;"; "&amp;P3125&amp;AS[[#This Row],[Insurance Category Code]]&amp;"; "&amp;Q3125&amp;AS[[#This Row],[Large Provider Entity Code]]&amp;"; "&amp;R3125&amp;AS[[#This Row],[Age Band Code]]&amp;"; "&amp;S3125&amp;AS[[#This Row],[Sex Code]]</f>
        <v xml:space="preserve">Insurer Code ; Reporting Year ; Insurance Category Code ; Large Provider Entity Code ; Age Band Code ; Sex Code </v>
      </c>
      <c r="N3125" s="297" t="s">
        <v>197</v>
      </c>
      <c r="O3125" s="297" t="s">
        <v>198</v>
      </c>
      <c r="P3125" s="297" t="s">
        <v>199</v>
      </c>
      <c r="Q3125" s="297" t="s">
        <v>200</v>
      </c>
      <c r="R3125" s="297" t="s">
        <v>213</v>
      </c>
      <c r="S3125" s="297" t="s">
        <v>214</v>
      </c>
    </row>
    <row r="3126" spans="1:19" x14ac:dyDescent="0.4">
      <c r="A3126" s="291"/>
      <c r="B3126" s="292"/>
      <c r="C3126" s="312"/>
      <c r="D3126" s="292"/>
      <c r="E3126" s="489"/>
      <c r="F3126" s="489"/>
      <c r="G3126" s="490"/>
      <c r="H3126" s="520"/>
      <c r="I3126" s="523"/>
      <c r="J3126" s="521"/>
      <c r="K3126" s="522"/>
      <c r="M3126" s="301" t="str">
        <f>N3126&amp;AS[[#This Row],[Insurer Code]]&amp;"; "&amp;O3126&amp;AS[[#This Row],[Reporting Year]]&amp;"; "&amp;P3126&amp;AS[[#This Row],[Insurance Category Code]]&amp;"; "&amp;Q3126&amp;AS[[#This Row],[Large Provider Entity Code]]&amp;"; "&amp;R3126&amp;AS[[#This Row],[Age Band Code]]&amp;"; "&amp;S3126&amp;AS[[#This Row],[Sex Code]]</f>
        <v xml:space="preserve">Insurer Code ; Reporting Year ; Insurance Category Code ; Large Provider Entity Code ; Age Band Code ; Sex Code </v>
      </c>
      <c r="N3126" s="297" t="s">
        <v>197</v>
      </c>
      <c r="O3126" s="297" t="s">
        <v>198</v>
      </c>
      <c r="P3126" s="297" t="s">
        <v>199</v>
      </c>
      <c r="Q3126" s="297" t="s">
        <v>200</v>
      </c>
      <c r="R3126" s="297" t="s">
        <v>213</v>
      </c>
      <c r="S3126" s="297" t="s">
        <v>214</v>
      </c>
    </row>
    <row r="3127" spans="1:19" x14ac:dyDescent="0.4">
      <c r="A3127" s="291"/>
      <c r="B3127" s="292"/>
      <c r="C3127" s="312"/>
      <c r="D3127" s="292"/>
      <c r="E3127" s="489"/>
      <c r="F3127" s="489"/>
      <c r="G3127" s="490"/>
      <c r="H3127" s="520"/>
      <c r="I3127" s="523"/>
      <c r="J3127" s="521"/>
      <c r="K3127" s="522"/>
      <c r="M3127" s="301" t="str">
        <f>N3127&amp;AS[[#This Row],[Insurer Code]]&amp;"; "&amp;O3127&amp;AS[[#This Row],[Reporting Year]]&amp;"; "&amp;P3127&amp;AS[[#This Row],[Insurance Category Code]]&amp;"; "&amp;Q3127&amp;AS[[#This Row],[Large Provider Entity Code]]&amp;"; "&amp;R3127&amp;AS[[#This Row],[Age Band Code]]&amp;"; "&amp;S3127&amp;AS[[#This Row],[Sex Code]]</f>
        <v xml:space="preserve">Insurer Code ; Reporting Year ; Insurance Category Code ; Large Provider Entity Code ; Age Band Code ; Sex Code </v>
      </c>
      <c r="N3127" s="297" t="s">
        <v>197</v>
      </c>
      <c r="O3127" s="297" t="s">
        <v>198</v>
      </c>
      <c r="P3127" s="297" t="s">
        <v>199</v>
      </c>
      <c r="Q3127" s="297" t="s">
        <v>200</v>
      </c>
      <c r="R3127" s="297" t="s">
        <v>213</v>
      </c>
      <c r="S3127" s="297" t="s">
        <v>214</v>
      </c>
    </row>
    <row r="3128" spans="1:19" x14ac:dyDescent="0.4">
      <c r="A3128" s="291"/>
      <c r="B3128" s="292"/>
      <c r="C3128" s="312"/>
      <c r="D3128" s="292"/>
      <c r="E3128" s="489"/>
      <c r="F3128" s="489"/>
      <c r="G3128" s="490"/>
      <c r="H3128" s="520"/>
      <c r="I3128" s="523"/>
      <c r="J3128" s="521"/>
      <c r="K3128" s="522"/>
      <c r="M3128" s="301" t="str">
        <f>N3128&amp;AS[[#This Row],[Insurer Code]]&amp;"; "&amp;O3128&amp;AS[[#This Row],[Reporting Year]]&amp;"; "&amp;P3128&amp;AS[[#This Row],[Insurance Category Code]]&amp;"; "&amp;Q3128&amp;AS[[#This Row],[Large Provider Entity Code]]&amp;"; "&amp;R3128&amp;AS[[#This Row],[Age Band Code]]&amp;"; "&amp;S3128&amp;AS[[#This Row],[Sex Code]]</f>
        <v xml:space="preserve">Insurer Code ; Reporting Year ; Insurance Category Code ; Large Provider Entity Code ; Age Band Code ; Sex Code </v>
      </c>
      <c r="N3128" s="297" t="s">
        <v>197</v>
      </c>
      <c r="O3128" s="297" t="s">
        <v>198</v>
      </c>
      <c r="P3128" s="297" t="s">
        <v>199</v>
      </c>
      <c r="Q3128" s="297" t="s">
        <v>200</v>
      </c>
      <c r="R3128" s="297" t="s">
        <v>213</v>
      </c>
      <c r="S3128" s="297" t="s">
        <v>214</v>
      </c>
    </row>
    <row r="3129" spans="1:19" x14ac:dyDescent="0.4">
      <c r="A3129" s="291"/>
      <c r="B3129" s="292"/>
      <c r="C3129" s="312"/>
      <c r="D3129" s="292"/>
      <c r="E3129" s="489"/>
      <c r="F3129" s="489"/>
      <c r="G3129" s="490"/>
      <c r="H3129" s="520"/>
      <c r="I3129" s="523"/>
      <c r="J3129" s="521"/>
      <c r="K3129" s="522"/>
      <c r="M3129" s="301" t="str">
        <f>N3129&amp;AS[[#This Row],[Insurer Code]]&amp;"; "&amp;O3129&amp;AS[[#This Row],[Reporting Year]]&amp;"; "&amp;P3129&amp;AS[[#This Row],[Insurance Category Code]]&amp;"; "&amp;Q3129&amp;AS[[#This Row],[Large Provider Entity Code]]&amp;"; "&amp;R3129&amp;AS[[#This Row],[Age Band Code]]&amp;"; "&amp;S3129&amp;AS[[#This Row],[Sex Code]]</f>
        <v xml:space="preserve">Insurer Code ; Reporting Year ; Insurance Category Code ; Large Provider Entity Code ; Age Band Code ; Sex Code </v>
      </c>
      <c r="N3129" s="297" t="s">
        <v>197</v>
      </c>
      <c r="O3129" s="297" t="s">
        <v>198</v>
      </c>
      <c r="P3129" s="297" t="s">
        <v>199</v>
      </c>
      <c r="Q3129" s="297" t="s">
        <v>200</v>
      </c>
      <c r="R3129" s="297" t="s">
        <v>213</v>
      </c>
      <c r="S3129" s="297" t="s">
        <v>214</v>
      </c>
    </row>
    <row r="3130" spans="1:19" x14ac:dyDescent="0.4">
      <c r="A3130" s="291"/>
      <c r="B3130" s="292"/>
      <c r="C3130" s="312"/>
      <c r="D3130" s="292"/>
      <c r="E3130" s="489"/>
      <c r="F3130" s="489"/>
      <c r="G3130" s="490"/>
      <c r="H3130" s="520"/>
      <c r="I3130" s="523"/>
      <c r="J3130" s="521"/>
      <c r="K3130" s="522"/>
      <c r="M3130" s="301" t="str">
        <f>N3130&amp;AS[[#This Row],[Insurer Code]]&amp;"; "&amp;O3130&amp;AS[[#This Row],[Reporting Year]]&amp;"; "&amp;P3130&amp;AS[[#This Row],[Insurance Category Code]]&amp;"; "&amp;Q3130&amp;AS[[#This Row],[Large Provider Entity Code]]&amp;"; "&amp;R3130&amp;AS[[#This Row],[Age Band Code]]&amp;"; "&amp;S3130&amp;AS[[#This Row],[Sex Code]]</f>
        <v xml:space="preserve">Insurer Code ; Reporting Year ; Insurance Category Code ; Large Provider Entity Code ; Age Band Code ; Sex Code </v>
      </c>
      <c r="N3130" s="297" t="s">
        <v>197</v>
      </c>
      <c r="O3130" s="297" t="s">
        <v>198</v>
      </c>
      <c r="P3130" s="297" t="s">
        <v>199</v>
      </c>
      <c r="Q3130" s="297" t="s">
        <v>200</v>
      </c>
      <c r="R3130" s="297" t="s">
        <v>213</v>
      </c>
      <c r="S3130" s="297" t="s">
        <v>214</v>
      </c>
    </row>
    <row r="3131" spans="1:19" x14ac:dyDescent="0.4">
      <c r="A3131" s="291"/>
      <c r="B3131" s="292"/>
      <c r="C3131" s="312"/>
      <c r="D3131" s="292"/>
      <c r="E3131" s="489"/>
      <c r="F3131" s="489"/>
      <c r="G3131" s="490"/>
      <c r="H3131" s="520"/>
      <c r="I3131" s="523"/>
      <c r="J3131" s="521"/>
      <c r="K3131" s="522"/>
      <c r="M3131" s="301" t="str">
        <f>N3131&amp;AS[[#This Row],[Insurer Code]]&amp;"; "&amp;O3131&amp;AS[[#This Row],[Reporting Year]]&amp;"; "&amp;P3131&amp;AS[[#This Row],[Insurance Category Code]]&amp;"; "&amp;Q3131&amp;AS[[#This Row],[Large Provider Entity Code]]&amp;"; "&amp;R3131&amp;AS[[#This Row],[Age Band Code]]&amp;"; "&amp;S3131&amp;AS[[#This Row],[Sex Code]]</f>
        <v xml:space="preserve">Insurer Code ; Reporting Year ; Insurance Category Code ; Large Provider Entity Code ; Age Band Code ; Sex Code </v>
      </c>
      <c r="N3131" s="297" t="s">
        <v>197</v>
      </c>
      <c r="O3131" s="297" t="s">
        <v>198</v>
      </c>
      <c r="P3131" s="297" t="s">
        <v>199</v>
      </c>
      <c r="Q3131" s="297" t="s">
        <v>200</v>
      </c>
      <c r="R3131" s="297" t="s">
        <v>213</v>
      </c>
      <c r="S3131" s="297" t="s">
        <v>214</v>
      </c>
    </row>
    <row r="3132" spans="1:19" x14ac:dyDescent="0.4">
      <c r="A3132" s="291"/>
      <c r="B3132" s="292"/>
      <c r="C3132" s="312"/>
      <c r="D3132" s="292"/>
      <c r="E3132" s="489"/>
      <c r="F3132" s="489"/>
      <c r="G3132" s="490"/>
      <c r="H3132" s="520"/>
      <c r="I3132" s="523"/>
      <c r="J3132" s="521"/>
      <c r="K3132" s="522"/>
      <c r="M3132" s="301" t="str">
        <f>N3132&amp;AS[[#This Row],[Insurer Code]]&amp;"; "&amp;O3132&amp;AS[[#This Row],[Reporting Year]]&amp;"; "&amp;P3132&amp;AS[[#This Row],[Insurance Category Code]]&amp;"; "&amp;Q3132&amp;AS[[#This Row],[Large Provider Entity Code]]&amp;"; "&amp;R3132&amp;AS[[#This Row],[Age Band Code]]&amp;"; "&amp;S3132&amp;AS[[#This Row],[Sex Code]]</f>
        <v xml:space="preserve">Insurer Code ; Reporting Year ; Insurance Category Code ; Large Provider Entity Code ; Age Band Code ; Sex Code </v>
      </c>
      <c r="N3132" s="297" t="s">
        <v>197</v>
      </c>
      <c r="O3132" s="297" t="s">
        <v>198</v>
      </c>
      <c r="P3132" s="297" t="s">
        <v>199</v>
      </c>
      <c r="Q3132" s="297" t="s">
        <v>200</v>
      </c>
      <c r="R3132" s="297" t="s">
        <v>213</v>
      </c>
      <c r="S3132" s="297" t="s">
        <v>214</v>
      </c>
    </row>
    <row r="3133" spans="1:19" x14ac:dyDescent="0.4">
      <c r="A3133" s="291"/>
      <c r="B3133" s="292"/>
      <c r="C3133" s="312"/>
      <c r="D3133" s="292"/>
      <c r="E3133" s="489"/>
      <c r="F3133" s="489"/>
      <c r="G3133" s="490"/>
      <c r="H3133" s="520"/>
      <c r="I3133" s="523"/>
      <c r="J3133" s="521"/>
      <c r="K3133" s="522"/>
      <c r="M3133" s="301" t="str">
        <f>N3133&amp;AS[[#This Row],[Insurer Code]]&amp;"; "&amp;O3133&amp;AS[[#This Row],[Reporting Year]]&amp;"; "&amp;P3133&amp;AS[[#This Row],[Insurance Category Code]]&amp;"; "&amp;Q3133&amp;AS[[#This Row],[Large Provider Entity Code]]&amp;"; "&amp;R3133&amp;AS[[#This Row],[Age Band Code]]&amp;"; "&amp;S3133&amp;AS[[#This Row],[Sex Code]]</f>
        <v xml:space="preserve">Insurer Code ; Reporting Year ; Insurance Category Code ; Large Provider Entity Code ; Age Band Code ; Sex Code </v>
      </c>
      <c r="N3133" s="297" t="s">
        <v>197</v>
      </c>
      <c r="O3133" s="297" t="s">
        <v>198</v>
      </c>
      <c r="P3133" s="297" t="s">
        <v>199</v>
      </c>
      <c r="Q3133" s="297" t="s">
        <v>200</v>
      </c>
      <c r="R3133" s="297" t="s">
        <v>213</v>
      </c>
      <c r="S3133" s="297" t="s">
        <v>214</v>
      </c>
    </row>
    <row r="3134" spans="1:19" x14ac:dyDescent="0.4">
      <c r="A3134" s="291"/>
      <c r="B3134" s="292"/>
      <c r="C3134" s="312"/>
      <c r="D3134" s="292"/>
      <c r="E3134" s="489"/>
      <c r="F3134" s="489"/>
      <c r="G3134" s="490"/>
      <c r="H3134" s="520"/>
      <c r="I3134" s="523"/>
      <c r="J3134" s="521"/>
      <c r="K3134" s="522"/>
      <c r="M3134" s="301" t="str">
        <f>N3134&amp;AS[[#This Row],[Insurer Code]]&amp;"; "&amp;O3134&amp;AS[[#This Row],[Reporting Year]]&amp;"; "&amp;P3134&amp;AS[[#This Row],[Insurance Category Code]]&amp;"; "&amp;Q3134&amp;AS[[#This Row],[Large Provider Entity Code]]&amp;"; "&amp;R3134&amp;AS[[#This Row],[Age Band Code]]&amp;"; "&amp;S3134&amp;AS[[#This Row],[Sex Code]]</f>
        <v xml:space="preserve">Insurer Code ; Reporting Year ; Insurance Category Code ; Large Provider Entity Code ; Age Band Code ; Sex Code </v>
      </c>
      <c r="N3134" s="297" t="s">
        <v>197</v>
      </c>
      <c r="O3134" s="297" t="s">
        <v>198</v>
      </c>
      <c r="P3134" s="297" t="s">
        <v>199</v>
      </c>
      <c r="Q3134" s="297" t="s">
        <v>200</v>
      </c>
      <c r="R3134" s="297" t="s">
        <v>213</v>
      </c>
      <c r="S3134" s="297" t="s">
        <v>214</v>
      </c>
    </row>
    <row r="3135" spans="1:19" x14ac:dyDescent="0.4">
      <c r="A3135" s="291"/>
      <c r="B3135" s="292"/>
      <c r="C3135" s="312"/>
      <c r="D3135" s="292"/>
      <c r="E3135" s="489"/>
      <c r="F3135" s="489"/>
      <c r="G3135" s="490"/>
      <c r="H3135" s="520"/>
      <c r="I3135" s="523"/>
      <c r="J3135" s="521"/>
      <c r="K3135" s="522"/>
      <c r="M3135" s="301" t="str">
        <f>N3135&amp;AS[[#This Row],[Insurer Code]]&amp;"; "&amp;O3135&amp;AS[[#This Row],[Reporting Year]]&amp;"; "&amp;P3135&amp;AS[[#This Row],[Insurance Category Code]]&amp;"; "&amp;Q3135&amp;AS[[#This Row],[Large Provider Entity Code]]&amp;"; "&amp;R3135&amp;AS[[#This Row],[Age Band Code]]&amp;"; "&amp;S3135&amp;AS[[#This Row],[Sex Code]]</f>
        <v xml:space="preserve">Insurer Code ; Reporting Year ; Insurance Category Code ; Large Provider Entity Code ; Age Band Code ; Sex Code </v>
      </c>
      <c r="N3135" s="297" t="s">
        <v>197</v>
      </c>
      <c r="O3135" s="297" t="s">
        <v>198</v>
      </c>
      <c r="P3135" s="297" t="s">
        <v>199</v>
      </c>
      <c r="Q3135" s="297" t="s">
        <v>200</v>
      </c>
      <c r="R3135" s="297" t="s">
        <v>213</v>
      </c>
      <c r="S3135" s="297" t="s">
        <v>214</v>
      </c>
    </row>
    <row r="3136" spans="1:19" x14ac:dyDescent="0.4">
      <c r="A3136" s="291"/>
      <c r="B3136" s="292"/>
      <c r="C3136" s="312"/>
      <c r="D3136" s="292"/>
      <c r="E3136" s="489"/>
      <c r="F3136" s="489"/>
      <c r="G3136" s="490"/>
      <c r="H3136" s="520"/>
      <c r="I3136" s="523"/>
      <c r="J3136" s="521"/>
      <c r="K3136" s="522"/>
      <c r="M3136" s="301" t="str">
        <f>N3136&amp;AS[[#This Row],[Insurer Code]]&amp;"; "&amp;O3136&amp;AS[[#This Row],[Reporting Year]]&amp;"; "&amp;P3136&amp;AS[[#This Row],[Insurance Category Code]]&amp;"; "&amp;Q3136&amp;AS[[#This Row],[Large Provider Entity Code]]&amp;"; "&amp;R3136&amp;AS[[#This Row],[Age Band Code]]&amp;"; "&amp;S3136&amp;AS[[#This Row],[Sex Code]]</f>
        <v xml:space="preserve">Insurer Code ; Reporting Year ; Insurance Category Code ; Large Provider Entity Code ; Age Band Code ; Sex Code </v>
      </c>
      <c r="N3136" s="297" t="s">
        <v>197</v>
      </c>
      <c r="O3136" s="297" t="s">
        <v>198</v>
      </c>
      <c r="P3136" s="297" t="s">
        <v>199</v>
      </c>
      <c r="Q3136" s="297" t="s">
        <v>200</v>
      </c>
      <c r="R3136" s="297" t="s">
        <v>213</v>
      </c>
      <c r="S3136" s="297" t="s">
        <v>214</v>
      </c>
    </row>
    <row r="3137" spans="1:19" x14ac:dyDescent="0.4">
      <c r="A3137" s="291"/>
      <c r="B3137" s="292"/>
      <c r="C3137" s="312"/>
      <c r="D3137" s="292"/>
      <c r="E3137" s="489"/>
      <c r="F3137" s="489"/>
      <c r="G3137" s="490"/>
      <c r="H3137" s="520"/>
      <c r="I3137" s="523"/>
      <c r="J3137" s="521"/>
      <c r="K3137" s="522"/>
      <c r="M3137" s="301" t="str">
        <f>N3137&amp;AS[[#This Row],[Insurer Code]]&amp;"; "&amp;O3137&amp;AS[[#This Row],[Reporting Year]]&amp;"; "&amp;P3137&amp;AS[[#This Row],[Insurance Category Code]]&amp;"; "&amp;Q3137&amp;AS[[#This Row],[Large Provider Entity Code]]&amp;"; "&amp;R3137&amp;AS[[#This Row],[Age Band Code]]&amp;"; "&amp;S3137&amp;AS[[#This Row],[Sex Code]]</f>
        <v xml:space="preserve">Insurer Code ; Reporting Year ; Insurance Category Code ; Large Provider Entity Code ; Age Band Code ; Sex Code </v>
      </c>
      <c r="N3137" s="297" t="s">
        <v>197</v>
      </c>
      <c r="O3137" s="297" t="s">
        <v>198</v>
      </c>
      <c r="P3137" s="297" t="s">
        <v>199</v>
      </c>
      <c r="Q3137" s="297" t="s">
        <v>200</v>
      </c>
      <c r="R3137" s="297" t="s">
        <v>213</v>
      </c>
      <c r="S3137" s="297" t="s">
        <v>214</v>
      </c>
    </row>
    <row r="3138" spans="1:19" x14ac:dyDescent="0.4">
      <c r="A3138" s="291"/>
      <c r="B3138" s="292"/>
      <c r="C3138" s="312"/>
      <c r="D3138" s="292"/>
      <c r="E3138" s="489"/>
      <c r="F3138" s="489"/>
      <c r="G3138" s="490"/>
      <c r="H3138" s="520"/>
      <c r="I3138" s="523"/>
      <c r="J3138" s="521"/>
      <c r="K3138" s="522"/>
      <c r="M3138" s="301" t="str">
        <f>N3138&amp;AS[[#This Row],[Insurer Code]]&amp;"; "&amp;O3138&amp;AS[[#This Row],[Reporting Year]]&amp;"; "&amp;P3138&amp;AS[[#This Row],[Insurance Category Code]]&amp;"; "&amp;Q3138&amp;AS[[#This Row],[Large Provider Entity Code]]&amp;"; "&amp;R3138&amp;AS[[#This Row],[Age Band Code]]&amp;"; "&amp;S3138&amp;AS[[#This Row],[Sex Code]]</f>
        <v xml:space="preserve">Insurer Code ; Reporting Year ; Insurance Category Code ; Large Provider Entity Code ; Age Band Code ; Sex Code </v>
      </c>
      <c r="N3138" s="297" t="s">
        <v>197</v>
      </c>
      <c r="O3138" s="297" t="s">
        <v>198</v>
      </c>
      <c r="P3138" s="297" t="s">
        <v>199</v>
      </c>
      <c r="Q3138" s="297" t="s">
        <v>200</v>
      </c>
      <c r="R3138" s="297" t="s">
        <v>213</v>
      </c>
      <c r="S3138" s="297" t="s">
        <v>214</v>
      </c>
    </row>
    <row r="3139" spans="1:19" x14ac:dyDescent="0.4">
      <c r="A3139" s="291"/>
      <c r="B3139" s="292"/>
      <c r="C3139" s="312"/>
      <c r="D3139" s="292"/>
      <c r="E3139" s="489"/>
      <c r="F3139" s="489"/>
      <c r="G3139" s="490"/>
      <c r="H3139" s="520"/>
      <c r="I3139" s="523"/>
      <c r="J3139" s="521"/>
      <c r="K3139" s="522"/>
      <c r="M3139" s="301" t="str">
        <f>N3139&amp;AS[[#This Row],[Insurer Code]]&amp;"; "&amp;O3139&amp;AS[[#This Row],[Reporting Year]]&amp;"; "&amp;P3139&amp;AS[[#This Row],[Insurance Category Code]]&amp;"; "&amp;Q3139&amp;AS[[#This Row],[Large Provider Entity Code]]&amp;"; "&amp;R3139&amp;AS[[#This Row],[Age Band Code]]&amp;"; "&amp;S3139&amp;AS[[#This Row],[Sex Code]]</f>
        <v xml:space="preserve">Insurer Code ; Reporting Year ; Insurance Category Code ; Large Provider Entity Code ; Age Band Code ; Sex Code </v>
      </c>
      <c r="N3139" s="297" t="s">
        <v>197</v>
      </c>
      <c r="O3139" s="297" t="s">
        <v>198</v>
      </c>
      <c r="P3139" s="297" t="s">
        <v>199</v>
      </c>
      <c r="Q3139" s="297" t="s">
        <v>200</v>
      </c>
      <c r="R3139" s="297" t="s">
        <v>213</v>
      </c>
      <c r="S3139" s="297" t="s">
        <v>214</v>
      </c>
    </row>
    <row r="3140" spans="1:19" x14ac:dyDescent="0.4">
      <c r="A3140" s="291"/>
      <c r="B3140" s="292"/>
      <c r="C3140" s="312"/>
      <c r="D3140" s="292"/>
      <c r="E3140" s="489"/>
      <c r="F3140" s="489"/>
      <c r="G3140" s="490"/>
      <c r="H3140" s="520"/>
      <c r="I3140" s="523"/>
      <c r="J3140" s="521"/>
      <c r="K3140" s="522"/>
      <c r="M3140" s="301" t="str">
        <f>N3140&amp;AS[[#This Row],[Insurer Code]]&amp;"; "&amp;O3140&amp;AS[[#This Row],[Reporting Year]]&amp;"; "&amp;P3140&amp;AS[[#This Row],[Insurance Category Code]]&amp;"; "&amp;Q3140&amp;AS[[#This Row],[Large Provider Entity Code]]&amp;"; "&amp;R3140&amp;AS[[#This Row],[Age Band Code]]&amp;"; "&amp;S3140&amp;AS[[#This Row],[Sex Code]]</f>
        <v xml:space="preserve">Insurer Code ; Reporting Year ; Insurance Category Code ; Large Provider Entity Code ; Age Band Code ; Sex Code </v>
      </c>
      <c r="N3140" s="297" t="s">
        <v>197</v>
      </c>
      <c r="O3140" s="297" t="s">
        <v>198</v>
      </c>
      <c r="P3140" s="297" t="s">
        <v>199</v>
      </c>
      <c r="Q3140" s="297" t="s">
        <v>200</v>
      </c>
      <c r="R3140" s="297" t="s">
        <v>213</v>
      </c>
      <c r="S3140" s="297" t="s">
        <v>214</v>
      </c>
    </row>
    <row r="3141" spans="1:19" x14ac:dyDescent="0.4">
      <c r="A3141" s="291"/>
      <c r="B3141" s="292"/>
      <c r="C3141" s="312"/>
      <c r="D3141" s="292"/>
      <c r="E3141" s="489"/>
      <c r="F3141" s="489"/>
      <c r="G3141" s="490"/>
      <c r="H3141" s="520"/>
      <c r="I3141" s="523"/>
      <c r="J3141" s="521"/>
      <c r="K3141" s="522"/>
      <c r="M3141" s="301" t="str">
        <f>N3141&amp;AS[[#This Row],[Insurer Code]]&amp;"; "&amp;O3141&amp;AS[[#This Row],[Reporting Year]]&amp;"; "&amp;P3141&amp;AS[[#This Row],[Insurance Category Code]]&amp;"; "&amp;Q3141&amp;AS[[#This Row],[Large Provider Entity Code]]&amp;"; "&amp;R3141&amp;AS[[#This Row],[Age Band Code]]&amp;"; "&amp;S3141&amp;AS[[#This Row],[Sex Code]]</f>
        <v xml:space="preserve">Insurer Code ; Reporting Year ; Insurance Category Code ; Large Provider Entity Code ; Age Band Code ; Sex Code </v>
      </c>
      <c r="N3141" s="297" t="s">
        <v>197</v>
      </c>
      <c r="O3141" s="297" t="s">
        <v>198</v>
      </c>
      <c r="P3141" s="297" t="s">
        <v>199</v>
      </c>
      <c r="Q3141" s="297" t="s">
        <v>200</v>
      </c>
      <c r="R3141" s="297" t="s">
        <v>213</v>
      </c>
      <c r="S3141" s="297" t="s">
        <v>214</v>
      </c>
    </row>
    <row r="3142" spans="1:19" x14ac:dyDescent="0.4">
      <c r="A3142" s="291"/>
      <c r="B3142" s="292"/>
      <c r="C3142" s="312"/>
      <c r="D3142" s="292"/>
      <c r="E3142" s="489"/>
      <c r="F3142" s="489"/>
      <c r="G3142" s="490"/>
      <c r="H3142" s="520"/>
      <c r="I3142" s="523"/>
      <c r="J3142" s="521"/>
      <c r="K3142" s="522"/>
      <c r="M3142" s="301" t="str">
        <f>N3142&amp;AS[[#This Row],[Insurer Code]]&amp;"; "&amp;O3142&amp;AS[[#This Row],[Reporting Year]]&amp;"; "&amp;P3142&amp;AS[[#This Row],[Insurance Category Code]]&amp;"; "&amp;Q3142&amp;AS[[#This Row],[Large Provider Entity Code]]&amp;"; "&amp;R3142&amp;AS[[#This Row],[Age Band Code]]&amp;"; "&amp;S3142&amp;AS[[#This Row],[Sex Code]]</f>
        <v xml:space="preserve">Insurer Code ; Reporting Year ; Insurance Category Code ; Large Provider Entity Code ; Age Band Code ; Sex Code </v>
      </c>
      <c r="N3142" s="297" t="s">
        <v>197</v>
      </c>
      <c r="O3142" s="297" t="s">
        <v>198</v>
      </c>
      <c r="P3142" s="297" t="s">
        <v>199</v>
      </c>
      <c r="Q3142" s="297" t="s">
        <v>200</v>
      </c>
      <c r="R3142" s="297" t="s">
        <v>213</v>
      </c>
      <c r="S3142" s="297" t="s">
        <v>214</v>
      </c>
    </row>
    <row r="3143" spans="1:19" x14ac:dyDescent="0.4">
      <c r="A3143" s="291"/>
      <c r="B3143" s="292"/>
      <c r="C3143" s="312"/>
      <c r="D3143" s="292"/>
      <c r="E3143" s="489"/>
      <c r="F3143" s="489"/>
      <c r="G3143" s="490"/>
      <c r="H3143" s="520"/>
      <c r="I3143" s="523"/>
      <c r="J3143" s="521"/>
      <c r="K3143" s="522"/>
      <c r="M3143" s="301" t="str">
        <f>N3143&amp;AS[[#This Row],[Insurer Code]]&amp;"; "&amp;O3143&amp;AS[[#This Row],[Reporting Year]]&amp;"; "&amp;P3143&amp;AS[[#This Row],[Insurance Category Code]]&amp;"; "&amp;Q3143&amp;AS[[#This Row],[Large Provider Entity Code]]&amp;"; "&amp;R3143&amp;AS[[#This Row],[Age Band Code]]&amp;"; "&amp;S3143&amp;AS[[#This Row],[Sex Code]]</f>
        <v xml:space="preserve">Insurer Code ; Reporting Year ; Insurance Category Code ; Large Provider Entity Code ; Age Band Code ; Sex Code </v>
      </c>
      <c r="N3143" s="297" t="s">
        <v>197</v>
      </c>
      <c r="O3143" s="297" t="s">
        <v>198</v>
      </c>
      <c r="P3143" s="297" t="s">
        <v>199</v>
      </c>
      <c r="Q3143" s="297" t="s">
        <v>200</v>
      </c>
      <c r="R3143" s="297" t="s">
        <v>213</v>
      </c>
      <c r="S3143" s="297" t="s">
        <v>214</v>
      </c>
    </row>
    <row r="3144" spans="1:19" x14ac:dyDescent="0.4">
      <c r="A3144" s="291"/>
      <c r="B3144" s="292"/>
      <c r="C3144" s="312"/>
      <c r="D3144" s="292"/>
      <c r="E3144" s="489"/>
      <c r="F3144" s="489"/>
      <c r="G3144" s="490"/>
      <c r="H3144" s="520"/>
      <c r="I3144" s="523"/>
      <c r="J3144" s="521"/>
      <c r="K3144" s="522"/>
      <c r="M3144" s="301" t="str">
        <f>N3144&amp;AS[[#This Row],[Insurer Code]]&amp;"; "&amp;O3144&amp;AS[[#This Row],[Reporting Year]]&amp;"; "&amp;P3144&amp;AS[[#This Row],[Insurance Category Code]]&amp;"; "&amp;Q3144&amp;AS[[#This Row],[Large Provider Entity Code]]&amp;"; "&amp;R3144&amp;AS[[#This Row],[Age Band Code]]&amp;"; "&amp;S3144&amp;AS[[#This Row],[Sex Code]]</f>
        <v xml:space="preserve">Insurer Code ; Reporting Year ; Insurance Category Code ; Large Provider Entity Code ; Age Band Code ; Sex Code </v>
      </c>
      <c r="N3144" s="297" t="s">
        <v>197</v>
      </c>
      <c r="O3144" s="297" t="s">
        <v>198</v>
      </c>
      <c r="P3144" s="297" t="s">
        <v>199</v>
      </c>
      <c r="Q3144" s="297" t="s">
        <v>200</v>
      </c>
      <c r="R3144" s="297" t="s">
        <v>213</v>
      </c>
      <c r="S3144" s="297" t="s">
        <v>214</v>
      </c>
    </row>
    <row r="3145" spans="1:19" x14ac:dyDescent="0.4">
      <c r="A3145" s="291"/>
      <c r="B3145" s="292"/>
      <c r="C3145" s="312"/>
      <c r="D3145" s="292"/>
      <c r="E3145" s="489"/>
      <c r="F3145" s="489"/>
      <c r="G3145" s="490"/>
      <c r="H3145" s="520"/>
      <c r="I3145" s="523"/>
      <c r="J3145" s="521"/>
      <c r="K3145" s="522"/>
      <c r="M3145" s="301" t="str">
        <f>N3145&amp;AS[[#This Row],[Insurer Code]]&amp;"; "&amp;O3145&amp;AS[[#This Row],[Reporting Year]]&amp;"; "&amp;P3145&amp;AS[[#This Row],[Insurance Category Code]]&amp;"; "&amp;Q3145&amp;AS[[#This Row],[Large Provider Entity Code]]&amp;"; "&amp;R3145&amp;AS[[#This Row],[Age Band Code]]&amp;"; "&amp;S3145&amp;AS[[#This Row],[Sex Code]]</f>
        <v xml:space="preserve">Insurer Code ; Reporting Year ; Insurance Category Code ; Large Provider Entity Code ; Age Band Code ; Sex Code </v>
      </c>
      <c r="N3145" s="297" t="s">
        <v>197</v>
      </c>
      <c r="O3145" s="297" t="s">
        <v>198</v>
      </c>
      <c r="P3145" s="297" t="s">
        <v>199</v>
      </c>
      <c r="Q3145" s="297" t="s">
        <v>200</v>
      </c>
      <c r="R3145" s="297" t="s">
        <v>213</v>
      </c>
      <c r="S3145" s="297" t="s">
        <v>214</v>
      </c>
    </row>
    <row r="3146" spans="1:19" x14ac:dyDescent="0.4">
      <c r="A3146" s="291"/>
      <c r="B3146" s="292"/>
      <c r="C3146" s="312"/>
      <c r="D3146" s="292"/>
      <c r="E3146" s="489"/>
      <c r="F3146" s="489"/>
      <c r="G3146" s="490"/>
      <c r="H3146" s="520"/>
      <c r="I3146" s="523"/>
      <c r="J3146" s="521"/>
      <c r="K3146" s="522"/>
      <c r="M3146" s="301" t="str">
        <f>N3146&amp;AS[[#This Row],[Insurer Code]]&amp;"; "&amp;O3146&amp;AS[[#This Row],[Reporting Year]]&amp;"; "&amp;P3146&amp;AS[[#This Row],[Insurance Category Code]]&amp;"; "&amp;Q3146&amp;AS[[#This Row],[Large Provider Entity Code]]&amp;"; "&amp;R3146&amp;AS[[#This Row],[Age Band Code]]&amp;"; "&amp;S3146&amp;AS[[#This Row],[Sex Code]]</f>
        <v xml:space="preserve">Insurer Code ; Reporting Year ; Insurance Category Code ; Large Provider Entity Code ; Age Band Code ; Sex Code </v>
      </c>
      <c r="N3146" s="297" t="s">
        <v>197</v>
      </c>
      <c r="O3146" s="297" t="s">
        <v>198</v>
      </c>
      <c r="P3146" s="297" t="s">
        <v>199</v>
      </c>
      <c r="Q3146" s="297" t="s">
        <v>200</v>
      </c>
      <c r="R3146" s="297" t="s">
        <v>213</v>
      </c>
      <c r="S3146" s="297" t="s">
        <v>214</v>
      </c>
    </row>
    <row r="3147" spans="1:19" x14ac:dyDescent="0.4">
      <c r="A3147" s="291"/>
      <c r="B3147" s="292"/>
      <c r="C3147" s="312"/>
      <c r="D3147" s="292"/>
      <c r="E3147" s="489"/>
      <c r="F3147" s="489"/>
      <c r="G3147" s="490"/>
      <c r="H3147" s="520"/>
      <c r="I3147" s="523"/>
      <c r="J3147" s="521"/>
      <c r="K3147" s="522"/>
      <c r="M3147" s="301" t="str">
        <f>N3147&amp;AS[[#This Row],[Insurer Code]]&amp;"; "&amp;O3147&amp;AS[[#This Row],[Reporting Year]]&amp;"; "&amp;P3147&amp;AS[[#This Row],[Insurance Category Code]]&amp;"; "&amp;Q3147&amp;AS[[#This Row],[Large Provider Entity Code]]&amp;"; "&amp;R3147&amp;AS[[#This Row],[Age Band Code]]&amp;"; "&amp;S3147&amp;AS[[#This Row],[Sex Code]]</f>
        <v xml:space="preserve">Insurer Code ; Reporting Year ; Insurance Category Code ; Large Provider Entity Code ; Age Band Code ; Sex Code </v>
      </c>
      <c r="N3147" s="297" t="s">
        <v>197</v>
      </c>
      <c r="O3147" s="297" t="s">
        <v>198</v>
      </c>
      <c r="P3147" s="297" t="s">
        <v>199</v>
      </c>
      <c r="Q3147" s="297" t="s">
        <v>200</v>
      </c>
      <c r="R3147" s="297" t="s">
        <v>213</v>
      </c>
      <c r="S3147" s="297" t="s">
        <v>214</v>
      </c>
    </row>
    <row r="3148" spans="1:19" x14ac:dyDescent="0.4">
      <c r="A3148" s="291"/>
      <c r="B3148" s="292"/>
      <c r="C3148" s="312"/>
      <c r="D3148" s="292"/>
      <c r="E3148" s="489"/>
      <c r="F3148" s="489"/>
      <c r="G3148" s="490"/>
      <c r="H3148" s="520"/>
      <c r="I3148" s="523"/>
      <c r="J3148" s="521"/>
      <c r="K3148" s="522"/>
      <c r="M3148" s="301" t="str">
        <f>N3148&amp;AS[[#This Row],[Insurer Code]]&amp;"; "&amp;O3148&amp;AS[[#This Row],[Reporting Year]]&amp;"; "&amp;P3148&amp;AS[[#This Row],[Insurance Category Code]]&amp;"; "&amp;Q3148&amp;AS[[#This Row],[Large Provider Entity Code]]&amp;"; "&amp;R3148&amp;AS[[#This Row],[Age Band Code]]&amp;"; "&amp;S3148&amp;AS[[#This Row],[Sex Code]]</f>
        <v xml:space="preserve">Insurer Code ; Reporting Year ; Insurance Category Code ; Large Provider Entity Code ; Age Band Code ; Sex Code </v>
      </c>
      <c r="N3148" s="297" t="s">
        <v>197</v>
      </c>
      <c r="O3148" s="297" t="s">
        <v>198</v>
      </c>
      <c r="P3148" s="297" t="s">
        <v>199</v>
      </c>
      <c r="Q3148" s="297" t="s">
        <v>200</v>
      </c>
      <c r="R3148" s="297" t="s">
        <v>213</v>
      </c>
      <c r="S3148" s="297" t="s">
        <v>214</v>
      </c>
    </row>
    <row r="3149" spans="1:19" x14ac:dyDescent="0.4">
      <c r="A3149" s="291"/>
      <c r="B3149" s="292"/>
      <c r="C3149" s="312"/>
      <c r="D3149" s="292"/>
      <c r="E3149" s="489"/>
      <c r="F3149" s="489"/>
      <c r="G3149" s="490"/>
      <c r="H3149" s="520"/>
      <c r="I3149" s="523"/>
      <c r="J3149" s="521"/>
      <c r="K3149" s="522"/>
      <c r="M3149" s="301" t="str">
        <f>N3149&amp;AS[[#This Row],[Insurer Code]]&amp;"; "&amp;O3149&amp;AS[[#This Row],[Reporting Year]]&amp;"; "&amp;P3149&amp;AS[[#This Row],[Insurance Category Code]]&amp;"; "&amp;Q3149&amp;AS[[#This Row],[Large Provider Entity Code]]&amp;"; "&amp;R3149&amp;AS[[#This Row],[Age Band Code]]&amp;"; "&amp;S3149&amp;AS[[#This Row],[Sex Code]]</f>
        <v xml:space="preserve">Insurer Code ; Reporting Year ; Insurance Category Code ; Large Provider Entity Code ; Age Band Code ; Sex Code </v>
      </c>
      <c r="N3149" s="297" t="s">
        <v>197</v>
      </c>
      <c r="O3149" s="297" t="s">
        <v>198</v>
      </c>
      <c r="P3149" s="297" t="s">
        <v>199</v>
      </c>
      <c r="Q3149" s="297" t="s">
        <v>200</v>
      </c>
      <c r="R3149" s="297" t="s">
        <v>213</v>
      </c>
      <c r="S3149" s="297" t="s">
        <v>214</v>
      </c>
    </row>
    <row r="3150" spans="1:19" x14ac:dyDescent="0.4">
      <c r="A3150" s="291"/>
      <c r="B3150" s="292"/>
      <c r="C3150" s="312"/>
      <c r="D3150" s="292"/>
      <c r="E3150" s="489"/>
      <c r="F3150" s="489"/>
      <c r="G3150" s="490"/>
      <c r="H3150" s="520"/>
      <c r="I3150" s="523"/>
      <c r="J3150" s="521"/>
      <c r="K3150" s="522"/>
      <c r="M3150" s="301" t="str">
        <f>N3150&amp;AS[[#This Row],[Insurer Code]]&amp;"; "&amp;O3150&amp;AS[[#This Row],[Reporting Year]]&amp;"; "&amp;P3150&amp;AS[[#This Row],[Insurance Category Code]]&amp;"; "&amp;Q3150&amp;AS[[#This Row],[Large Provider Entity Code]]&amp;"; "&amp;R3150&amp;AS[[#This Row],[Age Band Code]]&amp;"; "&amp;S3150&amp;AS[[#This Row],[Sex Code]]</f>
        <v xml:space="preserve">Insurer Code ; Reporting Year ; Insurance Category Code ; Large Provider Entity Code ; Age Band Code ; Sex Code </v>
      </c>
      <c r="N3150" s="297" t="s">
        <v>197</v>
      </c>
      <c r="O3150" s="297" t="s">
        <v>198</v>
      </c>
      <c r="P3150" s="297" t="s">
        <v>199</v>
      </c>
      <c r="Q3150" s="297" t="s">
        <v>200</v>
      </c>
      <c r="R3150" s="297" t="s">
        <v>213</v>
      </c>
      <c r="S3150" s="297" t="s">
        <v>214</v>
      </c>
    </row>
    <row r="3151" spans="1:19" x14ac:dyDescent="0.4">
      <c r="A3151" s="291"/>
      <c r="B3151" s="292"/>
      <c r="C3151" s="312"/>
      <c r="D3151" s="292"/>
      <c r="E3151" s="489"/>
      <c r="F3151" s="489"/>
      <c r="G3151" s="490"/>
      <c r="H3151" s="520"/>
      <c r="I3151" s="523"/>
      <c r="J3151" s="521"/>
      <c r="K3151" s="522"/>
      <c r="M3151" s="301" t="str">
        <f>N3151&amp;AS[[#This Row],[Insurer Code]]&amp;"; "&amp;O3151&amp;AS[[#This Row],[Reporting Year]]&amp;"; "&amp;P3151&amp;AS[[#This Row],[Insurance Category Code]]&amp;"; "&amp;Q3151&amp;AS[[#This Row],[Large Provider Entity Code]]&amp;"; "&amp;R3151&amp;AS[[#This Row],[Age Band Code]]&amp;"; "&amp;S3151&amp;AS[[#This Row],[Sex Code]]</f>
        <v xml:space="preserve">Insurer Code ; Reporting Year ; Insurance Category Code ; Large Provider Entity Code ; Age Band Code ; Sex Code </v>
      </c>
      <c r="N3151" s="297" t="s">
        <v>197</v>
      </c>
      <c r="O3151" s="297" t="s">
        <v>198</v>
      </c>
      <c r="P3151" s="297" t="s">
        <v>199</v>
      </c>
      <c r="Q3151" s="297" t="s">
        <v>200</v>
      </c>
      <c r="R3151" s="297" t="s">
        <v>213</v>
      </c>
      <c r="S3151" s="297" t="s">
        <v>214</v>
      </c>
    </row>
    <row r="3152" spans="1:19" x14ac:dyDescent="0.4">
      <c r="A3152" s="291"/>
      <c r="B3152" s="292"/>
      <c r="C3152" s="312"/>
      <c r="D3152" s="292"/>
      <c r="E3152" s="489"/>
      <c r="F3152" s="489"/>
      <c r="G3152" s="490"/>
      <c r="H3152" s="520"/>
      <c r="I3152" s="523"/>
      <c r="J3152" s="521"/>
      <c r="K3152" s="522"/>
      <c r="M3152" s="301" t="str">
        <f>N3152&amp;AS[[#This Row],[Insurer Code]]&amp;"; "&amp;O3152&amp;AS[[#This Row],[Reporting Year]]&amp;"; "&amp;P3152&amp;AS[[#This Row],[Insurance Category Code]]&amp;"; "&amp;Q3152&amp;AS[[#This Row],[Large Provider Entity Code]]&amp;"; "&amp;R3152&amp;AS[[#This Row],[Age Band Code]]&amp;"; "&amp;S3152&amp;AS[[#This Row],[Sex Code]]</f>
        <v xml:space="preserve">Insurer Code ; Reporting Year ; Insurance Category Code ; Large Provider Entity Code ; Age Band Code ; Sex Code </v>
      </c>
      <c r="N3152" s="297" t="s">
        <v>197</v>
      </c>
      <c r="O3152" s="297" t="s">
        <v>198</v>
      </c>
      <c r="P3152" s="297" t="s">
        <v>199</v>
      </c>
      <c r="Q3152" s="297" t="s">
        <v>200</v>
      </c>
      <c r="R3152" s="297" t="s">
        <v>213</v>
      </c>
      <c r="S3152" s="297" t="s">
        <v>214</v>
      </c>
    </row>
    <row r="3153" spans="1:19" x14ac:dyDescent="0.4">
      <c r="A3153" s="291"/>
      <c r="B3153" s="292"/>
      <c r="C3153" s="312"/>
      <c r="D3153" s="292"/>
      <c r="E3153" s="489"/>
      <c r="F3153" s="489"/>
      <c r="G3153" s="490"/>
      <c r="H3153" s="520"/>
      <c r="I3153" s="523"/>
      <c r="J3153" s="521"/>
      <c r="K3153" s="522"/>
      <c r="M3153" s="301" t="str">
        <f>N3153&amp;AS[[#This Row],[Insurer Code]]&amp;"; "&amp;O3153&amp;AS[[#This Row],[Reporting Year]]&amp;"; "&amp;P3153&amp;AS[[#This Row],[Insurance Category Code]]&amp;"; "&amp;Q3153&amp;AS[[#This Row],[Large Provider Entity Code]]&amp;"; "&amp;R3153&amp;AS[[#This Row],[Age Band Code]]&amp;"; "&amp;S3153&amp;AS[[#This Row],[Sex Code]]</f>
        <v xml:space="preserve">Insurer Code ; Reporting Year ; Insurance Category Code ; Large Provider Entity Code ; Age Band Code ; Sex Code </v>
      </c>
      <c r="N3153" s="297" t="s">
        <v>197</v>
      </c>
      <c r="O3153" s="297" t="s">
        <v>198</v>
      </c>
      <c r="P3153" s="297" t="s">
        <v>199</v>
      </c>
      <c r="Q3153" s="297" t="s">
        <v>200</v>
      </c>
      <c r="R3153" s="297" t="s">
        <v>213</v>
      </c>
      <c r="S3153" s="297" t="s">
        <v>214</v>
      </c>
    </row>
    <row r="3154" spans="1:19" x14ac:dyDescent="0.4">
      <c r="A3154" s="291"/>
      <c r="B3154" s="292"/>
      <c r="C3154" s="312"/>
      <c r="D3154" s="292"/>
      <c r="E3154" s="489"/>
      <c r="F3154" s="489"/>
      <c r="G3154" s="490"/>
      <c r="H3154" s="520"/>
      <c r="I3154" s="523"/>
      <c r="J3154" s="521"/>
      <c r="K3154" s="522"/>
      <c r="M3154" s="301" t="str">
        <f>N3154&amp;AS[[#This Row],[Insurer Code]]&amp;"; "&amp;O3154&amp;AS[[#This Row],[Reporting Year]]&amp;"; "&amp;P3154&amp;AS[[#This Row],[Insurance Category Code]]&amp;"; "&amp;Q3154&amp;AS[[#This Row],[Large Provider Entity Code]]&amp;"; "&amp;R3154&amp;AS[[#This Row],[Age Band Code]]&amp;"; "&amp;S3154&amp;AS[[#This Row],[Sex Code]]</f>
        <v xml:space="preserve">Insurer Code ; Reporting Year ; Insurance Category Code ; Large Provider Entity Code ; Age Band Code ; Sex Code </v>
      </c>
      <c r="N3154" s="297" t="s">
        <v>197</v>
      </c>
      <c r="O3154" s="297" t="s">
        <v>198</v>
      </c>
      <c r="P3154" s="297" t="s">
        <v>199</v>
      </c>
      <c r="Q3154" s="297" t="s">
        <v>200</v>
      </c>
      <c r="R3154" s="297" t="s">
        <v>213</v>
      </c>
      <c r="S3154" s="297" t="s">
        <v>214</v>
      </c>
    </row>
    <row r="3155" spans="1:19" x14ac:dyDescent="0.4">
      <c r="A3155" s="291"/>
      <c r="B3155" s="292"/>
      <c r="C3155" s="312"/>
      <c r="D3155" s="292"/>
      <c r="E3155" s="489"/>
      <c r="F3155" s="489"/>
      <c r="G3155" s="490"/>
      <c r="H3155" s="520"/>
      <c r="I3155" s="523"/>
      <c r="J3155" s="521"/>
      <c r="K3155" s="522"/>
      <c r="M3155" s="301" t="str">
        <f>N3155&amp;AS[[#This Row],[Insurer Code]]&amp;"; "&amp;O3155&amp;AS[[#This Row],[Reporting Year]]&amp;"; "&amp;P3155&amp;AS[[#This Row],[Insurance Category Code]]&amp;"; "&amp;Q3155&amp;AS[[#This Row],[Large Provider Entity Code]]&amp;"; "&amp;R3155&amp;AS[[#This Row],[Age Band Code]]&amp;"; "&amp;S3155&amp;AS[[#This Row],[Sex Code]]</f>
        <v xml:space="preserve">Insurer Code ; Reporting Year ; Insurance Category Code ; Large Provider Entity Code ; Age Band Code ; Sex Code </v>
      </c>
      <c r="N3155" s="297" t="s">
        <v>197</v>
      </c>
      <c r="O3155" s="297" t="s">
        <v>198</v>
      </c>
      <c r="P3155" s="297" t="s">
        <v>199</v>
      </c>
      <c r="Q3155" s="297" t="s">
        <v>200</v>
      </c>
      <c r="R3155" s="297" t="s">
        <v>213</v>
      </c>
      <c r="S3155" s="297" t="s">
        <v>214</v>
      </c>
    </row>
    <row r="3156" spans="1:19" x14ac:dyDescent="0.4">
      <c r="A3156" s="291"/>
      <c r="B3156" s="292"/>
      <c r="C3156" s="312"/>
      <c r="D3156" s="292"/>
      <c r="E3156" s="489"/>
      <c r="F3156" s="489"/>
      <c r="G3156" s="490"/>
      <c r="H3156" s="520"/>
      <c r="I3156" s="523"/>
      <c r="J3156" s="521"/>
      <c r="K3156" s="522"/>
      <c r="M3156" s="301" t="str">
        <f>N3156&amp;AS[[#This Row],[Insurer Code]]&amp;"; "&amp;O3156&amp;AS[[#This Row],[Reporting Year]]&amp;"; "&amp;P3156&amp;AS[[#This Row],[Insurance Category Code]]&amp;"; "&amp;Q3156&amp;AS[[#This Row],[Large Provider Entity Code]]&amp;"; "&amp;R3156&amp;AS[[#This Row],[Age Band Code]]&amp;"; "&amp;S3156&amp;AS[[#This Row],[Sex Code]]</f>
        <v xml:space="preserve">Insurer Code ; Reporting Year ; Insurance Category Code ; Large Provider Entity Code ; Age Band Code ; Sex Code </v>
      </c>
      <c r="N3156" s="297" t="s">
        <v>197</v>
      </c>
      <c r="O3156" s="297" t="s">
        <v>198</v>
      </c>
      <c r="P3156" s="297" t="s">
        <v>199</v>
      </c>
      <c r="Q3156" s="297" t="s">
        <v>200</v>
      </c>
      <c r="R3156" s="297" t="s">
        <v>213</v>
      </c>
      <c r="S3156" s="297" t="s">
        <v>214</v>
      </c>
    </row>
    <row r="3157" spans="1:19" x14ac:dyDescent="0.4">
      <c r="A3157" s="291"/>
      <c r="B3157" s="292"/>
      <c r="C3157" s="312"/>
      <c r="D3157" s="292"/>
      <c r="E3157" s="489"/>
      <c r="F3157" s="489"/>
      <c r="G3157" s="490"/>
      <c r="H3157" s="520"/>
      <c r="I3157" s="523"/>
      <c r="J3157" s="521"/>
      <c r="K3157" s="522"/>
      <c r="M3157" s="301" t="str">
        <f>N3157&amp;AS[[#This Row],[Insurer Code]]&amp;"; "&amp;O3157&amp;AS[[#This Row],[Reporting Year]]&amp;"; "&amp;P3157&amp;AS[[#This Row],[Insurance Category Code]]&amp;"; "&amp;Q3157&amp;AS[[#This Row],[Large Provider Entity Code]]&amp;"; "&amp;R3157&amp;AS[[#This Row],[Age Band Code]]&amp;"; "&amp;S3157&amp;AS[[#This Row],[Sex Code]]</f>
        <v xml:space="preserve">Insurer Code ; Reporting Year ; Insurance Category Code ; Large Provider Entity Code ; Age Band Code ; Sex Code </v>
      </c>
      <c r="N3157" s="297" t="s">
        <v>197</v>
      </c>
      <c r="O3157" s="297" t="s">
        <v>198</v>
      </c>
      <c r="P3157" s="297" t="s">
        <v>199</v>
      </c>
      <c r="Q3157" s="297" t="s">
        <v>200</v>
      </c>
      <c r="R3157" s="297" t="s">
        <v>213</v>
      </c>
      <c r="S3157" s="297" t="s">
        <v>214</v>
      </c>
    </row>
    <row r="3158" spans="1:19" x14ac:dyDescent="0.4">
      <c r="A3158" s="291"/>
      <c r="B3158" s="292"/>
      <c r="C3158" s="312"/>
      <c r="D3158" s="292"/>
      <c r="E3158" s="489"/>
      <c r="F3158" s="489"/>
      <c r="G3158" s="490"/>
      <c r="H3158" s="520"/>
      <c r="I3158" s="523"/>
      <c r="J3158" s="521"/>
      <c r="K3158" s="522"/>
      <c r="M3158" s="301" t="str">
        <f>N3158&amp;AS[[#This Row],[Insurer Code]]&amp;"; "&amp;O3158&amp;AS[[#This Row],[Reporting Year]]&amp;"; "&amp;P3158&amp;AS[[#This Row],[Insurance Category Code]]&amp;"; "&amp;Q3158&amp;AS[[#This Row],[Large Provider Entity Code]]&amp;"; "&amp;R3158&amp;AS[[#This Row],[Age Band Code]]&amp;"; "&amp;S3158&amp;AS[[#This Row],[Sex Code]]</f>
        <v xml:space="preserve">Insurer Code ; Reporting Year ; Insurance Category Code ; Large Provider Entity Code ; Age Band Code ; Sex Code </v>
      </c>
      <c r="N3158" s="297" t="s">
        <v>197</v>
      </c>
      <c r="O3158" s="297" t="s">
        <v>198</v>
      </c>
      <c r="P3158" s="297" t="s">
        <v>199</v>
      </c>
      <c r="Q3158" s="297" t="s">
        <v>200</v>
      </c>
      <c r="R3158" s="297" t="s">
        <v>213</v>
      </c>
      <c r="S3158" s="297" t="s">
        <v>214</v>
      </c>
    </row>
    <row r="3159" spans="1:19" x14ac:dyDescent="0.4">
      <c r="A3159" s="291"/>
      <c r="B3159" s="292"/>
      <c r="C3159" s="312"/>
      <c r="D3159" s="292"/>
      <c r="E3159" s="489"/>
      <c r="F3159" s="489"/>
      <c r="G3159" s="490"/>
      <c r="H3159" s="520"/>
      <c r="I3159" s="523"/>
      <c r="J3159" s="521"/>
      <c r="K3159" s="522"/>
      <c r="M3159" s="301" t="str">
        <f>N3159&amp;AS[[#This Row],[Insurer Code]]&amp;"; "&amp;O3159&amp;AS[[#This Row],[Reporting Year]]&amp;"; "&amp;P3159&amp;AS[[#This Row],[Insurance Category Code]]&amp;"; "&amp;Q3159&amp;AS[[#This Row],[Large Provider Entity Code]]&amp;"; "&amp;R3159&amp;AS[[#This Row],[Age Band Code]]&amp;"; "&amp;S3159&amp;AS[[#This Row],[Sex Code]]</f>
        <v xml:space="preserve">Insurer Code ; Reporting Year ; Insurance Category Code ; Large Provider Entity Code ; Age Band Code ; Sex Code </v>
      </c>
      <c r="N3159" s="297" t="s">
        <v>197</v>
      </c>
      <c r="O3159" s="297" t="s">
        <v>198</v>
      </c>
      <c r="P3159" s="297" t="s">
        <v>199</v>
      </c>
      <c r="Q3159" s="297" t="s">
        <v>200</v>
      </c>
      <c r="R3159" s="297" t="s">
        <v>213</v>
      </c>
      <c r="S3159" s="297" t="s">
        <v>214</v>
      </c>
    </row>
    <row r="3160" spans="1:19" x14ac:dyDescent="0.4">
      <c r="A3160" s="291"/>
      <c r="B3160" s="292"/>
      <c r="C3160" s="312"/>
      <c r="D3160" s="292"/>
      <c r="E3160" s="489"/>
      <c r="F3160" s="489"/>
      <c r="G3160" s="490"/>
      <c r="H3160" s="520"/>
      <c r="I3160" s="523"/>
      <c r="J3160" s="521"/>
      <c r="K3160" s="522"/>
      <c r="M3160" s="301" t="str">
        <f>N3160&amp;AS[[#This Row],[Insurer Code]]&amp;"; "&amp;O3160&amp;AS[[#This Row],[Reporting Year]]&amp;"; "&amp;P3160&amp;AS[[#This Row],[Insurance Category Code]]&amp;"; "&amp;Q3160&amp;AS[[#This Row],[Large Provider Entity Code]]&amp;"; "&amp;R3160&amp;AS[[#This Row],[Age Band Code]]&amp;"; "&amp;S3160&amp;AS[[#This Row],[Sex Code]]</f>
        <v xml:space="preserve">Insurer Code ; Reporting Year ; Insurance Category Code ; Large Provider Entity Code ; Age Band Code ; Sex Code </v>
      </c>
      <c r="N3160" s="297" t="s">
        <v>197</v>
      </c>
      <c r="O3160" s="297" t="s">
        <v>198</v>
      </c>
      <c r="P3160" s="297" t="s">
        <v>199</v>
      </c>
      <c r="Q3160" s="297" t="s">
        <v>200</v>
      </c>
      <c r="R3160" s="297" t="s">
        <v>213</v>
      </c>
      <c r="S3160" s="297" t="s">
        <v>214</v>
      </c>
    </row>
    <row r="3161" spans="1:19" x14ac:dyDescent="0.4">
      <c r="A3161" s="291"/>
      <c r="B3161" s="292"/>
      <c r="C3161" s="312"/>
      <c r="D3161" s="292"/>
      <c r="E3161" s="489"/>
      <c r="F3161" s="489"/>
      <c r="G3161" s="490"/>
      <c r="H3161" s="520"/>
      <c r="I3161" s="523"/>
      <c r="J3161" s="521"/>
      <c r="K3161" s="522"/>
      <c r="M3161" s="301" t="str">
        <f>N3161&amp;AS[[#This Row],[Insurer Code]]&amp;"; "&amp;O3161&amp;AS[[#This Row],[Reporting Year]]&amp;"; "&amp;P3161&amp;AS[[#This Row],[Insurance Category Code]]&amp;"; "&amp;Q3161&amp;AS[[#This Row],[Large Provider Entity Code]]&amp;"; "&amp;R3161&amp;AS[[#This Row],[Age Band Code]]&amp;"; "&amp;S3161&amp;AS[[#This Row],[Sex Code]]</f>
        <v xml:space="preserve">Insurer Code ; Reporting Year ; Insurance Category Code ; Large Provider Entity Code ; Age Band Code ; Sex Code </v>
      </c>
      <c r="N3161" s="297" t="s">
        <v>197</v>
      </c>
      <c r="O3161" s="297" t="s">
        <v>198</v>
      </c>
      <c r="P3161" s="297" t="s">
        <v>199</v>
      </c>
      <c r="Q3161" s="297" t="s">
        <v>200</v>
      </c>
      <c r="R3161" s="297" t="s">
        <v>213</v>
      </c>
      <c r="S3161" s="297" t="s">
        <v>214</v>
      </c>
    </row>
    <row r="3162" spans="1:19" x14ac:dyDescent="0.4">
      <c r="A3162" s="291"/>
      <c r="B3162" s="292"/>
      <c r="C3162" s="312"/>
      <c r="D3162" s="292"/>
      <c r="E3162" s="489"/>
      <c r="F3162" s="489"/>
      <c r="G3162" s="490"/>
      <c r="H3162" s="520"/>
      <c r="I3162" s="523"/>
      <c r="J3162" s="521"/>
      <c r="K3162" s="522"/>
      <c r="M3162" s="301" t="str">
        <f>N3162&amp;AS[[#This Row],[Insurer Code]]&amp;"; "&amp;O3162&amp;AS[[#This Row],[Reporting Year]]&amp;"; "&amp;P3162&amp;AS[[#This Row],[Insurance Category Code]]&amp;"; "&amp;Q3162&amp;AS[[#This Row],[Large Provider Entity Code]]&amp;"; "&amp;R3162&amp;AS[[#This Row],[Age Band Code]]&amp;"; "&amp;S3162&amp;AS[[#This Row],[Sex Code]]</f>
        <v xml:space="preserve">Insurer Code ; Reporting Year ; Insurance Category Code ; Large Provider Entity Code ; Age Band Code ; Sex Code </v>
      </c>
      <c r="N3162" s="297" t="s">
        <v>197</v>
      </c>
      <c r="O3162" s="297" t="s">
        <v>198</v>
      </c>
      <c r="P3162" s="297" t="s">
        <v>199</v>
      </c>
      <c r="Q3162" s="297" t="s">
        <v>200</v>
      </c>
      <c r="R3162" s="297" t="s">
        <v>213</v>
      </c>
      <c r="S3162" s="297" t="s">
        <v>214</v>
      </c>
    </row>
    <row r="3163" spans="1:19" x14ac:dyDescent="0.4">
      <c r="A3163" s="291"/>
      <c r="B3163" s="292"/>
      <c r="C3163" s="312"/>
      <c r="D3163" s="292"/>
      <c r="E3163" s="489"/>
      <c r="F3163" s="489"/>
      <c r="G3163" s="490"/>
      <c r="H3163" s="520"/>
      <c r="I3163" s="523"/>
      <c r="J3163" s="521"/>
      <c r="K3163" s="522"/>
      <c r="M3163" s="301" t="str">
        <f>N3163&amp;AS[[#This Row],[Insurer Code]]&amp;"; "&amp;O3163&amp;AS[[#This Row],[Reporting Year]]&amp;"; "&amp;P3163&amp;AS[[#This Row],[Insurance Category Code]]&amp;"; "&amp;Q3163&amp;AS[[#This Row],[Large Provider Entity Code]]&amp;"; "&amp;R3163&amp;AS[[#This Row],[Age Band Code]]&amp;"; "&amp;S3163&amp;AS[[#This Row],[Sex Code]]</f>
        <v xml:space="preserve">Insurer Code ; Reporting Year ; Insurance Category Code ; Large Provider Entity Code ; Age Band Code ; Sex Code </v>
      </c>
      <c r="N3163" s="297" t="s">
        <v>197</v>
      </c>
      <c r="O3163" s="297" t="s">
        <v>198</v>
      </c>
      <c r="P3163" s="297" t="s">
        <v>199</v>
      </c>
      <c r="Q3163" s="297" t="s">
        <v>200</v>
      </c>
      <c r="R3163" s="297" t="s">
        <v>213</v>
      </c>
      <c r="S3163" s="297" t="s">
        <v>214</v>
      </c>
    </row>
    <row r="3164" spans="1:19" x14ac:dyDescent="0.4">
      <c r="A3164" s="291"/>
      <c r="B3164" s="292"/>
      <c r="C3164" s="312"/>
      <c r="D3164" s="292"/>
      <c r="E3164" s="489"/>
      <c r="F3164" s="489"/>
      <c r="G3164" s="490"/>
      <c r="H3164" s="520"/>
      <c r="I3164" s="523"/>
      <c r="J3164" s="521"/>
      <c r="K3164" s="522"/>
      <c r="M3164" s="301" t="str">
        <f>N3164&amp;AS[[#This Row],[Insurer Code]]&amp;"; "&amp;O3164&amp;AS[[#This Row],[Reporting Year]]&amp;"; "&amp;P3164&amp;AS[[#This Row],[Insurance Category Code]]&amp;"; "&amp;Q3164&amp;AS[[#This Row],[Large Provider Entity Code]]&amp;"; "&amp;R3164&amp;AS[[#This Row],[Age Band Code]]&amp;"; "&amp;S3164&amp;AS[[#This Row],[Sex Code]]</f>
        <v xml:space="preserve">Insurer Code ; Reporting Year ; Insurance Category Code ; Large Provider Entity Code ; Age Band Code ; Sex Code </v>
      </c>
      <c r="N3164" s="297" t="s">
        <v>197</v>
      </c>
      <c r="O3164" s="297" t="s">
        <v>198</v>
      </c>
      <c r="P3164" s="297" t="s">
        <v>199</v>
      </c>
      <c r="Q3164" s="297" t="s">
        <v>200</v>
      </c>
      <c r="R3164" s="297" t="s">
        <v>213</v>
      </c>
      <c r="S3164" s="297" t="s">
        <v>214</v>
      </c>
    </row>
    <row r="3165" spans="1:19" x14ac:dyDescent="0.4">
      <c r="A3165" s="291"/>
      <c r="B3165" s="292"/>
      <c r="C3165" s="312"/>
      <c r="D3165" s="292"/>
      <c r="E3165" s="489"/>
      <c r="F3165" s="489"/>
      <c r="G3165" s="490"/>
      <c r="H3165" s="520"/>
      <c r="I3165" s="523"/>
      <c r="J3165" s="521"/>
      <c r="K3165" s="522"/>
      <c r="M3165" s="301" t="str">
        <f>N3165&amp;AS[[#This Row],[Insurer Code]]&amp;"; "&amp;O3165&amp;AS[[#This Row],[Reporting Year]]&amp;"; "&amp;P3165&amp;AS[[#This Row],[Insurance Category Code]]&amp;"; "&amp;Q3165&amp;AS[[#This Row],[Large Provider Entity Code]]&amp;"; "&amp;R3165&amp;AS[[#This Row],[Age Band Code]]&amp;"; "&amp;S3165&amp;AS[[#This Row],[Sex Code]]</f>
        <v xml:space="preserve">Insurer Code ; Reporting Year ; Insurance Category Code ; Large Provider Entity Code ; Age Band Code ; Sex Code </v>
      </c>
      <c r="N3165" s="297" t="s">
        <v>197</v>
      </c>
      <c r="O3165" s="297" t="s">
        <v>198</v>
      </c>
      <c r="P3165" s="297" t="s">
        <v>199</v>
      </c>
      <c r="Q3165" s="297" t="s">
        <v>200</v>
      </c>
      <c r="R3165" s="297" t="s">
        <v>213</v>
      </c>
      <c r="S3165" s="297" t="s">
        <v>214</v>
      </c>
    </row>
    <row r="3166" spans="1:19" x14ac:dyDescent="0.4">
      <c r="A3166" s="291"/>
      <c r="B3166" s="292"/>
      <c r="C3166" s="312"/>
      <c r="D3166" s="292"/>
      <c r="E3166" s="489"/>
      <c r="F3166" s="489"/>
      <c r="G3166" s="490"/>
      <c r="H3166" s="520"/>
      <c r="I3166" s="523"/>
      <c r="J3166" s="521"/>
      <c r="K3166" s="522"/>
      <c r="M3166" s="301" t="str">
        <f>N3166&amp;AS[[#This Row],[Insurer Code]]&amp;"; "&amp;O3166&amp;AS[[#This Row],[Reporting Year]]&amp;"; "&amp;P3166&amp;AS[[#This Row],[Insurance Category Code]]&amp;"; "&amp;Q3166&amp;AS[[#This Row],[Large Provider Entity Code]]&amp;"; "&amp;R3166&amp;AS[[#This Row],[Age Band Code]]&amp;"; "&amp;S3166&amp;AS[[#This Row],[Sex Code]]</f>
        <v xml:space="preserve">Insurer Code ; Reporting Year ; Insurance Category Code ; Large Provider Entity Code ; Age Band Code ; Sex Code </v>
      </c>
      <c r="N3166" s="297" t="s">
        <v>197</v>
      </c>
      <c r="O3166" s="297" t="s">
        <v>198</v>
      </c>
      <c r="P3166" s="297" t="s">
        <v>199</v>
      </c>
      <c r="Q3166" s="297" t="s">
        <v>200</v>
      </c>
      <c r="R3166" s="297" t="s">
        <v>213</v>
      </c>
      <c r="S3166" s="297" t="s">
        <v>214</v>
      </c>
    </row>
    <row r="3167" spans="1:19" x14ac:dyDescent="0.4">
      <c r="A3167" s="291"/>
      <c r="B3167" s="292"/>
      <c r="C3167" s="312"/>
      <c r="D3167" s="292"/>
      <c r="E3167" s="489"/>
      <c r="F3167" s="489"/>
      <c r="G3167" s="490"/>
      <c r="H3167" s="520"/>
      <c r="I3167" s="523"/>
      <c r="J3167" s="521"/>
      <c r="K3167" s="522"/>
      <c r="M3167" s="301" t="str">
        <f>N3167&amp;AS[[#This Row],[Insurer Code]]&amp;"; "&amp;O3167&amp;AS[[#This Row],[Reporting Year]]&amp;"; "&amp;P3167&amp;AS[[#This Row],[Insurance Category Code]]&amp;"; "&amp;Q3167&amp;AS[[#This Row],[Large Provider Entity Code]]&amp;"; "&amp;R3167&amp;AS[[#This Row],[Age Band Code]]&amp;"; "&amp;S3167&amp;AS[[#This Row],[Sex Code]]</f>
        <v xml:space="preserve">Insurer Code ; Reporting Year ; Insurance Category Code ; Large Provider Entity Code ; Age Band Code ; Sex Code </v>
      </c>
      <c r="N3167" s="297" t="s">
        <v>197</v>
      </c>
      <c r="O3167" s="297" t="s">
        <v>198</v>
      </c>
      <c r="P3167" s="297" t="s">
        <v>199</v>
      </c>
      <c r="Q3167" s="297" t="s">
        <v>200</v>
      </c>
      <c r="R3167" s="297" t="s">
        <v>213</v>
      </c>
      <c r="S3167" s="297" t="s">
        <v>214</v>
      </c>
    </row>
    <row r="3168" spans="1:19" x14ac:dyDescent="0.4">
      <c r="A3168" s="291"/>
      <c r="B3168" s="292"/>
      <c r="C3168" s="312"/>
      <c r="D3168" s="292"/>
      <c r="E3168" s="489"/>
      <c r="F3168" s="489"/>
      <c r="G3168" s="490"/>
      <c r="H3168" s="520"/>
      <c r="I3168" s="523"/>
      <c r="J3168" s="521"/>
      <c r="K3168" s="522"/>
      <c r="M3168" s="301" t="str">
        <f>N3168&amp;AS[[#This Row],[Insurer Code]]&amp;"; "&amp;O3168&amp;AS[[#This Row],[Reporting Year]]&amp;"; "&amp;P3168&amp;AS[[#This Row],[Insurance Category Code]]&amp;"; "&amp;Q3168&amp;AS[[#This Row],[Large Provider Entity Code]]&amp;"; "&amp;R3168&amp;AS[[#This Row],[Age Band Code]]&amp;"; "&amp;S3168&amp;AS[[#This Row],[Sex Code]]</f>
        <v xml:space="preserve">Insurer Code ; Reporting Year ; Insurance Category Code ; Large Provider Entity Code ; Age Band Code ; Sex Code </v>
      </c>
      <c r="N3168" s="297" t="s">
        <v>197</v>
      </c>
      <c r="O3168" s="297" t="s">
        <v>198</v>
      </c>
      <c r="P3168" s="297" t="s">
        <v>199</v>
      </c>
      <c r="Q3168" s="297" t="s">
        <v>200</v>
      </c>
      <c r="R3168" s="297" t="s">
        <v>213</v>
      </c>
      <c r="S3168" s="297" t="s">
        <v>214</v>
      </c>
    </row>
    <row r="3169" spans="1:19" x14ac:dyDescent="0.4">
      <c r="A3169" s="291"/>
      <c r="B3169" s="292"/>
      <c r="C3169" s="312"/>
      <c r="D3169" s="292"/>
      <c r="E3169" s="489"/>
      <c r="F3169" s="489"/>
      <c r="G3169" s="490"/>
      <c r="H3169" s="520"/>
      <c r="I3169" s="523"/>
      <c r="J3169" s="521"/>
      <c r="K3169" s="522"/>
      <c r="M3169" s="301" t="str">
        <f>N3169&amp;AS[[#This Row],[Insurer Code]]&amp;"; "&amp;O3169&amp;AS[[#This Row],[Reporting Year]]&amp;"; "&amp;P3169&amp;AS[[#This Row],[Insurance Category Code]]&amp;"; "&amp;Q3169&amp;AS[[#This Row],[Large Provider Entity Code]]&amp;"; "&amp;R3169&amp;AS[[#This Row],[Age Band Code]]&amp;"; "&amp;S3169&amp;AS[[#This Row],[Sex Code]]</f>
        <v xml:space="preserve">Insurer Code ; Reporting Year ; Insurance Category Code ; Large Provider Entity Code ; Age Band Code ; Sex Code </v>
      </c>
      <c r="N3169" s="297" t="s">
        <v>197</v>
      </c>
      <c r="O3169" s="297" t="s">
        <v>198</v>
      </c>
      <c r="P3169" s="297" t="s">
        <v>199</v>
      </c>
      <c r="Q3169" s="297" t="s">
        <v>200</v>
      </c>
      <c r="R3169" s="297" t="s">
        <v>213</v>
      </c>
      <c r="S3169" s="297" t="s">
        <v>214</v>
      </c>
    </row>
    <row r="3170" spans="1:19" x14ac:dyDescent="0.4">
      <c r="A3170" s="291"/>
      <c r="B3170" s="292"/>
      <c r="C3170" s="312"/>
      <c r="D3170" s="292"/>
      <c r="E3170" s="489"/>
      <c r="F3170" s="489"/>
      <c r="G3170" s="490"/>
      <c r="H3170" s="520"/>
      <c r="I3170" s="523"/>
      <c r="J3170" s="521"/>
      <c r="K3170" s="522"/>
      <c r="M3170" s="301" t="str">
        <f>N3170&amp;AS[[#This Row],[Insurer Code]]&amp;"; "&amp;O3170&amp;AS[[#This Row],[Reporting Year]]&amp;"; "&amp;P3170&amp;AS[[#This Row],[Insurance Category Code]]&amp;"; "&amp;Q3170&amp;AS[[#This Row],[Large Provider Entity Code]]&amp;"; "&amp;R3170&amp;AS[[#This Row],[Age Band Code]]&amp;"; "&amp;S3170&amp;AS[[#This Row],[Sex Code]]</f>
        <v xml:space="preserve">Insurer Code ; Reporting Year ; Insurance Category Code ; Large Provider Entity Code ; Age Band Code ; Sex Code </v>
      </c>
      <c r="N3170" s="297" t="s">
        <v>197</v>
      </c>
      <c r="O3170" s="297" t="s">
        <v>198</v>
      </c>
      <c r="P3170" s="297" t="s">
        <v>199</v>
      </c>
      <c r="Q3170" s="297" t="s">
        <v>200</v>
      </c>
      <c r="R3170" s="297" t="s">
        <v>213</v>
      </c>
      <c r="S3170" s="297" t="s">
        <v>214</v>
      </c>
    </row>
    <row r="3171" spans="1:19" x14ac:dyDescent="0.4">
      <c r="A3171" s="291"/>
      <c r="B3171" s="292"/>
      <c r="C3171" s="312"/>
      <c r="D3171" s="292"/>
      <c r="E3171" s="489"/>
      <c r="F3171" s="489"/>
      <c r="G3171" s="490"/>
      <c r="H3171" s="520"/>
      <c r="I3171" s="523"/>
      <c r="J3171" s="521"/>
      <c r="K3171" s="522"/>
      <c r="M3171" s="301" t="str">
        <f>N3171&amp;AS[[#This Row],[Insurer Code]]&amp;"; "&amp;O3171&amp;AS[[#This Row],[Reporting Year]]&amp;"; "&amp;P3171&amp;AS[[#This Row],[Insurance Category Code]]&amp;"; "&amp;Q3171&amp;AS[[#This Row],[Large Provider Entity Code]]&amp;"; "&amp;R3171&amp;AS[[#This Row],[Age Band Code]]&amp;"; "&amp;S3171&amp;AS[[#This Row],[Sex Code]]</f>
        <v xml:space="preserve">Insurer Code ; Reporting Year ; Insurance Category Code ; Large Provider Entity Code ; Age Band Code ; Sex Code </v>
      </c>
      <c r="N3171" s="297" t="s">
        <v>197</v>
      </c>
      <c r="O3171" s="297" t="s">
        <v>198</v>
      </c>
      <c r="P3171" s="297" t="s">
        <v>199</v>
      </c>
      <c r="Q3171" s="297" t="s">
        <v>200</v>
      </c>
      <c r="R3171" s="297" t="s">
        <v>213</v>
      </c>
      <c r="S3171" s="297" t="s">
        <v>214</v>
      </c>
    </row>
    <row r="3172" spans="1:19" x14ac:dyDescent="0.4">
      <c r="A3172" s="291"/>
      <c r="B3172" s="292"/>
      <c r="C3172" s="312"/>
      <c r="D3172" s="292"/>
      <c r="E3172" s="489"/>
      <c r="F3172" s="489"/>
      <c r="G3172" s="490"/>
      <c r="H3172" s="520"/>
      <c r="I3172" s="523"/>
      <c r="J3172" s="521"/>
      <c r="K3172" s="522"/>
      <c r="M3172" s="301" t="str">
        <f>N3172&amp;AS[[#This Row],[Insurer Code]]&amp;"; "&amp;O3172&amp;AS[[#This Row],[Reporting Year]]&amp;"; "&amp;P3172&amp;AS[[#This Row],[Insurance Category Code]]&amp;"; "&amp;Q3172&amp;AS[[#This Row],[Large Provider Entity Code]]&amp;"; "&amp;R3172&amp;AS[[#This Row],[Age Band Code]]&amp;"; "&amp;S3172&amp;AS[[#This Row],[Sex Code]]</f>
        <v xml:space="preserve">Insurer Code ; Reporting Year ; Insurance Category Code ; Large Provider Entity Code ; Age Band Code ; Sex Code </v>
      </c>
      <c r="N3172" s="297" t="s">
        <v>197</v>
      </c>
      <c r="O3172" s="297" t="s">
        <v>198</v>
      </c>
      <c r="P3172" s="297" t="s">
        <v>199</v>
      </c>
      <c r="Q3172" s="297" t="s">
        <v>200</v>
      </c>
      <c r="R3172" s="297" t="s">
        <v>213</v>
      </c>
      <c r="S3172" s="297" t="s">
        <v>214</v>
      </c>
    </row>
    <row r="3173" spans="1:19" x14ac:dyDescent="0.4">
      <c r="A3173" s="291"/>
      <c r="B3173" s="292"/>
      <c r="C3173" s="312"/>
      <c r="D3173" s="292"/>
      <c r="E3173" s="489"/>
      <c r="F3173" s="489"/>
      <c r="G3173" s="490"/>
      <c r="H3173" s="520"/>
      <c r="I3173" s="523"/>
      <c r="J3173" s="521"/>
      <c r="K3173" s="522"/>
      <c r="M3173" s="301" t="str">
        <f>N3173&amp;AS[[#This Row],[Insurer Code]]&amp;"; "&amp;O3173&amp;AS[[#This Row],[Reporting Year]]&amp;"; "&amp;P3173&amp;AS[[#This Row],[Insurance Category Code]]&amp;"; "&amp;Q3173&amp;AS[[#This Row],[Large Provider Entity Code]]&amp;"; "&amp;R3173&amp;AS[[#This Row],[Age Band Code]]&amp;"; "&amp;S3173&amp;AS[[#This Row],[Sex Code]]</f>
        <v xml:space="preserve">Insurer Code ; Reporting Year ; Insurance Category Code ; Large Provider Entity Code ; Age Band Code ; Sex Code </v>
      </c>
      <c r="N3173" s="297" t="s">
        <v>197</v>
      </c>
      <c r="O3173" s="297" t="s">
        <v>198</v>
      </c>
      <c r="P3173" s="297" t="s">
        <v>199</v>
      </c>
      <c r="Q3173" s="297" t="s">
        <v>200</v>
      </c>
      <c r="R3173" s="297" t="s">
        <v>213</v>
      </c>
      <c r="S3173" s="297" t="s">
        <v>214</v>
      </c>
    </row>
    <row r="3174" spans="1:19" x14ac:dyDescent="0.4">
      <c r="A3174" s="291"/>
      <c r="B3174" s="292"/>
      <c r="C3174" s="312"/>
      <c r="D3174" s="292"/>
      <c r="E3174" s="489"/>
      <c r="F3174" s="489"/>
      <c r="G3174" s="490"/>
      <c r="H3174" s="520"/>
      <c r="I3174" s="523"/>
      <c r="J3174" s="521"/>
      <c r="K3174" s="522"/>
      <c r="M3174" s="301" t="str">
        <f>N3174&amp;AS[[#This Row],[Insurer Code]]&amp;"; "&amp;O3174&amp;AS[[#This Row],[Reporting Year]]&amp;"; "&amp;P3174&amp;AS[[#This Row],[Insurance Category Code]]&amp;"; "&amp;Q3174&amp;AS[[#This Row],[Large Provider Entity Code]]&amp;"; "&amp;R3174&amp;AS[[#This Row],[Age Band Code]]&amp;"; "&amp;S3174&amp;AS[[#This Row],[Sex Code]]</f>
        <v xml:space="preserve">Insurer Code ; Reporting Year ; Insurance Category Code ; Large Provider Entity Code ; Age Band Code ; Sex Code </v>
      </c>
      <c r="N3174" s="297" t="s">
        <v>197</v>
      </c>
      <c r="O3174" s="297" t="s">
        <v>198</v>
      </c>
      <c r="P3174" s="297" t="s">
        <v>199</v>
      </c>
      <c r="Q3174" s="297" t="s">
        <v>200</v>
      </c>
      <c r="R3174" s="297" t="s">
        <v>213</v>
      </c>
      <c r="S3174" s="297" t="s">
        <v>214</v>
      </c>
    </row>
    <row r="3175" spans="1:19" x14ac:dyDescent="0.4">
      <c r="A3175" s="291"/>
      <c r="B3175" s="292"/>
      <c r="C3175" s="312"/>
      <c r="D3175" s="292"/>
      <c r="E3175" s="489"/>
      <c r="F3175" s="489"/>
      <c r="G3175" s="490"/>
      <c r="H3175" s="520"/>
      <c r="I3175" s="523"/>
      <c r="J3175" s="521"/>
      <c r="K3175" s="522"/>
      <c r="M3175" s="301" t="str">
        <f>N3175&amp;AS[[#This Row],[Insurer Code]]&amp;"; "&amp;O3175&amp;AS[[#This Row],[Reporting Year]]&amp;"; "&amp;P3175&amp;AS[[#This Row],[Insurance Category Code]]&amp;"; "&amp;Q3175&amp;AS[[#This Row],[Large Provider Entity Code]]&amp;"; "&amp;R3175&amp;AS[[#This Row],[Age Band Code]]&amp;"; "&amp;S3175&amp;AS[[#This Row],[Sex Code]]</f>
        <v xml:space="preserve">Insurer Code ; Reporting Year ; Insurance Category Code ; Large Provider Entity Code ; Age Band Code ; Sex Code </v>
      </c>
      <c r="N3175" s="297" t="s">
        <v>197</v>
      </c>
      <c r="O3175" s="297" t="s">
        <v>198</v>
      </c>
      <c r="P3175" s="297" t="s">
        <v>199</v>
      </c>
      <c r="Q3175" s="297" t="s">
        <v>200</v>
      </c>
      <c r="R3175" s="297" t="s">
        <v>213</v>
      </c>
      <c r="S3175" s="297" t="s">
        <v>214</v>
      </c>
    </row>
    <row r="3176" spans="1:19" x14ac:dyDescent="0.4">
      <c r="A3176" s="291"/>
      <c r="B3176" s="292"/>
      <c r="C3176" s="312"/>
      <c r="D3176" s="292"/>
      <c r="E3176" s="489"/>
      <c r="F3176" s="489"/>
      <c r="G3176" s="490"/>
      <c r="H3176" s="520"/>
      <c r="I3176" s="523"/>
      <c r="J3176" s="521"/>
      <c r="K3176" s="522"/>
      <c r="M3176" s="301" t="str">
        <f>N3176&amp;AS[[#This Row],[Insurer Code]]&amp;"; "&amp;O3176&amp;AS[[#This Row],[Reporting Year]]&amp;"; "&amp;P3176&amp;AS[[#This Row],[Insurance Category Code]]&amp;"; "&amp;Q3176&amp;AS[[#This Row],[Large Provider Entity Code]]&amp;"; "&amp;R3176&amp;AS[[#This Row],[Age Band Code]]&amp;"; "&amp;S3176&amp;AS[[#This Row],[Sex Code]]</f>
        <v xml:space="preserve">Insurer Code ; Reporting Year ; Insurance Category Code ; Large Provider Entity Code ; Age Band Code ; Sex Code </v>
      </c>
      <c r="N3176" s="297" t="s">
        <v>197</v>
      </c>
      <c r="O3176" s="297" t="s">
        <v>198</v>
      </c>
      <c r="P3176" s="297" t="s">
        <v>199</v>
      </c>
      <c r="Q3176" s="297" t="s">
        <v>200</v>
      </c>
      <c r="R3176" s="297" t="s">
        <v>213</v>
      </c>
      <c r="S3176" s="297" t="s">
        <v>214</v>
      </c>
    </row>
    <row r="3177" spans="1:19" x14ac:dyDescent="0.4">
      <c r="A3177" s="291"/>
      <c r="B3177" s="292"/>
      <c r="C3177" s="312"/>
      <c r="D3177" s="292"/>
      <c r="E3177" s="489"/>
      <c r="F3177" s="489"/>
      <c r="G3177" s="490"/>
      <c r="H3177" s="520"/>
      <c r="I3177" s="523"/>
      <c r="J3177" s="521"/>
      <c r="K3177" s="522"/>
      <c r="M3177" s="301" t="str">
        <f>N3177&amp;AS[[#This Row],[Insurer Code]]&amp;"; "&amp;O3177&amp;AS[[#This Row],[Reporting Year]]&amp;"; "&amp;P3177&amp;AS[[#This Row],[Insurance Category Code]]&amp;"; "&amp;Q3177&amp;AS[[#This Row],[Large Provider Entity Code]]&amp;"; "&amp;R3177&amp;AS[[#This Row],[Age Band Code]]&amp;"; "&amp;S3177&amp;AS[[#This Row],[Sex Code]]</f>
        <v xml:space="preserve">Insurer Code ; Reporting Year ; Insurance Category Code ; Large Provider Entity Code ; Age Band Code ; Sex Code </v>
      </c>
      <c r="N3177" s="297" t="s">
        <v>197</v>
      </c>
      <c r="O3177" s="297" t="s">
        <v>198</v>
      </c>
      <c r="P3177" s="297" t="s">
        <v>199</v>
      </c>
      <c r="Q3177" s="297" t="s">
        <v>200</v>
      </c>
      <c r="R3177" s="297" t="s">
        <v>213</v>
      </c>
      <c r="S3177" s="297" t="s">
        <v>214</v>
      </c>
    </row>
    <row r="3178" spans="1:19" x14ac:dyDescent="0.4">
      <c r="A3178" s="291"/>
      <c r="B3178" s="292"/>
      <c r="C3178" s="312"/>
      <c r="D3178" s="292"/>
      <c r="E3178" s="489"/>
      <c r="F3178" s="489"/>
      <c r="G3178" s="490"/>
      <c r="H3178" s="520"/>
      <c r="I3178" s="523"/>
      <c r="J3178" s="521"/>
      <c r="K3178" s="522"/>
      <c r="M3178" s="301" t="str">
        <f>N3178&amp;AS[[#This Row],[Insurer Code]]&amp;"; "&amp;O3178&amp;AS[[#This Row],[Reporting Year]]&amp;"; "&amp;P3178&amp;AS[[#This Row],[Insurance Category Code]]&amp;"; "&amp;Q3178&amp;AS[[#This Row],[Large Provider Entity Code]]&amp;"; "&amp;R3178&amp;AS[[#This Row],[Age Band Code]]&amp;"; "&amp;S3178&amp;AS[[#This Row],[Sex Code]]</f>
        <v xml:space="preserve">Insurer Code ; Reporting Year ; Insurance Category Code ; Large Provider Entity Code ; Age Band Code ; Sex Code </v>
      </c>
      <c r="N3178" s="297" t="s">
        <v>197</v>
      </c>
      <c r="O3178" s="297" t="s">
        <v>198</v>
      </c>
      <c r="P3178" s="297" t="s">
        <v>199</v>
      </c>
      <c r="Q3178" s="297" t="s">
        <v>200</v>
      </c>
      <c r="R3178" s="297" t="s">
        <v>213</v>
      </c>
      <c r="S3178" s="297" t="s">
        <v>214</v>
      </c>
    </row>
    <row r="3179" spans="1:19" x14ac:dyDescent="0.4">
      <c r="A3179" s="291"/>
      <c r="B3179" s="292"/>
      <c r="C3179" s="312"/>
      <c r="D3179" s="292"/>
      <c r="E3179" s="489"/>
      <c r="F3179" s="489"/>
      <c r="G3179" s="490"/>
      <c r="H3179" s="520"/>
      <c r="I3179" s="523"/>
      <c r="J3179" s="521"/>
      <c r="K3179" s="522"/>
      <c r="M3179" s="301" t="str">
        <f>N3179&amp;AS[[#This Row],[Insurer Code]]&amp;"; "&amp;O3179&amp;AS[[#This Row],[Reporting Year]]&amp;"; "&amp;P3179&amp;AS[[#This Row],[Insurance Category Code]]&amp;"; "&amp;Q3179&amp;AS[[#This Row],[Large Provider Entity Code]]&amp;"; "&amp;R3179&amp;AS[[#This Row],[Age Band Code]]&amp;"; "&amp;S3179&amp;AS[[#This Row],[Sex Code]]</f>
        <v xml:space="preserve">Insurer Code ; Reporting Year ; Insurance Category Code ; Large Provider Entity Code ; Age Band Code ; Sex Code </v>
      </c>
      <c r="N3179" s="297" t="s">
        <v>197</v>
      </c>
      <c r="O3179" s="297" t="s">
        <v>198</v>
      </c>
      <c r="P3179" s="297" t="s">
        <v>199</v>
      </c>
      <c r="Q3179" s="297" t="s">
        <v>200</v>
      </c>
      <c r="R3179" s="297" t="s">
        <v>213</v>
      </c>
      <c r="S3179" s="297" t="s">
        <v>214</v>
      </c>
    </row>
    <row r="3180" spans="1:19" x14ac:dyDescent="0.4">
      <c r="A3180" s="291"/>
      <c r="B3180" s="292"/>
      <c r="C3180" s="312"/>
      <c r="D3180" s="292"/>
      <c r="E3180" s="489"/>
      <c r="F3180" s="489"/>
      <c r="G3180" s="490"/>
      <c r="H3180" s="520"/>
      <c r="I3180" s="523"/>
      <c r="J3180" s="521"/>
      <c r="K3180" s="522"/>
      <c r="M3180" s="301" t="str">
        <f>N3180&amp;AS[[#This Row],[Insurer Code]]&amp;"; "&amp;O3180&amp;AS[[#This Row],[Reporting Year]]&amp;"; "&amp;P3180&amp;AS[[#This Row],[Insurance Category Code]]&amp;"; "&amp;Q3180&amp;AS[[#This Row],[Large Provider Entity Code]]&amp;"; "&amp;R3180&amp;AS[[#This Row],[Age Band Code]]&amp;"; "&amp;S3180&amp;AS[[#This Row],[Sex Code]]</f>
        <v xml:space="preserve">Insurer Code ; Reporting Year ; Insurance Category Code ; Large Provider Entity Code ; Age Band Code ; Sex Code </v>
      </c>
      <c r="N3180" s="297" t="s">
        <v>197</v>
      </c>
      <c r="O3180" s="297" t="s">
        <v>198</v>
      </c>
      <c r="P3180" s="297" t="s">
        <v>199</v>
      </c>
      <c r="Q3180" s="297" t="s">
        <v>200</v>
      </c>
      <c r="R3180" s="297" t="s">
        <v>213</v>
      </c>
      <c r="S3180" s="297" t="s">
        <v>214</v>
      </c>
    </row>
    <row r="3181" spans="1:19" x14ac:dyDescent="0.4">
      <c r="A3181" s="291"/>
      <c r="B3181" s="292"/>
      <c r="C3181" s="312"/>
      <c r="D3181" s="292"/>
      <c r="E3181" s="489"/>
      <c r="F3181" s="489"/>
      <c r="G3181" s="490"/>
      <c r="H3181" s="520"/>
      <c r="I3181" s="523"/>
      <c r="J3181" s="521"/>
      <c r="K3181" s="522"/>
      <c r="M3181" s="301" t="str">
        <f>N3181&amp;AS[[#This Row],[Insurer Code]]&amp;"; "&amp;O3181&amp;AS[[#This Row],[Reporting Year]]&amp;"; "&amp;P3181&amp;AS[[#This Row],[Insurance Category Code]]&amp;"; "&amp;Q3181&amp;AS[[#This Row],[Large Provider Entity Code]]&amp;"; "&amp;R3181&amp;AS[[#This Row],[Age Band Code]]&amp;"; "&amp;S3181&amp;AS[[#This Row],[Sex Code]]</f>
        <v xml:space="preserve">Insurer Code ; Reporting Year ; Insurance Category Code ; Large Provider Entity Code ; Age Band Code ; Sex Code </v>
      </c>
      <c r="N3181" s="297" t="s">
        <v>197</v>
      </c>
      <c r="O3181" s="297" t="s">
        <v>198</v>
      </c>
      <c r="P3181" s="297" t="s">
        <v>199</v>
      </c>
      <c r="Q3181" s="297" t="s">
        <v>200</v>
      </c>
      <c r="R3181" s="297" t="s">
        <v>213</v>
      </c>
      <c r="S3181" s="297" t="s">
        <v>214</v>
      </c>
    </row>
    <row r="3182" spans="1:19" x14ac:dyDescent="0.4">
      <c r="A3182" s="291"/>
      <c r="B3182" s="292"/>
      <c r="C3182" s="312"/>
      <c r="D3182" s="292"/>
      <c r="E3182" s="489"/>
      <c r="F3182" s="489"/>
      <c r="G3182" s="490"/>
      <c r="H3182" s="520"/>
      <c r="I3182" s="523"/>
      <c r="J3182" s="521"/>
      <c r="K3182" s="522"/>
      <c r="M3182" s="301" t="str">
        <f>N3182&amp;AS[[#This Row],[Insurer Code]]&amp;"; "&amp;O3182&amp;AS[[#This Row],[Reporting Year]]&amp;"; "&amp;P3182&amp;AS[[#This Row],[Insurance Category Code]]&amp;"; "&amp;Q3182&amp;AS[[#This Row],[Large Provider Entity Code]]&amp;"; "&amp;R3182&amp;AS[[#This Row],[Age Band Code]]&amp;"; "&amp;S3182&amp;AS[[#This Row],[Sex Code]]</f>
        <v xml:space="preserve">Insurer Code ; Reporting Year ; Insurance Category Code ; Large Provider Entity Code ; Age Band Code ; Sex Code </v>
      </c>
      <c r="N3182" s="297" t="s">
        <v>197</v>
      </c>
      <c r="O3182" s="297" t="s">
        <v>198</v>
      </c>
      <c r="P3182" s="297" t="s">
        <v>199</v>
      </c>
      <c r="Q3182" s="297" t="s">
        <v>200</v>
      </c>
      <c r="R3182" s="297" t="s">
        <v>213</v>
      </c>
      <c r="S3182" s="297" t="s">
        <v>214</v>
      </c>
    </row>
    <row r="3183" spans="1:19" x14ac:dyDescent="0.4">
      <c r="A3183" s="291"/>
      <c r="B3183" s="292"/>
      <c r="C3183" s="312"/>
      <c r="D3183" s="292"/>
      <c r="E3183" s="489"/>
      <c r="F3183" s="489"/>
      <c r="G3183" s="490"/>
      <c r="H3183" s="520"/>
      <c r="I3183" s="523"/>
      <c r="J3183" s="521"/>
      <c r="K3183" s="522"/>
      <c r="M3183" s="301" t="str">
        <f>N3183&amp;AS[[#This Row],[Insurer Code]]&amp;"; "&amp;O3183&amp;AS[[#This Row],[Reporting Year]]&amp;"; "&amp;P3183&amp;AS[[#This Row],[Insurance Category Code]]&amp;"; "&amp;Q3183&amp;AS[[#This Row],[Large Provider Entity Code]]&amp;"; "&amp;R3183&amp;AS[[#This Row],[Age Band Code]]&amp;"; "&amp;S3183&amp;AS[[#This Row],[Sex Code]]</f>
        <v xml:space="preserve">Insurer Code ; Reporting Year ; Insurance Category Code ; Large Provider Entity Code ; Age Band Code ; Sex Code </v>
      </c>
      <c r="N3183" s="297" t="s">
        <v>197</v>
      </c>
      <c r="O3183" s="297" t="s">
        <v>198</v>
      </c>
      <c r="P3183" s="297" t="s">
        <v>199</v>
      </c>
      <c r="Q3183" s="297" t="s">
        <v>200</v>
      </c>
      <c r="R3183" s="297" t="s">
        <v>213</v>
      </c>
      <c r="S3183" s="297" t="s">
        <v>214</v>
      </c>
    </row>
    <row r="3184" spans="1:19" x14ac:dyDescent="0.4">
      <c r="A3184" s="291"/>
      <c r="B3184" s="292"/>
      <c r="C3184" s="312"/>
      <c r="D3184" s="292"/>
      <c r="E3184" s="489"/>
      <c r="F3184" s="489"/>
      <c r="G3184" s="490"/>
      <c r="H3184" s="520"/>
      <c r="I3184" s="523"/>
      <c r="J3184" s="521"/>
      <c r="K3184" s="522"/>
      <c r="M3184" s="301" t="str">
        <f>N3184&amp;AS[[#This Row],[Insurer Code]]&amp;"; "&amp;O3184&amp;AS[[#This Row],[Reporting Year]]&amp;"; "&amp;P3184&amp;AS[[#This Row],[Insurance Category Code]]&amp;"; "&amp;Q3184&amp;AS[[#This Row],[Large Provider Entity Code]]&amp;"; "&amp;R3184&amp;AS[[#This Row],[Age Band Code]]&amp;"; "&amp;S3184&amp;AS[[#This Row],[Sex Code]]</f>
        <v xml:space="preserve">Insurer Code ; Reporting Year ; Insurance Category Code ; Large Provider Entity Code ; Age Band Code ; Sex Code </v>
      </c>
      <c r="N3184" s="297" t="s">
        <v>197</v>
      </c>
      <c r="O3184" s="297" t="s">
        <v>198</v>
      </c>
      <c r="P3184" s="297" t="s">
        <v>199</v>
      </c>
      <c r="Q3184" s="297" t="s">
        <v>200</v>
      </c>
      <c r="R3184" s="297" t="s">
        <v>213</v>
      </c>
      <c r="S3184" s="297" t="s">
        <v>214</v>
      </c>
    </row>
    <row r="3185" spans="1:19" x14ac:dyDescent="0.4">
      <c r="A3185" s="291"/>
      <c r="B3185" s="292"/>
      <c r="C3185" s="312"/>
      <c r="D3185" s="292"/>
      <c r="E3185" s="489"/>
      <c r="F3185" s="489"/>
      <c r="G3185" s="490"/>
      <c r="H3185" s="520"/>
      <c r="I3185" s="523"/>
      <c r="J3185" s="521"/>
      <c r="K3185" s="522"/>
      <c r="M3185" s="301" t="str">
        <f>N3185&amp;AS[[#This Row],[Insurer Code]]&amp;"; "&amp;O3185&amp;AS[[#This Row],[Reporting Year]]&amp;"; "&amp;P3185&amp;AS[[#This Row],[Insurance Category Code]]&amp;"; "&amp;Q3185&amp;AS[[#This Row],[Large Provider Entity Code]]&amp;"; "&amp;R3185&amp;AS[[#This Row],[Age Band Code]]&amp;"; "&amp;S3185&amp;AS[[#This Row],[Sex Code]]</f>
        <v xml:space="preserve">Insurer Code ; Reporting Year ; Insurance Category Code ; Large Provider Entity Code ; Age Band Code ; Sex Code </v>
      </c>
      <c r="N3185" s="297" t="s">
        <v>197</v>
      </c>
      <c r="O3185" s="297" t="s">
        <v>198</v>
      </c>
      <c r="P3185" s="297" t="s">
        <v>199</v>
      </c>
      <c r="Q3185" s="297" t="s">
        <v>200</v>
      </c>
      <c r="R3185" s="297" t="s">
        <v>213</v>
      </c>
      <c r="S3185" s="297" t="s">
        <v>214</v>
      </c>
    </row>
    <row r="3186" spans="1:19" x14ac:dyDescent="0.4">
      <c r="A3186" s="291"/>
      <c r="B3186" s="292"/>
      <c r="C3186" s="312"/>
      <c r="D3186" s="292"/>
      <c r="E3186" s="489"/>
      <c r="F3186" s="489"/>
      <c r="G3186" s="490"/>
      <c r="H3186" s="520"/>
      <c r="I3186" s="523"/>
      <c r="J3186" s="521"/>
      <c r="K3186" s="522"/>
      <c r="M3186" s="301" t="str">
        <f>N3186&amp;AS[[#This Row],[Insurer Code]]&amp;"; "&amp;O3186&amp;AS[[#This Row],[Reporting Year]]&amp;"; "&amp;P3186&amp;AS[[#This Row],[Insurance Category Code]]&amp;"; "&amp;Q3186&amp;AS[[#This Row],[Large Provider Entity Code]]&amp;"; "&amp;R3186&amp;AS[[#This Row],[Age Band Code]]&amp;"; "&amp;S3186&amp;AS[[#This Row],[Sex Code]]</f>
        <v xml:space="preserve">Insurer Code ; Reporting Year ; Insurance Category Code ; Large Provider Entity Code ; Age Band Code ; Sex Code </v>
      </c>
      <c r="N3186" s="297" t="s">
        <v>197</v>
      </c>
      <c r="O3186" s="297" t="s">
        <v>198</v>
      </c>
      <c r="P3186" s="297" t="s">
        <v>199</v>
      </c>
      <c r="Q3186" s="297" t="s">
        <v>200</v>
      </c>
      <c r="R3186" s="297" t="s">
        <v>213</v>
      </c>
      <c r="S3186" s="297" t="s">
        <v>214</v>
      </c>
    </row>
    <row r="3187" spans="1:19" x14ac:dyDescent="0.4">
      <c r="A3187" s="291"/>
      <c r="B3187" s="292"/>
      <c r="C3187" s="312"/>
      <c r="D3187" s="292"/>
      <c r="E3187" s="489"/>
      <c r="F3187" s="489"/>
      <c r="G3187" s="490"/>
      <c r="H3187" s="520"/>
      <c r="I3187" s="523"/>
      <c r="J3187" s="521"/>
      <c r="K3187" s="522"/>
      <c r="M3187" s="301" t="str">
        <f>N3187&amp;AS[[#This Row],[Insurer Code]]&amp;"; "&amp;O3187&amp;AS[[#This Row],[Reporting Year]]&amp;"; "&amp;P3187&amp;AS[[#This Row],[Insurance Category Code]]&amp;"; "&amp;Q3187&amp;AS[[#This Row],[Large Provider Entity Code]]&amp;"; "&amp;R3187&amp;AS[[#This Row],[Age Band Code]]&amp;"; "&amp;S3187&amp;AS[[#This Row],[Sex Code]]</f>
        <v xml:space="preserve">Insurer Code ; Reporting Year ; Insurance Category Code ; Large Provider Entity Code ; Age Band Code ; Sex Code </v>
      </c>
      <c r="N3187" s="297" t="s">
        <v>197</v>
      </c>
      <c r="O3187" s="297" t="s">
        <v>198</v>
      </c>
      <c r="P3187" s="297" t="s">
        <v>199</v>
      </c>
      <c r="Q3187" s="297" t="s">
        <v>200</v>
      </c>
      <c r="R3187" s="297" t="s">
        <v>213</v>
      </c>
      <c r="S3187" s="297" t="s">
        <v>214</v>
      </c>
    </row>
    <row r="3188" spans="1:19" x14ac:dyDescent="0.4">
      <c r="A3188" s="291"/>
      <c r="B3188" s="292"/>
      <c r="C3188" s="312"/>
      <c r="D3188" s="292"/>
      <c r="E3188" s="489"/>
      <c r="F3188" s="489"/>
      <c r="G3188" s="490"/>
      <c r="H3188" s="520"/>
      <c r="I3188" s="523"/>
      <c r="J3188" s="521"/>
      <c r="K3188" s="522"/>
      <c r="M3188" s="301" t="str">
        <f>N3188&amp;AS[[#This Row],[Insurer Code]]&amp;"; "&amp;O3188&amp;AS[[#This Row],[Reporting Year]]&amp;"; "&amp;P3188&amp;AS[[#This Row],[Insurance Category Code]]&amp;"; "&amp;Q3188&amp;AS[[#This Row],[Large Provider Entity Code]]&amp;"; "&amp;R3188&amp;AS[[#This Row],[Age Band Code]]&amp;"; "&amp;S3188&amp;AS[[#This Row],[Sex Code]]</f>
        <v xml:space="preserve">Insurer Code ; Reporting Year ; Insurance Category Code ; Large Provider Entity Code ; Age Band Code ; Sex Code </v>
      </c>
      <c r="N3188" s="297" t="s">
        <v>197</v>
      </c>
      <c r="O3188" s="297" t="s">
        <v>198</v>
      </c>
      <c r="P3188" s="297" t="s">
        <v>199</v>
      </c>
      <c r="Q3188" s="297" t="s">
        <v>200</v>
      </c>
      <c r="R3188" s="297" t="s">
        <v>213</v>
      </c>
      <c r="S3188" s="297" t="s">
        <v>214</v>
      </c>
    </row>
    <row r="3189" spans="1:19" x14ac:dyDescent="0.4">
      <c r="A3189" s="291"/>
      <c r="B3189" s="292"/>
      <c r="C3189" s="312"/>
      <c r="D3189" s="292"/>
      <c r="E3189" s="489"/>
      <c r="F3189" s="489"/>
      <c r="G3189" s="490"/>
      <c r="H3189" s="520"/>
      <c r="I3189" s="523"/>
      <c r="J3189" s="521"/>
      <c r="K3189" s="522"/>
      <c r="M3189" s="301" t="str">
        <f>N3189&amp;AS[[#This Row],[Insurer Code]]&amp;"; "&amp;O3189&amp;AS[[#This Row],[Reporting Year]]&amp;"; "&amp;P3189&amp;AS[[#This Row],[Insurance Category Code]]&amp;"; "&amp;Q3189&amp;AS[[#This Row],[Large Provider Entity Code]]&amp;"; "&amp;R3189&amp;AS[[#This Row],[Age Band Code]]&amp;"; "&amp;S3189&amp;AS[[#This Row],[Sex Code]]</f>
        <v xml:space="preserve">Insurer Code ; Reporting Year ; Insurance Category Code ; Large Provider Entity Code ; Age Band Code ; Sex Code </v>
      </c>
      <c r="N3189" s="297" t="s">
        <v>197</v>
      </c>
      <c r="O3189" s="297" t="s">
        <v>198</v>
      </c>
      <c r="P3189" s="297" t="s">
        <v>199</v>
      </c>
      <c r="Q3189" s="297" t="s">
        <v>200</v>
      </c>
      <c r="R3189" s="297" t="s">
        <v>213</v>
      </c>
      <c r="S3189" s="297" t="s">
        <v>214</v>
      </c>
    </row>
    <row r="3190" spans="1:19" x14ac:dyDescent="0.4">
      <c r="A3190" s="291"/>
      <c r="B3190" s="292"/>
      <c r="C3190" s="312"/>
      <c r="D3190" s="292"/>
      <c r="E3190" s="489"/>
      <c r="F3190" s="489"/>
      <c r="G3190" s="490"/>
      <c r="H3190" s="520"/>
      <c r="I3190" s="523"/>
      <c r="J3190" s="521"/>
      <c r="K3190" s="522"/>
      <c r="M3190" s="301" t="str">
        <f>N3190&amp;AS[[#This Row],[Insurer Code]]&amp;"; "&amp;O3190&amp;AS[[#This Row],[Reporting Year]]&amp;"; "&amp;P3190&amp;AS[[#This Row],[Insurance Category Code]]&amp;"; "&amp;Q3190&amp;AS[[#This Row],[Large Provider Entity Code]]&amp;"; "&amp;R3190&amp;AS[[#This Row],[Age Band Code]]&amp;"; "&amp;S3190&amp;AS[[#This Row],[Sex Code]]</f>
        <v xml:space="preserve">Insurer Code ; Reporting Year ; Insurance Category Code ; Large Provider Entity Code ; Age Band Code ; Sex Code </v>
      </c>
      <c r="N3190" s="297" t="s">
        <v>197</v>
      </c>
      <c r="O3190" s="297" t="s">
        <v>198</v>
      </c>
      <c r="P3190" s="297" t="s">
        <v>199</v>
      </c>
      <c r="Q3190" s="297" t="s">
        <v>200</v>
      </c>
      <c r="R3190" s="297" t="s">
        <v>213</v>
      </c>
      <c r="S3190" s="297" t="s">
        <v>214</v>
      </c>
    </row>
    <row r="3191" spans="1:19" x14ac:dyDescent="0.4">
      <c r="A3191" s="291"/>
      <c r="B3191" s="292"/>
      <c r="C3191" s="312"/>
      <c r="D3191" s="292"/>
      <c r="E3191" s="489"/>
      <c r="F3191" s="489"/>
      <c r="G3191" s="490"/>
      <c r="H3191" s="520"/>
      <c r="I3191" s="523"/>
      <c r="J3191" s="521"/>
      <c r="K3191" s="522"/>
      <c r="M3191" s="301" t="str">
        <f>N3191&amp;AS[[#This Row],[Insurer Code]]&amp;"; "&amp;O3191&amp;AS[[#This Row],[Reporting Year]]&amp;"; "&amp;P3191&amp;AS[[#This Row],[Insurance Category Code]]&amp;"; "&amp;Q3191&amp;AS[[#This Row],[Large Provider Entity Code]]&amp;"; "&amp;R3191&amp;AS[[#This Row],[Age Band Code]]&amp;"; "&amp;S3191&amp;AS[[#This Row],[Sex Code]]</f>
        <v xml:space="preserve">Insurer Code ; Reporting Year ; Insurance Category Code ; Large Provider Entity Code ; Age Band Code ; Sex Code </v>
      </c>
      <c r="N3191" s="297" t="s">
        <v>197</v>
      </c>
      <c r="O3191" s="297" t="s">
        <v>198</v>
      </c>
      <c r="P3191" s="297" t="s">
        <v>199</v>
      </c>
      <c r="Q3191" s="297" t="s">
        <v>200</v>
      </c>
      <c r="R3191" s="297" t="s">
        <v>213</v>
      </c>
      <c r="S3191" s="297" t="s">
        <v>214</v>
      </c>
    </row>
    <row r="3192" spans="1:19" x14ac:dyDescent="0.4">
      <c r="A3192" s="291"/>
      <c r="B3192" s="292"/>
      <c r="C3192" s="312"/>
      <c r="D3192" s="292"/>
      <c r="E3192" s="489"/>
      <c r="F3192" s="489"/>
      <c r="G3192" s="490"/>
      <c r="H3192" s="520"/>
      <c r="I3192" s="523"/>
      <c r="J3192" s="521"/>
      <c r="K3192" s="522"/>
      <c r="M3192" s="301" t="str">
        <f>N3192&amp;AS[[#This Row],[Insurer Code]]&amp;"; "&amp;O3192&amp;AS[[#This Row],[Reporting Year]]&amp;"; "&amp;P3192&amp;AS[[#This Row],[Insurance Category Code]]&amp;"; "&amp;Q3192&amp;AS[[#This Row],[Large Provider Entity Code]]&amp;"; "&amp;R3192&amp;AS[[#This Row],[Age Band Code]]&amp;"; "&amp;S3192&amp;AS[[#This Row],[Sex Code]]</f>
        <v xml:space="preserve">Insurer Code ; Reporting Year ; Insurance Category Code ; Large Provider Entity Code ; Age Band Code ; Sex Code </v>
      </c>
      <c r="N3192" s="297" t="s">
        <v>197</v>
      </c>
      <c r="O3192" s="297" t="s">
        <v>198</v>
      </c>
      <c r="P3192" s="297" t="s">
        <v>199</v>
      </c>
      <c r="Q3192" s="297" t="s">
        <v>200</v>
      </c>
      <c r="R3192" s="297" t="s">
        <v>213</v>
      </c>
      <c r="S3192" s="297" t="s">
        <v>214</v>
      </c>
    </row>
    <row r="3193" spans="1:19" x14ac:dyDescent="0.4">
      <c r="A3193" s="291"/>
      <c r="B3193" s="292"/>
      <c r="C3193" s="312"/>
      <c r="D3193" s="292"/>
      <c r="E3193" s="489"/>
      <c r="F3193" s="489"/>
      <c r="G3193" s="490"/>
      <c r="H3193" s="520"/>
      <c r="I3193" s="523"/>
      <c r="J3193" s="521"/>
      <c r="K3193" s="522"/>
      <c r="M3193" s="301" t="str">
        <f>N3193&amp;AS[[#This Row],[Insurer Code]]&amp;"; "&amp;O3193&amp;AS[[#This Row],[Reporting Year]]&amp;"; "&amp;P3193&amp;AS[[#This Row],[Insurance Category Code]]&amp;"; "&amp;Q3193&amp;AS[[#This Row],[Large Provider Entity Code]]&amp;"; "&amp;R3193&amp;AS[[#This Row],[Age Band Code]]&amp;"; "&amp;S3193&amp;AS[[#This Row],[Sex Code]]</f>
        <v xml:space="preserve">Insurer Code ; Reporting Year ; Insurance Category Code ; Large Provider Entity Code ; Age Band Code ; Sex Code </v>
      </c>
      <c r="N3193" s="297" t="s">
        <v>197</v>
      </c>
      <c r="O3193" s="297" t="s">
        <v>198</v>
      </c>
      <c r="P3193" s="297" t="s">
        <v>199</v>
      </c>
      <c r="Q3193" s="297" t="s">
        <v>200</v>
      </c>
      <c r="R3193" s="297" t="s">
        <v>213</v>
      </c>
      <c r="S3193" s="297" t="s">
        <v>214</v>
      </c>
    </row>
    <row r="3194" spans="1:19" x14ac:dyDescent="0.4">
      <c r="A3194" s="291"/>
      <c r="B3194" s="292"/>
      <c r="C3194" s="312"/>
      <c r="D3194" s="292"/>
      <c r="E3194" s="489"/>
      <c r="F3194" s="489"/>
      <c r="G3194" s="490"/>
      <c r="H3194" s="520"/>
      <c r="I3194" s="523"/>
      <c r="J3194" s="521"/>
      <c r="K3194" s="522"/>
      <c r="M3194" s="301" t="str">
        <f>N3194&amp;AS[[#This Row],[Insurer Code]]&amp;"; "&amp;O3194&amp;AS[[#This Row],[Reporting Year]]&amp;"; "&amp;P3194&amp;AS[[#This Row],[Insurance Category Code]]&amp;"; "&amp;Q3194&amp;AS[[#This Row],[Large Provider Entity Code]]&amp;"; "&amp;R3194&amp;AS[[#This Row],[Age Band Code]]&amp;"; "&amp;S3194&amp;AS[[#This Row],[Sex Code]]</f>
        <v xml:space="preserve">Insurer Code ; Reporting Year ; Insurance Category Code ; Large Provider Entity Code ; Age Band Code ; Sex Code </v>
      </c>
      <c r="N3194" s="297" t="s">
        <v>197</v>
      </c>
      <c r="O3194" s="297" t="s">
        <v>198</v>
      </c>
      <c r="P3194" s="297" t="s">
        <v>199</v>
      </c>
      <c r="Q3194" s="297" t="s">
        <v>200</v>
      </c>
      <c r="R3194" s="297" t="s">
        <v>213</v>
      </c>
      <c r="S3194" s="297" t="s">
        <v>214</v>
      </c>
    </row>
    <row r="3195" spans="1:19" x14ac:dyDescent="0.4">
      <c r="A3195" s="291"/>
      <c r="B3195" s="292"/>
      <c r="C3195" s="312"/>
      <c r="D3195" s="292"/>
      <c r="E3195" s="489"/>
      <c r="F3195" s="489"/>
      <c r="G3195" s="490"/>
      <c r="H3195" s="520"/>
      <c r="I3195" s="523"/>
      <c r="J3195" s="521"/>
      <c r="K3195" s="522"/>
      <c r="M3195" s="301" t="str">
        <f>N3195&amp;AS[[#This Row],[Insurer Code]]&amp;"; "&amp;O3195&amp;AS[[#This Row],[Reporting Year]]&amp;"; "&amp;P3195&amp;AS[[#This Row],[Insurance Category Code]]&amp;"; "&amp;Q3195&amp;AS[[#This Row],[Large Provider Entity Code]]&amp;"; "&amp;R3195&amp;AS[[#This Row],[Age Band Code]]&amp;"; "&amp;S3195&amp;AS[[#This Row],[Sex Code]]</f>
        <v xml:space="preserve">Insurer Code ; Reporting Year ; Insurance Category Code ; Large Provider Entity Code ; Age Band Code ; Sex Code </v>
      </c>
      <c r="N3195" s="297" t="s">
        <v>197</v>
      </c>
      <c r="O3195" s="297" t="s">
        <v>198</v>
      </c>
      <c r="P3195" s="297" t="s">
        <v>199</v>
      </c>
      <c r="Q3195" s="297" t="s">
        <v>200</v>
      </c>
      <c r="R3195" s="297" t="s">
        <v>213</v>
      </c>
      <c r="S3195" s="297" t="s">
        <v>214</v>
      </c>
    </row>
    <row r="3196" spans="1:19" x14ac:dyDescent="0.4">
      <c r="A3196" s="291"/>
      <c r="B3196" s="292"/>
      <c r="C3196" s="312"/>
      <c r="D3196" s="292"/>
      <c r="E3196" s="489"/>
      <c r="F3196" s="489"/>
      <c r="G3196" s="490"/>
      <c r="H3196" s="520"/>
      <c r="I3196" s="523"/>
      <c r="J3196" s="521"/>
      <c r="K3196" s="522"/>
      <c r="M3196" s="301" t="str">
        <f>N3196&amp;AS[[#This Row],[Insurer Code]]&amp;"; "&amp;O3196&amp;AS[[#This Row],[Reporting Year]]&amp;"; "&amp;P3196&amp;AS[[#This Row],[Insurance Category Code]]&amp;"; "&amp;Q3196&amp;AS[[#This Row],[Large Provider Entity Code]]&amp;"; "&amp;R3196&amp;AS[[#This Row],[Age Band Code]]&amp;"; "&amp;S3196&amp;AS[[#This Row],[Sex Code]]</f>
        <v xml:space="preserve">Insurer Code ; Reporting Year ; Insurance Category Code ; Large Provider Entity Code ; Age Band Code ; Sex Code </v>
      </c>
      <c r="N3196" s="297" t="s">
        <v>197</v>
      </c>
      <c r="O3196" s="297" t="s">
        <v>198</v>
      </c>
      <c r="P3196" s="297" t="s">
        <v>199</v>
      </c>
      <c r="Q3196" s="297" t="s">
        <v>200</v>
      </c>
      <c r="R3196" s="297" t="s">
        <v>213</v>
      </c>
      <c r="S3196" s="297" t="s">
        <v>214</v>
      </c>
    </row>
    <row r="3197" spans="1:19" x14ac:dyDescent="0.4">
      <c r="A3197" s="291"/>
      <c r="B3197" s="292"/>
      <c r="C3197" s="312"/>
      <c r="D3197" s="292"/>
      <c r="E3197" s="489"/>
      <c r="F3197" s="489"/>
      <c r="G3197" s="490"/>
      <c r="H3197" s="520"/>
      <c r="I3197" s="523"/>
      <c r="J3197" s="521"/>
      <c r="K3197" s="522"/>
      <c r="M3197" s="301" t="str">
        <f>N3197&amp;AS[[#This Row],[Insurer Code]]&amp;"; "&amp;O3197&amp;AS[[#This Row],[Reporting Year]]&amp;"; "&amp;P3197&amp;AS[[#This Row],[Insurance Category Code]]&amp;"; "&amp;Q3197&amp;AS[[#This Row],[Large Provider Entity Code]]&amp;"; "&amp;R3197&amp;AS[[#This Row],[Age Band Code]]&amp;"; "&amp;S3197&amp;AS[[#This Row],[Sex Code]]</f>
        <v xml:space="preserve">Insurer Code ; Reporting Year ; Insurance Category Code ; Large Provider Entity Code ; Age Band Code ; Sex Code </v>
      </c>
      <c r="N3197" s="297" t="s">
        <v>197</v>
      </c>
      <c r="O3197" s="297" t="s">
        <v>198</v>
      </c>
      <c r="P3197" s="297" t="s">
        <v>199</v>
      </c>
      <c r="Q3197" s="297" t="s">
        <v>200</v>
      </c>
      <c r="R3197" s="297" t="s">
        <v>213</v>
      </c>
      <c r="S3197" s="297" t="s">
        <v>214</v>
      </c>
    </row>
    <row r="3198" spans="1:19" x14ac:dyDescent="0.4">
      <c r="A3198" s="291"/>
      <c r="B3198" s="292"/>
      <c r="C3198" s="312"/>
      <c r="D3198" s="292"/>
      <c r="E3198" s="489"/>
      <c r="F3198" s="489"/>
      <c r="G3198" s="490"/>
      <c r="H3198" s="520"/>
      <c r="I3198" s="523"/>
      <c r="J3198" s="521"/>
      <c r="K3198" s="522"/>
      <c r="M3198" s="301" t="str">
        <f>N3198&amp;AS[[#This Row],[Insurer Code]]&amp;"; "&amp;O3198&amp;AS[[#This Row],[Reporting Year]]&amp;"; "&amp;P3198&amp;AS[[#This Row],[Insurance Category Code]]&amp;"; "&amp;Q3198&amp;AS[[#This Row],[Large Provider Entity Code]]&amp;"; "&amp;R3198&amp;AS[[#This Row],[Age Band Code]]&amp;"; "&amp;S3198&amp;AS[[#This Row],[Sex Code]]</f>
        <v xml:space="preserve">Insurer Code ; Reporting Year ; Insurance Category Code ; Large Provider Entity Code ; Age Band Code ; Sex Code </v>
      </c>
      <c r="N3198" s="297" t="s">
        <v>197</v>
      </c>
      <c r="O3198" s="297" t="s">
        <v>198</v>
      </c>
      <c r="P3198" s="297" t="s">
        <v>199</v>
      </c>
      <c r="Q3198" s="297" t="s">
        <v>200</v>
      </c>
      <c r="R3198" s="297" t="s">
        <v>213</v>
      </c>
      <c r="S3198" s="297" t="s">
        <v>214</v>
      </c>
    </row>
    <row r="3199" spans="1:19" x14ac:dyDescent="0.4">
      <c r="A3199" s="291"/>
      <c r="B3199" s="292"/>
      <c r="C3199" s="312"/>
      <c r="D3199" s="292"/>
      <c r="E3199" s="489"/>
      <c r="F3199" s="489"/>
      <c r="G3199" s="490"/>
      <c r="H3199" s="520"/>
      <c r="I3199" s="523"/>
      <c r="J3199" s="521"/>
      <c r="K3199" s="522"/>
      <c r="M3199" s="301" t="str">
        <f>N3199&amp;AS[[#This Row],[Insurer Code]]&amp;"; "&amp;O3199&amp;AS[[#This Row],[Reporting Year]]&amp;"; "&amp;P3199&amp;AS[[#This Row],[Insurance Category Code]]&amp;"; "&amp;Q3199&amp;AS[[#This Row],[Large Provider Entity Code]]&amp;"; "&amp;R3199&amp;AS[[#This Row],[Age Band Code]]&amp;"; "&amp;S3199&amp;AS[[#This Row],[Sex Code]]</f>
        <v xml:space="preserve">Insurer Code ; Reporting Year ; Insurance Category Code ; Large Provider Entity Code ; Age Band Code ; Sex Code </v>
      </c>
      <c r="N3199" s="297" t="s">
        <v>197</v>
      </c>
      <c r="O3199" s="297" t="s">
        <v>198</v>
      </c>
      <c r="P3199" s="297" t="s">
        <v>199</v>
      </c>
      <c r="Q3199" s="297" t="s">
        <v>200</v>
      </c>
      <c r="R3199" s="297" t="s">
        <v>213</v>
      </c>
      <c r="S3199" s="297" t="s">
        <v>214</v>
      </c>
    </row>
    <row r="3200" spans="1:19" x14ac:dyDescent="0.4">
      <c r="A3200" s="291"/>
      <c r="B3200" s="292"/>
      <c r="C3200" s="312"/>
      <c r="D3200" s="292"/>
      <c r="E3200" s="489"/>
      <c r="F3200" s="489"/>
      <c r="G3200" s="490"/>
      <c r="H3200" s="520"/>
      <c r="I3200" s="523"/>
      <c r="J3200" s="521"/>
      <c r="K3200" s="522"/>
      <c r="M3200" s="301" t="str">
        <f>N3200&amp;AS[[#This Row],[Insurer Code]]&amp;"; "&amp;O3200&amp;AS[[#This Row],[Reporting Year]]&amp;"; "&amp;P3200&amp;AS[[#This Row],[Insurance Category Code]]&amp;"; "&amp;Q3200&amp;AS[[#This Row],[Large Provider Entity Code]]&amp;"; "&amp;R3200&amp;AS[[#This Row],[Age Band Code]]&amp;"; "&amp;S3200&amp;AS[[#This Row],[Sex Code]]</f>
        <v xml:space="preserve">Insurer Code ; Reporting Year ; Insurance Category Code ; Large Provider Entity Code ; Age Band Code ; Sex Code </v>
      </c>
      <c r="N3200" s="297" t="s">
        <v>197</v>
      </c>
      <c r="O3200" s="297" t="s">
        <v>198</v>
      </c>
      <c r="P3200" s="297" t="s">
        <v>199</v>
      </c>
      <c r="Q3200" s="297" t="s">
        <v>200</v>
      </c>
      <c r="R3200" s="297" t="s">
        <v>213</v>
      </c>
      <c r="S3200" s="297" t="s">
        <v>214</v>
      </c>
    </row>
    <row r="3201" spans="1:19" x14ac:dyDescent="0.4">
      <c r="A3201" s="291"/>
      <c r="B3201" s="292"/>
      <c r="C3201" s="312"/>
      <c r="D3201" s="292"/>
      <c r="E3201" s="489"/>
      <c r="F3201" s="489"/>
      <c r="G3201" s="490"/>
      <c r="H3201" s="520"/>
      <c r="I3201" s="523"/>
      <c r="J3201" s="521"/>
      <c r="K3201" s="522"/>
      <c r="M3201" s="301" t="str">
        <f>N3201&amp;AS[[#This Row],[Insurer Code]]&amp;"; "&amp;O3201&amp;AS[[#This Row],[Reporting Year]]&amp;"; "&amp;P3201&amp;AS[[#This Row],[Insurance Category Code]]&amp;"; "&amp;Q3201&amp;AS[[#This Row],[Large Provider Entity Code]]&amp;"; "&amp;R3201&amp;AS[[#This Row],[Age Band Code]]&amp;"; "&amp;S3201&amp;AS[[#This Row],[Sex Code]]</f>
        <v xml:space="preserve">Insurer Code ; Reporting Year ; Insurance Category Code ; Large Provider Entity Code ; Age Band Code ; Sex Code </v>
      </c>
      <c r="N3201" s="297" t="s">
        <v>197</v>
      </c>
      <c r="O3201" s="297" t="s">
        <v>198</v>
      </c>
      <c r="P3201" s="297" t="s">
        <v>199</v>
      </c>
      <c r="Q3201" s="297" t="s">
        <v>200</v>
      </c>
      <c r="R3201" s="297" t="s">
        <v>213</v>
      </c>
      <c r="S3201" s="297" t="s">
        <v>214</v>
      </c>
    </row>
    <row r="3202" spans="1:19" x14ac:dyDescent="0.4">
      <c r="A3202" s="291"/>
      <c r="B3202" s="292"/>
      <c r="C3202" s="312"/>
      <c r="D3202" s="292"/>
      <c r="E3202" s="489"/>
      <c r="F3202" s="489"/>
      <c r="G3202" s="490"/>
      <c r="H3202" s="520"/>
      <c r="I3202" s="523"/>
      <c r="J3202" s="521"/>
      <c r="K3202" s="522"/>
      <c r="M3202" s="301" t="str">
        <f>N3202&amp;AS[[#This Row],[Insurer Code]]&amp;"; "&amp;O3202&amp;AS[[#This Row],[Reporting Year]]&amp;"; "&amp;P3202&amp;AS[[#This Row],[Insurance Category Code]]&amp;"; "&amp;Q3202&amp;AS[[#This Row],[Large Provider Entity Code]]&amp;"; "&amp;R3202&amp;AS[[#This Row],[Age Band Code]]&amp;"; "&amp;S3202&amp;AS[[#This Row],[Sex Code]]</f>
        <v xml:space="preserve">Insurer Code ; Reporting Year ; Insurance Category Code ; Large Provider Entity Code ; Age Band Code ; Sex Code </v>
      </c>
      <c r="N3202" s="297" t="s">
        <v>197</v>
      </c>
      <c r="O3202" s="297" t="s">
        <v>198</v>
      </c>
      <c r="P3202" s="297" t="s">
        <v>199</v>
      </c>
      <c r="Q3202" s="297" t="s">
        <v>200</v>
      </c>
      <c r="R3202" s="297" t="s">
        <v>213</v>
      </c>
      <c r="S3202" s="297" t="s">
        <v>214</v>
      </c>
    </row>
    <row r="3203" spans="1:19" x14ac:dyDescent="0.4">
      <c r="A3203" s="291"/>
      <c r="B3203" s="292"/>
      <c r="C3203" s="312"/>
      <c r="D3203" s="292"/>
      <c r="E3203" s="489"/>
      <c r="F3203" s="489"/>
      <c r="G3203" s="490"/>
      <c r="H3203" s="520"/>
      <c r="I3203" s="523"/>
      <c r="J3203" s="521"/>
      <c r="K3203" s="522"/>
      <c r="M3203" s="301" t="str">
        <f>N3203&amp;AS[[#This Row],[Insurer Code]]&amp;"; "&amp;O3203&amp;AS[[#This Row],[Reporting Year]]&amp;"; "&amp;P3203&amp;AS[[#This Row],[Insurance Category Code]]&amp;"; "&amp;Q3203&amp;AS[[#This Row],[Large Provider Entity Code]]&amp;"; "&amp;R3203&amp;AS[[#This Row],[Age Band Code]]&amp;"; "&amp;S3203&amp;AS[[#This Row],[Sex Code]]</f>
        <v xml:space="preserve">Insurer Code ; Reporting Year ; Insurance Category Code ; Large Provider Entity Code ; Age Band Code ; Sex Code </v>
      </c>
      <c r="N3203" s="297" t="s">
        <v>197</v>
      </c>
      <c r="O3203" s="297" t="s">
        <v>198</v>
      </c>
      <c r="P3203" s="297" t="s">
        <v>199</v>
      </c>
      <c r="Q3203" s="297" t="s">
        <v>200</v>
      </c>
      <c r="R3203" s="297" t="s">
        <v>213</v>
      </c>
      <c r="S3203" s="297" t="s">
        <v>214</v>
      </c>
    </row>
    <row r="3204" spans="1:19" x14ac:dyDescent="0.4">
      <c r="A3204" s="291"/>
      <c r="B3204" s="292"/>
      <c r="C3204" s="312"/>
      <c r="D3204" s="292"/>
      <c r="E3204" s="489"/>
      <c r="F3204" s="489"/>
      <c r="G3204" s="490"/>
      <c r="H3204" s="520"/>
      <c r="I3204" s="523"/>
      <c r="J3204" s="521"/>
      <c r="K3204" s="522"/>
      <c r="M3204" s="301" t="str">
        <f>N3204&amp;AS[[#This Row],[Insurer Code]]&amp;"; "&amp;O3204&amp;AS[[#This Row],[Reporting Year]]&amp;"; "&amp;P3204&amp;AS[[#This Row],[Insurance Category Code]]&amp;"; "&amp;Q3204&amp;AS[[#This Row],[Large Provider Entity Code]]&amp;"; "&amp;R3204&amp;AS[[#This Row],[Age Band Code]]&amp;"; "&amp;S3204&amp;AS[[#This Row],[Sex Code]]</f>
        <v xml:space="preserve">Insurer Code ; Reporting Year ; Insurance Category Code ; Large Provider Entity Code ; Age Band Code ; Sex Code </v>
      </c>
      <c r="N3204" s="297" t="s">
        <v>197</v>
      </c>
      <c r="O3204" s="297" t="s">
        <v>198</v>
      </c>
      <c r="P3204" s="297" t="s">
        <v>199</v>
      </c>
      <c r="Q3204" s="297" t="s">
        <v>200</v>
      </c>
      <c r="R3204" s="297" t="s">
        <v>213</v>
      </c>
      <c r="S3204" s="297" t="s">
        <v>214</v>
      </c>
    </row>
    <row r="3205" spans="1:19" x14ac:dyDescent="0.4">
      <c r="A3205" s="291"/>
      <c r="B3205" s="292"/>
      <c r="C3205" s="312"/>
      <c r="D3205" s="292"/>
      <c r="E3205" s="489"/>
      <c r="F3205" s="489"/>
      <c r="G3205" s="490"/>
      <c r="H3205" s="520"/>
      <c r="I3205" s="523"/>
      <c r="J3205" s="521"/>
      <c r="K3205" s="522"/>
      <c r="M3205" s="301" t="str">
        <f>N3205&amp;AS[[#This Row],[Insurer Code]]&amp;"; "&amp;O3205&amp;AS[[#This Row],[Reporting Year]]&amp;"; "&amp;P3205&amp;AS[[#This Row],[Insurance Category Code]]&amp;"; "&amp;Q3205&amp;AS[[#This Row],[Large Provider Entity Code]]&amp;"; "&amp;R3205&amp;AS[[#This Row],[Age Band Code]]&amp;"; "&amp;S3205&amp;AS[[#This Row],[Sex Code]]</f>
        <v xml:space="preserve">Insurer Code ; Reporting Year ; Insurance Category Code ; Large Provider Entity Code ; Age Band Code ; Sex Code </v>
      </c>
      <c r="N3205" s="297" t="s">
        <v>197</v>
      </c>
      <c r="O3205" s="297" t="s">
        <v>198</v>
      </c>
      <c r="P3205" s="297" t="s">
        <v>199</v>
      </c>
      <c r="Q3205" s="297" t="s">
        <v>200</v>
      </c>
      <c r="R3205" s="297" t="s">
        <v>213</v>
      </c>
      <c r="S3205" s="297" t="s">
        <v>214</v>
      </c>
    </row>
    <row r="3206" spans="1:19" x14ac:dyDescent="0.4">
      <c r="A3206" s="291"/>
      <c r="B3206" s="292"/>
      <c r="C3206" s="312"/>
      <c r="D3206" s="292"/>
      <c r="E3206" s="489"/>
      <c r="F3206" s="489"/>
      <c r="G3206" s="490"/>
      <c r="H3206" s="520"/>
      <c r="I3206" s="523"/>
      <c r="J3206" s="521"/>
      <c r="K3206" s="522"/>
      <c r="M3206" s="301" t="str">
        <f>N3206&amp;AS[[#This Row],[Insurer Code]]&amp;"; "&amp;O3206&amp;AS[[#This Row],[Reporting Year]]&amp;"; "&amp;P3206&amp;AS[[#This Row],[Insurance Category Code]]&amp;"; "&amp;Q3206&amp;AS[[#This Row],[Large Provider Entity Code]]&amp;"; "&amp;R3206&amp;AS[[#This Row],[Age Band Code]]&amp;"; "&amp;S3206&amp;AS[[#This Row],[Sex Code]]</f>
        <v xml:space="preserve">Insurer Code ; Reporting Year ; Insurance Category Code ; Large Provider Entity Code ; Age Band Code ; Sex Code </v>
      </c>
      <c r="N3206" s="297" t="s">
        <v>197</v>
      </c>
      <c r="O3206" s="297" t="s">
        <v>198</v>
      </c>
      <c r="P3206" s="297" t="s">
        <v>199</v>
      </c>
      <c r="Q3206" s="297" t="s">
        <v>200</v>
      </c>
      <c r="R3206" s="297" t="s">
        <v>213</v>
      </c>
      <c r="S3206" s="297" t="s">
        <v>214</v>
      </c>
    </row>
    <row r="3207" spans="1:19" x14ac:dyDescent="0.4">
      <c r="A3207" s="291"/>
      <c r="B3207" s="292"/>
      <c r="C3207" s="312"/>
      <c r="D3207" s="292"/>
      <c r="E3207" s="489"/>
      <c r="F3207" s="489"/>
      <c r="G3207" s="490"/>
      <c r="H3207" s="520"/>
      <c r="I3207" s="523"/>
      <c r="J3207" s="521"/>
      <c r="K3207" s="522"/>
      <c r="M3207" s="301" t="str">
        <f>N3207&amp;AS[[#This Row],[Insurer Code]]&amp;"; "&amp;O3207&amp;AS[[#This Row],[Reporting Year]]&amp;"; "&amp;P3207&amp;AS[[#This Row],[Insurance Category Code]]&amp;"; "&amp;Q3207&amp;AS[[#This Row],[Large Provider Entity Code]]&amp;"; "&amp;R3207&amp;AS[[#This Row],[Age Band Code]]&amp;"; "&amp;S3207&amp;AS[[#This Row],[Sex Code]]</f>
        <v xml:space="preserve">Insurer Code ; Reporting Year ; Insurance Category Code ; Large Provider Entity Code ; Age Band Code ; Sex Code </v>
      </c>
      <c r="N3207" s="297" t="s">
        <v>197</v>
      </c>
      <c r="O3207" s="297" t="s">
        <v>198</v>
      </c>
      <c r="P3207" s="297" t="s">
        <v>199</v>
      </c>
      <c r="Q3207" s="297" t="s">
        <v>200</v>
      </c>
      <c r="R3207" s="297" t="s">
        <v>213</v>
      </c>
      <c r="S3207" s="297" t="s">
        <v>214</v>
      </c>
    </row>
    <row r="3208" spans="1:19" x14ac:dyDescent="0.4">
      <c r="A3208" s="291"/>
      <c r="B3208" s="292"/>
      <c r="C3208" s="312"/>
      <c r="D3208" s="292"/>
      <c r="E3208" s="489"/>
      <c r="F3208" s="489"/>
      <c r="G3208" s="490"/>
      <c r="H3208" s="520"/>
      <c r="I3208" s="523"/>
      <c r="J3208" s="521"/>
      <c r="K3208" s="522"/>
      <c r="M3208" s="301" t="str">
        <f>N3208&amp;AS[[#This Row],[Insurer Code]]&amp;"; "&amp;O3208&amp;AS[[#This Row],[Reporting Year]]&amp;"; "&amp;P3208&amp;AS[[#This Row],[Insurance Category Code]]&amp;"; "&amp;Q3208&amp;AS[[#This Row],[Large Provider Entity Code]]&amp;"; "&amp;R3208&amp;AS[[#This Row],[Age Band Code]]&amp;"; "&amp;S3208&amp;AS[[#This Row],[Sex Code]]</f>
        <v xml:space="preserve">Insurer Code ; Reporting Year ; Insurance Category Code ; Large Provider Entity Code ; Age Band Code ; Sex Code </v>
      </c>
      <c r="N3208" s="297" t="s">
        <v>197</v>
      </c>
      <c r="O3208" s="297" t="s">
        <v>198</v>
      </c>
      <c r="P3208" s="297" t="s">
        <v>199</v>
      </c>
      <c r="Q3208" s="297" t="s">
        <v>200</v>
      </c>
      <c r="R3208" s="297" t="s">
        <v>213</v>
      </c>
      <c r="S3208" s="297" t="s">
        <v>214</v>
      </c>
    </row>
    <row r="3209" spans="1:19" x14ac:dyDescent="0.4">
      <c r="A3209" s="291"/>
      <c r="B3209" s="292"/>
      <c r="C3209" s="312"/>
      <c r="D3209" s="292"/>
      <c r="E3209" s="489"/>
      <c r="F3209" s="489"/>
      <c r="G3209" s="490"/>
      <c r="H3209" s="520"/>
      <c r="I3209" s="523"/>
      <c r="J3209" s="521"/>
      <c r="K3209" s="522"/>
      <c r="M3209" s="301" t="str">
        <f>N3209&amp;AS[[#This Row],[Insurer Code]]&amp;"; "&amp;O3209&amp;AS[[#This Row],[Reporting Year]]&amp;"; "&amp;P3209&amp;AS[[#This Row],[Insurance Category Code]]&amp;"; "&amp;Q3209&amp;AS[[#This Row],[Large Provider Entity Code]]&amp;"; "&amp;R3209&amp;AS[[#This Row],[Age Band Code]]&amp;"; "&amp;S3209&amp;AS[[#This Row],[Sex Code]]</f>
        <v xml:space="preserve">Insurer Code ; Reporting Year ; Insurance Category Code ; Large Provider Entity Code ; Age Band Code ; Sex Code </v>
      </c>
      <c r="N3209" s="297" t="s">
        <v>197</v>
      </c>
      <c r="O3209" s="297" t="s">
        <v>198</v>
      </c>
      <c r="P3209" s="297" t="s">
        <v>199</v>
      </c>
      <c r="Q3209" s="297" t="s">
        <v>200</v>
      </c>
      <c r="R3209" s="297" t="s">
        <v>213</v>
      </c>
      <c r="S3209" s="297" t="s">
        <v>214</v>
      </c>
    </row>
    <row r="3210" spans="1:19" x14ac:dyDescent="0.4">
      <c r="A3210" s="291"/>
      <c r="B3210" s="292"/>
      <c r="C3210" s="312"/>
      <c r="D3210" s="292"/>
      <c r="E3210" s="489"/>
      <c r="F3210" s="489"/>
      <c r="G3210" s="490"/>
      <c r="H3210" s="520"/>
      <c r="I3210" s="523"/>
      <c r="J3210" s="521"/>
      <c r="K3210" s="522"/>
      <c r="M3210" s="301" t="str">
        <f>N3210&amp;AS[[#This Row],[Insurer Code]]&amp;"; "&amp;O3210&amp;AS[[#This Row],[Reporting Year]]&amp;"; "&amp;P3210&amp;AS[[#This Row],[Insurance Category Code]]&amp;"; "&amp;Q3210&amp;AS[[#This Row],[Large Provider Entity Code]]&amp;"; "&amp;R3210&amp;AS[[#This Row],[Age Band Code]]&amp;"; "&amp;S3210&amp;AS[[#This Row],[Sex Code]]</f>
        <v xml:space="preserve">Insurer Code ; Reporting Year ; Insurance Category Code ; Large Provider Entity Code ; Age Band Code ; Sex Code </v>
      </c>
      <c r="N3210" s="297" t="s">
        <v>197</v>
      </c>
      <c r="O3210" s="297" t="s">
        <v>198</v>
      </c>
      <c r="P3210" s="297" t="s">
        <v>199</v>
      </c>
      <c r="Q3210" s="297" t="s">
        <v>200</v>
      </c>
      <c r="R3210" s="297" t="s">
        <v>213</v>
      </c>
      <c r="S3210" s="297" t="s">
        <v>214</v>
      </c>
    </row>
    <row r="3211" spans="1:19" x14ac:dyDescent="0.4">
      <c r="A3211" s="291"/>
      <c r="B3211" s="292"/>
      <c r="C3211" s="312"/>
      <c r="D3211" s="292"/>
      <c r="E3211" s="489"/>
      <c r="F3211" s="489"/>
      <c r="G3211" s="490"/>
      <c r="H3211" s="520"/>
      <c r="I3211" s="523"/>
      <c r="J3211" s="521"/>
      <c r="K3211" s="522"/>
      <c r="M3211" s="301" t="str">
        <f>N3211&amp;AS[[#This Row],[Insurer Code]]&amp;"; "&amp;O3211&amp;AS[[#This Row],[Reporting Year]]&amp;"; "&amp;P3211&amp;AS[[#This Row],[Insurance Category Code]]&amp;"; "&amp;Q3211&amp;AS[[#This Row],[Large Provider Entity Code]]&amp;"; "&amp;R3211&amp;AS[[#This Row],[Age Band Code]]&amp;"; "&amp;S3211&amp;AS[[#This Row],[Sex Code]]</f>
        <v xml:space="preserve">Insurer Code ; Reporting Year ; Insurance Category Code ; Large Provider Entity Code ; Age Band Code ; Sex Code </v>
      </c>
      <c r="N3211" s="297" t="s">
        <v>197</v>
      </c>
      <c r="O3211" s="297" t="s">
        <v>198</v>
      </c>
      <c r="P3211" s="297" t="s">
        <v>199</v>
      </c>
      <c r="Q3211" s="297" t="s">
        <v>200</v>
      </c>
      <c r="R3211" s="297" t="s">
        <v>213</v>
      </c>
      <c r="S3211" s="297" t="s">
        <v>214</v>
      </c>
    </row>
    <row r="3212" spans="1:19" x14ac:dyDescent="0.4">
      <c r="A3212" s="291"/>
      <c r="B3212" s="292"/>
      <c r="C3212" s="312"/>
      <c r="D3212" s="292"/>
      <c r="E3212" s="489"/>
      <c r="F3212" s="489"/>
      <c r="G3212" s="490"/>
      <c r="H3212" s="520"/>
      <c r="I3212" s="523"/>
      <c r="J3212" s="521"/>
      <c r="K3212" s="522"/>
      <c r="M3212" s="301" t="str">
        <f>N3212&amp;AS[[#This Row],[Insurer Code]]&amp;"; "&amp;O3212&amp;AS[[#This Row],[Reporting Year]]&amp;"; "&amp;P3212&amp;AS[[#This Row],[Insurance Category Code]]&amp;"; "&amp;Q3212&amp;AS[[#This Row],[Large Provider Entity Code]]&amp;"; "&amp;R3212&amp;AS[[#This Row],[Age Band Code]]&amp;"; "&amp;S3212&amp;AS[[#This Row],[Sex Code]]</f>
        <v xml:space="preserve">Insurer Code ; Reporting Year ; Insurance Category Code ; Large Provider Entity Code ; Age Band Code ; Sex Code </v>
      </c>
      <c r="N3212" s="297" t="s">
        <v>197</v>
      </c>
      <c r="O3212" s="297" t="s">
        <v>198</v>
      </c>
      <c r="P3212" s="297" t="s">
        <v>199</v>
      </c>
      <c r="Q3212" s="297" t="s">
        <v>200</v>
      </c>
      <c r="R3212" s="297" t="s">
        <v>213</v>
      </c>
      <c r="S3212" s="297" t="s">
        <v>214</v>
      </c>
    </row>
    <row r="3213" spans="1:19" x14ac:dyDescent="0.4">
      <c r="A3213" s="291"/>
      <c r="B3213" s="292"/>
      <c r="C3213" s="312"/>
      <c r="D3213" s="292"/>
      <c r="E3213" s="489"/>
      <c r="F3213" s="489"/>
      <c r="G3213" s="490"/>
      <c r="H3213" s="520"/>
      <c r="I3213" s="523"/>
      <c r="J3213" s="521"/>
      <c r="K3213" s="522"/>
      <c r="M3213" s="301" t="str">
        <f>N3213&amp;AS[[#This Row],[Insurer Code]]&amp;"; "&amp;O3213&amp;AS[[#This Row],[Reporting Year]]&amp;"; "&amp;P3213&amp;AS[[#This Row],[Insurance Category Code]]&amp;"; "&amp;Q3213&amp;AS[[#This Row],[Large Provider Entity Code]]&amp;"; "&amp;R3213&amp;AS[[#This Row],[Age Band Code]]&amp;"; "&amp;S3213&amp;AS[[#This Row],[Sex Code]]</f>
        <v xml:space="preserve">Insurer Code ; Reporting Year ; Insurance Category Code ; Large Provider Entity Code ; Age Band Code ; Sex Code </v>
      </c>
      <c r="N3213" s="297" t="s">
        <v>197</v>
      </c>
      <c r="O3213" s="297" t="s">
        <v>198</v>
      </c>
      <c r="P3213" s="297" t="s">
        <v>199</v>
      </c>
      <c r="Q3213" s="297" t="s">
        <v>200</v>
      </c>
      <c r="R3213" s="297" t="s">
        <v>213</v>
      </c>
      <c r="S3213" s="297" t="s">
        <v>214</v>
      </c>
    </row>
    <row r="3214" spans="1:19" x14ac:dyDescent="0.4">
      <c r="A3214" s="291"/>
      <c r="B3214" s="292"/>
      <c r="C3214" s="312"/>
      <c r="D3214" s="292"/>
      <c r="E3214" s="489"/>
      <c r="F3214" s="489"/>
      <c r="G3214" s="490"/>
      <c r="H3214" s="520"/>
      <c r="I3214" s="523"/>
      <c r="J3214" s="521"/>
      <c r="K3214" s="522"/>
      <c r="M3214" s="301" t="str">
        <f>N3214&amp;AS[[#This Row],[Insurer Code]]&amp;"; "&amp;O3214&amp;AS[[#This Row],[Reporting Year]]&amp;"; "&amp;P3214&amp;AS[[#This Row],[Insurance Category Code]]&amp;"; "&amp;Q3214&amp;AS[[#This Row],[Large Provider Entity Code]]&amp;"; "&amp;R3214&amp;AS[[#This Row],[Age Band Code]]&amp;"; "&amp;S3214&amp;AS[[#This Row],[Sex Code]]</f>
        <v xml:space="preserve">Insurer Code ; Reporting Year ; Insurance Category Code ; Large Provider Entity Code ; Age Band Code ; Sex Code </v>
      </c>
      <c r="N3214" s="297" t="s">
        <v>197</v>
      </c>
      <c r="O3214" s="297" t="s">
        <v>198</v>
      </c>
      <c r="P3214" s="297" t="s">
        <v>199</v>
      </c>
      <c r="Q3214" s="297" t="s">
        <v>200</v>
      </c>
      <c r="R3214" s="297" t="s">
        <v>213</v>
      </c>
      <c r="S3214" s="297" t="s">
        <v>214</v>
      </c>
    </row>
    <row r="3215" spans="1:19" x14ac:dyDescent="0.4">
      <c r="A3215" s="291"/>
      <c r="B3215" s="292"/>
      <c r="C3215" s="312"/>
      <c r="D3215" s="292"/>
      <c r="E3215" s="489"/>
      <c r="F3215" s="489"/>
      <c r="G3215" s="490"/>
      <c r="H3215" s="520"/>
      <c r="I3215" s="523"/>
      <c r="J3215" s="521"/>
      <c r="K3215" s="522"/>
      <c r="M3215" s="301" t="str">
        <f>N3215&amp;AS[[#This Row],[Insurer Code]]&amp;"; "&amp;O3215&amp;AS[[#This Row],[Reporting Year]]&amp;"; "&amp;P3215&amp;AS[[#This Row],[Insurance Category Code]]&amp;"; "&amp;Q3215&amp;AS[[#This Row],[Large Provider Entity Code]]&amp;"; "&amp;R3215&amp;AS[[#This Row],[Age Band Code]]&amp;"; "&amp;S3215&amp;AS[[#This Row],[Sex Code]]</f>
        <v xml:space="preserve">Insurer Code ; Reporting Year ; Insurance Category Code ; Large Provider Entity Code ; Age Band Code ; Sex Code </v>
      </c>
      <c r="N3215" s="297" t="s">
        <v>197</v>
      </c>
      <c r="O3215" s="297" t="s">
        <v>198</v>
      </c>
      <c r="P3215" s="297" t="s">
        <v>199</v>
      </c>
      <c r="Q3215" s="297" t="s">
        <v>200</v>
      </c>
      <c r="R3215" s="297" t="s">
        <v>213</v>
      </c>
      <c r="S3215" s="297" t="s">
        <v>214</v>
      </c>
    </row>
    <row r="3216" spans="1:19" x14ac:dyDescent="0.4">
      <c r="A3216" s="291"/>
      <c r="B3216" s="292"/>
      <c r="C3216" s="312"/>
      <c r="D3216" s="292"/>
      <c r="E3216" s="489"/>
      <c r="F3216" s="489"/>
      <c r="G3216" s="490"/>
      <c r="H3216" s="520"/>
      <c r="I3216" s="523"/>
      <c r="J3216" s="521"/>
      <c r="K3216" s="522"/>
      <c r="M3216" s="301" t="str">
        <f>N3216&amp;AS[[#This Row],[Insurer Code]]&amp;"; "&amp;O3216&amp;AS[[#This Row],[Reporting Year]]&amp;"; "&amp;P3216&amp;AS[[#This Row],[Insurance Category Code]]&amp;"; "&amp;Q3216&amp;AS[[#This Row],[Large Provider Entity Code]]&amp;"; "&amp;R3216&amp;AS[[#This Row],[Age Band Code]]&amp;"; "&amp;S3216&amp;AS[[#This Row],[Sex Code]]</f>
        <v xml:space="preserve">Insurer Code ; Reporting Year ; Insurance Category Code ; Large Provider Entity Code ; Age Band Code ; Sex Code </v>
      </c>
      <c r="N3216" s="297" t="s">
        <v>197</v>
      </c>
      <c r="O3216" s="297" t="s">
        <v>198</v>
      </c>
      <c r="P3216" s="297" t="s">
        <v>199</v>
      </c>
      <c r="Q3216" s="297" t="s">
        <v>200</v>
      </c>
      <c r="R3216" s="297" t="s">
        <v>213</v>
      </c>
      <c r="S3216" s="297" t="s">
        <v>214</v>
      </c>
    </row>
    <row r="3217" spans="1:19" x14ac:dyDescent="0.4">
      <c r="A3217" s="291"/>
      <c r="B3217" s="292"/>
      <c r="C3217" s="312"/>
      <c r="D3217" s="292"/>
      <c r="E3217" s="489"/>
      <c r="F3217" s="489"/>
      <c r="G3217" s="490"/>
      <c r="H3217" s="520"/>
      <c r="I3217" s="523"/>
      <c r="J3217" s="521"/>
      <c r="K3217" s="522"/>
      <c r="M3217" s="301" t="str">
        <f>N3217&amp;AS[[#This Row],[Insurer Code]]&amp;"; "&amp;O3217&amp;AS[[#This Row],[Reporting Year]]&amp;"; "&amp;P3217&amp;AS[[#This Row],[Insurance Category Code]]&amp;"; "&amp;Q3217&amp;AS[[#This Row],[Large Provider Entity Code]]&amp;"; "&amp;R3217&amp;AS[[#This Row],[Age Band Code]]&amp;"; "&amp;S3217&amp;AS[[#This Row],[Sex Code]]</f>
        <v xml:space="preserve">Insurer Code ; Reporting Year ; Insurance Category Code ; Large Provider Entity Code ; Age Band Code ; Sex Code </v>
      </c>
      <c r="N3217" s="297" t="s">
        <v>197</v>
      </c>
      <c r="O3217" s="297" t="s">
        <v>198</v>
      </c>
      <c r="P3217" s="297" t="s">
        <v>199</v>
      </c>
      <c r="Q3217" s="297" t="s">
        <v>200</v>
      </c>
      <c r="R3217" s="297" t="s">
        <v>213</v>
      </c>
      <c r="S3217" s="297" t="s">
        <v>214</v>
      </c>
    </row>
    <row r="3218" spans="1:19" x14ac:dyDescent="0.4">
      <c r="A3218" s="291"/>
      <c r="B3218" s="292"/>
      <c r="C3218" s="312"/>
      <c r="D3218" s="292"/>
      <c r="E3218" s="489"/>
      <c r="F3218" s="489"/>
      <c r="G3218" s="490"/>
      <c r="H3218" s="520"/>
      <c r="I3218" s="523"/>
      <c r="J3218" s="521"/>
      <c r="K3218" s="522"/>
      <c r="M3218" s="301" t="str">
        <f>N3218&amp;AS[[#This Row],[Insurer Code]]&amp;"; "&amp;O3218&amp;AS[[#This Row],[Reporting Year]]&amp;"; "&amp;P3218&amp;AS[[#This Row],[Insurance Category Code]]&amp;"; "&amp;Q3218&amp;AS[[#This Row],[Large Provider Entity Code]]&amp;"; "&amp;R3218&amp;AS[[#This Row],[Age Band Code]]&amp;"; "&amp;S3218&amp;AS[[#This Row],[Sex Code]]</f>
        <v xml:space="preserve">Insurer Code ; Reporting Year ; Insurance Category Code ; Large Provider Entity Code ; Age Band Code ; Sex Code </v>
      </c>
      <c r="N3218" s="297" t="s">
        <v>197</v>
      </c>
      <c r="O3218" s="297" t="s">
        <v>198</v>
      </c>
      <c r="P3218" s="297" t="s">
        <v>199</v>
      </c>
      <c r="Q3218" s="297" t="s">
        <v>200</v>
      </c>
      <c r="R3218" s="297" t="s">
        <v>213</v>
      </c>
      <c r="S3218" s="297" t="s">
        <v>214</v>
      </c>
    </row>
    <row r="3219" spans="1:19" x14ac:dyDescent="0.4">
      <c r="A3219" s="291"/>
      <c r="B3219" s="292"/>
      <c r="C3219" s="312"/>
      <c r="D3219" s="292"/>
      <c r="E3219" s="489"/>
      <c r="F3219" s="489"/>
      <c r="G3219" s="490"/>
      <c r="H3219" s="520"/>
      <c r="I3219" s="523"/>
      <c r="J3219" s="521"/>
      <c r="K3219" s="522"/>
      <c r="M3219" s="301" t="str">
        <f>N3219&amp;AS[[#This Row],[Insurer Code]]&amp;"; "&amp;O3219&amp;AS[[#This Row],[Reporting Year]]&amp;"; "&amp;P3219&amp;AS[[#This Row],[Insurance Category Code]]&amp;"; "&amp;Q3219&amp;AS[[#This Row],[Large Provider Entity Code]]&amp;"; "&amp;R3219&amp;AS[[#This Row],[Age Band Code]]&amp;"; "&amp;S3219&amp;AS[[#This Row],[Sex Code]]</f>
        <v xml:space="preserve">Insurer Code ; Reporting Year ; Insurance Category Code ; Large Provider Entity Code ; Age Band Code ; Sex Code </v>
      </c>
      <c r="N3219" s="297" t="s">
        <v>197</v>
      </c>
      <c r="O3219" s="297" t="s">
        <v>198</v>
      </c>
      <c r="P3219" s="297" t="s">
        <v>199</v>
      </c>
      <c r="Q3219" s="297" t="s">
        <v>200</v>
      </c>
      <c r="R3219" s="297" t="s">
        <v>213</v>
      </c>
      <c r="S3219" s="297" t="s">
        <v>214</v>
      </c>
    </row>
    <row r="3220" spans="1:19" x14ac:dyDescent="0.4">
      <c r="A3220" s="291"/>
      <c r="B3220" s="292"/>
      <c r="C3220" s="312"/>
      <c r="D3220" s="292"/>
      <c r="E3220" s="489"/>
      <c r="F3220" s="489"/>
      <c r="G3220" s="490"/>
      <c r="H3220" s="520"/>
      <c r="I3220" s="523"/>
      <c r="J3220" s="521"/>
      <c r="K3220" s="522"/>
      <c r="M3220" s="301" t="str">
        <f>N3220&amp;AS[[#This Row],[Insurer Code]]&amp;"; "&amp;O3220&amp;AS[[#This Row],[Reporting Year]]&amp;"; "&amp;P3220&amp;AS[[#This Row],[Insurance Category Code]]&amp;"; "&amp;Q3220&amp;AS[[#This Row],[Large Provider Entity Code]]&amp;"; "&amp;R3220&amp;AS[[#This Row],[Age Band Code]]&amp;"; "&amp;S3220&amp;AS[[#This Row],[Sex Code]]</f>
        <v xml:space="preserve">Insurer Code ; Reporting Year ; Insurance Category Code ; Large Provider Entity Code ; Age Band Code ; Sex Code </v>
      </c>
      <c r="N3220" s="297" t="s">
        <v>197</v>
      </c>
      <c r="O3220" s="297" t="s">
        <v>198</v>
      </c>
      <c r="P3220" s="297" t="s">
        <v>199</v>
      </c>
      <c r="Q3220" s="297" t="s">
        <v>200</v>
      </c>
      <c r="R3220" s="297" t="s">
        <v>213</v>
      </c>
      <c r="S3220" s="297" t="s">
        <v>214</v>
      </c>
    </row>
    <row r="3221" spans="1:19" x14ac:dyDescent="0.4">
      <c r="A3221" s="291"/>
      <c r="B3221" s="292"/>
      <c r="C3221" s="312"/>
      <c r="D3221" s="292"/>
      <c r="E3221" s="489"/>
      <c r="F3221" s="489"/>
      <c r="G3221" s="490"/>
      <c r="H3221" s="520"/>
      <c r="I3221" s="523"/>
      <c r="J3221" s="521"/>
      <c r="K3221" s="522"/>
      <c r="M3221" s="301" t="str">
        <f>N3221&amp;AS[[#This Row],[Insurer Code]]&amp;"; "&amp;O3221&amp;AS[[#This Row],[Reporting Year]]&amp;"; "&amp;P3221&amp;AS[[#This Row],[Insurance Category Code]]&amp;"; "&amp;Q3221&amp;AS[[#This Row],[Large Provider Entity Code]]&amp;"; "&amp;R3221&amp;AS[[#This Row],[Age Band Code]]&amp;"; "&amp;S3221&amp;AS[[#This Row],[Sex Code]]</f>
        <v xml:space="preserve">Insurer Code ; Reporting Year ; Insurance Category Code ; Large Provider Entity Code ; Age Band Code ; Sex Code </v>
      </c>
      <c r="N3221" s="297" t="s">
        <v>197</v>
      </c>
      <c r="O3221" s="297" t="s">
        <v>198</v>
      </c>
      <c r="P3221" s="297" t="s">
        <v>199</v>
      </c>
      <c r="Q3221" s="297" t="s">
        <v>200</v>
      </c>
      <c r="R3221" s="297" t="s">
        <v>213</v>
      </c>
      <c r="S3221" s="297" t="s">
        <v>214</v>
      </c>
    </row>
    <row r="3222" spans="1:19" x14ac:dyDescent="0.4">
      <c r="A3222" s="291"/>
      <c r="B3222" s="292"/>
      <c r="C3222" s="312"/>
      <c r="D3222" s="292"/>
      <c r="E3222" s="489"/>
      <c r="F3222" s="489"/>
      <c r="G3222" s="490"/>
      <c r="H3222" s="520"/>
      <c r="I3222" s="523"/>
      <c r="J3222" s="521"/>
      <c r="K3222" s="522"/>
      <c r="M3222" s="301" t="str">
        <f>N3222&amp;AS[[#This Row],[Insurer Code]]&amp;"; "&amp;O3222&amp;AS[[#This Row],[Reporting Year]]&amp;"; "&amp;P3222&amp;AS[[#This Row],[Insurance Category Code]]&amp;"; "&amp;Q3222&amp;AS[[#This Row],[Large Provider Entity Code]]&amp;"; "&amp;R3222&amp;AS[[#This Row],[Age Band Code]]&amp;"; "&amp;S3222&amp;AS[[#This Row],[Sex Code]]</f>
        <v xml:space="preserve">Insurer Code ; Reporting Year ; Insurance Category Code ; Large Provider Entity Code ; Age Band Code ; Sex Code </v>
      </c>
      <c r="N3222" s="297" t="s">
        <v>197</v>
      </c>
      <c r="O3222" s="297" t="s">
        <v>198</v>
      </c>
      <c r="P3222" s="297" t="s">
        <v>199</v>
      </c>
      <c r="Q3222" s="297" t="s">
        <v>200</v>
      </c>
      <c r="R3222" s="297" t="s">
        <v>213</v>
      </c>
      <c r="S3222" s="297" t="s">
        <v>214</v>
      </c>
    </row>
    <row r="3223" spans="1:19" x14ac:dyDescent="0.4">
      <c r="A3223" s="291"/>
      <c r="B3223" s="292"/>
      <c r="C3223" s="312"/>
      <c r="D3223" s="292"/>
      <c r="E3223" s="489"/>
      <c r="F3223" s="489"/>
      <c r="G3223" s="490"/>
      <c r="H3223" s="520"/>
      <c r="I3223" s="523"/>
      <c r="J3223" s="521"/>
      <c r="K3223" s="522"/>
      <c r="M3223" s="301" t="str">
        <f>N3223&amp;AS[[#This Row],[Insurer Code]]&amp;"; "&amp;O3223&amp;AS[[#This Row],[Reporting Year]]&amp;"; "&amp;P3223&amp;AS[[#This Row],[Insurance Category Code]]&amp;"; "&amp;Q3223&amp;AS[[#This Row],[Large Provider Entity Code]]&amp;"; "&amp;R3223&amp;AS[[#This Row],[Age Band Code]]&amp;"; "&amp;S3223&amp;AS[[#This Row],[Sex Code]]</f>
        <v xml:space="preserve">Insurer Code ; Reporting Year ; Insurance Category Code ; Large Provider Entity Code ; Age Band Code ; Sex Code </v>
      </c>
      <c r="N3223" s="297" t="s">
        <v>197</v>
      </c>
      <c r="O3223" s="297" t="s">
        <v>198</v>
      </c>
      <c r="P3223" s="297" t="s">
        <v>199</v>
      </c>
      <c r="Q3223" s="297" t="s">
        <v>200</v>
      </c>
      <c r="R3223" s="297" t="s">
        <v>213</v>
      </c>
      <c r="S3223" s="297" t="s">
        <v>214</v>
      </c>
    </row>
    <row r="3224" spans="1:19" x14ac:dyDescent="0.4">
      <c r="A3224" s="291"/>
      <c r="B3224" s="292"/>
      <c r="C3224" s="312"/>
      <c r="D3224" s="292"/>
      <c r="E3224" s="489"/>
      <c r="F3224" s="489"/>
      <c r="G3224" s="490"/>
      <c r="H3224" s="520"/>
      <c r="I3224" s="523"/>
      <c r="J3224" s="521"/>
      <c r="K3224" s="522"/>
      <c r="M3224" s="301" t="str">
        <f>N3224&amp;AS[[#This Row],[Insurer Code]]&amp;"; "&amp;O3224&amp;AS[[#This Row],[Reporting Year]]&amp;"; "&amp;P3224&amp;AS[[#This Row],[Insurance Category Code]]&amp;"; "&amp;Q3224&amp;AS[[#This Row],[Large Provider Entity Code]]&amp;"; "&amp;R3224&amp;AS[[#This Row],[Age Band Code]]&amp;"; "&amp;S3224&amp;AS[[#This Row],[Sex Code]]</f>
        <v xml:space="preserve">Insurer Code ; Reporting Year ; Insurance Category Code ; Large Provider Entity Code ; Age Band Code ; Sex Code </v>
      </c>
      <c r="N3224" s="297" t="s">
        <v>197</v>
      </c>
      <c r="O3224" s="297" t="s">
        <v>198</v>
      </c>
      <c r="P3224" s="297" t="s">
        <v>199</v>
      </c>
      <c r="Q3224" s="297" t="s">
        <v>200</v>
      </c>
      <c r="R3224" s="297" t="s">
        <v>213</v>
      </c>
      <c r="S3224" s="297" t="s">
        <v>214</v>
      </c>
    </row>
    <row r="3225" spans="1:19" x14ac:dyDescent="0.4">
      <c r="A3225" s="291"/>
      <c r="B3225" s="292"/>
      <c r="C3225" s="312"/>
      <c r="D3225" s="292"/>
      <c r="E3225" s="489"/>
      <c r="F3225" s="489"/>
      <c r="G3225" s="490"/>
      <c r="H3225" s="520"/>
      <c r="I3225" s="523"/>
      <c r="J3225" s="521"/>
      <c r="K3225" s="522"/>
      <c r="M3225" s="301" t="str">
        <f>N3225&amp;AS[[#This Row],[Insurer Code]]&amp;"; "&amp;O3225&amp;AS[[#This Row],[Reporting Year]]&amp;"; "&amp;P3225&amp;AS[[#This Row],[Insurance Category Code]]&amp;"; "&amp;Q3225&amp;AS[[#This Row],[Large Provider Entity Code]]&amp;"; "&amp;R3225&amp;AS[[#This Row],[Age Band Code]]&amp;"; "&amp;S3225&amp;AS[[#This Row],[Sex Code]]</f>
        <v xml:space="preserve">Insurer Code ; Reporting Year ; Insurance Category Code ; Large Provider Entity Code ; Age Band Code ; Sex Code </v>
      </c>
      <c r="N3225" s="297" t="s">
        <v>197</v>
      </c>
      <c r="O3225" s="297" t="s">
        <v>198</v>
      </c>
      <c r="P3225" s="297" t="s">
        <v>199</v>
      </c>
      <c r="Q3225" s="297" t="s">
        <v>200</v>
      </c>
      <c r="R3225" s="297" t="s">
        <v>213</v>
      </c>
      <c r="S3225" s="297" t="s">
        <v>214</v>
      </c>
    </row>
    <row r="3226" spans="1:19" x14ac:dyDescent="0.4">
      <c r="A3226" s="291"/>
      <c r="B3226" s="292"/>
      <c r="C3226" s="312"/>
      <c r="D3226" s="292"/>
      <c r="E3226" s="489"/>
      <c r="F3226" s="489"/>
      <c r="G3226" s="490"/>
      <c r="H3226" s="520"/>
      <c r="I3226" s="523"/>
      <c r="J3226" s="521"/>
      <c r="K3226" s="522"/>
      <c r="M3226" s="301" t="str">
        <f>N3226&amp;AS[[#This Row],[Insurer Code]]&amp;"; "&amp;O3226&amp;AS[[#This Row],[Reporting Year]]&amp;"; "&amp;P3226&amp;AS[[#This Row],[Insurance Category Code]]&amp;"; "&amp;Q3226&amp;AS[[#This Row],[Large Provider Entity Code]]&amp;"; "&amp;R3226&amp;AS[[#This Row],[Age Band Code]]&amp;"; "&amp;S3226&amp;AS[[#This Row],[Sex Code]]</f>
        <v xml:space="preserve">Insurer Code ; Reporting Year ; Insurance Category Code ; Large Provider Entity Code ; Age Band Code ; Sex Code </v>
      </c>
      <c r="N3226" s="297" t="s">
        <v>197</v>
      </c>
      <c r="O3226" s="297" t="s">
        <v>198</v>
      </c>
      <c r="P3226" s="297" t="s">
        <v>199</v>
      </c>
      <c r="Q3226" s="297" t="s">
        <v>200</v>
      </c>
      <c r="R3226" s="297" t="s">
        <v>213</v>
      </c>
      <c r="S3226" s="297" t="s">
        <v>214</v>
      </c>
    </row>
    <row r="3227" spans="1:19" x14ac:dyDescent="0.4">
      <c r="A3227" s="291"/>
      <c r="B3227" s="292"/>
      <c r="C3227" s="312"/>
      <c r="D3227" s="292"/>
      <c r="E3227" s="489"/>
      <c r="F3227" s="489"/>
      <c r="G3227" s="490"/>
      <c r="H3227" s="520"/>
      <c r="I3227" s="523"/>
      <c r="J3227" s="521"/>
      <c r="K3227" s="522"/>
      <c r="M3227" s="301" t="str">
        <f>N3227&amp;AS[[#This Row],[Insurer Code]]&amp;"; "&amp;O3227&amp;AS[[#This Row],[Reporting Year]]&amp;"; "&amp;P3227&amp;AS[[#This Row],[Insurance Category Code]]&amp;"; "&amp;Q3227&amp;AS[[#This Row],[Large Provider Entity Code]]&amp;"; "&amp;R3227&amp;AS[[#This Row],[Age Band Code]]&amp;"; "&amp;S3227&amp;AS[[#This Row],[Sex Code]]</f>
        <v xml:space="preserve">Insurer Code ; Reporting Year ; Insurance Category Code ; Large Provider Entity Code ; Age Band Code ; Sex Code </v>
      </c>
      <c r="N3227" s="297" t="s">
        <v>197</v>
      </c>
      <c r="O3227" s="297" t="s">
        <v>198</v>
      </c>
      <c r="P3227" s="297" t="s">
        <v>199</v>
      </c>
      <c r="Q3227" s="297" t="s">
        <v>200</v>
      </c>
      <c r="R3227" s="297" t="s">
        <v>213</v>
      </c>
      <c r="S3227" s="297" t="s">
        <v>214</v>
      </c>
    </row>
    <row r="3228" spans="1:19" x14ac:dyDescent="0.4">
      <c r="A3228" s="291"/>
      <c r="B3228" s="292"/>
      <c r="C3228" s="312"/>
      <c r="D3228" s="292"/>
      <c r="E3228" s="489"/>
      <c r="F3228" s="489"/>
      <c r="G3228" s="490"/>
      <c r="H3228" s="520"/>
      <c r="I3228" s="523"/>
      <c r="J3228" s="521"/>
      <c r="K3228" s="522"/>
      <c r="M3228" s="301" t="str">
        <f>N3228&amp;AS[[#This Row],[Insurer Code]]&amp;"; "&amp;O3228&amp;AS[[#This Row],[Reporting Year]]&amp;"; "&amp;P3228&amp;AS[[#This Row],[Insurance Category Code]]&amp;"; "&amp;Q3228&amp;AS[[#This Row],[Large Provider Entity Code]]&amp;"; "&amp;R3228&amp;AS[[#This Row],[Age Band Code]]&amp;"; "&amp;S3228&amp;AS[[#This Row],[Sex Code]]</f>
        <v xml:space="preserve">Insurer Code ; Reporting Year ; Insurance Category Code ; Large Provider Entity Code ; Age Band Code ; Sex Code </v>
      </c>
      <c r="N3228" s="297" t="s">
        <v>197</v>
      </c>
      <c r="O3228" s="297" t="s">
        <v>198</v>
      </c>
      <c r="P3228" s="297" t="s">
        <v>199</v>
      </c>
      <c r="Q3228" s="297" t="s">
        <v>200</v>
      </c>
      <c r="R3228" s="297" t="s">
        <v>213</v>
      </c>
      <c r="S3228" s="297" t="s">
        <v>214</v>
      </c>
    </row>
    <row r="3229" spans="1:19" x14ac:dyDescent="0.4">
      <c r="A3229" s="291"/>
      <c r="B3229" s="292"/>
      <c r="C3229" s="312"/>
      <c r="D3229" s="292"/>
      <c r="E3229" s="489"/>
      <c r="F3229" s="489"/>
      <c r="G3229" s="490"/>
      <c r="H3229" s="520"/>
      <c r="I3229" s="523"/>
      <c r="J3229" s="521"/>
      <c r="K3229" s="522"/>
      <c r="M3229" s="301" t="str">
        <f>N3229&amp;AS[[#This Row],[Insurer Code]]&amp;"; "&amp;O3229&amp;AS[[#This Row],[Reporting Year]]&amp;"; "&amp;P3229&amp;AS[[#This Row],[Insurance Category Code]]&amp;"; "&amp;Q3229&amp;AS[[#This Row],[Large Provider Entity Code]]&amp;"; "&amp;R3229&amp;AS[[#This Row],[Age Band Code]]&amp;"; "&amp;S3229&amp;AS[[#This Row],[Sex Code]]</f>
        <v xml:space="preserve">Insurer Code ; Reporting Year ; Insurance Category Code ; Large Provider Entity Code ; Age Band Code ; Sex Code </v>
      </c>
      <c r="N3229" s="297" t="s">
        <v>197</v>
      </c>
      <c r="O3229" s="297" t="s">
        <v>198</v>
      </c>
      <c r="P3229" s="297" t="s">
        <v>199</v>
      </c>
      <c r="Q3229" s="297" t="s">
        <v>200</v>
      </c>
      <c r="R3229" s="297" t="s">
        <v>213</v>
      </c>
      <c r="S3229" s="297" t="s">
        <v>214</v>
      </c>
    </row>
    <row r="3230" spans="1:19" x14ac:dyDescent="0.4">
      <c r="A3230" s="291"/>
      <c r="B3230" s="292"/>
      <c r="C3230" s="312"/>
      <c r="D3230" s="292"/>
      <c r="E3230" s="489"/>
      <c r="F3230" s="489"/>
      <c r="G3230" s="490"/>
      <c r="H3230" s="520"/>
      <c r="I3230" s="523"/>
      <c r="J3230" s="521"/>
      <c r="K3230" s="522"/>
      <c r="M3230" s="301" t="str">
        <f>N3230&amp;AS[[#This Row],[Insurer Code]]&amp;"; "&amp;O3230&amp;AS[[#This Row],[Reporting Year]]&amp;"; "&amp;P3230&amp;AS[[#This Row],[Insurance Category Code]]&amp;"; "&amp;Q3230&amp;AS[[#This Row],[Large Provider Entity Code]]&amp;"; "&amp;R3230&amp;AS[[#This Row],[Age Band Code]]&amp;"; "&amp;S3230&amp;AS[[#This Row],[Sex Code]]</f>
        <v xml:space="preserve">Insurer Code ; Reporting Year ; Insurance Category Code ; Large Provider Entity Code ; Age Band Code ; Sex Code </v>
      </c>
      <c r="N3230" s="297" t="s">
        <v>197</v>
      </c>
      <c r="O3230" s="297" t="s">
        <v>198</v>
      </c>
      <c r="P3230" s="297" t="s">
        <v>199</v>
      </c>
      <c r="Q3230" s="297" t="s">
        <v>200</v>
      </c>
      <c r="R3230" s="297" t="s">
        <v>213</v>
      </c>
      <c r="S3230" s="297" t="s">
        <v>214</v>
      </c>
    </row>
    <row r="3231" spans="1:19" x14ac:dyDescent="0.4">
      <c r="A3231" s="291"/>
      <c r="B3231" s="292"/>
      <c r="C3231" s="312"/>
      <c r="D3231" s="292"/>
      <c r="E3231" s="489"/>
      <c r="F3231" s="489"/>
      <c r="G3231" s="490"/>
      <c r="H3231" s="520"/>
      <c r="I3231" s="523"/>
      <c r="J3231" s="521"/>
      <c r="K3231" s="522"/>
      <c r="M3231" s="301" t="str">
        <f>N3231&amp;AS[[#This Row],[Insurer Code]]&amp;"; "&amp;O3231&amp;AS[[#This Row],[Reporting Year]]&amp;"; "&amp;P3231&amp;AS[[#This Row],[Insurance Category Code]]&amp;"; "&amp;Q3231&amp;AS[[#This Row],[Large Provider Entity Code]]&amp;"; "&amp;R3231&amp;AS[[#This Row],[Age Band Code]]&amp;"; "&amp;S3231&amp;AS[[#This Row],[Sex Code]]</f>
        <v xml:space="preserve">Insurer Code ; Reporting Year ; Insurance Category Code ; Large Provider Entity Code ; Age Band Code ; Sex Code </v>
      </c>
      <c r="N3231" s="297" t="s">
        <v>197</v>
      </c>
      <c r="O3231" s="297" t="s">
        <v>198</v>
      </c>
      <c r="P3231" s="297" t="s">
        <v>199</v>
      </c>
      <c r="Q3231" s="297" t="s">
        <v>200</v>
      </c>
      <c r="R3231" s="297" t="s">
        <v>213</v>
      </c>
      <c r="S3231" s="297" t="s">
        <v>214</v>
      </c>
    </row>
    <row r="3232" spans="1:19" x14ac:dyDescent="0.4">
      <c r="A3232" s="291"/>
      <c r="B3232" s="292"/>
      <c r="C3232" s="312"/>
      <c r="D3232" s="292"/>
      <c r="E3232" s="489"/>
      <c r="F3232" s="489"/>
      <c r="G3232" s="490"/>
      <c r="H3232" s="520"/>
      <c r="I3232" s="523"/>
      <c r="J3232" s="521"/>
      <c r="K3232" s="522"/>
      <c r="M3232" s="301" t="str">
        <f>N3232&amp;AS[[#This Row],[Insurer Code]]&amp;"; "&amp;O3232&amp;AS[[#This Row],[Reporting Year]]&amp;"; "&amp;P3232&amp;AS[[#This Row],[Insurance Category Code]]&amp;"; "&amp;Q3232&amp;AS[[#This Row],[Large Provider Entity Code]]&amp;"; "&amp;R3232&amp;AS[[#This Row],[Age Band Code]]&amp;"; "&amp;S3232&amp;AS[[#This Row],[Sex Code]]</f>
        <v xml:space="preserve">Insurer Code ; Reporting Year ; Insurance Category Code ; Large Provider Entity Code ; Age Band Code ; Sex Code </v>
      </c>
      <c r="N3232" s="297" t="s">
        <v>197</v>
      </c>
      <c r="O3232" s="297" t="s">
        <v>198</v>
      </c>
      <c r="P3232" s="297" t="s">
        <v>199</v>
      </c>
      <c r="Q3232" s="297" t="s">
        <v>200</v>
      </c>
      <c r="R3232" s="297" t="s">
        <v>213</v>
      </c>
      <c r="S3232" s="297" t="s">
        <v>214</v>
      </c>
    </row>
    <row r="3233" spans="1:19" x14ac:dyDescent="0.4">
      <c r="A3233" s="291"/>
      <c r="B3233" s="292"/>
      <c r="C3233" s="312"/>
      <c r="D3233" s="292"/>
      <c r="E3233" s="489"/>
      <c r="F3233" s="489"/>
      <c r="G3233" s="490"/>
      <c r="H3233" s="520"/>
      <c r="I3233" s="523"/>
      <c r="J3233" s="521"/>
      <c r="K3233" s="522"/>
      <c r="M3233" s="301" t="str">
        <f>N3233&amp;AS[[#This Row],[Insurer Code]]&amp;"; "&amp;O3233&amp;AS[[#This Row],[Reporting Year]]&amp;"; "&amp;P3233&amp;AS[[#This Row],[Insurance Category Code]]&amp;"; "&amp;Q3233&amp;AS[[#This Row],[Large Provider Entity Code]]&amp;"; "&amp;R3233&amp;AS[[#This Row],[Age Band Code]]&amp;"; "&amp;S3233&amp;AS[[#This Row],[Sex Code]]</f>
        <v xml:space="preserve">Insurer Code ; Reporting Year ; Insurance Category Code ; Large Provider Entity Code ; Age Band Code ; Sex Code </v>
      </c>
      <c r="N3233" s="297" t="s">
        <v>197</v>
      </c>
      <c r="O3233" s="297" t="s">
        <v>198</v>
      </c>
      <c r="P3233" s="297" t="s">
        <v>199</v>
      </c>
      <c r="Q3233" s="297" t="s">
        <v>200</v>
      </c>
      <c r="R3233" s="297" t="s">
        <v>213</v>
      </c>
      <c r="S3233" s="297" t="s">
        <v>214</v>
      </c>
    </row>
    <row r="3234" spans="1:19" x14ac:dyDescent="0.4">
      <c r="A3234" s="291"/>
      <c r="B3234" s="292"/>
      <c r="C3234" s="312"/>
      <c r="D3234" s="292"/>
      <c r="E3234" s="489"/>
      <c r="F3234" s="489"/>
      <c r="G3234" s="490"/>
      <c r="H3234" s="520"/>
      <c r="I3234" s="523"/>
      <c r="J3234" s="521"/>
      <c r="K3234" s="522"/>
      <c r="M3234" s="301" t="str">
        <f>N3234&amp;AS[[#This Row],[Insurer Code]]&amp;"; "&amp;O3234&amp;AS[[#This Row],[Reporting Year]]&amp;"; "&amp;P3234&amp;AS[[#This Row],[Insurance Category Code]]&amp;"; "&amp;Q3234&amp;AS[[#This Row],[Large Provider Entity Code]]&amp;"; "&amp;R3234&amp;AS[[#This Row],[Age Band Code]]&amp;"; "&amp;S3234&amp;AS[[#This Row],[Sex Code]]</f>
        <v xml:space="preserve">Insurer Code ; Reporting Year ; Insurance Category Code ; Large Provider Entity Code ; Age Band Code ; Sex Code </v>
      </c>
      <c r="N3234" s="297" t="s">
        <v>197</v>
      </c>
      <c r="O3234" s="297" t="s">
        <v>198</v>
      </c>
      <c r="P3234" s="297" t="s">
        <v>199</v>
      </c>
      <c r="Q3234" s="297" t="s">
        <v>200</v>
      </c>
      <c r="R3234" s="297" t="s">
        <v>213</v>
      </c>
      <c r="S3234" s="297" t="s">
        <v>214</v>
      </c>
    </row>
    <row r="3235" spans="1:19" x14ac:dyDescent="0.4">
      <c r="A3235" s="291"/>
      <c r="B3235" s="292"/>
      <c r="C3235" s="312"/>
      <c r="D3235" s="292"/>
      <c r="E3235" s="489"/>
      <c r="F3235" s="489"/>
      <c r="G3235" s="490"/>
      <c r="H3235" s="520"/>
      <c r="I3235" s="523"/>
      <c r="J3235" s="521"/>
      <c r="K3235" s="522"/>
      <c r="M3235" s="301" t="str">
        <f>N3235&amp;AS[[#This Row],[Insurer Code]]&amp;"; "&amp;O3235&amp;AS[[#This Row],[Reporting Year]]&amp;"; "&amp;P3235&amp;AS[[#This Row],[Insurance Category Code]]&amp;"; "&amp;Q3235&amp;AS[[#This Row],[Large Provider Entity Code]]&amp;"; "&amp;R3235&amp;AS[[#This Row],[Age Band Code]]&amp;"; "&amp;S3235&amp;AS[[#This Row],[Sex Code]]</f>
        <v xml:space="preserve">Insurer Code ; Reporting Year ; Insurance Category Code ; Large Provider Entity Code ; Age Band Code ; Sex Code </v>
      </c>
      <c r="N3235" s="297" t="s">
        <v>197</v>
      </c>
      <c r="O3235" s="297" t="s">
        <v>198</v>
      </c>
      <c r="P3235" s="297" t="s">
        <v>199</v>
      </c>
      <c r="Q3235" s="297" t="s">
        <v>200</v>
      </c>
      <c r="R3235" s="297" t="s">
        <v>213</v>
      </c>
      <c r="S3235" s="297" t="s">
        <v>214</v>
      </c>
    </row>
    <row r="3236" spans="1:19" x14ac:dyDescent="0.4">
      <c r="A3236" s="291"/>
      <c r="B3236" s="292"/>
      <c r="C3236" s="312"/>
      <c r="D3236" s="292"/>
      <c r="E3236" s="489"/>
      <c r="F3236" s="489"/>
      <c r="G3236" s="490"/>
      <c r="H3236" s="520"/>
      <c r="I3236" s="523"/>
      <c r="J3236" s="521"/>
      <c r="K3236" s="522"/>
      <c r="M3236" s="301" t="str">
        <f>N3236&amp;AS[[#This Row],[Insurer Code]]&amp;"; "&amp;O3236&amp;AS[[#This Row],[Reporting Year]]&amp;"; "&amp;P3236&amp;AS[[#This Row],[Insurance Category Code]]&amp;"; "&amp;Q3236&amp;AS[[#This Row],[Large Provider Entity Code]]&amp;"; "&amp;R3236&amp;AS[[#This Row],[Age Band Code]]&amp;"; "&amp;S3236&amp;AS[[#This Row],[Sex Code]]</f>
        <v xml:space="preserve">Insurer Code ; Reporting Year ; Insurance Category Code ; Large Provider Entity Code ; Age Band Code ; Sex Code </v>
      </c>
      <c r="N3236" s="297" t="s">
        <v>197</v>
      </c>
      <c r="O3236" s="297" t="s">
        <v>198</v>
      </c>
      <c r="P3236" s="297" t="s">
        <v>199</v>
      </c>
      <c r="Q3236" s="297" t="s">
        <v>200</v>
      </c>
      <c r="R3236" s="297" t="s">
        <v>213</v>
      </c>
      <c r="S3236" s="297" t="s">
        <v>214</v>
      </c>
    </row>
    <row r="3237" spans="1:19" x14ac:dyDescent="0.4">
      <c r="A3237" s="291"/>
      <c r="B3237" s="292"/>
      <c r="C3237" s="312"/>
      <c r="D3237" s="292"/>
      <c r="E3237" s="489"/>
      <c r="F3237" s="489"/>
      <c r="G3237" s="490"/>
      <c r="H3237" s="520"/>
      <c r="I3237" s="523"/>
      <c r="J3237" s="521"/>
      <c r="K3237" s="522"/>
      <c r="M3237" s="301" t="str">
        <f>N3237&amp;AS[[#This Row],[Insurer Code]]&amp;"; "&amp;O3237&amp;AS[[#This Row],[Reporting Year]]&amp;"; "&amp;P3237&amp;AS[[#This Row],[Insurance Category Code]]&amp;"; "&amp;Q3237&amp;AS[[#This Row],[Large Provider Entity Code]]&amp;"; "&amp;R3237&amp;AS[[#This Row],[Age Band Code]]&amp;"; "&amp;S3237&amp;AS[[#This Row],[Sex Code]]</f>
        <v xml:space="preserve">Insurer Code ; Reporting Year ; Insurance Category Code ; Large Provider Entity Code ; Age Band Code ; Sex Code </v>
      </c>
      <c r="N3237" s="297" t="s">
        <v>197</v>
      </c>
      <c r="O3237" s="297" t="s">
        <v>198</v>
      </c>
      <c r="P3237" s="297" t="s">
        <v>199</v>
      </c>
      <c r="Q3237" s="297" t="s">
        <v>200</v>
      </c>
      <c r="R3237" s="297" t="s">
        <v>213</v>
      </c>
      <c r="S3237" s="297" t="s">
        <v>214</v>
      </c>
    </row>
    <row r="3238" spans="1:19" x14ac:dyDescent="0.4">
      <c r="A3238" s="291"/>
      <c r="B3238" s="292"/>
      <c r="C3238" s="312"/>
      <c r="D3238" s="292"/>
      <c r="E3238" s="489"/>
      <c r="F3238" s="489"/>
      <c r="G3238" s="490"/>
      <c r="H3238" s="520"/>
      <c r="I3238" s="523"/>
      <c r="J3238" s="521"/>
      <c r="K3238" s="522"/>
      <c r="M3238" s="301" t="str">
        <f>N3238&amp;AS[[#This Row],[Insurer Code]]&amp;"; "&amp;O3238&amp;AS[[#This Row],[Reporting Year]]&amp;"; "&amp;P3238&amp;AS[[#This Row],[Insurance Category Code]]&amp;"; "&amp;Q3238&amp;AS[[#This Row],[Large Provider Entity Code]]&amp;"; "&amp;R3238&amp;AS[[#This Row],[Age Band Code]]&amp;"; "&amp;S3238&amp;AS[[#This Row],[Sex Code]]</f>
        <v xml:space="preserve">Insurer Code ; Reporting Year ; Insurance Category Code ; Large Provider Entity Code ; Age Band Code ; Sex Code </v>
      </c>
      <c r="N3238" s="297" t="s">
        <v>197</v>
      </c>
      <c r="O3238" s="297" t="s">
        <v>198</v>
      </c>
      <c r="P3238" s="297" t="s">
        <v>199</v>
      </c>
      <c r="Q3238" s="297" t="s">
        <v>200</v>
      </c>
      <c r="R3238" s="297" t="s">
        <v>213</v>
      </c>
      <c r="S3238" s="297" t="s">
        <v>214</v>
      </c>
    </row>
    <row r="3239" spans="1:19" x14ac:dyDescent="0.4">
      <c r="A3239" s="291"/>
      <c r="B3239" s="292"/>
      <c r="C3239" s="312"/>
      <c r="D3239" s="292"/>
      <c r="E3239" s="489"/>
      <c r="F3239" s="489"/>
      <c r="G3239" s="490"/>
      <c r="H3239" s="520"/>
      <c r="I3239" s="523"/>
      <c r="J3239" s="521"/>
      <c r="K3239" s="522"/>
      <c r="M3239" s="301" t="str">
        <f>N3239&amp;AS[[#This Row],[Insurer Code]]&amp;"; "&amp;O3239&amp;AS[[#This Row],[Reporting Year]]&amp;"; "&amp;P3239&amp;AS[[#This Row],[Insurance Category Code]]&amp;"; "&amp;Q3239&amp;AS[[#This Row],[Large Provider Entity Code]]&amp;"; "&amp;R3239&amp;AS[[#This Row],[Age Band Code]]&amp;"; "&amp;S3239&amp;AS[[#This Row],[Sex Code]]</f>
        <v xml:space="preserve">Insurer Code ; Reporting Year ; Insurance Category Code ; Large Provider Entity Code ; Age Band Code ; Sex Code </v>
      </c>
      <c r="N3239" s="297" t="s">
        <v>197</v>
      </c>
      <c r="O3239" s="297" t="s">
        <v>198</v>
      </c>
      <c r="P3239" s="297" t="s">
        <v>199</v>
      </c>
      <c r="Q3239" s="297" t="s">
        <v>200</v>
      </c>
      <c r="R3239" s="297" t="s">
        <v>213</v>
      </c>
      <c r="S3239" s="297" t="s">
        <v>214</v>
      </c>
    </row>
    <row r="3240" spans="1:19" x14ac:dyDescent="0.4">
      <c r="A3240" s="291"/>
      <c r="B3240" s="292"/>
      <c r="C3240" s="312"/>
      <c r="D3240" s="292"/>
      <c r="E3240" s="489"/>
      <c r="F3240" s="489"/>
      <c r="G3240" s="490"/>
      <c r="H3240" s="520"/>
      <c r="I3240" s="523"/>
      <c r="J3240" s="521"/>
      <c r="K3240" s="522"/>
      <c r="M3240" s="301" t="str">
        <f>N3240&amp;AS[[#This Row],[Insurer Code]]&amp;"; "&amp;O3240&amp;AS[[#This Row],[Reporting Year]]&amp;"; "&amp;P3240&amp;AS[[#This Row],[Insurance Category Code]]&amp;"; "&amp;Q3240&amp;AS[[#This Row],[Large Provider Entity Code]]&amp;"; "&amp;R3240&amp;AS[[#This Row],[Age Band Code]]&amp;"; "&amp;S3240&amp;AS[[#This Row],[Sex Code]]</f>
        <v xml:space="preserve">Insurer Code ; Reporting Year ; Insurance Category Code ; Large Provider Entity Code ; Age Band Code ; Sex Code </v>
      </c>
      <c r="N3240" s="297" t="s">
        <v>197</v>
      </c>
      <c r="O3240" s="297" t="s">
        <v>198</v>
      </c>
      <c r="P3240" s="297" t="s">
        <v>199</v>
      </c>
      <c r="Q3240" s="297" t="s">
        <v>200</v>
      </c>
      <c r="R3240" s="297" t="s">
        <v>213</v>
      </c>
      <c r="S3240" s="297" t="s">
        <v>214</v>
      </c>
    </row>
    <row r="3241" spans="1:19" x14ac:dyDescent="0.4">
      <c r="A3241" s="291"/>
      <c r="B3241" s="292"/>
      <c r="C3241" s="312"/>
      <c r="D3241" s="292"/>
      <c r="E3241" s="489"/>
      <c r="F3241" s="489"/>
      <c r="G3241" s="490"/>
      <c r="H3241" s="520"/>
      <c r="I3241" s="523"/>
      <c r="J3241" s="521"/>
      <c r="K3241" s="522"/>
      <c r="M3241" s="301" t="str">
        <f>N3241&amp;AS[[#This Row],[Insurer Code]]&amp;"; "&amp;O3241&amp;AS[[#This Row],[Reporting Year]]&amp;"; "&amp;P3241&amp;AS[[#This Row],[Insurance Category Code]]&amp;"; "&amp;Q3241&amp;AS[[#This Row],[Large Provider Entity Code]]&amp;"; "&amp;R3241&amp;AS[[#This Row],[Age Band Code]]&amp;"; "&amp;S3241&amp;AS[[#This Row],[Sex Code]]</f>
        <v xml:space="preserve">Insurer Code ; Reporting Year ; Insurance Category Code ; Large Provider Entity Code ; Age Band Code ; Sex Code </v>
      </c>
      <c r="N3241" s="297" t="s">
        <v>197</v>
      </c>
      <c r="O3241" s="297" t="s">
        <v>198</v>
      </c>
      <c r="P3241" s="297" t="s">
        <v>199</v>
      </c>
      <c r="Q3241" s="297" t="s">
        <v>200</v>
      </c>
      <c r="R3241" s="297" t="s">
        <v>213</v>
      </c>
      <c r="S3241" s="297" t="s">
        <v>214</v>
      </c>
    </row>
    <row r="3242" spans="1:19" x14ac:dyDescent="0.4">
      <c r="A3242" s="291"/>
      <c r="B3242" s="292"/>
      <c r="C3242" s="312"/>
      <c r="D3242" s="292"/>
      <c r="E3242" s="489"/>
      <c r="F3242" s="489"/>
      <c r="G3242" s="490"/>
      <c r="H3242" s="520"/>
      <c r="I3242" s="523"/>
      <c r="J3242" s="521"/>
      <c r="K3242" s="522"/>
      <c r="M3242" s="301" t="str">
        <f>N3242&amp;AS[[#This Row],[Insurer Code]]&amp;"; "&amp;O3242&amp;AS[[#This Row],[Reporting Year]]&amp;"; "&amp;P3242&amp;AS[[#This Row],[Insurance Category Code]]&amp;"; "&amp;Q3242&amp;AS[[#This Row],[Large Provider Entity Code]]&amp;"; "&amp;R3242&amp;AS[[#This Row],[Age Band Code]]&amp;"; "&amp;S3242&amp;AS[[#This Row],[Sex Code]]</f>
        <v xml:space="preserve">Insurer Code ; Reporting Year ; Insurance Category Code ; Large Provider Entity Code ; Age Band Code ; Sex Code </v>
      </c>
      <c r="N3242" s="297" t="s">
        <v>197</v>
      </c>
      <c r="O3242" s="297" t="s">
        <v>198</v>
      </c>
      <c r="P3242" s="297" t="s">
        <v>199</v>
      </c>
      <c r="Q3242" s="297" t="s">
        <v>200</v>
      </c>
      <c r="R3242" s="297" t="s">
        <v>213</v>
      </c>
      <c r="S3242" s="297" t="s">
        <v>214</v>
      </c>
    </row>
    <row r="3243" spans="1:19" x14ac:dyDescent="0.4">
      <c r="A3243" s="291"/>
      <c r="B3243" s="292"/>
      <c r="C3243" s="312"/>
      <c r="D3243" s="292"/>
      <c r="E3243" s="489"/>
      <c r="F3243" s="489"/>
      <c r="G3243" s="490"/>
      <c r="H3243" s="520"/>
      <c r="I3243" s="523"/>
      <c r="J3243" s="521"/>
      <c r="K3243" s="522"/>
      <c r="M3243" s="301" t="str">
        <f>N3243&amp;AS[[#This Row],[Insurer Code]]&amp;"; "&amp;O3243&amp;AS[[#This Row],[Reporting Year]]&amp;"; "&amp;P3243&amp;AS[[#This Row],[Insurance Category Code]]&amp;"; "&amp;Q3243&amp;AS[[#This Row],[Large Provider Entity Code]]&amp;"; "&amp;R3243&amp;AS[[#This Row],[Age Band Code]]&amp;"; "&amp;S3243&amp;AS[[#This Row],[Sex Code]]</f>
        <v xml:space="preserve">Insurer Code ; Reporting Year ; Insurance Category Code ; Large Provider Entity Code ; Age Band Code ; Sex Code </v>
      </c>
      <c r="N3243" s="297" t="s">
        <v>197</v>
      </c>
      <c r="O3243" s="297" t="s">
        <v>198</v>
      </c>
      <c r="P3243" s="297" t="s">
        <v>199</v>
      </c>
      <c r="Q3243" s="297" t="s">
        <v>200</v>
      </c>
      <c r="R3243" s="297" t="s">
        <v>213</v>
      </c>
      <c r="S3243" s="297" t="s">
        <v>214</v>
      </c>
    </row>
    <row r="3244" spans="1:19" x14ac:dyDescent="0.4">
      <c r="A3244" s="291"/>
      <c r="B3244" s="292"/>
      <c r="C3244" s="312"/>
      <c r="D3244" s="292"/>
      <c r="E3244" s="489"/>
      <c r="F3244" s="489"/>
      <c r="G3244" s="490"/>
      <c r="H3244" s="520"/>
      <c r="I3244" s="523"/>
      <c r="J3244" s="521"/>
      <c r="K3244" s="522"/>
      <c r="M3244" s="301" t="str">
        <f>N3244&amp;AS[[#This Row],[Insurer Code]]&amp;"; "&amp;O3244&amp;AS[[#This Row],[Reporting Year]]&amp;"; "&amp;P3244&amp;AS[[#This Row],[Insurance Category Code]]&amp;"; "&amp;Q3244&amp;AS[[#This Row],[Large Provider Entity Code]]&amp;"; "&amp;R3244&amp;AS[[#This Row],[Age Band Code]]&amp;"; "&amp;S3244&amp;AS[[#This Row],[Sex Code]]</f>
        <v xml:space="preserve">Insurer Code ; Reporting Year ; Insurance Category Code ; Large Provider Entity Code ; Age Band Code ; Sex Code </v>
      </c>
      <c r="N3244" s="297" t="s">
        <v>197</v>
      </c>
      <c r="O3244" s="297" t="s">
        <v>198</v>
      </c>
      <c r="P3244" s="297" t="s">
        <v>199</v>
      </c>
      <c r="Q3244" s="297" t="s">
        <v>200</v>
      </c>
      <c r="R3244" s="297" t="s">
        <v>213</v>
      </c>
      <c r="S3244" s="297" t="s">
        <v>214</v>
      </c>
    </row>
    <row r="3245" spans="1:19" x14ac:dyDescent="0.4">
      <c r="A3245" s="291"/>
      <c r="B3245" s="292"/>
      <c r="C3245" s="312"/>
      <c r="D3245" s="292"/>
      <c r="E3245" s="489"/>
      <c r="F3245" s="489"/>
      <c r="G3245" s="490"/>
      <c r="H3245" s="520"/>
      <c r="I3245" s="523"/>
      <c r="J3245" s="521"/>
      <c r="K3245" s="522"/>
      <c r="M3245" s="301" t="str">
        <f>N3245&amp;AS[[#This Row],[Insurer Code]]&amp;"; "&amp;O3245&amp;AS[[#This Row],[Reporting Year]]&amp;"; "&amp;P3245&amp;AS[[#This Row],[Insurance Category Code]]&amp;"; "&amp;Q3245&amp;AS[[#This Row],[Large Provider Entity Code]]&amp;"; "&amp;R3245&amp;AS[[#This Row],[Age Band Code]]&amp;"; "&amp;S3245&amp;AS[[#This Row],[Sex Code]]</f>
        <v xml:space="preserve">Insurer Code ; Reporting Year ; Insurance Category Code ; Large Provider Entity Code ; Age Band Code ; Sex Code </v>
      </c>
      <c r="N3245" s="297" t="s">
        <v>197</v>
      </c>
      <c r="O3245" s="297" t="s">
        <v>198</v>
      </c>
      <c r="P3245" s="297" t="s">
        <v>199</v>
      </c>
      <c r="Q3245" s="297" t="s">
        <v>200</v>
      </c>
      <c r="R3245" s="297" t="s">
        <v>213</v>
      </c>
      <c r="S3245" s="297" t="s">
        <v>214</v>
      </c>
    </row>
    <row r="3246" spans="1:19" x14ac:dyDescent="0.4">
      <c r="A3246" s="291"/>
      <c r="B3246" s="292"/>
      <c r="C3246" s="312"/>
      <c r="D3246" s="292"/>
      <c r="E3246" s="489"/>
      <c r="F3246" s="489"/>
      <c r="G3246" s="490"/>
      <c r="H3246" s="520"/>
      <c r="I3246" s="523"/>
      <c r="J3246" s="521"/>
      <c r="K3246" s="522"/>
      <c r="M3246" s="301" t="str">
        <f>N3246&amp;AS[[#This Row],[Insurer Code]]&amp;"; "&amp;O3246&amp;AS[[#This Row],[Reporting Year]]&amp;"; "&amp;P3246&amp;AS[[#This Row],[Insurance Category Code]]&amp;"; "&amp;Q3246&amp;AS[[#This Row],[Large Provider Entity Code]]&amp;"; "&amp;R3246&amp;AS[[#This Row],[Age Band Code]]&amp;"; "&amp;S3246&amp;AS[[#This Row],[Sex Code]]</f>
        <v xml:space="preserve">Insurer Code ; Reporting Year ; Insurance Category Code ; Large Provider Entity Code ; Age Band Code ; Sex Code </v>
      </c>
      <c r="N3246" s="297" t="s">
        <v>197</v>
      </c>
      <c r="O3246" s="297" t="s">
        <v>198</v>
      </c>
      <c r="P3246" s="297" t="s">
        <v>199</v>
      </c>
      <c r="Q3246" s="297" t="s">
        <v>200</v>
      </c>
      <c r="R3246" s="297" t="s">
        <v>213</v>
      </c>
      <c r="S3246" s="297" t="s">
        <v>214</v>
      </c>
    </row>
    <row r="3247" spans="1:19" x14ac:dyDescent="0.4">
      <c r="A3247" s="291"/>
      <c r="B3247" s="292"/>
      <c r="C3247" s="312"/>
      <c r="D3247" s="292"/>
      <c r="E3247" s="489"/>
      <c r="F3247" s="489"/>
      <c r="G3247" s="490"/>
      <c r="H3247" s="520"/>
      <c r="I3247" s="523"/>
      <c r="J3247" s="521"/>
      <c r="K3247" s="522"/>
      <c r="M3247" s="301" t="str">
        <f>N3247&amp;AS[[#This Row],[Insurer Code]]&amp;"; "&amp;O3247&amp;AS[[#This Row],[Reporting Year]]&amp;"; "&amp;P3247&amp;AS[[#This Row],[Insurance Category Code]]&amp;"; "&amp;Q3247&amp;AS[[#This Row],[Large Provider Entity Code]]&amp;"; "&amp;R3247&amp;AS[[#This Row],[Age Band Code]]&amp;"; "&amp;S3247&amp;AS[[#This Row],[Sex Code]]</f>
        <v xml:space="preserve">Insurer Code ; Reporting Year ; Insurance Category Code ; Large Provider Entity Code ; Age Band Code ; Sex Code </v>
      </c>
      <c r="N3247" s="297" t="s">
        <v>197</v>
      </c>
      <c r="O3247" s="297" t="s">
        <v>198</v>
      </c>
      <c r="P3247" s="297" t="s">
        <v>199</v>
      </c>
      <c r="Q3247" s="297" t="s">
        <v>200</v>
      </c>
      <c r="R3247" s="297" t="s">
        <v>213</v>
      </c>
      <c r="S3247" s="297" t="s">
        <v>214</v>
      </c>
    </row>
    <row r="3248" spans="1:19" x14ac:dyDescent="0.4">
      <c r="A3248" s="291"/>
      <c r="B3248" s="292"/>
      <c r="C3248" s="312"/>
      <c r="D3248" s="292"/>
      <c r="E3248" s="489"/>
      <c r="F3248" s="489"/>
      <c r="G3248" s="490"/>
      <c r="H3248" s="520"/>
      <c r="I3248" s="523"/>
      <c r="J3248" s="521"/>
      <c r="K3248" s="522"/>
      <c r="M3248" s="301" t="str">
        <f>N3248&amp;AS[[#This Row],[Insurer Code]]&amp;"; "&amp;O3248&amp;AS[[#This Row],[Reporting Year]]&amp;"; "&amp;P3248&amp;AS[[#This Row],[Insurance Category Code]]&amp;"; "&amp;Q3248&amp;AS[[#This Row],[Large Provider Entity Code]]&amp;"; "&amp;R3248&amp;AS[[#This Row],[Age Band Code]]&amp;"; "&amp;S3248&amp;AS[[#This Row],[Sex Code]]</f>
        <v xml:space="preserve">Insurer Code ; Reporting Year ; Insurance Category Code ; Large Provider Entity Code ; Age Band Code ; Sex Code </v>
      </c>
      <c r="N3248" s="297" t="s">
        <v>197</v>
      </c>
      <c r="O3248" s="297" t="s">
        <v>198</v>
      </c>
      <c r="P3248" s="297" t="s">
        <v>199</v>
      </c>
      <c r="Q3248" s="297" t="s">
        <v>200</v>
      </c>
      <c r="R3248" s="297" t="s">
        <v>213</v>
      </c>
      <c r="S3248" s="297" t="s">
        <v>214</v>
      </c>
    </row>
    <row r="3249" spans="1:19" x14ac:dyDescent="0.4">
      <c r="A3249" s="291"/>
      <c r="B3249" s="292"/>
      <c r="C3249" s="312"/>
      <c r="D3249" s="292"/>
      <c r="E3249" s="489"/>
      <c r="F3249" s="489"/>
      <c r="G3249" s="490"/>
      <c r="H3249" s="520"/>
      <c r="I3249" s="523"/>
      <c r="J3249" s="521"/>
      <c r="K3249" s="522"/>
      <c r="M3249" s="301" t="str">
        <f>N3249&amp;AS[[#This Row],[Insurer Code]]&amp;"; "&amp;O3249&amp;AS[[#This Row],[Reporting Year]]&amp;"; "&amp;P3249&amp;AS[[#This Row],[Insurance Category Code]]&amp;"; "&amp;Q3249&amp;AS[[#This Row],[Large Provider Entity Code]]&amp;"; "&amp;R3249&amp;AS[[#This Row],[Age Band Code]]&amp;"; "&amp;S3249&amp;AS[[#This Row],[Sex Code]]</f>
        <v xml:space="preserve">Insurer Code ; Reporting Year ; Insurance Category Code ; Large Provider Entity Code ; Age Band Code ; Sex Code </v>
      </c>
      <c r="N3249" s="297" t="s">
        <v>197</v>
      </c>
      <c r="O3249" s="297" t="s">
        <v>198</v>
      </c>
      <c r="P3249" s="297" t="s">
        <v>199</v>
      </c>
      <c r="Q3249" s="297" t="s">
        <v>200</v>
      </c>
      <c r="R3249" s="297" t="s">
        <v>213</v>
      </c>
      <c r="S3249" s="297" t="s">
        <v>214</v>
      </c>
    </row>
    <row r="3250" spans="1:19" x14ac:dyDescent="0.4">
      <c r="A3250" s="291"/>
      <c r="B3250" s="292"/>
      <c r="C3250" s="312"/>
      <c r="D3250" s="292"/>
      <c r="E3250" s="489"/>
      <c r="F3250" s="489"/>
      <c r="G3250" s="490"/>
      <c r="H3250" s="520"/>
      <c r="I3250" s="523"/>
      <c r="J3250" s="521"/>
      <c r="K3250" s="522"/>
      <c r="M3250" s="301" t="str">
        <f>N3250&amp;AS[[#This Row],[Insurer Code]]&amp;"; "&amp;O3250&amp;AS[[#This Row],[Reporting Year]]&amp;"; "&amp;P3250&amp;AS[[#This Row],[Insurance Category Code]]&amp;"; "&amp;Q3250&amp;AS[[#This Row],[Large Provider Entity Code]]&amp;"; "&amp;R3250&amp;AS[[#This Row],[Age Band Code]]&amp;"; "&amp;S3250&amp;AS[[#This Row],[Sex Code]]</f>
        <v xml:space="preserve">Insurer Code ; Reporting Year ; Insurance Category Code ; Large Provider Entity Code ; Age Band Code ; Sex Code </v>
      </c>
      <c r="N3250" s="297" t="s">
        <v>197</v>
      </c>
      <c r="O3250" s="297" t="s">
        <v>198</v>
      </c>
      <c r="P3250" s="297" t="s">
        <v>199</v>
      </c>
      <c r="Q3250" s="297" t="s">
        <v>200</v>
      </c>
      <c r="R3250" s="297" t="s">
        <v>213</v>
      </c>
      <c r="S3250" s="297" t="s">
        <v>214</v>
      </c>
    </row>
    <row r="3251" spans="1:19" x14ac:dyDescent="0.4">
      <c r="A3251" s="291"/>
      <c r="B3251" s="292"/>
      <c r="C3251" s="312"/>
      <c r="D3251" s="292"/>
      <c r="E3251" s="489"/>
      <c r="F3251" s="489"/>
      <c r="G3251" s="490"/>
      <c r="H3251" s="520"/>
      <c r="I3251" s="523"/>
      <c r="J3251" s="521"/>
      <c r="K3251" s="522"/>
      <c r="M3251" s="301" t="str">
        <f>N3251&amp;AS[[#This Row],[Insurer Code]]&amp;"; "&amp;O3251&amp;AS[[#This Row],[Reporting Year]]&amp;"; "&amp;P3251&amp;AS[[#This Row],[Insurance Category Code]]&amp;"; "&amp;Q3251&amp;AS[[#This Row],[Large Provider Entity Code]]&amp;"; "&amp;R3251&amp;AS[[#This Row],[Age Band Code]]&amp;"; "&amp;S3251&amp;AS[[#This Row],[Sex Code]]</f>
        <v xml:space="preserve">Insurer Code ; Reporting Year ; Insurance Category Code ; Large Provider Entity Code ; Age Band Code ; Sex Code </v>
      </c>
      <c r="N3251" s="297" t="s">
        <v>197</v>
      </c>
      <c r="O3251" s="297" t="s">
        <v>198</v>
      </c>
      <c r="P3251" s="297" t="s">
        <v>199</v>
      </c>
      <c r="Q3251" s="297" t="s">
        <v>200</v>
      </c>
      <c r="R3251" s="297" t="s">
        <v>213</v>
      </c>
      <c r="S3251" s="297" t="s">
        <v>214</v>
      </c>
    </row>
    <row r="3252" spans="1:19" x14ac:dyDescent="0.4">
      <c r="A3252" s="291"/>
      <c r="B3252" s="292"/>
      <c r="C3252" s="312"/>
      <c r="D3252" s="292"/>
      <c r="E3252" s="489"/>
      <c r="F3252" s="489"/>
      <c r="G3252" s="490"/>
      <c r="H3252" s="520"/>
      <c r="I3252" s="523"/>
      <c r="J3252" s="521"/>
      <c r="K3252" s="522"/>
      <c r="M3252" s="301" t="str">
        <f>N3252&amp;AS[[#This Row],[Insurer Code]]&amp;"; "&amp;O3252&amp;AS[[#This Row],[Reporting Year]]&amp;"; "&amp;P3252&amp;AS[[#This Row],[Insurance Category Code]]&amp;"; "&amp;Q3252&amp;AS[[#This Row],[Large Provider Entity Code]]&amp;"; "&amp;R3252&amp;AS[[#This Row],[Age Band Code]]&amp;"; "&amp;S3252&amp;AS[[#This Row],[Sex Code]]</f>
        <v xml:space="preserve">Insurer Code ; Reporting Year ; Insurance Category Code ; Large Provider Entity Code ; Age Band Code ; Sex Code </v>
      </c>
      <c r="N3252" s="297" t="s">
        <v>197</v>
      </c>
      <c r="O3252" s="297" t="s">
        <v>198</v>
      </c>
      <c r="P3252" s="297" t="s">
        <v>199</v>
      </c>
      <c r="Q3252" s="297" t="s">
        <v>200</v>
      </c>
      <c r="R3252" s="297" t="s">
        <v>213</v>
      </c>
      <c r="S3252" s="297" t="s">
        <v>214</v>
      </c>
    </row>
    <row r="3253" spans="1:19" x14ac:dyDescent="0.4">
      <c r="A3253" s="291"/>
      <c r="B3253" s="292"/>
      <c r="C3253" s="312"/>
      <c r="D3253" s="292"/>
      <c r="E3253" s="489"/>
      <c r="F3253" s="489"/>
      <c r="G3253" s="490"/>
      <c r="H3253" s="520"/>
      <c r="I3253" s="523"/>
      <c r="J3253" s="521"/>
      <c r="K3253" s="522"/>
      <c r="M3253" s="301" t="str">
        <f>N3253&amp;AS[[#This Row],[Insurer Code]]&amp;"; "&amp;O3253&amp;AS[[#This Row],[Reporting Year]]&amp;"; "&amp;P3253&amp;AS[[#This Row],[Insurance Category Code]]&amp;"; "&amp;Q3253&amp;AS[[#This Row],[Large Provider Entity Code]]&amp;"; "&amp;R3253&amp;AS[[#This Row],[Age Band Code]]&amp;"; "&amp;S3253&amp;AS[[#This Row],[Sex Code]]</f>
        <v xml:space="preserve">Insurer Code ; Reporting Year ; Insurance Category Code ; Large Provider Entity Code ; Age Band Code ; Sex Code </v>
      </c>
      <c r="N3253" s="297" t="s">
        <v>197</v>
      </c>
      <c r="O3253" s="297" t="s">
        <v>198</v>
      </c>
      <c r="P3253" s="297" t="s">
        <v>199</v>
      </c>
      <c r="Q3253" s="297" t="s">
        <v>200</v>
      </c>
      <c r="R3253" s="297" t="s">
        <v>213</v>
      </c>
      <c r="S3253" s="297" t="s">
        <v>214</v>
      </c>
    </row>
    <row r="3254" spans="1:19" x14ac:dyDescent="0.4">
      <c r="A3254" s="291"/>
      <c r="B3254" s="292"/>
      <c r="C3254" s="312"/>
      <c r="D3254" s="292"/>
      <c r="E3254" s="489"/>
      <c r="F3254" s="489"/>
      <c r="G3254" s="490"/>
      <c r="H3254" s="520"/>
      <c r="I3254" s="523"/>
      <c r="J3254" s="521"/>
      <c r="K3254" s="522"/>
      <c r="M3254" s="301" t="str">
        <f>N3254&amp;AS[[#This Row],[Insurer Code]]&amp;"; "&amp;O3254&amp;AS[[#This Row],[Reporting Year]]&amp;"; "&amp;P3254&amp;AS[[#This Row],[Insurance Category Code]]&amp;"; "&amp;Q3254&amp;AS[[#This Row],[Large Provider Entity Code]]&amp;"; "&amp;R3254&amp;AS[[#This Row],[Age Band Code]]&amp;"; "&amp;S3254&amp;AS[[#This Row],[Sex Code]]</f>
        <v xml:space="preserve">Insurer Code ; Reporting Year ; Insurance Category Code ; Large Provider Entity Code ; Age Band Code ; Sex Code </v>
      </c>
      <c r="N3254" s="297" t="s">
        <v>197</v>
      </c>
      <c r="O3254" s="297" t="s">
        <v>198</v>
      </c>
      <c r="P3254" s="297" t="s">
        <v>199</v>
      </c>
      <c r="Q3254" s="297" t="s">
        <v>200</v>
      </c>
      <c r="R3254" s="297" t="s">
        <v>213</v>
      </c>
      <c r="S3254" s="297" t="s">
        <v>214</v>
      </c>
    </row>
    <row r="3255" spans="1:19" x14ac:dyDescent="0.4">
      <c r="A3255" s="291"/>
      <c r="B3255" s="292"/>
      <c r="C3255" s="312"/>
      <c r="D3255" s="292"/>
      <c r="E3255" s="489"/>
      <c r="F3255" s="489"/>
      <c r="G3255" s="490"/>
      <c r="H3255" s="520"/>
      <c r="I3255" s="523"/>
      <c r="J3255" s="521"/>
      <c r="K3255" s="522"/>
      <c r="M3255" s="301" t="str">
        <f>N3255&amp;AS[[#This Row],[Insurer Code]]&amp;"; "&amp;O3255&amp;AS[[#This Row],[Reporting Year]]&amp;"; "&amp;P3255&amp;AS[[#This Row],[Insurance Category Code]]&amp;"; "&amp;Q3255&amp;AS[[#This Row],[Large Provider Entity Code]]&amp;"; "&amp;R3255&amp;AS[[#This Row],[Age Band Code]]&amp;"; "&amp;S3255&amp;AS[[#This Row],[Sex Code]]</f>
        <v xml:space="preserve">Insurer Code ; Reporting Year ; Insurance Category Code ; Large Provider Entity Code ; Age Band Code ; Sex Code </v>
      </c>
      <c r="N3255" s="297" t="s">
        <v>197</v>
      </c>
      <c r="O3255" s="297" t="s">
        <v>198</v>
      </c>
      <c r="P3255" s="297" t="s">
        <v>199</v>
      </c>
      <c r="Q3255" s="297" t="s">
        <v>200</v>
      </c>
      <c r="R3255" s="297" t="s">
        <v>213</v>
      </c>
      <c r="S3255" s="297" t="s">
        <v>214</v>
      </c>
    </row>
    <row r="3256" spans="1:19" x14ac:dyDescent="0.4">
      <c r="A3256" s="291"/>
      <c r="B3256" s="292"/>
      <c r="C3256" s="312"/>
      <c r="D3256" s="292"/>
      <c r="E3256" s="489"/>
      <c r="F3256" s="489"/>
      <c r="G3256" s="490"/>
      <c r="H3256" s="520"/>
      <c r="I3256" s="523"/>
      <c r="J3256" s="521"/>
      <c r="K3256" s="522"/>
      <c r="M3256" s="301" t="str">
        <f>N3256&amp;AS[[#This Row],[Insurer Code]]&amp;"; "&amp;O3256&amp;AS[[#This Row],[Reporting Year]]&amp;"; "&amp;P3256&amp;AS[[#This Row],[Insurance Category Code]]&amp;"; "&amp;Q3256&amp;AS[[#This Row],[Large Provider Entity Code]]&amp;"; "&amp;R3256&amp;AS[[#This Row],[Age Band Code]]&amp;"; "&amp;S3256&amp;AS[[#This Row],[Sex Code]]</f>
        <v xml:space="preserve">Insurer Code ; Reporting Year ; Insurance Category Code ; Large Provider Entity Code ; Age Band Code ; Sex Code </v>
      </c>
      <c r="N3256" s="297" t="s">
        <v>197</v>
      </c>
      <c r="O3256" s="297" t="s">
        <v>198</v>
      </c>
      <c r="P3256" s="297" t="s">
        <v>199</v>
      </c>
      <c r="Q3256" s="297" t="s">
        <v>200</v>
      </c>
      <c r="R3256" s="297" t="s">
        <v>213</v>
      </c>
      <c r="S3256" s="297" t="s">
        <v>214</v>
      </c>
    </row>
    <row r="3257" spans="1:19" x14ac:dyDescent="0.4">
      <c r="A3257" s="291"/>
      <c r="B3257" s="292"/>
      <c r="C3257" s="312"/>
      <c r="D3257" s="292"/>
      <c r="E3257" s="489"/>
      <c r="F3257" s="489"/>
      <c r="G3257" s="490"/>
      <c r="H3257" s="520"/>
      <c r="I3257" s="523"/>
      <c r="J3257" s="521"/>
      <c r="K3257" s="522"/>
      <c r="M3257" s="301" t="str">
        <f>N3257&amp;AS[[#This Row],[Insurer Code]]&amp;"; "&amp;O3257&amp;AS[[#This Row],[Reporting Year]]&amp;"; "&amp;P3257&amp;AS[[#This Row],[Insurance Category Code]]&amp;"; "&amp;Q3257&amp;AS[[#This Row],[Large Provider Entity Code]]&amp;"; "&amp;R3257&amp;AS[[#This Row],[Age Band Code]]&amp;"; "&amp;S3257&amp;AS[[#This Row],[Sex Code]]</f>
        <v xml:space="preserve">Insurer Code ; Reporting Year ; Insurance Category Code ; Large Provider Entity Code ; Age Band Code ; Sex Code </v>
      </c>
      <c r="N3257" s="297" t="s">
        <v>197</v>
      </c>
      <c r="O3257" s="297" t="s">
        <v>198</v>
      </c>
      <c r="P3257" s="297" t="s">
        <v>199</v>
      </c>
      <c r="Q3257" s="297" t="s">
        <v>200</v>
      </c>
      <c r="R3257" s="297" t="s">
        <v>213</v>
      </c>
      <c r="S3257" s="297" t="s">
        <v>214</v>
      </c>
    </row>
    <row r="3258" spans="1:19" x14ac:dyDescent="0.4">
      <c r="A3258" s="291"/>
      <c r="B3258" s="292"/>
      <c r="C3258" s="312"/>
      <c r="D3258" s="292"/>
      <c r="E3258" s="489"/>
      <c r="F3258" s="489"/>
      <c r="G3258" s="490"/>
      <c r="H3258" s="520"/>
      <c r="I3258" s="523"/>
      <c r="J3258" s="521"/>
      <c r="K3258" s="522"/>
      <c r="M3258" s="301" t="str">
        <f>N3258&amp;AS[[#This Row],[Insurer Code]]&amp;"; "&amp;O3258&amp;AS[[#This Row],[Reporting Year]]&amp;"; "&amp;P3258&amp;AS[[#This Row],[Insurance Category Code]]&amp;"; "&amp;Q3258&amp;AS[[#This Row],[Large Provider Entity Code]]&amp;"; "&amp;R3258&amp;AS[[#This Row],[Age Band Code]]&amp;"; "&amp;S3258&amp;AS[[#This Row],[Sex Code]]</f>
        <v xml:space="preserve">Insurer Code ; Reporting Year ; Insurance Category Code ; Large Provider Entity Code ; Age Band Code ; Sex Code </v>
      </c>
      <c r="N3258" s="297" t="s">
        <v>197</v>
      </c>
      <c r="O3258" s="297" t="s">
        <v>198</v>
      </c>
      <c r="P3258" s="297" t="s">
        <v>199</v>
      </c>
      <c r="Q3258" s="297" t="s">
        <v>200</v>
      </c>
      <c r="R3258" s="297" t="s">
        <v>213</v>
      </c>
      <c r="S3258" s="297" t="s">
        <v>214</v>
      </c>
    </row>
    <row r="3259" spans="1:19" x14ac:dyDescent="0.4">
      <c r="A3259" s="291"/>
      <c r="B3259" s="292"/>
      <c r="C3259" s="312"/>
      <c r="D3259" s="292"/>
      <c r="E3259" s="489"/>
      <c r="F3259" s="489"/>
      <c r="G3259" s="490"/>
      <c r="H3259" s="520"/>
      <c r="I3259" s="523"/>
      <c r="J3259" s="521"/>
      <c r="K3259" s="522"/>
      <c r="M3259" s="301" t="str">
        <f>N3259&amp;AS[[#This Row],[Insurer Code]]&amp;"; "&amp;O3259&amp;AS[[#This Row],[Reporting Year]]&amp;"; "&amp;P3259&amp;AS[[#This Row],[Insurance Category Code]]&amp;"; "&amp;Q3259&amp;AS[[#This Row],[Large Provider Entity Code]]&amp;"; "&amp;R3259&amp;AS[[#This Row],[Age Band Code]]&amp;"; "&amp;S3259&amp;AS[[#This Row],[Sex Code]]</f>
        <v xml:space="preserve">Insurer Code ; Reporting Year ; Insurance Category Code ; Large Provider Entity Code ; Age Band Code ; Sex Code </v>
      </c>
      <c r="N3259" s="297" t="s">
        <v>197</v>
      </c>
      <c r="O3259" s="297" t="s">
        <v>198</v>
      </c>
      <c r="P3259" s="297" t="s">
        <v>199</v>
      </c>
      <c r="Q3259" s="297" t="s">
        <v>200</v>
      </c>
      <c r="R3259" s="297" t="s">
        <v>213</v>
      </c>
      <c r="S3259" s="297" t="s">
        <v>214</v>
      </c>
    </row>
    <row r="3260" spans="1:19" x14ac:dyDescent="0.4">
      <c r="A3260" s="291"/>
      <c r="B3260" s="292"/>
      <c r="C3260" s="312"/>
      <c r="D3260" s="292"/>
      <c r="E3260" s="489"/>
      <c r="F3260" s="489"/>
      <c r="G3260" s="490"/>
      <c r="H3260" s="520"/>
      <c r="I3260" s="523"/>
      <c r="J3260" s="521"/>
      <c r="K3260" s="522"/>
      <c r="M3260" s="301" t="str">
        <f>N3260&amp;AS[[#This Row],[Insurer Code]]&amp;"; "&amp;O3260&amp;AS[[#This Row],[Reporting Year]]&amp;"; "&amp;P3260&amp;AS[[#This Row],[Insurance Category Code]]&amp;"; "&amp;Q3260&amp;AS[[#This Row],[Large Provider Entity Code]]&amp;"; "&amp;R3260&amp;AS[[#This Row],[Age Band Code]]&amp;"; "&amp;S3260&amp;AS[[#This Row],[Sex Code]]</f>
        <v xml:space="preserve">Insurer Code ; Reporting Year ; Insurance Category Code ; Large Provider Entity Code ; Age Band Code ; Sex Code </v>
      </c>
      <c r="N3260" s="297" t="s">
        <v>197</v>
      </c>
      <c r="O3260" s="297" t="s">
        <v>198</v>
      </c>
      <c r="P3260" s="297" t="s">
        <v>199</v>
      </c>
      <c r="Q3260" s="297" t="s">
        <v>200</v>
      </c>
      <c r="R3260" s="297" t="s">
        <v>213</v>
      </c>
      <c r="S3260" s="297" t="s">
        <v>214</v>
      </c>
    </row>
    <row r="3261" spans="1:19" x14ac:dyDescent="0.4">
      <c r="A3261" s="291"/>
      <c r="B3261" s="292"/>
      <c r="C3261" s="312"/>
      <c r="D3261" s="292"/>
      <c r="E3261" s="489"/>
      <c r="F3261" s="489"/>
      <c r="G3261" s="490"/>
      <c r="H3261" s="520"/>
      <c r="I3261" s="523"/>
      <c r="J3261" s="521"/>
      <c r="K3261" s="522"/>
      <c r="M3261" s="301" t="str">
        <f>N3261&amp;AS[[#This Row],[Insurer Code]]&amp;"; "&amp;O3261&amp;AS[[#This Row],[Reporting Year]]&amp;"; "&amp;P3261&amp;AS[[#This Row],[Insurance Category Code]]&amp;"; "&amp;Q3261&amp;AS[[#This Row],[Large Provider Entity Code]]&amp;"; "&amp;R3261&amp;AS[[#This Row],[Age Band Code]]&amp;"; "&amp;S3261&amp;AS[[#This Row],[Sex Code]]</f>
        <v xml:space="preserve">Insurer Code ; Reporting Year ; Insurance Category Code ; Large Provider Entity Code ; Age Band Code ; Sex Code </v>
      </c>
      <c r="N3261" s="297" t="s">
        <v>197</v>
      </c>
      <c r="O3261" s="297" t="s">
        <v>198</v>
      </c>
      <c r="P3261" s="297" t="s">
        <v>199</v>
      </c>
      <c r="Q3261" s="297" t="s">
        <v>200</v>
      </c>
      <c r="R3261" s="297" t="s">
        <v>213</v>
      </c>
      <c r="S3261" s="297" t="s">
        <v>214</v>
      </c>
    </row>
    <row r="3262" spans="1:19" x14ac:dyDescent="0.4">
      <c r="A3262" s="291"/>
      <c r="B3262" s="292"/>
      <c r="C3262" s="312"/>
      <c r="D3262" s="292"/>
      <c r="E3262" s="489"/>
      <c r="F3262" s="489"/>
      <c r="G3262" s="490"/>
      <c r="H3262" s="520"/>
      <c r="I3262" s="523"/>
      <c r="J3262" s="521"/>
      <c r="K3262" s="522"/>
      <c r="M3262" s="301" t="str">
        <f>N3262&amp;AS[[#This Row],[Insurer Code]]&amp;"; "&amp;O3262&amp;AS[[#This Row],[Reporting Year]]&amp;"; "&amp;P3262&amp;AS[[#This Row],[Insurance Category Code]]&amp;"; "&amp;Q3262&amp;AS[[#This Row],[Large Provider Entity Code]]&amp;"; "&amp;R3262&amp;AS[[#This Row],[Age Band Code]]&amp;"; "&amp;S3262&amp;AS[[#This Row],[Sex Code]]</f>
        <v xml:space="preserve">Insurer Code ; Reporting Year ; Insurance Category Code ; Large Provider Entity Code ; Age Band Code ; Sex Code </v>
      </c>
      <c r="N3262" s="297" t="s">
        <v>197</v>
      </c>
      <c r="O3262" s="297" t="s">
        <v>198</v>
      </c>
      <c r="P3262" s="297" t="s">
        <v>199</v>
      </c>
      <c r="Q3262" s="297" t="s">
        <v>200</v>
      </c>
      <c r="R3262" s="297" t="s">
        <v>213</v>
      </c>
      <c r="S3262" s="297" t="s">
        <v>214</v>
      </c>
    </row>
    <row r="3263" spans="1:19" x14ac:dyDescent="0.4">
      <c r="A3263" s="291"/>
      <c r="B3263" s="292"/>
      <c r="C3263" s="312"/>
      <c r="D3263" s="292"/>
      <c r="E3263" s="489"/>
      <c r="F3263" s="489"/>
      <c r="G3263" s="490"/>
      <c r="H3263" s="520"/>
      <c r="I3263" s="523"/>
      <c r="J3263" s="521"/>
      <c r="K3263" s="522"/>
      <c r="M3263" s="301" t="str">
        <f>N3263&amp;AS[[#This Row],[Insurer Code]]&amp;"; "&amp;O3263&amp;AS[[#This Row],[Reporting Year]]&amp;"; "&amp;P3263&amp;AS[[#This Row],[Insurance Category Code]]&amp;"; "&amp;Q3263&amp;AS[[#This Row],[Large Provider Entity Code]]&amp;"; "&amp;R3263&amp;AS[[#This Row],[Age Band Code]]&amp;"; "&amp;S3263&amp;AS[[#This Row],[Sex Code]]</f>
        <v xml:space="preserve">Insurer Code ; Reporting Year ; Insurance Category Code ; Large Provider Entity Code ; Age Band Code ; Sex Code </v>
      </c>
      <c r="N3263" s="297" t="s">
        <v>197</v>
      </c>
      <c r="O3263" s="297" t="s">
        <v>198</v>
      </c>
      <c r="P3263" s="297" t="s">
        <v>199</v>
      </c>
      <c r="Q3263" s="297" t="s">
        <v>200</v>
      </c>
      <c r="R3263" s="297" t="s">
        <v>213</v>
      </c>
      <c r="S3263" s="297" t="s">
        <v>214</v>
      </c>
    </row>
    <row r="3264" spans="1:19" x14ac:dyDescent="0.4">
      <c r="A3264" s="291"/>
      <c r="B3264" s="292"/>
      <c r="C3264" s="312"/>
      <c r="D3264" s="292"/>
      <c r="E3264" s="489"/>
      <c r="F3264" s="489"/>
      <c r="G3264" s="490"/>
      <c r="H3264" s="520"/>
      <c r="I3264" s="523"/>
      <c r="J3264" s="521"/>
      <c r="K3264" s="522"/>
      <c r="M3264" s="301" t="str">
        <f>N3264&amp;AS[[#This Row],[Insurer Code]]&amp;"; "&amp;O3264&amp;AS[[#This Row],[Reporting Year]]&amp;"; "&amp;P3264&amp;AS[[#This Row],[Insurance Category Code]]&amp;"; "&amp;Q3264&amp;AS[[#This Row],[Large Provider Entity Code]]&amp;"; "&amp;R3264&amp;AS[[#This Row],[Age Band Code]]&amp;"; "&amp;S3264&amp;AS[[#This Row],[Sex Code]]</f>
        <v xml:space="preserve">Insurer Code ; Reporting Year ; Insurance Category Code ; Large Provider Entity Code ; Age Band Code ; Sex Code </v>
      </c>
      <c r="N3264" s="297" t="s">
        <v>197</v>
      </c>
      <c r="O3264" s="297" t="s">
        <v>198</v>
      </c>
      <c r="P3264" s="297" t="s">
        <v>199</v>
      </c>
      <c r="Q3264" s="297" t="s">
        <v>200</v>
      </c>
      <c r="R3264" s="297" t="s">
        <v>213</v>
      </c>
      <c r="S3264" s="297" t="s">
        <v>214</v>
      </c>
    </row>
    <row r="3265" spans="1:19" x14ac:dyDescent="0.4">
      <c r="A3265" s="291"/>
      <c r="B3265" s="292"/>
      <c r="C3265" s="312"/>
      <c r="D3265" s="292"/>
      <c r="E3265" s="489"/>
      <c r="F3265" s="489"/>
      <c r="G3265" s="490"/>
      <c r="H3265" s="520"/>
      <c r="I3265" s="523"/>
      <c r="J3265" s="521"/>
      <c r="K3265" s="522"/>
      <c r="M3265" s="301" t="str">
        <f>N3265&amp;AS[[#This Row],[Insurer Code]]&amp;"; "&amp;O3265&amp;AS[[#This Row],[Reporting Year]]&amp;"; "&amp;P3265&amp;AS[[#This Row],[Insurance Category Code]]&amp;"; "&amp;Q3265&amp;AS[[#This Row],[Large Provider Entity Code]]&amp;"; "&amp;R3265&amp;AS[[#This Row],[Age Band Code]]&amp;"; "&amp;S3265&amp;AS[[#This Row],[Sex Code]]</f>
        <v xml:space="preserve">Insurer Code ; Reporting Year ; Insurance Category Code ; Large Provider Entity Code ; Age Band Code ; Sex Code </v>
      </c>
      <c r="N3265" s="297" t="s">
        <v>197</v>
      </c>
      <c r="O3265" s="297" t="s">
        <v>198</v>
      </c>
      <c r="P3265" s="297" t="s">
        <v>199</v>
      </c>
      <c r="Q3265" s="297" t="s">
        <v>200</v>
      </c>
      <c r="R3265" s="297" t="s">
        <v>213</v>
      </c>
      <c r="S3265" s="297" t="s">
        <v>214</v>
      </c>
    </row>
    <row r="3266" spans="1:19" x14ac:dyDescent="0.4">
      <c r="A3266" s="291"/>
      <c r="B3266" s="292"/>
      <c r="C3266" s="312"/>
      <c r="D3266" s="292"/>
      <c r="E3266" s="489"/>
      <c r="F3266" s="489"/>
      <c r="G3266" s="490"/>
      <c r="H3266" s="520"/>
      <c r="I3266" s="523"/>
      <c r="J3266" s="521"/>
      <c r="K3266" s="522"/>
      <c r="M3266" s="301" t="str">
        <f>N3266&amp;AS[[#This Row],[Insurer Code]]&amp;"; "&amp;O3266&amp;AS[[#This Row],[Reporting Year]]&amp;"; "&amp;P3266&amp;AS[[#This Row],[Insurance Category Code]]&amp;"; "&amp;Q3266&amp;AS[[#This Row],[Large Provider Entity Code]]&amp;"; "&amp;R3266&amp;AS[[#This Row],[Age Band Code]]&amp;"; "&amp;S3266&amp;AS[[#This Row],[Sex Code]]</f>
        <v xml:space="preserve">Insurer Code ; Reporting Year ; Insurance Category Code ; Large Provider Entity Code ; Age Band Code ; Sex Code </v>
      </c>
      <c r="N3266" s="297" t="s">
        <v>197</v>
      </c>
      <c r="O3266" s="297" t="s">
        <v>198</v>
      </c>
      <c r="P3266" s="297" t="s">
        <v>199</v>
      </c>
      <c r="Q3266" s="297" t="s">
        <v>200</v>
      </c>
      <c r="R3266" s="297" t="s">
        <v>213</v>
      </c>
      <c r="S3266" s="297" t="s">
        <v>214</v>
      </c>
    </row>
    <row r="3267" spans="1:19" x14ac:dyDescent="0.4">
      <c r="A3267" s="291"/>
      <c r="B3267" s="292"/>
      <c r="C3267" s="312"/>
      <c r="D3267" s="292"/>
      <c r="E3267" s="489"/>
      <c r="F3267" s="489"/>
      <c r="G3267" s="490"/>
      <c r="H3267" s="520"/>
      <c r="I3267" s="523"/>
      <c r="J3267" s="521"/>
      <c r="K3267" s="522"/>
      <c r="M3267" s="301" t="str">
        <f>N3267&amp;AS[[#This Row],[Insurer Code]]&amp;"; "&amp;O3267&amp;AS[[#This Row],[Reporting Year]]&amp;"; "&amp;P3267&amp;AS[[#This Row],[Insurance Category Code]]&amp;"; "&amp;Q3267&amp;AS[[#This Row],[Large Provider Entity Code]]&amp;"; "&amp;R3267&amp;AS[[#This Row],[Age Band Code]]&amp;"; "&amp;S3267&amp;AS[[#This Row],[Sex Code]]</f>
        <v xml:space="preserve">Insurer Code ; Reporting Year ; Insurance Category Code ; Large Provider Entity Code ; Age Band Code ; Sex Code </v>
      </c>
      <c r="N3267" s="297" t="s">
        <v>197</v>
      </c>
      <c r="O3267" s="297" t="s">
        <v>198</v>
      </c>
      <c r="P3267" s="297" t="s">
        <v>199</v>
      </c>
      <c r="Q3267" s="297" t="s">
        <v>200</v>
      </c>
      <c r="R3267" s="297" t="s">
        <v>213</v>
      </c>
      <c r="S3267" s="297" t="s">
        <v>214</v>
      </c>
    </row>
    <row r="3268" spans="1:19" x14ac:dyDescent="0.4">
      <c r="A3268" s="291"/>
      <c r="B3268" s="292"/>
      <c r="C3268" s="312"/>
      <c r="D3268" s="292"/>
      <c r="E3268" s="489"/>
      <c r="F3268" s="489"/>
      <c r="G3268" s="490"/>
      <c r="H3268" s="520"/>
      <c r="I3268" s="523"/>
      <c r="J3268" s="521"/>
      <c r="K3268" s="522"/>
      <c r="M3268" s="301" t="str">
        <f>N3268&amp;AS[[#This Row],[Insurer Code]]&amp;"; "&amp;O3268&amp;AS[[#This Row],[Reporting Year]]&amp;"; "&amp;P3268&amp;AS[[#This Row],[Insurance Category Code]]&amp;"; "&amp;Q3268&amp;AS[[#This Row],[Large Provider Entity Code]]&amp;"; "&amp;R3268&amp;AS[[#This Row],[Age Band Code]]&amp;"; "&amp;S3268&amp;AS[[#This Row],[Sex Code]]</f>
        <v xml:space="preserve">Insurer Code ; Reporting Year ; Insurance Category Code ; Large Provider Entity Code ; Age Band Code ; Sex Code </v>
      </c>
      <c r="N3268" s="297" t="s">
        <v>197</v>
      </c>
      <c r="O3268" s="297" t="s">
        <v>198</v>
      </c>
      <c r="P3268" s="297" t="s">
        <v>199</v>
      </c>
      <c r="Q3268" s="297" t="s">
        <v>200</v>
      </c>
      <c r="R3268" s="297" t="s">
        <v>213</v>
      </c>
      <c r="S3268" s="297" t="s">
        <v>214</v>
      </c>
    </row>
    <row r="3269" spans="1:19" x14ac:dyDescent="0.4">
      <c r="A3269" s="291"/>
      <c r="B3269" s="292"/>
      <c r="C3269" s="312"/>
      <c r="D3269" s="292"/>
      <c r="E3269" s="489"/>
      <c r="F3269" s="489"/>
      <c r="G3269" s="490"/>
      <c r="H3269" s="520"/>
      <c r="I3269" s="523"/>
      <c r="J3269" s="521"/>
      <c r="K3269" s="522"/>
      <c r="M3269" s="301" t="str">
        <f>N3269&amp;AS[[#This Row],[Insurer Code]]&amp;"; "&amp;O3269&amp;AS[[#This Row],[Reporting Year]]&amp;"; "&amp;P3269&amp;AS[[#This Row],[Insurance Category Code]]&amp;"; "&amp;Q3269&amp;AS[[#This Row],[Large Provider Entity Code]]&amp;"; "&amp;R3269&amp;AS[[#This Row],[Age Band Code]]&amp;"; "&amp;S3269&amp;AS[[#This Row],[Sex Code]]</f>
        <v xml:space="preserve">Insurer Code ; Reporting Year ; Insurance Category Code ; Large Provider Entity Code ; Age Band Code ; Sex Code </v>
      </c>
      <c r="N3269" s="297" t="s">
        <v>197</v>
      </c>
      <c r="O3269" s="297" t="s">
        <v>198</v>
      </c>
      <c r="P3269" s="297" t="s">
        <v>199</v>
      </c>
      <c r="Q3269" s="297" t="s">
        <v>200</v>
      </c>
      <c r="R3269" s="297" t="s">
        <v>213</v>
      </c>
      <c r="S3269" s="297" t="s">
        <v>214</v>
      </c>
    </row>
    <row r="3270" spans="1:19" x14ac:dyDescent="0.4">
      <c r="A3270" s="291"/>
      <c r="B3270" s="292"/>
      <c r="C3270" s="312"/>
      <c r="D3270" s="292"/>
      <c r="E3270" s="489"/>
      <c r="F3270" s="489"/>
      <c r="G3270" s="490"/>
      <c r="H3270" s="520"/>
      <c r="I3270" s="523"/>
      <c r="J3270" s="521"/>
      <c r="K3270" s="522"/>
      <c r="M3270" s="301" t="str">
        <f>N3270&amp;AS[[#This Row],[Insurer Code]]&amp;"; "&amp;O3270&amp;AS[[#This Row],[Reporting Year]]&amp;"; "&amp;P3270&amp;AS[[#This Row],[Insurance Category Code]]&amp;"; "&amp;Q3270&amp;AS[[#This Row],[Large Provider Entity Code]]&amp;"; "&amp;R3270&amp;AS[[#This Row],[Age Band Code]]&amp;"; "&amp;S3270&amp;AS[[#This Row],[Sex Code]]</f>
        <v xml:space="preserve">Insurer Code ; Reporting Year ; Insurance Category Code ; Large Provider Entity Code ; Age Band Code ; Sex Code </v>
      </c>
      <c r="N3270" s="297" t="s">
        <v>197</v>
      </c>
      <c r="O3270" s="297" t="s">
        <v>198</v>
      </c>
      <c r="P3270" s="297" t="s">
        <v>199</v>
      </c>
      <c r="Q3270" s="297" t="s">
        <v>200</v>
      </c>
      <c r="R3270" s="297" t="s">
        <v>213</v>
      </c>
      <c r="S3270" s="297" t="s">
        <v>214</v>
      </c>
    </row>
    <row r="3271" spans="1:19" x14ac:dyDescent="0.4">
      <c r="A3271" s="291"/>
      <c r="B3271" s="292"/>
      <c r="C3271" s="312"/>
      <c r="D3271" s="292"/>
      <c r="E3271" s="489"/>
      <c r="F3271" s="489"/>
      <c r="G3271" s="490"/>
      <c r="H3271" s="520"/>
      <c r="I3271" s="523"/>
      <c r="J3271" s="521"/>
      <c r="K3271" s="522"/>
      <c r="M3271" s="301" t="str">
        <f>N3271&amp;AS[[#This Row],[Insurer Code]]&amp;"; "&amp;O3271&amp;AS[[#This Row],[Reporting Year]]&amp;"; "&amp;P3271&amp;AS[[#This Row],[Insurance Category Code]]&amp;"; "&amp;Q3271&amp;AS[[#This Row],[Large Provider Entity Code]]&amp;"; "&amp;R3271&amp;AS[[#This Row],[Age Band Code]]&amp;"; "&amp;S3271&amp;AS[[#This Row],[Sex Code]]</f>
        <v xml:space="preserve">Insurer Code ; Reporting Year ; Insurance Category Code ; Large Provider Entity Code ; Age Band Code ; Sex Code </v>
      </c>
      <c r="N3271" s="297" t="s">
        <v>197</v>
      </c>
      <c r="O3271" s="297" t="s">
        <v>198</v>
      </c>
      <c r="P3271" s="297" t="s">
        <v>199</v>
      </c>
      <c r="Q3271" s="297" t="s">
        <v>200</v>
      </c>
      <c r="R3271" s="297" t="s">
        <v>213</v>
      </c>
      <c r="S3271" s="297" t="s">
        <v>214</v>
      </c>
    </row>
    <row r="3272" spans="1:19" x14ac:dyDescent="0.4">
      <c r="A3272" s="291"/>
      <c r="B3272" s="292"/>
      <c r="C3272" s="312"/>
      <c r="D3272" s="292"/>
      <c r="E3272" s="489"/>
      <c r="F3272" s="489"/>
      <c r="G3272" s="490"/>
      <c r="H3272" s="520"/>
      <c r="I3272" s="523"/>
      <c r="J3272" s="521"/>
      <c r="K3272" s="522"/>
      <c r="M3272" s="301" t="str">
        <f>N3272&amp;AS[[#This Row],[Insurer Code]]&amp;"; "&amp;O3272&amp;AS[[#This Row],[Reporting Year]]&amp;"; "&amp;P3272&amp;AS[[#This Row],[Insurance Category Code]]&amp;"; "&amp;Q3272&amp;AS[[#This Row],[Large Provider Entity Code]]&amp;"; "&amp;R3272&amp;AS[[#This Row],[Age Band Code]]&amp;"; "&amp;S3272&amp;AS[[#This Row],[Sex Code]]</f>
        <v xml:space="preserve">Insurer Code ; Reporting Year ; Insurance Category Code ; Large Provider Entity Code ; Age Band Code ; Sex Code </v>
      </c>
      <c r="N3272" s="297" t="s">
        <v>197</v>
      </c>
      <c r="O3272" s="297" t="s">
        <v>198</v>
      </c>
      <c r="P3272" s="297" t="s">
        <v>199</v>
      </c>
      <c r="Q3272" s="297" t="s">
        <v>200</v>
      </c>
      <c r="R3272" s="297" t="s">
        <v>213</v>
      </c>
      <c r="S3272" s="297" t="s">
        <v>214</v>
      </c>
    </row>
    <row r="3273" spans="1:19" x14ac:dyDescent="0.4">
      <c r="A3273" s="291"/>
      <c r="B3273" s="292"/>
      <c r="C3273" s="312"/>
      <c r="D3273" s="292"/>
      <c r="E3273" s="489"/>
      <c r="F3273" s="489"/>
      <c r="G3273" s="490"/>
      <c r="H3273" s="520"/>
      <c r="I3273" s="523"/>
      <c r="J3273" s="521"/>
      <c r="K3273" s="522"/>
      <c r="M3273" s="301" t="str">
        <f>N3273&amp;AS[[#This Row],[Insurer Code]]&amp;"; "&amp;O3273&amp;AS[[#This Row],[Reporting Year]]&amp;"; "&amp;P3273&amp;AS[[#This Row],[Insurance Category Code]]&amp;"; "&amp;Q3273&amp;AS[[#This Row],[Large Provider Entity Code]]&amp;"; "&amp;R3273&amp;AS[[#This Row],[Age Band Code]]&amp;"; "&amp;S3273&amp;AS[[#This Row],[Sex Code]]</f>
        <v xml:space="preserve">Insurer Code ; Reporting Year ; Insurance Category Code ; Large Provider Entity Code ; Age Band Code ; Sex Code </v>
      </c>
      <c r="N3273" s="297" t="s">
        <v>197</v>
      </c>
      <c r="O3273" s="297" t="s">
        <v>198</v>
      </c>
      <c r="P3273" s="297" t="s">
        <v>199</v>
      </c>
      <c r="Q3273" s="297" t="s">
        <v>200</v>
      </c>
      <c r="R3273" s="297" t="s">
        <v>213</v>
      </c>
      <c r="S3273" s="297" t="s">
        <v>214</v>
      </c>
    </row>
    <row r="3274" spans="1:19" x14ac:dyDescent="0.4">
      <c r="A3274" s="291"/>
      <c r="B3274" s="292"/>
      <c r="C3274" s="312"/>
      <c r="D3274" s="292"/>
      <c r="E3274" s="489"/>
      <c r="F3274" s="489"/>
      <c r="G3274" s="490"/>
      <c r="H3274" s="520"/>
      <c r="I3274" s="523"/>
      <c r="J3274" s="521"/>
      <c r="K3274" s="522"/>
      <c r="M3274" s="301" t="str">
        <f>N3274&amp;AS[[#This Row],[Insurer Code]]&amp;"; "&amp;O3274&amp;AS[[#This Row],[Reporting Year]]&amp;"; "&amp;P3274&amp;AS[[#This Row],[Insurance Category Code]]&amp;"; "&amp;Q3274&amp;AS[[#This Row],[Large Provider Entity Code]]&amp;"; "&amp;R3274&amp;AS[[#This Row],[Age Band Code]]&amp;"; "&amp;S3274&amp;AS[[#This Row],[Sex Code]]</f>
        <v xml:space="preserve">Insurer Code ; Reporting Year ; Insurance Category Code ; Large Provider Entity Code ; Age Band Code ; Sex Code </v>
      </c>
      <c r="N3274" s="297" t="s">
        <v>197</v>
      </c>
      <c r="O3274" s="297" t="s">
        <v>198</v>
      </c>
      <c r="P3274" s="297" t="s">
        <v>199</v>
      </c>
      <c r="Q3274" s="297" t="s">
        <v>200</v>
      </c>
      <c r="R3274" s="297" t="s">
        <v>213</v>
      </c>
      <c r="S3274" s="297" t="s">
        <v>214</v>
      </c>
    </row>
    <row r="3275" spans="1:19" x14ac:dyDescent="0.4">
      <c r="A3275" s="291"/>
      <c r="B3275" s="292"/>
      <c r="C3275" s="312"/>
      <c r="D3275" s="292"/>
      <c r="E3275" s="489"/>
      <c r="F3275" s="489"/>
      <c r="G3275" s="490"/>
      <c r="H3275" s="520"/>
      <c r="I3275" s="523"/>
      <c r="J3275" s="521"/>
      <c r="K3275" s="522"/>
      <c r="M3275" s="301" t="str">
        <f>N3275&amp;AS[[#This Row],[Insurer Code]]&amp;"; "&amp;O3275&amp;AS[[#This Row],[Reporting Year]]&amp;"; "&amp;P3275&amp;AS[[#This Row],[Insurance Category Code]]&amp;"; "&amp;Q3275&amp;AS[[#This Row],[Large Provider Entity Code]]&amp;"; "&amp;R3275&amp;AS[[#This Row],[Age Band Code]]&amp;"; "&amp;S3275&amp;AS[[#This Row],[Sex Code]]</f>
        <v xml:space="preserve">Insurer Code ; Reporting Year ; Insurance Category Code ; Large Provider Entity Code ; Age Band Code ; Sex Code </v>
      </c>
      <c r="N3275" s="297" t="s">
        <v>197</v>
      </c>
      <c r="O3275" s="297" t="s">
        <v>198</v>
      </c>
      <c r="P3275" s="297" t="s">
        <v>199</v>
      </c>
      <c r="Q3275" s="297" t="s">
        <v>200</v>
      </c>
      <c r="R3275" s="297" t="s">
        <v>213</v>
      </c>
      <c r="S3275" s="297" t="s">
        <v>214</v>
      </c>
    </row>
    <row r="3276" spans="1:19" x14ac:dyDescent="0.4">
      <c r="A3276" s="291"/>
      <c r="B3276" s="292"/>
      <c r="C3276" s="312"/>
      <c r="D3276" s="292"/>
      <c r="E3276" s="489"/>
      <c r="F3276" s="489"/>
      <c r="G3276" s="490"/>
      <c r="H3276" s="520"/>
      <c r="I3276" s="523"/>
      <c r="J3276" s="521"/>
      <c r="K3276" s="522"/>
      <c r="M3276" s="301" t="str">
        <f>N3276&amp;AS[[#This Row],[Insurer Code]]&amp;"; "&amp;O3276&amp;AS[[#This Row],[Reporting Year]]&amp;"; "&amp;P3276&amp;AS[[#This Row],[Insurance Category Code]]&amp;"; "&amp;Q3276&amp;AS[[#This Row],[Large Provider Entity Code]]&amp;"; "&amp;R3276&amp;AS[[#This Row],[Age Band Code]]&amp;"; "&amp;S3276&amp;AS[[#This Row],[Sex Code]]</f>
        <v xml:space="preserve">Insurer Code ; Reporting Year ; Insurance Category Code ; Large Provider Entity Code ; Age Band Code ; Sex Code </v>
      </c>
      <c r="N3276" s="297" t="s">
        <v>197</v>
      </c>
      <c r="O3276" s="297" t="s">
        <v>198</v>
      </c>
      <c r="P3276" s="297" t="s">
        <v>199</v>
      </c>
      <c r="Q3276" s="297" t="s">
        <v>200</v>
      </c>
      <c r="R3276" s="297" t="s">
        <v>213</v>
      </c>
      <c r="S3276" s="297" t="s">
        <v>214</v>
      </c>
    </row>
    <row r="3277" spans="1:19" x14ac:dyDescent="0.4">
      <c r="A3277" s="291"/>
      <c r="B3277" s="292"/>
      <c r="C3277" s="312"/>
      <c r="D3277" s="292"/>
      <c r="E3277" s="489"/>
      <c r="F3277" s="489"/>
      <c r="G3277" s="490"/>
      <c r="H3277" s="520"/>
      <c r="I3277" s="523"/>
      <c r="J3277" s="521"/>
      <c r="K3277" s="522"/>
      <c r="M3277" s="301" t="str">
        <f>N3277&amp;AS[[#This Row],[Insurer Code]]&amp;"; "&amp;O3277&amp;AS[[#This Row],[Reporting Year]]&amp;"; "&amp;P3277&amp;AS[[#This Row],[Insurance Category Code]]&amp;"; "&amp;Q3277&amp;AS[[#This Row],[Large Provider Entity Code]]&amp;"; "&amp;R3277&amp;AS[[#This Row],[Age Band Code]]&amp;"; "&amp;S3277&amp;AS[[#This Row],[Sex Code]]</f>
        <v xml:space="preserve">Insurer Code ; Reporting Year ; Insurance Category Code ; Large Provider Entity Code ; Age Band Code ; Sex Code </v>
      </c>
      <c r="N3277" s="297" t="s">
        <v>197</v>
      </c>
      <c r="O3277" s="297" t="s">
        <v>198</v>
      </c>
      <c r="P3277" s="297" t="s">
        <v>199</v>
      </c>
      <c r="Q3277" s="297" t="s">
        <v>200</v>
      </c>
      <c r="R3277" s="297" t="s">
        <v>213</v>
      </c>
      <c r="S3277" s="297" t="s">
        <v>214</v>
      </c>
    </row>
    <row r="3278" spans="1:19" x14ac:dyDescent="0.4">
      <c r="A3278" s="291"/>
      <c r="B3278" s="292"/>
      <c r="C3278" s="312"/>
      <c r="D3278" s="292"/>
      <c r="E3278" s="489"/>
      <c r="F3278" s="489"/>
      <c r="G3278" s="490"/>
      <c r="H3278" s="520"/>
      <c r="I3278" s="523"/>
      <c r="J3278" s="521"/>
      <c r="K3278" s="522"/>
      <c r="M3278" s="301" t="str">
        <f>N3278&amp;AS[[#This Row],[Insurer Code]]&amp;"; "&amp;O3278&amp;AS[[#This Row],[Reporting Year]]&amp;"; "&amp;P3278&amp;AS[[#This Row],[Insurance Category Code]]&amp;"; "&amp;Q3278&amp;AS[[#This Row],[Large Provider Entity Code]]&amp;"; "&amp;R3278&amp;AS[[#This Row],[Age Band Code]]&amp;"; "&amp;S3278&amp;AS[[#This Row],[Sex Code]]</f>
        <v xml:space="preserve">Insurer Code ; Reporting Year ; Insurance Category Code ; Large Provider Entity Code ; Age Band Code ; Sex Code </v>
      </c>
      <c r="N3278" s="297" t="s">
        <v>197</v>
      </c>
      <c r="O3278" s="297" t="s">
        <v>198</v>
      </c>
      <c r="P3278" s="297" t="s">
        <v>199</v>
      </c>
      <c r="Q3278" s="297" t="s">
        <v>200</v>
      </c>
      <c r="R3278" s="297" t="s">
        <v>213</v>
      </c>
      <c r="S3278" s="297" t="s">
        <v>214</v>
      </c>
    </row>
    <row r="3279" spans="1:19" x14ac:dyDescent="0.4">
      <c r="A3279" s="291"/>
      <c r="B3279" s="292"/>
      <c r="C3279" s="312"/>
      <c r="D3279" s="292"/>
      <c r="E3279" s="489"/>
      <c r="F3279" s="489"/>
      <c r="G3279" s="490"/>
      <c r="H3279" s="520"/>
      <c r="I3279" s="523"/>
      <c r="J3279" s="521"/>
      <c r="K3279" s="522"/>
      <c r="M3279" s="301" t="str">
        <f>N3279&amp;AS[[#This Row],[Insurer Code]]&amp;"; "&amp;O3279&amp;AS[[#This Row],[Reporting Year]]&amp;"; "&amp;P3279&amp;AS[[#This Row],[Insurance Category Code]]&amp;"; "&amp;Q3279&amp;AS[[#This Row],[Large Provider Entity Code]]&amp;"; "&amp;R3279&amp;AS[[#This Row],[Age Band Code]]&amp;"; "&amp;S3279&amp;AS[[#This Row],[Sex Code]]</f>
        <v xml:space="preserve">Insurer Code ; Reporting Year ; Insurance Category Code ; Large Provider Entity Code ; Age Band Code ; Sex Code </v>
      </c>
      <c r="N3279" s="297" t="s">
        <v>197</v>
      </c>
      <c r="O3279" s="297" t="s">
        <v>198</v>
      </c>
      <c r="P3279" s="297" t="s">
        <v>199</v>
      </c>
      <c r="Q3279" s="297" t="s">
        <v>200</v>
      </c>
      <c r="R3279" s="297" t="s">
        <v>213</v>
      </c>
      <c r="S3279" s="297" t="s">
        <v>214</v>
      </c>
    </row>
    <row r="3280" spans="1:19" x14ac:dyDescent="0.4">
      <c r="A3280" s="291"/>
      <c r="B3280" s="292"/>
      <c r="C3280" s="312"/>
      <c r="D3280" s="292"/>
      <c r="E3280" s="489"/>
      <c r="F3280" s="489"/>
      <c r="G3280" s="490"/>
      <c r="H3280" s="520"/>
      <c r="I3280" s="523"/>
      <c r="J3280" s="521"/>
      <c r="K3280" s="522"/>
      <c r="M3280" s="301" t="str">
        <f>N3280&amp;AS[[#This Row],[Insurer Code]]&amp;"; "&amp;O3280&amp;AS[[#This Row],[Reporting Year]]&amp;"; "&amp;P3280&amp;AS[[#This Row],[Insurance Category Code]]&amp;"; "&amp;Q3280&amp;AS[[#This Row],[Large Provider Entity Code]]&amp;"; "&amp;R3280&amp;AS[[#This Row],[Age Band Code]]&amp;"; "&amp;S3280&amp;AS[[#This Row],[Sex Code]]</f>
        <v xml:space="preserve">Insurer Code ; Reporting Year ; Insurance Category Code ; Large Provider Entity Code ; Age Band Code ; Sex Code </v>
      </c>
      <c r="N3280" s="297" t="s">
        <v>197</v>
      </c>
      <c r="O3280" s="297" t="s">
        <v>198</v>
      </c>
      <c r="P3280" s="297" t="s">
        <v>199</v>
      </c>
      <c r="Q3280" s="297" t="s">
        <v>200</v>
      </c>
      <c r="R3280" s="297" t="s">
        <v>213</v>
      </c>
      <c r="S3280" s="297" t="s">
        <v>214</v>
      </c>
    </row>
    <row r="3281" spans="1:19" x14ac:dyDescent="0.4">
      <c r="A3281" s="291"/>
      <c r="B3281" s="292"/>
      <c r="C3281" s="312"/>
      <c r="D3281" s="292"/>
      <c r="E3281" s="489"/>
      <c r="F3281" s="489"/>
      <c r="G3281" s="490"/>
      <c r="H3281" s="520"/>
      <c r="I3281" s="523"/>
      <c r="J3281" s="521"/>
      <c r="K3281" s="522"/>
      <c r="M3281" s="301" t="str">
        <f>N3281&amp;AS[[#This Row],[Insurer Code]]&amp;"; "&amp;O3281&amp;AS[[#This Row],[Reporting Year]]&amp;"; "&amp;P3281&amp;AS[[#This Row],[Insurance Category Code]]&amp;"; "&amp;Q3281&amp;AS[[#This Row],[Large Provider Entity Code]]&amp;"; "&amp;R3281&amp;AS[[#This Row],[Age Band Code]]&amp;"; "&amp;S3281&amp;AS[[#This Row],[Sex Code]]</f>
        <v xml:space="preserve">Insurer Code ; Reporting Year ; Insurance Category Code ; Large Provider Entity Code ; Age Band Code ; Sex Code </v>
      </c>
      <c r="N3281" s="297" t="s">
        <v>197</v>
      </c>
      <c r="O3281" s="297" t="s">
        <v>198</v>
      </c>
      <c r="P3281" s="297" t="s">
        <v>199</v>
      </c>
      <c r="Q3281" s="297" t="s">
        <v>200</v>
      </c>
      <c r="R3281" s="297" t="s">
        <v>213</v>
      </c>
      <c r="S3281" s="297" t="s">
        <v>214</v>
      </c>
    </row>
    <row r="3282" spans="1:19" x14ac:dyDescent="0.4">
      <c r="A3282" s="291"/>
      <c r="B3282" s="292"/>
      <c r="C3282" s="312"/>
      <c r="D3282" s="292"/>
      <c r="E3282" s="489"/>
      <c r="F3282" s="489"/>
      <c r="G3282" s="490"/>
      <c r="H3282" s="520"/>
      <c r="I3282" s="523"/>
      <c r="J3282" s="521"/>
      <c r="K3282" s="522"/>
      <c r="M3282" s="301" t="str">
        <f>N3282&amp;AS[[#This Row],[Insurer Code]]&amp;"; "&amp;O3282&amp;AS[[#This Row],[Reporting Year]]&amp;"; "&amp;P3282&amp;AS[[#This Row],[Insurance Category Code]]&amp;"; "&amp;Q3282&amp;AS[[#This Row],[Large Provider Entity Code]]&amp;"; "&amp;R3282&amp;AS[[#This Row],[Age Band Code]]&amp;"; "&amp;S3282&amp;AS[[#This Row],[Sex Code]]</f>
        <v xml:space="preserve">Insurer Code ; Reporting Year ; Insurance Category Code ; Large Provider Entity Code ; Age Band Code ; Sex Code </v>
      </c>
      <c r="N3282" s="297" t="s">
        <v>197</v>
      </c>
      <c r="O3282" s="297" t="s">
        <v>198</v>
      </c>
      <c r="P3282" s="297" t="s">
        <v>199</v>
      </c>
      <c r="Q3282" s="297" t="s">
        <v>200</v>
      </c>
      <c r="R3282" s="297" t="s">
        <v>213</v>
      </c>
      <c r="S3282" s="297" t="s">
        <v>214</v>
      </c>
    </row>
    <row r="3283" spans="1:19" x14ac:dyDescent="0.4">
      <c r="A3283" s="291"/>
      <c r="B3283" s="292"/>
      <c r="C3283" s="312"/>
      <c r="D3283" s="292"/>
      <c r="E3283" s="489"/>
      <c r="F3283" s="489"/>
      <c r="G3283" s="490"/>
      <c r="H3283" s="520"/>
      <c r="I3283" s="523"/>
      <c r="J3283" s="521"/>
      <c r="K3283" s="522"/>
      <c r="M3283" s="301" t="str">
        <f>N3283&amp;AS[[#This Row],[Insurer Code]]&amp;"; "&amp;O3283&amp;AS[[#This Row],[Reporting Year]]&amp;"; "&amp;P3283&amp;AS[[#This Row],[Insurance Category Code]]&amp;"; "&amp;Q3283&amp;AS[[#This Row],[Large Provider Entity Code]]&amp;"; "&amp;R3283&amp;AS[[#This Row],[Age Band Code]]&amp;"; "&amp;S3283&amp;AS[[#This Row],[Sex Code]]</f>
        <v xml:space="preserve">Insurer Code ; Reporting Year ; Insurance Category Code ; Large Provider Entity Code ; Age Band Code ; Sex Code </v>
      </c>
      <c r="N3283" s="297" t="s">
        <v>197</v>
      </c>
      <c r="O3283" s="297" t="s">
        <v>198</v>
      </c>
      <c r="P3283" s="297" t="s">
        <v>199</v>
      </c>
      <c r="Q3283" s="297" t="s">
        <v>200</v>
      </c>
      <c r="R3283" s="297" t="s">
        <v>213</v>
      </c>
      <c r="S3283" s="297" t="s">
        <v>214</v>
      </c>
    </row>
    <row r="3284" spans="1:19" x14ac:dyDescent="0.4">
      <c r="A3284" s="291"/>
      <c r="B3284" s="292"/>
      <c r="C3284" s="312"/>
      <c r="D3284" s="292"/>
      <c r="E3284" s="489"/>
      <c r="F3284" s="489"/>
      <c r="G3284" s="490"/>
      <c r="H3284" s="520"/>
      <c r="I3284" s="523"/>
      <c r="J3284" s="521"/>
      <c r="K3284" s="522"/>
      <c r="M3284" s="301" t="str">
        <f>N3284&amp;AS[[#This Row],[Insurer Code]]&amp;"; "&amp;O3284&amp;AS[[#This Row],[Reporting Year]]&amp;"; "&amp;P3284&amp;AS[[#This Row],[Insurance Category Code]]&amp;"; "&amp;Q3284&amp;AS[[#This Row],[Large Provider Entity Code]]&amp;"; "&amp;R3284&amp;AS[[#This Row],[Age Band Code]]&amp;"; "&amp;S3284&amp;AS[[#This Row],[Sex Code]]</f>
        <v xml:space="preserve">Insurer Code ; Reporting Year ; Insurance Category Code ; Large Provider Entity Code ; Age Band Code ; Sex Code </v>
      </c>
      <c r="N3284" s="297" t="s">
        <v>197</v>
      </c>
      <c r="O3284" s="297" t="s">
        <v>198</v>
      </c>
      <c r="P3284" s="297" t="s">
        <v>199</v>
      </c>
      <c r="Q3284" s="297" t="s">
        <v>200</v>
      </c>
      <c r="R3284" s="297" t="s">
        <v>213</v>
      </c>
      <c r="S3284" s="297" t="s">
        <v>214</v>
      </c>
    </row>
    <row r="3285" spans="1:19" x14ac:dyDescent="0.4">
      <c r="A3285" s="291"/>
      <c r="B3285" s="292"/>
      <c r="C3285" s="312"/>
      <c r="D3285" s="292"/>
      <c r="E3285" s="489"/>
      <c r="F3285" s="489"/>
      <c r="G3285" s="490"/>
      <c r="H3285" s="520"/>
      <c r="I3285" s="523"/>
      <c r="J3285" s="521"/>
      <c r="K3285" s="522"/>
      <c r="M3285" s="301" t="str">
        <f>N3285&amp;AS[[#This Row],[Insurer Code]]&amp;"; "&amp;O3285&amp;AS[[#This Row],[Reporting Year]]&amp;"; "&amp;P3285&amp;AS[[#This Row],[Insurance Category Code]]&amp;"; "&amp;Q3285&amp;AS[[#This Row],[Large Provider Entity Code]]&amp;"; "&amp;R3285&amp;AS[[#This Row],[Age Band Code]]&amp;"; "&amp;S3285&amp;AS[[#This Row],[Sex Code]]</f>
        <v xml:space="preserve">Insurer Code ; Reporting Year ; Insurance Category Code ; Large Provider Entity Code ; Age Band Code ; Sex Code </v>
      </c>
      <c r="N3285" s="297" t="s">
        <v>197</v>
      </c>
      <c r="O3285" s="297" t="s">
        <v>198</v>
      </c>
      <c r="P3285" s="297" t="s">
        <v>199</v>
      </c>
      <c r="Q3285" s="297" t="s">
        <v>200</v>
      </c>
      <c r="R3285" s="297" t="s">
        <v>213</v>
      </c>
      <c r="S3285" s="297" t="s">
        <v>214</v>
      </c>
    </row>
    <row r="3286" spans="1:19" x14ac:dyDescent="0.4">
      <c r="A3286" s="291"/>
      <c r="B3286" s="292"/>
      <c r="C3286" s="312"/>
      <c r="D3286" s="292"/>
      <c r="E3286" s="489"/>
      <c r="F3286" s="489"/>
      <c r="G3286" s="490"/>
      <c r="H3286" s="520"/>
      <c r="I3286" s="523"/>
      <c r="J3286" s="521"/>
      <c r="K3286" s="522"/>
      <c r="M3286" s="301" t="str">
        <f>N3286&amp;AS[[#This Row],[Insurer Code]]&amp;"; "&amp;O3286&amp;AS[[#This Row],[Reporting Year]]&amp;"; "&amp;P3286&amp;AS[[#This Row],[Insurance Category Code]]&amp;"; "&amp;Q3286&amp;AS[[#This Row],[Large Provider Entity Code]]&amp;"; "&amp;R3286&amp;AS[[#This Row],[Age Band Code]]&amp;"; "&amp;S3286&amp;AS[[#This Row],[Sex Code]]</f>
        <v xml:space="preserve">Insurer Code ; Reporting Year ; Insurance Category Code ; Large Provider Entity Code ; Age Band Code ; Sex Code </v>
      </c>
      <c r="N3286" s="297" t="s">
        <v>197</v>
      </c>
      <c r="O3286" s="297" t="s">
        <v>198</v>
      </c>
      <c r="P3286" s="297" t="s">
        <v>199</v>
      </c>
      <c r="Q3286" s="297" t="s">
        <v>200</v>
      </c>
      <c r="R3286" s="297" t="s">
        <v>213</v>
      </c>
      <c r="S3286" s="297" t="s">
        <v>214</v>
      </c>
    </row>
    <row r="3287" spans="1:19" x14ac:dyDescent="0.4">
      <c r="A3287" s="291"/>
      <c r="B3287" s="292"/>
      <c r="C3287" s="312"/>
      <c r="D3287" s="292"/>
      <c r="E3287" s="489"/>
      <c r="F3287" s="489"/>
      <c r="G3287" s="490"/>
      <c r="H3287" s="520"/>
      <c r="I3287" s="523"/>
      <c r="J3287" s="521"/>
      <c r="K3287" s="522"/>
      <c r="M3287" s="301" t="str">
        <f>N3287&amp;AS[[#This Row],[Insurer Code]]&amp;"; "&amp;O3287&amp;AS[[#This Row],[Reporting Year]]&amp;"; "&amp;P3287&amp;AS[[#This Row],[Insurance Category Code]]&amp;"; "&amp;Q3287&amp;AS[[#This Row],[Large Provider Entity Code]]&amp;"; "&amp;R3287&amp;AS[[#This Row],[Age Band Code]]&amp;"; "&amp;S3287&amp;AS[[#This Row],[Sex Code]]</f>
        <v xml:space="preserve">Insurer Code ; Reporting Year ; Insurance Category Code ; Large Provider Entity Code ; Age Band Code ; Sex Code </v>
      </c>
      <c r="N3287" s="297" t="s">
        <v>197</v>
      </c>
      <c r="O3287" s="297" t="s">
        <v>198</v>
      </c>
      <c r="P3287" s="297" t="s">
        <v>199</v>
      </c>
      <c r="Q3287" s="297" t="s">
        <v>200</v>
      </c>
      <c r="R3287" s="297" t="s">
        <v>213</v>
      </c>
      <c r="S3287" s="297" t="s">
        <v>214</v>
      </c>
    </row>
    <row r="3288" spans="1:19" x14ac:dyDescent="0.4">
      <c r="A3288" s="291"/>
      <c r="B3288" s="292"/>
      <c r="C3288" s="312"/>
      <c r="D3288" s="292"/>
      <c r="E3288" s="489"/>
      <c r="F3288" s="489"/>
      <c r="G3288" s="490"/>
      <c r="H3288" s="520"/>
      <c r="I3288" s="523"/>
      <c r="J3288" s="521"/>
      <c r="K3288" s="522"/>
      <c r="M3288" s="301" t="str">
        <f>N3288&amp;AS[[#This Row],[Insurer Code]]&amp;"; "&amp;O3288&amp;AS[[#This Row],[Reporting Year]]&amp;"; "&amp;P3288&amp;AS[[#This Row],[Insurance Category Code]]&amp;"; "&amp;Q3288&amp;AS[[#This Row],[Large Provider Entity Code]]&amp;"; "&amp;R3288&amp;AS[[#This Row],[Age Band Code]]&amp;"; "&amp;S3288&amp;AS[[#This Row],[Sex Code]]</f>
        <v xml:space="preserve">Insurer Code ; Reporting Year ; Insurance Category Code ; Large Provider Entity Code ; Age Band Code ; Sex Code </v>
      </c>
      <c r="N3288" s="297" t="s">
        <v>197</v>
      </c>
      <c r="O3288" s="297" t="s">
        <v>198</v>
      </c>
      <c r="P3288" s="297" t="s">
        <v>199</v>
      </c>
      <c r="Q3288" s="297" t="s">
        <v>200</v>
      </c>
      <c r="R3288" s="297" t="s">
        <v>213</v>
      </c>
      <c r="S3288" s="297" t="s">
        <v>214</v>
      </c>
    </row>
    <row r="3289" spans="1:19" x14ac:dyDescent="0.4">
      <c r="A3289" s="291"/>
      <c r="B3289" s="292"/>
      <c r="C3289" s="312"/>
      <c r="D3289" s="292"/>
      <c r="E3289" s="489"/>
      <c r="F3289" s="489"/>
      <c r="G3289" s="490"/>
      <c r="H3289" s="520"/>
      <c r="I3289" s="523"/>
      <c r="J3289" s="521"/>
      <c r="K3289" s="522"/>
      <c r="M3289" s="301" t="str">
        <f>N3289&amp;AS[[#This Row],[Insurer Code]]&amp;"; "&amp;O3289&amp;AS[[#This Row],[Reporting Year]]&amp;"; "&amp;P3289&amp;AS[[#This Row],[Insurance Category Code]]&amp;"; "&amp;Q3289&amp;AS[[#This Row],[Large Provider Entity Code]]&amp;"; "&amp;R3289&amp;AS[[#This Row],[Age Band Code]]&amp;"; "&amp;S3289&amp;AS[[#This Row],[Sex Code]]</f>
        <v xml:space="preserve">Insurer Code ; Reporting Year ; Insurance Category Code ; Large Provider Entity Code ; Age Band Code ; Sex Code </v>
      </c>
      <c r="N3289" s="297" t="s">
        <v>197</v>
      </c>
      <c r="O3289" s="297" t="s">
        <v>198</v>
      </c>
      <c r="P3289" s="297" t="s">
        <v>199</v>
      </c>
      <c r="Q3289" s="297" t="s">
        <v>200</v>
      </c>
      <c r="R3289" s="297" t="s">
        <v>213</v>
      </c>
      <c r="S3289" s="297" t="s">
        <v>214</v>
      </c>
    </row>
    <row r="3290" spans="1:19" x14ac:dyDescent="0.4">
      <c r="A3290" s="291"/>
      <c r="B3290" s="292"/>
      <c r="C3290" s="312"/>
      <c r="D3290" s="292"/>
      <c r="E3290" s="489"/>
      <c r="F3290" s="489"/>
      <c r="G3290" s="490"/>
      <c r="H3290" s="520"/>
      <c r="I3290" s="523"/>
      <c r="J3290" s="521"/>
      <c r="K3290" s="522"/>
      <c r="M3290" s="301" t="str">
        <f>N3290&amp;AS[[#This Row],[Insurer Code]]&amp;"; "&amp;O3290&amp;AS[[#This Row],[Reporting Year]]&amp;"; "&amp;P3290&amp;AS[[#This Row],[Insurance Category Code]]&amp;"; "&amp;Q3290&amp;AS[[#This Row],[Large Provider Entity Code]]&amp;"; "&amp;R3290&amp;AS[[#This Row],[Age Band Code]]&amp;"; "&amp;S3290&amp;AS[[#This Row],[Sex Code]]</f>
        <v xml:space="preserve">Insurer Code ; Reporting Year ; Insurance Category Code ; Large Provider Entity Code ; Age Band Code ; Sex Code </v>
      </c>
      <c r="N3290" s="297" t="s">
        <v>197</v>
      </c>
      <c r="O3290" s="297" t="s">
        <v>198</v>
      </c>
      <c r="P3290" s="297" t="s">
        <v>199</v>
      </c>
      <c r="Q3290" s="297" t="s">
        <v>200</v>
      </c>
      <c r="R3290" s="297" t="s">
        <v>213</v>
      </c>
      <c r="S3290" s="297" t="s">
        <v>214</v>
      </c>
    </row>
    <row r="3291" spans="1:19" x14ac:dyDescent="0.4">
      <c r="A3291" s="291"/>
      <c r="B3291" s="292"/>
      <c r="C3291" s="312"/>
      <c r="D3291" s="292"/>
      <c r="E3291" s="489"/>
      <c r="F3291" s="489"/>
      <c r="G3291" s="490"/>
      <c r="H3291" s="520"/>
      <c r="I3291" s="523"/>
      <c r="J3291" s="521"/>
      <c r="K3291" s="522"/>
      <c r="M3291" s="301" t="str">
        <f>N3291&amp;AS[[#This Row],[Insurer Code]]&amp;"; "&amp;O3291&amp;AS[[#This Row],[Reporting Year]]&amp;"; "&amp;P3291&amp;AS[[#This Row],[Insurance Category Code]]&amp;"; "&amp;Q3291&amp;AS[[#This Row],[Large Provider Entity Code]]&amp;"; "&amp;R3291&amp;AS[[#This Row],[Age Band Code]]&amp;"; "&amp;S3291&amp;AS[[#This Row],[Sex Code]]</f>
        <v xml:space="preserve">Insurer Code ; Reporting Year ; Insurance Category Code ; Large Provider Entity Code ; Age Band Code ; Sex Code </v>
      </c>
      <c r="N3291" s="297" t="s">
        <v>197</v>
      </c>
      <c r="O3291" s="297" t="s">
        <v>198</v>
      </c>
      <c r="P3291" s="297" t="s">
        <v>199</v>
      </c>
      <c r="Q3291" s="297" t="s">
        <v>200</v>
      </c>
      <c r="R3291" s="297" t="s">
        <v>213</v>
      </c>
      <c r="S3291" s="297" t="s">
        <v>214</v>
      </c>
    </row>
    <row r="3292" spans="1:19" x14ac:dyDescent="0.4">
      <c r="A3292" s="291"/>
      <c r="B3292" s="292"/>
      <c r="C3292" s="312"/>
      <c r="D3292" s="292"/>
      <c r="E3292" s="489"/>
      <c r="F3292" s="489"/>
      <c r="G3292" s="490"/>
      <c r="H3292" s="520"/>
      <c r="I3292" s="523"/>
      <c r="J3292" s="521"/>
      <c r="K3292" s="522"/>
      <c r="M3292" s="301" t="str">
        <f>N3292&amp;AS[[#This Row],[Insurer Code]]&amp;"; "&amp;O3292&amp;AS[[#This Row],[Reporting Year]]&amp;"; "&amp;P3292&amp;AS[[#This Row],[Insurance Category Code]]&amp;"; "&amp;Q3292&amp;AS[[#This Row],[Large Provider Entity Code]]&amp;"; "&amp;R3292&amp;AS[[#This Row],[Age Band Code]]&amp;"; "&amp;S3292&amp;AS[[#This Row],[Sex Code]]</f>
        <v xml:space="preserve">Insurer Code ; Reporting Year ; Insurance Category Code ; Large Provider Entity Code ; Age Band Code ; Sex Code </v>
      </c>
      <c r="N3292" s="297" t="s">
        <v>197</v>
      </c>
      <c r="O3292" s="297" t="s">
        <v>198</v>
      </c>
      <c r="P3292" s="297" t="s">
        <v>199</v>
      </c>
      <c r="Q3292" s="297" t="s">
        <v>200</v>
      </c>
      <c r="R3292" s="297" t="s">
        <v>213</v>
      </c>
      <c r="S3292" s="297" t="s">
        <v>214</v>
      </c>
    </row>
    <row r="3293" spans="1:19" x14ac:dyDescent="0.4">
      <c r="A3293" s="291"/>
      <c r="B3293" s="292"/>
      <c r="C3293" s="312"/>
      <c r="D3293" s="292"/>
      <c r="E3293" s="489"/>
      <c r="F3293" s="489"/>
      <c r="G3293" s="490"/>
      <c r="H3293" s="520"/>
      <c r="I3293" s="523"/>
      <c r="J3293" s="521"/>
      <c r="K3293" s="522"/>
      <c r="M3293" s="301" t="str">
        <f>N3293&amp;AS[[#This Row],[Insurer Code]]&amp;"; "&amp;O3293&amp;AS[[#This Row],[Reporting Year]]&amp;"; "&amp;P3293&amp;AS[[#This Row],[Insurance Category Code]]&amp;"; "&amp;Q3293&amp;AS[[#This Row],[Large Provider Entity Code]]&amp;"; "&amp;R3293&amp;AS[[#This Row],[Age Band Code]]&amp;"; "&amp;S3293&amp;AS[[#This Row],[Sex Code]]</f>
        <v xml:space="preserve">Insurer Code ; Reporting Year ; Insurance Category Code ; Large Provider Entity Code ; Age Band Code ; Sex Code </v>
      </c>
      <c r="N3293" s="297" t="s">
        <v>197</v>
      </c>
      <c r="O3293" s="297" t="s">
        <v>198</v>
      </c>
      <c r="P3293" s="297" t="s">
        <v>199</v>
      </c>
      <c r="Q3293" s="297" t="s">
        <v>200</v>
      </c>
      <c r="R3293" s="297" t="s">
        <v>213</v>
      </c>
      <c r="S3293" s="297" t="s">
        <v>214</v>
      </c>
    </row>
    <row r="3294" spans="1:19" x14ac:dyDescent="0.4">
      <c r="A3294" s="291"/>
      <c r="B3294" s="292"/>
      <c r="C3294" s="312"/>
      <c r="D3294" s="292"/>
      <c r="E3294" s="489"/>
      <c r="F3294" s="489"/>
      <c r="G3294" s="490"/>
      <c r="H3294" s="520"/>
      <c r="I3294" s="523"/>
      <c r="J3294" s="521"/>
      <c r="K3294" s="522"/>
      <c r="M3294" s="301" t="str">
        <f>N3294&amp;AS[[#This Row],[Insurer Code]]&amp;"; "&amp;O3294&amp;AS[[#This Row],[Reporting Year]]&amp;"; "&amp;P3294&amp;AS[[#This Row],[Insurance Category Code]]&amp;"; "&amp;Q3294&amp;AS[[#This Row],[Large Provider Entity Code]]&amp;"; "&amp;R3294&amp;AS[[#This Row],[Age Band Code]]&amp;"; "&amp;S3294&amp;AS[[#This Row],[Sex Code]]</f>
        <v xml:space="preserve">Insurer Code ; Reporting Year ; Insurance Category Code ; Large Provider Entity Code ; Age Band Code ; Sex Code </v>
      </c>
      <c r="N3294" s="297" t="s">
        <v>197</v>
      </c>
      <c r="O3294" s="297" t="s">
        <v>198</v>
      </c>
      <c r="P3294" s="297" t="s">
        <v>199</v>
      </c>
      <c r="Q3294" s="297" t="s">
        <v>200</v>
      </c>
      <c r="R3294" s="297" t="s">
        <v>213</v>
      </c>
      <c r="S3294" s="297" t="s">
        <v>214</v>
      </c>
    </row>
    <row r="3295" spans="1:19" x14ac:dyDescent="0.4">
      <c r="A3295" s="291"/>
      <c r="B3295" s="292"/>
      <c r="C3295" s="312"/>
      <c r="D3295" s="292"/>
      <c r="E3295" s="489"/>
      <c r="F3295" s="489"/>
      <c r="G3295" s="490"/>
      <c r="H3295" s="520"/>
      <c r="I3295" s="523"/>
      <c r="J3295" s="521"/>
      <c r="K3295" s="522"/>
      <c r="M3295" s="301" t="str">
        <f>N3295&amp;AS[[#This Row],[Insurer Code]]&amp;"; "&amp;O3295&amp;AS[[#This Row],[Reporting Year]]&amp;"; "&amp;P3295&amp;AS[[#This Row],[Insurance Category Code]]&amp;"; "&amp;Q3295&amp;AS[[#This Row],[Large Provider Entity Code]]&amp;"; "&amp;R3295&amp;AS[[#This Row],[Age Band Code]]&amp;"; "&amp;S3295&amp;AS[[#This Row],[Sex Code]]</f>
        <v xml:space="preserve">Insurer Code ; Reporting Year ; Insurance Category Code ; Large Provider Entity Code ; Age Band Code ; Sex Code </v>
      </c>
      <c r="N3295" s="297" t="s">
        <v>197</v>
      </c>
      <c r="O3295" s="297" t="s">
        <v>198</v>
      </c>
      <c r="P3295" s="297" t="s">
        <v>199</v>
      </c>
      <c r="Q3295" s="297" t="s">
        <v>200</v>
      </c>
      <c r="R3295" s="297" t="s">
        <v>213</v>
      </c>
      <c r="S3295" s="297" t="s">
        <v>214</v>
      </c>
    </row>
    <row r="3296" spans="1:19" x14ac:dyDescent="0.4">
      <c r="A3296" s="291"/>
      <c r="B3296" s="292"/>
      <c r="C3296" s="312"/>
      <c r="D3296" s="292"/>
      <c r="E3296" s="489"/>
      <c r="F3296" s="489"/>
      <c r="G3296" s="490"/>
      <c r="H3296" s="520"/>
      <c r="I3296" s="523"/>
      <c r="J3296" s="521"/>
      <c r="K3296" s="522"/>
      <c r="M3296" s="301" t="str">
        <f>N3296&amp;AS[[#This Row],[Insurer Code]]&amp;"; "&amp;O3296&amp;AS[[#This Row],[Reporting Year]]&amp;"; "&amp;P3296&amp;AS[[#This Row],[Insurance Category Code]]&amp;"; "&amp;Q3296&amp;AS[[#This Row],[Large Provider Entity Code]]&amp;"; "&amp;R3296&amp;AS[[#This Row],[Age Band Code]]&amp;"; "&amp;S3296&amp;AS[[#This Row],[Sex Code]]</f>
        <v xml:space="preserve">Insurer Code ; Reporting Year ; Insurance Category Code ; Large Provider Entity Code ; Age Band Code ; Sex Code </v>
      </c>
      <c r="N3296" s="297" t="s">
        <v>197</v>
      </c>
      <c r="O3296" s="297" t="s">
        <v>198</v>
      </c>
      <c r="P3296" s="297" t="s">
        <v>199</v>
      </c>
      <c r="Q3296" s="297" t="s">
        <v>200</v>
      </c>
      <c r="R3296" s="297" t="s">
        <v>213</v>
      </c>
      <c r="S3296" s="297" t="s">
        <v>214</v>
      </c>
    </row>
    <row r="3297" spans="1:19" x14ac:dyDescent="0.4">
      <c r="A3297" s="291"/>
      <c r="B3297" s="292"/>
      <c r="C3297" s="312"/>
      <c r="D3297" s="292"/>
      <c r="E3297" s="489"/>
      <c r="F3297" s="489"/>
      <c r="G3297" s="490"/>
      <c r="H3297" s="520"/>
      <c r="I3297" s="523"/>
      <c r="J3297" s="521"/>
      <c r="K3297" s="522"/>
      <c r="M3297" s="301" t="str">
        <f>N3297&amp;AS[[#This Row],[Insurer Code]]&amp;"; "&amp;O3297&amp;AS[[#This Row],[Reporting Year]]&amp;"; "&amp;P3297&amp;AS[[#This Row],[Insurance Category Code]]&amp;"; "&amp;Q3297&amp;AS[[#This Row],[Large Provider Entity Code]]&amp;"; "&amp;R3297&amp;AS[[#This Row],[Age Band Code]]&amp;"; "&amp;S3297&amp;AS[[#This Row],[Sex Code]]</f>
        <v xml:space="preserve">Insurer Code ; Reporting Year ; Insurance Category Code ; Large Provider Entity Code ; Age Band Code ; Sex Code </v>
      </c>
      <c r="N3297" s="297" t="s">
        <v>197</v>
      </c>
      <c r="O3297" s="297" t="s">
        <v>198</v>
      </c>
      <c r="P3297" s="297" t="s">
        <v>199</v>
      </c>
      <c r="Q3297" s="297" t="s">
        <v>200</v>
      </c>
      <c r="R3297" s="297" t="s">
        <v>213</v>
      </c>
      <c r="S3297" s="297" t="s">
        <v>214</v>
      </c>
    </row>
    <row r="3298" spans="1:19" x14ac:dyDescent="0.4">
      <c r="A3298" s="291"/>
      <c r="B3298" s="292"/>
      <c r="C3298" s="312"/>
      <c r="D3298" s="292"/>
      <c r="E3298" s="489"/>
      <c r="F3298" s="489"/>
      <c r="G3298" s="490"/>
      <c r="H3298" s="520"/>
      <c r="I3298" s="523"/>
      <c r="J3298" s="521"/>
      <c r="K3298" s="522"/>
      <c r="M3298" s="301" t="str">
        <f>N3298&amp;AS[[#This Row],[Insurer Code]]&amp;"; "&amp;O3298&amp;AS[[#This Row],[Reporting Year]]&amp;"; "&amp;P3298&amp;AS[[#This Row],[Insurance Category Code]]&amp;"; "&amp;Q3298&amp;AS[[#This Row],[Large Provider Entity Code]]&amp;"; "&amp;R3298&amp;AS[[#This Row],[Age Band Code]]&amp;"; "&amp;S3298&amp;AS[[#This Row],[Sex Code]]</f>
        <v xml:space="preserve">Insurer Code ; Reporting Year ; Insurance Category Code ; Large Provider Entity Code ; Age Band Code ; Sex Code </v>
      </c>
      <c r="N3298" s="297" t="s">
        <v>197</v>
      </c>
      <c r="O3298" s="297" t="s">
        <v>198</v>
      </c>
      <c r="P3298" s="297" t="s">
        <v>199</v>
      </c>
      <c r="Q3298" s="297" t="s">
        <v>200</v>
      </c>
      <c r="R3298" s="297" t="s">
        <v>213</v>
      </c>
      <c r="S3298" s="297" t="s">
        <v>214</v>
      </c>
    </row>
    <row r="3299" spans="1:19" x14ac:dyDescent="0.4">
      <c r="A3299" s="291"/>
      <c r="B3299" s="292"/>
      <c r="C3299" s="312"/>
      <c r="D3299" s="292"/>
      <c r="E3299" s="489"/>
      <c r="F3299" s="489"/>
      <c r="G3299" s="490"/>
      <c r="H3299" s="520"/>
      <c r="I3299" s="523"/>
      <c r="J3299" s="521"/>
      <c r="K3299" s="522"/>
      <c r="M3299" s="301" t="str">
        <f>N3299&amp;AS[[#This Row],[Insurer Code]]&amp;"; "&amp;O3299&amp;AS[[#This Row],[Reporting Year]]&amp;"; "&amp;P3299&amp;AS[[#This Row],[Insurance Category Code]]&amp;"; "&amp;Q3299&amp;AS[[#This Row],[Large Provider Entity Code]]&amp;"; "&amp;R3299&amp;AS[[#This Row],[Age Band Code]]&amp;"; "&amp;S3299&amp;AS[[#This Row],[Sex Code]]</f>
        <v xml:space="preserve">Insurer Code ; Reporting Year ; Insurance Category Code ; Large Provider Entity Code ; Age Band Code ; Sex Code </v>
      </c>
      <c r="N3299" s="297" t="s">
        <v>197</v>
      </c>
      <c r="O3299" s="297" t="s">
        <v>198</v>
      </c>
      <c r="P3299" s="297" t="s">
        <v>199</v>
      </c>
      <c r="Q3299" s="297" t="s">
        <v>200</v>
      </c>
      <c r="R3299" s="297" t="s">
        <v>213</v>
      </c>
      <c r="S3299" s="297" t="s">
        <v>214</v>
      </c>
    </row>
    <row r="3300" spans="1:19" x14ac:dyDescent="0.4">
      <c r="A3300" s="291"/>
      <c r="B3300" s="292"/>
      <c r="C3300" s="312"/>
      <c r="D3300" s="292"/>
      <c r="E3300" s="489"/>
      <c r="F3300" s="489"/>
      <c r="G3300" s="490"/>
      <c r="H3300" s="520"/>
      <c r="I3300" s="523"/>
      <c r="J3300" s="521"/>
      <c r="K3300" s="522"/>
      <c r="M3300" s="301" t="str">
        <f>N3300&amp;AS[[#This Row],[Insurer Code]]&amp;"; "&amp;O3300&amp;AS[[#This Row],[Reporting Year]]&amp;"; "&amp;P3300&amp;AS[[#This Row],[Insurance Category Code]]&amp;"; "&amp;Q3300&amp;AS[[#This Row],[Large Provider Entity Code]]&amp;"; "&amp;R3300&amp;AS[[#This Row],[Age Band Code]]&amp;"; "&amp;S3300&amp;AS[[#This Row],[Sex Code]]</f>
        <v xml:space="preserve">Insurer Code ; Reporting Year ; Insurance Category Code ; Large Provider Entity Code ; Age Band Code ; Sex Code </v>
      </c>
      <c r="N3300" s="297" t="s">
        <v>197</v>
      </c>
      <c r="O3300" s="297" t="s">
        <v>198</v>
      </c>
      <c r="P3300" s="297" t="s">
        <v>199</v>
      </c>
      <c r="Q3300" s="297" t="s">
        <v>200</v>
      </c>
      <c r="R3300" s="297" t="s">
        <v>213</v>
      </c>
      <c r="S3300" s="297" t="s">
        <v>214</v>
      </c>
    </row>
    <row r="3301" spans="1:19" x14ac:dyDescent="0.4">
      <c r="A3301" s="291"/>
      <c r="B3301" s="292"/>
      <c r="C3301" s="312"/>
      <c r="D3301" s="292"/>
      <c r="E3301" s="489"/>
      <c r="F3301" s="489"/>
      <c r="G3301" s="490"/>
      <c r="H3301" s="520"/>
      <c r="I3301" s="523"/>
      <c r="J3301" s="521"/>
      <c r="K3301" s="522"/>
      <c r="M3301" s="301" t="str">
        <f>N3301&amp;AS[[#This Row],[Insurer Code]]&amp;"; "&amp;O3301&amp;AS[[#This Row],[Reporting Year]]&amp;"; "&amp;P3301&amp;AS[[#This Row],[Insurance Category Code]]&amp;"; "&amp;Q3301&amp;AS[[#This Row],[Large Provider Entity Code]]&amp;"; "&amp;R3301&amp;AS[[#This Row],[Age Band Code]]&amp;"; "&amp;S3301&amp;AS[[#This Row],[Sex Code]]</f>
        <v xml:space="preserve">Insurer Code ; Reporting Year ; Insurance Category Code ; Large Provider Entity Code ; Age Band Code ; Sex Code </v>
      </c>
      <c r="N3301" s="297" t="s">
        <v>197</v>
      </c>
      <c r="O3301" s="297" t="s">
        <v>198</v>
      </c>
      <c r="P3301" s="297" t="s">
        <v>199</v>
      </c>
      <c r="Q3301" s="297" t="s">
        <v>200</v>
      </c>
      <c r="R3301" s="297" t="s">
        <v>213</v>
      </c>
      <c r="S3301" s="297" t="s">
        <v>214</v>
      </c>
    </row>
    <row r="3302" spans="1:19" x14ac:dyDescent="0.4">
      <c r="A3302" s="291"/>
      <c r="B3302" s="292"/>
      <c r="C3302" s="312"/>
      <c r="D3302" s="292"/>
      <c r="E3302" s="489"/>
      <c r="F3302" s="489"/>
      <c r="G3302" s="490"/>
      <c r="H3302" s="520"/>
      <c r="I3302" s="523"/>
      <c r="J3302" s="521"/>
      <c r="K3302" s="522"/>
      <c r="M3302" s="301" t="str">
        <f>N3302&amp;AS[[#This Row],[Insurer Code]]&amp;"; "&amp;O3302&amp;AS[[#This Row],[Reporting Year]]&amp;"; "&amp;P3302&amp;AS[[#This Row],[Insurance Category Code]]&amp;"; "&amp;Q3302&amp;AS[[#This Row],[Large Provider Entity Code]]&amp;"; "&amp;R3302&amp;AS[[#This Row],[Age Band Code]]&amp;"; "&amp;S3302&amp;AS[[#This Row],[Sex Code]]</f>
        <v xml:space="preserve">Insurer Code ; Reporting Year ; Insurance Category Code ; Large Provider Entity Code ; Age Band Code ; Sex Code </v>
      </c>
      <c r="N3302" s="297" t="s">
        <v>197</v>
      </c>
      <c r="O3302" s="297" t="s">
        <v>198</v>
      </c>
      <c r="P3302" s="297" t="s">
        <v>199</v>
      </c>
      <c r="Q3302" s="297" t="s">
        <v>200</v>
      </c>
      <c r="R3302" s="297" t="s">
        <v>213</v>
      </c>
      <c r="S3302" s="297" t="s">
        <v>214</v>
      </c>
    </row>
    <row r="3303" spans="1:19" x14ac:dyDescent="0.4">
      <c r="A3303" s="291"/>
      <c r="B3303" s="292"/>
      <c r="C3303" s="312"/>
      <c r="D3303" s="292"/>
      <c r="E3303" s="489"/>
      <c r="F3303" s="489"/>
      <c r="G3303" s="490"/>
      <c r="H3303" s="520"/>
      <c r="I3303" s="523"/>
      <c r="J3303" s="521"/>
      <c r="K3303" s="522"/>
      <c r="M3303" s="301" t="str">
        <f>N3303&amp;AS[[#This Row],[Insurer Code]]&amp;"; "&amp;O3303&amp;AS[[#This Row],[Reporting Year]]&amp;"; "&amp;P3303&amp;AS[[#This Row],[Insurance Category Code]]&amp;"; "&amp;Q3303&amp;AS[[#This Row],[Large Provider Entity Code]]&amp;"; "&amp;R3303&amp;AS[[#This Row],[Age Band Code]]&amp;"; "&amp;S3303&amp;AS[[#This Row],[Sex Code]]</f>
        <v xml:space="preserve">Insurer Code ; Reporting Year ; Insurance Category Code ; Large Provider Entity Code ; Age Band Code ; Sex Code </v>
      </c>
      <c r="N3303" s="297" t="s">
        <v>197</v>
      </c>
      <c r="O3303" s="297" t="s">
        <v>198</v>
      </c>
      <c r="P3303" s="297" t="s">
        <v>199</v>
      </c>
      <c r="Q3303" s="297" t="s">
        <v>200</v>
      </c>
      <c r="R3303" s="297" t="s">
        <v>213</v>
      </c>
      <c r="S3303" s="297" t="s">
        <v>214</v>
      </c>
    </row>
    <row r="3304" spans="1:19" x14ac:dyDescent="0.4">
      <c r="A3304" s="291"/>
      <c r="B3304" s="292"/>
      <c r="C3304" s="312"/>
      <c r="D3304" s="292"/>
      <c r="E3304" s="489"/>
      <c r="F3304" s="489"/>
      <c r="G3304" s="490"/>
      <c r="H3304" s="520"/>
      <c r="I3304" s="523"/>
      <c r="J3304" s="521"/>
      <c r="K3304" s="522"/>
      <c r="M3304" s="301" t="str">
        <f>N3304&amp;AS[[#This Row],[Insurer Code]]&amp;"; "&amp;O3304&amp;AS[[#This Row],[Reporting Year]]&amp;"; "&amp;P3304&amp;AS[[#This Row],[Insurance Category Code]]&amp;"; "&amp;Q3304&amp;AS[[#This Row],[Large Provider Entity Code]]&amp;"; "&amp;R3304&amp;AS[[#This Row],[Age Band Code]]&amp;"; "&amp;S3304&amp;AS[[#This Row],[Sex Code]]</f>
        <v xml:space="preserve">Insurer Code ; Reporting Year ; Insurance Category Code ; Large Provider Entity Code ; Age Band Code ; Sex Code </v>
      </c>
      <c r="N3304" s="297" t="s">
        <v>197</v>
      </c>
      <c r="O3304" s="297" t="s">
        <v>198</v>
      </c>
      <c r="P3304" s="297" t="s">
        <v>199</v>
      </c>
      <c r="Q3304" s="297" t="s">
        <v>200</v>
      </c>
      <c r="R3304" s="297" t="s">
        <v>213</v>
      </c>
      <c r="S3304" s="297" t="s">
        <v>214</v>
      </c>
    </row>
    <row r="3305" spans="1:19" x14ac:dyDescent="0.4">
      <c r="A3305" s="291"/>
      <c r="B3305" s="292"/>
      <c r="C3305" s="312"/>
      <c r="D3305" s="292"/>
      <c r="E3305" s="489"/>
      <c r="F3305" s="489"/>
      <c r="G3305" s="490"/>
      <c r="H3305" s="520"/>
      <c r="I3305" s="523"/>
      <c r="J3305" s="521"/>
      <c r="K3305" s="522"/>
      <c r="M3305" s="301" t="str">
        <f>N3305&amp;AS[[#This Row],[Insurer Code]]&amp;"; "&amp;O3305&amp;AS[[#This Row],[Reporting Year]]&amp;"; "&amp;P3305&amp;AS[[#This Row],[Insurance Category Code]]&amp;"; "&amp;Q3305&amp;AS[[#This Row],[Large Provider Entity Code]]&amp;"; "&amp;R3305&amp;AS[[#This Row],[Age Band Code]]&amp;"; "&amp;S3305&amp;AS[[#This Row],[Sex Code]]</f>
        <v xml:space="preserve">Insurer Code ; Reporting Year ; Insurance Category Code ; Large Provider Entity Code ; Age Band Code ; Sex Code </v>
      </c>
      <c r="N3305" s="297" t="s">
        <v>197</v>
      </c>
      <c r="O3305" s="297" t="s">
        <v>198</v>
      </c>
      <c r="P3305" s="297" t="s">
        <v>199</v>
      </c>
      <c r="Q3305" s="297" t="s">
        <v>200</v>
      </c>
      <c r="R3305" s="297" t="s">
        <v>213</v>
      </c>
      <c r="S3305" s="297" t="s">
        <v>214</v>
      </c>
    </row>
    <row r="3306" spans="1:19" x14ac:dyDescent="0.4">
      <c r="A3306" s="291"/>
      <c r="B3306" s="292"/>
      <c r="C3306" s="312"/>
      <c r="D3306" s="292"/>
      <c r="E3306" s="489"/>
      <c r="F3306" s="489"/>
      <c r="G3306" s="490"/>
      <c r="H3306" s="520"/>
      <c r="I3306" s="523"/>
      <c r="J3306" s="521"/>
      <c r="K3306" s="522"/>
      <c r="M3306" s="301" t="str">
        <f>N3306&amp;AS[[#This Row],[Insurer Code]]&amp;"; "&amp;O3306&amp;AS[[#This Row],[Reporting Year]]&amp;"; "&amp;P3306&amp;AS[[#This Row],[Insurance Category Code]]&amp;"; "&amp;Q3306&amp;AS[[#This Row],[Large Provider Entity Code]]&amp;"; "&amp;R3306&amp;AS[[#This Row],[Age Band Code]]&amp;"; "&amp;S3306&amp;AS[[#This Row],[Sex Code]]</f>
        <v xml:space="preserve">Insurer Code ; Reporting Year ; Insurance Category Code ; Large Provider Entity Code ; Age Band Code ; Sex Code </v>
      </c>
      <c r="N3306" s="297" t="s">
        <v>197</v>
      </c>
      <c r="O3306" s="297" t="s">
        <v>198</v>
      </c>
      <c r="P3306" s="297" t="s">
        <v>199</v>
      </c>
      <c r="Q3306" s="297" t="s">
        <v>200</v>
      </c>
      <c r="R3306" s="297" t="s">
        <v>213</v>
      </c>
      <c r="S3306" s="297" t="s">
        <v>214</v>
      </c>
    </row>
    <row r="3307" spans="1:19" x14ac:dyDescent="0.4">
      <c r="A3307" s="291"/>
      <c r="B3307" s="292"/>
      <c r="C3307" s="312"/>
      <c r="D3307" s="292"/>
      <c r="E3307" s="489"/>
      <c r="F3307" s="489"/>
      <c r="G3307" s="490"/>
      <c r="H3307" s="520"/>
      <c r="I3307" s="523"/>
      <c r="J3307" s="521"/>
      <c r="K3307" s="522"/>
      <c r="M3307" s="301" t="str">
        <f>N3307&amp;AS[[#This Row],[Insurer Code]]&amp;"; "&amp;O3307&amp;AS[[#This Row],[Reporting Year]]&amp;"; "&amp;P3307&amp;AS[[#This Row],[Insurance Category Code]]&amp;"; "&amp;Q3307&amp;AS[[#This Row],[Large Provider Entity Code]]&amp;"; "&amp;R3307&amp;AS[[#This Row],[Age Band Code]]&amp;"; "&amp;S3307&amp;AS[[#This Row],[Sex Code]]</f>
        <v xml:space="preserve">Insurer Code ; Reporting Year ; Insurance Category Code ; Large Provider Entity Code ; Age Band Code ; Sex Code </v>
      </c>
      <c r="N3307" s="297" t="s">
        <v>197</v>
      </c>
      <c r="O3307" s="297" t="s">
        <v>198</v>
      </c>
      <c r="P3307" s="297" t="s">
        <v>199</v>
      </c>
      <c r="Q3307" s="297" t="s">
        <v>200</v>
      </c>
      <c r="R3307" s="297" t="s">
        <v>213</v>
      </c>
      <c r="S3307" s="297" t="s">
        <v>214</v>
      </c>
    </row>
    <row r="3308" spans="1:19" x14ac:dyDescent="0.4">
      <c r="A3308" s="291"/>
      <c r="B3308" s="292"/>
      <c r="C3308" s="312"/>
      <c r="D3308" s="292"/>
      <c r="E3308" s="489"/>
      <c r="F3308" s="489"/>
      <c r="G3308" s="490"/>
      <c r="H3308" s="520"/>
      <c r="I3308" s="523"/>
      <c r="J3308" s="521"/>
      <c r="K3308" s="522"/>
      <c r="M3308" s="301" t="str">
        <f>N3308&amp;AS[[#This Row],[Insurer Code]]&amp;"; "&amp;O3308&amp;AS[[#This Row],[Reporting Year]]&amp;"; "&amp;P3308&amp;AS[[#This Row],[Insurance Category Code]]&amp;"; "&amp;Q3308&amp;AS[[#This Row],[Large Provider Entity Code]]&amp;"; "&amp;R3308&amp;AS[[#This Row],[Age Band Code]]&amp;"; "&amp;S3308&amp;AS[[#This Row],[Sex Code]]</f>
        <v xml:space="preserve">Insurer Code ; Reporting Year ; Insurance Category Code ; Large Provider Entity Code ; Age Band Code ; Sex Code </v>
      </c>
      <c r="N3308" s="297" t="s">
        <v>197</v>
      </c>
      <c r="O3308" s="297" t="s">
        <v>198</v>
      </c>
      <c r="P3308" s="297" t="s">
        <v>199</v>
      </c>
      <c r="Q3308" s="297" t="s">
        <v>200</v>
      </c>
      <c r="R3308" s="297" t="s">
        <v>213</v>
      </c>
      <c r="S3308" s="297" t="s">
        <v>214</v>
      </c>
    </row>
    <row r="3309" spans="1:19" x14ac:dyDescent="0.4">
      <c r="A3309" s="291"/>
      <c r="B3309" s="292"/>
      <c r="C3309" s="312"/>
      <c r="D3309" s="292"/>
      <c r="E3309" s="489"/>
      <c r="F3309" s="489"/>
      <c r="G3309" s="490"/>
      <c r="H3309" s="520"/>
      <c r="I3309" s="523"/>
      <c r="J3309" s="521"/>
      <c r="K3309" s="522"/>
      <c r="M3309" s="301" t="str">
        <f>N3309&amp;AS[[#This Row],[Insurer Code]]&amp;"; "&amp;O3309&amp;AS[[#This Row],[Reporting Year]]&amp;"; "&amp;P3309&amp;AS[[#This Row],[Insurance Category Code]]&amp;"; "&amp;Q3309&amp;AS[[#This Row],[Large Provider Entity Code]]&amp;"; "&amp;R3309&amp;AS[[#This Row],[Age Band Code]]&amp;"; "&amp;S3309&amp;AS[[#This Row],[Sex Code]]</f>
        <v xml:space="preserve">Insurer Code ; Reporting Year ; Insurance Category Code ; Large Provider Entity Code ; Age Band Code ; Sex Code </v>
      </c>
      <c r="N3309" s="297" t="s">
        <v>197</v>
      </c>
      <c r="O3309" s="297" t="s">
        <v>198</v>
      </c>
      <c r="P3309" s="297" t="s">
        <v>199</v>
      </c>
      <c r="Q3309" s="297" t="s">
        <v>200</v>
      </c>
      <c r="R3309" s="297" t="s">
        <v>213</v>
      </c>
      <c r="S3309" s="297" t="s">
        <v>214</v>
      </c>
    </row>
    <row r="3310" spans="1:19" x14ac:dyDescent="0.4">
      <c r="A3310" s="291"/>
      <c r="B3310" s="292"/>
      <c r="C3310" s="312"/>
      <c r="D3310" s="292"/>
      <c r="E3310" s="489"/>
      <c r="F3310" s="489"/>
      <c r="G3310" s="490"/>
      <c r="H3310" s="520"/>
      <c r="I3310" s="523"/>
      <c r="J3310" s="521"/>
      <c r="K3310" s="522"/>
      <c r="M3310" s="301" t="str">
        <f>N3310&amp;AS[[#This Row],[Insurer Code]]&amp;"; "&amp;O3310&amp;AS[[#This Row],[Reporting Year]]&amp;"; "&amp;P3310&amp;AS[[#This Row],[Insurance Category Code]]&amp;"; "&amp;Q3310&amp;AS[[#This Row],[Large Provider Entity Code]]&amp;"; "&amp;R3310&amp;AS[[#This Row],[Age Band Code]]&amp;"; "&amp;S3310&amp;AS[[#This Row],[Sex Code]]</f>
        <v xml:space="preserve">Insurer Code ; Reporting Year ; Insurance Category Code ; Large Provider Entity Code ; Age Band Code ; Sex Code </v>
      </c>
      <c r="N3310" s="297" t="s">
        <v>197</v>
      </c>
      <c r="O3310" s="297" t="s">
        <v>198</v>
      </c>
      <c r="P3310" s="297" t="s">
        <v>199</v>
      </c>
      <c r="Q3310" s="297" t="s">
        <v>200</v>
      </c>
      <c r="R3310" s="297" t="s">
        <v>213</v>
      </c>
      <c r="S3310" s="297" t="s">
        <v>214</v>
      </c>
    </row>
    <row r="3311" spans="1:19" x14ac:dyDescent="0.4">
      <c r="A3311" s="291"/>
      <c r="B3311" s="292"/>
      <c r="C3311" s="312"/>
      <c r="D3311" s="292"/>
      <c r="E3311" s="489"/>
      <c r="F3311" s="489"/>
      <c r="G3311" s="490"/>
      <c r="H3311" s="520"/>
      <c r="I3311" s="523"/>
      <c r="J3311" s="521"/>
      <c r="K3311" s="522"/>
      <c r="M3311" s="301" t="str">
        <f>N3311&amp;AS[[#This Row],[Insurer Code]]&amp;"; "&amp;O3311&amp;AS[[#This Row],[Reporting Year]]&amp;"; "&amp;P3311&amp;AS[[#This Row],[Insurance Category Code]]&amp;"; "&amp;Q3311&amp;AS[[#This Row],[Large Provider Entity Code]]&amp;"; "&amp;R3311&amp;AS[[#This Row],[Age Band Code]]&amp;"; "&amp;S3311&amp;AS[[#This Row],[Sex Code]]</f>
        <v xml:space="preserve">Insurer Code ; Reporting Year ; Insurance Category Code ; Large Provider Entity Code ; Age Band Code ; Sex Code </v>
      </c>
      <c r="N3311" s="297" t="s">
        <v>197</v>
      </c>
      <c r="O3311" s="297" t="s">
        <v>198</v>
      </c>
      <c r="P3311" s="297" t="s">
        <v>199</v>
      </c>
      <c r="Q3311" s="297" t="s">
        <v>200</v>
      </c>
      <c r="R3311" s="297" t="s">
        <v>213</v>
      </c>
      <c r="S3311" s="297" t="s">
        <v>214</v>
      </c>
    </row>
    <row r="3312" spans="1:19" x14ac:dyDescent="0.4">
      <c r="A3312" s="291"/>
      <c r="B3312" s="292"/>
      <c r="C3312" s="312"/>
      <c r="D3312" s="292"/>
      <c r="E3312" s="489"/>
      <c r="F3312" s="489"/>
      <c r="G3312" s="490"/>
      <c r="H3312" s="520"/>
      <c r="I3312" s="523"/>
      <c r="J3312" s="521"/>
      <c r="K3312" s="522"/>
      <c r="M3312" s="301" t="str">
        <f>N3312&amp;AS[[#This Row],[Insurer Code]]&amp;"; "&amp;O3312&amp;AS[[#This Row],[Reporting Year]]&amp;"; "&amp;P3312&amp;AS[[#This Row],[Insurance Category Code]]&amp;"; "&amp;Q3312&amp;AS[[#This Row],[Large Provider Entity Code]]&amp;"; "&amp;R3312&amp;AS[[#This Row],[Age Band Code]]&amp;"; "&amp;S3312&amp;AS[[#This Row],[Sex Code]]</f>
        <v xml:space="preserve">Insurer Code ; Reporting Year ; Insurance Category Code ; Large Provider Entity Code ; Age Band Code ; Sex Code </v>
      </c>
      <c r="N3312" s="297" t="s">
        <v>197</v>
      </c>
      <c r="O3312" s="297" t="s">
        <v>198</v>
      </c>
      <c r="P3312" s="297" t="s">
        <v>199</v>
      </c>
      <c r="Q3312" s="297" t="s">
        <v>200</v>
      </c>
      <c r="R3312" s="297" t="s">
        <v>213</v>
      </c>
      <c r="S3312" s="297" t="s">
        <v>214</v>
      </c>
    </row>
    <row r="3313" spans="1:19" x14ac:dyDescent="0.4">
      <c r="A3313" s="291"/>
      <c r="B3313" s="292"/>
      <c r="C3313" s="312"/>
      <c r="D3313" s="292"/>
      <c r="E3313" s="489"/>
      <c r="F3313" s="489"/>
      <c r="G3313" s="490"/>
      <c r="H3313" s="520"/>
      <c r="I3313" s="523"/>
      <c r="J3313" s="521"/>
      <c r="K3313" s="522"/>
      <c r="M3313" s="301" t="str">
        <f>N3313&amp;AS[[#This Row],[Insurer Code]]&amp;"; "&amp;O3313&amp;AS[[#This Row],[Reporting Year]]&amp;"; "&amp;P3313&amp;AS[[#This Row],[Insurance Category Code]]&amp;"; "&amp;Q3313&amp;AS[[#This Row],[Large Provider Entity Code]]&amp;"; "&amp;R3313&amp;AS[[#This Row],[Age Band Code]]&amp;"; "&amp;S3313&amp;AS[[#This Row],[Sex Code]]</f>
        <v xml:space="preserve">Insurer Code ; Reporting Year ; Insurance Category Code ; Large Provider Entity Code ; Age Band Code ; Sex Code </v>
      </c>
      <c r="N3313" s="297" t="s">
        <v>197</v>
      </c>
      <c r="O3313" s="297" t="s">
        <v>198</v>
      </c>
      <c r="P3313" s="297" t="s">
        <v>199</v>
      </c>
      <c r="Q3313" s="297" t="s">
        <v>200</v>
      </c>
      <c r="R3313" s="297" t="s">
        <v>213</v>
      </c>
      <c r="S3313" s="297" t="s">
        <v>214</v>
      </c>
    </row>
    <row r="3314" spans="1:19" x14ac:dyDescent="0.4">
      <c r="A3314" s="291"/>
      <c r="B3314" s="292"/>
      <c r="C3314" s="312"/>
      <c r="D3314" s="292"/>
      <c r="E3314" s="489"/>
      <c r="F3314" s="489"/>
      <c r="G3314" s="490"/>
      <c r="H3314" s="520"/>
      <c r="I3314" s="523"/>
      <c r="J3314" s="521"/>
      <c r="K3314" s="522"/>
      <c r="M3314" s="301" t="str">
        <f>N3314&amp;AS[[#This Row],[Insurer Code]]&amp;"; "&amp;O3314&amp;AS[[#This Row],[Reporting Year]]&amp;"; "&amp;P3314&amp;AS[[#This Row],[Insurance Category Code]]&amp;"; "&amp;Q3314&amp;AS[[#This Row],[Large Provider Entity Code]]&amp;"; "&amp;R3314&amp;AS[[#This Row],[Age Band Code]]&amp;"; "&amp;S3314&amp;AS[[#This Row],[Sex Code]]</f>
        <v xml:space="preserve">Insurer Code ; Reporting Year ; Insurance Category Code ; Large Provider Entity Code ; Age Band Code ; Sex Code </v>
      </c>
      <c r="N3314" s="297" t="s">
        <v>197</v>
      </c>
      <c r="O3314" s="297" t="s">
        <v>198</v>
      </c>
      <c r="P3314" s="297" t="s">
        <v>199</v>
      </c>
      <c r="Q3314" s="297" t="s">
        <v>200</v>
      </c>
      <c r="R3314" s="297" t="s">
        <v>213</v>
      </c>
      <c r="S3314" s="297" t="s">
        <v>214</v>
      </c>
    </row>
    <row r="3315" spans="1:19" x14ac:dyDescent="0.4">
      <c r="A3315" s="291"/>
      <c r="B3315" s="292"/>
      <c r="C3315" s="312"/>
      <c r="D3315" s="292"/>
      <c r="E3315" s="489"/>
      <c r="F3315" s="489"/>
      <c r="G3315" s="490"/>
      <c r="H3315" s="520"/>
      <c r="I3315" s="523"/>
      <c r="J3315" s="521"/>
      <c r="K3315" s="522"/>
      <c r="M3315" s="301" t="str">
        <f>N3315&amp;AS[[#This Row],[Insurer Code]]&amp;"; "&amp;O3315&amp;AS[[#This Row],[Reporting Year]]&amp;"; "&amp;P3315&amp;AS[[#This Row],[Insurance Category Code]]&amp;"; "&amp;Q3315&amp;AS[[#This Row],[Large Provider Entity Code]]&amp;"; "&amp;R3315&amp;AS[[#This Row],[Age Band Code]]&amp;"; "&amp;S3315&amp;AS[[#This Row],[Sex Code]]</f>
        <v xml:space="preserve">Insurer Code ; Reporting Year ; Insurance Category Code ; Large Provider Entity Code ; Age Band Code ; Sex Code </v>
      </c>
      <c r="N3315" s="297" t="s">
        <v>197</v>
      </c>
      <c r="O3315" s="297" t="s">
        <v>198</v>
      </c>
      <c r="P3315" s="297" t="s">
        <v>199</v>
      </c>
      <c r="Q3315" s="297" t="s">
        <v>200</v>
      </c>
      <c r="R3315" s="297" t="s">
        <v>213</v>
      </c>
      <c r="S3315" s="297" t="s">
        <v>214</v>
      </c>
    </row>
    <row r="3316" spans="1:19" x14ac:dyDescent="0.4">
      <c r="A3316" s="291"/>
      <c r="B3316" s="292"/>
      <c r="C3316" s="312"/>
      <c r="D3316" s="292"/>
      <c r="E3316" s="489"/>
      <c r="F3316" s="489"/>
      <c r="G3316" s="490"/>
      <c r="H3316" s="520"/>
      <c r="I3316" s="523"/>
      <c r="J3316" s="521"/>
      <c r="K3316" s="522"/>
      <c r="M3316" s="301" t="str">
        <f>N3316&amp;AS[[#This Row],[Insurer Code]]&amp;"; "&amp;O3316&amp;AS[[#This Row],[Reporting Year]]&amp;"; "&amp;P3316&amp;AS[[#This Row],[Insurance Category Code]]&amp;"; "&amp;Q3316&amp;AS[[#This Row],[Large Provider Entity Code]]&amp;"; "&amp;R3316&amp;AS[[#This Row],[Age Band Code]]&amp;"; "&amp;S3316&amp;AS[[#This Row],[Sex Code]]</f>
        <v xml:space="preserve">Insurer Code ; Reporting Year ; Insurance Category Code ; Large Provider Entity Code ; Age Band Code ; Sex Code </v>
      </c>
      <c r="N3316" s="297" t="s">
        <v>197</v>
      </c>
      <c r="O3316" s="297" t="s">
        <v>198</v>
      </c>
      <c r="P3316" s="297" t="s">
        <v>199</v>
      </c>
      <c r="Q3316" s="297" t="s">
        <v>200</v>
      </c>
      <c r="R3316" s="297" t="s">
        <v>213</v>
      </c>
      <c r="S3316" s="297" t="s">
        <v>214</v>
      </c>
    </row>
    <row r="3317" spans="1:19" x14ac:dyDescent="0.4">
      <c r="A3317" s="291"/>
      <c r="B3317" s="292"/>
      <c r="C3317" s="312"/>
      <c r="D3317" s="292"/>
      <c r="E3317" s="489"/>
      <c r="F3317" s="489"/>
      <c r="G3317" s="490"/>
      <c r="H3317" s="520"/>
      <c r="I3317" s="523"/>
      <c r="J3317" s="521"/>
      <c r="K3317" s="522"/>
      <c r="M3317" s="301" t="str">
        <f>N3317&amp;AS[[#This Row],[Insurer Code]]&amp;"; "&amp;O3317&amp;AS[[#This Row],[Reporting Year]]&amp;"; "&amp;P3317&amp;AS[[#This Row],[Insurance Category Code]]&amp;"; "&amp;Q3317&amp;AS[[#This Row],[Large Provider Entity Code]]&amp;"; "&amp;R3317&amp;AS[[#This Row],[Age Band Code]]&amp;"; "&amp;S3317&amp;AS[[#This Row],[Sex Code]]</f>
        <v xml:space="preserve">Insurer Code ; Reporting Year ; Insurance Category Code ; Large Provider Entity Code ; Age Band Code ; Sex Code </v>
      </c>
      <c r="N3317" s="297" t="s">
        <v>197</v>
      </c>
      <c r="O3317" s="297" t="s">
        <v>198</v>
      </c>
      <c r="P3317" s="297" t="s">
        <v>199</v>
      </c>
      <c r="Q3317" s="297" t="s">
        <v>200</v>
      </c>
      <c r="R3317" s="297" t="s">
        <v>213</v>
      </c>
      <c r="S3317" s="297" t="s">
        <v>214</v>
      </c>
    </row>
    <row r="3318" spans="1:19" x14ac:dyDescent="0.4">
      <c r="A3318" s="291"/>
      <c r="B3318" s="292"/>
      <c r="C3318" s="312"/>
      <c r="D3318" s="292"/>
      <c r="E3318" s="489"/>
      <c r="F3318" s="489"/>
      <c r="G3318" s="490"/>
      <c r="H3318" s="520"/>
      <c r="I3318" s="523"/>
      <c r="J3318" s="521"/>
      <c r="K3318" s="522"/>
      <c r="M3318" s="301" t="str">
        <f>N3318&amp;AS[[#This Row],[Insurer Code]]&amp;"; "&amp;O3318&amp;AS[[#This Row],[Reporting Year]]&amp;"; "&amp;P3318&amp;AS[[#This Row],[Insurance Category Code]]&amp;"; "&amp;Q3318&amp;AS[[#This Row],[Large Provider Entity Code]]&amp;"; "&amp;R3318&amp;AS[[#This Row],[Age Band Code]]&amp;"; "&amp;S3318&amp;AS[[#This Row],[Sex Code]]</f>
        <v xml:space="preserve">Insurer Code ; Reporting Year ; Insurance Category Code ; Large Provider Entity Code ; Age Band Code ; Sex Code </v>
      </c>
      <c r="N3318" s="297" t="s">
        <v>197</v>
      </c>
      <c r="O3318" s="297" t="s">
        <v>198</v>
      </c>
      <c r="P3318" s="297" t="s">
        <v>199</v>
      </c>
      <c r="Q3318" s="297" t="s">
        <v>200</v>
      </c>
      <c r="R3318" s="297" t="s">
        <v>213</v>
      </c>
      <c r="S3318" s="297" t="s">
        <v>214</v>
      </c>
    </row>
    <row r="3319" spans="1:19" x14ac:dyDescent="0.4">
      <c r="A3319" s="291"/>
      <c r="B3319" s="292"/>
      <c r="C3319" s="312"/>
      <c r="D3319" s="292"/>
      <c r="E3319" s="489"/>
      <c r="F3319" s="489"/>
      <c r="G3319" s="490"/>
      <c r="H3319" s="520"/>
      <c r="I3319" s="523"/>
      <c r="J3319" s="521"/>
      <c r="K3319" s="522"/>
      <c r="M3319" s="301" t="str">
        <f>N3319&amp;AS[[#This Row],[Insurer Code]]&amp;"; "&amp;O3319&amp;AS[[#This Row],[Reporting Year]]&amp;"; "&amp;P3319&amp;AS[[#This Row],[Insurance Category Code]]&amp;"; "&amp;Q3319&amp;AS[[#This Row],[Large Provider Entity Code]]&amp;"; "&amp;R3319&amp;AS[[#This Row],[Age Band Code]]&amp;"; "&amp;S3319&amp;AS[[#This Row],[Sex Code]]</f>
        <v xml:space="preserve">Insurer Code ; Reporting Year ; Insurance Category Code ; Large Provider Entity Code ; Age Band Code ; Sex Code </v>
      </c>
      <c r="N3319" s="297" t="s">
        <v>197</v>
      </c>
      <c r="O3319" s="297" t="s">
        <v>198</v>
      </c>
      <c r="P3319" s="297" t="s">
        <v>199</v>
      </c>
      <c r="Q3319" s="297" t="s">
        <v>200</v>
      </c>
      <c r="R3319" s="297" t="s">
        <v>213</v>
      </c>
      <c r="S3319" s="297" t="s">
        <v>214</v>
      </c>
    </row>
    <row r="3320" spans="1:19" x14ac:dyDescent="0.4">
      <c r="A3320" s="291"/>
      <c r="B3320" s="292"/>
      <c r="C3320" s="312"/>
      <c r="D3320" s="292"/>
      <c r="E3320" s="489"/>
      <c r="F3320" s="489"/>
      <c r="G3320" s="490"/>
      <c r="H3320" s="520"/>
      <c r="I3320" s="523"/>
      <c r="J3320" s="521"/>
      <c r="K3320" s="522"/>
      <c r="M3320" s="301" t="str">
        <f>N3320&amp;AS[[#This Row],[Insurer Code]]&amp;"; "&amp;O3320&amp;AS[[#This Row],[Reporting Year]]&amp;"; "&amp;P3320&amp;AS[[#This Row],[Insurance Category Code]]&amp;"; "&amp;Q3320&amp;AS[[#This Row],[Large Provider Entity Code]]&amp;"; "&amp;R3320&amp;AS[[#This Row],[Age Band Code]]&amp;"; "&amp;S3320&amp;AS[[#This Row],[Sex Code]]</f>
        <v xml:space="preserve">Insurer Code ; Reporting Year ; Insurance Category Code ; Large Provider Entity Code ; Age Band Code ; Sex Code </v>
      </c>
      <c r="N3320" s="297" t="s">
        <v>197</v>
      </c>
      <c r="O3320" s="297" t="s">
        <v>198</v>
      </c>
      <c r="P3320" s="297" t="s">
        <v>199</v>
      </c>
      <c r="Q3320" s="297" t="s">
        <v>200</v>
      </c>
      <c r="R3320" s="297" t="s">
        <v>213</v>
      </c>
      <c r="S3320" s="297" t="s">
        <v>214</v>
      </c>
    </row>
    <row r="3321" spans="1:19" x14ac:dyDescent="0.4">
      <c r="A3321" s="291"/>
      <c r="B3321" s="292"/>
      <c r="C3321" s="312"/>
      <c r="D3321" s="292"/>
      <c r="E3321" s="489"/>
      <c r="F3321" s="489"/>
      <c r="G3321" s="490"/>
      <c r="H3321" s="520"/>
      <c r="I3321" s="523"/>
      <c r="J3321" s="521"/>
      <c r="K3321" s="522"/>
      <c r="M3321" s="301" t="str">
        <f>N3321&amp;AS[[#This Row],[Insurer Code]]&amp;"; "&amp;O3321&amp;AS[[#This Row],[Reporting Year]]&amp;"; "&amp;P3321&amp;AS[[#This Row],[Insurance Category Code]]&amp;"; "&amp;Q3321&amp;AS[[#This Row],[Large Provider Entity Code]]&amp;"; "&amp;R3321&amp;AS[[#This Row],[Age Band Code]]&amp;"; "&amp;S3321&amp;AS[[#This Row],[Sex Code]]</f>
        <v xml:space="preserve">Insurer Code ; Reporting Year ; Insurance Category Code ; Large Provider Entity Code ; Age Band Code ; Sex Code </v>
      </c>
      <c r="N3321" s="297" t="s">
        <v>197</v>
      </c>
      <c r="O3321" s="297" t="s">
        <v>198</v>
      </c>
      <c r="P3321" s="297" t="s">
        <v>199</v>
      </c>
      <c r="Q3321" s="297" t="s">
        <v>200</v>
      </c>
      <c r="R3321" s="297" t="s">
        <v>213</v>
      </c>
      <c r="S3321" s="297" t="s">
        <v>214</v>
      </c>
    </row>
    <row r="3322" spans="1:19" x14ac:dyDescent="0.4">
      <c r="A3322" s="291"/>
      <c r="B3322" s="292"/>
      <c r="C3322" s="312"/>
      <c r="D3322" s="292"/>
      <c r="E3322" s="489"/>
      <c r="F3322" s="489"/>
      <c r="G3322" s="490"/>
      <c r="H3322" s="520"/>
      <c r="I3322" s="523"/>
      <c r="J3322" s="521"/>
      <c r="K3322" s="522"/>
      <c r="M3322" s="301" t="str">
        <f>N3322&amp;AS[[#This Row],[Insurer Code]]&amp;"; "&amp;O3322&amp;AS[[#This Row],[Reporting Year]]&amp;"; "&amp;P3322&amp;AS[[#This Row],[Insurance Category Code]]&amp;"; "&amp;Q3322&amp;AS[[#This Row],[Large Provider Entity Code]]&amp;"; "&amp;R3322&amp;AS[[#This Row],[Age Band Code]]&amp;"; "&amp;S3322&amp;AS[[#This Row],[Sex Code]]</f>
        <v xml:space="preserve">Insurer Code ; Reporting Year ; Insurance Category Code ; Large Provider Entity Code ; Age Band Code ; Sex Code </v>
      </c>
      <c r="N3322" s="297" t="s">
        <v>197</v>
      </c>
      <c r="O3322" s="297" t="s">
        <v>198</v>
      </c>
      <c r="P3322" s="297" t="s">
        <v>199</v>
      </c>
      <c r="Q3322" s="297" t="s">
        <v>200</v>
      </c>
      <c r="R3322" s="297" t="s">
        <v>213</v>
      </c>
      <c r="S3322" s="297" t="s">
        <v>214</v>
      </c>
    </row>
    <row r="3323" spans="1:19" x14ac:dyDescent="0.4">
      <c r="A3323" s="291"/>
      <c r="B3323" s="292"/>
      <c r="C3323" s="312"/>
      <c r="D3323" s="292"/>
      <c r="E3323" s="489"/>
      <c r="F3323" s="489"/>
      <c r="G3323" s="490"/>
      <c r="H3323" s="520"/>
      <c r="I3323" s="523"/>
      <c r="J3323" s="521"/>
      <c r="K3323" s="522"/>
      <c r="M3323" s="301" t="str">
        <f>N3323&amp;AS[[#This Row],[Insurer Code]]&amp;"; "&amp;O3323&amp;AS[[#This Row],[Reporting Year]]&amp;"; "&amp;P3323&amp;AS[[#This Row],[Insurance Category Code]]&amp;"; "&amp;Q3323&amp;AS[[#This Row],[Large Provider Entity Code]]&amp;"; "&amp;R3323&amp;AS[[#This Row],[Age Band Code]]&amp;"; "&amp;S3323&amp;AS[[#This Row],[Sex Code]]</f>
        <v xml:space="preserve">Insurer Code ; Reporting Year ; Insurance Category Code ; Large Provider Entity Code ; Age Band Code ; Sex Code </v>
      </c>
      <c r="N3323" s="297" t="s">
        <v>197</v>
      </c>
      <c r="O3323" s="297" t="s">
        <v>198</v>
      </c>
      <c r="P3323" s="297" t="s">
        <v>199</v>
      </c>
      <c r="Q3323" s="297" t="s">
        <v>200</v>
      </c>
      <c r="R3323" s="297" t="s">
        <v>213</v>
      </c>
      <c r="S3323" s="297" t="s">
        <v>214</v>
      </c>
    </row>
    <row r="3324" spans="1:19" x14ac:dyDescent="0.4">
      <c r="A3324" s="291"/>
      <c r="B3324" s="292"/>
      <c r="C3324" s="312"/>
      <c r="D3324" s="292"/>
      <c r="E3324" s="489"/>
      <c r="F3324" s="489"/>
      <c r="G3324" s="490"/>
      <c r="H3324" s="520"/>
      <c r="I3324" s="523"/>
      <c r="J3324" s="521"/>
      <c r="K3324" s="522"/>
      <c r="M3324" s="301" t="str">
        <f>N3324&amp;AS[[#This Row],[Insurer Code]]&amp;"; "&amp;O3324&amp;AS[[#This Row],[Reporting Year]]&amp;"; "&amp;P3324&amp;AS[[#This Row],[Insurance Category Code]]&amp;"; "&amp;Q3324&amp;AS[[#This Row],[Large Provider Entity Code]]&amp;"; "&amp;R3324&amp;AS[[#This Row],[Age Band Code]]&amp;"; "&amp;S3324&amp;AS[[#This Row],[Sex Code]]</f>
        <v xml:space="preserve">Insurer Code ; Reporting Year ; Insurance Category Code ; Large Provider Entity Code ; Age Band Code ; Sex Code </v>
      </c>
      <c r="N3324" s="297" t="s">
        <v>197</v>
      </c>
      <c r="O3324" s="297" t="s">
        <v>198</v>
      </c>
      <c r="P3324" s="297" t="s">
        <v>199</v>
      </c>
      <c r="Q3324" s="297" t="s">
        <v>200</v>
      </c>
      <c r="R3324" s="297" t="s">
        <v>213</v>
      </c>
      <c r="S3324" s="297" t="s">
        <v>214</v>
      </c>
    </row>
    <row r="3325" spans="1:19" x14ac:dyDescent="0.4">
      <c r="A3325" s="291"/>
      <c r="B3325" s="292"/>
      <c r="C3325" s="312"/>
      <c r="D3325" s="292"/>
      <c r="E3325" s="489"/>
      <c r="F3325" s="489"/>
      <c r="G3325" s="490"/>
      <c r="H3325" s="520"/>
      <c r="I3325" s="523"/>
      <c r="J3325" s="521"/>
      <c r="K3325" s="522"/>
      <c r="M3325" s="301" t="str">
        <f>N3325&amp;AS[[#This Row],[Insurer Code]]&amp;"; "&amp;O3325&amp;AS[[#This Row],[Reporting Year]]&amp;"; "&amp;P3325&amp;AS[[#This Row],[Insurance Category Code]]&amp;"; "&amp;Q3325&amp;AS[[#This Row],[Large Provider Entity Code]]&amp;"; "&amp;R3325&amp;AS[[#This Row],[Age Band Code]]&amp;"; "&amp;S3325&amp;AS[[#This Row],[Sex Code]]</f>
        <v xml:space="preserve">Insurer Code ; Reporting Year ; Insurance Category Code ; Large Provider Entity Code ; Age Band Code ; Sex Code </v>
      </c>
      <c r="N3325" s="297" t="s">
        <v>197</v>
      </c>
      <c r="O3325" s="297" t="s">
        <v>198</v>
      </c>
      <c r="P3325" s="297" t="s">
        <v>199</v>
      </c>
      <c r="Q3325" s="297" t="s">
        <v>200</v>
      </c>
      <c r="R3325" s="297" t="s">
        <v>213</v>
      </c>
      <c r="S3325" s="297" t="s">
        <v>214</v>
      </c>
    </row>
    <row r="3326" spans="1:19" x14ac:dyDescent="0.4">
      <c r="A3326" s="291"/>
      <c r="B3326" s="292"/>
      <c r="C3326" s="312"/>
      <c r="D3326" s="292"/>
      <c r="E3326" s="489"/>
      <c r="F3326" s="489"/>
      <c r="G3326" s="490"/>
      <c r="H3326" s="520"/>
      <c r="I3326" s="523"/>
      <c r="J3326" s="521"/>
      <c r="K3326" s="522"/>
      <c r="M3326" s="301" t="str">
        <f>N3326&amp;AS[[#This Row],[Insurer Code]]&amp;"; "&amp;O3326&amp;AS[[#This Row],[Reporting Year]]&amp;"; "&amp;P3326&amp;AS[[#This Row],[Insurance Category Code]]&amp;"; "&amp;Q3326&amp;AS[[#This Row],[Large Provider Entity Code]]&amp;"; "&amp;R3326&amp;AS[[#This Row],[Age Band Code]]&amp;"; "&amp;S3326&amp;AS[[#This Row],[Sex Code]]</f>
        <v xml:space="preserve">Insurer Code ; Reporting Year ; Insurance Category Code ; Large Provider Entity Code ; Age Band Code ; Sex Code </v>
      </c>
      <c r="N3326" s="297" t="s">
        <v>197</v>
      </c>
      <c r="O3326" s="297" t="s">
        <v>198</v>
      </c>
      <c r="P3326" s="297" t="s">
        <v>199</v>
      </c>
      <c r="Q3326" s="297" t="s">
        <v>200</v>
      </c>
      <c r="R3326" s="297" t="s">
        <v>213</v>
      </c>
      <c r="S3326" s="297" t="s">
        <v>214</v>
      </c>
    </row>
    <row r="3327" spans="1:19" x14ac:dyDescent="0.4">
      <c r="A3327" s="291"/>
      <c r="B3327" s="292"/>
      <c r="C3327" s="312"/>
      <c r="D3327" s="292"/>
      <c r="E3327" s="489"/>
      <c r="F3327" s="489"/>
      <c r="G3327" s="490"/>
      <c r="H3327" s="520"/>
      <c r="I3327" s="523"/>
      <c r="J3327" s="521"/>
      <c r="K3327" s="522"/>
      <c r="M3327" s="301" t="str">
        <f>N3327&amp;AS[[#This Row],[Insurer Code]]&amp;"; "&amp;O3327&amp;AS[[#This Row],[Reporting Year]]&amp;"; "&amp;P3327&amp;AS[[#This Row],[Insurance Category Code]]&amp;"; "&amp;Q3327&amp;AS[[#This Row],[Large Provider Entity Code]]&amp;"; "&amp;R3327&amp;AS[[#This Row],[Age Band Code]]&amp;"; "&amp;S3327&amp;AS[[#This Row],[Sex Code]]</f>
        <v xml:space="preserve">Insurer Code ; Reporting Year ; Insurance Category Code ; Large Provider Entity Code ; Age Band Code ; Sex Code </v>
      </c>
      <c r="N3327" s="297" t="s">
        <v>197</v>
      </c>
      <c r="O3327" s="297" t="s">
        <v>198</v>
      </c>
      <c r="P3327" s="297" t="s">
        <v>199</v>
      </c>
      <c r="Q3327" s="297" t="s">
        <v>200</v>
      </c>
      <c r="R3327" s="297" t="s">
        <v>213</v>
      </c>
      <c r="S3327" s="297" t="s">
        <v>214</v>
      </c>
    </row>
    <row r="3328" spans="1:19" x14ac:dyDescent="0.4">
      <c r="A3328" s="291"/>
      <c r="B3328" s="292"/>
      <c r="C3328" s="312"/>
      <c r="D3328" s="292"/>
      <c r="E3328" s="489"/>
      <c r="F3328" s="489"/>
      <c r="G3328" s="490"/>
      <c r="H3328" s="520"/>
      <c r="I3328" s="523"/>
      <c r="J3328" s="521"/>
      <c r="K3328" s="522"/>
      <c r="M3328" s="301" t="str">
        <f>N3328&amp;AS[[#This Row],[Insurer Code]]&amp;"; "&amp;O3328&amp;AS[[#This Row],[Reporting Year]]&amp;"; "&amp;P3328&amp;AS[[#This Row],[Insurance Category Code]]&amp;"; "&amp;Q3328&amp;AS[[#This Row],[Large Provider Entity Code]]&amp;"; "&amp;R3328&amp;AS[[#This Row],[Age Band Code]]&amp;"; "&amp;S3328&amp;AS[[#This Row],[Sex Code]]</f>
        <v xml:space="preserve">Insurer Code ; Reporting Year ; Insurance Category Code ; Large Provider Entity Code ; Age Band Code ; Sex Code </v>
      </c>
      <c r="N3328" s="297" t="s">
        <v>197</v>
      </c>
      <c r="O3328" s="297" t="s">
        <v>198</v>
      </c>
      <c r="P3328" s="297" t="s">
        <v>199</v>
      </c>
      <c r="Q3328" s="297" t="s">
        <v>200</v>
      </c>
      <c r="R3328" s="297" t="s">
        <v>213</v>
      </c>
      <c r="S3328" s="297" t="s">
        <v>214</v>
      </c>
    </row>
    <row r="3329" spans="1:19" x14ac:dyDescent="0.4">
      <c r="A3329" s="291"/>
      <c r="B3329" s="292"/>
      <c r="C3329" s="312"/>
      <c r="D3329" s="292"/>
      <c r="E3329" s="489"/>
      <c r="F3329" s="489"/>
      <c r="G3329" s="490"/>
      <c r="H3329" s="520"/>
      <c r="I3329" s="523"/>
      <c r="J3329" s="521"/>
      <c r="K3329" s="522"/>
      <c r="M3329" s="301" t="str">
        <f>N3329&amp;AS[[#This Row],[Insurer Code]]&amp;"; "&amp;O3329&amp;AS[[#This Row],[Reporting Year]]&amp;"; "&amp;P3329&amp;AS[[#This Row],[Insurance Category Code]]&amp;"; "&amp;Q3329&amp;AS[[#This Row],[Large Provider Entity Code]]&amp;"; "&amp;R3329&amp;AS[[#This Row],[Age Band Code]]&amp;"; "&amp;S3329&amp;AS[[#This Row],[Sex Code]]</f>
        <v xml:space="preserve">Insurer Code ; Reporting Year ; Insurance Category Code ; Large Provider Entity Code ; Age Band Code ; Sex Code </v>
      </c>
      <c r="N3329" s="297" t="s">
        <v>197</v>
      </c>
      <c r="O3329" s="297" t="s">
        <v>198</v>
      </c>
      <c r="P3329" s="297" t="s">
        <v>199</v>
      </c>
      <c r="Q3329" s="297" t="s">
        <v>200</v>
      </c>
      <c r="R3329" s="297" t="s">
        <v>213</v>
      </c>
      <c r="S3329" s="297" t="s">
        <v>214</v>
      </c>
    </row>
    <row r="3330" spans="1:19" x14ac:dyDescent="0.4">
      <c r="A3330" s="291"/>
      <c r="B3330" s="292"/>
      <c r="C3330" s="312"/>
      <c r="D3330" s="292"/>
      <c r="E3330" s="489"/>
      <c r="F3330" s="489"/>
      <c r="G3330" s="490"/>
      <c r="H3330" s="520"/>
      <c r="I3330" s="523"/>
      <c r="J3330" s="521"/>
      <c r="K3330" s="522"/>
      <c r="M3330" s="301" t="str">
        <f>N3330&amp;AS[[#This Row],[Insurer Code]]&amp;"; "&amp;O3330&amp;AS[[#This Row],[Reporting Year]]&amp;"; "&amp;P3330&amp;AS[[#This Row],[Insurance Category Code]]&amp;"; "&amp;Q3330&amp;AS[[#This Row],[Large Provider Entity Code]]&amp;"; "&amp;R3330&amp;AS[[#This Row],[Age Band Code]]&amp;"; "&amp;S3330&amp;AS[[#This Row],[Sex Code]]</f>
        <v xml:space="preserve">Insurer Code ; Reporting Year ; Insurance Category Code ; Large Provider Entity Code ; Age Band Code ; Sex Code </v>
      </c>
      <c r="N3330" s="297" t="s">
        <v>197</v>
      </c>
      <c r="O3330" s="297" t="s">
        <v>198</v>
      </c>
      <c r="P3330" s="297" t="s">
        <v>199</v>
      </c>
      <c r="Q3330" s="297" t="s">
        <v>200</v>
      </c>
      <c r="R3330" s="297" t="s">
        <v>213</v>
      </c>
      <c r="S3330" s="297" t="s">
        <v>214</v>
      </c>
    </row>
    <row r="3331" spans="1:19" x14ac:dyDescent="0.4">
      <c r="A3331" s="291"/>
      <c r="B3331" s="292"/>
      <c r="C3331" s="312"/>
      <c r="D3331" s="292"/>
      <c r="E3331" s="489"/>
      <c r="F3331" s="489"/>
      <c r="G3331" s="490"/>
      <c r="H3331" s="520"/>
      <c r="I3331" s="523"/>
      <c r="J3331" s="521"/>
      <c r="K3331" s="522"/>
      <c r="M3331" s="301" t="str">
        <f>N3331&amp;AS[[#This Row],[Insurer Code]]&amp;"; "&amp;O3331&amp;AS[[#This Row],[Reporting Year]]&amp;"; "&amp;P3331&amp;AS[[#This Row],[Insurance Category Code]]&amp;"; "&amp;Q3331&amp;AS[[#This Row],[Large Provider Entity Code]]&amp;"; "&amp;R3331&amp;AS[[#This Row],[Age Band Code]]&amp;"; "&amp;S3331&amp;AS[[#This Row],[Sex Code]]</f>
        <v xml:space="preserve">Insurer Code ; Reporting Year ; Insurance Category Code ; Large Provider Entity Code ; Age Band Code ; Sex Code </v>
      </c>
      <c r="N3331" s="297" t="s">
        <v>197</v>
      </c>
      <c r="O3331" s="297" t="s">
        <v>198</v>
      </c>
      <c r="P3331" s="297" t="s">
        <v>199</v>
      </c>
      <c r="Q3331" s="297" t="s">
        <v>200</v>
      </c>
      <c r="R3331" s="297" t="s">
        <v>213</v>
      </c>
      <c r="S3331" s="297" t="s">
        <v>214</v>
      </c>
    </row>
    <row r="3332" spans="1:19" x14ac:dyDescent="0.4">
      <c r="A3332" s="291"/>
      <c r="B3332" s="292"/>
      <c r="C3332" s="312"/>
      <c r="D3332" s="292"/>
      <c r="E3332" s="489"/>
      <c r="F3332" s="489"/>
      <c r="G3332" s="490"/>
      <c r="H3332" s="520"/>
      <c r="I3332" s="523"/>
      <c r="J3332" s="521"/>
      <c r="K3332" s="522"/>
      <c r="M3332" s="301" t="str">
        <f>N3332&amp;AS[[#This Row],[Insurer Code]]&amp;"; "&amp;O3332&amp;AS[[#This Row],[Reporting Year]]&amp;"; "&amp;P3332&amp;AS[[#This Row],[Insurance Category Code]]&amp;"; "&amp;Q3332&amp;AS[[#This Row],[Large Provider Entity Code]]&amp;"; "&amp;R3332&amp;AS[[#This Row],[Age Band Code]]&amp;"; "&amp;S3332&amp;AS[[#This Row],[Sex Code]]</f>
        <v xml:space="preserve">Insurer Code ; Reporting Year ; Insurance Category Code ; Large Provider Entity Code ; Age Band Code ; Sex Code </v>
      </c>
      <c r="N3332" s="297" t="s">
        <v>197</v>
      </c>
      <c r="O3332" s="297" t="s">
        <v>198</v>
      </c>
      <c r="P3332" s="297" t="s">
        <v>199</v>
      </c>
      <c r="Q3332" s="297" t="s">
        <v>200</v>
      </c>
      <c r="R3332" s="297" t="s">
        <v>213</v>
      </c>
      <c r="S3332" s="297" t="s">
        <v>214</v>
      </c>
    </row>
    <row r="3333" spans="1:19" x14ac:dyDescent="0.4">
      <c r="A3333" s="291"/>
      <c r="B3333" s="292"/>
      <c r="C3333" s="312"/>
      <c r="D3333" s="292"/>
      <c r="E3333" s="489"/>
      <c r="F3333" s="489"/>
      <c r="G3333" s="490"/>
      <c r="H3333" s="520"/>
      <c r="I3333" s="523"/>
      <c r="J3333" s="521"/>
      <c r="K3333" s="522"/>
      <c r="M3333" s="301" t="str">
        <f>N3333&amp;AS[[#This Row],[Insurer Code]]&amp;"; "&amp;O3333&amp;AS[[#This Row],[Reporting Year]]&amp;"; "&amp;P3333&amp;AS[[#This Row],[Insurance Category Code]]&amp;"; "&amp;Q3333&amp;AS[[#This Row],[Large Provider Entity Code]]&amp;"; "&amp;R3333&amp;AS[[#This Row],[Age Band Code]]&amp;"; "&amp;S3333&amp;AS[[#This Row],[Sex Code]]</f>
        <v xml:space="preserve">Insurer Code ; Reporting Year ; Insurance Category Code ; Large Provider Entity Code ; Age Band Code ; Sex Code </v>
      </c>
      <c r="N3333" s="297" t="s">
        <v>197</v>
      </c>
      <c r="O3333" s="297" t="s">
        <v>198</v>
      </c>
      <c r="P3333" s="297" t="s">
        <v>199</v>
      </c>
      <c r="Q3333" s="297" t="s">
        <v>200</v>
      </c>
      <c r="R3333" s="297" t="s">
        <v>213</v>
      </c>
      <c r="S3333" s="297" t="s">
        <v>214</v>
      </c>
    </row>
    <row r="3334" spans="1:19" x14ac:dyDescent="0.4">
      <c r="A3334" s="291"/>
      <c r="B3334" s="292"/>
      <c r="C3334" s="312"/>
      <c r="D3334" s="292"/>
      <c r="E3334" s="489"/>
      <c r="F3334" s="489"/>
      <c r="G3334" s="490"/>
      <c r="H3334" s="520"/>
      <c r="I3334" s="523"/>
      <c r="J3334" s="521"/>
      <c r="K3334" s="522"/>
      <c r="M3334" s="301" t="str">
        <f>N3334&amp;AS[[#This Row],[Insurer Code]]&amp;"; "&amp;O3334&amp;AS[[#This Row],[Reporting Year]]&amp;"; "&amp;P3334&amp;AS[[#This Row],[Insurance Category Code]]&amp;"; "&amp;Q3334&amp;AS[[#This Row],[Large Provider Entity Code]]&amp;"; "&amp;R3334&amp;AS[[#This Row],[Age Band Code]]&amp;"; "&amp;S3334&amp;AS[[#This Row],[Sex Code]]</f>
        <v xml:space="preserve">Insurer Code ; Reporting Year ; Insurance Category Code ; Large Provider Entity Code ; Age Band Code ; Sex Code </v>
      </c>
      <c r="N3334" s="297" t="s">
        <v>197</v>
      </c>
      <c r="O3334" s="297" t="s">
        <v>198</v>
      </c>
      <c r="P3334" s="297" t="s">
        <v>199</v>
      </c>
      <c r="Q3334" s="297" t="s">
        <v>200</v>
      </c>
      <c r="R3334" s="297" t="s">
        <v>213</v>
      </c>
      <c r="S3334" s="297" t="s">
        <v>214</v>
      </c>
    </row>
    <row r="3335" spans="1:19" x14ac:dyDescent="0.4">
      <c r="A3335" s="291"/>
      <c r="B3335" s="292"/>
      <c r="C3335" s="312"/>
      <c r="D3335" s="292"/>
      <c r="E3335" s="489"/>
      <c r="F3335" s="489"/>
      <c r="G3335" s="490"/>
      <c r="H3335" s="520"/>
      <c r="I3335" s="523"/>
      <c r="J3335" s="521"/>
      <c r="K3335" s="522"/>
      <c r="M3335" s="301" t="str">
        <f>N3335&amp;AS[[#This Row],[Insurer Code]]&amp;"; "&amp;O3335&amp;AS[[#This Row],[Reporting Year]]&amp;"; "&amp;P3335&amp;AS[[#This Row],[Insurance Category Code]]&amp;"; "&amp;Q3335&amp;AS[[#This Row],[Large Provider Entity Code]]&amp;"; "&amp;R3335&amp;AS[[#This Row],[Age Band Code]]&amp;"; "&amp;S3335&amp;AS[[#This Row],[Sex Code]]</f>
        <v xml:space="preserve">Insurer Code ; Reporting Year ; Insurance Category Code ; Large Provider Entity Code ; Age Band Code ; Sex Code </v>
      </c>
      <c r="N3335" s="297" t="s">
        <v>197</v>
      </c>
      <c r="O3335" s="297" t="s">
        <v>198</v>
      </c>
      <c r="P3335" s="297" t="s">
        <v>199</v>
      </c>
      <c r="Q3335" s="297" t="s">
        <v>200</v>
      </c>
      <c r="R3335" s="297" t="s">
        <v>213</v>
      </c>
      <c r="S3335" s="297" t="s">
        <v>214</v>
      </c>
    </row>
    <row r="3336" spans="1:19" x14ac:dyDescent="0.4">
      <c r="A3336" s="291"/>
      <c r="B3336" s="292"/>
      <c r="C3336" s="312"/>
      <c r="D3336" s="292"/>
      <c r="E3336" s="489"/>
      <c r="F3336" s="489"/>
      <c r="G3336" s="490"/>
      <c r="H3336" s="520"/>
      <c r="I3336" s="523"/>
      <c r="J3336" s="521"/>
      <c r="K3336" s="522"/>
      <c r="M3336" s="301" t="str">
        <f>N3336&amp;AS[[#This Row],[Insurer Code]]&amp;"; "&amp;O3336&amp;AS[[#This Row],[Reporting Year]]&amp;"; "&amp;P3336&amp;AS[[#This Row],[Insurance Category Code]]&amp;"; "&amp;Q3336&amp;AS[[#This Row],[Large Provider Entity Code]]&amp;"; "&amp;R3336&amp;AS[[#This Row],[Age Band Code]]&amp;"; "&amp;S3336&amp;AS[[#This Row],[Sex Code]]</f>
        <v xml:space="preserve">Insurer Code ; Reporting Year ; Insurance Category Code ; Large Provider Entity Code ; Age Band Code ; Sex Code </v>
      </c>
      <c r="N3336" s="297" t="s">
        <v>197</v>
      </c>
      <c r="O3336" s="297" t="s">
        <v>198</v>
      </c>
      <c r="P3336" s="297" t="s">
        <v>199</v>
      </c>
      <c r="Q3336" s="297" t="s">
        <v>200</v>
      </c>
      <c r="R3336" s="297" t="s">
        <v>213</v>
      </c>
      <c r="S3336" s="297" t="s">
        <v>214</v>
      </c>
    </row>
    <row r="3337" spans="1:19" x14ac:dyDescent="0.4">
      <c r="A3337" s="291"/>
      <c r="B3337" s="292"/>
      <c r="C3337" s="312"/>
      <c r="D3337" s="292"/>
      <c r="E3337" s="489"/>
      <c r="F3337" s="489"/>
      <c r="G3337" s="490"/>
      <c r="H3337" s="520"/>
      <c r="I3337" s="523"/>
      <c r="J3337" s="521"/>
      <c r="K3337" s="522"/>
      <c r="M3337" s="301" t="str">
        <f>N3337&amp;AS[[#This Row],[Insurer Code]]&amp;"; "&amp;O3337&amp;AS[[#This Row],[Reporting Year]]&amp;"; "&amp;P3337&amp;AS[[#This Row],[Insurance Category Code]]&amp;"; "&amp;Q3337&amp;AS[[#This Row],[Large Provider Entity Code]]&amp;"; "&amp;R3337&amp;AS[[#This Row],[Age Band Code]]&amp;"; "&amp;S3337&amp;AS[[#This Row],[Sex Code]]</f>
        <v xml:space="preserve">Insurer Code ; Reporting Year ; Insurance Category Code ; Large Provider Entity Code ; Age Band Code ; Sex Code </v>
      </c>
      <c r="N3337" s="297" t="s">
        <v>197</v>
      </c>
      <c r="O3337" s="297" t="s">
        <v>198</v>
      </c>
      <c r="P3337" s="297" t="s">
        <v>199</v>
      </c>
      <c r="Q3337" s="297" t="s">
        <v>200</v>
      </c>
      <c r="R3337" s="297" t="s">
        <v>213</v>
      </c>
      <c r="S3337" s="297" t="s">
        <v>214</v>
      </c>
    </row>
    <row r="3338" spans="1:19" x14ac:dyDescent="0.4">
      <c r="A3338" s="291"/>
      <c r="B3338" s="292"/>
      <c r="C3338" s="312"/>
      <c r="D3338" s="292"/>
      <c r="E3338" s="489"/>
      <c r="F3338" s="489"/>
      <c r="G3338" s="490"/>
      <c r="H3338" s="520"/>
      <c r="I3338" s="523"/>
      <c r="J3338" s="521"/>
      <c r="K3338" s="522"/>
      <c r="M3338" s="301" t="str">
        <f>N3338&amp;AS[[#This Row],[Insurer Code]]&amp;"; "&amp;O3338&amp;AS[[#This Row],[Reporting Year]]&amp;"; "&amp;P3338&amp;AS[[#This Row],[Insurance Category Code]]&amp;"; "&amp;Q3338&amp;AS[[#This Row],[Large Provider Entity Code]]&amp;"; "&amp;R3338&amp;AS[[#This Row],[Age Band Code]]&amp;"; "&amp;S3338&amp;AS[[#This Row],[Sex Code]]</f>
        <v xml:space="preserve">Insurer Code ; Reporting Year ; Insurance Category Code ; Large Provider Entity Code ; Age Band Code ; Sex Code </v>
      </c>
      <c r="N3338" s="297" t="s">
        <v>197</v>
      </c>
      <c r="O3338" s="297" t="s">
        <v>198</v>
      </c>
      <c r="P3338" s="297" t="s">
        <v>199</v>
      </c>
      <c r="Q3338" s="297" t="s">
        <v>200</v>
      </c>
      <c r="R3338" s="297" t="s">
        <v>213</v>
      </c>
      <c r="S3338" s="297" t="s">
        <v>214</v>
      </c>
    </row>
    <row r="3339" spans="1:19" x14ac:dyDescent="0.4">
      <c r="A3339" s="291"/>
      <c r="B3339" s="292"/>
      <c r="C3339" s="312"/>
      <c r="D3339" s="292"/>
      <c r="E3339" s="489"/>
      <c r="F3339" s="489"/>
      <c r="G3339" s="490"/>
      <c r="H3339" s="520"/>
      <c r="I3339" s="523"/>
      <c r="J3339" s="521"/>
      <c r="K3339" s="522"/>
      <c r="M3339" s="301" t="str">
        <f>N3339&amp;AS[[#This Row],[Insurer Code]]&amp;"; "&amp;O3339&amp;AS[[#This Row],[Reporting Year]]&amp;"; "&amp;P3339&amp;AS[[#This Row],[Insurance Category Code]]&amp;"; "&amp;Q3339&amp;AS[[#This Row],[Large Provider Entity Code]]&amp;"; "&amp;R3339&amp;AS[[#This Row],[Age Band Code]]&amp;"; "&amp;S3339&amp;AS[[#This Row],[Sex Code]]</f>
        <v xml:space="preserve">Insurer Code ; Reporting Year ; Insurance Category Code ; Large Provider Entity Code ; Age Band Code ; Sex Code </v>
      </c>
      <c r="N3339" s="297" t="s">
        <v>197</v>
      </c>
      <c r="O3339" s="297" t="s">
        <v>198</v>
      </c>
      <c r="P3339" s="297" t="s">
        <v>199</v>
      </c>
      <c r="Q3339" s="297" t="s">
        <v>200</v>
      </c>
      <c r="R3339" s="297" t="s">
        <v>213</v>
      </c>
      <c r="S3339" s="297" t="s">
        <v>214</v>
      </c>
    </row>
    <row r="3340" spans="1:19" x14ac:dyDescent="0.4">
      <c r="A3340" s="291"/>
      <c r="B3340" s="292"/>
      <c r="C3340" s="312"/>
      <c r="D3340" s="292"/>
      <c r="E3340" s="489"/>
      <c r="F3340" s="489"/>
      <c r="G3340" s="490"/>
      <c r="H3340" s="520"/>
      <c r="I3340" s="523"/>
      <c r="J3340" s="521"/>
      <c r="K3340" s="522"/>
      <c r="M3340" s="301" t="str">
        <f>N3340&amp;AS[[#This Row],[Insurer Code]]&amp;"; "&amp;O3340&amp;AS[[#This Row],[Reporting Year]]&amp;"; "&amp;P3340&amp;AS[[#This Row],[Insurance Category Code]]&amp;"; "&amp;Q3340&amp;AS[[#This Row],[Large Provider Entity Code]]&amp;"; "&amp;R3340&amp;AS[[#This Row],[Age Band Code]]&amp;"; "&amp;S3340&amp;AS[[#This Row],[Sex Code]]</f>
        <v xml:space="preserve">Insurer Code ; Reporting Year ; Insurance Category Code ; Large Provider Entity Code ; Age Band Code ; Sex Code </v>
      </c>
      <c r="N3340" s="297" t="s">
        <v>197</v>
      </c>
      <c r="O3340" s="297" t="s">
        <v>198</v>
      </c>
      <c r="P3340" s="297" t="s">
        <v>199</v>
      </c>
      <c r="Q3340" s="297" t="s">
        <v>200</v>
      </c>
      <c r="R3340" s="297" t="s">
        <v>213</v>
      </c>
      <c r="S3340" s="297" t="s">
        <v>214</v>
      </c>
    </row>
    <row r="3341" spans="1:19" x14ac:dyDescent="0.4">
      <c r="A3341" s="291"/>
      <c r="B3341" s="292"/>
      <c r="C3341" s="312"/>
      <c r="D3341" s="292"/>
      <c r="E3341" s="489"/>
      <c r="F3341" s="489"/>
      <c r="G3341" s="490"/>
      <c r="H3341" s="520"/>
      <c r="I3341" s="523"/>
      <c r="J3341" s="521"/>
      <c r="K3341" s="522"/>
      <c r="M3341" s="301" t="str">
        <f>N3341&amp;AS[[#This Row],[Insurer Code]]&amp;"; "&amp;O3341&amp;AS[[#This Row],[Reporting Year]]&amp;"; "&amp;P3341&amp;AS[[#This Row],[Insurance Category Code]]&amp;"; "&amp;Q3341&amp;AS[[#This Row],[Large Provider Entity Code]]&amp;"; "&amp;R3341&amp;AS[[#This Row],[Age Band Code]]&amp;"; "&amp;S3341&amp;AS[[#This Row],[Sex Code]]</f>
        <v xml:space="preserve">Insurer Code ; Reporting Year ; Insurance Category Code ; Large Provider Entity Code ; Age Band Code ; Sex Code </v>
      </c>
      <c r="N3341" s="297" t="s">
        <v>197</v>
      </c>
      <c r="O3341" s="297" t="s">
        <v>198</v>
      </c>
      <c r="P3341" s="297" t="s">
        <v>199</v>
      </c>
      <c r="Q3341" s="297" t="s">
        <v>200</v>
      </c>
      <c r="R3341" s="297" t="s">
        <v>213</v>
      </c>
      <c r="S3341" s="297" t="s">
        <v>214</v>
      </c>
    </row>
    <row r="3342" spans="1:19" x14ac:dyDescent="0.4">
      <c r="A3342" s="291"/>
      <c r="B3342" s="292"/>
      <c r="C3342" s="312"/>
      <c r="D3342" s="292"/>
      <c r="E3342" s="489"/>
      <c r="F3342" s="489"/>
      <c r="G3342" s="490"/>
      <c r="H3342" s="520"/>
      <c r="I3342" s="523"/>
      <c r="J3342" s="521"/>
      <c r="K3342" s="522"/>
      <c r="M3342" s="301" t="str">
        <f>N3342&amp;AS[[#This Row],[Insurer Code]]&amp;"; "&amp;O3342&amp;AS[[#This Row],[Reporting Year]]&amp;"; "&amp;P3342&amp;AS[[#This Row],[Insurance Category Code]]&amp;"; "&amp;Q3342&amp;AS[[#This Row],[Large Provider Entity Code]]&amp;"; "&amp;R3342&amp;AS[[#This Row],[Age Band Code]]&amp;"; "&amp;S3342&amp;AS[[#This Row],[Sex Code]]</f>
        <v xml:space="preserve">Insurer Code ; Reporting Year ; Insurance Category Code ; Large Provider Entity Code ; Age Band Code ; Sex Code </v>
      </c>
      <c r="N3342" s="297" t="s">
        <v>197</v>
      </c>
      <c r="O3342" s="297" t="s">
        <v>198</v>
      </c>
      <c r="P3342" s="297" t="s">
        <v>199</v>
      </c>
      <c r="Q3342" s="297" t="s">
        <v>200</v>
      </c>
      <c r="R3342" s="297" t="s">
        <v>213</v>
      </c>
      <c r="S3342" s="297" t="s">
        <v>214</v>
      </c>
    </row>
    <row r="3343" spans="1:19" x14ac:dyDescent="0.4">
      <c r="A3343" s="291"/>
      <c r="B3343" s="292"/>
      <c r="C3343" s="312"/>
      <c r="D3343" s="292"/>
      <c r="E3343" s="489"/>
      <c r="F3343" s="489"/>
      <c r="G3343" s="490"/>
      <c r="H3343" s="520"/>
      <c r="I3343" s="523"/>
      <c r="J3343" s="521"/>
      <c r="K3343" s="522"/>
      <c r="M3343" s="301" t="str">
        <f>N3343&amp;AS[[#This Row],[Insurer Code]]&amp;"; "&amp;O3343&amp;AS[[#This Row],[Reporting Year]]&amp;"; "&amp;P3343&amp;AS[[#This Row],[Insurance Category Code]]&amp;"; "&amp;Q3343&amp;AS[[#This Row],[Large Provider Entity Code]]&amp;"; "&amp;R3343&amp;AS[[#This Row],[Age Band Code]]&amp;"; "&amp;S3343&amp;AS[[#This Row],[Sex Code]]</f>
        <v xml:space="preserve">Insurer Code ; Reporting Year ; Insurance Category Code ; Large Provider Entity Code ; Age Band Code ; Sex Code </v>
      </c>
      <c r="N3343" s="297" t="s">
        <v>197</v>
      </c>
      <c r="O3343" s="297" t="s">
        <v>198</v>
      </c>
      <c r="P3343" s="297" t="s">
        <v>199</v>
      </c>
      <c r="Q3343" s="297" t="s">
        <v>200</v>
      </c>
      <c r="R3343" s="297" t="s">
        <v>213</v>
      </c>
      <c r="S3343" s="297" t="s">
        <v>214</v>
      </c>
    </row>
    <row r="3344" spans="1:19" x14ac:dyDescent="0.4">
      <c r="A3344" s="291"/>
      <c r="B3344" s="292"/>
      <c r="C3344" s="312"/>
      <c r="D3344" s="292"/>
      <c r="E3344" s="489"/>
      <c r="F3344" s="489"/>
      <c r="G3344" s="490"/>
      <c r="H3344" s="520"/>
      <c r="I3344" s="523"/>
      <c r="J3344" s="521"/>
      <c r="K3344" s="522"/>
      <c r="M3344" s="301" t="str">
        <f>N3344&amp;AS[[#This Row],[Insurer Code]]&amp;"; "&amp;O3344&amp;AS[[#This Row],[Reporting Year]]&amp;"; "&amp;P3344&amp;AS[[#This Row],[Insurance Category Code]]&amp;"; "&amp;Q3344&amp;AS[[#This Row],[Large Provider Entity Code]]&amp;"; "&amp;R3344&amp;AS[[#This Row],[Age Band Code]]&amp;"; "&amp;S3344&amp;AS[[#This Row],[Sex Code]]</f>
        <v xml:space="preserve">Insurer Code ; Reporting Year ; Insurance Category Code ; Large Provider Entity Code ; Age Band Code ; Sex Code </v>
      </c>
      <c r="N3344" s="297" t="s">
        <v>197</v>
      </c>
      <c r="O3344" s="297" t="s">
        <v>198</v>
      </c>
      <c r="P3344" s="297" t="s">
        <v>199</v>
      </c>
      <c r="Q3344" s="297" t="s">
        <v>200</v>
      </c>
      <c r="R3344" s="297" t="s">
        <v>213</v>
      </c>
      <c r="S3344" s="297" t="s">
        <v>214</v>
      </c>
    </row>
    <row r="3345" spans="1:19" x14ac:dyDescent="0.4">
      <c r="A3345" s="291"/>
      <c r="B3345" s="292"/>
      <c r="C3345" s="312"/>
      <c r="D3345" s="292"/>
      <c r="E3345" s="489"/>
      <c r="F3345" s="489"/>
      <c r="G3345" s="490"/>
      <c r="H3345" s="520"/>
      <c r="I3345" s="523"/>
      <c r="J3345" s="521"/>
      <c r="K3345" s="522"/>
      <c r="M3345" s="301" t="str">
        <f>N3345&amp;AS[[#This Row],[Insurer Code]]&amp;"; "&amp;O3345&amp;AS[[#This Row],[Reporting Year]]&amp;"; "&amp;P3345&amp;AS[[#This Row],[Insurance Category Code]]&amp;"; "&amp;Q3345&amp;AS[[#This Row],[Large Provider Entity Code]]&amp;"; "&amp;R3345&amp;AS[[#This Row],[Age Band Code]]&amp;"; "&amp;S3345&amp;AS[[#This Row],[Sex Code]]</f>
        <v xml:space="preserve">Insurer Code ; Reporting Year ; Insurance Category Code ; Large Provider Entity Code ; Age Band Code ; Sex Code </v>
      </c>
      <c r="N3345" s="297" t="s">
        <v>197</v>
      </c>
      <c r="O3345" s="297" t="s">
        <v>198</v>
      </c>
      <c r="P3345" s="297" t="s">
        <v>199</v>
      </c>
      <c r="Q3345" s="297" t="s">
        <v>200</v>
      </c>
      <c r="R3345" s="297" t="s">
        <v>213</v>
      </c>
      <c r="S3345" s="297" t="s">
        <v>214</v>
      </c>
    </row>
    <row r="3346" spans="1:19" x14ac:dyDescent="0.4">
      <c r="A3346" s="291"/>
      <c r="B3346" s="292"/>
      <c r="C3346" s="312"/>
      <c r="D3346" s="292"/>
      <c r="E3346" s="489"/>
      <c r="F3346" s="489"/>
      <c r="G3346" s="490"/>
      <c r="H3346" s="520"/>
      <c r="I3346" s="523"/>
      <c r="J3346" s="521"/>
      <c r="K3346" s="522"/>
      <c r="M3346" s="301" t="str">
        <f>N3346&amp;AS[[#This Row],[Insurer Code]]&amp;"; "&amp;O3346&amp;AS[[#This Row],[Reporting Year]]&amp;"; "&amp;P3346&amp;AS[[#This Row],[Insurance Category Code]]&amp;"; "&amp;Q3346&amp;AS[[#This Row],[Large Provider Entity Code]]&amp;"; "&amp;R3346&amp;AS[[#This Row],[Age Band Code]]&amp;"; "&amp;S3346&amp;AS[[#This Row],[Sex Code]]</f>
        <v xml:space="preserve">Insurer Code ; Reporting Year ; Insurance Category Code ; Large Provider Entity Code ; Age Band Code ; Sex Code </v>
      </c>
      <c r="N3346" s="297" t="s">
        <v>197</v>
      </c>
      <c r="O3346" s="297" t="s">
        <v>198</v>
      </c>
      <c r="P3346" s="297" t="s">
        <v>199</v>
      </c>
      <c r="Q3346" s="297" t="s">
        <v>200</v>
      </c>
      <c r="R3346" s="297" t="s">
        <v>213</v>
      </c>
      <c r="S3346" s="297" t="s">
        <v>214</v>
      </c>
    </row>
    <row r="3347" spans="1:19" x14ac:dyDescent="0.4">
      <c r="A3347" s="291"/>
      <c r="B3347" s="292"/>
      <c r="C3347" s="312"/>
      <c r="D3347" s="292"/>
      <c r="E3347" s="489"/>
      <c r="F3347" s="489"/>
      <c r="G3347" s="490"/>
      <c r="H3347" s="520"/>
      <c r="I3347" s="523"/>
      <c r="J3347" s="521"/>
      <c r="K3347" s="522"/>
      <c r="M3347" s="301" t="str">
        <f>N3347&amp;AS[[#This Row],[Insurer Code]]&amp;"; "&amp;O3347&amp;AS[[#This Row],[Reporting Year]]&amp;"; "&amp;P3347&amp;AS[[#This Row],[Insurance Category Code]]&amp;"; "&amp;Q3347&amp;AS[[#This Row],[Large Provider Entity Code]]&amp;"; "&amp;R3347&amp;AS[[#This Row],[Age Band Code]]&amp;"; "&amp;S3347&amp;AS[[#This Row],[Sex Code]]</f>
        <v xml:space="preserve">Insurer Code ; Reporting Year ; Insurance Category Code ; Large Provider Entity Code ; Age Band Code ; Sex Code </v>
      </c>
      <c r="N3347" s="297" t="s">
        <v>197</v>
      </c>
      <c r="O3347" s="297" t="s">
        <v>198</v>
      </c>
      <c r="P3347" s="297" t="s">
        <v>199</v>
      </c>
      <c r="Q3347" s="297" t="s">
        <v>200</v>
      </c>
      <c r="R3347" s="297" t="s">
        <v>213</v>
      </c>
      <c r="S3347" s="297" t="s">
        <v>214</v>
      </c>
    </row>
    <row r="3348" spans="1:19" x14ac:dyDescent="0.4">
      <c r="A3348" s="291"/>
      <c r="B3348" s="292"/>
      <c r="C3348" s="312"/>
      <c r="D3348" s="292"/>
      <c r="E3348" s="489"/>
      <c r="F3348" s="489"/>
      <c r="G3348" s="490"/>
      <c r="H3348" s="520"/>
      <c r="I3348" s="523"/>
      <c r="J3348" s="521"/>
      <c r="K3348" s="522"/>
      <c r="M3348" s="301" t="str">
        <f>N3348&amp;AS[[#This Row],[Insurer Code]]&amp;"; "&amp;O3348&amp;AS[[#This Row],[Reporting Year]]&amp;"; "&amp;P3348&amp;AS[[#This Row],[Insurance Category Code]]&amp;"; "&amp;Q3348&amp;AS[[#This Row],[Large Provider Entity Code]]&amp;"; "&amp;R3348&amp;AS[[#This Row],[Age Band Code]]&amp;"; "&amp;S3348&amp;AS[[#This Row],[Sex Code]]</f>
        <v xml:space="preserve">Insurer Code ; Reporting Year ; Insurance Category Code ; Large Provider Entity Code ; Age Band Code ; Sex Code </v>
      </c>
      <c r="N3348" s="297" t="s">
        <v>197</v>
      </c>
      <c r="O3348" s="297" t="s">
        <v>198</v>
      </c>
      <c r="P3348" s="297" t="s">
        <v>199</v>
      </c>
      <c r="Q3348" s="297" t="s">
        <v>200</v>
      </c>
      <c r="R3348" s="297" t="s">
        <v>213</v>
      </c>
      <c r="S3348" s="297" t="s">
        <v>214</v>
      </c>
    </row>
    <row r="3349" spans="1:19" x14ac:dyDescent="0.4">
      <c r="A3349" s="291"/>
      <c r="B3349" s="292"/>
      <c r="C3349" s="312"/>
      <c r="D3349" s="292"/>
      <c r="E3349" s="489"/>
      <c r="F3349" s="489"/>
      <c r="G3349" s="490"/>
      <c r="H3349" s="520"/>
      <c r="I3349" s="523"/>
      <c r="J3349" s="521"/>
      <c r="K3349" s="522"/>
      <c r="M3349" s="301" t="str">
        <f>N3349&amp;AS[[#This Row],[Insurer Code]]&amp;"; "&amp;O3349&amp;AS[[#This Row],[Reporting Year]]&amp;"; "&amp;P3349&amp;AS[[#This Row],[Insurance Category Code]]&amp;"; "&amp;Q3349&amp;AS[[#This Row],[Large Provider Entity Code]]&amp;"; "&amp;R3349&amp;AS[[#This Row],[Age Band Code]]&amp;"; "&amp;S3349&amp;AS[[#This Row],[Sex Code]]</f>
        <v xml:space="preserve">Insurer Code ; Reporting Year ; Insurance Category Code ; Large Provider Entity Code ; Age Band Code ; Sex Code </v>
      </c>
      <c r="N3349" s="297" t="s">
        <v>197</v>
      </c>
      <c r="O3349" s="297" t="s">
        <v>198</v>
      </c>
      <c r="P3349" s="297" t="s">
        <v>199</v>
      </c>
      <c r="Q3349" s="297" t="s">
        <v>200</v>
      </c>
      <c r="R3349" s="297" t="s">
        <v>213</v>
      </c>
      <c r="S3349" s="297" t="s">
        <v>214</v>
      </c>
    </row>
    <row r="3350" spans="1:19" x14ac:dyDescent="0.4">
      <c r="A3350" s="291"/>
      <c r="B3350" s="292"/>
      <c r="C3350" s="312"/>
      <c r="D3350" s="292"/>
      <c r="E3350" s="489"/>
      <c r="F3350" s="489"/>
      <c r="G3350" s="490"/>
      <c r="H3350" s="520"/>
      <c r="I3350" s="523"/>
      <c r="J3350" s="521"/>
      <c r="K3350" s="522"/>
      <c r="M3350" s="301" t="str">
        <f>N3350&amp;AS[[#This Row],[Insurer Code]]&amp;"; "&amp;O3350&amp;AS[[#This Row],[Reporting Year]]&amp;"; "&amp;P3350&amp;AS[[#This Row],[Insurance Category Code]]&amp;"; "&amp;Q3350&amp;AS[[#This Row],[Large Provider Entity Code]]&amp;"; "&amp;R3350&amp;AS[[#This Row],[Age Band Code]]&amp;"; "&amp;S3350&amp;AS[[#This Row],[Sex Code]]</f>
        <v xml:space="preserve">Insurer Code ; Reporting Year ; Insurance Category Code ; Large Provider Entity Code ; Age Band Code ; Sex Code </v>
      </c>
      <c r="N3350" s="297" t="s">
        <v>197</v>
      </c>
      <c r="O3350" s="297" t="s">
        <v>198</v>
      </c>
      <c r="P3350" s="297" t="s">
        <v>199</v>
      </c>
      <c r="Q3350" s="297" t="s">
        <v>200</v>
      </c>
      <c r="R3350" s="297" t="s">
        <v>213</v>
      </c>
      <c r="S3350" s="297" t="s">
        <v>214</v>
      </c>
    </row>
    <row r="3351" spans="1:19" x14ac:dyDescent="0.4">
      <c r="A3351" s="291"/>
      <c r="B3351" s="292"/>
      <c r="C3351" s="312"/>
      <c r="D3351" s="292"/>
      <c r="E3351" s="489"/>
      <c r="F3351" s="489"/>
      <c r="G3351" s="490"/>
      <c r="H3351" s="520"/>
      <c r="I3351" s="523"/>
      <c r="J3351" s="521"/>
      <c r="K3351" s="522"/>
      <c r="M3351" s="301" t="str">
        <f>N3351&amp;AS[[#This Row],[Insurer Code]]&amp;"; "&amp;O3351&amp;AS[[#This Row],[Reporting Year]]&amp;"; "&amp;P3351&amp;AS[[#This Row],[Insurance Category Code]]&amp;"; "&amp;Q3351&amp;AS[[#This Row],[Large Provider Entity Code]]&amp;"; "&amp;R3351&amp;AS[[#This Row],[Age Band Code]]&amp;"; "&amp;S3351&amp;AS[[#This Row],[Sex Code]]</f>
        <v xml:space="preserve">Insurer Code ; Reporting Year ; Insurance Category Code ; Large Provider Entity Code ; Age Band Code ; Sex Code </v>
      </c>
      <c r="N3351" s="297" t="s">
        <v>197</v>
      </c>
      <c r="O3351" s="297" t="s">
        <v>198</v>
      </c>
      <c r="P3351" s="297" t="s">
        <v>199</v>
      </c>
      <c r="Q3351" s="297" t="s">
        <v>200</v>
      </c>
      <c r="R3351" s="297" t="s">
        <v>213</v>
      </c>
      <c r="S3351" s="297" t="s">
        <v>214</v>
      </c>
    </row>
    <row r="3352" spans="1:19" x14ac:dyDescent="0.4">
      <c r="A3352" s="291"/>
      <c r="B3352" s="292"/>
      <c r="C3352" s="312"/>
      <c r="D3352" s="292"/>
      <c r="E3352" s="489"/>
      <c r="F3352" s="489"/>
      <c r="G3352" s="490"/>
      <c r="H3352" s="520"/>
      <c r="I3352" s="523"/>
      <c r="J3352" s="521"/>
      <c r="K3352" s="522"/>
      <c r="M3352" s="301" t="str">
        <f>N3352&amp;AS[[#This Row],[Insurer Code]]&amp;"; "&amp;O3352&amp;AS[[#This Row],[Reporting Year]]&amp;"; "&amp;P3352&amp;AS[[#This Row],[Insurance Category Code]]&amp;"; "&amp;Q3352&amp;AS[[#This Row],[Large Provider Entity Code]]&amp;"; "&amp;R3352&amp;AS[[#This Row],[Age Band Code]]&amp;"; "&amp;S3352&amp;AS[[#This Row],[Sex Code]]</f>
        <v xml:space="preserve">Insurer Code ; Reporting Year ; Insurance Category Code ; Large Provider Entity Code ; Age Band Code ; Sex Code </v>
      </c>
      <c r="N3352" s="297" t="s">
        <v>197</v>
      </c>
      <c r="O3352" s="297" t="s">
        <v>198</v>
      </c>
      <c r="P3352" s="297" t="s">
        <v>199</v>
      </c>
      <c r="Q3352" s="297" t="s">
        <v>200</v>
      </c>
      <c r="R3352" s="297" t="s">
        <v>213</v>
      </c>
      <c r="S3352" s="297" t="s">
        <v>214</v>
      </c>
    </row>
    <row r="3353" spans="1:19" x14ac:dyDescent="0.4">
      <c r="A3353" s="291"/>
      <c r="B3353" s="292"/>
      <c r="C3353" s="312"/>
      <c r="D3353" s="292"/>
      <c r="E3353" s="489"/>
      <c r="F3353" s="489"/>
      <c r="G3353" s="490"/>
      <c r="H3353" s="520"/>
      <c r="I3353" s="523"/>
      <c r="J3353" s="521"/>
      <c r="K3353" s="522"/>
      <c r="M3353" s="301" t="str">
        <f>N3353&amp;AS[[#This Row],[Insurer Code]]&amp;"; "&amp;O3353&amp;AS[[#This Row],[Reporting Year]]&amp;"; "&amp;P3353&amp;AS[[#This Row],[Insurance Category Code]]&amp;"; "&amp;Q3353&amp;AS[[#This Row],[Large Provider Entity Code]]&amp;"; "&amp;R3353&amp;AS[[#This Row],[Age Band Code]]&amp;"; "&amp;S3353&amp;AS[[#This Row],[Sex Code]]</f>
        <v xml:space="preserve">Insurer Code ; Reporting Year ; Insurance Category Code ; Large Provider Entity Code ; Age Band Code ; Sex Code </v>
      </c>
      <c r="N3353" s="297" t="s">
        <v>197</v>
      </c>
      <c r="O3353" s="297" t="s">
        <v>198</v>
      </c>
      <c r="P3353" s="297" t="s">
        <v>199</v>
      </c>
      <c r="Q3353" s="297" t="s">
        <v>200</v>
      </c>
      <c r="R3353" s="297" t="s">
        <v>213</v>
      </c>
      <c r="S3353" s="297" t="s">
        <v>214</v>
      </c>
    </row>
    <row r="3354" spans="1:19" x14ac:dyDescent="0.4">
      <c r="A3354" s="291"/>
      <c r="B3354" s="292"/>
      <c r="C3354" s="312"/>
      <c r="D3354" s="292"/>
      <c r="E3354" s="489"/>
      <c r="F3354" s="489"/>
      <c r="G3354" s="490"/>
      <c r="H3354" s="520"/>
      <c r="I3354" s="523"/>
      <c r="J3354" s="521"/>
      <c r="K3354" s="522"/>
      <c r="M3354" s="301" t="str">
        <f>N3354&amp;AS[[#This Row],[Insurer Code]]&amp;"; "&amp;O3354&amp;AS[[#This Row],[Reporting Year]]&amp;"; "&amp;P3354&amp;AS[[#This Row],[Insurance Category Code]]&amp;"; "&amp;Q3354&amp;AS[[#This Row],[Large Provider Entity Code]]&amp;"; "&amp;R3354&amp;AS[[#This Row],[Age Band Code]]&amp;"; "&amp;S3354&amp;AS[[#This Row],[Sex Code]]</f>
        <v xml:space="preserve">Insurer Code ; Reporting Year ; Insurance Category Code ; Large Provider Entity Code ; Age Band Code ; Sex Code </v>
      </c>
      <c r="N3354" s="297" t="s">
        <v>197</v>
      </c>
      <c r="O3354" s="297" t="s">
        <v>198</v>
      </c>
      <c r="P3354" s="297" t="s">
        <v>199</v>
      </c>
      <c r="Q3354" s="297" t="s">
        <v>200</v>
      </c>
      <c r="R3354" s="297" t="s">
        <v>213</v>
      </c>
      <c r="S3354" s="297" t="s">
        <v>214</v>
      </c>
    </row>
    <row r="3355" spans="1:19" x14ac:dyDescent="0.4">
      <c r="A3355" s="291"/>
      <c r="B3355" s="292"/>
      <c r="C3355" s="312"/>
      <c r="D3355" s="292"/>
      <c r="E3355" s="489"/>
      <c r="F3355" s="489"/>
      <c r="G3355" s="490"/>
      <c r="H3355" s="520"/>
      <c r="I3355" s="523"/>
      <c r="J3355" s="521"/>
      <c r="K3355" s="522"/>
      <c r="M3355" s="301" t="str">
        <f>N3355&amp;AS[[#This Row],[Insurer Code]]&amp;"; "&amp;O3355&amp;AS[[#This Row],[Reporting Year]]&amp;"; "&amp;P3355&amp;AS[[#This Row],[Insurance Category Code]]&amp;"; "&amp;Q3355&amp;AS[[#This Row],[Large Provider Entity Code]]&amp;"; "&amp;R3355&amp;AS[[#This Row],[Age Band Code]]&amp;"; "&amp;S3355&amp;AS[[#This Row],[Sex Code]]</f>
        <v xml:space="preserve">Insurer Code ; Reporting Year ; Insurance Category Code ; Large Provider Entity Code ; Age Band Code ; Sex Code </v>
      </c>
      <c r="N3355" s="297" t="s">
        <v>197</v>
      </c>
      <c r="O3355" s="297" t="s">
        <v>198</v>
      </c>
      <c r="P3355" s="297" t="s">
        <v>199</v>
      </c>
      <c r="Q3355" s="297" t="s">
        <v>200</v>
      </c>
      <c r="R3355" s="297" t="s">
        <v>213</v>
      </c>
      <c r="S3355" s="297" t="s">
        <v>214</v>
      </c>
    </row>
    <row r="3356" spans="1:19" x14ac:dyDescent="0.4">
      <c r="A3356" s="291"/>
      <c r="B3356" s="292"/>
      <c r="C3356" s="312"/>
      <c r="D3356" s="292"/>
      <c r="E3356" s="489"/>
      <c r="F3356" s="489"/>
      <c r="G3356" s="490"/>
      <c r="H3356" s="520"/>
      <c r="I3356" s="523"/>
      <c r="J3356" s="521"/>
      <c r="K3356" s="522"/>
      <c r="M3356" s="301" t="str">
        <f>N3356&amp;AS[[#This Row],[Insurer Code]]&amp;"; "&amp;O3356&amp;AS[[#This Row],[Reporting Year]]&amp;"; "&amp;P3356&amp;AS[[#This Row],[Insurance Category Code]]&amp;"; "&amp;Q3356&amp;AS[[#This Row],[Large Provider Entity Code]]&amp;"; "&amp;R3356&amp;AS[[#This Row],[Age Band Code]]&amp;"; "&amp;S3356&amp;AS[[#This Row],[Sex Code]]</f>
        <v xml:space="preserve">Insurer Code ; Reporting Year ; Insurance Category Code ; Large Provider Entity Code ; Age Band Code ; Sex Code </v>
      </c>
      <c r="N3356" s="297" t="s">
        <v>197</v>
      </c>
      <c r="O3356" s="297" t="s">
        <v>198</v>
      </c>
      <c r="P3356" s="297" t="s">
        <v>199</v>
      </c>
      <c r="Q3356" s="297" t="s">
        <v>200</v>
      </c>
      <c r="R3356" s="297" t="s">
        <v>213</v>
      </c>
      <c r="S3356" s="297" t="s">
        <v>214</v>
      </c>
    </row>
    <row r="3357" spans="1:19" x14ac:dyDescent="0.4">
      <c r="A3357" s="291"/>
      <c r="B3357" s="292"/>
      <c r="C3357" s="312"/>
      <c r="D3357" s="292"/>
      <c r="E3357" s="489"/>
      <c r="F3357" s="489"/>
      <c r="G3357" s="490"/>
      <c r="H3357" s="520"/>
      <c r="I3357" s="523"/>
      <c r="J3357" s="521"/>
      <c r="K3357" s="522"/>
      <c r="M3357" s="301" t="str">
        <f>N3357&amp;AS[[#This Row],[Insurer Code]]&amp;"; "&amp;O3357&amp;AS[[#This Row],[Reporting Year]]&amp;"; "&amp;P3357&amp;AS[[#This Row],[Insurance Category Code]]&amp;"; "&amp;Q3357&amp;AS[[#This Row],[Large Provider Entity Code]]&amp;"; "&amp;R3357&amp;AS[[#This Row],[Age Band Code]]&amp;"; "&amp;S3357&amp;AS[[#This Row],[Sex Code]]</f>
        <v xml:space="preserve">Insurer Code ; Reporting Year ; Insurance Category Code ; Large Provider Entity Code ; Age Band Code ; Sex Code </v>
      </c>
      <c r="N3357" s="297" t="s">
        <v>197</v>
      </c>
      <c r="O3357" s="297" t="s">
        <v>198</v>
      </c>
      <c r="P3357" s="297" t="s">
        <v>199</v>
      </c>
      <c r="Q3357" s="297" t="s">
        <v>200</v>
      </c>
      <c r="R3357" s="297" t="s">
        <v>213</v>
      </c>
      <c r="S3357" s="297" t="s">
        <v>214</v>
      </c>
    </row>
    <row r="3358" spans="1:19" x14ac:dyDescent="0.4">
      <c r="A3358" s="291"/>
      <c r="B3358" s="292"/>
      <c r="C3358" s="312"/>
      <c r="D3358" s="292"/>
      <c r="E3358" s="489"/>
      <c r="F3358" s="489"/>
      <c r="G3358" s="490"/>
      <c r="H3358" s="520"/>
      <c r="I3358" s="523"/>
      <c r="J3358" s="521"/>
      <c r="K3358" s="522"/>
      <c r="M3358" s="301" t="str">
        <f>N3358&amp;AS[[#This Row],[Insurer Code]]&amp;"; "&amp;O3358&amp;AS[[#This Row],[Reporting Year]]&amp;"; "&amp;P3358&amp;AS[[#This Row],[Insurance Category Code]]&amp;"; "&amp;Q3358&amp;AS[[#This Row],[Large Provider Entity Code]]&amp;"; "&amp;R3358&amp;AS[[#This Row],[Age Band Code]]&amp;"; "&amp;S3358&amp;AS[[#This Row],[Sex Code]]</f>
        <v xml:space="preserve">Insurer Code ; Reporting Year ; Insurance Category Code ; Large Provider Entity Code ; Age Band Code ; Sex Code </v>
      </c>
      <c r="N3358" s="297" t="s">
        <v>197</v>
      </c>
      <c r="O3358" s="297" t="s">
        <v>198</v>
      </c>
      <c r="P3358" s="297" t="s">
        <v>199</v>
      </c>
      <c r="Q3358" s="297" t="s">
        <v>200</v>
      </c>
      <c r="R3358" s="297" t="s">
        <v>213</v>
      </c>
      <c r="S3358" s="297" t="s">
        <v>214</v>
      </c>
    </row>
    <row r="3359" spans="1:19" x14ac:dyDescent="0.4">
      <c r="A3359" s="291"/>
      <c r="B3359" s="292"/>
      <c r="C3359" s="312"/>
      <c r="D3359" s="292"/>
      <c r="E3359" s="489"/>
      <c r="F3359" s="489"/>
      <c r="G3359" s="490"/>
      <c r="H3359" s="520"/>
      <c r="I3359" s="523"/>
      <c r="J3359" s="521"/>
      <c r="K3359" s="522"/>
      <c r="M3359" s="301" t="str">
        <f>N3359&amp;AS[[#This Row],[Insurer Code]]&amp;"; "&amp;O3359&amp;AS[[#This Row],[Reporting Year]]&amp;"; "&amp;P3359&amp;AS[[#This Row],[Insurance Category Code]]&amp;"; "&amp;Q3359&amp;AS[[#This Row],[Large Provider Entity Code]]&amp;"; "&amp;R3359&amp;AS[[#This Row],[Age Band Code]]&amp;"; "&amp;S3359&amp;AS[[#This Row],[Sex Code]]</f>
        <v xml:space="preserve">Insurer Code ; Reporting Year ; Insurance Category Code ; Large Provider Entity Code ; Age Band Code ; Sex Code </v>
      </c>
      <c r="N3359" s="297" t="s">
        <v>197</v>
      </c>
      <c r="O3359" s="297" t="s">
        <v>198</v>
      </c>
      <c r="P3359" s="297" t="s">
        <v>199</v>
      </c>
      <c r="Q3359" s="297" t="s">
        <v>200</v>
      </c>
      <c r="R3359" s="297" t="s">
        <v>213</v>
      </c>
      <c r="S3359" s="297" t="s">
        <v>214</v>
      </c>
    </row>
    <row r="3360" spans="1:19" x14ac:dyDescent="0.4">
      <c r="A3360" s="291"/>
      <c r="B3360" s="292"/>
      <c r="C3360" s="312"/>
      <c r="D3360" s="292"/>
      <c r="E3360" s="489"/>
      <c r="F3360" s="489"/>
      <c r="G3360" s="490"/>
      <c r="H3360" s="520"/>
      <c r="I3360" s="523"/>
      <c r="J3360" s="521"/>
      <c r="K3360" s="522"/>
      <c r="M3360" s="301" t="str">
        <f>N3360&amp;AS[[#This Row],[Insurer Code]]&amp;"; "&amp;O3360&amp;AS[[#This Row],[Reporting Year]]&amp;"; "&amp;P3360&amp;AS[[#This Row],[Insurance Category Code]]&amp;"; "&amp;Q3360&amp;AS[[#This Row],[Large Provider Entity Code]]&amp;"; "&amp;R3360&amp;AS[[#This Row],[Age Band Code]]&amp;"; "&amp;S3360&amp;AS[[#This Row],[Sex Code]]</f>
        <v xml:space="preserve">Insurer Code ; Reporting Year ; Insurance Category Code ; Large Provider Entity Code ; Age Band Code ; Sex Code </v>
      </c>
      <c r="N3360" s="297" t="s">
        <v>197</v>
      </c>
      <c r="O3360" s="297" t="s">
        <v>198</v>
      </c>
      <c r="P3360" s="297" t="s">
        <v>199</v>
      </c>
      <c r="Q3360" s="297" t="s">
        <v>200</v>
      </c>
      <c r="R3360" s="297" t="s">
        <v>213</v>
      </c>
      <c r="S3360" s="297" t="s">
        <v>214</v>
      </c>
    </row>
    <row r="3361" spans="1:19" x14ac:dyDescent="0.4">
      <c r="A3361" s="291"/>
      <c r="B3361" s="292"/>
      <c r="C3361" s="312"/>
      <c r="D3361" s="292"/>
      <c r="E3361" s="489"/>
      <c r="F3361" s="489"/>
      <c r="G3361" s="490"/>
      <c r="H3361" s="520"/>
      <c r="I3361" s="523"/>
      <c r="J3361" s="521"/>
      <c r="K3361" s="522"/>
      <c r="M3361" s="301" t="str">
        <f>N3361&amp;AS[[#This Row],[Insurer Code]]&amp;"; "&amp;O3361&amp;AS[[#This Row],[Reporting Year]]&amp;"; "&amp;P3361&amp;AS[[#This Row],[Insurance Category Code]]&amp;"; "&amp;Q3361&amp;AS[[#This Row],[Large Provider Entity Code]]&amp;"; "&amp;R3361&amp;AS[[#This Row],[Age Band Code]]&amp;"; "&amp;S3361&amp;AS[[#This Row],[Sex Code]]</f>
        <v xml:space="preserve">Insurer Code ; Reporting Year ; Insurance Category Code ; Large Provider Entity Code ; Age Band Code ; Sex Code </v>
      </c>
      <c r="N3361" s="297" t="s">
        <v>197</v>
      </c>
      <c r="O3361" s="297" t="s">
        <v>198</v>
      </c>
      <c r="P3361" s="297" t="s">
        <v>199</v>
      </c>
      <c r="Q3361" s="297" t="s">
        <v>200</v>
      </c>
      <c r="R3361" s="297" t="s">
        <v>213</v>
      </c>
      <c r="S3361" s="297" t="s">
        <v>214</v>
      </c>
    </row>
    <row r="3362" spans="1:19" x14ac:dyDescent="0.4">
      <c r="A3362" s="291"/>
      <c r="B3362" s="292"/>
      <c r="C3362" s="312"/>
      <c r="D3362" s="292"/>
      <c r="E3362" s="489"/>
      <c r="F3362" s="489"/>
      <c r="G3362" s="490"/>
      <c r="H3362" s="520"/>
      <c r="I3362" s="523"/>
      <c r="J3362" s="521"/>
      <c r="K3362" s="522"/>
      <c r="M3362" s="301" t="str">
        <f>N3362&amp;AS[[#This Row],[Insurer Code]]&amp;"; "&amp;O3362&amp;AS[[#This Row],[Reporting Year]]&amp;"; "&amp;P3362&amp;AS[[#This Row],[Insurance Category Code]]&amp;"; "&amp;Q3362&amp;AS[[#This Row],[Large Provider Entity Code]]&amp;"; "&amp;R3362&amp;AS[[#This Row],[Age Band Code]]&amp;"; "&amp;S3362&amp;AS[[#This Row],[Sex Code]]</f>
        <v xml:space="preserve">Insurer Code ; Reporting Year ; Insurance Category Code ; Large Provider Entity Code ; Age Band Code ; Sex Code </v>
      </c>
      <c r="N3362" s="297" t="s">
        <v>197</v>
      </c>
      <c r="O3362" s="297" t="s">
        <v>198</v>
      </c>
      <c r="P3362" s="297" t="s">
        <v>199</v>
      </c>
      <c r="Q3362" s="297" t="s">
        <v>200</v>
      </c>
      <c r="R3362" s="297" t="s">
        <v>213</v>
      </c>
      <c r="S3362" s="297" t="s">
        <v>214</v>
      </c>
    </row>
    <row r="3363" spans="1:19" x14ac:dyDescent="0.4">
      <c r="A3363" s="291"/>
      <c r="B3363" s="292"/>
      <c r="C3363" s="312"/>
      <c r="D3363" s="292"/>
      <c r="E3363" s="489"/>
      <c r="F3363" s="489"/>
      <c r="G3363" s="490"/>
      <c r="H3363" s="520"/>
      <c r="I3363" s="523"/>
      <c r="J3363" s="521"/>
      <c r="K3363" s="522"/>
      <c r="M3363" s="301" t="str">
        <f>N3363&amp;AS[[#This Row],[Insurer Code]]&amp;"; "&amp;O3363&amp;AS[[#This Row],[Reporting Year]]&amp;"; "&amp;P3363&amp;AS[[#This Row],[Insurance Category Code]]&amp;"; "&amp;Q3363&amp;AS[[#This Row],[Large Provider Entity Code]]&amp;"; "&amp;R3363&amp;AS[[#This Row],[Age Band Code]]&amp;"; "&amp;S3363&amp;AS[[#This Row],[Sex Code]]</f>
        <v xml:space="preserve">Insurer Code ; Reporting Year ; Insurance Category Code ; Large Provider Entity Code ; Age Band Code ; Sex Code </v>
      </c>
      <c r="N3363" s="297" t="s">
        <v>197</v>
      </c>
      <c r="O3363" s="297" t="s">
        <v>198</v>
      </c>
      <c r="P3363" s="297" t="s">
        <v>199</v>
      </c>
      <c r="Q3363" s="297" t="s">
        <v>200</v>
      </c>
      <c r="R3363" s="297" t="s">
        <v>213</v>
      </c>
      <c r="S3363" s="297" t="s">
        <v>214</v>
      </c>
    </row>
    <row r="3364" spans="1:19" x14ac:dyDescent="0.4">
      <c r="A3364" s="291"/>
      <c r="B3364" s="292"/>
      <c r="C3364" s="312"/>
      <c r="D3364" s="292"/>
      <c r="E3364" s="489"/>
      <c r="F3364" s="489"/>
      <c r="G3364" s="490"/>
      <c r="H3364" s="520"/>
      <c r="I3364" s="523"/>
      <c r="J3364" s="521"/>
      <c r="K3364" s="522"/>
      <c r="M3364" s="301" t="str">
        <f>N3364&amp;AS[[#This Row],[Insurer Code]]&amp;"; "&amp;O3364&amp;AS[[#This Row],[Reporting Year]]&amp;"; "&amp;P3364&amp;AS[[#This Row],[Insurance Category Code]]&amp;"; "&amp;Q3364&amp;AS[[#This Row],[Large Provider Entity Code]]&amp;"; "&amp;R3364&amp;AS[[#This Row],[Age Band Code]]&amp;"; "&amp;S3364&amp;AS[[#This Row],[Sex Code]]</f>
        <v xml:space="preserve">Insurer Code ; Reporting Year ; Insurance Category Code ; Large Provider Entity Code ; Age Band Code ; Sex Code </v>
      </c>
      <c r="N3364" s="297" t="s">
        <v>197</v>
      </c>
      <c r="O3364" s="297" t="s">
        <v>198</v>
      </c>
      <c r="P3364" s="297" t="s">
        <v>199</v>
      </c>
      <c r="Q3364" s="297" t="s">
        <v>200</v>
      </c>
      <c r="R3364" s="297" t="s">
        <v>213</v>
      </c>
      <c r="S3364" s="297" t="s">
        <v>214</v>
      </c>
    </row>
    <row r="3365" spans="1:19" x14ac:dyDescent="0.4">
      <c r="A3365" s="291"/>
      <c r="B3365" s="292"/>
      <c r="C3365" s="312"/>
      <c r="D3365" s="292"/>
      <c r="E3365" s="489"/>
      <c r="F3365" s="489"/>
      <c r="G3365" s="490"/>
      <c r="H3365" s="520"/>
      <c r="I3365" s="523"/>
      <c r="J3365" s="521"/>
      <c r="K3365" s="522"/>
      <c r="M3365" s="301" t="str">
        <f>N3365&amp;AS[[#This Row],[Insurer Code]]&amp;"; "&amp;O3365&amp;AS[[#This Row],[Reporting Year]]&amp;"; "&amp;P3365&amp;AS[[#This Row],[Insurance Category Code]]&amp;"; "&amp;Q3365&amp;AS[[#This Row],[Large Provider Entity Code]]&amp;"; "&amp;R3365&amp;AS[[#This Row],[Age Band Code]]&amp;"; "&amp;S3365&amp;AS[[#This Row],[Sex Code]]</f>
        <v xml:space="preserve">Insurer Code ; Reporting Year ; Insurance Category Code ; Large Provider Entity Code ; Age Band Code ; Sex Code </v>
      </c>
      <c r="N3365" s="297" t="s">
        <v>197</v>
      </c>
      <c r="O3365" s="297" t="s">
        <v>198</v>
      </c>
      <c r="P3365" s="297" t="s">
        <v>199</v>
      </c>
      <c r="Q3365" s="297" t="s">
        <v>200</v>
      </c>
      <c r="R3365" s="297" t="s">
        <v>213</v>
      </c>
      <c r="S3365" s="297" t="s">
        <v>214</v>
      </c>
    </row>
    <row r="3366" spans="1:19" x14ac:dyDescent="0.4">
      <c r="A3366" s="291"/>
      <c r="B3366" s="292"/>
      <c r="C3366" s="312"/>
      <c r="D3366" s="292"/>
      <c r="E3366" s="489"/>
      <c r="F3366" s="489"/>
      <c r="G3366" s="490"/>
      <c r="H3366" s="520"/>
      <c r="I3366" s="523"/>
      <c r="J3366" s="521"/>
      <c r="K3366" s="522"/>
      <c r="M3366" s="301" t="str">
        <f>N3366&amp;AS[[#This Row],[Insurer Code]]&amp;"; "&amp;O3366&amp;AS[[#This Row],[Reporting Year]]&amp;"; "&amp;P3366&amp;AS[[#This Row],[Insurance Category Code]]&amp;"; "&amp;Q3366&amp;AS[[#This Row],[Large Provider Entity Code]]&amp;"; "&amp;R3366&amp;AS[[#This Row],[Age Band Code]]&amp;"; "&amp;S3366&amp;AS[[#This Row],[Sex Code]]</f>
        <v xml:space="preserve">Insurer Code ; Reporting Year ; Insurance Category Code ; Large Provider Entity Code ; Age Band Code ; Sex Code </v>
      </c>
      <c r="N3366" s="297" t="s">
        <v>197</v>
      </c>
      <c r="O3366" s="297" t="s">
        <v>198</v>
      </c>
      <c r="P3366" s="297" t="s">
        <v>199</v>
      </c>
      <c r="Q3366" s="297" t="s">
        <v>200</v>
      </c>
      <c r="R3366" s="297" t="s">
        <v>213</v>
      </c>
      <c r="S3366" s="297" t="s">
        <v>214</v>
      </c>
    </row>
    <row r="3367" spans="1:19" x14ac:dyDescent="0.4">
      <c r="A3367" s="291"/>
      <c r="B3367" s="292"/>
      <c r="C3367" s="312"/>
      <c r="D3367" s="292"/>
      <c r="E3367" s="489"/>
      <c r="F3367" s="489"/>
      <c r="G3367" s="490"/>
      <c r="H3367" s="520"/>
      <c r="I3367" s="523"/>
      <c r="J3367" s="521"/>
      <c r="K3367" s="522"/>
      <c r="M3367" s="301" t="str">
        <f>N3367&amp;AS[[#This Row],[Insurer Code]]&amp;"; "&amp;O3367&amp;AS[[#This Row],[Reporting Year]]&amp;"; "&amp;P3367&amp;AS[[#This Row],[Insurance Category Code]]&amp;"; "&amp;Q3367&amp;AS[[#This Row],[Large Provider Entity Code]]&amp;"; "&amp;R3367&amp;AS[[#This Row],[Age Band Code]]&amp;"; "&amp;S3367&amp;AS[[#This Row],[Sex Code]]</f>
        <v xml:space="preserve">Insurer Code ; Reporting Year ; Insurance Category Code ; Large Provider Entity Code ; Age Band Code ; Sex Code </v>
      </c>
      <c r="N3367" s="297" t="s">
        <v>197</v>
      </c>
      <c r="O3367" s="297" t="s">
        <v>198</v>
      </c>
      <c r="P3367" s="297" t="s">
        <v>199</v>
      </c>
      <c r="Q3367" s="297" t="s">
        <v>200</v>
      </c>
      <c r="R3367" s="297" t="s">
        <v>213</v>
      </c>
      <c r="S3367" s="297" t="s">
        <v>214</v>
      </c>
    </row>
    <row r="3368" spans="1:19" x14ac:dyDescent="0.4">
      <c r="A3368" s="291"/>
      <c r="B3368" s="292"/>
      <c r="C3368" s="312"/>
      <c r="D3368" s="292"/>
      <c r="E3368" s="489"/>
      <c r="F3368" s="489"/>
      <c r="G3368" s="490"/>
      <c r="H3368" s="520"/>
      <c r="I3368" s="523"/>
      <c r="J3368" s="521"/>
      <c r="K3368" s="522"/>
      <c r="M3368" s="301" t="str">
        <f>N3368&amp;AS[[#This Row],[Insurer Code]]&amp;"; "&amp;O3368&amp;AS[[#This Row],[Reporting Year]]&amp;"; "&amp;P3368&amp;AS[[#This Row],[Insurance Category Code]]&amp;"; "&amp;Q3368&amp;AS[[#This Row],[Large Provider Entity Code]]&amp;"; "&amp;R3368&amp;AS[[#This Row],[Age Band Code]]&amp;"; "&amp;S3368&amp;AS[[#This Row],[Sex Code]]</f>
        <v xml:space="preserve">Insurer Code ; Reporting Year ; Insurance Category Code ; Large Provider Entity Code ; Age Band Code ; Sex Code </v>
      </c>
      <c r="N3368" s="297" t="s">
        <v>197</v>
      </c>
      <c r="O3368" s="297" t="s">
        <v>198</v>
      </c>
      <c r="P3368" s="297" t="s">
        <v>199</v>
      </c>
      <c r="Q3368" s="297" t="s">
        <v>200</v>
      </c>
      <c r="R3368" s="297" t="s">
        <v>213</v>
      </c>
      <c r="S3368" s="297" t="s">
        <v>214</v>
      </c>
    </row>
    <row r="3369" spans="1:19" x14ac:dyDescent="0.4">
      <c r="A3369" s="291"/>
      <c r="B3369" s="292"/>
      <c r="C3369" s="312"/>
      <c r="D3369" s="292"/>
      <c r="E3369" s="489"/>
      <c r="F3369" s="489"/>
      <c r="G3369" s="490"/>
      <c r="H3369" s="520"/>
      <c r="I3369" s="523"/>
      <c r="J3369" s="521"/>
      <c r="K3369" s="522"/>
      <c r="M3369" s="301" t="str">
        <f>N3369&amp;AS[[#This Row],[Insurer Code]]&amp;"; "&amp;O3369&amp;AS[[#This Row],[Reporting Year]]&amp;"; "&amp;P3369&amp;AS[[#This Row],[Insurance Category Code]]&amp;"; "&amp;Q3369&amp;AS[[#This Row],[Large Provider Entity Code]]&amp;"; "&amp;R3369&amp;AS[[#This Row],[Age Band Code]]&amp;"; "&amp;S3369&amp;AS[[#This Row],[Sex Code]]</f>
        <v xml:space="preserve">Insurer Code ; Reporting Year ; Insurance Category Code ; Large Provider Entity Code ; Age Band Code ; Sex Code </v>
      </c>
      <c r="N3369" s="297" t="s">
        <v>197</v>
      </c>
      <c r="O3369" s="297" t="s">
        <v>198</v>
      </c>
      <c r="P3369" s="297" t="s">
        <v>199</v>
      </c>
      <c r="Q3369" s="297" t="s">
        <v>200</v>
      </c>
      <c r="R3369" s="297" t="s">
        <v>213</v>
      </c>
      <c r="S3369" s="297" t="s">
        <v>214</v>
      </c>
    </row>
    <row r="3370" spans="1:19" x14ac:dyDescent="0.4">
      <c r="A3370" s="291"/>
      <c r="B3370" s="292"/>
      <c r="C3370" s="312"/>
      <c r="D3370" s="292"/>
      <c r="E3370" s="489"/>
      <c r="F3370" s="489"/>
      <c r="G3370" s="490"/>
      <c r="H3370" s="520"/>
      <c r="I3370" s="523"/>
      <c r="J3370" s="521"/>
      <c r="K3370" s="522"/>
      <c r="M3370" s="301" t="str">
        <f>N3370&amp;AS[[#This Row],[Insurer Code]]&amp;"; "&amp;O3370&amp;AS[[#This Row],[Reporting Year]]&amp;"; "&amp;P3370&amp;AS[[#This Row],[Insurance Category Code]]&amp;"; "&amp;Q3370&amp;AS[[#This Row],[Large Provider Entity Code]]&amp;"; "&amp;R3370&amp;AS[[#This Row],[Age Band Code]]&amp;"; "&amp;S3370&amp;AS[[#This Row],[Sex Code]]</f>
        <v xml:space="preserve">Insurer Code ; Reporting Year ; Insurance Category Code ; Large Provider Entity Code ; Age Band Code ; Sex Code </v>
      </c>
      <c r="N3370" s="297" t="s">
        <v>197</v>
      </c>
      <c r="O3370" s="297" t="s">
        <v>198</v>
      </c>
      <c r="P3370" s="297" t="s">
        <v>199</v>
      </c>
      <c r="Q3370" s="297" t="s">
        <v>200</v>
      </c>
      <c r="R3370" s="297" t="s">
        <v>213</v>
      </c>
      <c r="S3370" s="297" t="s">
        <v>214</v>
      </c>
    </row>
    <row r="3371" spans="1:19" x14ac:dyDescent="0.4">
      <c r="A3371" s="291"/>
      <c r="B3371" s="292"/>
      <c r="C3371" s="312"/>
      <c r="D3371" s="292"/>
      <c r="E3371" s="489"/>
      <c r="F3371" s="489"/>
      <c r="G3371" s="490"/>
      <c r="H3371" s="520"/>
      <c r="I3371" s="523"/>
      <c r="J3371" s="521"/>
      <c r="K3371" s="522"/>
      <c r="M3371" s="301" t="str">
        <f>N3371&amp;AS[[#This Row],[Insurer Code]]&amp;"; "&amp;O3371&amp;AS[[#This Row],[Reporting Year]]&amp;"; "&amp;P3371&amp;AS[[#This Row],[Insurance Category Code]]&amp;"; "&amp;Q3371&amp;AS[[#This Row],[Large Provider Entity Code]]&amp;"; "&amp;R3371&amp;AS[[#This Row],[Age Band Code]]&amp;"; "&amp;S3371&amp;AS[[#This Row],[Sex Code]]</f>
        <v xml:space="preserve">Insurer Code ; Reporting Year ; Insurance Category Code ; Large Provider Entity Code ; Age Band Code ; Sex Code </v>
      </c>
      <c r="N3371" s="297" t="s">
        <v>197</v>
      </c>
      <c r="O3371" s="297" t="s">
        <v>198</v>
      </c>
      <c r="P3371" s="297" t="s">
        <v>199</v>
      </c>
      <c r="Q3371" s="297" t="s">
        <v>200</v>
      </c>
      <c r="R3371" s="297" t="s">
        <v>213</v>
      </c>
      <c r="S3371" s="297" t="s">
        <v>214</v>
      </c>
    </row>
    <row r="3372" spans="1:19" x14ac:dyDescent="0.4">
      <c r="A3372" s="291"/>
      <c r="B3372" s="292"/>
      <c r="C3372" s="312"/>
      <c r="D3372" s="292"/>
      <c r="E3372" s="489"/>
      <c r="F3372" s="489"/>
      <c r="G3372" s="490"/>
      <c r="H3372" s="520"/>
      <c r="I3372" s="523"/>
      <c r="J3372" s="521"/>
      <c r="K3372" s="522"/>
      <c r="M3372" s="301" t="str">
        <f>N3372&amp;AS[[#This Row],[Insurer Code]]&amp;"; "&amp;O3372&amp;AS[[#This Row],[Reporting Year]]&amp;"; "&amp;P3372&amp;AS[[#This Row],[Insurance Category Code]]&amp;"; "&amp;Q3372&amp;AS[[#This Row],[Large Provider Entity Code]]&amp;"; "&amp;R3372&amp;AS[[#This Row],[Age Band Code]]&amp;"; "&amp;S3372&amp;AS[[#This Row],[Sex Code]]</f>
        <v xml:space="preserve">Insurer Code ; Reporting Year ; Insurance Category Code ; Large Provider Entity Code ; Age Band Code ; Sex Code </v>
      </c>
      <c r="N3372" s="297" t="s">
        <v>197</v>
      </c>
      <c r="O3372" s="297" t="s">
        <v>198</v>
      </c>
      <c r="P3372" s="297" t="s">
        <v>199</v>
      </c>
      <c r="Q3372" s="297" t="s">
        <v>200</v>
      </c>
      <c r="R3372" s="297" t="s">
        <v>213</v>
      </c>
      <c r="S3372" s="297" t="s">
        <v>214</v>
      </c>
    </row>
    <row r="3373" spans="1:19" x14ac:dyDescent="0.4">
      <c r="A3373" s="291"/>
      <c r="B3373" s="292"/>
      <c r="C3373" s="312"/>
      <c r="D3373" s="292"/>
      <c r="E3373" s="489"/>
      <c r="F3373" s="489"/>
      <c r="G3373" s="490"/>
      <c r="H3373" s="520"/>
      <c r="I3373" s="523"/>
      <c r="J3373" s="521"/>
      <c r="K3373" s="522"/>
      <c r="M3373" s="301" t="str">
        <f>N3373&amp;AS[[#This Row],[Insurer Code]]&amp;"; "&amp;O3373&amp;AS[[#This Row],[Reporting Year]]&amp;"; "&amp;P3373&amp;AS[[#This Row],[Insurance Category Code]]&amp;"; "&amp;Q3373&amp;AS[[#This Row],[Large Provider Entity Code]]&amp;"; "&amp;R3373&amp;AS[[#This Row],[Age Band Code]]&amp;"; "&amp;S3373&amp;AS[[#This Row],[Sex Code]]</f>
        <v xml:space="preserve">Insurer Code ; Reporting Year ; Insurance Category Code ; Large Provider Entity Code ; Age Band Code ; Sex Code </v>
      </c>
      <c r="N3373" s="297" t="s">
        <v>197</v>
      </c>
      <c r="O3373" s="297" t="s">
        <v>198</v>
      </c>
      <c r="P3373" s="297" t="s">
        <v>199</v>
      </c>
      <c r="Q3373" s="297" t="s">
        <v>200</v>
      </c>
      <c r="R3373" s="297" t="s">
        <v>213</v>
      </c>
      <c r="S3373" s="297" t="s">
        <v>214</v>
      </c>
    </row>
    <row r="3374" spans="1:19" x14ac:dyDescent="0.4">
      <c r="A3374" s="291"/>
      <c r="B3374" s="292"/>
      <c r="C3374" s="312"/>
      <c r="D3374" s="292"/>
      <c r="E3374" s="489"/>
      <c r="F3374" s="489"/>
      <c r="G3374" s="490"/>
      <c r="H3374" s="520"/>
      <c r="I3374" s="523"/>
      <c r="J3374" s="521"/>
      <c r="K3374" s="522"/>
      <c r="M3374" s="301" t="str">
        <f>N3374&amp;AS[[#This Row],[Insurer Code]]&amp;"; "&amp;O3374&amp;AS[[#This Row],[Reporting Year]]&amp;"; "&amp;P3374&amp;AS[[#This Row],[Insurance Category Code]]&amp;"; "&amp;Q3374&amp;AS[[#This Row],[Large Provider Entity Code]]&amp;"; "&amp;R3374&amp;AS[[#This Row],[Age Band Code]]&amp;"; "&amp;S3374&amp;AS[[#This Row],[Sex Code]]</f>
        <v xml:space="preserve">Insurer Code ; Reporting Year ; Insurance Category Code ; Large Provider Entity Code ; Age Band Code ; Sex Code </v>
      </c>
      <c r="N3374" s="297" t="s">
        <v>197</v>
      </c>
      <c r="O3374" s="297" t="s">
        <v>198</v>
      </c>
      <c r="P3374" s="297" t="s">
        <v>199</v>
      </c>
      <c r="Q3374" s="297" t="s">
        <v>200</v>
      </c>
      <c r="R3374" s="297" t="s">
        <v>213</v>
      </c>
      <c r="S3374" s="297" t="s">
        <v>214</v>
      </c>
    </row>
    <row r="3375" spans="1:19" x14ac:dyDescent="0.4">
      <c r="A3375" s="291"/>
      <c r="B3375" s="292"/>
      <c r="C3375" s="312"/>
      <c r="D3375" s="292"/>
      <c r="E3375" s="489"/>
      <c r="F3375" s="489"/>
      <c r="G3375" s="490"/>
      <c r="H3375" s="520"/>
      <c r="I3375" s="523"/>
      <c r="J3375" s="521"/>
      <c r="K3375" s="522"/>
      <c r="M3375" s="301" t="str">
        <f>N3375&amp;AS[[#This Row],[Insurer Code]]&amp;"; "&amp;O3375&amp;AS[[#This Row],[Reporting Year]]&amp;"; "&amp;P3375&amp;AS[[#This Row],[Insurance Category Code]]&amp;"; "&amp;Q3375&amp;AS[[#This Row],[Large Provider Entity Code]]&amp;"; "&amp;R3375&amp;AS[[#This Row],[Age Band Code]]&amp;"; "&amp;S3375&amp;AS[[#This Row],[Sex Code]]</f>
        <v xml:space="preserve">Insurer Code ; Reporting Year ; Insurance Category Code ; Large Provider Entity Code ; Age Band Code ; Sex Code </v>
      </c>
      <c r="N3375" s="297" t="s">
        <v>197</v>
      </c>
      <c r="O3375" s="297" t="s">
        <v>198</v>
      </c>
      <c r="P3375" s="297" t="s">
        <v>199</v>
      </c>
      <c r="Q3375" s="297" t="s">
        <v>200</v>
      </c>
      <c r="R3375" s="297" t="s">
        <v>213</v>
      </c>
      <c r="S3375" s="297" t="s">
        <v>214</v>
      </c>
    </row>
    <row r="3376" spans="1:19" x14ac:dyDescent="0.4">
      <c r="A3376" s="291"/>
      <c r="B3376" s="292"/>
      <c r="C3376" s="312"/>
      <c r="D3376" s="292"/>
      <c r="E3376" s="489"/>
      <c r="F3376" s="489"/>
      <c r="G3376" s="490"/>
      <c r="H3376" s="520"/>
      <c r="I3376" s="523"/>
      <c r="J3376" s="521"/>
      <c r="K3376" s="522"/>
      <c r="M3376" s="301" t="str">
        <f>N3376&amp;AS[[#This Row],[Insurer Code]]&amp;"; "&amp;O3376&amp;AS[[#This Row],[Reporting Year]]&amp;"; "&amp;P3376&amp;AS[[#This Row],[Insurance Category Code]]&amp;"; "&amp;Q3376&amp;AS[[#This Row],[Large Provider Entity Code]]&amp;"; "&amp;R3376&amp;AS[[#This Row],[Age Band Code]]&amp;"; "&amp;S3376&amp;AS[[#This Row],[Sex Code]]</f>
        <v xml:space="preserve">Insurer Code ; Reporting Year ; Insurance Category Code ; Large Provider Entity Code ; Age Band Code ; Sex Code </v>
      </c>
      <c r="N3376" s="297" t="s">
        <v>197</v>
      </c>
      <c r="O3376" s="297" t="s">
        <v>198</v>
      </c>
      <c r="P3376" s="297" t="s">
        <v>199</v>
      </c>
      <c r="Q3376" s="297" t="s">
        <v>200</v>
      </c>
      <c r="R3376" s="297" t="s">
        <v>213</v>
      </c>
      <c r="S3376" s="297" t="s">
        <v>214</v>
      </c>
    </row>
    <row r="3377" spans="1:19" x14ac:dyDescent="0.4">
      <c r="A3377" s="291"/>
      <c r="B3377" s="292"/>
      <c r="C3377" s="312"/>
      <c r="D3377" s="292"/>
      <c r="E3377" s="489"/>
      <c r="F3377" s="489"/>
      <c r="G3377" s="490"/>
      <c r="H3377" s="520"/>
      <c r="I3377" s="523"/>
      <c r="J3377" s="521"/>
      <c r="K3377" s="522"/>
      <c r="M3377" s="301" t="str">
        <f>N3377&amp;AS[[#This Row],[Insurer Code]]&amp;"; "&amp;O3377&amp;AS[[#This Row],[Reporting Year]]&amp;"; "&amp;P3377&amp;AS[[#This Row],[Insurance Category Code]]&amp;"; "&amp;Q3377&amp;AS[[#This Row],[Large Provider Entity Code]]&amp;"; "&amp;R3377&amp;AS[[#This Row],[Age Band Code]]&amp;"; "&amp;S3377&amp;AS[[#This Row],[Sex Code]]</f>
        <v xml:space="preserve">Insurer Code ; Reporting Year ; Insurance Category Code ; Large Provider Entity Code ; Age Band Code ; Sex Code </v>
      </c>
      <c r="N3377" s="297" t="s">
        <v>197</v>
      </c>
      <c r="O3377" s="297" t="s">
        <v>198</v>
      </c>
      <c r="P3377" s="297" t="s">
        <v>199</v>
      </c>
      <c r="Q3377" s="297" t="s">
        <v>200</v>
      </c>
      <c r="R3377" s="297" t="s">
        <v>213</v>
      </c>
      <c r="S3377" s="297" t="s">
        <v>214</v>
      </c>
    </row>
    <row r="3378" spans="1:19" x14ac:dyDescent="0.4">
      <c r="A3378" s="291"/>
      <c r="B3378" s="292"/>
      <c r="C3378" s="312"/>
      <c r="D3378" s="292"/>
      <c r="E3378" s="489"/>
      <c r="F3378" s="489"/>
      <c r="G3378" s="490"/>
      <c r="H3378" s="520"/>
      <c r="I3378" s="523"/>
      <c r="J3378" s="521"/>
      <c r="K3378" s="522"/>
      <c r="M3378" s="301" t="str">
        <f>N3378&amp;AS[[#This Row],[Insurer Code]]&amp;"; "&amp;O3378&amp;AS[[#This Row],[Reporting Year]]&amp;"; "&amp;P3378&amp;AS[[#This Row],[Insurance Category Code]]&amp;"; "&amp;Q3378&amp;AS[[#This Row],[Large Provider Entity Code]]&amp;"; "&amp;R3378&amp;AS[[#This Row],[Age Band Code]]&amp;"; "&amp;S3378&amp;AS[[#This Row],[Sex Code]]</f>
        <v xml:space="preserve">Insurer Code ; Reporting Year ; Insurance Category Code ; Large Provider Entity Code ; Age Band Code ; Sex Code </v>
      </c>
      <c r="N3378" s="297" t="s">
        <v>197</v>
      </c>
      <c r="O3378" s="297" t="s">
        <v>198</v>
      </c>
      <c r="P3378" s="297" t="s">
        <v>199</v>
      </c>
      <c r="Q3378" s="297" t="s">
        <v>200</v>
      </c>
      <c r="R3378" s="297" t="s">
        <v>213</v>
      </c>
      <c r="S3378" s="297" t="s">
        <v>214</v>
      </c>
    </row>
    <row r="3379" spans="1:19" x14ac:dyDescent="0.4">
      <c r="A3379" s="291"/>
      <c r="B3379" s="292"/>
      <c r="C3379" s="312"/>
      <c r="D3379" s="292"/>
      <c r="E3379" s="489"/>
      <c r="F3379" s="489"/>
      <c r="G3379" s="490"/>
      <c r="H3379" s="520"/>
      <c r="I3379" s="523"/>
      <c r="J3379" s="521"/>
      <c r="K3379" s="522"/>
      <c r="M3379" s="301" t="str">
        <f>N3379&amp;AS[[#This Row],[Insurer Code]]&amp;"; "&amp;O3379&amp;AS[[#This Row],[Reporting Year]]&amp;"; "&amp;P3379&amp;AS[[#This Row],[Insurance Category Code]]&amp;"; "&amp;Q3379&amp;AS[[#This Row],[Large Provider Entity Code]]&amp;"; "&amp;R3379&amp;AS[[#This Row],[Age Band Code]]&amp;"; "&amp;S3379&amp;AS[[#This Row],[Sex Code]]</f>
        <v xml:space="preserve">Insurer Code ; Reporting Year ; Insurance Category Code ; Large Provider Entity Code ; Age Band Code ; Sex Code </v>
      </c>
      <c r="N3379" s="297" t="s">
        <v>197</v>
      </c>
      <c r="O3379" s="297" t="s">
        <v>198</v>
      </c>
      <c r="P3379" s="297" t="s">
        <v>199</v>
      </c>
      <c r="Q3379" s="297" t="s">
        <v>200</v>
      </c>
      <c r="R3379" s="297" t="s">
        <v>213</v>
      </c>
      <c r="S3379" s="297" t="s">
        <v>214</v>
      </c>
    </row>
    <row r="3380" spans="1:19" x14ac:dyDescent="0.4">
      <c r="A3380" s="291"/>
      <c r="B3380" s="292"/>
      <c r="C3380" s="312"/>
      <c r="D3380" s="292"/>
      <c r="E3380" s="489"/>
      <c r="F3380" s="489"/>
      <c r="G3380" s="490"/>
      <c r="H3380" s="520"/>
      <c r="I3380" s="523"/>
      <c r="J3380" s="521"/>
      <c r="K3380" s="522"/>
      <c r="M3380" s="301" t="str">
        <f>N3380&amp;AS[[#This Row],[Insurer Code]]&amp;"; "&amp;O3380&amp;AS[[#This Row],[Reporting Year]]&amp;"; "&amp;P3380&amp;AS[[#This Row],[Insurance Category Code]]&amp;"; "&amp;Q3380&amp;AS[[#This Row],[Large Provider Entity Code]]&amp;"; "&amp;R3380&amp;AS[[#This Row],[Age Band Code]]&amp;"; "&amp;S3380&amp;AS[[#This Row],[Sex Code]]</f>
        <v xml:space="preserve">Insurer Code ; Reporting Year ; Insurance Category Code ; Large Provider Entity Code ; Age Band Code ; Sex Code </v>
      </c>
      <c r="N3380" s="297" t="s">
        <v>197</v>
      </c>
      <c r="O3380" s="297" t="s">
        <v>198</v>
      </c>
      <c r="P3380" s="297" t="s">
        <v>199</v>
      </c>
      <c r="Q3380" s="297" t="s">
        <v>200</v>
      </c>
      <c r="R3380" s="297" t="s">
        <v>213</v>
      </c>
      <c r="S3380" s="297" t="s">
        <v>214</v>
      </c>
    </row>
    <row r="3381" spans="1:19" x14ac:dyDescent="0.4">
      <c r="A3381" s="291"/>
      <c r="B3381" s="292"/>
      <c r="C3381" s="312"/>
      <c r="D3381" s="292"/>
      <c r="E3381" s="489"/>
      <c r="F3381" s="489"/>
      <c r="G3381" s="490"/>
      <c r="H3381" s="520"/>
      <c r="I3381" s="523"/>
      <c r="J3381" s="521"/>
      <c r="K3381" s="522"/>
      <c r="M3381" s="301" t="str">
        <f>N3381&amp;AS[[#This Row],[Insurer Code]]&amp;"; "&amp;O3381&amp;AS[[#This Row],[Reporting Year]]&amp;"; "&amp;P3381&amp;AS[[#This Row],[Insurance Category Code]]&amp;"; "&amp;Q3381&amp;AS[[#This Row],[Large Provider Entity Code]]&amp;"; "&amp;R3381&amp;AS[[#This Row],[Age Band Code]]&amp;"; "&amp;S3381&amp;AS[[#This Row],[Sex Code]]</f>
        <v xml:space="preserve">Insurer Code ; Reporting Year ; Insurance Category Code ; Large Provider Entity Code ; Age Band Code ; Sex Code </v>
      </c>
      <c r="N3381" s="297" t="s">
        <v>197</v>
      </c>
      <c r="O3381" s="297" t="s">
        <v>198</v>
      </c>
      <c r="P3381" s="297" t="s">
        <v>199</v>
      </c>
      <c r="Q3381" s="297" t="s">
        <v>200</v>
      </c>
      <c r="R3381" s="297" t="s">
        <v>213</v>
      </c>
      <c r="S3381" s="297" t="s">
        <v>214</v>
      </c>
    </row>
    <row r="3382" spans="1:19" x14ac:dyDescent="0.4">
      <c r="A3382" s="291"/>
      <c r="B3382" s="292"/>
      <c r="C3382" s="312"/>
      <c r="D3382" s="292"/>
      <c r="E3382" s="489"/>
      <c r="F3382" s="489"/>
      <c r="G3382" s="490"/>
      <c r="H3382" s="520"/>
      <c r="I3382" s="523"/>
      <c r="J3382" s="521"/>
      <c r="K3382" s="522"/>
      <c r="M3382" s="301" t="str">
        <f>N3382&amp;AS[[#This Row],[Insurer Code]]&amp;"; "&amp;O3382&amp;AS[[#This Row],[Reporting Year]]&amp;"; "&amp;P3382&amp;AS[[#This Row],[Insurance Category Code]]&amp;"; "&amp;Q3382&amp;AS[[#This Row],[Large Provider Entity Code]]&amp;"; "&amp;R3382&amp;AS[[#This Row],[Age Band Code]]&amp;"; "&amp;S3382&amp;AS[[#This Row],[Sex Code]]</f>
        <v xml:space="preserve">Insurer Code ; Reporting Year ; Insurance Category Code ; Large Provider Entity Code ; Age Band Code ; Sex Code </v>
      </c>
      <c r="N3382" s="297" t="s">
        <v>197</v>
      </c>
      <c r="O3382" s="297" t="s">
        <v>198</v>
      </c>
      <c r="P3382" s="297" t="s">
        <v>199</v>
      </c>
      <c r="Q3382" s="297" t="s">
        <v>200</v>
      </c>
      <c r="R3382" s="297" t="s">
        <v>213</v>
      </c>
      <c r="S3382" s="297" t="s">
        <v>214</v>
      </c>
    </row>
    <row r="3383" spans="1:19" x14ac:dyDescent="0.4">
      <c r="A3383" s="291"/>
      <c r="B3383" s="292"/>
      <c r="C3383" s="312"/>
      <c r="D3383" s="292"/>
      <c r="E3383" s="489"/>
      <c r="F3383" s="489"/>
      <c r="G3383" s="490"/>
      <c r="H3383" s="520"/>
      <c r="I3383" s="523"/>
      <c r="J3383" s="521"/>
      <c r="K3383" s="522"/>
      <c r="M3383" s="301" t="str">
        <f>N3383&amp;AS[[#This Row],[Insurer Code]]&amp;"; "&amp;O3383&amp;AS[[#This Row],[Reporting Year]]&amp;"; "&amp;P3383&amp;AS[[#This Row],[Insurance Category Code]]&amp;"; "&amp;Q3383&amp;AS[[#This Row],[Large Provider Entity Code]]&amp;"; "&amp;R3383&amp;AS[[#This Row],[Age Band Code]]&amp;"; "&amp;S3383&amp;AS[[#This Row],[Sex Code]]</f>
        <v xml:space="preserve">Insurer Code ; Reporting Year ; Insurance Category Code ; Large Provider Entity Code ; Age Band Code ; Sex Code </v>
      </c>
      <c r="N3383" s="297" t="s">
        <v>197</v>
      </c>
      <c r="O3383" s="297" t="s">
        <v>198</v>
      </c>
      <c r="P3383" s="297" t="s">
        <v>199</v>
      </c>
      <c r="Q3383" s="297" t="s">
        <v>200</v>
      </c>
      <c r="R3383" s="297" t="s">
        <v>213</v>
      </c>
      <c r="S3383" s="297" t="s">
        <v>214</v>
      </c>
    </row>
    <row r="3384" spans="1:19" x14ac:dyDescent="0.4">
      <c r="A3384" s="291"/>
      <c r="B3384" s="292"/>
      <c r="C3384" s="312"/>
      <c r="D3384" s="292"/>
      <c r="E3384" s="489"/>
      <c r="F3384" s="489"/>
      <c r="G3384" s="490"/>
      <c r="H3384" s="520"/>
      <c r="I3384" s="523"/>
      <c r="J3384" s="521"/>
      <c r="K3384" s="522"/>
      <c r="M3384" s="301" t="str">
        <f>N3384&amp;AS[[#This Row],[Insurer Code]]&amp;"; "&amp;O3384&amp;AS[[#This Row],[Reporting Year]]&amp;"; "&amp;P3384&amp;AS[[#This Row],[Insurance Category Code]]&amp;"; "&amp;Q3384&amp;AS[[#This Row],[Large Provider Entity Code]]&amp;"; "&amp;R3384&amp;AS[[#This Row],[Age Band Code]]&amp;"; "&amp;S3384&amp;AS[[#This Row],[Sex Code]]</f>
        <v xml:space="preserve">Insurer Code ; Reporting Year ; Insurance Category Code ; Large Provider Entity Code ; Age Band Code ; Sex Code </v>
      </c>
      <c r="N3384" s="297" t="s">
        <v>197</v>
      </c>
      <c r="O3384" s="297" t="s">
        <v>198</v>
      </c>
      <c r="P3384" s="297" t="s">
        <v>199</v>
      </c>
      <c r="Q3384" s="297" t="s">
        <v>200</v>
      </c>
      <c r="R3384" s="297" t="s">
        <v>213</v>
      </c>
      <c r="S3384" s="297" t="s">
        <v>214</v>
      </c>
    </row>
    <row r="3385" spans="1:19" x14ac:dyDescent="0.4">
      <c r="A3385" s="291"/>
      <c r="B3385" s="292"/>
      <c r="C3385" s="312"/>
      <c r="D3385" s="292"/>
      <c r="E3385" s="489"/>
      <c r="F3385" s="489"/>
      <c r="G3385" s="490"/>
      <c r="H3385" s="520"/>
      <c r="I3385" s="523"/>
      <c r="J3385" s="521"/>
      <c r="K3385" s="522"/>
      <c r="M3385" s="301" t="str">
        <f>N3385&amp;AS[[#This Row],[Insurer Code]]&amp;"; "&amp;O3385&amp;AS[[#This Row],[Reporting Year]]&amp;"; "&amp;P3385&amp;AS[[#This Row],[Insurance Category Code]]&amp;"; "&amp;Q3385&amp;AS[[#This Row],[Large Provider Entity Code]]&amp;"; "&amp;R3385&amp;AS[[#This Row],[Age Band Code]]&amp;"; "&amp;S3385&amp;AS[[#This Row],[Sex Code]]</f>
        <v xml:space="preserve">Insurer Code ; Reporting Year ; Insurance Category Code ; Large Provider Entity Code ; Age Band Code ; Sex Code </v>
      </c>
      <c r="N3385" s="297" t="s">
        <v>197</v>
      </c>
      <c r="O3385" s="297" t="s">
        <v>198</v>
      </c>
      <c r="P3385" s="297" t="s">
        <v>199</v>
      </c>
      <c r="Q3385" s="297" t="s">
        <v>200</v>
      </c>
      <c r="R3385" s="297" t="s">
        <v>213</v>
      </c>
      <c r="S3385" s="297" t="s">
        <v>214</v>
      </c>
    </row>
    <row r="3386" spans="1:19" x14ac:dyDescent="0.4">
      <c r="A3386" s="291"/>
      <c r="B3386" s="292"/>
      <c r="C3386" s="312"/>
      <c r="D3386" s="292"/>
      <c r="E3386" s="489"/>
      <c r="F3386" s="489"/>
      <c r="G3386" s="490"/>
      <c r="H3386" s="520"/>
      <c r="I3386" s="523"/>
      <c r="J3386" s="521"/>
      <c r="K3386" s="522"/>
      <c r="M3386" s="301" t="str">
        <f>N3386&amp;AS[[#This Row],[Insurer Code]]&amp;"; "&amp;O3386&amp;AS[[#This Row],[Reporting Year]]&amp;"; "&amp;P3386&amp;AS[[#This Row],[Insurance Category Code]]&amp;"; "&amp;Q3386&amp;AS[[#This Row],[Large Provider Entity Code]]&amp;"; "&amp;R3386&amp;AS[[#This Row],[Age Band Code]]&amp;"; "&amp;S3386&amp;AS[[#This Row],[Sex Code]]</f>
        <v xml:space="preserve">Insurer Code ; Reporting Year ; Insurance Category Code ; Large Provider Entity Code ; Age Band Code ; Sex Code </v>
      </c>
      <c r="N3386" s="297" t="s">
        <v>197</v>
      </c>
      <c r="O3386" s="297" t="s">
        <v>198</v>
      </c>
      <c r="P3386" s="297" t="s">
        <v>199</v>
      </c>
      <c r="Q3386" s="297" t="s">
        <v>200</v>
      </c>
      <c r="R3386" s="297" t="s">
        <v>213</v>
      </c>
      <c r="S3386" s="297" t="s">
        <v>214</v>
      </c>
    </row>
    <row r="3387" spans="1:19" x14ac:dyDescent="0.4">
      <c r="A3387" s="291"/>
      <c r="B3387" s="292"/>
      <c r="C3387" s="312"/>
      <c r="D3387" s="292"/>
      <c r="E3387" s="489"/>
      <c r="F3387" s="489"/>
      <c r="G3387" s="490"/>
      <c r="H3387" s="520"/>
      <c r="I3387" s="523"/>
      <c r="J3387" s="521"/>
      <c r="K3387" s="522"/>
      <c r="M3387" s="301" t="str">
        <f>N3387&amp;AS[[#This Row],[Insurer Code]]&amp;"; "&amp;O3387&amp;AS[[#This Row],[Reporting Year]]&amp;"; "&amp;P3387&amp;AS[[#This Row],[Insurance Category Code]]&amp;"; "&amp;Q3387&amp;AS[[#This Row],[Large Provider Entity Code]]&amp;"; "&amp;R3387&amp;AS[[#This Row],[Age Band Code]]&amp;"; "&amp;S3387&amp;AS[[#This Row],[Sex Code]]</f>
        <v xml:space="preserve">Insurer Code ; Reporting Year ; Insurance Category Code ; Large Provider Entity Code ; Age Band Code ; Sex Code </v>
      </c>
      <c r="N3387" s="297" t="s">
        <v>197</v>
      </c>
      <c r="O3387" s="297" t="s">
        <v>198</v>
      </c>
      <c r="P3387" s="297" t="s">
        <v>199</v>
      </c>
      <c r="Q3387" s="297" t="s">
        <v>200</v>
      </c>
      <c r="R3387" s="297" t="s">
        <v>213</v>
      </c>
      <c r="S3387" s="297" t="s">
        <v>214</v>
      </c>
    </row>
    <row r="3388" spans="1:19" x14ac:dyDescent="0.4">
      <c r="A3388" s="291"/>
      <c r="B3388" s="292"/>
      <c r="C3388" s="312"/>
      <c r="D3388" s="292"/>
      <c r="E3388" s="489"/>
      <c r="F3388" s="489"/>
      <c r="G3388" s="490"/>
      <c r="H3388" s="520"/>
      <c r="I3388" s="523"/>
      <c r="J3388" s="521"/>
      <c r="K3388" s="522"/>
      <c r="M3388" s="301" t="str">
        <f>N3388&amp;AS[[#This Row],[Insurer Code]]&amp;"; "&amp;O3388&amp;AS[[#This Row],[Reporting Year]]&amp;"; "&amp;P3388&amp;AS[[#This Row],[Insurance Category Code]]&amp;"; "&amp;Q3388&amp;AS[[#This Row],[Large Provider Entity Code]]&amp;"; "&amp;R3388&amp;AS[[#This Row],[Age Band Code]]&amp;"; "&amp;S3388&amp;AS[[#This Row],[Sex Code]]</f>
        <v xml:space="preserve">Insurer Code ; Reporting Year ; Insurance Category Code ; Large Provider Entity Code ; Age Band Code ; Sex Code </v>
      </c>
      <c r="N3388" s="297" t="s">
        <v>197</v>
      </c>
      <c r="O3388" s="297" t="s">
        <v>198</v>
      </c>
      <c r="P3388" s="297" t="s">
        <v>199</v>
      </c>
      <c r="Q3388" s="297" t="s">
        <v>200</v>
      </c>
      <c r="R3388" s="297" t="s">
        <v>213</v>
      </c>
      <c r="S3388" s="297" t="s">
        <v>214</v>
      </c>
    </row>
    <row r="3389" spans="1:19" x14ac:dyDescent="0.4">
      <c r="A3389" s="291"/>
      <c r="B3389" s="292"/>
      <c r="C3389" s="312"/>
      <c r="D3389" s="292"/>
      <c r="E3389" s="489"/>
      <c r="F3389" s="489"/>
      <c r="G3389" s="490"/>
      <c r="H3389" s="520"/>
      <c r="I3389" s="523"/>
      <c r="J3389" s="521"/>
      <c r="K3389" s="522"/>
      <c r="M3389" s="301" t="str">
        <f>N3389&amp;AS[[#This Row],[Insurer Code]]&amp;"; "&amp;O3389&amp;AS[[#This Row],[Reporting Year]]&amp;"; "&amp;P3389&amp;AS[[#This Row],[Insurance Category Code]]&amp;"; "&amp;Q3389&amp;AS[[#This Row],[Large Provider Entity Code]]&amp;"; "&amp;R3389&amp;AS[[#This Row],[Age Band Code]]&amp;"; "&amp;S3389&amp;AS[[#This Row],[Sex Code]]</f>
        <v xml:space="preserve">Insurer Code ; Reporting Year ; Insurance Category Code ; Large Provider Entity Code ; Age Band Code ; Sex Code </v>
      </c>
      <c r="N3389" s="297" t="s">
        <v>197</v>
      </c>
      <c r="O3389" s="297" t="s">
        <v>198</v>
      </c>
      <c r="P3389" s="297" t="s">
        <v>199</v>
      </c>
      <c r="Q3389" s="297" t="s">
        <v>200</v>
      </c>
      <c r="R3389" s="297" t="s">
        <v>213</v>
      </c>
      <c r="S3389" s="297" t="s">
        <v>214</v>
      </c>
    </row>
    <row r="3390" spans="1:19" x14ac:dyDescent="0.4">
      <c r="A3390" s="291"/>
      <c r="B3390" s="292"/>
      <c r="C3390" s="312"/>
      <c r="D3390" s="292"/>
      <c r="E3390" s="489"/>
      <c r="F3390" s="489"/>
      <c r="G3390" s="490"/>
      <c r="H3390" s="520"/>
      <c r="I3390" s="523"/>
      <c r="J3390" s="521"/>
      <c r="K3390" s="522"/>
      <c r="M3390" s="301" t="str">
        <f>N3390&amp;AS[[#This Row],[Insurer Code]]&amp;"; "&amp;O3390&amp;AS[[#This Row],[Reporting Year]]&amp;"; "&amp;P3390&amp;AS[[#This Row],[Insurance Category Code]]&amp;"; "&amp;Q3390&amp;AS[[#This Row],[Large Provider Entity Code]]&amp;"; "&amp;R3390&amp;AS[[#This Row],[Age Band Code]]&amp;"; "&amp;S3390&amp;AS[[#This Row],[Sex Code]]</f>
        <v xml:space="preserve">Insurer Code ; Reporting Year ; Insurance Category Code ; Large Provider Entity Code ; Age Band Code ; Sex Code </v>
      </c>
      <c r="N3390" s="297" t="s">
        <v>197</v>
      </c>
      <c r="O3390" s="297" t="s">
        <v>198</v>
      </c>
      <c r="P3390" s="297" t="s">
        <v>199</v>
      </c>
      <c r="Q3390" s="297" t="s">
        <v>200</v>
      </c>
      <c r="R3390" s="297" t="s">
        <v>213</v>
      </c>
      <c r="S3390" s="297" t="s">
        <v>214</v>
      </c>
    </row>
    <row r="3391" spans="1:19" x14ac:dyDescent="0.4">
      <c r="A3391" s="291"/>
      <c r="B3391" s="292"/>
      <c r="C3391" s="312"/>
      <c r="D3391" s="292"/>
      <c r="E3391" s="489"/>
      <c r="F3391" s="489"/>
      <c r="G3391" s="490"/>
      <c r="H3391" s="520"/>
      <c r="I3391" s="523"/>
      <c r="J3391" s="521"/>
      <c r="K3391" s="522"/>
      <c r="M3391" s="301" t="str">
        <f>N3391&amp;AS[[#This Row],[Insurer Code]]&amp;"; "&amp;O3391&amp;AS[[#This Row],[Reporting Year]]&amp;"; "&amp;P3391&amp;AS[[#This Row],[Insurance Category Code]]&amp;"; "&amp;Q3391&amp;AS[[#This Row],[Large Provider Entity Code]]&amp;"; "&amp;R3391&amp;AS[[#This Row],[Age Band Code]]&amp;"; "&amp;S3391&amp;AS[[#This Row],[Sex Code]]</f>
        <v xml:space="preserve">Insurer Code ; Reporting Year ; Insurance Category Code ; Large Provider Entity Code ; Age Band Code ; Sex Code </v>
      </c>
      <c r="N3391" s="297" t="s">
        <v>197</v>
      </c>
      <c r="O3391" s="297" t="s">
        <v>198</v>
      </c>
      <c r="P3391" s="297" t="s">
        <v>199</v>
      </c>
      <c r="Q3391" s="297" t="s">
        <v>200</v>
      </c>
      <c r="R3391" s="297" t="s">
        <v>213</v>
      </c>
      <c r="S3391" s="297" t="s">
        <v>214</v>
      </c>
    </row>
    <row r="3392" spans="1:19" x14ac:dyDescent="0.4">
      <c r="A3392" s="291"/>
      <c r="B3392" s="292"/>
      <c r="C3392" s="312"/>
      <c r="D3392" s="292"/>
      <c r="E3392" s="489"/>
      <c r="F3392" s="489"/>
      <c r="G3392" s="490"/>
      <c r="H3392" s="520"/>
      <c r="I3392" s="523"/>
      <c r="J3392" s="521"/>
      <c r="K3392" s="522"/>
      <c r="M3392" s="301" t="str">
        <f>N3392&amp;AS[[#This Row],[Insurer Code]]&amp;"; "&amp;O3392&amp;AS[[#This Row],[Reporting Year]]&amp;"; "&amp;P3392&amp;AS[[#This Row],[Insurance Category Code]]&amp;"; "&amp;Q3392&amp;AS[[#This Row],[Large Provider Entity Code]]&amp;"; "&amp;R3392&amp;AS[[#This Row],[Age Band Code]]&amp;"; "&amp;S3392&amp;AS[[#This Row],[Sex Code]]</f>
        <v xml:space="preserve">Insurer Code ; Reporting Year ; Insurance Category Code ; Large Provider Entity Code ; Age Band Code ; Sex Code </v>
      </c>
      <c r="N3392" s="297" t="s">
        <v>197</v>
      </c>
      <c r="O3392" s="297" t="s">
        <v>198</v>
      </c>
      <c r="P3392" s="297" t="s">
        <v>199</v>
      </c>
      <c r="Q3392" s="297" t="s">
        <v>200</v>
      </c>
      <c r="R3392" s="297" t="s">
        <v>213</v>
      </c>
      <c r="S3392" s="297" t="s">
        <v>214</v>
      </c>
    </row>
    <row r="3393" spans="1:19" x14ac:dyDescent="0.4">
      <c r="A3393" s="291"/>
      <c r="B3393" s="292"/>
      <c r="C3393" s="312"/>
      <c r="D3393" s="292"/>
      <c r="E3393" s="489"/>
      <c r="F3393" s="489"/>
      <c r="G3393" s="490"/>
      <c r="H3393" s="520"/>
      <c r="I3393" s="523"/>
      <c r="J3393" s="521"/>
      <c r="K3393" s="522"/>
      <c r="M3393" s="301" t="str">
        <f>N3393&amp;AS[[#This Row],[Insurer Code]]&amp;"; "&amp;O3393&amp;AS[[#This Row],[Reporting Year]]&amp;"; "&amp;P3393&amp;AS[[#This Row],[Insurance Category Code]]&amp;"; "&amp;Q3393&amp;AS[[#This Row],[Large Provider Entity Code]]&amp;"; "&amp;R3393&amp;AS[[#This Row],[Age Band Code]]&amp;"; "&amp;S3393&amp;AS[[#This Row],[Sex Code]]</f>
        <v xml:space="preserve">Insurer Code ; Reporting Year ; Insurance Category Code ; Large Provider Entity Code ; Age Band Code ; Sex Code </v>
      </c>
      <c r="N3393" s="297" t="s">
        <v>197</v>
      </c>
      <c r="O3393" s="297" t="s">
        <v>198</v>
      </c>
      <c r="P3393" s="297" t="s">
        <v>199</v>
      </c>
      <c r="Q3393" s="297" t="s">
        <v>200</v>
      </c>
      <c r="R3393" s="297" t="s">
        <v>213</v>
      </c>
      <c r="S3393" s="297" t="s">
        <v>214</v>
      </c>
    </row>
    <row r="3394" spans="1:19" x14ac:dyDescent="0.4">
      <c r="A3394" s="291"/>
      <c r="B3394" s="292"/>
      <c r="C3394" s="312"/>
      <c r="D3394" s="292"/>
      <c r="E3394" s="489"/>
      <c r="F3394" s="489"/>
      <c r="G3394" s="490"/>
      <c r="H3394" s="520"/>
      <c r="I3394" s="523"/>
      <c r="J3394" s="521"/>
      <c r="K3394" s="522"/>
      <c r="M3394" s="301" t="str">
        <f>N3394&amp;AS[[#This Row],[Insurer Code]]&amp;"; "&amp;O3394&amp;AS[[#This Row],[Reporting Year]]&amp;"; "&amp;P3394&amp;AS[[#This Row],[Insurance Category Code]]&amp;"; "&amp;Q3394&amp;AS[[#This Row],[Large Provider Entity Code]]&amp;"; "&amp;R3394&amp;AS[[#This Row],[Age Band Code]]&amp;"; "&amp;S3394&amp;AS[[#This Row],[Sex Code]]</f>
        <v xml:space="preserve">Insurer Code ; Reporting Year ; Insurance Category Code ; Large Provider Entity Code ; Age Band Code ; Sex Code </v>
      </c>
      <c r="N3394" s="297" t="s">
        <v>197</v>
      </c>
      <c r="O3394" s="297" t="s">
        <v>198</v>
      </c>
      <c r="P3394" s="297" t="s">
        <v>199</v>
      </c>
      <c r="Q3394" s="297" t="s">
        <v>200</v>
      </c>
      <c r="R3394" s="297" t="s">
        <v>213</v>
      </c>
      <c r="S3394" s="297" t="s">
        <v>214</v>
      </c>
    </row>
    <row r="3395" spans="1:19" x14ac:dyDescent="0.4">
      <c r="A3395" s="291"/>
      <c r="B3395" s="292"/>
      <c r="C3395" s="312"/>
      <c r="D3395" s="292"/>
      <c r="E3395" s="489"/>
      <c r="F3395" s="489"/>
      <c r="G3395" s="490"/>
      <c r="H3395" s="520"/>
      <c r="I3395" s="523"/>
      <c r="J3395" s="521"/>
      <c r="K3395" s="522"/>
      <c r="M3395" s="301" t="str">
        <f>N3395&amp;AS[[#This Row],[Insurer Code]]&amp;"; "&amp;O3395&amp;AS[[#This Row],[Reporting Year]]&amp;"; "&amp;P3395&amp;AS[[#This Row],[Insurance Category Code]]&amp;"; "&amp;Q3395&amp;AS[[#This Row],[Large Provider Entity Code]]&amp;"; "&amp;R3395&amp;AS[[#This Row],[Age Band Code]]&amp;"; "&amp;S3395&amp;AS[[#This Row],[Sex Code]]</f>
        <v xml:space="preserve">Insurer Code ; Reporting Year ; Insurance Category Code ; Large Provider Entity Code ; Age Band Code ; Sex Code </v>
      </c>
      <c r="N3395" s="297" t="s">
        <v>197</v>
      </c>
      <c r="O3395" s="297" t="s">
        <v>198</v>
      </c>
      <c r="P3395" s="297" t="s">
        <v>199</v>
      </c>
      <c r="Q3395" s="297" t="s">
        <v>200</v>
      </c>
      <c r="R3395" s="297" t="s">
        <v>213</v>
      </c>
      <c r="S3395" s="297" t="s">
        <v>214</v>
      </c>
    </row>
    <row r="3396" spans="1:19" x14ac:dyDescent="0.4">
      <c r="A3396" s="291"/>
      <c r="B3396" s="292"/>
      <c r="C3396" s="312"/>
      <c r="D3396" s="292"/>
      <c r="E3396" s="489"/>
      <c r="F3396" s="489"/>
      <c r="G3396" s="490"/>
      <c r="H3396" s="520"/>
      <c r="I3396" s="523"/>
      <c r="J3396" s="521"/>
      <c r="K3396" s="522"/>
      <c r="M3396" s="301" t="str">
        <f>N3396&amp;AS[[#This Row],[Insurer Code]]&amp;"; "&amp;O3396&amp;AS[[#This Row],[Reporting Year]]&amp;"; "&amp;P3396&amp;AS[[#This Row],[Insurance Category Code]]&amp;"; "&amp;Q3396&amp;AS[[#This Row],[Large Provider Entity Code]]&amp;"; "&amp;R3396&amp;AS[[#This Row],[Age Band Code]]&amp;"; "&amp;S3396&amp;AS[[#This Row],[Sex Code]]</f>
        <v xml:space="preserve">Insurer Code ; Reporting Year ; Insurance Category Code ; Large Provider Entity Code ; Age Band Code ; Sex Code </v>
      </c>
      <c r="N3396" s="297" t="s">
        <v>197</v>
      </c>
      <c r="O3396" s="297" t="s">
        <v>198</v>
      </c>
      <c r="P3396" s="297" t="s">
        <v>199</v>
      </c>
      <c r="Q3396" s="297" t="s">
        <v>200</v>
      </c>
      <c r="R3396" s="297" t="s">
        <v>213</v>
      </c>
      <c r="S3396" s="297" t="s">
        <v>214</v>
      </c>
    </row>
    <row r="3397" spans="1:19" x14ac:dyDescent="0.4">
      <c r="A3397" s="291"/>
      <c r="B3397" s="292"/>
      <c r="C3397" s="312"/>
      <c r="D3397" s="292"/>
      <c r="E3397" s="489"/>
      <c r="F3397" s="489"/>
      <c r="G3397" s="490"/>
      <c r="H3397" s="520"/>
      <c r="I3397" s="523"/>
      <c r="J3397" s="521"/>
      <c r="K3397" s="522"/>
      <c r="M3397" s="301" t="str">
        <f>N3397&amp;AS[[#This Row],[Insurer Code]]&amp;"; "&amp;O3397&amp;AS[[#This Row],[Reporting Year]]&amp;"; "&amp;P3397&amp;AS[[#This Row],[Insurance Category Code]]&amp;"; "&amp;Q3397&amp;AS[[#This Row],[Large Provider Entity Code]]&amp;"; "&amp;R3397&amp;AS[[#This Row],[Age Band Code]]&amp;"; "&amp;S3397&amp;AS[[#This Row],[Sex Code]]</f>
        <v xml:space="preserve">Insurer Code ; Reporting Year ; Insurance Category Code ; Large Provider Entity Code ; Age Band Code ; Sex Code </v>
      </c>
      <c r="N3397" s="297" t="s">
        <v>197</v>
      </c>
      <c r="O3397" s="297" t="s">
        <v>198</v>
      </c>
      <c r="P3397" s="297" t="s">
        <v>199</v>
      </c>
      <c r="Q3397" s="297" t="s">
        <v>200</v>
      </c>
      <c r="R3397" s="297" t="s">
        <v>213</v>
      </c>
      <c r="S3397" s="297" t="s">
        <v>214</v>
      </c>
    </row>
    <row r="3398" spans="1:19" x14ac:dyDescent="0.4">
      <c r="A3398" s="291"/>
      <c r="B3398" s="292"/>
      <c r="C3398" s="312"/>
      <c r="D3398" s="292"/>
      <c r="E3398" s="489"/>
      <c r="F3398" s="489"/>
      <c r="G3398" s="490"/>
      <c r="H3398" s="520"/>
      <c r="I3398" s="523"/>
      <c r="J3398" s="521"/>
      <c r="K3398" s="522"/>
      <c r="M3398" s="301" t="str">
        <f>N3398&amp;AS[[#This Row],[Insurer Code]]&amp;"; "&amp;O3398&amp;AS[[#This Row],[Reporting Year]]&amp;"; "&amp;P3398&amp;AS[[#This Row],[Insurance Category Code]]&amp;"; "&amp;Q3398&amp;AS[[#This Row],[Large Provider Entity Code]]&amp;"; "&amp;R3398&amp;AS[[#This Row],[Age Band Code]]&amp;"; "&amp;S3398&amp;AS[[#This Row],[Sex Code]]</f>
        <v xml:space="preserve">Insurer Code ; Reporting Year ; Insurance Category Code ; Large Provider Entity Code ; Age Band Code ; Sex Code </v>
      </c>
      <c r="N3398" s="297" t="s">
        <v>197</v>
      </c>
      <c r="O3398" s="297" t="s">
        <v>198</v>
      </c>
      <c r="P3398" s="297" t="s">
        <v>199</v>
      </c>
      <c r="Q3398" s="297" t="s">
        <v>200</v>
      </c>
      <c r="R3398" s="297" t="s">
        <v>213</v>
      </c>
      <c r="S3398" s="297" t="s">
        <v>214</v>
      </c>
    </row>
    <row r="3399" spans="1:19" x14ac:dyDescent="0.4">
      <c r="A3399" s="291"/>
      <c r="B3399" s="292"/>
      <c r="C3399" s="312"/>
      <c r="D3399" s="292"/>
      <c r="E3399" s="489"/>
      <c r="F3399" s="489"/>
      <c r="G3399" s="490"/>
      <c r="H3399" s="520"/>
      <c r="I3399" s="523"/>
      <c r="J3399" s="521"/>
      <c r="K3399" s="522"/>
      <c r="M3399" s="301" t="str">
        <f>N3399&amp;AS[[#This Row],[Insurer Code]]&amp;"; "&amp;O3399&amp;AS[[#This Row],[Reporting Year]]&amp;"; "&amp;P3399&amp;AS[[#This Row],[Insurance Category Code]]&amp;"; "&amp;Q3399&amp;AS[[#This Row],[Large Provider Entity Code]]&amp;"; "&amp;R3399&amp;AS[[#This Row],[Age Band Code]]&amp;"; "&amp;S3399&amp;AS[[#This Row],[Sex Code]]</f>
        <v xml:space="preserve">Insurer Code ; Reporting Year ; Insurance Category Code ; Large Provider Entity Code ; Age Band Code ; Sex Code </v>
      </c>
      <c r="N3399" s="297" t="s">
        <v>197</v>
      </c>
      <c r="O3399" s="297" t="s">
        <v>198</v>
      </c>
      <c r="P3399" s="297" t="s">
        <v>199</v>
      </c>
      <c r="Q3399" s="297" t="s">
        <v>200</v>
      </c>
      <c r="R3399" s="297" t="s">
        <v>213</v>
      </c>
      <c r="S3399" s="297" t="s">
        <v>214</v>
      </c>
    </row>
    <row r="3400" spans="1:19" x14ac:dyDescent="0.4">
      <c r="A3400" s="291"/>
      <c r="B3400" s="292"/>
      <c r="C3400" s="312"/>
      <c r="D3400" s="292"/>
      <c r="E3400" s="489"/>
      <c r="F3400" s="489"/>
      <c r="G3400" s="490"/>
      <c r="H3400" s="520"/>
      <c r="I3400" s="523"/>
      <c r="J3400" s="521"/>
      <c r="K3400" s="522"/>
      <c r="M3400" s="301" t="str">
        <f>N3400&amp;AS[[#This Row],[Insurer Code]]&amp;"; "&amp;O3400&amp;AS[[#This Row],[Reporting Year]]&amp;"; "&amp;P3400&amp;AS[[#This Row],[Insurance Category Code]]&amp;"; "&amp;Q3400&amp;AS[[#This Row],[Large Provider Entity Code]]&amp;"; "&amp;R3400&amp;AS[[#This Row],[Age Band Code]]&amp;"; "&amp;S3400&amp;AS[[#This Row],[Sex Code]]</f>
        <v xml:space="preserve">Insurer Code ; Reporting Year ; Insurance Category Code ; Large Provider Entity Code ; Age Band Code ; Sex Code </v>
      </c>
      <c r="N3400" s="297" t="s">
        <v>197</v>
      </c>
      <c r="O3400" s="297" t="s">
        <v>198</v>
      </c>
      <c r="P3400" s="297" t="s">
        <v>199</v>
      </c>
      <c r="Q3400" s="297" t="s">
        <v>200</v>
      </c>
      <c r="R3400" s="297" t="s">
        <v>213</v>
      </c>
      <c r="S3400" s="297" t="s">
        <v>214</v>
      </c>
    </row>
    <row r="3401" spans="1:19" x14ac:dyDescent="0.4">
      <c r="A3401" s="291"/>
      <c r="B3401" s="292"/>
      <c r="C3401" s="312"/>
      <c r="D3401" s="292"/>
      <c r="E3401" s="489"/>
      <c r="F3401" s="489"/>
      <c r="G3401" s="490"/>
      <c r="H3401" s="520"/>
      <c r="I3401" s="523"/>
      <c r="J3401" s="521"/>
      <c r="K3401" s="522"/>
      <c r="M3401" s="301" t="str">
        <f>N3401&amp;AS[[#This Row],[Insurer Code]]&amp;"; "&amp;O3401&amp;AS[[#This Row],[Reporting Year]]&amp;"; "&amp;P3401&amp;AS[[#This Row],[Insurance Category Code]]&amp;"; "&amp;Q3401&amp;AS[[#This Row],[Large Provider Entity Code]]&amp;"; "&amp;R3401&amp;AS[[#This Row],[Age Band Code]]&amp;"; "&amp;S3401&amp;AS[[#This Row],[Sex Code]]</f>
        <v xml:space="preserve">Insurer Code ; Reporting Year ; Insurance Category Code ; Large Provider Entity Code ; Age Band Code ; Sex Code </v>
      </c>
      <c r="N3401" s="297" t="s">
        <v>197</v>
      </c>
      <c r="O3401" s="297" t="s">
        <v>198</v>
      </c>
      <c r="P3401" s="297" t="s">
        <v>199</v>
      </c>
      <c r="Q3401" s="297" t="s">
        <v>200</v>
      </c>
      <c r="R3401" s="297" t="s">
        <v>213</v>
      </c>
      <c r="S3401" s="297" t="s">
        <v>214</v>
      </c>
    </row>
    <row r="3402" spans="1:19" x14ac:dyDescent="0.4">
      <c r="A3402" s="291"/>
      <c r="B3402" s="292"/>
      <c r="C3402" s="312"/>
      <c r="D3402" s="292"/>
      <c r="E3402" s="489"/>
      <c r="F3402" s="489"/>
      <c r="G3402" s="490"/>
      <c r="H3402" s="520"/>
      <c r="I3402" s="523"/>
      <c r="J3402" s="521"/>
      <c r="K3402" s="522"/>
      <c r="M3402" s="301" t="str">
        <f>N3402&amp;AS[[#This Row],[Insurer Code]]&amp;"; "&amp;O3402&amp;AS[[#This Row],[Reporting Year]]&amp;"; "&amp;P3402&amp;AS[[#This Row],[Insurance Category Code]]&amp;"; "&amp;Q3402&amp;AS[[#This Row],[Large Provider Entity Code]]&amp;"; "&amp;R3402&amp;AS[[#This Row],[Age Band Code]]&amp;"; "&amp;S3402&amp;AS[[#This Row],[Sex Code]]</f>
        <v xml:space="preserve">Insurer Code ; Reporting Year ; Insurance Category Code ; Large Provider Entity Code ; Age Band Code ; Sex Code </v>
      </c>
      <c r="N3402" s="297" t="s">
        <v>197</v>
      </c>
      <c r="O3402" s="297" t="s">
        <v>198</v>
      </c>
      <c r="P3402" s="297" t="s">
        <v>199</v>
      </c>
      <c r="Q3402" s="297" t="s">
        <v>200</v>
      </c>
      <c r="R3402" s="297" t="s">
        <v>213</v>
      </c>
      <c r="S3402" s="297" t="s">
        <v>214</v>
      </c>
    </row>
    <row r="3403" spans="1:19" x14ac:dyDescent="0.4">
      <c r="A3403" s="291"/>
      <c r="B3403" s="292"/>
      <c r="C3403" s="312"/>
      <c r="D3403" s="292"/>
      <c r="E3403" s="489"/>
      <c r="F3403" s="489"/>
      <c r="G3403" s="490"/>
      <c r="H3403" s="520"/>
      <c r="I3403" s="523"/>
      <c r="J3403" s="521"/>
      <c r="K3403" s="522"/>
      <c r="M3403" s="301" t="str">
        <f>N3403&amp;AS[[#This Row],[Insurer Code]]&amp;"; "&amp;O3403&amp;AS[[#This Row],[Reporting Year]]&amp;"; "&amp;P3403&amp;AS[[#This Row],[Insurance Category Code]]&amp;"; "&amp;Q3403&amp;AS[[#This Row],[Large Provider Entity Code]]&amp;"; "&amp;R3403&amp;AS[[#This Row],[Age Band Code]]&amp;"; "&amp;S3403&amp;AS[[#This Row],[Sex Code]]</f>
        <v xml:space="preserve">Insurer Code ; Reporting Year ; Insurance Category Code ; Large Provider Entity Code ; Age Band Code ; Sex Code </v>
      </c>
      <c r="N3403" s="297" t="s">
        <v>197</v>
      </c>
      <c r="O3403" s="297" t="s">
        <v>198</v>
      </c>
      <c r="P3403" s="297" t="s">
        <v>199</v>
      </c>
      <c r="Q3403" s="297" t="s">
        <v>200</v>
      </c>
      <c r="R3403" s="297" t="s">
        <v>213</v>
      </c>
      <c r="S3403" s="297" t="s">
        <v>214</v>
      </c>
    </row>
    <row r="3404" spans="1:19" x14ac:dyDescent="0.4">
      <c r="A3404" s="291"/>
      <c r="B3404" s="292"/>
      <c r="C3404" s="312"/>
      <c r="D3404" s="292"/>
      <c r="E3404" s="489"/>
      <c r="F3404" s="489"/>
      <c r="G3404" s="490"/>
      <c r="H3404" s="520"/>
      <c r="I3404" s="523"/>
      <c r="J3404" s="521"/>
      <c r="K3404" s="522"/>
      <c r="M3404" s="301" t="str">
        <f>N3404&amp;AS[[#This Row],[Insurer Code]]&amp;"; "&amp;O3404&amp;AS[[#This Row],[Reporting Year]]&amp;"; "&amp;P3404&amp;AS[[#This Row],[Insurance Category Code]]&amp;"; "&amp;Q3404&amp;AS[[#This Row],[Large Provider Entity Code]]&amp;"; "&amp;R3404&amp;AS[[#This Row],[Age Band Code]]&amp;"; "&amp;S3404&amp;AS[[#This Row],[Sex Code]]</f>
        <v xml:space="preserve">Insurer Code ; Reporting Year ; Insurance Category Code ; Large Provider Entity Code ; Age Band Code ; Sex Code </v>
      </c>
      <c r="N3404" s="297" t="s">
        <v>197</v>
      </c>
      <c r="O3404" s="297" t="s">
        <v>198</v>
      </c>
      <c r="P3404" s="297" t="s">
        <v>199</v>
      </c>
      <c r="Q3404" s="297" t="s">
        <v>200</v>
      </c>
      <c r="R3404" s="297" t="s">
        <v>213</v>
      </c>
      <c r="S3404" s="297" t="s">
        <v>214</v>
      </c>
    </row>
    <row r="3405" spans="1:19" x14ac:dyDescent="0.4">
      <c r="A3405" s="291"/>
      <c r="B3405" s="292"/>
      <c r="C3405" s="312"/>
      <c r="D3405" s="292"/>
      <c r="E3405" s="489"/>
      <c r="F3405" s="489"/>
      <c r="G3405" s="490"/>
      <c r="H3405" s="520"/>
      <c r="I3405" s="523"/>
      <c r="J3405" s="521"/>
      <c r="K3405" s="522"/>
      <c r="M3405" s="301" t="str">
        <f>N3405&amp;AS[[#This Row],[Insurer Code]]&amp;"; "&amp;O3405&amp;AS[[#This Row],[Reporting Year]]&amp;"; "&amp;P3405&amp;AS[[#This Row],[Insurance Category Code]]&amp;"; "&amp;Q3405&amp;AS[[#This Row],[Large Provider Entity Code]]&amp;"; "&amp;R3405&amp;AS[[#This Row],[Age Band Code]]&amp;"; "&amp;S3405&amp;AS[[#This Row],[Sex Code]]</f>
        <v xml:space="preserve">Insurer Code ; Reporting Year ; Insurance Category Code ; Large Provider Entity Code ; Age Band Code ; Sex Code </v>
      </c>
      <c r="N3405" s="297" t="s">
        <v>197</v>
      </c>
      <c r="O3405" s="297" t="s">
        <v>198</v>
      </c>
      <c r="P3405" s="297" t="s">
        <v>199</v>
      </c>
      <c r="Q3405" s="297" t="s">
        <v>200</v>
      </c>
      <c r="R3405" s="297" t="s">
        <v>213</v>
      </c>
      <c r="S3405" s="297" t="s">
        <v>214</v>
      </c>
    </row>
    <row r="3406" spans="1:19" x14ac:dyDescent="0.4">
      <c r="A3406" s="291"/>
      <c r="B3406" s="292"/>
      <c r="C3406" s="312"/>
      <c r="D3406" s="292"/>
      <c r="E3406" s="489"/>
      <c r="F3406" s="489"/>
      <c r="G3406" s="490"/>
      <c r="H3406" s="520"/>
      <c r="I3406" s="523"/>
      <c r="J3406" s="521"/>
      <c r="K3406" s="522"/>
      <c r="M3406" s="301" t="str">
        <f>N3406&amp;AS[[#This Row],[Insurer Code]]&amp;"; "&amp;O3406&amp;AS[[#This Row],[Reporting Year]]&amp;"; "&amp;P3406&amp;AS[[#This Row],[Insurance Category Code]]&amp;"; "&amp;Q3406&amp;AS[[#This Row],[Large Provider Entity Code]]&amp;"; "&amp;R3406&amp;AS[[#This Row],[Age Band Code]]&amp;"; "&amp;S3406&amp;AS[[#This Row],[Sex Code]]</f>
        <v xml:space="preserve">Insurer Code ; Reporting Year ; Insurance Category Code ; Large Provider Entity Code ; Age Band Code ; Sex Code </v>
      </c>
      <c r="N3406" s="297" t="s">
        <v>197</v>
      </c>
      <c r="O3406" s="297" t="s">
        <v>198</v>
      </c>
      <c r="P3406" s="297" t="s">
        <v>199</v>
      </c>
      <c r="Q3406" s="297" t="s">
        <v>200</v>
      </c>
      <c r="R3406" s="297" t="s">
        <v>213</v>
      </c>
      <c r="S3406" s="297" t="s">
        <v>214</v>
      </c>
    </row>
    <row r="3407" spans="1:19" x14ac:dyDescent="0.4">
      <c r="A3407" s="291"/>
      <c r="B3407" s="292"/>
      <c r="C3407" s="312"/>
      <c r="D3407" s="292"/>
      <c r="E3407" s="489"/>
      <c r="F3407" s="489"/>
      <c r="G3407" s="490"/>
      <c r="H3407" s="520"/>
      <c r="I3407" s="523"/>
      <c r="J3407" s="521"/>
      <c r="K3407" s="522"/>
      <c r="M3407" s="301" t="str">
        <f>N3407&amp;AS[[#This Row],[Insurer Code]]&amp;"; "&amp;O3407&amp;AS[[#This Row],[Reporting Year]]&amp;"; "&amp;P3407&amp;AS[[#This Row],[Insurance Category Code]]&amp;"; "&amp;Q3407&amp;AS[[#This Row],[Large Provider Entity Code]]&amp;"; "&amp;R3407&amp;AS[[#This Row],[Age Band Code]]&amp;"; "&amp;S3407&amp;AS[[#This Row],[Sex Code]]</f>
        <v xml:space="preserve">Insurer Code ; Reporting Year ; Insurance Category Code ; Large Provider Entity Code ; Age Band Code ; Sex Code </v>
      </c>
      <c r="N3407" s="297" t="s">
        <v>197</v>
      </c>
      <c r="O3407" s="297" t="s">
        <v>198</v>
      </c>
      <c r="P3407" s="297" t="s">
        <v>199</v>
      </c>
      <c r="Q3407" s="297" t="s">
        <v>200</v>
      </c>
      <c r="R3407" s="297" t="s">
        <v>213</v>
      </c>
      <c r="S3407" s="297" t="s">
        <v>214</v>
      </c>
    </row>
    <row r="3408" spans="1:19" x14ac:dyDescent="0.4">
      <c r="A3408" s="291"/>
      <c r="B3408" s="292"/>
      <c r="C3408" s="312"/>
      <c r="D3408" s="292"/>
      <c r="E3408" s="489"/>
      <c r="F3408" s="489"/>
      <c r="G3408" s="490"/>
      <c r="H3408" s="520"/>
      <c r="I3408" s="523"/>
      <c r="J3408" s="521"/>
      <c r="K3408" s="522"/>
      <c r="M3408" s="301" t="str">
        <f>N3408&amp;AS[[#This Row],[Insurer Code]]&amp;"; "&amp;O3408&amp;AS[[#This Row],[Reporting Year]]&amp;"; "&amp;P3408&amp;AS[[#This Row],[Insurance Category Code]]&amp;"; "&amp;Q3408&amp;AS[[#This Row],[Large Provider Entity Code]]&amp;"; "&amp;R3408&amp;AS[[#This Row],[Age Band Code]]&amp;"; "&amp;S3408&amp;AS[[#This Row],[Sex Code]]</f>
        <v xml:space="preserve">Insurer Code ; Reporting Year ; Insurance Category Code ; Large Provider Entity Code ; Age Band Code ; Sex Code </v>
      </c>
      <c r="N3408" s="297" t="s">
        <v>197</v>
      </c>
      <c r="O3408" s="297" t="s">
        <v>198</v>
      </c>
      <c r="P3408" s="297" t="s">
        <v>199</v>
      </c>
      <c r="Q3408" s="297" t="s">
        <v>200</v>
      </c>
      <c r="R3408" s="297" t="s">
        <v>213</v>
      </c>
      <c r="S3408" s="297" t="s">
        <v>214</v>
      </c>
    </row>
    <row r="3409" spans="1:19" x14ac:dyDescent="0.4">
      <c r="A3409" s="291"/>
      <c r="B3409" s="292"/>
      <c r="C3409" s="312"/>
      <c r="D3409" s="292"/>
      <c r="E3409" s="489"/>
      <c r="F3409" s="489"/>
      <c r="G3409" s="490"/>
      <c r="H3409" s="520"/>
      <c r="I3409" s="523"/>
      <c r="J3409" s="521"/>
      <c r="K3409" s="522"/>
      <c r="M3409" s="301" t="str">
        <f>N3409&amp;AS[[#This Row],[Insurer Code]]&amp;"; "&amp;O3409&amp;AS[[#This Row],[Reporting Year]]&amp;"; "&amp;P3409&amp;AS[[#This Row],[Insurance Category Code]]&amp;"; "&amp;Q3409&amp;AS[[#This Row],[Large Provider Entity Code]]&amp;"; "&amp;R3409&amp;AS[[#This Row],[Age Band Code]]&amp;"; "&amp;S3409&amp;AS[[#This Row],[Sex Code]]</f>
        <v xml:space="preserve">Insurer Code ; Reporting Year ; Insurance Category Code ; Large Provider Entity Code ; Age Band Code ; Sex Code </v>
      </c>
      <c r="N3409" s="297" t="s">
        <v>197</v>
      </c>
      <c r="O3409" s="297" t="s">
        <v>198</v>
      </c>
      <c r="P3409" s="297" t="s">
        <v>199</v>
      </c>
      <c r="Q3409" s="297" t="s">
        <v>200</v>
      </c>
      <c r="R3409" s="297" t="s">
        <v>213</v>
      </c>
      <c r="S3409" s="297" t="s">
        <v>214</v>
      </c>
    </row>
    <row r="3410" spans="1:19" x14ac:dyDescent="0.4">
      <c r="A3410" s="291"/>
      <c r="B3410" s="292"/>
      <c r="C3410" s="312"/>
      <c r="D3410" s="292"/>
      <c r="E3410" s="489"/>
      <c r="F3410" s="489"/>
      <c r="G3410" s="490"/>
      <c r="H3410" s="520"/>
      <c r="I3410" s="523"/>
      <c r="J3410" s="521"/>
      <c r="K3410" s="522"/>
      <c r="M3410" s="301" t="str">
        <f>N3410&amp;AS[[#This Row],[Insurer Code]]&amp;"; "&amp;O3410&amp;AS[[#This Row],[Reporting Year]]&amp;"; "&amp;P3410&amp;AS[[#This Row],[Insurance Category Code]]&amp;"; "&amp;Q3410&amp;AS[[#This Row],[Large Provider Entity Code]]&amp;"; "&amp;R3410&amp;AS[[#This Row],[Age Band Code]]&amp;"; "&amp;S3410&amp;AS[[#This Row],[Sex Code]]</f>
        <v xml:space="preserve">Insurer Code ; Reporting Year ; Insurance Category Code ; Large Provider Entity Code ; Age Band Code ; Sex Code </v>
      </c>
      <c r="N3410" s="297" t="s">
        <v>197</v>
      </c>
      <c r="O3410" s="297" t="s">
        <v>198</v>
      </c>
      <c r="P3410" s="297" t="s">
        <v>199</v>
      </c>
      <c r="Q3410" s="297" t="s">
        <v>200</v>
      </c>
      <c r="R3410" s="297" t="s">
        <v>213</v>
      </c>
      <c r="S3410" s="297" t="s">
        <v>214</v>
      </c>
    </row>
    <row r="3411" spans="1:19" x14ac:dyDescent="0.4">
      <c r="A3411" s="291"/>
      <c r="B3411" s="292"/>
      <c r="C3411" s="312"/>
      <c r="D3411" s="292"/>
      <c r="E3411" s="489"/>
      <c r="F3411" s="489"/>
      <c r="G3411" s="490"/>
      <c r="H3411" s="520"/>
      <c r="I3411" s="523"/>
      <c r="J3411" s="521"/>
      <c r="K3411" s="522"/>
      <c r="M3411" s="301" t="str">
        <f>N3411&amp;AS[[#This Row],[Insurer Code]]&amp;"; "&amp;O3411&amp;AS[[#This Row],[Reporting Year]]&amp;"; "&amp;P3411&amp;AS[[#This Row],[Insurance Category Code]]&amp;"; "&amp;Q3411&amp;AS[[#This Row],[Large Provider Entity Code]]&amp;"; "&amp;R3411&amp;AS[[#This Row],[Age Band Code]]&amp;"; "&amp;S3411&amp;AS[[#This Row],[Sex Code]]</f>
        <v xml:space="preserve">Insurer Code ; Reporting Year ; Insurance Category Code ; Large Provider Entity Code ; Age Band Code ; Sex Code </v>
      </c>
      <c r="N3411" s="297" t="s">
        <v>197</v>
      </c>
      <c r="O3411" s="297" t="s">
        <v>198</v>
      </c>
      <c r="P3411" s="297" t="s">
        <v>199</v>
      </c>
      <c r="Q3411" s="297" t="s">
        <v>200</v>
      </c>
      <c r="R3411" s="297" t="s">
        <v>213</v>
      </c>
      <c r="S3411" s="297" t="s">
        <v>214</v>
      </c>
    </row>
    <row r="3412" spans="1:19" x14ac:dyDescent="0.4">
      <c r="A3412" s="291"/>
      <c r="B3412" s="292"/>
      <c r="C3412" s="312"/>
      <c r="D3412" s="292"/>
      <c r="E3412" s="489"/>
      <c r="F3412" s="489"/>
      <c r="G3412" s="490"/>
      <c r="H3412" s="520"/>
      <c r="I3412" s="523"/>
      <c r="J3412" s="521"/>
      <c r="K3412" s="522"/>
      <c r="M3412" s="301" t="str">
        <f>N3412&amp;AS[[#This Row],[Insurer Code]]&amp;"; "&amp;O3412&amp;AS[[#This Row],[Reporting Year]]&amp;"; "&amp;P3412&amp;AS[[#This Row],[Insurance Category Code]]&amp;"; "&amp;Q3412&amp;AS[[#This Row],[Large Provider Entity Code]]&amp;"; "&amp;R3412&amp;AS[[#This Row],[Age Band Code]]&amp;"; "&amp;S3412&amp;AS[[#This Row],[Sex Code]]</f>
        <v xml:space="preserve">Insurer Code ; Reporting Year ; Insurance Category Code ; Large Provider Entity Code ; Age Band Code ; Sex Code </v>
      </c>
      <c r="N3412" s="297" t="s">
        <v>197</v>
      </c>
      <c r="O3412" s="297" t="s">
        <v>198</v>
      </c>
      <c r="P3412" s="297" t="s">
        <v>199</v>
      </c>
      <c r="Q3412" s="297" t="s">
        <v>200</v>
      </c>
      <c r="R3412" s="297" t="s">
        <v>213</v>
      </c>
      <c r="S3412" s="297" t="s">
        <v>214</v>
      </c>
    </row>
    <row r="3413" spans="1:19" x14ac:dyDescent="0.4">
      <c r="A3413" s="291"/>
      <c r="B3413" s="292"/>
      <c r="C3413" s="312"/>
      <c r="D3413" s="292"/>
      <c r="E3413" s="489"/>
      <c r="F3413" s="489"/>
      <c r="G3413" s="490"/>
      <c r="H3413" s="520"/>
      <c r="I3413" s="523"/>
      <c r="J3413" s="521"/>
      <c r="K3413" s="522"/>
      <c r="M3413" s="301" t="str">
        <f>N3413&amp;AS[[#This Row],[Insurer Code]]&amp;"; "&amp;O3413&amp;AS[[#This Row],[Reporting Year]]&amp;"; "&amp;P3413&amp;AS[[#This Row],[Insurance Category Code]]&amp;"; "&amp;Q3413&amp;AS[[#This Row],[Large Provider Entity Code]]&amp;"; "&amp;R3413&amp;AS[[#This Row],[Age Band Code]]&amp;"; "&amp;S3413&amp;AS[[#This Row],[Sex Code]]</f>
        <v xml:space="preserve">Insurer Code ; Reporting Year ; Insurance Category Code ; Large Provider Entity Code ; Age Band Code ; Sex Code </v>
      </c>
      <c r="N3413" s="297" t="s">
        <v>197</v>
      </c>
      <c r="O3413" s="297" t="s">
        <v>198</v>
      </c>
      <c r="P3413" s="297" t="s">
        <v>199</v>
      </c>
      <c r="Q3413" s="297" t="s">
        <v>200</v>
      </c>
      <c r="R3413" s="297" t="s">
        <v>213</v>
      </c>
      <c r="S3413" s="297" t="s">
        <v>214</v>
      </c>
    </row>
    <row r="3414" spans="1:19" x14ac:dyDescent="0.4">
      <c r="A3414" s="291"/>
      <c r="B3414" s="292"/>
      <c r="C3414" s="312"/>
      <c r="D3414" s="292"/>
      <c r="E3414" s="489"/>
      <c r="F3414" s="489"/>
      <c r="G3414" s="490"/>
      <c r="H3414" s="520"/>
      <c r="I3414" s="523"/>
      <c r="J3414" s="521"/>
      <c r="K3414" s="522"/>
      <c r="M3414" s="301" t="str">
        <f>N3414&amp;AS[[#This Row],[Insurer Code]]&amp;"; "&amp;O3414&amp;AS[[#This Row],[Reporting Year]]&amp;"; "&amp;P3414&amp;AS[[#This Row],[Insurance Category Code]]&amp;"; "&amp;Q3414&amp;AS[[#This Row],[Large Provider Entity Code]]&amp;"; "&amp;R3414&amp;AS[[#This Row],[Age Band Code]]&amp;"; "&amp;S3414&amp;AS[[#This Row],[Sex Code]]</f>
        <v xml:space="preserve">Insurer Code ; Reporting Year ; Insurance Category Code ; Large Provider Entity Code ; Age Band Code ; Sex Code </v>
      </c>
      <c r="N3414" s="297" t="s">
        <v>197</v>
      </c>
      <c r="O3414" s="297" t="s">
        <v>198</v>
      </c>
      <c r="P3414" s="297" t="s">
        <v>199</v>
      </c>
      <c r="Q3414" s="297" t="s">
        <v>200</v>
      </c>
      <c r="R3414" s="297" t="s">
        <v>213</v>
      </c>
      <c r="S3414" s="297" t="s">
        <v>214</v>
      </c>
    </row>
    <row r="3415" spans="1:19" x14ac:dyDescent="0.4">
      <c r="A3415" s="291"/>
      <c r="B3415" s="292"/>
      <c r="C3415" s="312"/>
      <c r="D3415" s="292"/>
      <c r="E3415" s="489"/>
      <c r="F3415" s="489"/>
      <c r="G3415" s="490"/>
      <c r="H3415" s="520"/>
      <c r="I3415" s="523"/>
      <c r="J3415" s="521"/>
      <c r="K3415" s="522"/>
      <c r="M3415" s="301" t="str">
        <f>N3415&amp;AS[[#This Row],[Insurer Code]]&amp;"; "&amp;O3415&amp;AS[[#This Row],[Reporting Year]]&amp;"; "&amp;P3415&amp;AS[[#This Row],[Insurance Category Code]]&amp;"; "&amp;Q3415&amp;AS[[#This Row],[Large Provider Entity Code]]&amp;"; "&amp;R3415&amp;AS[[#This Row],[Age Band Code]]&amp;"; "&amp;S3415&amp;AS[[#This Row],[Sex Code]]</f>
        <v xml:space="preserve">Insurer Code ; Reporting Year ; Insurance Category Code ; Large Provider Entity Code ; Age Band Code ; Sex Code </v>
      </c>
      <c r="N3415" s="297" t="s">
        <v>197</v>
      </c>
      <c r="O3415" s="297" t="s">
        <v>198</v>
      </c>
      <c r="P3415" s="297" t="s">
        <v>199</v>
      </c>
      <c r="Q3415" s="297" t="s">
        <v>200</v>
      </c>
      <c r="R3415" s="297" t="s">
        <v>213</v>
      </c>
      <c r="S3415" s="297" t="s">
        <v>214</v>
      </c>
    </row>
    <row r="3416" spans="1:19" x14ac:dyDescent="0.4">
      <c r="A3416" s="291"/>
      <c r="B3416" s="292"/>
      <c r="C3416" s="312"/>
      <c r="D3416" s="292"/>
      <c r="E3416" s="489"/>
      <c r="F3416" s="489"/>
      <c r="G3416" s="490"/>
      <c r="H3416" s="520"/>
      <c r="I3416" s="523"/>
      <c r="J3416" s="521"/>
      <c r="K3416" s="522"/>
      <c r="M3416" s="301" t="str">
        <f>N3416&amp;AS[[#This Row],[Insurer Code]]&amp;"; "&amp;O3416&amp;AS[[#This Row],[Reporting Year]]&amp;"; "&amp;P3416&amp;AS[[#This Row],[Insurance Category Code]]&amp;"; "&amp;Q3416&amp;AS[[#This Row],[Large Provider Entity Code]]&amp;"; "&amp;R3416&amp;AS[[#This Row],[Age Band Code]]&amp;"; "&amp;S3416&amp;AS[[#This Row],[Sex Code]]</f>
        <v xml:space="preserve">Insurer Code ; Reporting Year ; Insurance Category Code ; Large Provider Entity Code ; Age Band Code ; Sex Code </v>
      </c>
      <c r="N3416" s="297" t="s">
        <v>197</v>
      </c>
      <c r="O3416" s="297" t="s">
        <v>198</v>
      </c>
      <c r="P3416" s="297" t="s">
        <v>199</v>
      </c>
      <c r="Q3416" s="297" t="s">
        <v>200</v>
      </c>
      <c r="R3416" s="297" t="s">
        <v>213</v>
      </c>
      <c r="S3416" s="297" t="s">
        <v>214</v>
      </c>
    </row>
    <row r="3417" spans="1:19" x14ac:dyDescent="0.4">
      <c r="A3417" s="291"/>
      <c r="B3417" s="292"/>
      <c r="C3417" s="312"/>
      <c r="D3417" s="292"/>
      <c r="E3417" s="489"/>
      <c r="F3417" s="489"/>
      <c r="G3417" s="490"/>
      <c r="H3417" s="520"/>
      <c r="I3417" s="523"/>
      <c r="J3417" s="521"/>
      <c r="K3417" s="522"/>
      <c r="M3417" s="301" t="str">
        <f>N3417&amp;AS[[#This Row],[Insurer Code]]&amp;"; "&amp;O3417&amp;AS[[#This Row],[Reporting Year]]&amp;"; "&amp;P3417&amp;AS[[#This Row],[Insurance Category Code]]&amp;"; "&amp;Q3417&amp;AS[[#This Row],[Large Provider Entity Code]]&amp;"; "&amp;R3417&amp;AS[[#This Row],[Age Band Code]]&amp;"; "&amp;S3417&amp;AS[[#This Row],[Sex Code]]</f>
        <v xml:space="preserve">Insurer Code ; Reporting Year ; Insurance Category Code ; Large Provider Entity Code ; Age Band Code ; Sex Code </v>
      </c>
      <c r="N3417" s="297" t="s">
        <v>197</v>
      </c>
      <c r="O3417" s="297" t="s">
        <v>198</v>
      </c>
      <c r="P3417" s="297" t="s">
        <v>199</v>
      </c>
      <c r="Q3417" s="297" t="s">
        <v>200</v>
      </c>
      <c r="R3417" s="297" t="s">
        <v>213</v>
      </c>
      <c r="S3417" s="297" t="s">
        <v>214</v>
      </c>
    </row>
    <row r="3418" spans="1:19" x14ac:dyDescent="0.4">
      <c r="A3418" s="291"/>
      <c r="B3418" s="292"/>
      <c r="C3418" s="312"/>
      <c r="D3418" s="292"/>
      <c r="E3418" s="489"/>
      <c r="F3418" s="489"/>
      <c r="G3418" s="490"/>
      <c r="H3418" s="520"/>
      <c r="I3418" s="523"/>
      <c r="J3418" s="521"/>
      <c r="K3418" s="522"/>
      <c r="M3418" s="301" t="str">
        <f>N3418&amp;AS[[#This Row],[Insurer Code]]&amp;"; "&amp;O3418&amp;AS[[#This Row],[Reporting Year]]&amp;"; "&amp;P3418&amp;AS[[#This Row],[Insurance Category Code]]&amp;"; "&amp;Q3418&amp;AS[[#This Row],[Large Provider Entity Code]]&amp;"; "&amp;R3418&amp;AS[[#This Row],[Age Band Code]]&amp;"; "&amp;S3418&amp;AS[[#This Row],[Sex Code]]</f>
        <v xml:space="preserve">Insurer Code ; Reporting Year ; Insurance Category Code ; Large Provider Entity Code ; Age Band Code ; Sex Code </v>
      </c>
      <c r="N3418" s="297" t="s">
        <v>197</v>
      </c>
      <c r="O3418" s="297" t="s">
        <v>198</v>
      </c>
      <c r="P3418" s="297" t="s">
        <v>199</v>
      </c>
      <c r="Q3418" s="297" t="s">
        <v>200</v>
      </c>
      <c r="R3418" s="297" t="s">
        <v>213</v>
      </c>
      <c r="S3418" s="297" t="s">
        <v>214</v>
      </c>
    </row>
    <row r="3419" spans="1:19" x14ac:dyDescent="0.4">
      <c r="A3419" s="291"/>
      <c r="B3419" s="292"/>
      <c r="C3419" s="312"/>
      <c r="D3419" s="292"/>
      <c r="E3419" s="489"/>
      <c r="F3419" s="489"/>
      <c r="G3419" s="490"/>
      <c r="H3419" s="520"/>
      <c r="I3419" s="523"/>
      <c r="J3419" s="521"/>
      <c r="K3419" s="522"/>
      <c r="M3419" s="301" t="str">
        <f>N3419&amp;AS[[#This Row],[Insurer Code]]&amp;"; "&amp;O3419&amp;AS[[#This Row],[Reporting Year]]&amp;"; "&amp;P3419&amp;AS[[#This Row],[Insurance Category Code]]&amp;"; "&amp;Q3419&amp;AS[[#This Row],[Large Provider Entity Code]]&amp;"; "&amp;R3419&amp;AS[[#This Row],[Age Band Code]]&amp;"; "&amp;S3419&amp;AS[[#This Row],[Sex Code]]</f>
        <v xml:space="preserve">Insurer Code ; Reporting Year ; Insurance Category Code ; Large Provider Entity Code ; Age Band Code ; Sex Code </v>
      </c>
      <c r="N3419" s="297" t="s">
        <v>197</v>
      </c>
      <c r="O3419" s="297" t="s">
        <v>198</v>
      </c>
      <c r="P3419" s="297" t="s">
        <v>199</v>
      </c>
      <c r="Q3419" s="297" t="s">
        <v>200</v>
      </c>
      <c r="R3419" s="297" t="s">
        <v>213</v>
      </c>
      <c r="S3419" s="297" t="s">
        <v>214</v>
      </c>
    </row>
    <row r="3420" spans="1:19" x14ac:dyDescent="0.4">
      <c r="A3420" s="291"/>
      <c r="B3420" s="292"/>
      <c r="C3420" s="312"/>
      <c r="D3420" s="292"/>
      <c r="E3420" s="489"/>
      <c r="F3420" s="489"/>
      <c r="G3420" s="490"/>
      <c r="H3420" s="520"/>
      <c r="I3420" s="523"/>
      <c r="J3420" s="521"/>
      <c r="K3420" s="522"/>
      <c r="M3420" s="301" t="str">
        <f>N3420&amp;AS[[#This Row],[Insurer Code]]&amp;"; "&amp;O3420&amp;AS[[#This Row],[Reporting Year]]&amp;"; "&amp;P3420&amp;AS[[#This Row],[Insurance Category Code]]&amp;"; "&amp;Q3420&amp;AS[[#This Row],[Large Provider Entity Code]]&amp;"; "&amp;R3420&amp;AS[[#This Row],[Age Band Code]]&amp;"; "&amp;S3420&amp;AS[[#This Row],[Sex Code]]</f>
        <v xml:space="preserve">Insurer Code ; Reporting Year ; Insurance Category Code ; Large Provider Entity Code ; Age Band Code ; Sex Code </v>
      </c>
      <c r="N3420" s="297" t="s">
        <v>197</v>
      </c>
      <c r="O3420" s="297" t="s">
        <v>198</v>
      </c>
      <c r="P3420" s="297" t="s">
        <v>199</v>
      </c>
      <c r="Q3420" s="297" t="s">
        <v>200</v>
      </c>
      <c r="R3420" s="297" t="s">
        <v>213</v>
      </c>
      <c r="S3420" s="297" t="s">
        <v>214</v>
      </c>
    </row>
    <row r="3421" spans="1:19" x14ac:dyDescent="0.4">
      <c r="A3421" s="291"/>
      <c r="B3421" s="292"/>
      <c r="C3421" s="312"/>
      <c r="D3421" s="292"/>
      <c r="E3421" s="489"/>
      <c r="F3421" s="489"/>
      <c r="G3421" s="490"/>
      <c r="H3421" s="520"/>
      <c r="I3421" s="523"/>
      <c r="J3421" s="521"/>
      <c r="K3421" s="522"/>
      <c r="M3421" s="301" t="str">
        <f>N3421&amp;AS[[#This Row],[Insurer Code]]&amp;"; "&amp;O3421&amp;AS[[#This Row],[Reporting Year]]&amp;"; "&amp;P3421&amp;AS[[#This Row],[Insurance Category Code]]&amp;"; "&amp;Q3421&amp;AS[[#This Row],[Large Provider Entity Code]]&amp;"; "&amp;R3421&amp;AS[[#This Row],[Age Band Code]]&amp;"; "&amp;S3421&amp;AS[[#This Row],[Sex Code]]</f>
        <v xml:space="preserve">Insurer Code ; Reporting Year ; Insurance Category Code ; Large Provider Entity Code ; Age Band Code ; Sex Code </v>
      </c>
      <c r="N3421" s="297" t="s">
        <v>197</v>
      </c>
      <c r="O3421" s="297" t="s">
        <v>198</v>
      </c>
      <c r="P3421" s="297" t="s">
        <v>199</v>
      </c>
      <c r="Q3421" s="297" t="s">
        <v>200</v>
      </c>
      <c r="R3421" s="297" t="s">
        <v>213</v>
      </c>
      <c r="S3421" s="297" t="s">
        <v>214</v>
      </c>
    </row>
    <row r="3422" spans="1:19" x14ac:dyDescent="0.4">
      <c r="A3422" s="291"/>
      <c r="B3422" s="292"/>
      <c r="C3422" s="312"/>
      <c r="D3422" s="292"/>
      <c r="E3422" s="489"/>
      <c r="F3422" s="489"/>
      <c r="G3422" s="490"/>
      <c r="H3422" s="520"/>
      <c r="I3422" s="523"/>
      <c r="J3422" s="521"/>
      <c r="K3422" s="522"/>
      <c r="M3422" s="301" t="str">
        <f>N3422&amp;AS[[#This Row],[Insurer Code]]&amp;"; "&amp;O3422&amp;AS[[#This Row],[Reporting Year]]&amp;"; "&amp;P3422&amp;AS[[#This Row],[Insurance Category Code]]&amp;"; "&amp;Q3422&amp;AS[[#This Row],[Large Provider Entity Code]]&amp;"; "&amp;R3422&amp;AS[[#This Row],[Age Band Code]]&amp;"; "&amp;S3422&amp;AS[[#This Row],[Sex Code]]</f>
        <v xml:space="preserve">Insurer Code ; Reporting Year ; Insurance Category Code ; Large Provider Entity Code ; Age Band Code ; Sex Code </v>
      </c>
      <c r="N3422" s="297" t="s">
        <v>197</v>
      </c>
      <c r="O3422" s="297" t="s">
        <v>198</v>
      </c>
      <c r="P3422" s="297" t="s">
        <v>199</v>
      </c>
      <c r="Q3422" s="297" t="s">
        <v>200</v>
      </c>
      <c r="R3422" s="297" t="s">
        <v>213</v>
      </c>
      <c r="S3422" s="297" t="s">
        <v>214</v>
      </c>
    </row>
    <row r="3423" spans="1:19" x14ac:dyDescent="0.4">
      <c r="A3423" s="291"/>
      <c r="B3423" s="292"/>
      <c r="C3423" s="312"/>
      <c r="D3423" s="292"/>
      <c r="E3423" s="489"/>
      <c r="F3423" s="489"/>
      <c r="G3423" s="490"/>
      <c r="H3423" s="520"/>
      <c r="I3423" s="523"/>
      <c r="J3423" s="521"/>
      <c r="K3423" s="522"/>
      <c r="M3423" s="301" t="str">
        <f>N3423&amp;AS[[#This Row],[Insurer Code]]&amp;"; "&amp;O3423&amp;AS[[#This Row],[Reporting Year]]&amp;"; "&amp;P3423&amp;AS[[#This Row],[Insurance Category Code]]&amp;"; "&amp;Q3423&amp;AS[[#This Row],[Large Provider Entity Code]]&amp;"; "&amp;R3423&amp;AS[[#This Row],[Age Band Code]]&amp;"; "&amp;S3423&amp;AS[[#This Row],[Sex Code]]</f>
        <v xml:space="preserve">Insurer Code ; Reporting Year ; Insurance Category Code ; Large Provider Entity Code ; Age Band Code ; Sex Code </v>
      </c>
      <c r="N3423" s="297" t="s">
        <v>197</v>
      </c>
      <c r="O3423" s="297" t="s">
        <v>198</v>
      </c>
      <c r="P3423" s="297" t="s">
        <v>199</v>
      </c>
      <c r="Q3423" s="297" t="s">
        <v>200</v>
      </c>
      <c r="R3423" s="297" t="s">
        <v>213</v>
      </c>
      <c r="S3423" s="297" t="s">
        <v>214</v>
      </c>
    </row>
    <row r="3424" spans="1:19" x14ac:dyDescent="0.4">
      <c r="A3424" s="291"/>
      <c r="B3424" s="292"/>
      <c r="C3424" s="312"/>
      <c r="D3424" s="292"/>
      <c r="E3424" s="489"/>
      <c r="F3424" s="489"/>
      <c r="G3424" s="490"/>
      <c r="H3424" s="520"/>
      <c r="I3424" s="523"/>
      <c r="J3424" s="521"/>
      <c r="K3424" s="522"/>
      <c r="M3424" s="301" t="str">
        <f>N3424&amp;AS[[#This Row],[Insurer Code]]&amp;"; "&amp;O3424&amp;AS[[#This Row],[Reporting Year]]&amp;"; "&amp;P3424&amp;AS[[#This Row],[Insurance Category Code]]&amp;"; "&amp;Q3424&amp;AS[[#This Row],[Large Provider Entity Code]]&amp;"; "&amp;R3424&amp;AS[[#This Row],[Age Band Code]]&amp;"; "&amp;S3424&amp;AS[[#This Row],[Sex Code]]</f>
        <v xml:space="preserve">Insurer Code ; Reporting Year ; Insurance Category Code ; Large Provider Entity Code ; Age Band Code ; Sex Code </v>
      </c>
      <c r="N3424" s="297" t="s">
        <v>197</v>
      </c>
      <c r="O3424" s="297" t="s">
        <v>198</v>
      </c>
      <c r="P3424" s="297" t="s">
        <v>199</v>
      </c>
      <c r="Q3424" s="297" t="s">
        <v>200</v>
      </c>
      <c r="R3424" s="297" t="s">
        <v>213</v>
      </c>
      <c r="S3424" s="297" t="s">
        <v>214</v>
      </c>
    </row>
    <row r="3425" spans="1:19" x14ac:dyDescent="0.4">
      <c r="A3425" s="291"/>
      <c r="B3425" s="292"/>
      <c r="C3425" s="312"/>
      <c r="D3425" s="292"/>
      <c r="E3425" s="489"/>
      <c r="F3425" s="489"/>
      <c r="G3425" s="490"/>
      <c r="H3425" s="520"/>
      <c r="I3425" s="523"/>
      <c r="J3425" s="521"/>
      <c r="K3425" s="522"/>
      <c r="M3425" s="301" t="str">
        <f>N3425&amp;AS[[#This Row],[Insurer Code]]&amp;"; "&amp;O3425&amp;AS[[#This Row],[Reporting Year]]&amp;"; "&amp;P3425&amp;AS[[#This Row],[Insurance Category Code]]&amp;"; "&amp;Q3425&amp;AS[[#This Row],[Large Provider Entity Code]]&amp;"; "&amp;R3425&amp;AS[[#This Row],[Age Band Code]]&amp;"; "&amp;S3425&amp;AS[[#This Row],[Sex Code]]</f>
        <v xml:space="preserve">Insurer Code ; Reporting Year ; Insurance Category Code ; Large Provider Entity Code ; Age Band Code ; Sex Code </v>
      </c>
      <c r="N3425" s="297" t="s">
        <v>197</v>
      </c>
      <c r="O3425" s="297" t="s">
        <v>198</v>
      </c>
      <c r="P3425" s="297" t="s">
        <v>199</v>
      </c>
      <c r="Q3425" s="297" t="s">
        <v>200</v>
      </c>
      <c r="R3425" s="297" t="s">
        <v>213</v>
      </c>
      <c r="S3425" s="297" t="s">
        <v>214</v>
      </c>
    </row>
    <row r="3426" spans="1:19" x14ac:dyDescent="0.4">
      <c r="A3426" s="291"/>
      <c r="B3426" s="292"/>
      <c r="C3426" s="312"/>
      <c r="D3426" s="292"/>
      <c r="E3426" s="489"/>
      <c r="F3426" s="489"/>
      <c r="G3426" s="490"/>
      <c r="H3426" s="520"/>
      <c r="I3426" s="523"/>
      <c r="J3426" s="521"/>
      <c r="K3426" s="522"/>
      <c r="M3426" s="301" t="str">
        <f>N3426&amp;AS[[#This Row],[Insurer Code]]&amp;"; "&amp;O3426&amp;AS[[#This Row],[Reporting Year]]&amp;"; "&amp;P3426&amp;AS[[#This Row],[Insurance Category Code]]&amp;"; "&amp;Q3426&amp;AS[[#This Row],[Large Provider Entity Code]]&amp;"; "&amp;R3426&amp;AS[[#This Row],[Age Band Code]]&amp;"; "&amp;S3426&amp;AS[[#This Row],[Sex Code]]</f>
        <v xml:space="preserve">Insurer Code ; Reporting Year ; Insurance Category Code ; Large Provider Entity Code ; Age Band Code ; Sex Code </v>
      </c>
      <c r="N3426" s="297" t="s">
        <v>197</v>
      </c>
      <c r="O3426" s="297" t="s">
        <v>198</v>
      </c>
      <c r="P3426" s="297" t="s">
        <v>199</v>
      </c>
      <c r="Q3426" s="297" t="s">
        <v>200</v>
      </c>
      <c r="R3426" s="297" t="s">
        <v>213</v>
      </c>
      <c r="S3426" s="297" t="s">
        <v>214</v>
      </c>
    </row>
    <row r="3427" spans="1:19" x14ac:dyDescent="0.4">
      <c r="A3427" s="291"/>
      <c r="B3427" s="292"/>
      <c r="C3427" s="312"/>
      <c r="D3427" s="292"/>
      <c r="E3427" s="489"/>
      <c r="F3427" s="489"/>
      <c r="G3427" s="490"/>
      <c r="H3427" s="520"/>
      <c r="I3427" s="523"/>
      <c r="J3427" s="521"/>
      <c r="K3427" s="522"/>
      <c r="M3427" s="301" t="str">
        <f>N3427&amp;AS[[#This Row],[Insurer Code]]&amp;"; "&amp;O3427&amp;AS[[#This Row],[Reporting Year]]&amp;"; "&amp;P3427&amp;AS[[#This Row],[Insurance Category Code]]&amp;"; "&amp;Q3427&amp;AS[[#This Row],[Large Provider Entity Code]]&amp;"; "&amp;R3427&amp;AS[[#This Row],[Age Band Code]]&amp;"; "&amp;S3427&amp;AS[[#This Row],[Sex Code]]</f>
        <v xml:space="preserve">Insurer Code ; Reporting Year ; Insurance Category Code ; Large Provider Entity Code ; Age Band Code ; Sex Code </v>
      </c>
      <c r="N3427" s="297" t="s">
        <v>197</v>
      </c>
      <c r="O3427" s="297" t="s">
        <v>198</v>
      </c>
      <c r="P3427" s="297" t="s">
        <v>199</v>
      </c>
      <c r="Q3427" s="297" t="s">
        <v>200</v>
      </c>
      <c r="R3427" s="297" t="s">
        <v>213</v>
      </c>
      <c r="S3427" s="297" t="s">
        <v>214</v>
      </c>
    </row>
    <row r="3428" spans="1:19" x14ac:dyDescent="0.4">
      <c r="A3428" s="291"/>
      <c r="B3428" s="292"/>
      <c r="C3428" s="312"/>
      <c r="D3428" s="292"/>
      <c r="E3428" s="489"/>
      <c r="F3428" s="489"/>
      <c r="G3428" s="490"/>
      <c r="H3428" s="520"/>
      <c r="I3428" s="523"/>
      <c r="J3428" s="521"/>
      <c r="K3428" s="522"/>
      <c r="M3428" s="301" t="str">
        <f>N3428&amp;AS[[#This Row],[Insurer Code]]&amp;"; "&amp;O3428&amp;AS[[#This Row],[Reporting Year]]&amp;"; "&amp;P3428&amp;AS[[#This Row],[Insurance Category Code]]&amp;"; "&amp;Q3428&amp;AS[[#This Row],[Large Provider Entity Code]]&amp;"; "&amp;R3428&amp;AS[[#This Row],[Age Band Code]]&amp;"; "&amp;S3428&amp;AS[[#This Row],[Sex Code]]</f>
        <v xml:space="preserve">Insurer Code ; Reporting Year ; Insurance Category Code ; Large Provider Entity Code ; Age Band Code ; Sex Code </v>
      </c>
      <c r="N3428" s="297" t="s">
        <v>197</v>
      </c>
      <c r="O3428" s="297" t="s">
        <v>198</v>
      </c>
      <c r="P3428" s="297" t="s">
        <v>199</v>
      </c>
      <c r="Q3428" s="297" t="s">
        <v>200</v>
      </c>
      <c r="R3428" s="297" t="s">
        <v>213</v>
      </c>
      <c r="S3428" s="297" t="s">
        <v>214</v>
      </c>
    </row>
    <row r="3429" spans="1:19" x14ac:dyDescent="0.4">
      <c r="A3429" s="291"/>
      <c r="B3429" s="292"/>
      <c r="C3429" s="312"/>
      <c r="D3429" s="292"/>
      <c r="E3429" s="489"/>
      <c r="F3429" s="489"/>
      <c r="G3429" s="490"/>
      <c r="H3429" s="520"/>
      <c r="I3429" s="523"/>
      <c r="J3429" s="521"/>
      <c r="K3429" s="522"/>
      <c r="M3429" s="301" t="str">
        <f>N3429&amp;AS[[#This Row],[Insurer Code]]&amp;"; "&amp;O3429&amp;AS[[#This Row],[Reporting Year]]&amp;"; "&amp;P3429&amp;AS[[#This Row],[Insurance Category Code]]&amp;"; "&amp;Q3429&amp;AS[[#This Row],[Large Provider Entity Code]]&amp;"; "&amp;R3429&amp;AS[[#This Row],[Age Band Code]]&amp;"; "&amp;S3429&amp;AS[[#This Row],[Sex Code]]</f>
        <v xml:space="preserve">Insurer Code ; Reporting Year ; Insurance Category Code ; Large Provider Entity Code ; Age Band Code ; Sex Code </v>
      </c>
      <c r="N3429" s="297" t="s">
        <v>197</v>
      </c>
      <c r="O3429" s="297" t="s">
        <v>198</v>
      </c>
      <c r="P3429" s="297" t="s">
        <v>199</v>
      </c>
      <c r="Q3429" s="297" t="s">
        <v>200</v>
      </c>
      <c r="R3429" s="297" t="s">
        <v>213</v>
      </c>
      <c r="S3429" s="297" t="s">
        <v>214</v>
      </c>
    </row>
    <row r="3430" spans="1:19" x14ac:dyDescent="0.4">
      <c r="A3430" s="291"/>
      <c r="B3430" s="292"/>
      <c r="C3430" s="312"/>
      <c r="D3430" s="292"/>
      <c r="E3430" s="489"/>
      <c r="F3430" s="489"/>
      <c r="G3430" s="490"/>
      <c r="H3430" s="520"/>
      <c r="I3430" s="523"/>
      <c r="J3430" s="521"/>
      <c r="K3430" s="522"/>
      <c r="M3430" s="301" t="str">
        <f>N3430&amp;AS[[#This Row],[Insurer Code]]&amp;"; "&amp;O3430&amp;AS[[#This Row],[Reporting Year]]&amp;"; "&amp;P3430&amp;AS[[#This Row],[Insurance Category Code]]&amp;"; "&amp;Q3430&amp;AS[[#This Row],[Large Provider Entity Code]]&amp;"; "&amp;R3430&amp;AS[[#This Row],[Age Band Code]]&amp;"; "&amp;S3430&amp;AS[[#This Row],[Sex Code]]</f>
        <v xml:space="preserve">Insurer Code ; Reporting Year ; Insurance Category Code ; Large Provider Entity Code ; Age Band Code ; Sex Code </v>
      </c>
      <c r="N3430" s="297" t="s">
        <v>197</v>
      </c>
      <c r="O3430" s="297" t="s">
        <v>198</v>
      </c>
      <c r="P3430" s="297" t="s">
        <v>199</v>
      </c>
      <c r="Q3430" s="297" t="s">
        <v>200</v>
      </c>
      <c r="R3430" s="297" t="s">
        <v>213</v>
      </c>
      <c r="S3430" s="297" t="s">
        <v>214</v>
      </c>
    </row>
    <row r="3431" spans="1:19" x14ac:dyDescent="0.4">
      <c r="A3431" s="291"/>
      <c r="B3431" s="292"/>
      <c r="C3431" s="312"/>
      <c r="D3431" s="292"/>
      <c r="E3431" s="489"/>
      <c r="F3431" s="489"/>
      <c r="G3431" s="490"/>
      <c r="H3431" s="520"/>
      <c r="I3431" s="523"/>
      <c r="J3431" s="521"/>
      <c r="K3431" s="522"/>
      <c r="M3431" s="301" t="str">
        <f>N3431&amp;AS[[#This Row],[Insurer Code]]&amp;"; "&amp;O3431&amp;AS[[#This Row],[Reporting Year]]&amp;"; "&amp;P3431&amp;AS[[#This Row],[Insurance Category Code]]&amp;"; "&amp;Q3431&amp;AS[[#This Row],[Large Provider Entity Code]]&amp;"; "&amp;R3431&amp;AS[[#This Row],[Age Band Code]]&amp;"; "&amp;S3431&amp;AS[[#This Row],[Sex Code]]</f>
        <v xml:space="preserve">Insurer Code ; Reporting Year ; Insurance Category Code ; Large Provider Entity Code ; Age Band Code ; Sex Code </v>
      </c>
      <c r="N3431" s="297" t="s">
        <v>197</v>
      </c>
      <c r="O3431" s="297" t="s">
        <v>198</v>
      </c>
      <c r="P3431" s="297" t="s">
        <v>199</v>
      </c>
      <c r="Q3431" s="297" t="s">
        <v>200</v>
      </c>
      <c r="R3431" s="297" t="s">
        <v>213</v>
      </c>
      <c r="S3431" s="297" t="s">
        <v>214</v>
      </c>
    </row>
    <row r="3432" spans="1:19" x14ac:dyDescent="0.4">
      <c r="A3432" s="291"/>
      <c r="B3432" s="292"/>
      <c r="C3432" s="312"/>
      <c r="D3432" s="292"/>
      <c r="E3432" s="489"/>
      <c r="F3432" s="489"/>
      <c r="G3432" s="490"/>
      <c r="H3432" s="520"/>
      <c r="I3432" s="523"/>
      <c r="J3432" s="521"/>
      <c r="K3432" s="522"/>
      <c r="M3432" s="301" t="str">
        <f>N3432&amp;AS[[#This Row],[Insurer Code]]&amp;"; "&amp;O3432&amp;AS[[#This Row],[Reporting Year]]&amp;"; "&amp;P3432&amp;AS[[#This Row],[Insurance Category Code]]&amp;"; "&amp;Q3432&amp;AS[[#This Row],[Large Provider Entity Code]]&amp;"; "&amp;R3432&amp;AS[[#This Row],[Age Band Code]]&amp;"; "&amp;S3432&amp;AS[[#This Row],[Sex Code]]</f>
        <v xml:space="preserve">Insurer Code ; Reporting Year ; Insurance Category Code ; Large Provider Entity Code ; Age Band Code ; Sex Code </v>
      </c>
      <c r="N3432" s="297" t="s">
        <v>197</v>
      </c>
      <c r="O3432" s="297" t="s">
        <v>198</v>
      </c>
      <c r="P3432" s="297" t="s">
        <v>199</v>
      </c>
      <c r="Q3432" s="297" t="s">
        <v>200</v>
      </c>
      <c r="R3432" s="297" t="s">
        <v>213</v>
      </c>
      <c r="S3432" s="297" t="s">
        <v>214</v>
      </c>
    </row>
    <row r="3433" spans="1:19" x14ac:dyDescent="0.4">
      <c r="A3433" s="291"/>
      <c r="B3433" s="292"/>
      <c r="C3433" s="312"/>
      <c r="D3433" s="292"/>
      <c r="E3433" s="489"/>
      <c r="F3433" s="489"/>
      <c r="G3433" s="490"/>
      <c r="H3433" s="520"/>
      <c r="I3433" s="523"/>
      <c r="J3433" s="521"/>
      <c r="K3433" s="522"/>
      <c r="M3433" s="301" t="str">
        <f>N3433&amp;AS[[#This Row],[Insurer Code]]&amp;"; "&amp;O3433&amp;AS[[#This Row],[Reporting Year]]&amp;"; "&amp;P3433&amp;AS[[#This Row],[Insurance Category Code]]&amp;"; "&amp;Q3433&amp;AS[[#This Row],[Large Provider Entity Code]]&amp;"; "&amp;R3433&amp;AS[[#This Row],[Age Band Code]]&amp;"; "&amp;S3433&amp;AS[[#This Row],[Sex Code]]</f>
        <v xml:space="preserve">Insurer Code ; Reporting Year ; Insurance Category Code ; Large Provider Entity Code ; Age Band Code ; Sex Code </v>
      </c>
      <c r="N3433" s="297" t="s">
        <v>197</v>
      </c>
      <c r="O3433" s="297" t="s">
        <v>198</v>
      </c>
      <c r="P3433" s="297" t="s">
        <v>199</v>
      </c>
      <c r="Q3433" s="297" t="s">
        <v>200</v>
      </c>
      <c r="R3433" s="297" t="s">
        <v>213</v>
      </c>
      <c r="S3433" s="297" t="s">
        <v>214</v>
      </c>
    </row>
    <row r="3434" spans="1:19" x14ac:dyDescent="0.4">
      <c r="A3434" s="291"/>
      <c r="B3434" s="292"/>
      <c r="C3434" s="312"/>
      <c r="D3434" s="292"/>
      <c r="E3434" s="489"/>
      <c r="F3434" s="489"/>
      <c r="G3434" s="490"/>
      <c r="H3434" s="520"/>
      <c r="I3434" s="523"/>
      <c r="J3434" s="521"/>
      <c r="K3434" s="522"/>
      <c r="M3434" s="301" t="str">
        <f>N3434&amp;AS[[#This Row],[Insurer Code]]&amp;"; "&amp;O3434&amp;AS[[#This Row],[Reporting Year]]&amp;"; "&amp;P3434&amp;AS[[#This Row],[Insurance Category Code]]&amp;"; "&amp;Q3434&amp;AS[[#This Row],[Large Provider Entity Code]]&amp;"; "&amp;R3434&amp;AS[[#This Row],[Age Band Code]]&amp;"; "&amp;S3434&amp;AS[[#This Row],[Sex Code]]</f>
        <v xml:space="preserve">Insurer Code ; Reporting Year ; Insurance Category Code ; Large Provider Entity Code ; Age Band Code ; Sex Code </v>
      </c>
      <c r="N3434" s="297" t="s">
        <v>197</v>
      </c>
      <c r="O3434" s="297" t="s">
        <v>198</v>
      </c>
      <c r="P3434" s="297" t="s">
        <v>199</v>
      </c>
      <c r="Q3434" s="297" t="s">
        <v>200</v>
      </c>
      <c r="R3434" s="297" t="s">
        <v>213</v>
      </c>
      <c r="S3434" s="297" t="s">
        <v>214</v>
      </c>
    </row>
    <row r="3435" spans="1:19" x14ac:dyDescent="0.4">
      <c r="A3435" s="291"/>
      <c r="B3435" s="292"/>
      <c r="C3435" s="312"/>
      <c r="D3435" s="292"/>
      <c r="E3435" s="489"/>
      <c r="F3435" s="489"/>
      <c r="G3435" s="490"/>
      <c r="H3435" s="520"/>
      <c r="I3435" s="523"/>
      <c r="J3435" s="521"/>
      <c r="K3435" s="522"/>
      <c r="M3435" s="301" t="str">
        <f>N3435&amp;AS[[#This Row],[Insurer Code]]&amp;"; "&amp;O3435&amp;AS[[#This Row],[Reporting Year]]&amp;"; "&amp;P3435&amp;AS[[#This Row],[Insurance Category Code]]&amp;"; "&amp;Q3435&amp;AS[[#This Row],[Large Provider Entity Code]]&amp;"; "&amp;R3435&amp;AS[[#This Row],[Age Band Code]]&amp;"; "&amp;S3435&amp;AS[[#This Row],[Sex Code]]</f>
        <v xml:space="preserve">Insurer Code ; Reporting Year ; Insurance Category Code ; Large Provider Entity Code ; Age Band Code ; Sex Code </v>
      </c>
      <c r="N3435" s="297" t="s">
        <v>197</v>
      </c>
      <c r="O3435" s="297" t="s">
        <v>198</v>
      </c>
      <c r="P3435" s="297" t="s">
        <v>199</v>
      </c>
      <c r="Q3435" s="297" t="s">
        <v>200</v>
      </c>
      <c r="R3435" s="297" t="s">
        <v>213</v>
      </c>
      <c r="S3435" s="297" t="s">
        <v>214</v>
      </c>
    </row>
    <row r="3436" spans="1:19" x14ac:dyDescent="0.4">
      <c r="A3436" s="291"/>
      <c r="B3436" s="292"/>
      <c r="C3436" s="312"/>
      <c r="D3436" s="292"/>
      <c r="E3436" s="489"/>
      <c r="F3436" s="489"/>
      <c r="G3436" s="490"/>
      <c r="H3436" s="520"/>
      <c r="I3436" s="523"/>
      <c r="J3436" s="521"/>
      <c r="K3436" s="522"/>
      <c r="M3436" s="301" t="str">
        <f>N3436&amp;AS[[#This Row],[Insurer Code]]&amp;"; "&amp;O3436&amp;AS[[#This Row],[Reporting Year]]&amp;"; "&amp;P3436&amp;AS[[#This Row],[Insurance Category Code]]&amp;"; "&amp;Q3436&amp;AS[[#This Row],[Large Provider Entity Code]]&amp;"; "&amp;R3436&amp;AS[[#This Row],[Age Band Code]]&amp;"; "&amp;S3436&amp;AS[[#This Row],[Sex Code]]</f>
        <v xml:space="preserve">Insurer Code ; Reporting Year ; Insurance Category Code ; Large Provider Entity Code ; Age Band Code ; Sex Code </v>
      </c>
      <c r="N3436" s="297" t="s">
        <v>197</v>
      </c>
      <c r="O3436" s="297" t="s">
        <v>198</v>
      </c>
      <c r="P3436" s="297" t="s">
        <v>199</v>
      </c>
      <c r="Q3436" s="297" t="s">
        <v>200</v>
      </c>
      <c r="R3436" s="297" t="s">
        <v>213</v>
      </c>
      <c r="S3436" s="297" t="s">
        <v>214</v>
      </c>
    </row>
    <row r="3437" spans="1:19" x14ac:dyDescent="0.4">
      <c r="A3437" s="291"/>
      <c r="B3437" s="292"/>
      <c r="C3437" s="312"/>
      <c r="D3437" s="292"/>
      <c r="E3437" s="489"/>
      <c r="F3437" s="489"/>
      <c r="G3437" s="490"/>
      <c r="H3437" s="520"/>
      <c r="I3437" s="523"/>
      <c r="J3437" s="521"/>
      <c r="K3437" s="522"/>
      <c r="M3437" s="301" t="str">
        <f>N3437&amp;AS[[#This Row],[Insurer Code]]&amp;"; "&amp;O3437&amp;AS[[#This Row],[Reporting Year]]&amp;"; "&amp;P3437&amp;AS[[#This Row],[Insurance Category Code]]&amp;"; "&amp;Q3437&amp;AS[[#This Row],[Large Provider Entity Code]]&amp;"; "&amp;R3437&amp;AS[[#This Row],[Age Band Code]]&amp;"; "&amp;S3437&amp;AS[[#This Row],[Sex Code]]</f>
        <v xml:space="preserve">Insurer Code ; Reporting Year ; Insurance Category Code ; Large Provider Entity Code ; Age Band Code ; Sex Code </v>
      </c>
      <c r="N3437" s="297" t="s">
        <v>197</v>
      </c>
      <c r="O3437" s="297" t="s">
        <v>198</v>
      </c>
      <c r="P3437" s="297" t="s">
        <v>199</v>
      </c>
      <c r="Q3437" s="297" t="s">
        <v>200</v>
      </c>
      <c r="R3437" s="297" t="s">
        <v>213</v>
      </c>
      <c r="S3437" s="297" t="s">
        <v>214</v>
      </c>
    </row>
    <row r="3438" spans="1:19" x14ac:dyDescent="0.4">
      <c r="A3438" s="291"/>
      <c r="B3438" s="292"/>
      <c r="C3438" s="312"/>
      <c r="D3438" s="292"/>
      <c r="E3438" s="489"/>
      <c r="F3438" s="489"/>
      <c r="G3438" s="490"/>
      <c r="H3438" s="520"/>
      <c r="I3438" s="523"/>
      <c r="J3438" s="521"/>
      <c r="K3438" s="522"/>
      <c r="M3438" s="301" t="str">
        <f>N3438&amp;AS[[#This Row],[Insurer Code]]&amp;"; "&amp;O3438&amp;AS[[#This Row],[Reporting Year]]&amp;"; "&amp;P3438&amp;AS[[#This Row],[Insurance Category Code]]&amp;"; "&amp;Q3438&amp;AS[[#This Row],[Large Provider Entity Code]]&amp;"; "&amp;R3438&amp;AS[[#This Row],[Age Band Code]]&amp;"; "&amp;S3438&amp;AS[[#This Row],[Sex Code]]</f>
        <v xml:space="preserve">Insurer Code ; Reporting Year ; Insurance Category Code ; Large Provider Entity Code ; Age Band Code ; Sex Code </v>
      </c>
      <c r="N3438" s="297" t="s">
        <v>197</v>
      </c>
      <c r="O3438" s="297" t="s">
        <v>198</v>
      </c>
      <c r="P3438" s="297" t="s">
        <v>199</v>
      </c>
      <c r="Q3438" s="297" t="s">
        <v>200</v>
      </c>
      <c r="R3438" s="297" t="s">
        <v>213</v>
      </c>
      <c r="S3438" s="297" t="s">
        <v>214</v>
      </c>
    </row>
    <row r="3439" spans="1:19" x14ac:dyDescent="0.4">
      <c r="A3439" s="291"/>
      <c r="B3439" s="292"/>
      <c r="C3439" s="312"/>
      <c r="D3439" s="292"/>
      <c r="E3439" s="489"/>
      <c r="F3439" s="489"/>
      <c r="G3439" s="490"/>
      <c r="H3439" s="520"/>
      <c r="I3439" s="523"/>
      <c r="J3439" s="521"/>
      <c r="K3439" s="522"/>
      <c r="M3439" s="301" t="str">
        <f>N3439&amp;AS[[#This Row],[Insurer Code]]&amp;"; "&amp;O3439&amp;AS[[#This Row],[Reporting Year]]&amp;"; "&amp;P3439&amp;AS[[#This Row],[Insurance Category Code]]&amp;"; "&amp;Q3439&amp;AS[[#This Row],[Large Provider Entity Code]]&amp;"; "&amp;R3439&amp;AS[[#This Row],[Age Band Code]]&amp;"; "&amp;S3439&amp;AS[[#This Row],[Sex Code]]</f>
        <v xml:space="preserve">Insurer Code ; Reporting Year ; Insurance Category Code ; Large Provider Entity Code ; Age Band Code ; Sex Code </v>
      </c>
      <c r="N3439" s="297" t="s">
        <v>197</v>
      </c>
      <c r="O3439" s="297" t="s">
        <v>198</v>
      </c>
      <c r="P3439" s="297" t="s">
        <v>199</v>
      </c>
      <c r="Q3439" s="297" t="s">
        <v>200</v>
      </c>
      <c r="R3439" s="297" t="s">
        <v>213</v>
      </c>
      <c r="S3439" s="297" t="s">
        <v>214</v>
      </c>
    </row>
    <row r="3440" spans="1:19" x14ac:dyDescent="0.4">
      <c r="A3440" s="291"/>
      <c r="B3440" s="292"/>
      <c r="C3440" s="312"/>
      <c r="D3440" s="292"/>
      <c r="E3440" s="489"/>
      <c r="F3440" s="489"/>
      <c r="G3440" s="490"/>
      <c r="H3440" s="520"/>
      <c r="I3440" s="523"/>
      <c r="J3440" s="521"/>
      <c r="K3440" s="522"/>
      <c r="M3440" s="301" t="str">
        <f>N3440&amp;AS[[#This Row],[Insurer Code]]&amp;"; "&amp;O3440&amp;AS[[#This Row],[Reporting Year]]&amp;"; "&amp;P3440&amp;AS[[#This Row],[Insurance Category Code]]&amp;"; "&amp;Q3440&amp;AS[[#This Row],[Large Provider Entity Code]]&amp;"; "&amp;R3440&amp;AS[[#This Row],[Age Band Code]]&amp;"; "&amp;S3440&amp;AS[[#This Row],[Sex Code]]</f>
        <v xml:space="preserve">Insurer Code ; Reporting Year ; Insurance Category Code ; Large Provider Entity Code ; Age Band Code ; Sex Code </v>
      </c>
      <c r="N3440" s="297" t="s">
        <v>197</v>
      </c>
      <c r="O3440" s="297" t="s">
        <v>198</v>
      </c>
      <c r="P3440" s="297" t="s">
        <v>199</v>
      </c>
      <c r="Q3440" s="297" t="s">
        <v>200</v>
      </c>
      <c r="R3440" s="297" t="s">
        <v>213</v>
      </c>
      <c r="S3440" s="297" t="s">
        <v>214</v>
      </c>
    </row>
    <row r="3441" spans="1:19" x14ac:dyDescent="0.4">
      <c r="A3441" s="291"/>
      <c r="B3441" s="292"/>
      <c r="C3441" s="312"/>
      <c r="D3441" s="292"/>
      <c r="E3441" s="489"/>
      <c r="F3441" s="489"/>
      <c r="G3441" s="490"/>
      <c r="H3441" s="520"/>
      <c r="I3441" s="523"/>
      <c r="J3441" s="521"/>
      <c r="K3441" s="522"/>
      <c r="M3441" s="301" t="str">
        <f>N3441&amp;AS[[#This Row],[Insurer Code]]&amp;"; "&amp;O3441&amp;AS[[#This Row],[Reporting Year]]&amp;"; "&amp;P3441&amp;AS[[#This Row],[Insurance Category Code]]&amp;"; "&amp;Q3441&amp;AS[[#This Row],[Large Provider Entity Code]]&amp;"; "&amp;R3441&amp;AS[[#This Row],[Age Band Code]]&amp;"; "&amp;S3441&amp;AS[[#This Row],[Sex Code]]</f>
        <v xml:space="preserve">Insurer Code ; Reporting Year ; Insurance Category Code ; Large Provider Entity Code ; Age Band Code ; Sex Code </v>
      </c>
      <c r="N3441" s="297" t="s">
        <v>197</v>
      </c>
      <c r="O3441" s="297" t="s">
        <v>198</v>
      </c>
      <c r="P3441" s="297" t="s">
        <v>199</v>
      </c>
      <c r="Q3441" s="297" t="s">
        <v>200</v>
      </c>
      <c r="R3441" s="297" t="s">
        <v>213</v>
      </c>
      <c r="S3441" s="297" t="s">
        <v>214</v>
      </c>
    </row>
    <row r="3442" spans="1:19" x14ac:dyDescent="0.4">
      <c r="A3442" s="291"/>
      <c r="B3442" s="292"/>
      <c r="C3442" s="312"/>
      <c r="D3442" s="292"/>
      <c r="E3442" s="489"/>
      <c r="F3442" s="489"/>
      <c r="G3442" s="490"/>
      <c r="H3442" s="520"/>
      <c r="I3442" s="523"/>
      <c r="J3442" s="521"/>
      <c r="K3442" s="522"/>
      <c r="M3442" s="301" t="str">
        <f>N3442&amp;AS[[#This Row],[Insurer Code]]&amp;"; "&amp;O3442&amp;AS[[#This Row],[Reporting Year]]&amp;"; "&amp;P3442&amp;AS[[#This Row],[Insurance Category Code]]&amp;"; "&amp;Q3442&amp;AS[[#This Row],[Large Provider Entity Code]]&amp;"; "&amp;R3442&amp;AS[[#This Row],[Age Band Code]]&amp;"; "&amp;S3442&amp;AS[[#This Row],[Sex Code]]</f>
        <v xml:space="preserve">Insurer Code ; Reporting Year ; Insurance Category Code ; Large Provider Entity Code ; Age Band Code ; Sex Code </v>
      </c>
      <c r="N3442" s="297" t="s">
        <v>197</v>
      </c>
      <c r="O3442" s="297" t="s">
        <v>198</v>
      </c>
      <c r="P3442" s="297" t="s">
        <v>199</v>
      </c>
      <c r="Q3442" s="297" t="s">
        <v>200</v>
      </c>
      <c r="R3442" s="297" t="s">
        <v>213</v>
      </c>
      <c r="S3442" s="297" t="s">
        <v>214</v>
      </c>
    </row>
    <row r="3443" spans="1:19" x14ac:dyDescent="0.4">
      <c r="A3443" s="291"/>
      <c r="B3443" s="292"/>
      <c r="C3443" s="312"/>
      <c r="D3443" s="292"/>
      <c r="E3443" s="489"/>
      <c r="F3443" s="489"/>
      <c r="G3443" s="490"/>
      <c r="H3443" s="520"/>
      <c r="I3443" s="523"/>
      <c r="J3443" s="521"/>
      <c r="K3443" s="522"/>
      <c r="M3443" s="301" t="str">
        <f>N3443&amp;AS[[#This Row],[Insurer Code]]&amp;"; "&amp;O3443&amp;AS[[#This Row],[Reporting Year]]&amp;"; "&amp;P3443&amp;AS[[#This Row],[Insurance Category Code]]&amp;"; "&amp;Q3443&amp;AS[[#This Row],[Large Provider Entity Code]]&amp;"; "&amp;R3443&amp;AS[[#This Row],[Age Band Code]]&amp;"; "&amp;S3443&amp;AS[[#This Row],[Sex Code]]</f>
        <v xml:space="preserve">Insurer Code ; Reporting Year ; Insurance Category Code ; Large Provider Entity Code ; Age Band Code ; Sex Code </v>
      </c>
      <c r="N3443" s="297" t="s">
        <v>197</v>
      </c>
      <c r="O3443" s="297" t="s">
        <v>198</v>
      </c>
      <c r="P3443" s="297" t="s">
        <v>199</v>
      </c>
      <c r="Q3443" s="297" t="s">
        <v>200</v>
      </c>
      <c r="R3443" s="297" t="s">
        <v>213</v>
      </c>
      <c r="S3443" s="297" t="s">
        <v>214</v>
      </c>
    </row>
    <row r="3444" spans="1:19" x14ac:dyDescent="0.4">
      <c r="A3444" s="291"/>
      <c r="B3444" s="292"/>
      <c r="C3444" s="312"/>
      <c r="D3444" s="292"/>
      <c r="E3444" s="489"/>
      <c r="F3444" s="489"/>
      <c r="G3444" s="490"/>
      <c r="H3444" s="520"/>
      <c r="I3444" s="523"/>
      <c r="J3444" s="521"/>
      <c r="K3444" s="522"/>
      <c r="M3444" s="301" t="str">
        <f>N3444&amp;AS[[#This Row],[Insurer Code]]&amp;"; "&amp;O3444&amp;AS[[#This Row],[Reporting Year]]&amp;"; "&amp;P3444&amp;AS[[#This Row],[Insurance Category Code]]&amp;"; "&amp;Q3444&amp;AS[[#This Row],[Large Provider Entity Code]]&amp;"; "&amp;R3444&amp;AS[[#This Row],[Age Band Code]]&amp;"; "&amp;S3444&amp;AS[[#This Row],[Sex Code]]</f>
        <v xml:space="preserve">Insurer Code ; Reporting Year ; Insurance Category Code ; Large Provider Entity Code ; Age Band Code ; Sex Code </v>
      </c>
      <c r="N3444" s="297" t="s">
        <v>197</v>
      </c>
      <c r="O3444" s="297" t="s">
        <v>198</v>
      </c>
      <c r="P3444" s="297" t="s">
        <v>199</v>
      </c>
      <c r="Q3444" s="297" t="s">
        <v>200</v>
      </c>
      <c r="R3444" s="297" t="s">
        <v>213</v>
      </c>
      <c r="S3444" s="297" t="s">
        <v>214</v>
      </c>
    </row>
    <row r="3445" spans="1:19" x14ac:dyDescent="0.4">
      <c r="A3445" s="291"/>
      <c r="B3445" s="292"/>
      <c r="C3445" s="312"/>
      <c r="D3445" s="292"/>
      <c r="E3445" s="489"/>
      <c r="F3445" s="489"/>
      <c r="G3445" s="490"/>
      <c r="H3445" s="520"/>
      <c r="I3445" s="523"/>
      <c r="J3445" s="521"/>
      <c r="K3445" s="522"/>
      <c r="M3445" s="301" t="str">
        <f>N3445&amp;AS[[#This Row],[Insurer Code]]&amp;"; "&amp;O3445&amp;AS[[#This Row],[Reporting Year]]&amp;"; "&amp;P3445&amp;AS[[#This Row],[Insurance Category Code]]&amp;"; "&amp;Q3445&amp;AS[[#This Row],[Large Provider Entity Code]]&amp;"; "&amp;R3445&amp;AS[[#This Row],[Age Band Code]]&amp;"; "&amp;S3445&amp;AS[[#This Row],[Sex Code]]</f>
        <v xml:space="preserve">Insurer Code ; Reporting Year ; Insurance Category Code ; Large Provider Entity Code ; Age Band Code ; Sex Code </v>
      </c>
      <c r="N3445" s="297" t="s">
        <v>197</v>
      </c>
      <c r="O3445" s="297" t="s">
        <v>198</v>
      </c>
      <c r="P3445" s="297" t="s">
        <v>199</v>
      </c>
      <c r="Q3445" s="297" t="s">
        <v>200</v>
      </c>
      <c r="R3445" s="297" t="s">
        <v>213</v>
      </c>
      <c r="S3445" s="297" t="s">
        <v>214</v>
      </c>
    </row>
    <row r="3446" spans="1:19" x14ac:dyDescent="0.4">
      <c r="A3446" s="291"/>
      <c r="B3446" s="292"/>
      <c r="C3446" s="312"/>
      <c r="D3446" s="292"/>
      <c r="E3446" s="489"/>
      <c r="F3446" s="489"/>
      <c r="G3446" s="490"/>
      <c r="H3446" s="520"/>
      <c r="I3446" s="523"/>
      <c r="J3446" s="521"/>
      <c r="K3446" s="522"/>
      <c r="M3446" s="301" t="str">
        <f>N3446&amp;AS[[#This Row],[Insurer Code]]&amp;"; "&amp;O3446&amp;AS[[#This Row],[Reporting Year]]&amp;"; "&amp;P3446&amp;AS[[#This Row],[Insurance Category Code]]&amp;"; "&amp;Q3446&amp;AS[[#This Row],[Large Provider Entity Code]]&amp;"; "&amp;R3446&amp;AS[[#This Row],[Age Band Code]]&amp;"; "&amp;S3446&amp;AS[[#This Row],[Sex Code]]</f>
        <v xml:space="preserve">Insurer Code ; Reporting Year ; Insurance Category Code ; Large Provider Entity Code ; Age Band Code ; Sex Code </v>
      </c>
      <c r="N3446" s="297" t="s">
        <v>197</v>
      </c>
      <c r="O3446" s="297" t="s">
        <v>198</v>
      </c>
      <c r="P3446" s="297" t="s">
        <v>199</v>
      </c>
      <c r="Q3446" s="297" t="s">
        <v>200</v>
      </c>
      <c r="R3446" s="297" t="s">
        <v>213</v>
      </c>
      <c r="S3446" s="297" t="s">
        <v>214</v>
      </c>
    </row>
    <row r="3447" spans="1:19" x14ac:dyDescent="0.4">
      <c r="A3447" s="291"/>
      <c r="B3447" s="292"/>
      <c r="C3447" s="312"/>
      <c r="D3447" s="292"/>
      <c r="E3447" s="489"/>
      <c r="F3447" s="489"/>
      <c r="G3447" s="490"/>
      <c r="H3447" s="520"/>
      <c r="I3447" s="523"/>
      <c r="J3447" s="521"/>
      <c r="K3447" s="522"/>
      <c r="M3447" s="301" t="str">
        <f>N3447&amp;AS[[#This Row],[Insurer Code]]&amp;"; "&amp;O3447&amp;AS[[#This Row],[Reporting Year]]&amp;"; "&amp;P3447&amp;AS[[#This Row],[Insurance Category Code]]&amp;"; "&amp;Q3447&amp;AS[[#This Row],[Large Provider Entity Code]]&amp;"; "&amp;R3447&amp;AS[[#This Row],[Age Band Code]]&amp;"; "&amp;S3447&amp;AS[[#This Row],[Sex Code]]</f>
        <v xml:space="preserve">Insurer Code ; Reporting Year ; Insurance Category Code ; Large Provider Entity Code ; Age Band Code ; Sex Code </v>
      </c>
      <c r="N3447" s="297" t="s">
        <v>197</v>
      </c>
      <c r="O3447" s="297" t="s">
        <v>198</v>
      </c>
      <c r="P3447" s="297" t="s">
        <v>199</v>
      </c>
      <c r="Q3447" s="297" t="s">
        <v>200</v>
      </c>
      <c r="R3447" s="297" t="s">
        <v>213</v>
      </c>
      <c r="S3447" s="297" t="s">
        <v>214</v>
      </c>
    </row>
    <row r="3448" spans="1:19" x14ac:dyDescent="0.4">
      <c r="A3448" s="291"/>
      <c r="B3448" s="292"/>
      <c r="C3448" s="312"/>
      <c r="D3448" s="292"/>
      <c r="E3448" s="489"/>
      <c r="F3448" s="489"/>
      <c r="G3448" s="490"/>
      <c r="H3448" s="520"/>
      <c r="I3448" s="523"/>
      <c r="J3448" s="521"/>
      <c r="K3448" s="522"/>
      <c r="M3448" s="301" t="str">
        <f>N3448&amp;AS[[#This Row],[Insurer Code]]&amp;"; "&amp;O3448&amp;AS[[#This Row],[Reporting Year]]&amp;"; "&amp;P3448&amp;AS[[#This Row],[Insurance Category Code]]&amp;"; "&amp;Q3448&amp;AS[[#This Row],[Large Provider Entity Code]]&amp;"; "&amp;R3448&amp;AS[[#This Row],[Age Band Code]]&amp;"; "&amp;S3448&amp;AS[[#This Row],[Sex Code]]</f>
        <v xml:space="preserve">Insurer Code ; Reporting Year ; Insurance Category Code ; Large Provider Entity Code ; Age Band Code ; Sex Code </v>
      </c>
      <c r="N3448" s="297" t="s">
        <v>197</v>
      </c>
      <c r="O3448" s="297" t="s">
        <v>198</v>
      </c>
      <c r="P3448" s="297" t="s">
        <v>199</v>
      </c>
      <c r="Q3448" s="297" t="s">
        <v>200</v>
      </c>
      <c r="R3448" s="297" t="s">
        <v>213</v>
      </c>
      <c r="S3448" s="297" t="s">
        <v>214</v>
      </c>
    </row>
    <row r="3449" spans="1:19" x14ac:dyDescent="0.4">
      <c r="A3449" s="291"/>
      <c r="B3449" s="292"/>
      <c r="C3449" s="312"/>
      <c r="D3449" s="292"/>
      <c r="E3449" s="489"/>
      <c r="F3449" s="489"/>
      <c r="G3449" s="490"/>
      <c r="H3449" s="520"/>
      <c r="I3449" s="523"/>
      <c r="J3449" s="521"/>
      <c r="K3449" s="522"/>
      <c r="M3449" s="301" t="str">
        <f>N3449&amp;AS[[#This Row],[Insurer Code]]&amp;"; "&amp;O3449&amp;AS[[#This Row],[Reporting Year]]&amp;"; "&amp;P3449&amp;AS[[#This Row],[Insurance Category Code]]&amp;"; "&amp;Q3449&amp;AS[[#This Row],[Large Provider Entity Code]]&amp;"; "&amp;R3449&amp;AS[[#This Row],[Age Band Code]]&amp;"; "&amp;S3449&amp;AS[[#This Row],[Sex Code]]</f>
        <v xml:space="preserve">Insurer Code ; Reporting Year ; Insurance Category Code ; Large Provider Entity Code ; Age Band Code ; Sex Code </v>
      </c>
      <c r="N3449" s="297" t="s">
        <v>197</v>
      </c>
      <c r="O3449" s="297" t="s">
        <v>198</v>
      </c>
      <c r="P3449" s="297" t="s">
        <v>199</v>
      </c>
      <c r="Q3449" s="297" t="s">
        <v>200</v>
      </c>
      <c r="R3449" s="297" t="s">
        <v>213</v>
      </c>
      <c r="S3449" s="297" t="s">
        <v>214</v>
      </c>
    </row>
    <row r="3450" spans="1:19" x14ac:dyDescent="0.4">
      <c r="A3450" s="291"/>
      <c r="B3450" s="292"/>
      <c r="C3450" s="312"/>
      <c r="D3450" s="292"/>
      <c r="E3450" s="489"/>
      <c r="F3450" s="489"/>
      <c r="G3450" s="490"/>
      <c r="H3450" s="520"/>
      <c r="I3450" s="523"/>
      <c r="J3450" s="521"/>
      <c r="K3450" s="522"/>
      <c r="M3450" s="301" t="str">
        <f>N3450&amp;AS[[#This Row],[Insurer Code]]&amp;"; "&amp;O3450&amp;AS[[#This Row],[Reporting Year]]&amp;"; "&amp;P3450&amp;AS[[#This Row],[Insurance Category Code]]&amp;"; "&amp;Q3450&amp;AS[[#This Row],[Large Provider Entity Code]]&amp;"; "&amp;R3450&amp;AS[[#This Row],[Age Band Code]]&amp;"; "&amp;S3450&amp;AS[[#This Row],[Sex Code]]</f>
        <v xml:space="preserve">Insurer Code ; Reporting Year ; Insurance Category Code ; Large Provider Entity Code ; Age Band Code ; Sex Code </v>
      </c>
      <c r="N3450" s="297" t="s">
        <v>197</v>
      </c>
      <c r="O3450" s="297" t="s">
        <v>198</v>
      </c>
      <c r="P3450" s="297" t="s">
        <v>199</v>
      </c>
      <c r="Q3450" s="297" t="s">
        <v>200</v>
      </c>
      <c r="R3450" s="297" t="s">
        <v>213</v>
      </c>
      <c r="S3450" s="297" t="s">
        <v>214</v>
      </c>
    </row>
    <row r="3451" spans="1:19" x14ac:dyDescent="0.4">
      <c r="A3451" s="291"/>
      <c r="B3451" s="292"/>
      <c r="C3451" s="312"/>
      <c r="D3451" s="292"/>
      <c r="E3451" s="489"/>
      <c r="F3451" s="489"/>
      <c r="G3451" s="490"/>
      <c r="H3451" s="520"/>
      <c r="I3451" s="523"/>
      <c r="J3451" s="521"/>
      <c r="K3451" s="522"/>
      <c r="M3451" s="301" t="str">
        <f>N3451&amp;AS[[#This Row],[Insurer Code]]&amp;"; "&amp;O3451&amp;AS[[#This Row],[Reporting Year]]&amp;"; "&amp;P3451&amp;AS[[#This Row],[Insurance Category Code]]&amp;"; "&amp;Q3451&amp;AS[[#This Row],[Large Provider Entity Code]]&amp;"; "&amp;R3451&amp;AS[[#This Row],[Age Band Code]]&amp;"; "&amp;S3451&amp;AS[[#This Row],[Sex Code]]</f>
        <v xml:space="preserve">Insurer Code ; Reporting Year ; Insurance Category Code ; Large Provider Entity Code ; Age Band Code ; Sex Code </v>
      </c>
      <c r="N3451" s="297" t="s">
        <v>197</v>
      </c>
      <c r="O3451" s="297" t="s">
        <v>198</v>
      </c>
      <c r="P3451" s="297" t="s">
        <v>199</v>
      </c>
      <c r="Q3451" s="297" t="s">
        <v>200</v>
      </c>
      <c r="R3451" s="297" t="s">
        <v>213</v>
      </c>
      <c r="S3451" s="297" t="s">
        <v>214</v>
      </c>
    </row>
    <row r="3452" spans="1:19" x14ac:dyDescent="0.4">
      <c r="A3452" s="291"/>
      <c r="B3452" s="292"/>
      <c r="C3452" s="312"/>
      <c r="D3452" s="292"/>
      <c r="E3452" s="489"/>
      <c r="F3452" s="489"/>
      <c r="G3452" s="490"/>
      <c r="H3452" s="520"/>
      <c r="I3452" s="523"/>
      <c r="J3452" s="521"/>
      <c r="K3452" s="522"/>
      <c r="M3452" s="301" t="str">
        <f>N3452&amp;AS[[#This Row],[Insurer Code]]&amp;"; "&amp;O3452&amp;AS[[#This Row],[Reporting Year]]&amp;"; "&amp;P3452&amp;AS[[#This Row],[Insurance Category Code]]&amp;"; "&amp;Q3452&amp;AS[[#This Row],[Large Provider Entity Code]]&amp;"; "&amp;R3452&amp;AS[[#This Row],[Age Band Code]]&amp;"; "&amp;S3452&amp;AS[[#This Row],[Sex Code]]</f>
        <v xml:space="preserve">Insurer Code ; Reporting Year ; Insurance Category Code ; Large Provider Entity Code ; Age Band Code ; Sex Code </v>
      </c>
      <c r="N3452" s="297" t="s">
        <v>197</v>
      </c>
      <c r="O3452" s="297" t="s">
        <v>198</v>
      </c>
      <c r="P3452" s="297" t="s">
        <v>199</v>
      </c>
      <c r="Q3452" s="297" t="s">
        <v>200</v>
      </c>
      <c r="R3452" s="297" t="s">
        <v>213</v>
      </c>
      <c r="S3452" s="297" t="s">
        <v>214</v>
      </c>
    </row>
    <row r="3453" spans="1:19" x14ac:dyDescent="0.4">
      <c r="A3453" s="291"/>
      <c r="B3453" s="292"/>
      <c r="C3453" s="312"/>
      <c r="D3453" s="292"/>
      <c r="E3453" s="489"/>
      <c r="F3453" s="489"/>
      <c r="G3453" s="490"/>
      <c r="H3453" s="520"/>
      <c r="I3453" s="523"/>
      <c r="J3453" s="521"/>
      <c r="K3453" s="522"/>
      <c r="M3453" s="301" t="str">
        <f>N3453&amp;AS[[#This Row],[Insurer Code]]&amp;"; "&amp;O3453&amp;AS[[#This Row],[Reporting Year]]&amp;"; "&amp;P3453&amp;AS[[#This Row],[Insurance Category Code]]&amp;"; "&amp;Q3453&amp;AS[[#This Row],[Large Provider Entity Code]]&amp;"; "&amp;R3453&amp;AS[[#This Row],[Age Band Code]]&amp;"; "&amp;S3453&amp;AS[[#This Row],[Sex Code]]</f>
        <v xml:space="preserve">Insurer Code ; Reporting Year ; Insurance Category Code ; Large Provider Entity Code ; Age Band Code ; Sex Code </v>
      </c>
      <c r="N3453" s="297" t="s">
        <v>197</v>
      </c>
      <c r="O3453" s="297" t="s">
        <v>198</v>
      </c>
      <c r="P3453" s="297" t="s">
        <v>199</v>
      </c>
      <c r="Q3453" s="297" t="s">
        <v>200</v>
      </c>
      <c r="R3453" s="297" t="s">
        <v>213</v>
      </c>
      <c r="S3453" s="297" t="s">
        <v>214</v>
      </c>
    </row>
    <row r="3454" spans="1:19" x14ac:dyDescent="0.4">
      <c r="A3454" s="291"/>
      <c r="B3454" s="292"/>
      <c r="C3454" s="312"/>
      <c r="D3454" s="292"/>
      <c r="E3454" s="489"/>
      <c r="F3454" s="489"/>
      <c r="G3454" s="490"/>
      <c r="H3454" s="520"/>
      <c r="I3454" s="523"/>
      <c r="J3454" s="521"/>
      <c r="K3454" s="522"/>
      <c r="M3454" s="301" t="str">
        <f>N3454&amp;AS[[#This Row],[Insurer Code]]&amp;"; "&amp;O3454&amp;AS[[#This Row],[Reporting Year]]&amp;"; "&amp;P3454&amp;AS[[#This Row],[Insurance Category Code]]&amp;"; "&amp;Q3454&amp;AS[[#This Row],[Large Provider Entity Code]]&amp;"; "&amp;R3454&amp;AS[[#This Row],[Age Band Code]]&amp;"; "&amp;S3454&amp;AS[[#This Row],[Sex Code]]</f>
        <v xml:space="preserve">Insurer Code ; Reporting Year ; Insurance Category Code ; Large Provider Entity Code ; Age Band Code ; Sex Code </v>
      </c>
      <c r="N3454" s="297" t="s">
        <v>197</v>
      </c>
      <c r="O3454" s="297" t="s">
        <v>198</v>
      </c>
      <c r="P3454" s="297" t="s">
        <v>199</v>
      </c>
      <c r="Q3454" s="297" t="s">
        <v>200</v>
      </c>
      <c r="R3454" s="297" t="s">
        <v>213</v>
      </c>
      <c r="S3454" s="297" t="s">
        <v>214</v>
      </c>
    </row>
    <row r="3455" spans="1:19" x14ac:dyDescent="0.4">
      <c r="A3455" s="291"/>
      <c r="B3455" s="292"/>
      <c r="C3455" s="312"/>
      <c r="D3455" s="292"/>
      <c r="E3455" s="489"/>
      <c r="F3455" s="489"/>
      <c r="G3455" s="490"/>
      <c r="H3455" s="520"/>
      <c r="I3455" s="523"/>
      <c r="J3455" s="521"/>
      <c r="K3455" s="522"/>
      <c r="M3455" s="301" t="str">
        <f>N3455&amp;AS[[#This Row],[Insurer Code]]&amp;"; "&amp;O3455&amp;AS[[#This Row],[Reporting Year]]&amp;"; "&amp;P3455&amp;AS[[#This Row],[Insurance Category Code]]&amp;"; "&amp;Q3455&amp;AS[[#This Row],[Large Provider Entity Code]]&amp;"; "&amp;R3455&amp;AS[[#This Row],[Age Band Code]]&amp;"; "&amp;S3455&amp;AS[[#This Row],[Sex Code]]</f>
        <v xml:space="preserve">Insurer Code ; Reporting Year ; Insurance Category Code ; Large Provider Entity Code ; Age Band Code ; Sex Code </v>
      </c>
      <c r="N3455" s="297" t="s">
        <v>197</v>
      </c>
      <c r="O3455" s="297" t="s">
        <v>198</v>
      </c>
      <c r="P3455" s="297" t="s">
        <v>199</v>
      </c>
      <c r="Q3455" s="297" t="s">
        <v>200</v>
      </c>
      <c r="R3455" s="297" t="s">
        <v>213</v>
      </c>
      <c r="S3455" s="297" t="s">
        <v>214</v>
      </c>
    </row>
    <row r="3456" spans="1:19" x14ac:dyDescent="0.4">
      <c r="A3456" s="291"/>
      <c r="B3456" s="292"/>
      <c r="C3456" s="312"/>
      <c r="D3456" s="292"/>
      <c r="E3456" s="489"/>
      <c r="F3456" s="489"/>
      <c r="G3456" s="490"/>
      <c r="H3456" s="520"/>
      <c r="I3456" s="523"/>
      <c r="J3456" s="521"/>
      <c r="K3456" s="522"/>
      <c r="M3456" s="301" t="str">
        <f>N3456&amp;AS[[#This Row],[Insurer Code]]&amp;"; "&amp;O3456&amp;AS[[#This Row],[Reporting Year]]&amp;"; "&amp;P3456&amp;AS[[#This Row],[Insurance Category Code]]&amp;"; "&amp;Q3456&amp;AS[[#This Row],[Large Provider Entity Code]]&amp;"; "&amp;R3456&amp;AS[[#This Row],[Age Band Code]]&amp;"; "&amp;S3456&amp;AS[[#This Row],[Sex Code]]</f>
        <v xml:space="preserve">Insurer Code ; Reporting Year ; Insurance Category Code ; Large Provider Entity Code ; Age Band Code ; Sex Code </v>
      </c>
      <c r="N3456" s="297" t="s">
        <v>197</v>
      </c>
      <c r="O3456" s="297" t="s">
        <v>198</v>
      </c>
      <c r="P3456" s="297" t="s">
        <v>199</v>
      </c>
      <c r="Q3456" s="297" t="s">
        <v>200</v>
      </c>
      <c r="R3456" s="297" t="s">
        <v>213</v>
      </c>
      <c r="S3456" s="297" t="s">
        <v>214</v>
      </c>
    </row>
    <row r="3457" spans="1:19" x14ac:dyDescent="0.4">
      <c r="A3457" s="291"/>
      <c r="B3457" s="292"/>
      <c r="C3457" s="312"/>
      <c r="D3457" s="292"/>
      <c r="E3457" s="489"/>
      <c r="F3457" s="489"/>
      <c r="G3457" s="490"/>
      <c r="H3457" s="520"/>
      <c r="I3457" s="523"/>
      <c r="J3457" s="521"/>
      <c r="K3457" s="522"/>
      <c r="M3457" s="301" t="str">
        <f>N3457&amp;AS[[#This Row],[Insurer Code]]&amp;"; "&amp;O3457&amp;AS[[#This Row],[Reporting Year]]&amp;"; "&amp;P3457&amp;AS[[#This Row],[Insurance Category Code]]&amp;"; "&amp;Q3457&amp;AS[[#This Row],[Large Provider Entity Code]]&amp;"; "&amp;R3457&amp;AS[[#This Row],[Age Band Code]]&amp;"; "&amp;S3457&amp;AS[[#This Row],[Sex Code]]</f>
        <v xml:space="preserve">Insurer Code ; Reporting Year ; Insurance Category Code ; Large Provider Entity Code ; Age Band Code ; Sex Code </v>
      </c>
      <c r="N3457" s="297" t="s">
        <v>197</v>
      </c>
      <c r="O3457" s="297" t="s">
        <v>198</v>
      </c>
      <c r="P3457" s="297" t="s">
        <v>199</v>
      </c>
      <c r="Q3457" s="297" t="s">
        <v>200</v>
      </c>
      <c r="R3457" s="297" t="s">
        <v>213</v>
      </c>
      <c r="S3457" s="297" t="s">
        <v>214</v>
      </c>
    </row>
    <row r="3458" spans="1:19" x14ac:dyDescent="0.4">
      <c r="A3458" s="291"/>
      <c r="B3458" s="292"/>
      <c r="C3458" s="312"/>
      <c r="D3458" s="292"/>
      <c r="E3458" s="489"/>
      <c r="F3458" s="489"/>
      <c r="G3458" s="490"/>
      <c r="H3458" s="520"/>
      <c r="I3458" s="523"/>
      <c r="J3458" s="521"/>
      <c r="K3458" s="522"/>
      <c r="M3458" s="301" t="str">
        <f>N3458&amp;AS[[#This Row],[Insurer Code]]&amp;"; "&amp;O3458&amp;AS[[#This Row],[Reporting Year]]&amp;"; "&amp;P3458&amp;AS[[#This Row],[Insurance Category Code]]&amp;"; "&amp;Q3458&amp;AS[[#This Row],[Large Provider Entity Code]]&amp;"; "&amp;R3458&amp;AS[[#This Row],[Age Band Code]]&amp;"; "&amp;S3458&amp;AS[[#This Row],[Sex Code]]</f>
        <v xml:space="preserve">Insurer Code ; Reporting Year ; Insurance Category Code ; Large Provider Entity Code ; Age Band Code ; Sex Code </v>
      </c>
      <c r="N3458" s="297" t="s">
        <v>197</v>
      </c>
      <c r="O3458" s="297" t="s">
        <v>198</v>
      </c>
      <c r="P3458" s="297" t="s">
        <v>199</v>
      </c>
      <c r="Q3458" s="297" t="s">
        <v>200</v>
      </c>
      <c r="R3458" s="297" t="s">
        <v>213</v>
      </c>
      <c r="S3458" s="297" t="s">
        <v>214</v>
      </c>
    </row>
    <row r="3459" spans="1:19" x14ac:dyDescent="0.4">
      <c r="A3459" s="291"/>
      <c r="B3459" s="292"/>
      <c r="C3459" s="312"/>
      <c r="D3459" s="292"/>
      <c r="E3459" s="489"/>
      <c r="F3459" s="489"/>
      <c r="G3459" s="490"/>
      <c r="H3459" s="520"/>
      <c r="I3459" s="523"/>
      <c r="J3459" s="521"/>
      <c r="K3459" s="522"/>
      <c r="M3459" s="301" t="str">
        <f>N3459&amp;AS[[#This Row],[Insurer Code]]&amp;"; "&amp;O3459&amp;AS[[#This Row],[Reporting Year]]&amp;"; "&amp;P3459&amp;AS[[#This Row],[Insurance Category Code]]&amp;"; "&amp;Q3459&amp;AS[[#This Row],[Large Provider Entity Code]]&amp;"; "&amp;R3459&amp;AS[[#This Row],[Age Band Code]]&amp;"; "&amp;S3459&amp;AS[[#This Row],[Sex Code]]</f>
        <v xml:space="preserve">Insurer Code ; Reporting Year ; Insurance Category Code ; Large Provider Entity Code ; Age Band Code ; Sex Code </v>
      </c>
      <c r="N3459" s="297" t="s">
        <v>197</v>
      </c>
      <c r="O3459" s="297" t="s">
        <v>198</v>
      </c>
      <c r="P3459" s="297" t="s">
        <v>199</v>
      </c>
      <c r="Q3459" s="297" t="s">
        <v>200</v>
      </c>
      <c r="R3459" s="297" t="s">
        <v>213</v>
      </c>
      <c r="S3459" s="297" t="s">
        <v>214</v>
      </c>
    </row>
    <row r="3460" spans="1:19" x14ac:dyDescent="0.4">
      <c r="A3460" s="291"/>
      <c r="B3460" s="292"/>
      <c r="C3460" s="312"/>
      <c r="D3460" s="292"/>
      <c r="E3460" s="489"/>
      <c r="F3460" s="489"/>
      <c r="G3460" s="490"/>
      <c r="H3460" s="520"/>
      <c r="I3460" s="523"/>
      <c r="J3460" s="521"/>
      <c r="K3460" s="522"/>
      <c r="M3460" s="301" t="str">
        <f>N3460&amp;AS[[#This Row],[Insurer Code]]&amp;"; "&amp;O3460&amp;AS[[#This Row],[Reporting Year]]&amp;"; "&amp;P3460&amp;AS[[#This Row],[Insurance Category Code]]&amp;"; "&amp;Q3460&amp;AS[[#This Row],[Large Provider Entity Code]]&amp;"; "&amp;R3460&amp;AS[[#This Row],[Age Band Code]]&amp;"; "&amp;S3460&amp;AS[[#This Row],[Sex Code]]</f>
        <v xml:space="preserve">Insurer Code ; Reporting Year ; Insurance Category Code ; Large Provider Entity Code ; Age Band Code ; Sex Code </v>
      </c>
      <c r="N3460" s="297" t="s">
        <v>197</v>
      </c>
      <c r="O3460" s="297" t="s">
        <v>198</v>
      </c>
      <c r="P3460" s="297" t="s">
        <v>199</v>
      </c>
      <c r="Q3460" s="297" t="s">
        <v>200</v>
      </c>
      <c r="R3460" s="297" t="s">
        <v>213</v>
      </c>
      <c r="S3460" s="297" t="s">
        <v>214</v>
      </c>
    </row>
    <row r="3461" spans="1:19" x14ac:dyDescent="0.4">
      <c r="A3461" s="291"/>
      <c r="B3461" s="292"/>
      <c r="C3461" s="312"/>
      <c r="D3461" s="292"/>
      <c r="E3461" s="489"/>
      <c r="F3461" s="489"/>
      <c r="G3461" s="490"/>
      <c r="H3461" s="520"/>
      <c r="I3461" s="523"/>
      <c r="J3461" s="521"/>
      <c r="K3461" s="522"/>
      <c r="M3461" s="301" t="str">
        <f>N3461&amp;AS[[#This Row],[Insurer Code]]&amp;"; "&amp;O3461&amp;AS[[#This Row],[Reporting Year]]&amp;"; "&amp;P3461&amp;AS[[#This Row],[Insurance Category Code]]&amp;"; "&amp;Q3461&amp;AS[[#This Row],[Large Provider Entity Code]]&amp;"; "&amp;R3461&amp;AS[[#This Row],[Age Band Code]]&amp;"; "&amp;S3461&amp;AS[[#This Row],[Sex Code]]</f>
        <v xml:space="preserve">Insurer Code ; Reporting Year ; Insurance Category Code ; Large Provider Entity Code ; Age Band Code ; Sex Code </v>
      </c>
      <c r="N3461" s="297" t="s">
        <v>197</v>
      </c>
      <c r="O3461" s="297" t="s">
        <v>198</v>
      </c>
      <c r="P3461" s="297" t="s">
        <v>199</v>
      </c>
      <c r="Q3461" s="297" t="s">
        <v>200</v>
      </c>
      <c r="R3461" s="297" t="s">
        <v>213</v>
      </c>
      <c r="S3461" s="297" t="s">
        <v>214</v>
      </c>
    </row>
    <row r="3462" spans="1:19" x14ac:dyDescent="0.4">
      <c r="A3462" s="291"/>
      <c r="B3462" s="292"/>
      <c r="C3462" s="312"/>
      <c r="D3462" s="292"/>
      <c r="E3462" s="489"/>
      <c r="F3462" s="489"/>
      <c r="G3462" s="490"/>
      <c r="H3462" s="520"/>
      <c r="I3462" s="523"/>
      <c r="J3462" s="521"/>
      <c r="K3462" s="522"/>
      <c r="M3462" s="301" t="str">
        <f>N3462&amp;AS[[#This Row],[Insurer Code]]&amp;"; "&amp;O3462&amp;AS[[#This Row],[Reporting Year]]&amp;"; "&amp;P3462&amp;AS[[#This Row],[Insurance Category Code]]&amp;"; "&amp;Q3462&amp;AS[[#This Row],[Large Provider Entity Code]]&amp;"; "&amp;R3462&amp;AS[[#This Row],[Age Band Code]]&amp;"; "&amp;S3462&amp;AS[[#This Row],[Sex Code]]</f>
        <v xml:space="preserve">Insurer Code ; Reporting Year ; Insurance Category Code ; Large Provider Entity Code ; Age Band Code ; Sex Code </v>
      </c>
      <c r="N3462" s="297" t="s">
        <v>197</v>
      </c>
      <c r="O3462" s="297" t="s">
        <v>198</v>
      </c>
      <c r="P3462" s="297" t="s">
        <v>199</v>
      </c>
      <c r="Q3462" s="297" t="s">
        <v>200</v>
      </c>
      <c r="R3462" s="297" t="s">
        <v>213</v>
      </c>
      <c r="S3462" s="297" t="s">
        <v>214</v>
      </c>
    </row>
    <row r="3463" spans="1:19" x14ac:dyDescent="0.4">
      <c r="A3463" s="291"/>
      <c r="B3463" s="292"/>
      <c r="C3463" s="312"/>
      <c r="D3463" s="292"/>
      <c r="E3463" s="489"/>
      <c r="F3463" s="489"/>
      <c r="G3463" s="490"/>
      <c r="H3463" s="520"/>
      <c r="I3463" s="523"/>
      <c r="J3463" s="521"/>
      <c r="K3463" s="522"/>
      <c r="M3463" s="301" t="str">
        <f>N3463&amp;AS[[#This Row],[Insurer Code]]&amp;"; "&amp;O3463&amp;AS[[#This Row],[Reporting Year]]&amp;"; "&amp;P3463&amp;AS[[#This Row],[Insurance Category Code]]&amp;"; "&amp;Q3463&amp;AS[[#This Row],[Large Provider Entity Code]]&amp;"; "&amp;R3463&amp;AS[[#This Row],[Age Band Code]]&amp;"; "&amp;S3463&amp;AS[[#This Row],[Sex Code]]</f>
        <v xml:space="preserve">Insurer Code ; Reporting Year ; Insurance Category Code ; Large Provider Entity Code ; Age Band Code ; Sex Code </v>
      </c>
      <c r="N3463" s="297" t="s">
        <v>197</v>
      </c>
      <c r="O3463" s="297" t="s">
        <v>198</v>
      </c>
      <c r="P3463" s="297" t="s">
        <v>199</v>
      </c>
      <c r="Q3463" s="297" t="s">
        <v>200</v>
      </c>
      <c r="R3463" s="297" t="s">
        <v>213</v>
      </c>
      <c r="S3463" s="297" t="s">
        <v>214</v>
      </c>
    </row>
    <row r="3464" spans="1:19" x14ac:dyDescent="0.4">
      <c r="A3464" s="291"/>
      <c r="B3464" s="292"/>
      <c r="C3464" s="312"/>
      <c r="D3464" s="292"/>
      <c r="E3464" s="489"/>
      <c r="F3464" s="489"/>
      <c r="G3464" s="490"/>
      <c r="H3464" s="520"/>
      <c r="I3464" s="523"/>
      <c r="J3464" s="521"/>
      <c r="K3464" s="522"/>
      <c r="M3464" s="301" t="str">
        <f>N3464&amp;AS[[#This Row],[Insurer Code]]&amp;"; "&amp;O3464&amp;AS[[#This Row],[Reporting Year]]&amp;"; "&amp;P3464&amp;AS[[#This Row],[Insurance Category Code]]&amp;"; "&amp;Q3464&amp;AS[[#This Row],[Large Provider Entity Code]]&amp;"; "&amp;R3464&amp;AS[[#This Row],[Age Band Code]]&amp;"; "&amp;S3464&amp;AS[[#This Row],[Sex Code]]</f>
        <v xml:space="preserve">Insurer Code ; Reporting Year ; Insurance Category Code ; Large Provider Entity Code ; Age Band Code ; Sex Code </v>
      </c>
      <c r="N3464" s="297" t="s">
        <v>197</v>
      </c>
      <c r="O3464" s="297" t="s">
        <v>198</v>
      </c>
      <c r="P3464" s="297" t="s">
        <v>199</v>
      </c>
      <c r="Q3464" s="297" t="s">
        <v>200</v>
      </c>
      <c r="R3464" s="297" t="s">
        <v>213</v>
      </c>
      <c r="S3464" s="297" t="s">
        <v>214</v>
      </c>
    </row>
    <row r="3465" spans="1:19" x14ac:dyDescent="0.4">
      <c r="A3465" s="291"/>
      <c r="B3465" s="292"/>
      <c r="C3465" s="312"/>
      <c r="D3465" s="292"/>
      <c r="E3465" s="489"/>
      <c r="F3465" s="489"/>
      <c r="G3465" s="490"/>
      <c r="H3465" s="520"/>
      <c r="I3465" s="523"/>
      <c r="J3465" s="521"/>
      <c r="K3465" s="522"/>
      <c r="M3465" s="301" t="str">
        <f>N3465&amp;AS[[#This Row],[Insurer Code]]&amp;"; "&amp;O3465&amp;AS[[#This Row],[Reporting Year]]&amp;"; "&amp;P3465&amp;AS[[#This Row],[Insurance Category Code]]&amp;"; "&amp;Q3465&amp;AS[[#This Row],[Large Provider Entity Code]]&amp;"; "&amp;R3465&amp;AS[[#This Row],[Age Band Code]]&amp;"; "&amp;S3465&amp;AS[[#This Row],[Sex Code]]</f>
        <v xml:space="preserve">Insurer Code ; Reporting Year ; Insurance Category Code ; Large Provider Entity Code ; Age Band Code ; Sex Code </v>
      </c>
      <c r="N3465" s="297" t="s">
        <v>197</v>
      </c>
      <c r="O3465" s="297" t="s">
        <v>198</v>
      </c>
      <c r="P3465" s="297" t="s">
        <v>199</v>
      </c>
      <c r="Q3465" s="297" t="s">
        <v>200</v>
      </c>
      <c r="R3465" s="297" t="s">
        <v>213</v>
      </c>
      <c r="S3465" s="297" t="s">
        <v>214</v>
      </c>
    </row>
    <row r="3466" spans="1:19" x14ac:dyDescent="0.4">
      <c r="A3466" s="291"/>
      <c r="B3466" s="292"/>
      <c r="C3466" s="312"/>
      <c r="D3466" s="292"/>
      <c r="E3466" s="489"/>
      <c r="F3466" s="489"/>
      <c r="G3466" s="490"/>
      <c r="H3466" s="520"/>
      <c r="I3466" s="523"/>
      <c r="J3466" s="521"/>
      <c r="K3466" s="522"/>
      <c r="M3466" s="301" t="str">
        <f>N3466&amp;AS[[#This Row],[Insurer Code]]&amp;"; "&amp;O3466&amp;AS[[#This Row],[Reporting Year]]&amp;"; "&amp;P3466&amp;AS[[#This Row],[Insurance Category Code]]&amp;"; "&amp;Q3466&amp;AS[[#This Row],[Large Provider Entity Code]]&amp;"; "&amp;R3466&amp;AS[[#This Row],[Age Band Code]]&amp;"; "&amp;S3466&amp;AS[[#This Row],[Sex Code]]</f>
        <v xml:space="preserve">Insurer Code ; Reporting Year ; Insurance Category Code ; Large Provider Entity Code ; Age Band Code ; Sex Code </v>
      </c>
      <c r="N3466" s="297" t="s">
        <v>197</v>
      </c>
      <c r="O3466" s="297" t="s">
        <v>198</v>
      </c>
      <c r="P3466" s="297" t="s">
        <v>199</v>
      </c>
      <c r="Q3466" s="297" t="s">
        <v>200</v>
      </c>
      <c r="R3466" s="297" t="s">
        <v>213</v>
      </c>
      <c r="S3466" s="297" t="s">
        <v>214</v>
      </c>
    </row>
    <row r="3467" spans="1:19" x14ac:dyDescent="0.4">
      <c r="A3467" s="291"/>
      <c r="B3467" s="292"/>
      <c r="C3467" s="312"/>
      <c r="D3467" s="292"/>
      <c r="E3467" s="489"/>
      <c r="F3467" s="489"/>
      <c r="G3467" s="490"/>
      <c r="H3467" s="520"/>
      <c r="I3467" s="523"/>
      <c r="J3467" s="521"/>
      <c r="K3467" s="522"/>
      <c r="M3467" s="301" t="str">
        <f>N3467&amp;AS[[#This Row],[Insurer Code]]&amp;"; "&amp;O3467&amp;AS[[#This Row],[Reporting Year]]&amp;"; "&amp;P3467&amp;AS[[#This Row],[Insurance Category Code]]&amp;"; "&amp;Q3467&amp;AS[[#This Row],[Large Provider Entity Code]]&amp;"; "&amp;R3467&amp;AS[[#This Row],[Age Band Code]]&amp;"; "&amp;S3467&amp;AS[[#This Row],[Sex Code]]</f>
        <v xml:space="preserve">Insurer Code ; Reporting Year ; Insurance Category Code ; Large Provider Entity Code ; Age Band Code ; Sex Code </v>
      </c>
      <c r="N3467" s="297" t="s">
        <v>197</v>
      </c>
      <c r="O3467" s="297" t="s">
        <v>198</v>
      </c>
      <c r="P3467" s="297" t="s">
        <v>199</v>
      </c>
      <c r="Q3467" s="297" t="s">
        <v>200</v>
      </c>
      <c r="R3467" s="297" t="s">
        <v>213</v>
      </c>
      <c r="S3467" s="297" t="s">
        <v>214</v>
      </c>
    </row>
    <row r="3468" spans="1:19" x14ac:dyDescent="0.4">
      <c r="A3468" s="291"/>
      <c r="B3468" s="292"/>
      <c r="C3468" s="312"/>
      <c r="D3468" s="292"/>
      <c r="E3468" s="489"/>
      <c r="F3468" s="489"/>
      <c r="G3468" s="490"/>
      <c r="H3468" s="520"/>
      <c r="I3468" s="523"/>
      <c r="J3468" s="521"/>
      <c r="K3468" s="522"/>
      <c r="M3468" s="301" t="str">
        <f>N3468&amp;AS[[#This Row],[Insurer Code]]&amp;"; "&amp;O3468&amp;AS[[#This Row],[Reporting Year]]&amp;"; "&amp;P3468&amp;AS[[#This Row],[Insurance Category Code]]&amp;"; "&amp;Q3468&amp;AS[[#This Row],[Large Provider Entity Code]]&amp;"; "&amp;R3468&amp;AS[[#This Row],[Age Band Code]]&amp;"; "&amp;S3468&amp;AS[[#This Row],[Sex Code]]</f>
        <v xml:space="preserve">Insurer Code ; Reporting Year ; Insurance Category Code ; Large Provider Entity Code ; Age Band Code ; Sex Code </v>
      </c>
      <c r="N3468" s="297" t="s">
        <v>197</v>
      </c>
      <c r="O3468" s="297" t="s">
        <v>198</v>
      </c>
      <c r="P3468" s="297" t="s">
        <v>199</v>
      </c>
      <c r="Q3468" s="297" t="s">
        <v>200</v>
      </c>
      <c r="R3468" s="297" t="s">
        <v>213</v>
      </c>
      <c r="S3468" s="297" t="s">
        <v>214</v>
      </c>
    </row>
    <row r="3469" spans="1:19" x14ac:dyDescent="0.4">
      <c r="A3469" s="291"/>
      <c r="B3469" s="292"/>
      <c r="C3469" s="312"/>
      <c r="D3469" s="292"/>
      <c r="E3469" s="489"/>
      <c r="F3469" s="489"/>
      <c r="G3469" s="490"/>
      <c r="H3469" s="520"/>
      <c r="I3469" s="523"/>
      <c r="J3469" s="521"/>
      <c r="K3469" s="522"/>
      <c r="M3469" s="301" t="str">
        <f>N3469&amp;AS[[#This Row],[Insurer Code]]&amp;"; "&amp;O3469&amp;AS[[#This Row],[Reporting Year]]&amp;"; "&amp;P3469&amp;AS[[#This Row],[Insurance Category Code]]&amp;"; "&amp;Q3469&amp;AS[[#This Row],[Large Provider Entity Code]]&amp;"; "&amp;R3469&amp;AS[[#This Row],[Age Band Code]]&amp;"; "&amp;S3469&amp;AS[[#This Row],[Sex Code]]</f>
        <v xml:space="preserve">Insurer Code ; Reporting Year ; Insurance Category Code ; Large Provider Entity Code ; Age Band Code ; Sex Code </v>
      </c>
      <c r="N3469" s="297" t="s">
        <v>197</v>
      </c>
      <c r="O3469" s="297" t="s">
        <v>198</v>
      </c>
      <c r="P3469" s="297" t="s">
        <v>199</v>
      </c>
      <c r="Q3469" s="297" t="s">
        <v>200</v>
      </c>
      <c r="R3469" s="297" t="s">
        <v>213</v>
      </c>
      <c r="S3469" s="297" t="s">
        <v>214</v>
      </c>
    </row>
    <row r="3470" spans="1:19" x14ac:dyDescent="0.4">
      <c r="A3470" s="291"/>
      <c r="B3470" s="292"/>
      <c r="C3470" s="312"/>
      <c r="D3470" s="292"/>
      <c r="E3470" s="489"/>
      <c r="F3470" s="489"/>
      <c r="G3470" s="490"/>
      <c r="H3470" s="520"/>
      <c r="I3470" s="523"/>
      <c r="J3470" s="521"/>
      <c r="K3470" s="522"/>
      <c r="M3470" s="301" t="str">
        <f>N3470&amp;AS[[#This Row],[Insurer Code]]&amp;"; "&amp;O3470&amp;AS[[#This Row],[Reporting Year]]&amp;"; "&amp;P3470&amp;AS[[#This Row],[Insurance Category Code]]&amp;"; "&amp;Q3470&amp;AS[[#This Row],[Large Provider Entity Code]]&amp;"; "&amp;R3470&amp;AS[[#This Row],[Age Band Code]]&amp;"; "&amp;S3470&amp;AS[[#This Row],[Sex Code]]</f>
        <v xml:space="preserve">Insurer Code ; Reporting Year ; Insurance Category Code ; Large Provider Entity Code ; Age Band Code ; Sex Code </v>
      </c>
      <c r="N3470" s="297" t="s">
        <v>197</v>
      </c>
      <c r="O3470" s="297" t="s">
        <v>198</v>
      </c>
      <c r="P3470" s="297" t="s">
        <v>199</v>
      </c>
      <c r="Q3470" s="297" t="s">
        <v>200</v>
      </c>
      <c r="R3470" s="297" t="s">
        <v>213</v>
      </c>
      <c r="S3470" s="297" t="s">
        <v>214</v>
      </c>
    </row>
    <row r="3471" spans="1:19" x14ac:dyDescent="0.4">
      <c r="A3471" s="291"/>
      <c r="B3471" s="292"/>
      <c r="C3471" s="312"/>
      <c r="D3471" s="292"/>
      <c r="E3471" s="489"/>
      <c r="F3471" s="489"/>
      <c r="G3471" s="490"/>
      <c r="H3471" s="520"/>
      <c r="I3471" s="523"/>
      <c r="J3471" s="521"/>
      <c r="K3471" s="522"/>
      <c r="M3471" s="301" t="str">
        <f>N3471&amp;AS[[#This Row],[Insurer Code]]&amp;"; "&amp;O3471&amp;AS[[#This Row],[Reporting Year]]&amp;"; "&amp;P3471&amp;AS[[#This Row],[Insurance Category Code]]&amp;"; "&amp;Q3471&amp;AS[[#This Row],[Large Provider Entity Code]]&amp;"; "&amp;R3471&amp;AS[[#This Row],[Age Band Code]]&amp;"; "&amp;S3471&amp;AS[[#This Row],[Sex Code]]</f>
        <v xml:space="preserve">Insurer Code ; Reporting Year ; Insurance Category Code ; Large Provider Entity Code ; Age Band Code ; Sex Code </v>
      </c>
      <c r="N3471" s="297" t="s">
        <v>197</v>
      </c>
      <c r="O3471" s="297" t="s">
        <v>198</v>
      </c>
      <c r="P3471" s="297" t="s">
        <v>199</v>
      </c>
      <c r="Q3471" s="297" t="s">
        <v>200</v>
      </c>
      <c r="R3471" s="297" t="s">
        <v>213</v>
      </c>
      <c r="S3471" s="297" t="s">
        <v>214</v>
      </c>
    </row>
    <row r="3472" spans="1:19" x14ac:dyDescent="0.4">
      <c r="A3472" s="291"/>
      <c r="B3472" s="292"/>
      <c r="C3472" s="312"/>
      <c r="D3472" s="292"/>
      <c r="E3472" s="489"/>
      <c r="F3472" s="489"/>
      <c r="G3472" s="490"/>
      <c r="H3472" s="520"/>
      <c r="I3472" s="523"/>
      <c r="J3472" s="521"/>
      <c r="K3472" s="522"/>
      <c r="M3472" s="301" t="str">
        <f>N3472&amp;AS[[#This Row],[Insurer Code]]&amp;"; "&amp;O3472&amp;AS[[#This Row],[Reporting Year]]&amp;"; "&amp;P3472&amp;AS[[#This Row],[Insurance Category Code]]&amp;"; "&amp;Q3472&amp;AS[[#This Row],[Large Provider Entity Code]]&amp;"; "&amp;R3472&amp;AS[[#This Row],[Age Band Code]]&amp;"; "&amp;S3472&amp;AS[[#This Row],[Sex Code]]</f>
        <v xml:space="preserve">Insurer Code ; Reporting Year ; Insurance Category Code ; Large Provider Entity Code ; Age Band Code ; Sex Code </v>
      </c>
      <c r="N3472" s="297" t="s">
        <v>197</v>
      </c>
      <c r="O3472" s="297" t="s">
        <v>198</v>
      </c>
      <c r="P3472" s="297" t="s">
        <v>199</v>
      </c>
      <c r="Q3472" s="297" t="s">
        <v>200</v>
      </c>
      <c r="R3472" s="297" t="s">
        <v>213</v>
      </c>
      <c r="S3472" s="297" t="s">
        <v>214</v>
      </c>
    </row>
    <row r="3473" spans="1:19" x14ac:dyDescent="0.4">
      <c r="A3473" s="291"/>
      <c r="B3473" s="292"/>
      <c r="C3473" s="312"/>
      <c r="D3473" s="292"/>
      <c r="E3473" s="489"/>
      <c r="F3473" s="489"/>
      <c r="G3473" s="490"/>
      <c r="H3473" s="520"/>
      <c r="I3473" s="523"/>
      <c r="J3473" s="521"/>
      <c r="K3473" s="522"/>
      <c r="M3473" s="301" t="str">
        <f>N3473&amp;AS[[#This Row],[Insurer Code]]&amp;"; "&amp;O3473&amp;AS[[#This Row],[Reporting Year]]&amp;"; "&amp;P3473&amp;AS[[#This Row],[Insurance Category Code]]&amp;"; "&amp;Q3473&amp;AS[[#This Row],[Large Provider Entity Code]]&amp;"; "&amp;R3473&amp;AS[[#This Row],[Age Band Code]]&amp;"; "&amp;S3473&amp;AS[[#This Row],[Sex Code]]</f>
        <v xml:space="preserve">Insurer Code ; Reporting Year ; Insurance Category Code ; Large Provider Entity Code ; Age Band Code ; Sex Code </v>
      </c>
      <c r="N3473" s="297" t="s">
        <v>197</v>
      </c>
      <c r="O3473" s="297" t="s">
        <v>198</v>
      </c>
      <c r="P3473" s="297" t="s">
        <v>199</v>
      </c>
      <c r="Q3473" s="297" t="s">
        <v>200</v>
      </c>
      <c r="R3473" s="297" t="s">
        <v>213</v>
      </c>
      <c r="S3473" s="297" t="s">
        <v>214</v>
      </c>
    </row>
    <row r="3474" spans="1:19" x14ac:dyDescent="0.4">
      <c r="A3474" s="291"/>
      <c r="B3474" s="292"/>
      <c r="C3474" s="312"/>
      <c r="D3474" s="292"/>
      <c r="E3474" s="489"/>
      <c r="F3474" s="489"/>
      <c r="G3474" s="490"/>
      <c r="H3474" s="520"/>
      <c r="I3474" s="523"/>
      <c r="J3474" s="521"/>
      <c r="K3474" s="522"/>
      <c r="M3474" s="301" t="str">
        <f>N3474&amp;AS[[#This Row],[Insurer Code]]&amp;"; "&amp;O3474&amp;AS[[#This Row],[Reporting Year]]&amp;"; "&amp;P3474&amp;AS[[#This Row],[Insurance Category Code]]&amp;"; "&amp;Q3474&amp;AS[[#This Row],[Large Provider Entity Code]]&amp;"; "&amp;R3474&amp;AS[[#This Row],[Age Band Code]]&amp;"; "&amp;S3474&amp;AS[[#This Row],[Sex Code]]</f>
        <v xml:space="preserve">Insurer Code ; Reporting Year ; Insurance Category Code ; Large Provider Entity Code ; Age Band Code ; Sex Code </v>
      </c>
      <c r="N3474" s="297" t="s">
        <v>197</v>
      </c>
      <c r="O3474" s="297" t="s">
        <v>198</v>
      </c>
      <c r="P3474" s="297" t="s">
        <v>199</v>
      </c>
      <c r="Q3474" s="297" t="s">
        <v>200</v>
      </c>
      <c r="R3474" s="297" t="s">
        <v>213</v>
      </c>
      <c r="S3474" s="297" t="s">
        <v>214</v>
      </c>
    </row>
    <row r="3475" spans="1:19" x14ac:dyDescent="0.4">
      <c r="A3475" s="291"/>
      <c r="B3475" s="292"/>
      <c r="C3475" s="312"/>
      <c r="D3475" s="292"/>
      <c r="E3475" s="489"/>
      <c r="F3475" s="489"/>
      <c r="G3475" s="490"/>
      <c r="H3475" s="520"/>
      <c r="I3475" s="523"/>
      <c r="J3475" s="521"/>
      <c r="K3475" s="522"/>
      <c r="M3475" s="301" t="str">
        <f>N3475&amp;AS[[#This Row],[Insurer Code]]&amp;"; "&amp;O3475&amp;AS[[#This Row],[Reporting Year]]&amp;"; "&amp;P3475&amp;AS[[#This Row],[Insurance Category Code]]&amp;"; "&amp;Q3475&amp;AS[[#This Row],[Large Provider Entity Code]]&amp;"; "&amp;R3475&amp;AS[[#This Row],[Age Band Code]]&amp;"; "&amp;S3475&amp;AS[[#This Row],[Sex Code]]</f>
        <v xml:space="preserve">Insurer Code ; Reporting Year ; Insurance Category Code ; Large Provider Entity Code ; Age Band Code ; Sex Code </v>
      </c>
      <c r="N3475" s="297" t="s">
        <v>197</v>
      </c>
      <c r="O3475" s="297" t="s">
        <v>198</v>
      </c>
      <c r="P3475" s="297" t="s">
        <v>199</v>
      </c>
      <c r="Q3475" s="297" t="s">
        <v>200</v>
      </c>
      <c r="R3475" s="297" t="s">
        <v>213</v>
      </c>
      <c r="S3475" s="297" t="s">
        <v>214</v>
      </c>
    </row>
    <row r="3476" spans="1:19" x14ac:dyDescent="0.4">
      <c r="A3476" s="291"/>
      <c r="B3476" s="292"/>
      <c r="C3476" s="312"/>
      <c r="D3476" s="292"/>
      <c r="E3476" s="489"/>
      <c r="F3476" s="489"/>
      <c r="G3476" s="490"/>
      <c r="H3476" s="520"/>
      <c r="I3476" s="523"/>
      <c r="J3476" s="521"/>
      <c r="K3476" s="522"/>
      <c r="M3476" s="301" t="str">
        <f>N3476&amp;AS[[#This Row],[Insurer Code]]&amp;"; "&amp;O3476&amp;AS[[#This Row],[Reporting Year]]&amp;"; "&amp;P3476&amp;AS[[#This Row],[Insurance Category Code]]&amp;"; "&amp;Q3476&amp;AS[[#This Row],[Large Provider Entity Code]]&amp;"; "&amp;R3476&amp;AS[[#This Row],[Age Band Code]]&amp;"; "&amp;S3476&amp;AS[[#This Row],[Sex Code]]</f>
        <v xml:space="preserve">Insurer Code ; Reporting Year ; Insurance Category Code ; Large Provider Entity Code ; Age Band Code ; Sex Code </v>
      </c>
      <c r="N3476" s="297" t="s">
        <v>197</v>
      </c>
      <c r="O3476" s="297" t="s">
        <v>198</v>
      </c>
      <c r="P3476" s="297" t="s">
        <v>199</v>
      </c>
      <c r="Q3476" s="297" t="s">
        <v>200</v>
      </c>
      <c r="R3476" s="297" t="s">
        <v>213</v>
      </c>
      <c r="S3476" s="297" t="s">
        <v>214</v>
      </c>
    </row>
    <row r="3477" spans="1:19" x14ac:dyDescent="0.4">
      <c r="A3477" s="291"/>
      <c r="B3477" s="292"/>
      <c r="C3477" s="312"/>
      <c r="D3477" s="292"/>
      <c r="E3477" s="489"/>
      <c r="F3477" s="489"/>
      <c r="G3477" s="490"/>
      <c r="H3477" s="520"/>
      <c r="I3477" s="523"/>
      <c r="J3477" s="521"/>
      <c r="K3477" s="522"/>
      <c r="M3477" s="301" t="str">
        <f>N3477&amp;AS[[#This Row],[Insurer Code]]&amp;"; "&amp;O3477&amp;AS[[#This Row],[Reporting Year]]&amp;"; "&amp;P3477&amp;AS[[#This Row],[Insurance Category Code]]&amp;"; "&amp;Q3477&amp;AS[[#This Row],[Large Provider Entity Code]]&amp;"; "&amp;R3477&amp;AS[[#This Row],[Age Band Code]]&amp;"; "&amp;S3477&amp;AS[[#This Row],[Sex Code]]</f>
        <v xml:space="preserve">Insurer Code ; Reporting Year ; Insurance Category Code ; Large Provider Entity Code ; Age Band Code ; Sex Code </v>
      </c>
      <c r="N3477" s="297" t="s">
        <v>197</v>
      </c>
      <c r="O3477" s="297" t="s">
        <v>198</v>
      </c>
      <c r="P3477" s="297" t="s">
        <v>199</v>
      </c>
      <c r="Q3477" s="297" t="s">
        <v>200</v>
      </c>
      <c r="R3477" s="297" t="s">
        <v>213</v>
      </c>
      <c r="S3477" s="297" t="s">
        <v>214</v>
      </c>
    </row>
    <row r="3478" spans="1:19" x14ac:dyDescent="0.4">
      <c r="A3478" s="291"/>
      <c r="B3478" s="292"/>
      <c r="C3478" s="312"/>
      <c r="D3478" s="292"/>
      <c r="E3478" s="489"/>
      <c r="F3478" s="489"/>
      <c r="G3478" s="490"/>
      <c r="H3478" s="520"/>
      <c r="I3478" s="523"/>
      <c r="J3478" s="521"/>
      <c r="K3478" s="522"/>
      <c r="M3478" s="301" t="str">
        <f>N3478&amp;AS[[#This Row],[Insurer Code]]&amp;"; "&amp;O3478&amp;AS[[#This Row],[Reporting Year]]&amp;"; "&amp;P3478&amp;AS[[#This Row],[Insurance Category Code]]&amp;"; "&amp;Q3478&amp;AS[[#This Row],[Large Provider Entity Code]]&amp;"; "&amp;R3478&amp;AS[[#This Row],[Age Band Code]]&amp;"; "&amp;S3478&amp;AS[[#This Row],[Sex Code]]</f>
        <v xml:space="preserve">Insurer Code ; Reporting Year ; Insurance Category Code ; Large Provider Entity Code ; Age Band Code ; Sex Code </v>
      </c>
      <c r="N3478" s="297" t="s">
        <v>197</v>
      </c>
      <c r="O3478" s="297" t="s">
        <v>198</v>
      </c>
      <c r="P3478" s="297" t="s">
        <v>199</v>
      </c>
      <c r="Q3478" s="297" t="s">
        <v>200</v>
      </c>
      <c r="R3478" s="297" t="s">
        <v>213</v>
      </c>
      <c r="S3478" s="297" t="s">
        <v>214</v>
      </c>
    </row>
    <row r="3479" spans="1:19" x14ac:dyDescent="0.4">
      <c r="A3479" s="291"/>
      <c r="B3479" s="292"/>
      <c r="C3479" s="312"/>
      <c r="D3479" s="292"/>
      <c r="E3479" s="489"/>
      <c r="F3479" s="489"/>
      <c r="G3479" s="490"/>
      <c r="H3479" s="520"/>
      <c r="I3479" s="523"/>
      <c r="J3479" s="521"/>
      <c r="K3479" s="522"/>
      <c r="M3479" s="301" t="str">
        <f>N3479&amp;AS[[#This Row],[Insurer Code]]&amp;"; "&amp;O3479&amp;AS[[#This Row],[Reporting Year]]&amp;"; "&amp;P3479&amp;AS[[#This Row],[Insurance Category Code]]&amp;"; "&amp;Q3479&amp;AS[[#This Row],[Large Provider Entity Code]]&amp;"; "&amp;R3479&amp;AS[[#This Row],[Age Band Code]]&amp;"; "&amp;S3479&amp;AS[[#This Row],[Sex Code]]</f>
        <v xml:space="preserve">Insurer Code ; Reporting Year ; Insurance Category Code ; Large Provider Entity Code ; Age Band Code ; Sex Code </v>
      </c>
      <c r="N3479" s="297" t="s">
        <v>197</v>
      </c>
      <c r="O3479" s="297" t="s">
        <v>198</v>
      </c>
      <c r="P3479" s="297" t="s">
        <v>199</v>
      </c>
      <c r="Q3479" s="297" t="s">
        <v>200</v>
      </c>
      <c r="R3479" s="297" t="s">
        <v>213</v>
      </c>
      <c r="S3479" s="297" t="s">
        <v>214</v>
      </c>
    </row>
    <row r="3480" spans="1:19" x14ac:dyDescent="0.4">
      <c r="A3480" s="291"/>
      <c r="B3480" s="292"/>
      <c r="C3480" s="312"/>
      <c r="D3480" s="292"/>
      <c r="E3480" s="489"/>
      <c r="F3480" s="489"/>
      <c r="G3480" s="490"/>
      <c r="H3480" s="520"/>
      <c r="I3480" s="523"/>
      <c r="J3480" s="521"/>
      <c r="K3480" s="522"/>
      <c r="M3480" s="301" t="str">
        <f>N3480&amp;AS[[#This Row],[Insurer Code]]&amp;"; "&amp;O3480&amp;AS[[#This Row],[Reporting Year]]&amp;"; "&amp;P3480&amp;AS[[#This Row],[Insurance Category Code]]&amp;"; "&amp;Q3480&amp;AS[[#This Row],[Large Provider Entity Code]]&amp;"; "&amp;R3480&amp;AS[[#This Row],[Age Band Code]]&amp;"; "&amp;S3480&amp;AS[[#This Row],[Sex Code]]</f>
        <v xml:space="preserve">Insurer Code ; Reporting Year ; Insurance Category Code ; Large Provider Entity Code ; Age Band Code ; Sex Code </v>
      </c>
      <c r="N3480" s="297" t="s">
        <v>197</v>
      </c>
      <c r="O3480" s="297" t="s">
        <v>198</v>
      </c>
      <c r="P3480" s="297" t="s">
        <v>199</v>
      </c>
      <c r="Q3480" s="297" t="s">
        <v>200</v>
      </c>
      <c r="R3480" s="297" t="s">
        <v>213</v>
      </c>
      <c r="S3480" s="297" t="s">
        <v>214</v>
      </c>
    </row>
    <row r="3481" spans="1:19" x14ac:dyDescent="0.4">
      <c r="A3481" s="291"/>
      <c r="B3481" s="292"/>
      <c r="C3481" s="312"/>
      <c r="D3481" s="292"/>
      <c r="E3481" s="489"/>
      <c r="F3481" s="489"/>
      <c r="G3481" s="490"/>
      <c r="H3481" s="520"/>
      <c r="I3481" s="523"/>
      <c r="J3481" s="521"/>
      <c r="K3481" s="522"/>
      <c r="M3481" s="301" t="str">
        <f>N3481&amp;AS[[#This Row],[Insurer Code]]&amp;"; "&amp;O3481&amp;AS[[#This Row],[Reporting Year]]&amp;"; "&amp;P3481&amp;AS[[#This Row],[Insurance Category Code]]&amp;"; "&amp;Q3481&amp;AS[[#This Row],[Large Provider Entity Code]]&amp;"; "&amp;R3481&amp;AS[[#This Row],[Age Band Code]]&amp;"; "&amp;S3481&amp;AS[[#This Row],[Sex Code]]</f>
        <v xml:space="preserve">Insurer Code ; Reporting Year ; Insurance Category Code ; Large Provider Entity Code ; Age Band Code ; Sex Code </v>
      </c>
      <c r="N3481" s="297" t="s">
        <v>197</v>
      </c>
      <c r="O3481" s="297" t="s">
        <v>198</v>
      </c>
      <c r="P3481" s="297" t="s">
        <v>199</v>
      </c>
      <c r="Q3481" s="297" t="s">
        <v>200</v>
      </c>
      <c r="R3481" s="297" t="s">
        <v>213</v>
      </c>
      <c r="S3481" s="297" t="s">
        <v>214</v>
      </c>
    </row>
    <row r="3482" spans="1:19" x14ac:dyDescent="0.4">
      <c r="A3482" s="291"/>
      <c r="B3482" s="292"/>
      <c r="C3482" s="312"/>
      <c r="D3482" s="292"/>
      <c r="E3482" s="489"/>
      <c r="F3482" s="489"/>
      <c r="G3482" s="490"/>
      <c r="H3482" s="520"/>
      <c r="I3482" s="523"/>
      <c r="J3482" s="521"/>
      <c r="K3482" s="522"/>
      <c r="M3482" s="301" t="str">
        <f>N3482&amp;AS[[#This Row],[Insurer Code]]&amp;"; "&amp;O3482&amp;AS[[#This Row],[Reporting Year]]&amp;"; "&amp;P3482&amp;AS[[#This Row],[Insurance Category Code]]&amp;"; "&amp;Q3482&amp;AS[[#This Row],[Large Provider Entity Code]]&amp;"; "&amp;R3482&amp;AS[[#This Row],[Age Band Code]]&amp;"; "&amp;S3482&amp;AS[[#This Row],[Sex Code]]</f>
        <v xml:space="preserve">Insurer Code ; Reporting Year ; Insurance Category Code ; Large Provider Entity Code ; Age Band Code ; Sex Code </v>
      </c>
      <c r="N3482" s="297" t="s">
        <v>197</v>
      </c>
      <c r="O3482" s="297" t="s">
        <v>198</v>
      </c>
      <c r="P3482" s="297" t="s">
        <v>199</v>
      </c>
      <c r="Q3482" s="297" t="s">
        <v>200</v>
      </c>
      <c r="R3482" s="297" t="s">
        <v>213</v>
      </c>
      <c r="S3482" s="297" t="s">
        <v>214</v>
      </c>
    </row>
    <row r="3483" spans="1:19" x14ac:dyDescent="0.4">
      <c r="A3483" s="291"/>
      <c r="B3483" s="292"/>
      <c r="C3483" s="312"/>
      <c r="D3483" s="292"/>
      <c r="E3483" s="489"/>
      <c r="F3483" s="489"/>
      <c r="G3483" s="490"/>
      <c r="H3483" s="520"/>
      <c r="I3483" s="523"/>
      <c r="J3483" s="521"/>
      <c r="K3483" s="522"/>
      <c r="M3483" s="301" t="str">
        <f>N3483&amp;AS[[#This Row],[Insurer Code]]&amp;"; "&amp;O3483&amp;AS[[#This Row],[Reporting Year]]&amp;"; "&amp;P3483&amp;AS[[#This Row],[Insurance Category Code]]&amp;"; "&amp;Q3483&amp;AS[[#This Row],[Large Provider Entity Code]]&amp;"; "&amp;R3483&amp;AS[[#This Row],[Age Band Code]]&amp;"; "&amp;S3483&amp;AS[[#This Row],[Sex Code]]</f>
        <v xml:space="preserve">Insurer Code ; Reporting Year ; Insurance Category Code ; Large Provider Entity Code ; Age Band Code ; Sex Code </v>
      </c>
      <c r="N3483" s="297" t="s">
        <v>197</v>
      </c>
      <c r="O3483" s="297" t="s">
        <v>198</v>
      </c>
      <c r="P3483" s="297" t="s">
        <v>199</v>
      </c>
      <c r="Q3483" s="297" t="s">
        <v>200</v>
      </c>
      <c r="R3483" s="297" t="s">
        <v>213</v>
      </c>
      <c r="S3483" s="297" t="s">
        <v>214</v>
      </c>
    </row>
    <row r="3484" spans="1:19" x14ac:dyDescent="0.4">
      <c r="A3484" s="291"/>
      <c r="B3484" s="292"/>
      <c r="C3484" s="312"/>
      <c r="D3484" s="292"/>
      <c r="E3484" s="489"/>
      <c r="F3484" s="489"/>
      <c r="G3484" s="490"/>
      <c r="H3484" s="520"/>
      <c r="I3484" s="523"/>
      <c r="J3484" s="521"/>
      <c r="K3484" s="522"/>
      <c r="M3484" s="301" t="str">
        <f>N3484&amp;AS[[#This Row],[Insurer Code]]&amp;"; "&amp;O3484&amp;AS[[#This Row],[Reporting Year]]&amp;"; "&amp;P3484&amp;AS[[#This Row],[Insurance Category Code]]&amp;"; "&amp;Q3484&amp;AS[[#This Row],[Large Provider Entity Code]]&amp;"; "&amp;R3484&amp;AS[[#This Row],[Age Band Code]]&amp;"; "&amp;S3484&amp;AS[[#This Row],[Sex Code]]</f>
        <v xml:space="preserve">Insurer Code ; Reporting Year ; Insurance Category Code ; Large Provider Entity Code ; Age Band Code ; Sex Code </v>
      </c>
      <c r="N3484" s="297" t="s">
        <v>197</v>
      </c>
      <c r="O3484" s="297" t="s">
        <v>198</v>
      </c>
      <c r="P3484" s="297" t="s">
        <v>199</v>
      </c>
      <c r="Q3484" s="297" t="s">
        <v>200</v>
      </c>
      <c r="R3484" s="297" t="s">
        <v>213</v>
      </c>
      <c r="S3484" s="297" t="s">
        <v>214</v>
      </c>
    </row>
    <row r="3485" spans="1:19" x14ac:dyDescent="0.4">
      <c r="A3485" s="291"/>
      <c r="B3485" s="292"/>
      <c r="C3485" s="312"/>
      <c r="D3485" s="292"/>
      <c r="E3485" s="489"/>
      <c r="F3485" s="489"/>
      <c r="G3485" s="490"/>
      <c r="H3485" s="520"/>
      <c r="I3485" s="523"/>
      <c r="J3485" s="521"/>
      <c r="K3485" s="522"/>
      <c r="M3485" s="301" t="str">
        <f>N3485&amp;AS[[#This Row],[Insurer Code]]&amp;"; "&amp;O3485&amp;AS[[#This Row],[Reporting Year]]&amp;"; "&amp;P3485&amp;AS[[#This Row],[Insurance Category Code]]&amp;"; "&amp;Q3485&amp;AS[[#This Row],[Large Provider Entity Code]]&amp;"; "&amp;R3485&amp;AS[[#This Row],[Age Band Code]]&amp;"; "&amp;S3485&amp;AS[[#This Row],[Sex Code]]</f>
        <v xml:space="preserve">Insurer Code ; Reporting Year ; Insurance Category Code ; Large Provider Entity Code ; Age Band Code ; Sex Code </v>
      </c>
      <c r="N3485" s="297" t="s">
        <v>197</v>
      </c>
      <c r="O3485" s="297" t="s">
        <v>198</v>
      </c>
      <c r="P3485" s="297" t="s">
        <v>199</v>
      </c>
      <c r="Q3485" s="297" t="s">
        <v>200</v>
      </c>
      <c r="R3485" s="297" t="s">
        <v>213</v>
      </c>
      <c r="S3485" s="297" t="s">
        <v>214</v>
      </c>
    </row>
    <row r="3486" spans="1:19" x14ac:dyDescent="0.4">
      <c r="A3486" s="291"/>
      <c r="B3486" s="292"/>
      <c r="C3486" s="312"/>
      <c r="D3486" s="292"/>
      <c r="E3486" s="489"/>
      <c r="F3486" s="489"/>
      <c r="G3486" s="490"/>
      <c r="H3486" s="520"/>
      <c r="I3486" s="523"/>
      <c r="J3486" s="521"/>
      <c r="K3486" s="522"/>
      <c r="M3486" s="301" t="str">
        <f>N3486&amp;AS[[#This Row],[Insurer Code]]&amp;"; "&amp;O3486&amp;AS[[#This Row],[Reporting Year]]&amp;"; "&amp;P3486&amp;AS[[#This Row],[Insurance Category Code]]&amp;"; "&amp;Q3486&amp;AS[[#This Row],[Large Provider Entity Code]]&amp;"; "&amp;R3486&amp;AS[[#This Row],[Age Band Code]]&amp;"; "&amp;S3486&amp;AS[[#This Row],[Sex Code]]</f>
        <v xml:space="preserve">Insurer Code ; Reporting Year ; Insurance Category Code ; Large Provider Entity Code ; Age Band Code ; Sex Code </v>
      </c>
      <c r="N3486" s="297" t="s">
        <v>197</v>
      </c>
      <c r="O3486" s="297" t="s">
        <v>198</v>
      </c>
      <c r="P3486" s="297" t="s">
        <v>199</v>
      </c>
      <c r="Q3486" s="297" t="s">
        <v>200</v>
      </c>
      <c r="R3486" s="297" t="s">
        <v>213</v>
      </c>
      <c r="S3486" s="297" t="s">
        <v>214</v>
      </c>
    </row>
    <row r="3487" spans="1:19" x14ac:dyDescent="0.4">
      <c r="A3487" s="291"/>
      <c r="B3487" s="292"/>
      <c r="C3487" s="312"/>
      <c r="D3487" s="292"/>
      <c r="E3487" s="489"/>
      <c r="F3487" s="489"/>
      <c r="G3487" s="490"/>
      <c r="H3487" s="520"/>
      <c r="I3487" s="523"/>
      <c r="J3487" s="521"/>
      <c r="K3487" s="522"/>
      <c r="M3487" s="301" t="str">
        <f>N3487&amp;AS[[#This Row],[Insurer Code]]&amp;"; "&amp;O3487&amp;AS[[#This Row],[Reporting Year]]&amp;"; "&amp;P3487&amp;AS[[#This Row],[Insurance Category Code]]&amp;"; "&amp;Q3487&amp;AS[[#This Row],[Large Provider Entity Code]]&amp;"; "&amp;R3487&amp;AS[[#This Row],[Age Band Code]]&amp;"; "&amp;S3487&amp;AS[[#This Row],[Sex Code]]</f>
        <v xml:space="preserve">Insurer Code ; Reporting Year ; Insurance Category Code ; Large Provider Entity Code ; Age Band Code ; Sex Code </v>
      </c>
      <c r="N3487" s="297" t="s">
        <v>197</v>
      </c>
      <c r="O3487" s="297" t="s">
        <v>198</v>
      </c>
      <c r="P3487" s="297" t="s">
        <v>199</v>
      </c>
      <c r="Q3487" s="297" t="s">
        <v>200</v>
      </c>
      <c r="R3487" s="297" t="s">
        <v>213</v>
      </c>
      <c r="S3487" s="297" t="s">
        <v>214</v>
      </c>
    </row>
    <row r="3488" spans="1:19" x14ac:dyDescent="0.4">
      <c r="A3488" s="291"/>
      <c r="B3488" s="292"/>
      <c r="C3488" s="312"/>
      <c r="D3488" s="292"/>
      <c r="E3488" s="489"/>
      <c r="F3488" s="489"/>
      <c r="G3488" s="490"/>
      <c r="H3488" s="520"/>
      <c r="I3488" s="523"/>
      <c r="J3488" s="521"/>
      <c r="K3488" s="522"/>
      <c r="M3488" s="301" t="str">
        <f>N3488&amp;AS[[#This Row],[Insurer Code]]&amp;"; "&amp;O3488&amp;AS[[#This Row],[Reporting Year]]&amp;"; "&amp;P3488&amp;AS[[#This Row],[Insurance Category Code]]&amp;"; "&amp;Q3488&amp;AS[[#This Row],[Large Provider Entity Code]]&amp;"; "&amp;R3488&amp;AS[[#This Row],[Age Band Code]]&amp;"; "&amp;S3488&amp;AS[[#This Row],[Sex Code]]</f>
        <v xml:space="preserve">Insurer Code ; Reporting Year ; Insurance Category Code ; Large Provider Entity Code ; Age Band Code ; Sex Code </v>
      </c>
      <c r="N3488" s="297" t="s">
        <v>197</v>
      </c>
      <c r="O3488" s="297" t="s">
        <v>198</v>
      </c>
      <c r="P3488" s="297" t="s">
        <v>199</v>
      </c>
      <c r="Q3488" s="297" t="s">
        <v>200</v>
      </c>
      <c r="R3488" s="297" t="s">
        <v>213</v>
      </c>
      <c r="S3488" s="297" t="s">
        <v>214</v>
      </c>
    </row>
    <row r="3489" spans="1:19" x14ac:dyDescent="0.4">
      <c r="A3489" s="291"/>
      <c r="B3489" s="292"/>
      <c r="C3489" s="312"/>
      <c r="D3489" s="292"/>
      <c r="E3489" s="489"/>
      <c r="F3489" s="489"/>
      <c r="G3489" s="490"/>
      <c r="H3489" s="520"/>
      <c r="I3489" s="523"/>
      <c r="J3489" s="521"/>
      <c r="K3489" s="522"/>
      <c r="M3489" s="301" t="str">
        <f>N3489&amp;AS[[#This Row],[Insurer Code]]&amp;"; "&amp;O3489&amp;AS[[#This Row],[Reporting Year]]&amp;"; "&amp;P3489&amp;AS[[#This Row],[Insurance Category Code]]&amp;"; "&amp;Q3489&amp;AS[[#This Row],[Large Provider Entity Code]]&amp;"; "&amp;R3489&amp;AS[[#This Row],[Age Band Code]]&amp;"; "&amp;S3489&amp;AS[[#This Row],[Sex Code]]</f>
        <v xml:space="preserve">Insurer Code ; Reporting Year ; Insurance Category Code ; Large Provider Entity Code ; Age Band Code ; Sex Code </v>
      </c>
      <c r="N3489" s="297" t="s">
        <v>197</v>
      </c>
      <c r="O3489" s="297" t="s">
        <v>198</v>
      </c>
      <c r="P3489" s="297" t="s">
        <v>199</v>
      </c>
      <c r="Q3489" s="297" t="s">
        <v>200</v>
      </c>
      <c r="R3489" s="297" t="s">
        <v>213</v>
      </c>
      <c r="S3489" s="297" t="s">
        <v>214</v>
      </c>
    </row>
    <row r="3490" spans="1:19" x14ac:dyDescent="0.4">
      <c r="A3490" s="291"/>
      <c r="B3490" s="292"/>
      <c r="C3490" s="312"/>
      <c r="D3490" s="292"/>
      <c r="E3490" s="489"/>
      <c r="F3490" s="489"/>
      <c r="G3490" s="490"/>
      <c r="H3490" s="520"/>
      <c r="I3490" s="523"/>
      <c r="J3490" s="521"/>
      <c r="K3490" s="522"/>
      <c r="M3490" s="301" t="str">
        <f>N3490&amp;AS[[#This Row],[Insurer Code]]&amp;"; "&amp;O3490&amp;AS[[#This Row],[Reporting Year]]&amp;"; "&amp;P3490&amp;AS[[#This Row],[Insurance Category Code]]&amp;"; "&amp;Q3490&amp;AS[[#This Row],[Large Provider Entity Code]]&amp;"; "&amp;R3490&amp;AS[[#This Row],[Age Band Code]]&amp;"; "&amp;S3490&amp;AS[[#This Row],[Sex Code]]</f>
        <v xml:space="preserve">Insurer Code ; Reporting Year ; Insurance Category Code ; Large Provider Entity Code ; Age Band Code ; Sex Code </v>
      </c>
      <c r="N3490" s="297" t="s">
        <v>197</v>
      </c>
      <c r="O3490" s="297" t="s">
        <v>198</v>
      </c>
      <c r="P3490" s="297" t="s">
        <v>199</v>
      </c>
      <c r="Q3490" s="297" t="s">
        <v>200</v>
      </c>
      <c r="R3490" s="297" t="s">
        <v>213</v>
      </c>
      <c r="S3490" s="297" t="s">
        <v>214</v>
      </c>
    </row>
    <row r="3491" spans="1:19" x14ac:dyDescent="0.4">
      <c r="A3491" s="291"/>
      <c r="B3491" s="292"/>
      <c r="C3491" s="312"/>
      <c r="D3491" s="292"/>
      <c r="E3491" s="489"/>
      <c r="F3491" s="489"/>
      <c r="G3491" s="490"/>
      <c r="H3491" s="520"/>
      <c r="I3491" s="523"/>
      <c r="J3491" s="521"/>
      <c r="K3491" s="522"/>
      <c r="M3491" s="301" t="str">
        <f>N3491&amp;AS[[#This Row],[Insurer Code]]&amp;"; "&amp;O3491&amp;AS[[#This Row],[Reporting Year]]&amp;"; "&amp;P3491&amp;AS[[#This Row],[Insurance Category Code]]&amp;"; "&amp;Q3491&amp;AS[[#This Row],[Large Provider Entity Code]]&amp;"; "&amp;R3491&amp;AS[[#This Row],[Age Band Code]]&amp;"; "&amp;S3491&amp;AS[[#This Row],[Sex Code]]</f>
        <v xml:space="preserve">Insurer Code ; Reporting Year ; Insurance Category Code ; Large Provider Entity Code ; Age Band Code ; Sex Code </v>
      </c>
      <c r="N3491" s="297" t="s">
        <v>197</v>
      </c>
      <c r="O3491" s="297" t="s">
        <v>198</v>
      </c>
      <c r="P3491" s="297" t="s">
        <v>199</v>
      </c>
      <c r="Q3491" s="297" t="s">
        <v>200</v>
      </c>
      <c r="R3491" s="297" t="s">
        <v>213</v>
      </c>
      <c r="S3491" s="297" t="s">
        <v>214</v>
      </c>
    </row>
    <row r="3492" spans="1:19" x14ac:dyDescent="0.4">
      <c r="A3492" s="291"/>
      <c r="B3492" s="292"/>
      <c r="C3492" s="312"/>
      <c r="D3492" s="292"/>
      <c r="E3492" s="489"/>
      <c r="F3492" s="489"/>
      <c r="G3492" s="490"/>
      <c r="H3492" s="520"/>
      <c r="I3492" s="523"/>
      <c r="J3492" s="521"/>
      <c r="K3492" s="522"/>
      <c r="M3492" s="301" t="str">
        <f>N3492&amp;AS[[#This Row],[Insurer Code]]&amp;"; "&amp;O3492&amp;AS[[#This Row],[Reporting Year]]&amp;"; "&amp;P3492&amp;AS[[#This Row],[Insurance Category Code]]&amp;"; "&amp;Q3492&amp;AS[[#This Row],[Large Provider Entity Code]]&amp;"; "&amp;R3492&amp;AS[[#This Row],[Age Band Code]]&amp;"; "&amp;S3492&amp;AS[[#This Row],[Sex Code]]</f>
        <v xml:space="preserve">Insurer Code ; Reporting Year ; Insurance Category Code ; Large Provider Entity Code ; Age Band Code ; Sex Code </v>
      </c>
      <c r="N3492" s="297" t="s">
        <v>197</v>
      </c>
      <c r="O3492" s="297" t="s">
        <v>198</v>
      </c>
      <c r="P3492" s="297" t="s">
        <v>199</v>
      </c>
      <c r="Q3492" s="297" t="s">
        <v>200</v>
      </c>
      <c r="R3492" s="297" t="s">
        <v>213</v>
      </c>
      <c r="S3492" s="297" t="s">
        <v>214</v>
      </c>
    </row>
    <row r="3493" spans="1:19" x14ac:dyDescent="0.4">
      <c r="A3493" s="291"/>
      <c r="B3493" s="292"/>
      <c r="C3493" s="312"/>
      <c r="D3493" s="292"/>
      <c r="E3493" s="489"/>
      <c r="F3493" s="489"/>
      <c r="G3493" s="490"/>
      <c r="H3493" s="520"/>
      <c r="I3493" s="523"/>
      <c r="J3493" s="521"/>
      <c r="K3493" s="522"/>
      <c r="M3493" s="301" t="str">
        <f>N3493&amp;AS[[#This Row],[Insurer Code]]&amp;"; "&amp;O3493&amp;AS[[#This Row],[Reporting Year]]&amp;"; "&amp;P3493&amp;AS[[#This Row],[Insurance Category Code]]&amp;"; "&amp;Q3493&amp;AS[[#This Row],[Large Provider Entity Code]]&amp;"; "&amp;R3493&amp;AS[[#This Row],[Age Band Code]]&amp;"; "&amp;S3493&amp;AS[[#This Row],[Sex Code]]</f>
        <v xml:space="preserve">Insurer Code ; Reporting Year ; Insurance Category Code ; Large Provider Entity Code ; Age Band Code ; Sex Code </v>
      </c>
      <c r="N3493" s="297" t="s">
        <v>197</v>
      </c>
      <c r="O3493" s="297" t="s">
        <v>198</v>
      </c>
      <c r="P3493" s="297" t="s">
        <v>199</v>
      </c>
      <c r="Q3493" s="297" t="s">
        <v>200</v>
      </c>
      <c r="R3493" s="297" t="s">
        <v>213</v>
      </c>
      <c r="S3493" s="297" t="s">
        <v>214</v>
      </c>
    </row>
    <row r="3494" spans="1:19" x14ac:dyDescent="0.4">
      <c r="A3494" s="291"/>
      <c r="B3494" s="292"/>
      <c r="C3494" s="312"/>
      <c r="D3494" s="292"/>
      <c r="E3494" s="489"/>
      <c r="F3494" s="489"/>
      <c r="G3494" s="490"/>
      <c r="H3494" s="520"/>
      <c r="I3494" s="523"/>
      <c r="J3494" s="521"/>
      <c r="K3494" s="522"/>
      <c r="M3494" s="301" t="str">
        <f>N3494&amp;AS[[#This Row],[Insurer Code]]&amp;"; "&amp;O3494&amp;AS[[#This Row],[Reporting Year]]&amp;"; "&amp;P3494&amp;AS[[#This Row],[Insurance Category Code]]&amp;"; "&amp;Q3494&amp;AS[[#This Row],[Large Provider Entity Code]]&amp;"; "&amp;R3494&amp;AS[[#This Row],[Age Band Code]]&amp;"; "&amp;S3494&amp;AS[[#This Row],[Sex Code]]</f>
        <v xml:space="preserve">Insurer Code ; Reporting Year ; Insurance Category Code ; Large Provider Entity Code ; Age Band Code ; Sex Code </v>
      </c>
      <c r="N3494" s="297" t="s">
        <v>197</v>
      </c>
      <c r="O3494" s="297" t="s">
        <v>198</v>
      </c>
      <c r="P3494" s="297" t="s">
        <v>199</v>
      </c>
      <c r="Q3494" s="297" t="s">
        <v>200</v>
      </c>
      <c r="R3494" s="297" t="s">
        <v>213</v>
      </c>
      <c r="S3494" s="297" t="s">
        <v>214</v>
      </c>
    </row>
    <row r="3495" spans="1:19" x14ac:dyDescent="0.4">
      <c r="A3495" s="291"/>
      <c r="B3495" s="292"/>
      <c r="C3495" s="312"/>
      <c r="D3495" s="292"/>
      <c r="E3495" s="489"/>
      <c r="F3495" s="489"/>
      <c r="G3495" s="490"/>
      <c r="H3495" s="520"/>
      <c r="I3495" s="523"/>
      <c r="J3495" s="521"/>
      <c r="K3495" s="522"/>
      <c r="M3495" s="301" t="str">
        <f>N3495&amp;AS[[#This Row],[Insurer Code]]&amp;"; "&amp;O3495&amp;AS[[#This Row],[Reporting Year]]&amp;"; "&amp;P3495&amp;AS[[#This Row],[Insurance Category Code]]&amp;"; "&amp;Q3495&amp;AS[[#This Row],[Large Provider Entity Code]]&amp;"; "&amp;R3495&amp;AS[[#This Row],[Age Band Code]]&amp;"; "&amp;S3495&amp;AS[[#This Row],[Sex Code]]</f>
        <v xml:space="preserve">Insurer Code ; Reporting Year ; Insurance Category Code ; Large Provider Entity Code ; Age Band Code ; Sex Code </v>
      </c>
      <c r="N3495" s="297" t="s">
        <v>197</v>
      </c>
      <c r="O3495" s="297" t="s">
        <v>198</v>
      </c>
      <c r="P3495" s="297" t="s">
        <v>199</v>
      </c>
      <c r="Q3495" s="297" t="s">
        <v>200</v>
      </c>
      <c r="R3495" s="297" t="s">
        <v>213</v>
      </c>
      <c r="S3495" s="297" t="s">
        <v>214</v>
      </c>
    </row>
    <row r="3496" spans="1:19" x14ac:dyDescent="0.4">
      <c r="A3496" s="291"/>
      <c r="B3496" s="292"/>
      <c r="C3496" s="312"/>
      <c r="D3496" s="292"/>
      <c r="E3496" s="489"/>
      <c r="F3496" s="489"/>
      <c r="G3496" s="490"/>
      <c r="H3496" s="520"/>
      <c r="I3496" s="523"/>
      <c r="J3496" s="521"/>
      <c r="K3496" s="522"/>
      <c r="M3496" s="301" t="str">
        <f>N3496&amp;AS[[#This Row],[Insurer Code]]&amp;"; "&amp;O3496&amp;AS[[#This Row],[Reporting Year]]&amp;"; "&amp;P3496&amp;AS[[#This Row],[Insurance Category Code]]&amp;"; "&amp;Q3496&amp;AS[[#This Row],[Large Provider Entity Code]]&amp;"; "&amp;R3496&amp;AS[[#This Row],[Age Band Code]]&amp;"; "&amp;S3496&amp;AS[[#This Row],[Sex Code]]</f>
        <v xml:space="preserve">Insurer Code ; Reporting Year ; Insurance Category Code ; Large Provider Entity Code ; Age Band Code ; Sex Code </v>
      </c>
      <c r="N3496" s="297" t="s">
        <v>197</v>
      </c>
      <c r="O3496" s="297" t="s">
        <v>198</v>
      </c>
      <c r="P3496" s="297" t="s">
        <v>199</v>
      </c>
      <c r="Q3496" s="297" t="s">
        <v>200</v>
      </c>
      <c r="R3496" s="297" t="s">
        <v>213</v>
      </c>
      <c r="S3496" s="297" t="s">
        <v>214</v>
      </c>
    </row>
    <row r="3497" spans="1:19" x14ac:dyDescent="0.4">
      <c r="A3497" s="291"/>
      <c r="B3497" s="292"/>
      <c r="C3497" s="312"/>
      <c r="D3497" s="292"/>
      <c r="E3497" s="489"/>
      <c r="F3497" s="489"/>
      <c r="G3497" s="490"/>
      <c r="H3497" s="520"/>
      <c r="I3497" s="523"/>
      <c r="J3497" s="521"/>
      <c r="K3497" s="522"/>
      <c r="M3497" s="301" t="str">
        <f>N3497&amp;AS[[#This Row],[Insurer Code]]&amp;"; "&amp;O3497&amp;AS[[#This Row],[Reporting Year]]&amp;"; "&amp;P3497&amp;AS[[#This Row],[Insurance Category Code]]&amp;"; "&amp;Q3497&amp;AS[[#This Row],[Large Provider Entity Code]]&amp;"; "&amp;R3497&amp;AS[[#This Row],[Age Band Code]]&amp;"; "&amp;S3497&amp;AS[[#This Row],[Sex Code]]</f>
        <v xml:space="preserve">Insurer Code ; Reporting Year ; Insurance Category Code ; Large Provider Entity Code ; Age Band Code ; Sex Code </v>
      </c>
      <c r="N3497" s="297" t="s">
        <v>197</v>
      </c>
      <c r="O3497" s="297" t="s">
        <v>198</v>
      </c>
      <c r="P3497" s="297" t="s">
        <v>199</v>
      </c>
      <c r="Q3497" s="297" t="s">
        <v>200</v>
      </c>
      <c r="R3497" s="297" t="s">
        <v>213</v>
      </c>
      <c r="S3497" s="297" t="s">
        <v>214</v>
      </c>
    </row>
    <row r="3498" spans="1:19" x14ac:dyDescent="0.4">
      <c r="A3498" s="291"/>
      <c r="B3498" s="292"/>
      <c r="C3498" s="312"/>
      <c r="D3498" s="292"/>
      <c r="E3498" s="489"/>
      <c r="F3498" s="489"/>
      <c r="G3498" s="490"/>
      <c r="H3498" s="520"/>
      <c r="I3498" s="523"/>
      <c r="J3498" s="521"/>
      <c r="K3498" s="522"/>
      <c r="M3498" s="301" t="str">
        <f>N3498&amp;AS[[#This Row],[Insurer Code]]&amp;"; "&amp;O3498&amp;AS[[#This Row],[Reporting Year]]&amp;"; "&amp;P3498&amp;AS[[#This Row],[Insurance Category Code]]&amp;"; "&amp;Q3498&amp;AS[[#This Row],[Large Provider Entity Code]]&amp;"; "&amp;R3498&amp;AS[[#This Row],[Age Band Code]]&amp;"; "&amp;S3498&amp;AS[[#This Row],[Sex Code]]</f>
        <v xml:space="preserve">Insurer Code ; Reporting Year ; Insurance Category Code ; Large Provider Entity Code ; Age Band Code ; Sex Code </v>
      </c>
      <c r="N3498" s="297" t="s">
        <v>197</v>
      </c>
      <c r="O3498" s="297" t="s">
        <v>198</v>
      </c>
      <c r="P3498" s="297" t="s">
        <v>199</v>
      </c>
      <c r="Q3498" s="297" t="s">
        <v>200</v>
      </c>
      <c r="R3498" s="297" t="s">
        <v>213</v>
      </c>
      <c r="S3498" s="297" t="s">
        <v>214</v>
      </c>
    </row>
    <row r="3499" spans="1:19" x14ac:dyDescent="0.4">
      <c r="A3499" s="291"/>
      <c r="B3499" s="292"/>
      <c r="C3499" s="312"/>
      <c r="D3499" s="292"/>
      <c r="E3499" s="489"/>
      <c r="F3499" s="489"/>
      <c r="G3499" s="490"/>
      <c r="H3499" s="520"/>
      <c r="I3499" s="523"/>
      <c r="J3499" s="521"/>
      <c r="K3499" s="522"/>
      <c r="M3499" s="301" t="str">
        <f>N3499&amp;AS[[#This Row],[Insurer Code]]&amp;"; "&amp;O3499&amp;AS[[#This Row],[Reporting Year]]&amp;"; "&amp;P3499&amp;AS[[#This Row],[Insurance Category Code]]&amp;"; "&amp;Q3499&amp;AS[[#This Row],[Large Provider Entity Code]]&amp;"; "&amp;R3499&amp;AS[[#This Row],[Age Band Code]]&amp;"; "&amp;S3499&amp;AS[[#This Row],[Sex Code]]</f>
        <v xml:space="preserve">Insurer Code ; Reporting Year ; Insurance Category Code ; Large Provider Entity Code ; Age Band Code ; Sex Code </v>
      </c>
      <c r="N3499" s="297" t="s">
        <v>197</v>
      </c>
      <c r="O3499" s="297" t="s">
        <v>198</v>
      </c>
      <c r="P3499" s="297" t="s">
        <v>199</v>
      </c>
      <c r="Q3499" s="297" t="s">
        <v>200</v>
      </c>
      <c r="R3499" s="297" t="s">
        <v>213</v>
      </c>
      <c r="S3499" s="297" t="s">
        <v>214</v>
      </c>
    </row>
    <row r="3500" spans="1:19" x14ac:dyDescent="0.4">
      <c r="A3500" s="291"/>
      <c r="B3500" s="292"/>
      <c r="C3500" s="312"/>
      <c r="D3500" s="292"/>
      <c r="E3500" s="489"/>
      <c r="F3500" s="489"/>
      <c r="G3500" s="490"/>
      <c r="H3500" s="520"/>
      <c r="I3500" s="523"/>
      <c r="J3500" s="521"/>
      <c r="K3500" s="522"/>
      <c r="M3500" s="301" t="str">
        <f>N3500&amp;AS[[#This Row],[Insurer Code]]&amp;"; "&amp;O3500&amp;AS[[#This Row],[Reporting Year]]&amp;"; "&amp;P3500&amp;AS[[#This Row],[Insurance Category Code]]&amp;"; "&amp;Q3500&amp;AS[[#This Row],[Large Provider Entity Code]]&amp;"; "&amp;R3500&amp;AS[[#This Row],[Age Band Code]]&amp;"; "&amp;S3500&amp;AS[[#This Row],[Sex Code]]</f>
        <v xml:space="preserve">Insurer Code ; Reporting Year ; Insurance Category Code ; Large Provider Entity Code ; Age Band Code ; Sex Code </v>
      </c>
      <c r="N3500" s="297" t="s">
        <v>197</v>
      </c>
      <c r="O3500" s="297" t="s">
        <v>198</v>
      </c>
      <c r="P3500" s="297" t="s">
        <v>199</v>
      </c>
      <c r="Q3500" s="297" t="s">
        <v>200</v>
      </c>
      <c r="R3500" s="297" t="s">
        <v>213</v>
      </c>
      <c r="S3500" s="297" t="s">
        <v>214</v>
      </c>
    </row>
    <row r="3501" spans="1:19" x14ac:dyDescent="0.4">
      <c r="A3501" s="291"/>
      <c r="B3501" s="292"/>
      <c r="C3501" s="312"/>
      <c r="D3501" s="292"/>
      <c r="E3501" s="489"/>
      <c r="F3501" s="489"/>
      <c r="G3501" s="490"/>
      <c r="H3501" s="520"/>
      <c r="I3501" s="523"/>
      <c r="J3501" s="521"/>
      <c r="K3501" s="522"/>
      <c r="M3501" s="301" t="str">
        <f>N3501&amp;AS[[#This Row],[Insurer Code]]&amp;"; "&amp;O3501&amp;AS[[#This Row],[Reporting Year]]&amp;"; "&amp;P3501&amp;AS[[#This Row],[Insurance Category Code]]&amp;"; "&amp;Q3501&amp;AS[[#This Row],[Large Provider Entity Code]]&amp;"; "&amp;R3501&amp;AS[[#This Row],[Age Band Code]]&amp;"; "&amp;S3501&amp;AS[[#This Row],[Sex Code]]</f>
        <v xml:space="preserve">Insurer Code ; Reporting Year ; Insurance Category Code ; Large Provider Entity Code ; Age Band Code ; Sex Code </v>
      </c>
      <c r="N3501" s="297" t="s">
        <v>197</v>
      </c>
      <c r="O3501" s="297" t="s">
        <v>198</v>
      </c>
      <c r="P3501" s="297" t="s">
        <v>199</v>
      </c>
      <c r="Q3501" s="297" t="s">
        <v>200</v>
      </c>
      <c r="R3501" s="297" t="s">
        <v>213</v>
      </c>
      <c r="S3501" s="297" t="s">
        <v>214</v>
      </c>
    </row>
    <row r="3502" spans="1:19" x14ac:dyDescent="0.4">
      <c r="A3502" s="291"/>
      <c r="B3502" s="292"/>
      <c r="C3502" s="312"/>
      <c r="D3502" s="292"/>
      <c r="E3502" s="489"/>
      <c r="F3502" s="489"/>
      <c r="G3502" s="490"/>
      <c r="H3502" s="520"/>
      <c r="I3502" s="523"/>
      <c r="J3502" s="521"/>
      <c r="K3502" s="522"/>
      <c r="M3502" s="301" t="str">
        <f>N3502&amp;AS[[#This Row],[Insurer Code]]&amp;"; "&amp;O3502&amp;AS[[#This Row],[Reporting Year]]&amp;"; "&amp;P3502&amp;AS[[#This Row],[Insurance Category Code]]&amp;"; "&amp;Q3502&amp;AS[[#This Row],[Large Provider Entity Code]]&amp;"; "&amp;R3502&amp;AS[[#This Row],[Age Band Code]]&amp;"; "&amp;S3502&amp;AS[[#This Row],[Sex Code]]</f>
        <v xml:space="preserve">Insurer Code ; Reporting Year ; Insurance Category Code ; Large Provider Entity Code ; Age Band Code ; Sex Code </v>
      </c>
      <c r="N3502" s="297" t="s">
        <v>197</v>
      </c>
      <c r="O3502" s="297" t="s">
        <v>198</v>
      </c>
      <c r="P3502" s="297" t="s">
        <v>199</v>
      </c>
      <c r="Q3502" s="297" t="s">
        <v>200</v>
      </c>
      <c r="R3502" s="297" t="s">
        <v>213</v>
      </c>
      <c r="S3502" s="297" t="s">
        <v>214</v>
      </c>
    </row>
    <row r="3503" spans="1:19" x14ac:dyDescent="0.4">
      <c r="A3503" s="291"/>
      <c r="B3503" s="292"/>
      <c r="C3503" s="312"/>
      <c r="D3503" s="292"/>
      <c r="E3503" s="489"/>
      <c r="F3503" s="489"/>
      <c r="G3503" s="490"/>
      <c r="H3503" s="520"/>
      <c r="I3503" s="523"/>
      <c r="J3503" s="521"/>
      <c r="K3503" s="522"/>
      <c r="M3503" s="301" t="str">
        <f>N3503&amp;AS[[#This Row],[Insurer Code]]&amp;"; "&amp;O3503&amp;AS[[#This Row],[Reporting Year]]&amp;"; "&amp;P3503&amp;AS[[#This Row],[Insurance Category Code]]&amp;"; "&amp;Q3503&amp;AS[[#This Row],[Large Provider Entity Code]]&amp;"; "&amp;R3503&amp;AS[[#This Row],[Age Band Code]]&amp;"; "&amp;S3503&amp;AS[[#This Row],[Sex Code]]</f>
        <v xml:space="preserve">Insurer Code ; Reporting Year ; Insurance Category Code ; Large Provider Entity Code ; Age Band Code ; Sex Code </v>
      </c>
      <c r="N3503" s="297" t="s">
        <v>197</v>
      </c>
      <c r="O3503" s="297" t="s">
        <v>198</v>
      </c>
      <c r="P3503" s="297" t="s">
        <v>199</v>
      </c>
      <c r="Q3503" s="297" t="s">
        <v>200</v>
      </c>
      <c r="R3503" s="297" t="s">
        <v>213</v>
      </c>
      <c r="S3503" s="297" t="s">
        <v>214</v>
      </c>
    </row>
    <row r="3504" spans="1:19" x14ac:dyDescent="0.4">
      <c r="A3504" s="291"/>
      <c r="B3504" s="292"/>
      <c r="C3504" s="312"/>
      <c r="D3504" s="292"/>
      <c r="E3504" s="489"/>
      <c r="F3504" s="489"/>
      <c r="G3504" s="490"/>
      <c r="H3504" s="520"/>
      <c r="I3504" s="523"/>
      <c r="J3504" s="521"/>
      <c r="K3504" s="522"/>
      <c r="M3504" s="301" t="str">
        <f>N3504&amp;AS[[#This Row],[Insurer Code]]&amp;"; "&amp;O3504&amp;AS[[#This Row],[Reporting Year]]&amp;"; "&amp;P3504&amp;AS[[#This Row],[Insurance Category Code]]&amp;"; "&amp;Q3504&amp;AS[[#This Row],[Large Provider Entity Code]]&amp;"; "&amp;R3504&amp;AS[[#This Row],[Age Band Code]]&amp;"; "&amp;S3504&amp;AS[[#This Row],[Sex Code]]</f>
        <v xml:space="preserve">Insurer Code ; Reporting Year ; Insurance Category Code ; Large Provider Entity Code ; Age Band Code ; Sex Code </v>
      </c>
      <c r="N3504" s="297" t="s">
        <v>197</v>
      </c>
      <c r="O3504" s="297" t="s">
        <v>198</v>
      </c>
      <c r="P3504" s="297" t="s">
        <v>199</v>
      </c>
      <c r="Q3504" s="297" t="s">
        <v>200</v>
      </c>
      <c r="R3504" s="297" t="s">
        <v>213</v>
      </c>
      <c r="S3504" s="297" t="s">
        <v>214</v>
      </c>
    </row>
    <row r="3505" spans="1:19" x14ac:dyDescent="0.4">
      <c r="A3505" s="291"/>
      <c r="B3505" s="292"/>
      <c r="C3505" s="312"/>
      <c r="D3505" s="292"/>
      <c r="E3505" s="489"/>
      <c r="F3505" s="489"/>
      <c r="G3505" s="490"/>
      <c r="H3505" s="520"/>
      <c r="I3505" s="523"/>
      <c r="J3505" s="521"/>
      <c r="K3505" s="522"/>
      <c r="M3505" s="301" t="str">
        <f>N3505&amp;AS[[#This Row],[Insurer Code]]&amp;"; "&amp;O3505&amp;AS[[#This Row],[Reporting Year]]&amp;"; "&amp;P3505&amp;AS[[#This Row],[Insurance Category Code]]&amp;"; "&amp;Q3505&amp;AS[[#This Row],[Large Provider Entity Code]]&amp;"; "&amp;R3505&amp;AS[[#This Row],[Age Band Code]]&amp;"; "&amp;S3505&amp;AS[[#This Row],[Sex Code]]</f>
        <v xml:space="preserve">Insurer Code ; Reporting Year ; Insurance Category Code ; Large Provider Entity Code ; Age Band Code ; Sex Code </v>
      </c>
      <c r="N3505" s="297" t="s">
        <v>197</v>
      </c>
      <c r="O3505" s="297" t="s">
        <v>198</v>
      </c>
      <c r="P3505" s="297" t="s">
        <v>199</v>
      </c>
      <c r="Q3505" s="297" t="s">
        <v>200</v>
      </c>
      <c r="R3505" s="297" t="s">
        <v>213</v>
      </c>
      <c r="S3505" s="297" t="s">
        <v>214</v>
      </c>
    </row>
    <row r="3506" spans="1:19" x14ac:dyDescent="0.4">
      <c r="A3506" s="291"/>
      <c r="B3506" s="292"/>
      <c r="C3506" s="312"/>
      <c r="D3506" s="292"/>
      <c r="E3506" s="489"/>
      <c r="F3506" s="489"/>
      <c r="G3506" s="490"/>
      <c r="H3506" s="520"/>
      <c r="I3506" s="523"/>
      <c r="J3506" s="521"/>
      <c r="K3506" s="522"/>
      <c r="M3506" s="301" t="str">
        <f>N3506&amp;AS[[#This Row],[Insurer Code]]&amp;"; "&amp;O3506&amp;AS[[#This Row],[Reporting Year]]&amp;"; "&amp;P3506&amp;AS[[#This Row],[Insurance Category Code]]&amp;"; "&amp;Q3506&amp;AS[[#This Row],[Large Provider Entity Code]]&amp;"; "&amp;R3506&amp;AS[[#This Row],[Age Band Code]]&amp;"; "&amp;S3506&amp;AS[[#This Row],[Sex Code]]</f>
        <v xml:space="preserve">Insurer Code ; Reporting Year ; Insurance Category Code ; Large Provider Entity Code ; Age Band Code ; Sex Code </v>
      </c>
      <c r="N3506" s="297" t="s">
        <v>197</v>
      </c>
      <c r="O3506" s="297" t="s">
        <v>198</v>
      </c>
      <c r="P3506" s="297" t="s">
        <v>199</v>
      </c>
      <c r="Q3506" s="297" t="s">
        <v>200</v>
      </c>
      <c r="R3506" s="297" t="s">
        <v>213</v>
      </c>
      <c r="S3506" s="297" t="s">
        <v>214</v>
      </c>
    </row>
    <row r="3507" spans="1:19" x14ac:dyDescent="0.4">
      <c r="A3507" s="291"/>
      <c r="B3507" s="292"/>
      <c r="C3507" s="312"/>
      <c r="D3507" s="292"/>
      <c r="E3507" s="489"/>
      <c r="F3507" s="489"/>
      <c r="G3507" s="490"/>
      <c r="H3507" s="520"/>
      <c r="I3507" s="523"/>
      <c r="J3507" s="521"/>
      <c r="K3507" s="522"/>
      <c r="M3507" s="301" t="str">
        <f>N3507&amp;AS[[#This Row],[Insurer Code]]&amp;"; "&amp;O3507&amp;AS[[#This Row],[Reporting Year]]&amp;"; "&amp;P3507&amp;AS[[#This Row],[Insurance Category Code]]&amp;"; "&amp;Q3507&amp;AS[[#This Row],[Large Provider Entity Code]]&amp;"; "&amp;R3507&amp;AS[[#This Row],[Age Band Code]]&amp;"; "&amp;S3507&amp;AS[[#This Row],[Sex Code]]</f>
        <v xml:space="preserve">Insurer Code ; Reporting Year ; Insurance Category Code ; Large Provider Entity Code ; Age Band Code ; Sex Code </v>
      </c>
      <c r="N3507" s="297" t="s">
        <v>197</v>
      </c>
      <c r="O3507" s="297" t="s">
        <v>198</v>
      </c>
      <c r="P3507" s="297" t="s">
        <v>199</v>
      </c>
      <c r="Q3507" s="297" t="s">
        <v>200</v>
      </c>
      <c r="R3507" s="297" t="s">
        <v>213</v>
      </c>
      <c r="S3507" s="297" t="s">
        <v>214</v>
      </c>
    </row>
    <row r="3508" spans="1:19" x14ac:dyDescent="0.4">
      <c r="A3508" s="291"/>
      <c r="B3508" s="292"/>
      <c r="C3508" s="312"/>
      <c r="D3508" s="292"/>
      <c r="E3508" s="489"/>
      <c r="F3508" s="489"/>
      <c r="G3508" s="490"/>
      <c r="H3508" s="520"/>
      <c r="I3508" s="523"/>
      <c r="J3508" s="521"/>
      <c r="K3508" s="522"/>
      <c r="M3508" s="301" t="str">
        <f>N3508&amp;AS[[#This Row],[Insurer Code]]&amp;"; "&amp;O3508&amp;AS[[#This Row],[Reporting Year]]&amp;"; "&amp;P3508&amp;AS[[#This Row],[Insurance Category Code]]&amp;"; "&amp;Q3508&amp;AS[[#This Row],[Large Provider Entity Code]]&amp;"; "&amp;R3508&amp;AS[[#This Row],[Age Band Code]]&amp;"; "&amp;S3508&amp;AS[[#This Row],[Sex Code]]</f>
        <v xml:space="preserve">Insurer Code ; Reporting Year ; Insurance Category Code ; Large Provider Entity Code ; Age Band Code ; Sex Code </v>
      </c>
      <c r="N3508" s="297" t="s">
        <v>197</v>
      </c>
      <c r="O3508" s="297" t="s">
        <v>198</v>
      </c>
      <c r="P3508" s="297" t="s">
        <v>199</v>
      </c>
      <c r="Q3508" s="297" t="s">
        <v>200</v>
      </c>
      <c r="R3508" s="297" t="s">
        <v>213</v>
      </c>
      <c r="S3508" s="297" t="s">
        <v>214</v>
      </c>
    </row>
    <row r="3509" spans="1:19" x14ac:dyDescent="0.4">
      <c r="A3509" s="291"/>
      <c r="B3509" s="292"/>
      <c r="C3509" s="312"/>
      <c r="D3509" s="292"/>
      <c r="E3509" s="489"/>
      <c r="F3509" s="489"/>
      <c r="G3509" s="490"/>
      <c r="H3509" s="520"/>
      <c r="I3509" s="523"/>
      <c r="J3509" s="521"/>
      <c r="K3509" s="522"/>
      <c r="M3509" s="301" t="str">
        <f>N3509&amp;AS[[#This Row],[Insurer Code]]&amp;"; "&amp;O3509&amp;AS[[#This Row],[Reporting Year]]&amp;"; "&amp;P3509&amp;AS[[#This Row],[Insurance Category Code]]&amp;"; "&amp;Q3509&amp;AS[[#This Row],[Large Provider Entity Code]]&amp;"; "&amp;R3509&amp;AS[[#This Row],[Age Band Code]]&amp;"; "&amp;S3509&amp;AS[[#This Row],[Sex Code]]</f>
        <v xml:space="preserve">Insurer Code ; Reporting Year ; Insurance Category Code ; Large Provider Entity Code ; Age Band Code ; Sex Code </v>
      </c>
      <c r="N3509" s="297" t="s">
        <v>197</v>
      </c>
      <c r="O3509" s="297" t="s">
        <v>198</v>
      </c>
      <c r="P3509" s="297" t="s">
        <v>199</v>
      </c>
      <c r="Q3509" s="297" t="s">
        <v>200</v>
      </c>
      <c r="R3509" s="297" t="s">
        <v>213</v>
      </c>
      <c r="S3509" s="297" t="s">
        <v>214</v>
      </c>
    </row>
    <row r="3510" spans="1:19" x14ac:dyDescent="0.4">
      <c r="A3510" s="291"/>
      <c r="B3510" s="292"/>
      <c r="C3510" s="312"/>
      <c r="D3510" s="292"/>
      <c r="E3510" s="489"/>
      <c r="F3510" s="489"/>
      <c r="G3510" s="490"/>
      <c r="H3510" s="520"/>
      <c r="I3510" s="523"/>
      <c r="J3510" s="521"/>
      <c r="K3510" s="522"/>
      <c r="M3510" s="301" t="str">
        <f>N3510&amp;AS[[#This Row],[Insurer Code]]&amp;"; "&amp;O3510&amp;AS[[#This Row],[Reporting Year]]&amp;"; "&amp;P3510&amp;AS[[#This Row],[Insurance Category Code]]&amp;"; "&amp;Q3510&amp;AS[[#This Row],[Large Provider Entity Code]]&amp;"; "&amp;R3510&amp;AS[[#This Row],[Age Band Code]]&amp;"; "&amp;S3510&amp;AS[[#This Row],[Sex Code]]</f>
        <v xml:space="preserve">Insurer Code ; Reporting Year ; Insurance Category Code ; Large Provider Entity Code ; Age Band Code ; Sex Code </v>
      </c>
      <c r="N3510" s="297" t="s">
        <v>197</v>
      </c>
      <c r="O3510" s="297" t="s">
        <v>198</v>
      </c>
      <c r="P3510" s="297" t="s">
        <v>199</v>
      </c>
      <c r="Q3510" s="297" t="s">
        <v>200</v>
      </c>
      <c r="R3510" s="297" t="s">
        <v>213</v>
      </c>
      <c r="S3510" s="297" t="s">
        <v>214</v>
      </c>
    </row>
    <row r="3511" spans="1:19" x14ac:dyDescent="0.4">
      <c r="A3511" s="291"/>
      <c r="B3511" s="292"/>
      <c r="C3511" s="312"/>
      <c r="D3511" s="292"/>
      <c r="E3511" s="489"/>
      <c r="F3511" s="489"/>
      <c r="G3511" s="490"/>
      <c r="H3511" s="520"/>
      <c r="I3511" s="523"/>
      <c r="J3511" s="521"/>
      <c r="K3511" s="522"/>
      <c r="M3511" s="301" t="str">
        <f>N3511&amp;AS[[#This Row],[Insurer Code]]&amp;"; "&amp;O3511&amp;AS[[#This Row],[Reporting Year]]&amp;"; "&amp;P3511&amp;AS[[#This Row],[Insurance Category Code]]&amp;"; "&amp;Q3511&amp;AS[[#This Row],[Large Provider Entity Code]]&amp;"; "&amp;R3511&amp;AS[[#This Row],[Age Band Code]]&amp;"; "&amp;S3511&amp;AS[[#This Row],[Sex Code]]</f>
        <v xml:space="preserve">Insurer Code ; Reporting Year ; Insurance Category Code ; Large Provider Entity Code ; Age Band Code ; Sex Code </v>
      </c>
      <c r="N3511" s="297" t="s">
        <v>197</v>
      </c>
      <c r="O3511" s="297" t="s">
        <v>198</v>
      </c>
      <c r="P3511" s="297" t="s">
        <v>199</v>
      </c>
      <c r="Q3511" s="297" t="s">
        <v>200</v>
      </c>
      <c r="R3511" s="297" t="s">
        <v>213</v>
      </c>
      <c r="S3511" s="297" t="s">
        <v>214</v>
      </c>
    </row>
    <row r="3512" spans="1:19" x14ac:dyDescent="0.4">
      <c r="A3512" s="291"/>
      <c r="B3512" s="292"/>
      <c r="C3512" s="312"/>
      <c r="D3512" s="292"/>
      <c r="E3512" s="489"/>
      <c r="F3512" s="489"/>
      <c r="G3512" s="490"/>
      <c r="H3512" s="520"/>
      <c r="I3512" s="523"/>
      <c r="J3512" s="521"/>
      <c r="K3512" s="522"/>
      <c r="M3512" s="301" t="str">
        <f>N3512&amp;AS[[#This Row],[Insurer Code]]&amp;"; "&amp;O3512&amp;AS[[#This Row],[Reporting Year]]&amp;"; "&amp;P3512&amp;AS[[#This Row],[Insurance Category Code]]&amp;"; "&amp;Q3512&amp;AS[[#This Row],[Large Provider Entity Code]]&amp;"; "&amp;R3512&amp;AS[[#This Row],[Age Band Code]]&amp;"; "&amp;S3512&amp;AS[[#This Row],[Sex Code]]</f>
        <v xml:space="preserve">Insurer Code ; Reporting Year ; Insurance Category Code ; Large Provider Entity Code ; Age Band Code ; Sex Code </v>
      </c>
      <c r="N3512" s="297" t="s">
        <v>197</v>
      </c>
      <c r="O3512" s="297" t="s">
        <v>198</v>
      </c>
      <c r="P3512" s="297" t="s">
        <v>199</v>
      </c>
      <c r="Q3512" s="297" t="s">
        <v>200</v>
      </c>
      <c r="R3512" s="297" t="s">
        <v>213</v>
      </c>
      <c r="S3512" s="297" t="s">
        <v>214</v>
      </c>
    </row>
    <row r="3513" spans="1:19" x14ac:dyDescent="0.4">
      <c r="A3513" s="291"/>
      <c r="B3513" s="292"/>
      <c r="C3513" s="312"/>
      <c r="D3513" s="292"/>
      <c r="E3513" s="489"/>
      <c r="F3513" s="489"/>
      <c r="G3513" s="490"/>
      <c r="H3513" s="520"/>
      <c r="I3513" s="523"/>
      <c r="J3513" s="521"/>
      <c r="K3513" s="522"/>
      <c r="M3513" s="301" t="str">
        <f>N3513&amp;AS[[#This Row],[Insurer Code]]&amp;"; "&amp;O3513&amp;AS[[#This Row],[Reporting Year]]&amp;"; "&amp;P3513&amp;AS[[#This Row],[Insurance Category Code]]&amp;"; "&amp;Q3513&amp;AS[[#This Row],[Large Provider Entity Code]]&amp;"; "&amp;R3513&amp;AS[[#This Row],[Age Band Code]]&amp;"; "&amp;S3513&amp;AS[[#This Row],[Sex Code]]</f>
        <v xml:space="preserve">Insurer Code ; Reporting Year ; Insurance Category Code ; Large Provider Entity Code ; Age Band Code ; Sex Code </v>
      </c>
      <c r="N3513" s="297" t="s">
        <v>197</v>
      </c>
      <c r="O3513" s="297" t="s">
        <v>198</v>
      </c>
      <c r="P3513" s="297" t="s">
        <v>199</v>
      </c>
      <c r="Q3513" s="297" t="s">
        <v>200</v>
      </c>
      <c r="R3513" s="297" t="s">
        <v>213</v>
      </c>
      <c r="S3513" s="297" t="s">
        <v>214</v>
      </c>
    </row>
    <row r="3514" spans="1:19" x14ac:dyDescent="0.4">
      <c r="A3514" s="291"/>
      <c r="B3514" s="292"/>
      <c r="C3514" s="312"/>
      <c r="D3514" s="292"/>
      <c r="E3514" s="489"/>
      <c r="F3514" s="489"/>
      <c r="G3514" s="490"/>
      <c r="H3514" s="520"/>
      <c r="I3514" s="523"/>
      <c r="J3514" s="521"/>
      <c r="K3514" s="522"/>
      <c r="M3514" s="301" t="str">
        <f>N3514&amp;AS[[#This Row],[Insurer Code]]&amp;"; "&amp;O3514&amp;AS[[#This Row],[Reporting Year]]&amp;"; "&amp;P3514&amp;AS[[#This Row],[Insurance Category Code]]&amp;"; "&amp;Q3514&amp;AS[[#This Row],[Large Provider Entity Code]]&amp;"; "&amp;R3514&amp;AS[[#This Row],[Age Band Code]]&amp;"; "&amp;S3514&amp;AS[[#This Row],[Sex Code]]</f>
        <v xml:space="preserve">Insurer Code ; Reporting Year ; Insurance Category Code ; Large Provider Entity Code ; Age Band Code ; Sex Code </v>
      </c>
      <c r="N3514" s="297" t="s">
        <v>197</v>
      </c>
      <c r="O3514" s="297" t="s">
        <v>198</v>
      </c>
      <c r="P3514" s="297" t="s">
        <v>199</v>
      </c>
      <c r="Q3514" s="297" t="s">
        <v>200</v>
      </c>
      <c r="R3514" s="297" t="s">
        <v>213</v>
      </c>
      <c r="S3514" s="297" t="s">
        <v>214</v>
      </c>
    </row>
    <row r="3515" spans="1:19" x14ac:dyDescent="0.4">
      <c r="A3515" s="291"/>
      <c r="B3515" s="292"/>
      <c r="C3515" s="312"/>
      <c r="D3515" s="292"/>
      <c r="E3515" s="489"/>
      <c r="F3515" s="489"/>
      <c r="G3515" s="490"/>
      <c r="H3515" s="520"/>
      <c r="I3515" s="523"/>
      <c r="J3515" s="521"/>
      <c r="K3515" s="522"/>
      <c r="M3515" s="301" t="str">
        <f>N3515&amp;AS[[#This Row],[Insurer Code]]&amp;"; "&amp;O3515&amp;AS[[#This Row],[Reporting Year]]&amp;"; "&amp;P3515&amp;AS[[#This Row],[Insurance Category Code]]&amp;"; "&amp;Q3515&amp;AS[[#This Row],[Large Provider Entity Code]]&amp;"; "&amp;R3515&amp;AS[[#This Row],[Age Band Code]]&amp;"; "&amp;S3515&amp;AS[[#This Row],[Sex Code]]</f>
        <v xml:space="preserve">Insurer Code ; Reporting Year ; Insurance Category Code ; Large Provider Entity Code ; Age Band Code ; Sex Code </v>
      </c>
      <c r="N3515" s="297" t="s">
        <v>197</v>
      </c>
      <c r="O3515" s="297" t="s">
        <v>198</v>
      </c>
      <c r="P3515" s="297" t="s">
        <v>199</v>
      </c>
      <c r="Q3515" s="297" t="s">
        <v>200</v>
      </c>
      <c r="R3515" s="297" t="s">
        <v>213</v>
      </c>
      <c r="S3515" s="297" t="s">
        <v>214</v>
      </c>
    </row>
    <row r="3516" spans="1:19" x14ac:dyDescent="0.4">
      <c r="A3516" s="291"/>
      <c r="B3516" s="292"/>
      <c r="C3516" s="312"/>
      <c r="D3516" s="292"/>
      <c r="E3516" s="489"/>
      <c r="F3516" s="489"/>
      <c r="G3516" s="490"/>
      <c r="H3516" s="520"/>
      <c r="I3516" s="523"/>
      <c r="J3516" s="521"/>
      <c r="K3516" s="522"/>
      <c r="M3516" s="301" t="str">
        <f>N3516&amp;AS[[#This Row],[Insurer Code]]&amp;"; "&amp;O3516&amp;AS[[#This Row],[Reporting Year]]&amp;"; "&amp;P3516&amp;AS[[#This Row],[Insurance Category Code]]&amp;"; "&amp;Q3516&amp;AS[[#This Row],[Large Provider Entity Code]]&amp;"; "&amp;R3516&amp;AS[[#This Row],[Age Band Code]]&amp;"; "&amp;S3516&amp;AS[[#This Row],[Sex Code]]</f>
        <v xml:space="preserve">Insurer Code ; Reporting Year ; Insurance Category Code ; Large Provider Entity Code ; Age Band Code ; Sex Code </v>
      </c>
      <c r="N3516" s="297" t="s">
        <v>197</v>
      </c>
      <c r="O3516" s="297" t="s">
        <v>198</v>
      </c>
      <c r="P3516" s="297" t="s">
        <v>199</v>
      </c>
      <c r="Q3516" s="297" t="s">
        <v>200</v>
      </c>
      <c r="R3516" s="297" t="s">
        <v>213</v>
      </c>
      <c r="S3516" s="297" t="s">
        <v>214</v>
      </c>
    </row>
    <row r="3517" spans="1:19" x14ac:dyDescent="0.4">
      <c r="A3517" s="291"/>
      <c r="B3517" s="292"/>
      <c r="C3517" s="312"/>
      <c r="D3517" s="292"/>
      <c r="E3517" s="489"/>
      <c r="F3517" s="489"/>
      <c r="G3517" s="490"/>
      <c r="H3517" s="520"/>
      <c r="I3517" s="523"/>
      <c r="J3517" s="521"/>
      <c r="K3517" s="522"/>
      <c r="M3517" s="301" t="str">
        <f>N3517&amp;AS[[#This Row],[Insurer Code]]&amp;"; "&amp;O3517&amp;AS[[#This Row],[Reporting Year]]&amp;"; "&amp;P3517&amp;AS[[#This Row],[Insurance Category Code]]&amp;"; "&amp;Q3517&amp;AS[[#This Row],[Large Provider Entity Code]]&amp;"; "&amp;R3517&amp;AS[[#This Row],[Age Band Code]]&amp;"; "&amp;S3517&amp;AS[[#This Row],[Sex Code]]</f>
        <v xml:space="preserve">Insurer Code ; Reporting Year ; Insurance Category Code ; Large Provider Entity Code ; Age Band Code ; Sex Code </v>
      </c>
      <c r="N3517" s="297" t="s">
        <v>197</v>
      </c>
      <c r="O3517" s="297" t="s">
        <v>198</v>
      </c>
      <c r="P3517" s="297" t="s">
        <v>199</v>
      </c>
      <c r="Q3517" s="297" t="s">
        <v>200</v>
      </c>
      <c r="R3517" s="297" t="s">
        <v>213</v>
      </c>
      <c r="S3517" s="297" t="s">
        <v>214</v>
      </c>
    </row>
    <row r="3518" spans="1:19" x14ac:dyDescent="0.4">
      <c r="A3518" s="291"/>
      <c r="B3518" s="292"/>
      <c r="C3518" s="312"/>
      <c r="D3518" s="292"/>
      <c r="E3518" s="489"/>
      <c r="F3518" s="489"/>
      <c r="G3518" s="490"/>
      <c r="H3518" s="520"/>
      <c r="I3518" s="523"/>
      <c r="J3518" s="521"/>
      <c r="K3518" s="522"/>
      <c r="M3518" s="301" t="str">
        <f>N3518&amp;AS[[#This Row],[Insurer Code]]&amp;"; "&amp;O3518&amp;AS[[#This Row],[Reporting Year]]&amp;"; "&amp;P3518&amp;AS[[#This Row],[Insurance Category Code]]&amp;"; "&amp;Q3518&amp;AS[[#This Row],[Large Provider Entity Code]]&amp;"; "&amp;R3518&amp;AS[[#This Row],[Age Band Code]]&amp;"; "&amp;S3518&amp;AS[[#This Row],[Sex Code]]</f>
        <v xml:space="preserve">Insurer Code ; Reporting Year ; Insurance Category Code ; Large Provider Entity Code ; Age Band Code ; Sex Code </v>
      </c>
      <c r="N3518" s="297" t="s">
        <v>197</v>
      </c>
      <c r="O3518" s="297" t="s">
        <v>198</v>
      </c>
      <c r="P3518" s="297" t="s">
        <v>199</v>
      </c>
      <c r="Q3518" s="297" t="s">
        <v>200</v>
      </c>
      <c r="R3518" s="297" t="s">
        <v>213</v>
      </c>
      <c r="S3518" s="297" t="s">
        <v>214</v>
      </c>
    </row>
    <row r="3519" spans="1:19" x14ac:dyDescent="0.4">
      <c r="A3519" s="291"/>
      <c r="B3519" s="292"/>
      <c r="C3519" s="312"/>
      <c r="D3519" s="292"/>
      <c r="E3519" s="489"/>
      <c r="F3519" s="489"/>
      <c r="G3519" s="490"/>
      <c r="H3519" s="520"/>
      <c r="I3519" s="523"/>
      <c r="J3519" s="521"/>
      <c r="K3519" s="522"/>
      <c r="M3519" s="301" t="str">
        <f>N3519&amp;AS[[#This Row],[Insurer Code]]&amp;"; "&amp;O3519&amp;AS[[#This Row],[Reporting Year]]&amp;"; "&amp;P3519&amp;AS[[#This Row],[Insurance Category Code]]&amp;"; "&amp;Q3519&amp;AS[[#This Row],[Large Provider Entity Code]]&amp;"; "&amp;R3519&amp;AS[[#This Row],[Age Band Code]]&amp;"; "&amp;S3519&amp;AS[[#This Row],[Sex Code]]</f>
        <v xml:space="preserve">Insurer Code ; Reporting Year ; Insurance Category Code ; Large Provider Entity Code ; Age Band Code ; Sex Code </v>
      </c>
      <c r="N3519" s="297" t="s">
        <v>197</v>
      </c>
      <c r="O3519" s="297" t="s">
        <v>198</v>
      </c>
      <c r="P3519" s="297" t="s">
        <v>199</v>
      </c>
      <c r="Q3519" s="297" t="s">
        <v>200</v>
      </c>
      <c r="R3519" s="297" t="s">
        <v>213</v>
      </c>
      <c r="S3519" s="297" t="s">
        <v>214</v>
      </c>
    </row>
    <row r="3520" spans="1:19" x14ac:dyDescent="0.4">
      <c r="A3520" s="291"/>
      <c r="B3520" s="292"/>
      <c r="C3520" s="312"/>
      <c r="D3520" s="292"/>
      <c r="E3520" s="489"/>
      <c r="F3520" s="489"/>
      <c r="G3520" s="490"/>
      <c r="H3520" s="520"/>
      <c r="I3520" s="523"/>
      <c r="J3520" s="521"/>
      <c r="K3520" s="522"/>
      <c r="M3520" s="301" t="str">
        <f>N3520&amp;AS[[#This Row],[Insurer Code]]&amp;"; "&amp;O3520&amp;AS[[#This Row],[Reporting Year]]&amp;"; "&amp;P3520&amp;AS[[#This Row],[Insurance Category Code]]&amp;"; "&amp;Q3520&amp;AS[[#This Row],[Large Provider Entity Code]]&amp;"; "&amp;R3520&amp;AS[[#This Row],[Age Band Code]]&amp;"; "&amp;S3520&amp;AS[[#This Row],[Sex Code]]</f>
        <v xml:space="preserve">Insurer Code ; Reporting Year ; Insurance Category Code ; Large Provider Entity Code ; Age Band Code ; Sex Code </v>
      </c>
      <c r="N3520" s="297" t="s">
        <v>197</v>
      </c>
      <c r="O3520" s="297" t="s">
        <v>198</v>
      </c>
      <c r="P3520" s="297" t="s">
        <v>199</v>
      </c>
      <c r="Q3520" s="297" t="s">
        <v>200</v>
      </c>
      <c r="R3520" s="297" t="s">
        <v>213</v>
      </c>
      <c r="S3520" s="297" t="s">
        <v>214</v>
      </c>
    </row>
    <row r="3521" spans="1:19" x14ac:dyDescent="0.4">
      <c r="A3521" s="291"/>
      <c r="B3521" s="292"/>
      <c r="C3521" s="312"/>
      <c r="D3521" s="292"/>
      <c r="E3521" s="489"/>
      <c r="F3521" s="489"/>
      <c r="G3521" s="490"/>
      <c r="H3521" s="520"/>
      <c r="I3521" s="523"/>
      <c r="J3521" s="521"/>
      <c r="K3521" s="522"/>
      <c r="M3521" s="301" t="str">
        <f>N3521&amp;AS[[#This Row],[Insurer Code]]&amp;"; "&amp;O3521&amp;AS[[#This Row],[Reporting Year]]&amp;"; "&amp;P3521&amp;AS[[#This Row],[Insurance Category Code]]&amp;"; "&amp;Q3521&amp;AS[[#This Row],[Large Provider Entity Code]]&amp;"; "&amp;R3521&amp;AS[[#This Row],[Age Band Code]]&amp;"; "&amp;S3521&amp;AS[[#This Row],[Sex Code]]</f>
        <v xml:space="preserve">Insurer Code ; Reporting Year ; Insurance Category Code ; Large Provider Entity Code ; Age Band Code ; Sex Code </v>
      </c>
      <c r="N3521" s="297" t="s">
        <v>197</v>
      </c>
      <c r="O3521" s="297" t="s">
        <v>198</v>
      </c>
      <c r="P3521" s="297" t="s">
        <v>199</v>
      </c>
      <c r="Q3521" s="297" t="s">
        <v>200</v>
      </c>
      <c r="R3521" s="297" t="s">
        <v>213</v>
      </c>
      <c r="S3521" s="297" t="s">
        <v>214</v>
      </c>
    </row>
    <row r="3522" spans="1:19" x14ac:dyDescent="0.4">
      <c r="A3522" s="291"/>
      <c r="B3522" s="292"/>
      <c r="C3522" s="312"/>
      <c r="D3522" s="292"/>
      <c r="E3522" s="489"/>
      <c r="F3522" s="489"/>
      <c r="G3522" s="490"/>
      <c r="H3522" s="520"/>
      <c r="I3522" s="523"/>
      <c r="J3522" s="521"/>
      <c r="K3522" s="522"/>
      <c r="M3522" s="301" t="str">
        <f>N3522&amp;AS[[#This Row],[Insurer Code]]&amp;"; "&amp;O3522&amp;AS[[#This Row],[Reporting Year]]&amp;"; "&amp;P3522&amp;AS[[#This Row],[Insurance Category Code]]&amp;"; "&amp;Q3522&amp;AS[[#This Row],[Large Provider Entity Code]]&amp;"; "&amp;R3522&amp;AS[[#This Row],[Age Band Code]]&amp;"; "&amp;S3522&amp;AS[[#This Row],[Sex Code]]</f>
        <v xml:space="preserve">Insurer Code ; Reporting Year ; Insurance Category Code ; Large Provider Entity Code ; Age Band Code ; Sex Code </v>
      </c>
      <c r="N3522" s="297" t="s">
        <v>197</v>
      </c>
      <c r="O3522" s="297" t="s">
        <v>198</v>
      </c>
      <c r="P3522" s="297" t="s">
        <v>199</v>
      </c>
      <c r="Q3522" s="297" t="s">
        <v>200</v>
      </c>
      <c r="R3522" s="297" t="s">
        <v>213</v>
      </c>
      <c r="S3522" s="297" t="s">
        <v>214</v>
      </c>
    </row>
    <row r="3523" spans="1:19" x14ac:dyDescent="0.4">
      <c r="A3523" s="291"/>
      <c r="B3523" s="292"/>
      <c r="C3523" s="312"/>
      <c r="D3523" s="292"/>
      <c r="E3523" s="489"/>
      <c r="F3523" s="489"/>
      <c r="G3523" s="490"/>
      <c r="H3523" s="520"/>
      <c r="I3523" s="523"/>
      <c r="J3523" s="521"/>
      <c r="K3523" s="522"/>
      <c r="M3523" s="301" t="str">
        <f>N3523&amp;AS[[#This Row],[Insurer Code]]&amp;"; "&amp;O3523&amp;AS[[#This Row],[Reporting Year]]&amp;"; "&amp;P3523&amp;AS[[#This Row],[Insurance Category Code]]&amp;"; "&amp;Q3523&amp;AS[[#This Row],[Large Provider Entity Code]]&amp;"; "&amp;R3523&amp;AS[[#This Row],[Age Band Code]]&amp;"; "&amp;S3523&amp;AS[[#This Row],[Sex Code]]</f>
        <v xml:space="preserve">Insurer Code ; Reporting Year ; Insurance Category Code ; Large Provider Entity Code ; Age Band Code ; Sex Code </v>
      </c>
      <c r="N3523" s="297" t="s">
        <v>197</v>
      </c>
      <c r="O3523" s="297" t="s">
        <v>198</v>
      </c>
      <c r="P3523" s="297" t="s">
        <v>199</v>
      </c>
      <c r="Q3523" s="297" t="s">
        <v>200</v>
      </c>
      <c r="R3523" s="297" t="s">
        <v>213</v>
      </c>
      <c r="S3523" s="297" t="s">
        <v>214</v>
      </c>
    </row>
    <row r="3524" spans="1:19" x14ac:dyDescent="0.4">
      <c r="A3524" s="291"/>
      <c r="B3524" s="292"/>
      <c r="C3524" s="312"/>
      <c r="D3524" s="292"/>
      <c r="E3524" s="489"/>
      <c r="F3524" s="489"/>
      <c r="G3524" s="490"/>
      <c r="H3524" s="520"/>
      <c r="I3524" s="523"/>
      <c r="J3524" s="521"/>
      <c r="K3524" s="522"/>
      <c r="M3524" s="301" t="str">
        <f>N3524&amp;AS[[#This Row],[Insurer Code]]&amp;"; "&amp;O3524&amp;AS[[#This Row],[Reporting Year]]&amp;"; "&amp;P3524&amp;AS[[#This Row],[Insurance Category Code]]&amp;"; "&amp;Q3524&amp;AS[[#This Row],[Large Provider Entity Code]]&amp;"; "&amp;R3524&amp;AS[[#This Row],[Age Band Code]]&amp;"; "&amp;S3524&amp;AS[[#This Row],[Sex Code]]</f>
        <v xml:space="preserve">Insurer Code ; Reporting Year ; Insurance Category Code ; Large Provider Entity Code ; Age Band Code ; Sex Code </v>
      </c>
      <c r="N3524" s="297" t="s">
        <v>197</v>
      </c>
      <c r="O3524" s="297" t="s">
        <v>198</v>
      </c>
      <c r="P3524" s="297" t="s">
        <v>199</v>
      </c>
      <c r="Q3524" s="297" t="s">
        <v>200</v>
      </c>
      <c r="R3524" s="297" t="s">
        <v>213</v>
      </c>
      <c r="S3524" s="297" t="s">
        <v>214</v>
      </c>
    </row>
    <row r="3525" spans="1:19" x14ac:dyDescent="0.4">
      <c r="A3525" s="291"/>
      <c r="B3525" s="292"/>
      <c r="C3525" s="312"/>
      <c r="D3525" s="292"/>
      <c r="E3525" s="489"/>
      <c r="F3525" s="489"/>
      <c r="G3525" s="490"/>
      <c r="H3525" s="520"/>
      <c r="I3525" s="523"/>
      <c r="J3525" s="521"/>
      <c r="K3525" s="522"/>
      <c r="M3525" s="301" t="str">
        <f>N3525&amp;AS[[#This Row],[Insurer Code]]&amp;"; "&amp;O3525&amp;AS[[#This Row],[Reporting Year]]&amp;"; "&amp;P3525&amp;AS[[#This Row],[Insurance Category Code]]&amp;"; "&amp;Q3525&amp;AS[[#This Row],[Large Provider Entity Code]]&amp;"; "&amp;R3525&amp;AS[[#This Row],[Age Band Code]]&amp;"; "&amp;S3525&amp;AS[[#This Row],[Sex Code]]</f>
        <v xml:space="preserve">Insurer Code ; Reporting Year ; Insurance Category Code ; Large Provider Entity Code ; Age Band Code ; Sex Code </v>
      </c>
      <c r="N3525" s="297" t="s">
        <v>197</v>
      </c>
      <c r="O3525" s="297" t="s">
        <v>198</v>
      </c>
      <c r="P3525" s="297" t="s">
        <v>199</v>
      </c>
      <c r="Q3525" s="297" t="s">
        <v>200</v>
      </c>
      <c r="R3525" s="297" t="s">
        <v>213</v>
      </c>
      <c r="S3525" s="297" t="s">
        <v>214</v>
      </c>
    </row>
    <row r="3526" spans="1:19" x14ac:dyDescent="0.4">
      <c r="A3526" s="291"/>
      <c r="B3526" s="292"/>
      <c r="C3526" s="312"/>
      <c r="D3526" s="292"/>
      <c r="E3526" s="489"/>
      <c r="F3526" s="489"/>
      <c r="G3526" s="490"/>
      <c r="H3526" s="520"/>
      <c r="I3526" s="523"/>
      <c r="J3526" s="521"/>
      <c r="K3526" s="522"/>
      <c r="M3526" s="301" t="str">
        <f>N3526&amp;AS[[#This Row],[Insurer Code]]&amp;"; "&amp;O3526&amp;AS[[#This Row],[Reporting Year]]&amp;"; "&amp;P3526&amp;AS[[#This Row],[Insurance Category Code]]&amp;"; "&amp;Q3526&amp;AS[[#This Row],[Large Provider Entity Code]]&amp;"; "&amp;R3526&amp;AS[[#This Row],[Age Band Code]]&amp;"; "&amp;S3526&amp;AS[[#This Row],[Sex Code]]</f>
        <v xml:space="preserve">Insurer Code ; Reporting Year ; Insurance Category Code ; Large Provider Entity Code ; Age Band Code ; Sex Code </v>
      </c>
      <c r="N3526" s="297" t="s">
        <v>197</v>
      </c>
      <c r="O3526" s="297" t="s">
        <v>198</v>
      </c>
      <c r="P3526" s="297" t="s">
        <v>199</v>
      </c>
      <c r="Q3526" s="297" t="s">
        <v>200</v>
      </c>
      <c r="R3526" s="297" t="s">
        <v>213</v>
      </c>
      <c r="S3526" s="297" t="s">
        <v>214</v>
      </c>
    </row>
    <row r="3527" spans="1:19" x14ac:dyDescent="0.4">
      <c r="A3527" s="291"/>
      <c r="B3527" s="292"/>
      <c r="C3527" s="312"/>
      <c r="D3527" s="292"/>
      <c r="E3527" s="489"/>
      <c r="F3527" s="489"/>
      <c r="G3527" s="490"/>
      <c r="H3527" s="520"/>
      <c r="I3527" s="523"/>
      <c r="J3527" s="521"/>
      <c r="K3527" s="522"/>
      <c r="M3527" s="301" t="str">
        <f>N3527&amp;AS[[#This Row],[Insurer Code]]&amp;"; "&amp;O3527&amp;AS[[#This Row],[Reporting Year]]&amp;"; "&amp;P3527&amp;AS[[#This Row],[Insurance Category Code]]&amp;"; "&amp;Q3527&amp;AS[[#This Row],[Large Provider Entity Code]]&amp;"; "&amp;R3527&amp;AS[[#This Row],[Age Band Code]]&amp;"; "&amp;S3527&amp;AS[[#This Row],[Sex Code]]</f>
        <v xml:space="preserve">Insurer Code ; Reporting Year ; Insurance Category Code ; Large Provider Entity Code ; Age Band Code ; Sex Code </v>
      </c>
      <c r="N3527" s="297" t="s">
        <v>197</v>
      </c>
      <c r="O3527" s="297" t="s">
        <v>198</v>
      </c>
      <c r="P3527" s="297" t="s">
        <v>199</v>
      </c>
      <c r="Q3527" s="297" t="s">
        <v>200</v>
      </c>
      <c r="R3527" s="297" t="s">
        <v>213</v>
      </c>
      <c r="S3527" s="297" t="s">
        <v>214</v>
      </c>
    </row>
    <row r="3528" spans="1:19" x14ac:dyDescent="0.4">
      <c r="A3528" s="291"/>
      <c r="B3528" s="292"/>
      <c r="C3528" s="312"/>
      <c r="D3528" s="292"/>
      <c r="E3528" s="489"/>
      <c r="F3528" s="489"/>
      <c r="G3528" s="490"/>
      <c r="H3528" s="520"/>
      <c r="I3528" s="523"/>
      <c r="J3528" s="521"/>
      <c r="K3528" s="522"/>
      <c r="M3528" s="301" t="str">
        <f>N3528&amp;AS[[#This Row],[Insurer Code]]&amp;"; "&amp;O3528&amp;AS[[#This Row],[Reporting Year]]&amp;"; "&amp;P3528&amp;AS[[#This Row],[Insurance Category Code]]&amp;"; "&amp;Q3528&amp;AS[[#This Row],[Large Provider Entity Code]]&amp;"; "&amp;R3528&amp;AS[[#This Row],[Age Band Code]]&amp;"; "&amp;S3528&amp;AS[[#This Row],[Sex Code]]</f>
        <v xml:space="preserve">Insurer Code ; Reporting Year ; Insurance Category Code ; Large Provider Entity Code ; Age Band Code ; Sex Code </v>
      </c>
      <c r="N3528" s="297" t="s">
        <v>197</v>
      </c>
      <c r="O3528" s="297" t="s">
        <v>198</v>
      </c>
      <c r="P3528" s="297" t="s">
        <v>199</v>
      </c>
      <c r="Q3528" s="297" t="s">
        <v>200</v>
      </c>
      <c r="R3528" s="297" t="s">
        <v>213</v>
      </c>
      <c r="S3528" s="297" t="s">
        <v>214</v>
      </c>
    </row>
    <row r="3529" spans="1:19" x14ac:dyDescent="0.4">
      <c r="A3529" s="291"/>
      <c r="B3529" s="292"/>
      <c r="C3529" s="312"/>
      <c r="D3529" s="292"/>
      <c r="E3529" s="489"/>
      <c r="F3529" s="489"/>
      <c r="G3529" s="490"/>
      <c r="H3529" s="520"/>
      <c r="I3529" s="523"/>
      <c r="J3529" s="521"/>
      <c r="K3529" s="522"/>
      <c r="M3529" s="301" t="str">
        <f>N3529&amp;AS[[#This Row],[Insurer Code]]&amp;"; "&amp;O3529&amp;AS[[#This Row],[Reporting Year]]&amp;"; "&amp;P3529&amp;AS[[#This Row],[Insurance Category Code]]&amp;"; "&amp;Q3529&amp;AS[[#This Row],[Large Provider Entity Code]]&amp;"; "&amp;R3529&amp;AS[[#This Row],[Age Band Code]]&amp;"; "&amp;S3529&amp;AS[[#This Row],[Sex Code]]</f>
        <v xml:space="preserve">Insurer Code ; Reporting Year ; Insurance Category Code ; Large Provider Entity Code ; Age Band Code ; Sex Code </v>
      </c>
      <c r="N3529" s="297" t="s">
        <v>197</v>
      </c>
      <c r="O3529" s="297" t="s">
        <v>198</v>
      </c>
      <c r="P3529" s="297" t="s">
        <v>199</v>
      </c>
      <c r="Q3529" s="297" t="s">
        <v>200</v>
      </c>
      <c r="R3529" s="297" t="s">
        <v>213</v>
      </c>
      <c r="S3529" s="297" t="s">
        <v>214</v>
      </c>
    </row>
    <row r="3530" spans="1:19" x14ac:dyDescent="0.4">
      <c r="A3530" s="291"/>
      <c r="B3530" s="292"/>
      <c r="C3530" s="312"/>
      <c r="D3530" s="292"/>
      <c r="E3530" s="489"/>
      <c r="F3530" s="489"/>
      <c r="G3530" s="490"/>
      <c r="H3530" s="520"/>
      <c r="I3530" s="523"/>
      <c r="J3530" s="521"/>
      <c r="K3530" s="522"/>
      <c r="M3530" s="301" t="str">
        <f>N3530&amp;AS[[#This Row],[Insurer Code]]&amp;"; "&amp;O3530&amp;AS[[#This Row],[Reporting Year]]&amp;"; "&amp;P3530&amp;AS[[#This Row],[Insurance Category Code]]&amp;"; "&amp;Q3530&amp;AS[[#This Row],[Large Provider Entity Code]]&amp;"; "&amp;R3530&amp;AS[[#This Row],[Age Band Code]]&amp;"; "&amp;S3530&amp;AS[[#This Row],[Sex Code]]</f>
        <v xml:space="preserve">Insurer Code ; Reporting Year ; Insurance Category Code ; Large Provider Entity Code ; Age Band Code ; Sex Code </v>
      </c>
      <c r="N3530" s="297" t="s">
        <v>197</v>
      </c>
      <c r="O3530" s="297" t="s">
        <v>198</v>
      </c>
      <c r="P3530" s="297" t="s">
        <v>199</v>
      </c>
      <c r="Q3530" s="297" t="s">
        <v>200</v>
      </c>
      <c r="R3530" s="297" t="s">
        <v>213</v>
      </c>
      <c r="S3530" s="297" t="s">
        <v>214</v>
      </c>
    </row>
    <row r="3531" spans="1:19" x14ac:dyDescent="0.4">
      <c r="A3531" s="291"/>
      <c r="B3531" s="292"/>
      <c r="C3531" s="312"/>
      <c r="D3531" s="292"/>
      <c r="E3531" s="489"/>
      <c r="F3531" s="489"/>
      <c r="G3531" s="490"/>
      <c r="H3531" s="520"/>
      <c r="I3531" s="523"/>
      <c r="J3531" s="521"/>
      <c r="K3531" s="522"/>
      <c r="M3531" s="301" t="str">
        <f>N3531&amp;AS[[#This Row],[Insurer Code]]&amp;"; "&amp;O3531&amp;AS[[#This Row],[Reporting Year]]&amp;"; "&amp;P3531&amp;AS[[#This Row],[Insurance Category Code]]&amp;"; "&amp;Q3531&amp;AS[[#This Row],[Large Provider Entity Code]]&amp;"; "&amp;R3531&amp;AS[[#This Row],[Age Band Code]]&amp;"; "&amp;S3531&amp;AS[[#This Row],[Sex Code]]</f>
        <v xml:space="preserve">Insurer Code ; Reporting Year ; Insurance Category Code ; Large Provider Entity Code ; Age Band Code ; Sex Code </v>
      </c>
      <c r="N3531" s="297" t="s">
        <v>197</v>
      </c>
      <c r="O3531" s="297" t="s">
        <v>198</v>
      </c>
      <c r="P3531" s="297" t="s">
        <v>199</v>
      </c>
      <c r="Q3531" s="297" t="s">
        <v>200</v>
      </c>
      <c r="R3531" s="297" t="s">
        <v>213</v>
      </c>
      <c r="S3531" s="297" t="s">
        <v>214</v>
      </c>
    </row>
    <row r="3532" spans="1:19" x14ac:dyDescent="0.4">
      <c r="A3532" s="291"/>
      <c r="B3532" s="292"/>
      <c r="C3532" s="312"/>
      <c r="D3532" s="292"/>
      <c r="E3532" s="489"/>
      <c r="F3532" s="489"/>
      <c r="G3532" s="490"/>
      <c r="H3532" s="520"/>
      <c r="I3532" s="523"/>
      <c r="J3532" s="521"/>
      <c r="K3532" s="522"/>
      <c r="M3532" s="301" t="str">
        <f>N3532&amp;AS[[#This Row],[Insurer Code]]&amp;"; "&amp;O3532&amp;AS[[#This Row],[Reporting Year]]&amp;"; "&amp;P3532&amp;AS[[#This Row],[Insurance Category Code]]&amp;"; "&amp;Q3532&amp;AS[[#This Row],[Large Provider Entity Code]]&amp;"; "&amp;R3532&amp;AS[[#This Row],[Age Band Code]]&amp;"; "&amp;S3532&amp;AS[[#This Row],[Sex Code]]</f>
        <v xml:space="preserve">Insurer Code ; Reporting Year ; Insurance Category Code ; Large Provider Entity Code ; Age Band Code ; Sex Code </v>
      </c>
      <c r="N3532" s="297" t="s">
        <v>197</v>
      </c>
      <c r="O3532" s="297" t="s">
        <v>198</v>
      </c>
      <c r="P3532" s="297" t="s">
        <v>199</v>
      </c>
      <c r="Q3532" s="297" t="s">
        <v>200</v>
      </c>
      <c r="R3532" s="297" t="s">
        <v>213</v>
      </c>
      <c r="S3532" s="297" t="s">
        <v>214</v>
      </c>
    </row>
    <row r="3533" spans="1:19" x14ac:dyDescent="0.4">
      <c r="A3533" s="291"/>
      <c r="B3533" s="292"/>
      <c r="C3533" s="312"/>
      <c r="D3533" s="292"/>
      <c r="E3533" s="489"/>
      <c r="F3533" s="489"/>
      <c r="G3533" s="490"/>
      <c r="H3533" s="520"/>
      <c r="I3533" s="523"/>
      <c r="J3533" s="521"/>
      <c r="K3533" s="522"/>
      <c r="M3533" s="301" t="str">
        <f>N3533&amp;AS[[#This Row],[Insurer Code]]&amp;"; "&amp;O3533&amp;AS[[#This Row],[Reporting Year]]&amp;"; "&amp;P3533&amp;AS[[#This Row],[Insurance Category Code]]&amp;"; "&amp;Q3533&amp;AS[[#This Row],[Large Provider Entity Code]]&amp;"; "&amp;R3533&amp;AS[[#This Row],[Age Band Code]]&amp;"; "&amp;S3533&amp;AS[[#This Row],[Sex Code]]</f>
        <v xml:space="preserve">Insurer Code ; Reporting Year ; Insurance Category Code ; Large Provider Entity Code ; Age Band Code ; Sex Code </v>
      </c>
      <c r="N3533" s="297" t="s">
        <v>197</v>
      </c>
      <c r="O3533" s="297" t="s">
        <v>198</v>
      </c>
      <c r="P3533" s="297" t="s">
        <v>199</v>
      </c>
      <c r="Q3533" s="297" t="s">
        <v>200</v>
      </c>
      <c r="R3533" s="297" t="s">
        <v>213</v>
      </c>
      <c r="S3533" s="297" t="s">
        <v>214</v>
      </c>
    </row>
    <row r="3534" spans="1:19" x14ac:dyDescent="0.4">
      <c r="A3534" s="291"/>
      <c r="B3534" s="292"/>
      <c r="C3534" s="312"/>
      <c r="D3534" s="292"/>
      <c r="E3534" s="489"/>
      <c r="F3534" s="489"/>
      <c r="G3534" s="490"/>
      <c r="H3534" s="520"/>
      <c r="I3534" s="523"/>
      <c r="J3534" s="521"/>
      <c r="K3534" s="522"/>
      <c r="M3534" s="301" t="str">
        <f>N3534&amp;AS[[#This Row],[Insurer Code]]&amp;"; "&amp;O3534&amp;AS[[#This Row],[Reporting Year]]&amp;"; "&amp;P3534&amp;AS[[#This Row],[Insurance Category Code]]&amp;"; "&amp;Q3534&amp;AS[[#This Row],[Large Provider Entity Code]]&amp;"; "&amp;R3534&amp;AS[[#This Row],[Age Band Code]]&amp;"; "&amp;S3534&amp;AS[[#This Row],[Sex Code]]</f>
        <v xml:space="preserve">Insurer Code ; Reporting Year ; Insurance Category Code ; Large Provider Entity Code ; Age Band Code ; Sex Code </v>
      </c>
      <c r="N3534" s="297" t="s">
        <v>197</v>
      </c>
      <c r="O3534" s="297" t="s">
        <v>198</v>
      </c>
      <c r="P3534" s="297" t="s">
        <v>199</v>
      </c>
      <c r="Q3534" s="297" t="s">
        <v>200</v>
      </c>
      <c r="R3534" s="297" t="s">
        <v>213</v>
      </c>
      <c r="S3534" s="297" t="s">
        <v>214</v>
      </c>
    </row>
    <row r="3535" spans="1:19" x14ac:dyDescent="0.4">
      <c r="A3535" s="291"/>
      <c r="B3535" s="292"/>
      <c r="C3535" s="312"/>
      <c r="D3535" s="292"/>
      <c r="E3535" s="489"/>
      <c r="F3535" s="489"/>
      <c r="G3535" s="490"/>
      <c r="H3535" s="520"/>
      <c r="I3535" s="523"/>
      <c r="J3535" s="521"/>
      <c r="K3535" s="522"/>
      <c r="M3535" s="301" t="str">
        <f>N3535&amp;AS[[#This Row],[Insurer Code]]&amp;"; "&amp;O3535&amp;AS[[#This Row],[Reporting Year]]&amp;"; "&amp;P3535&amp;AS[[#This Row],[Insurance Category Code]]&amp;"; "&amp;Q3535&amp;AS[[#This Row],[Large Provider Entity Code]]&amp;"; "&amp;R3535&amp;AS[[#This Row],[Age Band Code]]&amp;"; "&amp;S3535&amp;AS[[#This Row],[Sex Code]]</f>
        <v xml:space="preserve">Insurer Code ; Reporting Year ; Insurance Category Code ; Large Provider Entity Code ; Age Band Code ; Sex Code </v>
      </c>
      <c r="N3535" s="297" t="s">
        <v>197</v>
      </c>
      <c r="O3535" s="297" t="s">
        <v>198</v>
      </c>
      <c r="P3535" s="297" t="s">
        <v>199</v>
      </c>
      <c r="Q3535" s="297" t="s">
        <v>200</v>
      </c>
      <c r="R3535" s="297" t="s">
        <v>213</v>
      </c>
      <c r="S3535" s="297" t="s">
        <v>214</v>
      </c>
    </row>
    <row r="3536" spans="1:19" x14ac:dyDescent="0.4">
      <c r="A3536" s="291"/>
      <c r="B3536" s="292"/>
      <c r="C3536" s="312"/>
      <c r="D3536" s="292"/>
      <c r="E3536" s="489"/>
      <c r="F3536" s="489"/>
      <c r="G3536" s="490"/>
      <c r="H3536" s="520"/>
      <c r="I3536" s="523"/>
      <c r="J3536" s="521"/>
      <c r="K3536" s="522"/>
      <c r="M3536" s="301" t="str">
        <f>N3536&amp;AS[[#This Row],[Insurer Code]]&amp;"; "&amp;O3536&amp;AS[[#This Row],[Reporting Year]]&amp;"; "&amp;P3536&amp;AS[[#This Row],[Insurance Category Code]]&amp;"; "&amp;Q3536&amp;AS[[#This Row],[Large Provider Entity Code]]&amp;"; "&amp;R3536&amp;AS[[#This Row],[Age Band Code]]&amp;"; "&amp;S3536&amp;AS[[#This Row],[Sex Code]]</f>
        <v xml:space="preserve">Insurer Code ; Reporting Year ; Insurance Category Code ; Large Provider Entity Code ; Age Band Code ; Sex Code </v>
      </c>
      <c r="N3536" s="297" t="s">
        <v>197</v>
      </c>
      <c r="O3536" s="297" t="s">
        <v>198</v>
      </c>
      <c r="P3536" s="297" t="s">
        <v>199</v>
      </c>
      <c r="Q3536" s="297" t="s">
        <v>200</v>
      </c>
      <c r="R3536" s="297" t="s">
        <v>213</v>
      </c>
      <c r="S3536" s="297" t="s">
        <v>214</v>
      </c>
    </row>
    <row r="3537" spans="1:19" x14ac:dyDescent="0.4">
      <c r="A3537" s="291"/>
      <c r="B3537" s="292"/>
      <c r="C3537" s="312"/>
      <c r="D3537" s="292"/>
      <c r="E3537" s="489"/>
      <c r="F3537" s="489"/>
      <c r="G3537" s="490"/>
      <c r="H3537" s="520"/>
      <c r="I3537" s="523"/>
      <c r="J3537" s="521"/>
      <c r="K3537" s="522"/>
      <c r="M3537" s="301" t="str">
        <f>N3537&amp;AS[[#This Row],[Insurer Code]]&amp;"; "&amp;O3537&amp;AS[[#This Row],[Reporting Year]]&amp;"; "&amp;P3537&amp;AS[[#This Row],[Insurance Category Code]]&amp;"; "&amp;Q3537&amp;AS[[#This Row],[Large Provider Entity Code]]&amp;"; "&amp;R3537&amp;AS[[#This Row],[Age Band Code]]&amp;"; "&amp;S3537&amp;AS[[#This Row],[Sex Code]]</f>
        <v xml:space="preserve">Insurer Code ; Reporting Year ; Insurance Category Code ; Large Provider Entity Code ; Age Band Code ; Sex Code </v>
      </c>
      <c r="N3537" s="297" t="s">
        <v>197</v>
      </c>
      <c r="O3537" s="297" t="s">
        <v>198</v>
      </c>
      <c r="P3537" s="297" t="s">
        <v>199</v>
      </c>
      <c r="Q3537" s="297" t="s">
        <v>200</v>
      </c>
      <c r="R3537" s="297" t="s">
        <v>213</v>
      </c>
      <c r="S3537" s="297" t="s">
        <v>214</v>
      </c>
    </row>
    <row r="3538" spans="1:19" x14ac:dyDescent="0.4">
      <c r="A3538" s="291"/>
      <c r="B3538" s="292"/>
      <c r="C3538" s="312"/>
      <c r="D3538" s="292"/>
      <c r="E3538" s="489"/>
      <c r="F3538" s="489"/>
      <c r="G3538" s="490"/>
      <c r="H3538" s="520"/>
      <c r="I3538" s="523"/>
      <c r="J3538" s="521"/>
      <c r="K3538" s="522"/>
      <c r="M3538" s="301" t="str">
        <f>N3538&amp;AS[[#This Row],[Insurer Code]]&amp;"; "&amp;O3538&amp;AS[[#This Row],[Reporting Year]]&amp;"; "&amp;P3538&amp;AS[[#This Row],[Insurance Category Code]]&amp;"; "&amp;Q3538&amp;AS[[#This Row],[Large Provider Entity Code]]&amp;"; "&amp;R3538&amp;AS[[#This Row],[Age Band Code]]&amp;"; "&amp;S3538&amp;AS[[#This Row],[Sex Code]]</f>
        <v xml:space="preserve">Insurer Code ; Reporting Year ; Insurance Category Code ; Large Provider Entity Code ; Age Band Code ; Sex Code </v>
      </c>
      <c r="N3538" s="297" t="s">
        <v>197</v>
      </c>
      <c r="O3538" s="297" t="s">
        <v>198</v>
      </c>
      <c r="P3538" s="297" t="s">
        <v>199</v>
      </c>
      <c r="Q3538" s="297" t="s">
        <v>200</v>
      </c>
      <c r="R3538" s="297" t="s">
        <v>213</v>
      </c>
      <c r="S3538" s="297" t="s">
        <v>214</v>
      </c>
    </row>
    <row r="3539" spans="1:19" x14ac:dyDescent="0.4">
      <c r="A3539" s="291"/>
      <c r="B3539" s="292"/>
      <c r="C3539" s="312"/>
      <c r="D3539" s="292"/>
      <c r="E3539" s="489"/>
      <c r="F3539" s="489"/>
      <c r="G3539" s="490"/>
      <c r="H3539" s="520"/>
      <c r="I3539" s="523"/>
      <c r="J3539" s="521"/>
      <c r="K3539" s="522"/>
      <c r="M3539" s="301" t="str">
        <f>N3539&amp;AS[[#This Row],[Insurer Code]]&amp;"; "&amp;O3539&amp;AS[[#This Row],[Reporting Year]]&amp;"; "&amp;P3539&amp;AS[[#This Row],[Insurance Category Code]]&amp;"; "&amp;Q3539&amp;AS[[#This Row],[Large Provider Entity Code]]&amp;"; "&amp;R3539&amp;AS[[#This Row],[Age Band Code]]&amp;"; "&amp;S3539&amp;AS[[#This Row],[Sex Code]]</f>
        <v xml:space="preserve">Insurer Code ; Reporting Year ; Insurance Category Code ; Large Provider Entity Code ; Age Band Code ; Sex Code </v>
      </c>
      <c r="N3539" s="297" t="s">
        <v>197</v>
      </c>
      <c r="O3539" s="297" t="s">
        <v>198</v>
      </c>
      <c r="P3539" s="297" t="s">
        <v>199</v>
      </c>
      <c r="Q3539" s="297" t="s">
        <v>200</v>
      </c>
      <c r="R3539" s="297" t="s">
        <v>213</v>
      </c>
      <c r="S3539" s="297" t="s">
        <v>214</v>
      </c>
    </row>
    <row r="3540" spans="1:19" x14ac:dyDescent="0.4">
      <c r="A3540" s="291"/>
      <c r="B3540" s="292"/>
      <c r="C3540" s="312"/>
      <c r="D3540" s="292"/>
      <c r="E3540" s="489"/>
      <c r="F3540" s="489"/>
      <c r="G3540" s="490"/>
      <c r="H3540" s="520"/>
      <c r="I3540" s="523"/>
      <c r="J3540" s="521"/>
      <c r="K3540" s="522"/>
      <c r="M3540" s="301" t="str">
        <f>N3540&amp;AS[[#This Row],[Insurer Code]]&amp;"; "&amp;O3540&amp;AS[[#This Row],[Reporting Year]]&amp;"; "&amp;P3540&amp;AS[[#This Row],[Insurance Category Code]]&amp;"; "&amp;Q3540&amp;AS[[#This Row],[Large Provider Entity Code]]&amp;"; "&amp;R3540&amp;AS[[#This Row],[Age Band Code]]&amp;"; "&amp;S3540&amp;AS[[#This Row],[Sex Code]]</f>
        <v xml:space="preserve">Insurer Code ; Reporting Year ; Insurance Category Code ; Large Provider Entity Code ; Age Band Code ; Sex Code </v>
      </c>
      <c r="N3540" s="297" t="s">
        <v>197</v>
      </c>
      <c r="O3540" s="297" t="s">
        <v>198</v>
      </c>
      <c r="P3540" s="297" t="s">
        <v>199</v>
      </c>
      <c r="Q3540" s="297" t="s">
        <v>200</v>
      </c>
      <c r="R3540" s="297" t="s">
        <v>213</v>
      </c>
      <c r="S3540" s="297" t="s">
        <v>214</v>
      </c>
    </row>
    <row r="3541" spans="1:19" x14ac:dyDescent="0.4">
      <c r="A3541" s="291"/>
      <c r="B3541" s="292"/>
      <c r="C3541" s="312"/>
      <c r="D3541" s="292"/>
      <c r="E3541" s="489"/>
      <c r="F3541" s="489"/>
      <c r="G3541" s="490"/>
      <c r="H3541" s="520"/>
      <c r="I3541" s="523"/>
      <c r="J3541" s="521"/>
      <c r="K3541" s="522"/>
      <c r="M3541" s="301" t="str">
        <f>N3541&amp;AS[[#This Row],[Insurer Code]]&amp;"; "&amp;O3541&amp;AS[[#This Row],[Reporting Year]]&amp;"; "&amp;P3541&amp;AS[[#This Row],[Insurance Category Code]]&amp;"; "&amp;Q3541&amp;AS[[#This Row],[Large Provider Entity Code]]&amp;"; "&amp;R3541&amp;AS[[#This Row],[Age Band Code]]&amp;"; "&amp;S3541&amp;AS[[#This Row],[Sex Code]]</f>
        <v xml:space="preserve">Insurer Code ; Reporting Year ; Insurance Category Code ; Large Provider Entity Code ; Age Band Code ; Sex Code </v>
      </c>
      <c r="N3541" s="297" t="s">
        <v>197</v>
      </c>
      <c r="O3541" s="297" t="s">
        <v>198</v>
      </c>
      <c r="P3541" s="297" t="s">
        <v>199</v>
      </c>
      <c r="Q3541" s="297" t="s">
        <v>200</v>
      </c>
      <c r="R3541" s="297" t="s">
        <v>213</v>
      </c>
      <c r="S3541" s="297" t="s">
        <v>214</v>
      </c>
    </row>
    <row r="3542" spans="1:19" x14ac:dyDescent="0.4">
      <c r="A3542" s="291"/>
      <c r="B3542" s="292"/>
      <c r="C3542" s="312"/>
      <c r="D3542" s="292"/>
      <c r="E3542" s="489"/>
      <c r="F3542" s="489"/>
      <c r="G3542" s="490"/>
      <c r="H3542" s="520"/>
      <c r="I3542" s="523"/>
      <c r="J3542" s="521"/>
      <c r="K3542" s="522"/>
      <c r="M3542" s="301" t="str">
        <f>N3542&amp;AS[[#This Row],[Insurer Code]]&amp;"; "&amp;O3542&amp;AS[[#This Row],[Reporting Year]]&amp;"; "&amp;P3542&amp;AS[[#This Row],[Insurance Category Code]]&amp;"; "&amp;Q3542&amp;AS[[#This Row],[Large Provider Entity Code]]&amp;"; "&amp;R3542&amp;AS[[#This Row],[Age Band Code]]&amp;"; "&amp;S3542&amp;AS[[#This Row],[Sex Code]]</f>
        <v xml:space="preserve">Insurer Code ; Reporting Year ; Insurance Category Code ; Large Provider Entity Code ; Age Band Code ; Sex Code </v>
      </c>
      <c r="N3542" s="297" t="s">
        <v>197</v>
      </c>
      <c r="O3542" s="297" t="s">
        <v>198</v>
      </c>
      <c r="P3542" s="297" t="s">
        <v>199</v>
      </c>
      <c r="Q3542" s="297" t="s">
        <v>200</v>
      </c>
      <c r="R3542" s="297" t="s">
        <v>213</v>
      </c>
      <c r="S3542" s="297" t="s">
        <v>214</v>
      </c>
    </row>
    <row r="3543" spans="1:19" x14ac:dyDescent="0.4">
      <c r="A3543" s="291"/>
      <c r="B3543" s="292"/>
      <c r="C3543" s="312"/>
      <c r="D3543" s="292"/>
      <c r="E3543" s="489"/>
      <c r="F3543" s="489"/>
      <c r="G3543" s="490"/>
      <c r="H3543" s="520"/>
      <c r="I3543" s="523"/>
      <c r="J3543" s="521"/>
      <c r="K3543" s="522"/>
      <c r="M3543" s="301" t="str">
        <f>N3543&amp;AS[[#This Row],[Insurer Code]]&amp;"; "&amp;O3543&amp;AS[[#This Row],[Reporting Year]]&amp;"; "&amp;P3543&amp;AS[[#This Row],[Insurance Category Code]]&amp;"; "&amp;Q3543&amp;AS[[#This Row],[Large Provider Entity Code]]&amp;"; "&amp;R3543&amp;AS[[#This Row],[Age Band Code]]&amp;"; "&amp;S3543&amp;AS[[#This Row],[Sex Code]]</f>
        <v xml:space="preserve">Insurer Code ; Reporting Year ; Insurance Category Code ; Large Provider Entity Code ; Age Band Code ; Sex Code </v>
      </c>
      <c r="N3543" s="297" t="s">
        <v>197</v>
      </c>
      <c r="O3543" s="297" t="s">
        <v>198</v>
      </c>
      <c r="P3543" s="297" t="s">
        <v>199</v>
      </c>
      <c r="Q3543" s="297" t="s">
        <v>200</v>
      </c>
      <c r="R3543" s="297" t="s">
        <v>213</v>
      </c>
      <c r="S3543" s="297" t="s">
        <v>214</v>
      </c>
    </row>
    <row r="3544" spans="1:19" x14ac:dyDescent="0.4">
      <c r="A3544" s="291"/>
      <c r="B3544" s="292"/>
      <c r="C3544" s="312"/>
      <c r="D3544" s="292"/>
      <c r="E3544" s="489"/>
      <c r="F3544" s="489"/>
      <c r="G3544" s="490"/>
      <c r="H3544" s="520"/>
      <c r="I3544" s="523"/>
      <c r="J3544" s="521"/>
      <c r="K3544" s="522"/>
      <c r="M3544" s="301" t="str">
        <f>N3544&amp;AS[[#This Row],[Insurer Code]]&amp;"; "&amp;O3544&amp;AS[[#This Row],[Reporting Year]]&amp;"; "&amp;P3544&amp;AS[[#This Row],[Insurance Category Code]]&amp;"; "&amp;Q3544&amp;AS[[#This Row],[Large Provider Entity Code]]&amp;"; "&amp;R3544&amp;AS[[#This Row],[Age Band Code]]&amp;"; "&amp;S3544&amp;AS[[#This Row],[Sex Code]]</f>
        <v xml:space="preserve">Insurer Code ; Reporting Year ; Insurance Category Code ; Large Provider Entity Code ; Age Band Code ; Sex Code </v>
      </c>
      <c r="N3544" s="297" t="s">
        <v>197</v>
      </c>
      <c r="O3544" s="297" t="s">
        <v>198</v>
      </c>
      <c r="P3544" s="297" t="s">
        <v>199</v>
      </c>
      <c r="Q3544" s="297" t="s">
        <v>200</v>
      </c>
      <c r="R3544" s="297" t="s">
        <v>213</v>
      </c>
      <c r="S3544" s="297" t="s">
        <v>214</v>
      </c>
    </row>
    <row r="3545" spans="1:19" x14ac:dyDescent="0.4">
      <c r="A3545" s="291"/>
      <c r="B3545" s="292"/>
      <c r="C3545" s="312"/>
      <c r="D3545" s="292"/>
      <c r="E3545" s="489"/>
      <c r="F3545" s="489"/>
      <c r="G3545" s="490"/>
      <c r="H3545" s="520"/>
      <c r="I3545" s="523"/>
      <c r="J3545" s="521"/>
      <c r="K3545" s="522"/>
      <c r="M3545" s="301" t="str">
        <f>N3545&amp;AS[[#This Row],[Insurer Code]]&amp;"; "&amp;O3545&amp;AS[[#This Row],[Reporting Year]]&amp;"; "&amp;P3545&amp;AS[[#This Row],[Insurance Category Code]]&amp;"; "&amp;Q3545&amp;AS[[#This Row],[Large Provider Entity Code]]&amp;"; "&amp;R3545&amp;AS[[#This Row],[Age Band Code]]&amp;"; "&amp;S3545&amp;AS[[#This Row],[Sex Code]]</f>
        <v xml:space="preserve">Insurer Code ; Reporting Year ; Insurance Category Code ; Large Provider Entity Code ; Age Band Code ; Sex Code </v>
      </c>
      <c r="N3545" s="297" t="s">
        <v>197</v>
      </c>
      <c r="O3545" s="297" t="s">
        <v>198</v>
      </c>
      <c r="P3545" s="297" t="s">
        <v>199</v>
      </c>
      <c r="Q3545" s="297" t="s">
        <v>200</v>
      </c>
      <c r="R3545" s="297" t="s">
        <v>213</v>
      </c>
      <c r="S3545" s="297" t="s">
        <v>214</v>
      </c>
    </row>
    <row r="3546" spans="1:19" x14ac:dyDescent="0.4">
      <c r="A3546" s="291"/>
      <c r="B3546" s="292"/>
      <c r="C3546" s="312"/>
      <c r="D3546" s="292"/>
      <c r="E3546" s="489"/>
      <c r="F3546" s="489"/>
      <c r="G3546" s="490"/>
      <c r="H3546" s="520"/>
      <c r="I3546" s="523"/>
      <c r="J3546" s="521"/>
      <c r="K3546" s="522"/>
      <c r="M3546" s="301" t="str">
        <f>N3546&amp;AS[[#This Row],[Insurer Code]]&amp;"; "&amp;O3546&amp;AS[[#This Row],[Reporting Year]]&amp;"; "&amp;P3546&amp;AS[[#This Row],[Insurance Category Code]]&amp;"; "&amp;Q3546&amp;AS[[#This Row],[Large Provider Entity Code]]&amp;"; "&amp;R3546&amp;AS[[#This Row],[Age Band Code]]&amp;"; "&amp;S3546&amp;AS[[#This Row],[Sex Code]]</f>
        <v xml:space="preserve">Insurer Code ; Reporting Year ; Insurance Category Code ; Large Provider Entity Code ; Age Band Code ; Sex Code </v>
      </c>
      <c r="N3546" s="297" t="s">
        <v>197</v>
      </c>
      <c r="O3546" s="297" t="s">
        <v>198</v>
      </c>
      <c r="P3546" s="297" t="s">
        <v>199</v>
      </c>
      <c r="Q3546" s="297" t="s">
        <v>200</v>
      </c>
      <c r="R3546" s="297" t="s">
        <v>213</v>
      </c>
      <c r="S3546" s="297" t="s">
        <v>214</v>
      </c>
    </row>
    <row r="3547" spans="1:19" x14ac:dyDescent="0.4">
      <c r="A3547" s="291"/>
      <c r="B3547" s="292"/>
      <c r="C3547" s="312"/>
      <c r="D3547" s="292"/>
      <c r="E3547" s="489"/>
      <c r="F3547" s="489"/>
      <c r="G3547" s="490"/>
      <c r="H3547" s="520"/>
      <c r="I3547" s="523"/>
      <c r="J3547" s="521"/>
      <c r="K3547" s="522"/>
      <c r="M3547" s="301" t="str">
        <f>N3547&amp;AS[[#This Row],[Insurer Code]]&amp;"; "&amp;O3547&amp;AS[[#This Row],[Reporting Year]]&amp;"; "&amp;P3547&amp;AS[[#This Row],[Insurance Category Code]]&amp;"; "&amp;Q3547&amp;AS[[#This Row],[Large Provider Entity Code]]&amp;"; "&amp;R3547&amp;AS[[#This Row],[Age Band Code]]&amp;"; "&amp;S3547&amp;AS[[#This Row],[Sex Code]]</f>
        <v xml:space="preserve">Insurer Code ; Reporting Year ; Insurance Category Code ; Large Provider Entity Code ; Age Band Code ; Sex Code </v>
      </c>
      <c r="N3547" s="297" t="s">
        <v>197</v>
      </c>
      <c r="O3547" s="297" t="s">
        <v>198</v>
      </c>
      <c r="P3547" s="297" t="s">
        <v>199</v>
      </c>
      <c r="Q3547" s="297" t="s">
        <v>200</v>
      </c>
      <c r="R3547" s="297" t="s">
        <v>213</v>
      </c>
      <c r="S3547" s="297" t="s">
        <v>214</v>
      </c>
    </row>
    <row r="3548" spans="1:19" x14ac:dyDescent="0.4">
      <c r="A3548" s="291"/>
      <c r="B3548" s="292"/>
      <c r="C3548" s="312"/>
      <c r="D3548" s="292"/>
      <c r="E3548" s="489"/>
      <c r="F3548" s="489"/>
      <c r="G3548" s="490"/>
      <c r="H3548" s="520"/>
      <c r="I3548" s="523"/>
      <c r="J3548" s="521"/>
      <c r="K3548" s="522"/>
      <c r="M3548" s="301" t="str">
        <f>N3548&amp;AS[[#This Row],[Insurer Code]]&amp;"; "&amp;O3548&amp;AS[[#This Row],[Reporting Year]]&amp;"; "&amp;P3548&amp;AS[[#This Row],[Insurance Category Code]]&amp;"; "&amp;Q3548&amp;AS[[#This Row],[Large Provider Entity Code]]&amp;"; "&amp;R3548&amp;AS[[#This Row],[Age Band Code]]&amp;"; "&amp;S3548&amp;AS[[#This Row],[Sex Code]]</f>
        <v xml:space="preserve">Insurer Code ; Reporting Year ; Insurance Category Code ; Large Provider Entity Code ; Age Band Code ; Sex Code </v>
      </c>
      <c r="N3548" s="297" t="s">
        <v>197</v>
      </c>
      <c r="O3548" s="297" t="s">
        <v>198</v>
      </c>
      <c r="P3548" s="297" t="s">
        <v>199</v>
      </c>
      <c r="Q3548" s="297" t="s">
        <v>200</v>
      </c>
      <c r="R3548" s="297" t="s">
        <v>213</v>
      </c>
      <c r="S3548" s="297" t="s">
        <v>214</v>
      </c>
    </row>
    <row r="3549" spans="1:19" x14ac:dyDescent="0.4">
      <c r="A3549" s="291"/>
      <c r="B3549" s="292"/>
      <c r="C3549" s="312"/>
      <c r="D3549" s="292"/>
      <c r="E3549" s="489"/>
      <c r="F3549" s="489"/>
      <c r="G3549" s="490"/>
      <c r="H3549" s="520"/>
      <c r="I3549" s="523"/>
      <c r="J3549" s="521"/>
      <c r="K3549" s="522"/>
      <c r="M3549" s="301" t="str">
        <f>N3549&amp;AS[[#This Row],[Insurer Code]]&amp;"; "&amp;O3549&amp;AS[[#This Row],[Reporting Year]]&amp;"; "&amp;P3549&amp;AS[[#This Row],[Insurance Category Code]]&amp;"; "&amp;Q3549&amp;AS[[#This Row],[Large Provider Entity Code]]&amp;"; "&amp;R3549&amp;AS[[#This Row],[Age Band Code]]&amp;"; "&amp;S3549&amp;AS[[#This Row],[Sex Code]]</f>
        <v xml:space="preserve">Insurer Code ; Reporting Year ; Insurance Category Code ; Large Provider Entity Code ; Age Band Code ; Sex Code </v>
      </c>
      <c r="N3549" s="297" t="s">
        <v>197</v>
      </c>
      <c r="O3549" s="297" t="s">
        <v>198</v>
      </c>
      <c r="P3549" s="297" t="s">
        <v>199</v>
      </c>
      <c r="Q3549" s="297" t="s">
        <v>200</v>
      </c>
      <c r="R3549" s="297" t="s">
        <v>213</v>
      </c>
      <c r="S3549" s="297" t="s">
        <v>214</v>
      </c>
    </row>
    <row r="3550" spans="1:19" x14ac:dyDescent="0.4">
      <c r="A3550" s="291"/>
      <c r="B3550" s="292"/>
      <c r="C3550" s="312"/>
      <c r="D3550" s="292"/>
      <c r="E3550" s="489"/>
      <c r="F3550" s="489"/>
      <c r="G3550" s="490"/>
      <c r="H3550" s="520"/>
      <c r="I3550" s="523"/>
      <c r="J3550" s="521"/>
      <c r="K3550" s="522"/>
      <c r="M3550" s="301" t="str">
        <f>N3550&amp;AS[[#This Row],[Insurer Code]]&amp;"; "&amp;O3550&amp;AS[[#This Row],[Reporting Year]]&amp;"; "&amp;P3550&amp;AS[[#This Row],[Insurance Category Code]]&amp;"; "&amp;Q3550&amp;AS[[#This Row],[Large Provider Entity Code]]&amp;"; "&amp;R3550&amp;AS[[#This Row],[Age Band Code]]&amp;"; "&amp;S3550&amp;AS[[#This Row],[Sex Code]]</f>
        <v xml:space="preserve">Insurer Code ; Reporting Year ; Insurance Category Code ; Large Provider Entity Code ; Age Band Code ; Sex Code </v>
      </c>
      <c r="N3550" s="297" t="s">
        <v>197</v>
      </c>
      <c r="O3550" s="297" t="s">
        <v>198</v>
      </c>
      <c r="P3550" s="297" t="s">
        <v>199</v>
      </c>
      <c r="Q3550" s="297" t="s">
        <v>200</v>
      </c>
      <c r="R3550" s="297" t="s">
        <v>213</v>
      </c>
      <c r="S3550" s="297" t="s">
        <v>214</v>
      </c>
    </row>
    <row r="3551" spans="1:19" x14ac:dyDescent="0.4">
      <c r="A3551" s="291"/>
      <c r="B3551" s="292"/>
      <c r="C3551" s="312"/>
      <c r="D3551" s="292"/>
      <c r="E3551" s="489"/>
      <c r="F3551" s="489"/>
      <c r="G3551" s="490"/>
      <c r="H3551" s="520"/>
      <c r="I3551" s="523"/>
      <c r="J3551" s="521"/>
      <c r="K3551" s="522"/>
      <c r="M3551" s="301" t="str">
        <f>N3551&amp;AS[[#This Row],[Insurer Code]]&amp;"; "&amp;O3551&amp;AS[[#This Row],[Reporting Year]]&amp;"; "&amp;P3551&amp;AS[[#This Row],[Insurance Category Code]]&amp;"; "&amp;Q3551&amp;AS[[#This Row],[Large Provider Entity Code]]&amp;"; "&amp;R3551&amp;AS[[#This Row],[Age Band Code]]&amp;"; "&amp;S3551&amp;AS[[#This Row],[Sex Code]]</f>
        <v xml:space="preserve">Insurer Code ; Reporting Year ; Insurance Category Code ; Large Provider Entity Code ; Age Band Code ; Sex Code </v>
      </c>
      <c r="N3551" s="297" t="s">
        <v>197</v>
      </c>
      <c r="O3551" s="297" t="s">
        <v>198</v>
      </c>
      <c r="P3551" s="297" t="s">
        <v>199</v>
      </c>
      <c r="Q3551" s="297" t="s">
        <v>200</v>
      </c>
      <c r="R3551" s="297" t="s">
        <v>213</v>
      </c>
      <c r="S3551" s="297" t="s">
        <v>214</v>
      </c>
    </row>
    <row r="3552" spans="1:19" x14ac:dyDescent="0.4">
      <c r="A3552" s="291"/>
      <c r="B3552" s="292"/>
      <c r="C3552" s="312"/>
      <c r="D3552" s="292"/>
      <c r="E3552" s="489"/>
      <c r="F3552" s="489"/>
      <c r="G3552" s="490"/>
      <c r="H3552" s="520"/>
      <c r="I3552" s="523"/>
      <c r="J3552" s="521"/>
      <c r="K3552" s="522"/>
      <c r="M3552" s="301" t="str">
        <f>N3552&amp;AS[[#This Row],[Insurer Code]]&amp;"; "&amp;O3552&amp;AS[[#This Row],[Reporting Year]]&amp;"; "&amp;P3552&amp;AS[[#This Row],[Insurance Category Code]]&amp;"; "&amp;Q3552&amp;AS[[#This Row],[Large Provider Entity Code]]&amp;"; "&amp;R3552&amp;AS[[#This Row],[Age Band Code]]&amp;"; "&amp;S3552&amp;AS[[#This Row],[Sex Code]]</f>
        <v xml:space="preserve">Insurer Code ; Reporting Year ; Insurance Category Code ; Large Provider Entity Code ; Age Band Code ; Sex Code </v>
      </c>
      <c r="N3552" s="297" t="s">
        <v>197</v>
      </c>
      <c r="O3552" s="297" t="s">
        <v>198</v>
      </c>
      <c r="P3552" s="297" t="s">
        <v>199</v>
      </c>
      <c r="Q3552" s="297" t="s">
        <v>200</v>
      </c>
      <c r="R3552" s="297" t="s">
        <v>213</v>
      </c>
      <c r="S3552" s="297" t="s">
        <v>214</v>
      </c>
    </row>
    <row r="3553" spans="1:19" x14ac:dyDescent="0.4">
      <c r="A3553" s="291"/>
      <c r="B3553" s="292"/>
      <c r="C3553" s="312"/>
      <c r="D3553" s="292"/>
      <c r="E3553" s="489"/>
      <c r="F3553" s="489"/>
      <c r="G3553" s="490"/>
      <c r="H3553" s="520"/>
      <c r="I3553" s="523"/>
      <c r="J3553" s="521"/>
      <c r="K3553" s="522"/>
      <c r="M3553" s="301" t="str">
        <f>N3553&amp;AS[[#This Row],[Insurer Code]]&amp;"; "&amp;O3553&amp;AS[[#This Row],[Reporting Year]]&amp;"; "&amp;P3553&amp;AS[[#This Row],[Insurance Category Code]]&amp;"; "&amp;Q3553&amp;AS[[#This Row],[Large Provider Entity Code]]&amp;"; "&amp;R3553&amp;AS[[#This Row],[Age Band Code]]&amp;"; "&amp;S3553&amp;AS[[#This Row],[Sex Code]]</f>
        <v xml:space="preserve">Insurer Code ; Reporting Year ; Insurance Category Code ; Large Provider Entity Code ; Age Band Code ; Sex Code </v>
      </c>
      <c r="N3553" s="297" t="s">
        <v>197</v>
      </c>
      <c r="O3553" s="297" t="s">
        <v>198</v>
      </c>
      <c r="P3553" s="297" t="s">
        <v>199</v>
      </c>
      <c r="Q3553" s="297" t="s">
        <v>200</v>
      </c>
      <c r="R3553" s="297" t="s">
        <v>213</v>
      </c>
      <c r="S3553" s="297" t="s">
        <v>214</v>
      </c>
    </row>
    <row r="3554" spans="1:19" x14ac:dyDescent="0.4">
      <c r="A3554" s="291"/>
      <c r="B3554" s="292"/>
      <c r="C3554" s="312"/>
      <c r="D3554" s="292"/>
      <c r="E3554" s="489"/>
      <c r="F3554" s="489"/>
      <c r="G3554" s="490"/>
      <c r="H3554" s="520"/>
      <c r="I3554" s="523"/>
      <c r="J3554" s="521"/>
      <c r="K3554" s="522"/>
      <c r="M3554" s="301" t="str">
        <f>N3554&amp;AS[[#This Row],[Insurer Code]]&amp;"; "&amp;O3554&amp;AS[[#This Row],[Reporting Year]]&amp;"; "&amp;P3554&amp;AS[[#This Row],[Insurance Category Code]]&amp;"; "&amp;Q3554&amp;AS[[#This Row],[Large Provider Entity Code]]&amp;"; "&amp;R3554&amp;AS[[#This Row],[Age Band Code]]&amp;"; "&amp;S3554&amp;AS[[#This Row],[Sex Code]]</f>
        <v xml:space="preserve">Insurer Code ; Reporting Year ; Insurance Category Code ; Large Provider Entity Code ; Age Band Code ; Sex Code </v>
      </c>
      <c r="N3554" s="297" t="s">
        <v>197</v>
      </c>
      <c r="O3554" s="297" t="s">
        <v>198</v>
      </c>
      <c r="P3554" s="297" t="s">
        <v>199</v>
      </c>
      <c r="Q3554" s="297" t="s">
        <v>200</v>
      </c>
      <c r="R3554" s="297" t="s">
        <v>213</v>
      </c>
      <c r="S3554" s="297" t="s">
        <v>214</v>
      </c>
    </row>
    <row r="3555" spans="1:19" x14ac:dyDescent="0.4">
      <c r="A3555" s="291"/>
      <c r="B3555" s="292"/>
      <c r="C3555" s="312"/>
      <c r="D3555" s="292"/>
      <c r="E3555" s="489"/>
      <c r="F3555" s="489"/>
      <c r="G3555" s="490"/>
      <c r="H3555" s="520"/>
      <c r="I3555" s="523"/>
      <c r="J3555" s="521"/>
      <c r="K3555" s="522"/>
      <c r="M3555" s="301" t="str">
        <f>N3555&amp;AS[[#This Row],[Insurer Code]]&amp;"; "&amp;O3555&amp;AS[[#This Row],[Reporting Year]]&amp;"; "&amp;P3555&amp;AS[[#This Row],[Insurance Category Code]]&amp;"; "&amp;Q3555&amp;AS[[#This Row],[Large Provider Entity Code]]&amp;"; "&amp;R3555&amp;AS[[#This Row],[Age Band Code]]&amp;"; "&amp;S3555&amp;AS[[#This Row],[Sex Code]]</f>
        <v xml:space="preserve">Insurer Code ; Reporting Year ; Insurance Category Code ; Large Provider Entity Code ; Age Band Code ; Sex Code </v>
      </c>
      <c r="N3555" s="297" t="s">
        <v>197</v>
      </c>
      <c r="O3555" s="297" t="s">
        <v>198</v>
      </c>
      <c r="P3555" s="297" t="s">
        <v>199</v>
      </c>
      <c r="Q3555" s="297" t="s">
        <v>200</v>
      </c>
      <c r="R3555" s="297" t="s">
        <v>213</v>
      </c>
      <c r="S3555" s="297" t="s">
        <v>214</v>
      </c>
    </row>
    <row r="3556" spans="1:19" x14ac:dyDescent="0.4">
      <c r="A3556" s="291"/>
      <c r="B3556" s="292"/>
      <c r="C3556" s="312"/>
      <c r="D3556" s="292"/>
      <c r="E3556" s="489"/>
      <c r="F3556" s="489"/>
      <c r="G3556" s="490"/>
      <c r="H3556" s="520"/>
      <c r="I3556" s="523"/>
      <c r="J3556" s="521"/>
      <c r="K3556" s="522"/>
      <c r="M3556" s="301" t="str">
        <f>N3556&amp;AS[[#This Row],[Insurer Code]]&amp;"; "&amp;O3556&amp;AS[[#This Row],[Reporting Year]]&amp;"; "&amp;P3556&amp;AS[[#This Row],[Insurance Category Code]]&amp;"; "&amp;Q3556&amp;AS[[#This Row],[Large Provider Entity Code]]&amp;"; "&amp;R3556&amp;AS[[#This Row],[Age Band Code]]&amp;"; "&amp;S3556&amp;AS[[#This Row],[Sex Code]]</f>
        <v xml:space="preserve">Insurer Code ; Reporting Year ; Insurance Category Code ; Large Provider Entity Code ; Age Band Code ; Sex Code </v>
      </c>
      <c r="N3556" s="297" t="s">
        <v>197</v>
      </c>
      <c r="O3556" s="297" t="s">
        <v>198</v>
      </c>
      <c r="P3556" s="297" t="s">
        <v>199</v>
      </c>
      <c r="Q3556" s="297" t="s">
        <v>200</v>
      </c>
      <c r="R3556" s="297" t="s">
        <v>213</v>
      </c>
      <c r="S3556" s="297" t="s">
        <v>214</v>
      </c>
    </row>
    <row r="3557" spans="1:19" x14ac:dyDescent="0.4">
      <c r="A3557" s="291"/>
      <c r="B3557" s="292"/>
      <c r="C3557" s="312"/>
      <c r="D3557" s="292"/>
      <c r="E3557" s="489"/>
      <c r="F3557" s="489"/>
      <c r="G3557" s="490"/>
      <c r="H3557" s="520"/>
      <c r="I3557" s="523"/>
      <c r="J3557" s="521"/>
      <c r="K3557" s="522"/>
      <c r="M3557" s="301" t="str">
        <f>N3557&amp;AS[[#This Row],[Insurer Code]]&amp;"; "&amp;O3557&amp;AS[[#This Row],[Reporting Year]]&amp;"; "&amp;P3557&amp;AS[[#This Row],[Insurance Category Code]]&amp;"; "&amp;Q3557&amp;AS[[#This Row],[Large Provider Entity Code]]&amp;"; "&amp;R3557&amp;AS[[#This Row],[Age Band Code]]&amp;"; "&amp;S3557&amp;AS[[#This Row],[Sex Code]]</f>
        <v xml:space="preserve">Insurer Code ; Reporting Year ; Insurance Category Code ; Large Provider Entity Code ; Age Band Code ; Sex Code </v>
      </c>
      <c r="N3557" s="297" t="s">
        <v>197</v>
      </c>
      <c r="O3557" s="297" t="s">
        <v>198</v>
      </c>
      <c r="P3557" s="297" t="s">
        <v>199</v>
      </c>
      <c r="Q3557" s="297" t="s">
        <v>200</v>
      </c>
      <c r="R3557" s="297" t="s">
        <v>213</v>
      </c>
      <c r="S3557" s="297" t="s">
        <v>214</v>
      </c>
    </row>
    <row r="3558" spans="1:19" x14ac:dyDescent="0.4">
      <c r="A3558" s="291"/>
      <c r="B3558" s="292"/>
      <c r="C3558" s="312"/>
      <c r="D3558" s="292"/>
      <c r="E3558" s="489"/>
      <c r="F3558" s="489"/>
      <c r="G3558" s="490"/>
      <c r="H3558" s="520"/>
      <c r="I3558" s="523"/>
      <c r="J3558" s="521"/>
      <c r="K3558" s="522"/>
      <c r="M3558" s="301" t="str">
        <f>N3558&amp;AS[[#This Row],[Insurer Code]]&amp;"; "&amp;O3558&amp;AS[[#This Row],[Reporting Year]]&amp;"; "&amp;P3558&amp;AS[[#This Row],[Insurance Category Code]]&amp;"; "&amp;Q3558&amp;AS[[#This Row],[Large Provider Entity Code]]&amp;"; "&amp;R3558&amp;AS[[#This Row],[Age Band Code]]&amp;"; "&amp;S3558&amp;AS[[#This Row],[Sex Code]]</f>
        <v xml:space="preserve">Insurer Code ; Reporting Year ; Insurance Category Code ; Large Provider Entity Code ; Age Band Code ; Sex Code </v>
      </c>
      <c r="N3558" s="297" t="s">
        <v>197</v>
      </c>
      <c r="O3558" s="297" t="s">
        <v>198</v>
      </c>
      <c r="P3558" s="297" t="s">
        <v>199</v>
      </c>
      <c r="Q3558" s="297" t="s">
        <v>200</v>
      </c>
      <c r="R3558" s="297" t="s">
        <v>213</v>
      </c>
      <c r="S3558" s="297" t="s">
        <v>214</v>
      </c>
    </row>
    <row r="3559" spans="1:19" x14ac:dyDescent="0.4">
      <c r="A3559" s="291"/>
      <c r="B3559" s="292"/>
      <c r="C3559" s="312"/>
      <c r="D3559" s="292"/>
      <c r="E3559" s="489"/>
      <c r="F3559" s="489"/>
      <c r="G3559" s="490"/>
      <c r="H3559" s="520"/>
      <c r="I3559" s="523"/>
      <c r="J3559" s="521"/>
      <c r="K3559" s="522"/>
      <c r="M3559" s="301" t="str">
        <f>N3559&amp;AS[[#This Row],[Insurer Code]]&amp;"; "&amp;O3559&amp;AS[[#This Row],[Reporting Year]]&amp;"; "&amp;P3559&amp;AS[[#This Row],[Insurance Category Code]]&amp;"; "&amp;Q3559&amp;AS[[#This Row],[Large Provider Entity Code]]&amp;"; "&amp;R3559&amp;AS[[#This Row],[Age Band Code]]&amp;"; "&amp;S3559&amp;AS[[#This Row],[Sex Code]]</f>
        <v xml:space="preserve">Insurer Code ; Reporting Year ; Insurance Category Code ; Large Provider Entity Code ; Age Band Code ; Sex Code </v>
      </c>
      <c r="N3559" s="297" t="s">
        <v>197</v>
      </c>
      <c r="O3559" s="297" t="s">
        <v>198</v>
      </c>
      <c r="P3559" s="297" t="s">
        <v>199</v>
      </c>
      <c r="Q3559" s="297" t="s">
        <v>200</v>
      </c>
      <c r="R3559" s="297" t="s">
        <v>213</v>
      </c>
      <c r="S3559" s="297" t="s">
        <v>214</v>
      </c>
    </row>
    <row r="3560" spans="1:19" x14ac:dyDescent="0.4">
      <c r="A3560" s="291"/>
      <c r="B3560" s="292"/>
      <c r="C3560" s="312"/>
      <c r="D3560" s="292"/>
      <c r="E3560" s="489"/>
      <c r="F3560" s="489"/>
      <c r="G3560" s="490"/>
      <c r="H3560" s="520"/>
      <c r="I3560" s="523"/>
      <c r="J3560" s="521"/>
      <c r="K3560" s="522"/>
      <c r="M3560" s="301" t="str">
        <f>N3560&amp;AS[[#This Row],[Insurer Code]]&amp;"; "&amp;O3560&amp;AS[[#This Row],[Reporting Year]]&amp;"; "&amp;P3560&amp;AS[[#This Row],[Insurance Category Code]]&amp;"; "&amp;Q3560&amp;AS[[#This Row],[Large Provider Entity Code]]&amp;"; "&amp;R3560&amp;AS[[#This Row],[Age Band Code]]&amp;"; "&amp;S3560&amp;AS[[#This Row],[Sex Code]]</f>
        <v xml:space="preserve">Insurer Code ; Reporting Year ; Insurance Category Code ; Large Provider Entity Code ; Age Band Code ; Sex Code </v>
      </c>
      <c r="N3560" s="297" t="s">
        <v>197</v>
      </c>
      <c r="O3560" s="297" t="s">
        <v>198</v>
      </c>
      <c r="P3560" s="297" t="s">
        <v>199</v>
      </c>
      <c r="Q3560" s="297" t="s">
        <v>200</v>
      </c>
      <c r="R3560" s="297" t="s">
        <v>213</v>
      </c>
      <c r="S3560" s="297" t="s">
        <v>214</v>
      </c>
    </row>
    <row r="3561" spans="1:19" x14ac:dyDescent="0.4">
      <c r="A3561" s="291"/>
      <c r="B3561" s="292"/>
      <c r="C3561" s="312"/>
      <c r="D3561" s="292"/>
      <c r="E3561" s="489"/>
      <c r="F3561" s="489"/>
      <c r="G3561" s="490"/>
      <c r="H3561" s="520"/>
      <c r="I3561" s="523"/>
      <c r="J3561" s="521"/>
      <c r="K3561" s="522"/>
      <c r="M3561" s="301" t="str">
        <f>N3561&amp;AS[[#This Row],[Insurer Code]]&amp;"; "&amp;O3561&amp;AS[[#This Row],[Reporting Year]]&amp;"; "&amp;P3561&amp;AS[[#This Row],[Insurance Category Code]]&amp;"; "&amp;Q3561&amp;AS[[#This Row],[Large Provider Entity Code]]&amp;"; "&amp;R3561&amp;AS[[#This Row],[Age Band Code]]&amp;"; "&amp;S3561&amp;AS[[#This Row],[Sex Code]]</f>
        <v xml:space="preserve">Insurer Code ; Reporting Year ; Insurance Category Code ; Large Provider Entity Code ; Age Band Code ; Sex Code </v>
      </c>
      <c r="N3561" s="297" t="s">
        <v>197</v>
      </c>
      <c r="O3561" s="297" t="s">
        <v>198</v>
      </c>
      <c r="P3561" s="297" t="s">
        <v>199</v>
      </c>
      <c r="Q3561" s="297" t="s">
        <v>200</v>
      </c>
      <c r="R3561" s="297" t="s">
        <v>213</v>
      </c>
      <c r="S3561" s="297" t="s">
        <v>214</v>
      </c>
    </row>
    <row r="3562" spans="1:19" x14ac:dyDescent="0.4">
      <c r="A3562" s="291"/>
      <c r="B3562" s="292"/>
      <c r="C3562" s="312"/>
      <c r="D3562" s="292"/>
      <c r="E3562" s="489"/>
      <c r="F3562" s="489"/>
      <c r="G3562" s="490"/>
      <c r="H3562" s="520"/>
      <c r="I3562" s="523"/>
      <c r="J3562" s="521"/>
      <c r="K3562" s="522"/>
      <c r="M3562" s="301" t="str">
        <f>N3562&amp;AS[[#This Row],[Insurer Code]]&amp;"; "&amp;O3562&amp;AS[[#This Row],[Reporting Year]]&amp;"; "&amp;P3562&amp;AS[[#This Row],[Insurance Category Code]]&amp;"; "&amp;Q3562&amp;AS[[#This Row],[Large Provider Entity Code]]&amp;"; "&amp;R3562&amp;AS[[#This Row],[Age Band Code]]&amp;"; "&amp;S3562&amp;AS[[#This Row],[Sex Code]]</f>
        <v xml:space="preserve">Insurer Code ; Reporting Year ; Insurance Category Code ; Large Provider Entity Code ; Age Band Code ; Sex Code </v>
      </c>
      <c r="N3562" s="297" t="s">
        <v>197</v>
      </c>
      <c r="O3562" s="297" t="s">
        <v>198</v>
      </c>
      <c r="P3562" s="297" t="s">
        <v>199</v>
      </c>
      <c r="Q3562" s="297" t="s">
        <v>200</v>
      </c>
      <c r="R3562" s="297" t="s">
        <v>213</v>
      </c>
      <c r="S3562" s="297" t="s">
        <v>214</v>
      </c>
    </row>
    <row r="3563" spans="1:19" x14ac:dyDescent="0.4">
      <c r="A3563" s="291"/>
      <c r="B3563" s="292"/>
      <c r="C3563" s="312"/>
      <c r="D3563" s="292"/>
      <c r="E3563" s="489"/>
      <c r="F3563" s="489"/>
      <c r="G3563" s="490"/>
      <c r="H3563" s="520"/>
      <c r="I3563" s="523"/>
      <c r="J3563" s="521"/>
      <c r="K3563" s="522"/>
      <c r="M3563" s="301" t="str">
        <f>N3563&amp;AS[[#This Row],[Insurer Code]]&amp;"; "&amp;O3563&amp;AS[[#This Row],[Reporting Year]]&amp;"; "&amp;P3563&amp;AS[[#This Row],[Insurance Category Code]]&amp;"; "&amp;Q3563&amp;AS[[#This Row],[Large Provider Entity Code]]&amp;"; "&amp;R3563&amp;AS[[#This Row],[Age Band Code]]&amp;"; "&amp;S3563&amp;AS[[#This Row],[Sex Code]]</f>
        <v xml:space="preserve">Insurer Code ; Reporting Year ; Insurance Category Code ; Large Provider Entity Code ; Age Band Code ; Sex Code </v>
      </c>
      <c r="N3563" s="297" t="s">
        <v>197</v>
      </c>
      <c r="O3563" s="297" t="s">
        <v>198</v>
      </c>
      <c r="P3563" s="297" t="s">
        <v>199</v>
      </c>
      <c r="Q3563" s="297" t="s">
        <v>200</v>
      </c>
      <c r="R3563" s="297" t="s">
        <v>213</v>
      </c>
      <c r="S3563" s="297" t="s">
        <v>214</v>
      </c>
    </row>
    <row r="3564" spans="1:19" x14ac:dyDescent="0.4">
      <c r="A3564" s="291"/>
      <c r="B3564" s="292"/>
      <c r="C3564" s="312"/>
      <c r="D3564" s="292"/>
      <c r="E3564" s="489"/>
      <c r="F3564" s="489"/>
      <c r="G3564" s="490"/>
      <c r="H3564" s="520"/>
      <c r="I3564" s="523"/>
      <c r="J3564" s="521"/>
      <c r="K3564" s="522"/>
      <c r="M3564" s="301" t="str">
        <f>N3564&amp;AS[[#This Row],[Insurer Code]]&amp;"; "&amp;O3564&amp;AS[[#This Row],[Reporting Year]]&amp;"; "&amp;P3564&amp;AS[[#This Row],[Insurance Category Code]]&amp;"; "&amp;Q3564&amp;AS[[#This Row],[Large Provider Entity Code]]&amp;"; "&amp;R3564&amp;AS[[#This Row],[Age Band Code]]&amp;"; "&amp;S3564&amp;AS[[#This Row],[Sex Code]]</f>
        <v xml:space="preserve">Insurer Code ; Reporting Year ; Insurance Category Code ; Large Provider Entity Code ; Age Band Code ; Sex Code </v>
      </c>
      <c r="N3564" s="297" t="s">
        <v>197</v>
      </c>
      <c r="O3564" s="297" t="s">
        <v>198</v>
      </c>
      <c r="P3564" s="297" t="s">
        <v>199</v>
      </c>
      <c r="Q3564" s="297" t="s">
        <v>200</v>
      </c>
      <c r="R3564" s="297" t="s">
        <v>213</v>
      </c>
      <c r="S3564" s="297" t="s">
        <v>214</v>
      </c>
    </row>
    <row r="3565" spans="1:19" x14ac:dyDescent="0.4">
      <c r="A3565" s="291"/>
      <c r="B3565" s="292"/>
      <c r="C3565" s="312"/>
      <c r="D3565" s="292"/>
      <c r="E3565" s="489"/>
      <c r="F3565" s="489"/>
      <c r="G3565" s="490"/>
      <c r="H3565" s="520"/>
      <c r="I3565" s="523"/>
      <c r="J3565" s="521"/>
      <c r="K3565" s="522"/>
      <c r="M3565" s="301" t="str">
        <f>N3565&amp;AS[[#This Row],[Insurer Code]]&amp;"; "&amp;O3565&amp;AS[[#This Row],[Reporting Year]]&amp;"; "&amp;P3565&amp;AS[[#This Row],[Insurance Category Code]]&amp;"; "&amp;Q3565&amp;AS[[#This Row],[Large Provider Entity Code]]&amp;"; "&amp;R3565&amp;AS[[#This Row],[Age Band Code]]&amp;"; "&amp;S3565&amp;AS[[#This Row],[Sex Code]]</f>
        <v xml:space="preserve">Insurer Code ; Reporting Year ; Insurance Category Code ; Large Provider Entity Code ; Age Band Code ; Sex Code </v>
      </c>
      <c r="N3565" s="297" t="s">
        <v>197</v>
      </c>
      <c r="O3565" s="297" t="s">
        <v>198</v>
      </c>
      <c r="P3565" s="297" t="s">
        <v>199</v>
      </c>
      <c r="Q3565" s="297" t="s">
        <v>200</v>
      </c>
      <c r="R3565" s="297" t="s">
        <v>213</v>
      </c>
      <c r="S3565" s="297" t="s">
        <v>214</v>
      </c>
    </row>
    <row r="3566" spans="1:19" x14ac:dyDescent="0.4">
      <c r="A3566" s="291"/>
      <c r="B3566" s="292"/>
      <c r="C3566" s="312"/>
      <c r="D3566" s="292"/>
      <c r="E3566" s="489"/>
      <c r="F3566" s="489"/>
      <c r="G3566" s="490"/>
      <c r="H3566" s="520"/>
      <c r="I3566" s="523"/>
      <c r="J3566" s="521"/>
      <c r="K3566" s="522"/>
      <c r="M3566" s="301" t="str">
        <f>N3566&amp;AS[[#This Row],[Insurer Code]]&amp;"; "&amp;O3566&amp;AS[[#This Row],[Reporting Year]]&amp;"; "&amp;P3566&amp;AS[[#This Row],[Insurance Category Code]]&amp;"; "&amp;Q3566&amp;AS[[#This Row],[Large Provider Entity Code]]&amp;"; "&amp;R3566&amp;AS[[#This Row],[Age Band Code]]&amp;"; "&amp;S3566&amp;AS[[#This Row],[Sex Code]]</f>
        <v xml:space="preserve">Insurer Code ; Reporting Year ; Insurance Category Code ; Large Provider Entity Code ; Age Band Code ; Sex Code </v>
      </c>
      <c r="N3566" s="297" t="s">
        <v>197</v>
      </c>
      <c r="O3566" s="297" t="s">
        <v>198</v>
      </c>
      <c r="P3566" s="297" t="s">
        <v>199</v>
      </c>
      <c r="Q3566" s="297" t="s">
        <v>200</v>
      </c>
      <c r="R3566" s="297" t="s">
        <v>213</v>
      </c>
      <c r="S3566" s="297" t="s">
        <v>214</v>
      </c>
    </row>
    <row r="3567" spans="1:19" x14ac:dyDescent="0.4">
      <c r="A3567" s="291"/>
      <c r="B3567" s="292"/>
      <c r="C3567" s="312"/>
      <c r="D3567" s="292"/>
      <c r="E3567" s="489"/>
      <c r="F3567" s="489"/>
      <c r="G3567" s="490"/>
      <c r="H3567" s="520"/>
      <c r="I3567" s="523"/>
      <c r="J3567" s="521"/>
      <c r="K3567" s="522"/>
      <c r="M3567" s="301" t="str">
        <f>N3567&amp;AS[[#This Row],[Insurer Code]]&amp;"; "&amp;O3567&amp;AS[[#This Row],[Reporting Year]]&amp;"; "&amp;P3567&amp;AS[[#This Row],[Insurance Category Code]]&amp;"; "&amp;Q3567&amp;AS[[#This Row],[Large Provider Entity Code]]&amp;"; "&amp;R3567&amp;AS[[#This Row],[Age Band Code]]&amp;"; "&amp;S3567&amp;AS[[#This Row],[Sex Code]]</f>
        <v xml:space="preserve">Insurer Code ; Reporting Year ; Insurance Category Code ; Large Provider Entity Code ; Age Band Code ; Sex Code </v>
      </c>
      <c r="N3567" s="297" t="s">
        <v>197</v>
      </c>
      <c r="O3567" s="297" t="s">
        <v>198</v>
      </c>
      <c r="P3567" s="297" t="s">
        <v>199</v>
      </c>
      <c r="Q3567" s="297" t="s">
        <v>200</v>
      </c>
      <c r="R3567" s="297" t="s">
        <v>213</v>
      </c>
      <c r="S3567" s="297" t="s">
        <v>214</v>
      </c>
    </row>
    <row r="3568" spans="1:19" x14ac:dyDescent="0.4">
      <c r="A3568" s="291"/>
      <c r="B3568" s="292"/>
      <c r="C3568" s="312"/>
      <c r="D3568" s="292"/>
      <c r="E3568" s="489"/>
      <c r="F3568" s="489"/>
      <c r="G3568" s="490"/>
      <c r="H3568" s="520"/>
      <c r="I3568" s="523"/>
      <c r="J3568" s="521"/>
      <c r="K3568" s="522"/>
      <c r="M3568" s="301" t="str">
        <f>N3568&amp;AS[[#This Row],[Insurer Code]]&amp;"; "&amp;O3568&amp;AS[[#This Row],[Reporting Year]]&amp;"; "&amp;P3568&amp;AS[[#This Row],[Insurance Category Code]]&amp;"; "&amp;Q3568&amp;AS[[#This Row],[Large Provider Entity Code]]&amp;"; "&amp;R3568&amp;AS[[#This Row],[Age Band Code]]&amp;"; "&amp;S3568&amp;AS[[#This Row],[Sex Code]]</f>
        <v xml:space="preserve">Insurer Code ; Reporting Year ; Insurance Category Code ; Large Provider Entity Code ; Age Band Code ; Sex Code </v>
      </c>
      <c r="N3568" s="297" t="s">
        <v>197</v>
      </c>
      <c r="O3568" s="297" t="s">
        <v>198</v>
      </c>
      <c r="P3568" s="297" t="s">
        <v>199</v>
      </c>
      <c r="Q3568" s="297" t="s">
        <v>200</v>
      </c>
      <c r="R3568" s="297" t="s">
        <v>213</v>
      </c>
      <c r="S3568" s="297" t="s">
        <v>214</v>
      </c>
    </row>
    <row r="3569" spans="1:19" x14ac:dyDescent="0.4">
      <c r="A3569" s="291"/>
      <c r="B3569" s="292"/>
      <c r="C3569" s="312"/>
      <c r="D3569" s="292"/>
      <c r="E3569" s="489"/>
      <c r="F3569" s="489"/>
      <c r="G3569" s="490"/>
      <c r="H3569" s="520"/>
      <c r="I3569" s="523"/>
      <c r="J3569" s="521"/>
      <c r="K3569" s="522"/>
      <c r="M3569" s="301" t="str">
        <f>N3569&amp;AS[[#This Row],[Insurer Code]]&amp;"; "&amp;O3569&amp;AS[[#This Row],[Reporting Year]]&amp;"; "&amp;P3569&amp;AS[[#This Row],[Insurance Category Code]]&amp;"; "&amp;Q3569&amp;AS[[#This Row],[Large Provider Entity Code]]&amp;"; "&amp;R3569&amp;AS[[#This Row],[Age Band Code]]&amp;"; "&amp;S3569&amp;AS[[#This Row],[Sex Code]]</f>
        <v xml:space="preserve">Insurer Code ; Reporting Year ; Insurance Category Code ; Large Provider Entity Code ; Age Band Code ; Sex Code </v>
      </c>
      <c r="N3569" s="297" t="s">
        <v>197</v>
      </c>
      <c r="O3569" s="297" t="s">
        <v>198</v>
      </c>
      <c r="P3569" s="297" t="s">
        <v>199</v>
      </c>
      <c r="Q3569" s="297" t="s">
        <v>200</v>
      </c>
      <c r="R3569" s="297" t="s">
        <v>213</v>
      </c>
      <c r="S3569" s="297" t="s">
        <v>214</v>
      </c>
    </row>
    <row r="3570" spans="1:19" x14ac:dyDescent="0.4">
      <c r="A3570" s="291"/>
      <c r="B3570" s="292"/>
      <c r="C3570" s="312"/>
      <c r="D3570" s="292"/>
      <c r="E3570" s="489"/>
      <c r="F3570" s="489"/>
      <c r="G3570" s="490"/>
      <c r="H3570" s="520"/>
      <c r="I3570" s="523"/>
      <c r="J3570" s="521"/>
      <c r="K3570" s="522"/>
      <c r="M3570" s="301" t="str">
        <f>N3570&amp;AS[[#This Row],[Insurer Code]]&amp;"; "&amp;O3570&amp;AS[[#This Row],[Reporting Year]]&amp;"; "&amp;P3570&amp;AS[[#This Row],[Insurance Category Code]]&amp;"; "&amp;Q3570&amp;AS[[#This Row],[Large Provider Entity Code]]&amp;"; "&amp;R3570&amp;AS[[#This Row],[Age Band Code]]&amp;"; "&amp;S3570&amp;AS[[#This Row],[Sex Code]]</f>
        <v xml:space="preserve">Insurer Code ; Reporting Year ; Insurance Category Code ; Large Provider Entity Code ; Age Band Code ; Sex Code </v>
      </c>
      <c r="N3570" s="297" t="s">
        <v>197</v>
      </c>
      <c r="O3570" s="297" t="s">
        <v>198</v>
      </c>
      <c r="P3570" s="297" t="s">
        <v>199</v>
      </c>
      <c r="Q3570" s="297" t="s">
        <v>200</v>
      </c>
      <c r="R3570" s="297" t="s">
        <v>213</v>
      </c>
      <c r="S3570" s="297" t="s">
        <v>214</v>
      </c>
    </row>
    <row r="3571" spans="1:19" x14ac:dyDescent="0.4">
      <c r="A3571" s="291"/>
      <c r="B3571" s="292"/>
      <c r="C3571" s="312"/>
      <c r="D3571" s="292"/>
      <c r="E3571" s="489"/>
      <c r="F3571" s="489"/>
      <c r="G3571" s="490"/>
      <c r="H3571" s="520"/>
      <c r="I3571" s="523"/>
      <c r="J3571" s="521"/>
      <c r="K3571" s="522"/>
      <c r="M3571" s="301" t="str">
        <f>N3571&amp;AS[[#This Row],[Insurer Code]]&amp;"; "&amp;O3571&amp;AS[[#This Row],[Reporting Year]]&amp;"; "&amp;P3571&amp;AS[[#This Row],[Insurance Category Code]]&amp;"; "&amp;Q3571&amp;AS[[#This Row],[Large Provider Entity Code]]&amp;"; "&amp;R3571&amp;AS[[#This Row],[Age Band Code]]&amp;"; "&amp;S3571&amp;AS[[#This Row],[Sex Code]]</f>
        <v xml:space="preserve">Insurer Code ; Reporting Year ; Insurance Category Code ; Large Provider Entity Code ; Age Band Code ; Sex Code </v>
      </c>
      <c r="N3571" s="297" t="s">
        <v>197</v>
      </c>
      <c r="O3571" s="297" t="s">
        <v>198</v>
      </c>
      <c r="P3571" s="297" t="s">
        <v>199</v>
      </c>
      <c r="Q3571" s="297" t="s">
        <v>200</v>
      </c>
      <c r="R3571" s="297" t="s">
        <v>213</v>
      </c>
      <c r="S3571" s="297" t="s">
        <v>214</v>
      </c>
    </row>
    <row r="3572" spans="1:19" x14ac:dyDescent="0.4">
      <c r="A3572" s="291"/>
      <c r="B3572" s="292"/>
      <c r="C3572" s="312"/>
      <c r="D3572" s="292"/>
      <c r="E3572" s="489"/>
      <c r="F3572" s="489"/>
      <c r="G3572" s="490"/>
      <c r="H3572" s="520"/>
      <c r="I3572" s="523"/>
      <c r="J3572" s="521"/>
      <c r="K3572" s="522"/>
      <c r="M3572" s="301" t="str">
        <f>N3572&amp;AS[[#This Row],[Insurer Code]]&amp;"; "&amp;O3572&amp;AS[[#This Row],[Reporting Year]]&amp;"; "&amp;P3572&amp;AS[[#This Row],[Insurance Category Code]]&amp;"; "&amp;Q3572&amp;AS[[#This Row],[Large Provider Entity Code]]&amp;"; "&amp;R3572&amp;AS[[#This Row],[Age Band Code]]&amp;"; "&amp;S3572&amp;AS[[#This Row],[Sex Code]]</f>
        <v xml:space="preserve">Insurer Code ; Reporting Year ; Insurance Category Code ; Large Provider Entity Code ; Age Band Code ; Sex Code </v>
      </c>
      <c r="N3572" s="297" t="s">
        <v>197</v>
      </c>
      <c r="O3572" s="297" t="s">
        <v>198</v>
      </c>
      <c r="P3572" s="297" t="s">
        <v>199</v>
      </c>
      <c r="Q3572" s="297" t="s">
        <v>200</v>
      </c>
      <c r="R3572" s="297" t="s">
        <v>213</v>
      </c>
      <c r="S3572" s="297" t="s">
        <v>214</v>
      </c>
    </row>
    <row r="3573" spans="1:19" x14ac:dyDescent="0.4">
      <c r="A3573" s="291"/>
      <c r="B3573" s="292"/>
      <c r="C3573" s="312"/>
      <c r="D3573" s="292"/>
      <c r="E3573" s="489"/>
      <c r="F3573" s="489"/>
      <c r="G3573" s="490"/>
      <c r="H3573" s="520"/>
      <c r="I3573" s="523"/>
      <c r="J3573" s="521"/>
      <c r="K3573" s="522"/>
      <c r="M3573" s="301" t="str">
        <f>N3573&amp;AS[[#This Row],[Insurer Code]]&amp;"; "&amp;O3573&amp;AS[[#This Row],[Reporting Year]]&amp;"; "&amp;P3573&amp;AS[[#This Row],[Insurance Category Code]]&amp;"; "&amp;Q3573&amp;AS[[#This Row],[Large Provider Entity Code]]&amp;"; "&amp;R3573&amp;AS[[#This Row],[Age Band Code]]&amp;"; "&amp;S3573&amp;AS[[#This Row],[Sex Code]]</f>
        <v xml:space="preserve">Insurer Code ; Reporting Year ; Insurance Category Code ; Large Provider Entity Code ; Age Band Code ; Sex Code </v>
      </c>
      <c r="N3573" s="297" t="s">
        <v>197</v>
      </c>
      <c r="O3573" s="297" t="s">
        <v>198</v>
      </c>
      <c r="P3573" s="297" t="s">
        <v>199</v>
      </c>
      <c r="Q3573" s="297" t="s">
        <v>200</v>
      </c>
      <c r="R3573" s="297" t="s">
        <v>213</v>
      </c>
      <c r="S3573" s="297" t="s">
        <v>214</v>
      </c>
    </row>
    <row r="3574" spans="1:19" x14ac:dyDescent="0.4">
      <c r="A3574" s="291"/>
      <c r="B3574" s="292"/>
      <c r="C3574" s="312"/>
      <c r="D3574" s="292"/>
      <c r="E3574" s="489"/>
      <c r="F3574" s="489"/>
      <c r="G3574" s="490"/>
      <c r="H3574" s="520"/>
      <c r="I3574" s="523"/>
      <c r="J3574" s="521"/>
      <c r="K3574" s="522"/>
      <c r="M3574" s="301" t="str">
        <f>N3574&amp;AS[[#This Row],[Insurer Code]]&amp;"; "&amp;O3574&amp;AS[[#This Row],[Reporting Year]]&amp;"; "&amp;P3574&amp;AS[[#This Row],[Insurance Category Code]]&amp;"; "&amp;Q3574&amp;AS[[#This Row],[Large Provider Entity Code]]&amp;"; "&amp;R3574&amp;AS[[#This Row],[Age Band Code]]&amp;"; "&amp;S3574&amp;AS[[#This Row],[Sex Code]]</f>
        <v xml:space="preserve">Insurer Code ; Reporting Year ; Insurance Category Code ; Large Provider Entity Code ; Age Band Code ; Sex Code </v>
      </c>
      <c r="N3574" s="297" t="s">
        <v>197</v>
      </c>
      <c r="O3574" s="297" t="s">
        <v>198</v>
      </c>
      <c r="P3574" s="297" t="s">
        <v>199</v>
      </c>
      <c r="Q3574" s="297" t="s">
        <v>200</v>
      </c>
      <c r="R3574" s="297" t="s">
        <v>213</v>
      </c>
      <c r="S3574" s="297" t="s">
        <v>214</v>
      </c>
    </row>
    <row r="3575" spans="1:19" x14ac:dyDescent="0.4">
      <c r="A3575" s="291"/>
      <c r="B3575" s="292"/>
      <c r="C3575" s="312"/>
      <c r="D3575" s="292"/>
      <c r="E3575" s="489"/>
      <c r="F3575" s="489"/>
      <c r="G3575" s="490"/>
      <c r="H3575" s="520"/>
      <c r="I3575" s="523"/>
      <c r="J3575" s="521"/>
      <c r="K3575" s="522"/>
      <c r="M3575" s="301" t="str">
        <f>N3575&amp;AS[[#This Row],[Insurer Code]]&amp;"; "&amp;O3575&amp;AS[[#This Row],[Reporting Year]]&amp;"; "&amp;P3575&amp;AS[[#This Row],[Insurance Category Code]]&amp;"; "&amp;Q3575&amp;AS[[#This Row],[Large Provider Entity Code]]&amp;"; "&amp;R3575&amp;AS[[#This Row],[Age Band Code]]&amp;"; "&amp;S3575&amp;AS[[#This Row],[Sex Code]]</f>
        <v xml:space="preserve">Insurer Code ; Reporting Year ; Insurance Category Code ; Large Provider Entity Code ; Age Band Code ; Sex Code </v>
      </c>
      <c r="N3575" s="297" t="s">
        <v>197</v>
      </c>
      <c r="O3575" s="297" t="s">
        <v>198</v>
      </c>
      <c r="P3575" s="297" t="s">
        <v>199</v>
      </c>
      <c r="Q3575" s="297" t="s">
        <v>200</v>
      </c>
      <c r="R3575" s="297" t="s">
        <v>213</v>
      </c>
      <c r="S3575" s="297" t="s">
        <v>214</v>
      </c>
    </row>
    <row r="3576" spans="1:19" x14ac:dyDescent="0.4">
      <c r="A3576" s="291"/>
      <c r="B3576" s="292"/>
      <c r="C3576" s="312"/>
      <c r="D3576" s="292"/>
      <c r="E3576" s="489"/>
      <c r="F3576" s="489"/>
      <c r="G3576" s="490"/>
      <c r="H3576" s="520"/>
      <c r="I3576" s="523"/>
      <c r="J3576" s="521"/>
      <c r="K3576" s="522"/>
      <c r="M3576" s="301" t="str">
        <f>N3576&amp;AS[[#This Row],[Insurer Code]]&amp;"; "&amp;O3576&amp;AS[[#This Row],[Reporting Year]]&amp;"; "&amp;P3576&amp;AS[[#This Row],[Insurance Category Code]]&amp;"; "&amp;Q3576&amp;AS[[#This Row],[Large Provider Entity Code]]&amp;"; "&amp;R3576&amp;AS[[#This Row],[Age Band Code]]&amp;"; "&amp;S3576&amp;AS[[#This Row],[Sex Code]]</f>
        <v xml:space="preserve">Insurer Code ; Reporting Year ; Insurance Category Code ; Large Provider Entity Code ; Age Band Code ; Sex Code </v>
      </c>
      <c r="N3576" s="297" t="s">
        <v>197</v>
      </c>
      <c r="O3576" s="297" t="s">
        <v>198</v>
      </c>
      <c r="P3576" s="297" t="s">
        <v>199</v>
      </c>
      <c r="Q3576" s="297" t="s">
        <v>200</v>
      </c>
      <c r="R3576" s="297" t="s">
        <v>213</v>
      </c>
      <c r="S3576" s="297" t="s">
        <v>214</v>
      </c>
    </row>
    <row r="3577" spans="1:19" x14ac:dyDescent="0.4">
      <c r="A3577" s="291"/>
      <c r="B3577" s="292"/>
      <c r="C3577" s="312"/>
      <c r="D3577" s="292"/>
      <c r="E3577" s="489"/>
      <c r="F3577" s="489"/>
      <c r="G3577" s="490"/>
      <c r="H3577" s="520"/>
      <c r="I3577" s="523"/>
      <c r="J3577" s="521"/>
      <c r="K3577" s="522"/>
      <c r="M3577" s="301" t="str">
        <f>N3577&amp;AS[[#This Row],[Insurer Code]]&amp;"; "&amp;O3577&amp;AS[[#This Row],[Reporting Year]]&amp;"; "&amp;P3577&amp;AS[[#This Row],[Insurance Category Code]]&amp;"; "&amp;Q3577&amp;AS[[#This Row],[Large Provider Entity Code]]&amp;"; "&amp;R3577&amp;AS[[#This Row],[Age Band Code]]&amp;"; "&amp;S3577&amp;AS[[#This Row],[Sex Code]]</f>
        <v xml:space="preserve">Insurer Code ; Reporting Year ; Insurance Category Code ; Large Provider Entity Code ; Age Band Code ; Sex Code </v>
      </c>
      <c r="N3577" s="297" t="s">
        <v>197</v>
      </c>
      <c r="O3577" s="297" t="s">
        <v>198</v>
      </c>
      <c r="P3577" s="297" t="s">
        <v>199</v>
      </c>
      <c r="Q3577" s="297" t="s">
        <v>200</v>
      </c>
      <c r="R3577" s="297" t="s">
        <v>213</v>
      </c>
      <c r="S3577" s="297" t="s">
        <v>214</v>
      </c>
    </row>
    <row r="3578" spans="1:19" x14ac:dyDescent="0.4">
      <c r="A3578" s="291"/>
      <c r="B3578" s="292"/>
      <c r="C3578" s="312"/>
      <c r="D3578" s="292"/>
      <c r="E3578" s="489"/>
      <c r="F3578" s="489"/>
      <c r="G3578" s="490"/>
      <c r="H3578" s="520"/>
      <c r="I3578" s="523"/>
      <c r="J3578" s="521"/>
      <c r="K3578" s="522"/>
      <c r="M3578" s="301" t="str">
        <f>N3578&amp;AS[[#This Row],[Insurer Code]]&amp;"; "&amp;O3578&amp;AS[[#This Row],[Reporting Year]]&amp;"; "&amp;P3578&amp;AS[[#This Row],[Insurance Category Code]]&amp;"; "&amp;Q3578&amp;AS[[#This Row],[Large Provider Entity Code]]&amp;"; "&amp;R3578&amp;AS[[#This Row],[Age Band Code]]&amp;"; "&amp;S3578&amp;AS[[#This Row],[Sex Code]]</f>
        <v xml:space="preserve">Insurer Code ; Reporting Year ; Insurance Category Code ; Large Provider Entity Code ; Age Band Code ; Sex Code </v>
      </c>
      <c r="N3578" s="297" t="s">
        <v>197</v>
      </c>
      <c r="O3578" s="297" t="s">
        <v>198</v>
      </c>
      <c r="P3578" s="297" t="s">
        <v>199</v>
      </c>
      <c r="Q3578" s="297" t="s">
        <v>200</v>
      </c>
      <c r="R3578" s="297" t="s">
        <v>213</v>
      </c>
      <c r="S3578" s="297" t="s">
        <v>214</v>
      </c>
    </row>
    <row r="3579" spans="1:19" x14ac:dyDescent="0.4">
      <c r="A3579" s="291"/>
      <c r="B3579" s="292"/>
      <c r="C3579" s="312"/>
      <c r="D3579" s="292"/>
      <c r="E3579" s="489"/>
      <c r="F3579" s="489"/>
      <c r="G3579" s="490"/>
      <c r="H3579" s="520"/>
      <c r="I3579" s="523"/>
      <c r="J3579" s="521"/>
      <c r="K3579" s="522"/>
      <c r="M3579" s="301" t="str">
        <f>N3579&amp;AS[[#This Row],[Insurer Code]]&amp;"; "&amp;O3579&amp;AS[[#This Row],[Reporting Year]]&amp;"; "&amp;P3579&amp;AS[[#This Row],[Insurance Category Code]]&amp;"; "&amp;Q3579&amp;AS[[#This Row],[Large Provider Entity Code]]&amp;"; "&amp;R3579&amp;AS[[#This Row],[Age Band Code]]&amp;"; "&amp;S3579&amp;AS[[#This Row],[Sex Code]]</f>
        <v xml:space="preserve">Insurer Code ; Reporting Year ; Insurance Category Code ; Large Provider Entity Code ; Age Band Code ; Sex Code </v>
      </c>
      <c r="N3579" s="297" t="s">
        <v>197</v>
      </c>
      <c r="O3579" s="297" t="s">
        <v>198</v>
      </c>
      <c r="P3579" s="297" t="s">
        <v>199</v>
      </c>
      <c r="Q3579" s="297" t="s">
        <v>200</v>
      </c>
      <c r="R3579" s="297" t="s">
        <v>213</v>
      </c>
      <c r="S3579" s="297" t="s">
        <v>214</v>
      </c>
    </row>
    <row r="3580" spans="1:19" x14ac:dyDescent="0.4">
      <c r="A3580" s="291"/>
      <c r="B3580" s="292"/>
      <c r="C3580" s="312"/>
      <c r="D3580" s="292"/>
      <c r="E3580" s="489"/>
      <c r="F3580" s="489"/>
      <c r="G3580" s="490"/>
      <c r="H3580" s="520"/>
      <c r="I3580" s="523"/>
      <c r="J3580" s="521"/>
      <c r="K3580" s="522"/>
      <c r="M3580" s="301" t="str">
        <f>N3580&amp;AS[[#This Row],[Insurer Code]]&amp;"; "&amp;O3580&amp;AS[[#This Row],[Reporting Year]]&amp;"; "&amp;P3580&amp;AS[[#This Row],[Insurance Category Code]]&amp;"; "&amp;Q3580&amp;AS[[#This Row],[Large Provider Entity Code]]&amp;"; "&amp;R3580&amp;AS[[#This Row],[Age Band Code]]&amp;"; "&amp;S3580&amp;AS[[#This Row],[Sex Code]]</f>
        <v xml:space="preserve">Insurer Code ; Reporting Year ; Insurance Category Code ; Large Provider Entity Code ; Age Band Code ; Sex Code </v>
      </c>
      <c r="N3580" s="297" t="s">
        <v>197</v>
      </c>
      <c r="O3580" s="297" t="s">
        <v>198</v>
      </c>
      <c r="P3580" s="297" t="s">
        <v>199</v>
      </c>
      <c r="Q3580" s="297" t="s">
        <v>200</v>
      </c>
      <c r="R3580" s="297" t="s">
        <v>213</v>
      </c>
      <c r="S3580" s="297" t="s">
        <v>214</v>
      </c>
    </row>
    <row r="3581" spans="1:19" x14ac:dyDescent="0.4">
      <c r="A3581" s="291"/>
      <c r="B3581" s="292"/>
      <c r="C3581" s="312"/>
      <c r="D3581" s="292"/>
      <c r="E3581" s="489"/>
      <c r="F3581" s="489"/>
      <c r="G3581" s="490"/>
      <c r="H3581" s="520"/>
      <c r="I3581" s="523"/>
      <c r="J3581" s="521"/>
      <c r="K3581" s="522"/>
      <c r="M3581" s="301" t="str">
        <f>N3581&amp;AS[[#This Row],[Insurer Code]]&amp;"; "&amp;O3581&amp;AS[[#This Row],[Reporting Year]]&amp;"; "&amp;P3581&amp;AS[[#This Row],[Insurance Category Code]]&amp;"; "&amp;Q3581&amp;AS[[#This Row],[Large Provider Entity Code]]&amp;"; "&amp;R3581&amp;AS[[#This Row],[Age Band Code]]&amp;"; "&amp;S3581&amp;AS[[#This Row],[Sex Code]]</f>
        <v xml:space="preserve">Insurer Code ; Reporting Year ; Insurance Category Code ; Large Provider Entity Code ; Age Band Code ; Sex Code </v>
      </c>
      <c r="N3581" s="297" t="s">
        <v>197</v>
      </c>
      <c r="O3581" s="297" t="s">
        <v>198</v>
      </c>
      <c r="P3581" s="297" t="s">
        <v>199</v>
      </c>
      <c r="Q3581" s="297" t="s">
        <v>200</v>
      </c>
      <c r="R3581" s="297" t="s">
        <v>213</v>
      </c>
      <c r="S3581" s="297" t="s">
        <v>214</v>
      </c>
    </row>
    <row r="3582" spans="1:19" x14ac:dyDescent="0.4">
      <c r="A3582" s="291"/>
      <c r="B3582" s="292"/>
      <c r="C3582" s="312"/>
      <c r="D3582" s="292"/>
      <c r="E3582" s="489"/>
      <c r="F3582" s="489"/>
      <c r="G3582" s="490"/>
      <c r="H3582" s="520"/>
      <c r="I3582" s="523"/>
      <c r="J3582" s="521"/>
      <c r="K3582" s="522"/>
      <c r="M3582" s="301" t="str">
        <f>N3582&amp;AS[[#This Row],[Insurer Code]]&amp;"; "&amp;O3582&amp;AS[[#This Row],[Reporting Year]]&amp;"; "&amp;P3582&amp;AS[[#This Row],[Insurance Category Code]]&amp;"; "&amp;Q3582&amp;AS[[#This Row],[Large Provider Entity Code]]&amp;"; "&amp;R3582&amp;AS[[#This Row],[Age Band Code]]&amp;"; "&amp;S3582&amp;AS[[#This Row],[Sex Code]]</f>
        <v xml:space="preserve">Insurer Code ; Reporting Year ; Insurance Category Code ; Large Provider Entity Code ; Age Band Code ; Sex Code </v>
      </c>
      <c r="N3582" s="297" t="s">
        <v>197</v>
      </c>
      <c r="O3582" s="297" t="s">
        <v>198</v>
      </c>
      <c r="P3582" s="297" t="s">
        <v>199</v>
      </c>
      <c r="Q3582" s="297" t="s">
        <v>200</v>
      </c>
      <c r="R3582" s="297" t="s">
        <v>213</v>
      </c>
      <c r="S3582" s="297" t="s">
        <v>214</v>
      </c>
    </row>
    <row r="3583" spans="1:19" x14ac:dyDescent="0.4">
      <c r="A3583" s="291"/>
      <c r="B3583" s="292"/>
      <c r="C3583" s="312"/>
      <c r="D3583" s="292"/>
      <c r="E3583" s="489"/>
      <c r="F3583" s="489"/>
      <c r="G3583" s="490"/>
      <c r="H3583" s="520"/>
      <c r="I3583" s="523"/>
      <c r="J3583" s="521"/>
      <c r="K3583" s="522"/>
      <c r="M3583" s="301" t="str">
        <f>N3583&amp;AS[[#This Row],[Insurer Code]]&amp;"; "&amp;O3583&amp;AS[[#This Row],[Reporting Year]]&amp;"; "&amp;P3583&amp;AS[[#This Row],[Insurance Category Code]]&amp;"; "&amp;Q3583&amp;AS[[#This Row],[Large Provider Entity Code]]&amp;"; "&amp;R3583&amp;AS[[#This Row],[Age Band Code]]&amp;"; "&amp;S3583&amp;AS[[#This Row],[Sex Code]]</f>
        <v xml:space="preserve">Insurer Code ; Reporting Year ; Insurance Category Code ; Large Provider Entity Code ; Age Band Code ; Sex Code </v>
      </c>
      <c r="N3583" s="297" t="s">
        <v>197</v>
      </c>
      <c r="O3583" s="297" t="s">
        <v>198</v>
      </c>
      <c r="P3583" s="297" t="s">
        <v>199</v>
      </c>
      <c r="Q3583" s="297" t="s">
        <v>200</v>
      </c>
      <c r="R3583" s="297" t="s">
        <v>213</v>
      </c>
      <c r="S3583" s="297" t="s">
        <v>214</v>
      </c>
    </row>
    <row r="3584" spans="1:19" x14ac:dyDescent="0.4">
      <c r="A3584" s="291"/>
      <c r="B3584" s="292"/>
      <c r="C3584" s="312"/>
      <c r="D3584" s="292"/>
      <c r="E3584" s="489"/>
      <c r="F3584" s="489"/>
      <c r="G3584" s="490"/>
      <c r="H3584" s="520"/>
      <c r="I3584" s="523"/>
      <c r="J3584" s="521"/>
      <c r="K3584" s="522"/>
      <c r="M3584" s="301" t="str">
        <f>N3584&amp;AS[[#This Row],[Insurer Code]]&amp;"; "&amp;O3584&amp;AS[[#This Row],[Reporting Year]]&amp;"; "&amp;P3584&amp;AS[[#This Row],[Insurance Category Code]]&amp;"; "&amp;Q3584&amp;AS[[#This Row],[Large Provider Entity Code]]&amp;"; "&amp;R3584&amp;AS[[#This Row],[Age Band Code]]&amp;"; "&amp;S3584&amp;AS[[#This Row],[Sex Code]]</f>
        <v xml:space="preserve">Insurer Code ; Reporting Year ; Insurance Category Code ; Large Provider Entity Code ; Age Band Code ; Sex Code </v>
      </c>
      <c r="N3584" s="297" t="s">
        <v>197</v>
      </c>
      <c r="O3584" s="297" t="s">
        <v>198</v>
      </c>
      <c r="P3584" s="297" t="s">
        <v>199</v>
      </c>
      <c r="Q3584" s="297" t="s">
        <v>200</v>
      </c>
      <c r="R3584" s="297" t="s">
        <v>213</v>
      </c>
      <c r="S3584" s="297" t="s">
        <v>214</v>
      </c>
    </row>
    <row r="3585" spans="1:19" x14ac:dyDescent="0.4">
      <c r="A3585" s="291"/>
      <c r="B3585" s="292"/>
      <c r="C3585" s="312"/>
      <c r="D3585" s="292"/>
      <c r="E3585" s="489"/>
      <c r="F3585" s="489"/>
      <c r="G3585" s="490"/>
      <c r="H3585" s="520"/>
      <c r="I3585" s="523"/>
      <c r="J3585" s="521"/>
      <c r="K3585" s="522"/>
      <c r="M3585" s="301" t="str">
        <f>N3585&amp;AS[[#This Row],[Insurer Code]]&amp;"; "&amp;O3585&amp;AS[[#This Row],[Reporting Year]]&amp;"; "&amp;P3585&amp;AS[[#This Row],[Insurance Category Code]]&amp;"; "&amp;Q3585&amp;AS[[#This Row],[Large Provider Entity Code]]&amp;"; "&amp;R3585&amp;AS[[#This Row],[Age Band Code]]&amp;"; "&amp;S3585&amp;AS[[#This Row],[Sex Code]]</f>
        <v xml:space="preserve">Insurer Code ; Reporting Year ; Insurance Category Code ; Large Provider Entity Code ; Age Band Code ; Sex Code </v>
      </c>
      <c r="N3585" s="297" t="s">
        <v>197</v>
      </c>
      <c r="O3585" s="297" t="s">
        <v>198</v>
      </c>
      <c r="P3585" s="297" t="s">
        <v>199</v>
      </c>
      <c r="Q3585" s="297" t="s">
        <v>200</v>
      </c>
      <c r="R3585" s="297" t="s">
        <v>213</v>
      </c>
      <c r="S3585" s="297" t="s">
        <v>214</v>
      </c>
    </row>
    <row r="3586" spans="1:19" x14ac:dyDescent="0.4">
      <c r="A3586" s="291"/>
      <c r="B3586" s="292"/>
      <c r="C3586" s="312"/>
      <c r="D3586" s="292"/>
      <c r="E3586" s="489"/>
      <c r="F3586" s="489"/>
      <c r="G3586" s="490"/>
      <c r="H3586" s="520"/>
      <c r="I3586" s="523"/>
      <c r="J3586" s="521"/>
      <c r="K3586" s="522"/>
      <c r="M3586" s="301" t="str">
        <f>N3586&amp;AS[[#This Row],[Insurer Code]]&amp;"; "&amp;O3586&amp;AS[[#This Row],[Reporting Year]]&amp;"; "&amp;P3586&amp;AS[[#This Row],[Insurance Category Code]]&amp;"; "&amp;Q3586&amp;AS[[#This Row],[Large Provider Entity Code]]&amp;"; "&amp;R3586&amp;AS[[#This Row],[Age Band Code]]&amp;"; "&amp;S3586&amp;AS[[#This Row],[Sex Code]]</f>
        <v xml:space="preserve">Insurer Code ; Reporting Year ; Insurance Category Code ; Large Provider Entity Code ; Age Band Code ; Sex Code </v>
      </c>
      <c r="N3586" s="297" t="s">
        <v>197</v>
      </c>
      <c r="O3586" s="297" t="s">
        <v>198</v>
      </c>
      <c r="P3586" s="297" t="s">
        <v>199</v>
      </c>
      <c r="Q3586" s="297" t="s">
        <v>200</v>
      </c>
      <c r="R3586" s="297" t="s">
        <v>213</v>
      </c>
      <c r="S3586" s="297" t="s">
        <v>214</v>
      </c>
    </row>
    <row r="3587" spans="1:19" x14ac:dyDescent="0.4">
      <c r="A3587" s="291"/>
      <c r="B3587" s="292"/>
      <c r="C3587" s="312"/>
      <c r="D3587" s="292"/>
      <c r="E3587" s="489"/>
      <c r="F3587" s="489"/>
      <c r="G3587" s="490"/>
      <c r="H3587" s="520"/>
      <c r="I3587" s="523"/>
      <c r="J3587" s="521"/>
      <c r="K3587" s="522"/>
      <c r="M3587" s="301" t="str">
        <f>N3587&amp;AS[[#This Row],[Insurer Code]]&amp;"; "&amp;O3587&amp;AS[[#This Row],[Reporting Year]]&amp;"; "&amp;P3587&amp;AS[[#This Row],[Insurance Category Code]]&amp;"; "&amp;Q3587&amp;AS[[#This Row],[Large Provider Entity Code]]&amp;"; "&amp;R3587&amp;AS[[#This Row],[Age Band Code]]&amp;"; "&amp;S3587&amp;AS[[#This Row],[Sex Code]]</f>
        <v xml:space="preserve">Insurer Code ; Reporting Year ; Insurance Category Code ; Large Provider Entity Code ; Age Band Code ; Sex Code </v>
      </c>
      <c r="N3587" s="297" t="s">
        <v>197</v>
      </c>
      <c r="O3587" s="297" t="s">
        <v>198</v>
      </c>
      <c r="P3587" s="297" t="s">
        <v>199</v>
      </c>
      <c r="Q3587" s="297" t="s">
        <v>200</v>
      </c>
      <c r="R3587" s="297" t="s">
        <v>213</v>
      </c>
      <c r="S3587" s="297" t="s">
        <v>214</v>
      </c>
    </row>
    <row r="3588" spans="1:19" x14ac:dyDescent="0.4">
      <c r="A3588" s="291"/>
      <c r="B3588" s="292"/>
      <c r="C3588" s="312"/>
      <c r="D3588" s="292"/>
      <c r="E3588" s="489"/>
      <c r="F3588" s="489"/>
      <c r="G3588" s="490"/>
      <c r="H3588" s="520"/>
      <c r="I3588" s="523"/>
      <c r="J3588" s="521"/>
      <c r="K3588" s="522"/>
      <c r="M3588" s="301" t="str">
        <f>N3588&amp;AS[[#This Row],[Insurer Code]]&amp;"; "&amp;O3588&amp;AS[[#This Row],[Reporting Year]]&amp;"; "&amp;P3588&amp;AS[[#This Row],[Insurance Category Code]]&amp;"; "&amp;Q3588&amp;AS[[#This Row],[Large Provider Entity Code]]&amp;"; "&amp;R3588&amp;AS[[#This Row],[Age Band Code]]&amp;"; "&amp;S3588&amp;AS[[#This Row],[Sex Code]]</f>
        <v xml:space="preserve">Insurer Code ; Reporting Year ; Insurance Category Code ; Large Provider Entity Code ; Age Band Code ; Sex Code </v>
      </c>
      <c r="N3588" s="297" t="s">
        <v>197</v>
      </c>
      <c r="O3588" s="297" t="s">
        <v>198</v>
      </c>
      <c r="P3588" s="297" t="s">
        <v>199</v>
      </c>
      <c r="Q3588" s="297" t="s">
        <v>200</v>
      </c>
      <c r="R3588" s="297" t="s">
        <v>213</v>
      </c>
      <c r="S3588" s="297" t="s">
        <v>214</v>
      </c>
    </row>
    <row r="3589" spans="1:19" x14ac:dyDescent="0.4">
      <c r="A3589" s="291"/>
      <c r="B3589" s="292"/>
      <c r="C3589" s="312"/>
      <c r="D3589" s="292"/>
      <c r="E3589" s="489"/>
      <c r="F3589" s="489"/>
      <c r="G3589" s="490"/>
      <c r="H3589" s="520"/>
      <c r="I3589" s="523"/>
      <c r="J3589" s="521"/>
      <c r="K3589" s="522"/>
      <c r="M3589" s="301" t="str">
        <f>N3589&amp;AS[[#This Row],[Insurer Code]]&amp;"; "&amp;O3589&amp;AS[[#This Row],[Reporting Year]]&amp;"; "&amp;P3589&amp;AS[[#This Row],[Insurance Category Code]]&amp;"; "&amp;Q3589&amp;AS[[#This Row],[Large Provider Entity Code]]&amp;"; "&amp;R3589&amp;AS[[#This Row],[Age Band Code]]&amp;"; "&amp;S3589&amp;AS[[#This Row],[Sex Code]]</f>
        <v xml:space="preserve">Insurer Code ; Reporting Year ; Insurance Category Code ; Large Provider Entity Code ; Age Band Code ; Sex Code </v>
      </c>
      <c r="N3589" s="297" t="s">
        <v>197</v>
      </c>
      <c r="O3589" s="297" t="s">
        <v>198</v>
      </c>
      <c r="P3589" s="297" t="s">
        <v>199</v>
      </c>
      <c r="Q3589" s="297" t="s">
        <v>200</v>
      </c>
      <c r="R3589" s="297" t="s">
        <v>213</v>
      </c>
      <c r="S3589" s="297" t="s">
        <v>214</v>
      </c>
    </row>
    <row r="3590" spans="1:19" x14ac:dyDescent="0.4">
      <c r="A3590" s="291"/>
      <c r="B3590" s="292"/>
      <c r="C3590" s="312"/>
      <c r="D3590" s="292"/>
      <c r="E3590" s="489"/>
      <c r="F3590" s="489"/>
      <c r="G3590" s="490"/>
      <c r="H3590" s="520"/>
      <c r="I3590" s="523"/>
      <c r="J3590" s="521"/>
      <c r="K3590" s="522"/>
      <c r="M3590" s="301" t="str">
        <f>N3590&amp;AS[[#This Row],[Insurer Code]]&amp;"; "&amp;O3590&amp;AS[[#This Row],[Reporting Year]]&amp;"; "&amp;P3590&amp;AS[[#This Row],[Insurance Category Code]]&amp;"; "&amp;Q3590&amp;AS[[#This Row],[Large Provider Entity Code]]&amp;"; "&amp;R3590&amp;AS[[#This Row],[Age Band Code]]&amp;"; "&amp;S3590&amp;AS[[#This Row],[Sex Code]]</f>
        <v xml:space="preserve">Insurer Code ; Reporting Year ; Insurance Category Code ; Large Provider Entity Code ; Age Band Code ; Sex Code </v>
      </c>
      <c r="N3590" s="297" t="s">
        <v>197</v>
      </c>
      <c r="O3590" s="297" t="s">
        <v>198</v>
      </c>
      <c r="P3590" s="297" t="s">
        <v>199</v>
      </c>
      <c r="Q3590" s="297" t="s">
        <v>200</v>
      </c>
      <c r="R3590" s="297" t="s">
        <v>213</v>
      </c>
      <c r="S3590" s="297" t="s">
        <v>214</v>
      </c>
    </row>
    <row r="3591" spans="1:19" x14ac:dyDescent="0.4">
      <c r="A3591" s="291"/>
      <c r="B3591" s="292"/>
      <c r="C3591" s="312"/>
      <c r="D3591" s="292"/>
      <c r="E3591" s="489"/>
      <c r="F3591" s="489"/>
      <c r="G3591" s="490"/>
      <c r="H3591" s="520"/>
      <c r="I3591" s="523"/>
      <c r="J3591" s="521"/>
      <c r="K3591" s="522"/>
      <c r="M3591" s="301" t="str">
        <f>N3591&amp;AS[[#This Row],[Insurer Code]]&amp;"; "&amp;O3591&amp;AS[[#This Row],[Reporting Year]]&amp;"; "&amp;P3591&amp;AS[[#This Row],[Insurance Category Code]]&amp;"; "&amp;Q3591&amp;AS[[#This Row],[Large Provider Entity Code]]&amp;"; "&amp;R3591&amp;AS[[#This Row],[Age Band Code]]&amp;"; "&amp;S3591&amp;AS[[#This Row],[Sex Code]]</f>
        <v xml:space="preserve">Insurer Code ; Reporting Year ; Insurance Category Code ; Large Provider Entity Code ; Age Band Code ; Sex Code </v>
      </c>
      <c r="N3591" s="297" t="s">
        <v>197</v>
      </c>
      <c r="O3591" s="297" t="s">
        <v>198</v>
      </c>
      <c r="P3591" s="297" t="s">
        <v>199</v>
      </c>
      <c r="Q3591" s="297" t="s">
        <v>200</v>
      </c>
      <c r="R3591" s="297" t="s">
        <v>213</v>
      </c>
      <c r="S3591" s="297" t="s">
        <v>214</v>
      </c>
    </row>
    <row r="3592" spans="1:19" x14ac:dyDescent="0.4">
      <c r="A3592" s="291"/>
      <c r="B3592" s="292"/>
      <c r="C3592" s="312"/>
      <c r="D3592" s="292"/>
      <c r="E3592" s="489"/>
      <c r="F3592" s="489"/>
      <c r="G3592" s="490"/>
      <c r="H3592" s="520"/>
      <c r="I3592" s="523"/>
      <c r="J3592" s="521"/>
      <c r="K3592" s="522"/>
      <c r="M3592" s="301" t="str">
        <f>N3592&amp;AS[[#This Row],[Insurer Code]]&amp;"; "&amp;O3592&amp;AS[[#This Row],[Reporting Year]]&amp;"; "&amp;P3592&amp;AS[[#This Row],[Insurance Category Code]]&amp;"; "&amp;Q3592&amp;AS[[#This Row],[Large Provider Entity Code]]&amp;"; "&amp;R3592&amp;AS[[#This Row],[Age Band Code]]&amp;"; "&amp;S3592&amp;AS[[#This Row],[Sex Code]]</f>
        <v xml:space="preserve">Insurer Code ; Reporting Year ; Insurance Category Code ; Large Provider Entity Code ; Age Band Code ; Sex Code </v>
      </c>
      <c r="N3592" s="297" t="s">
        <v>197</v>
      </c>
      <c r="O3592" s="297" t="s">
        <v>198</v>
      </c>
      <c r="P3592" s="297" t="s">
        <v>199</v>
      </c>
      <c r="Q3592" s="297" t="s">
        <v>200</v>
      </c>
      <c r="R3592" s="297" t="s">
        <v>213</v>
      </c>
      <c r="S3592" s="297" t="s">
        <v>214</v>
      </c>
    </row>
    <row r="3593" spans="1:19" x14ac:dyDescent="0.4">
      <c r="A3593" s="291"/>
      <c r="B3593" s="292"/>
      <c r="C3593" s="312"/>
      <c r="D3593" s="292"/>
      <c r="E3593" s="489"/>
      <c r="F3593" s="489"/>
      <c r="G3593" s="490"/>
      <c r="H3593" s="520"/>
      <c r="I3593" s="523"/>
      <c r="J3593" s="521"/>
      <c r="K3593" s="522"/>
      <c r="M3593" s="301" t="str">
        <f>N3593&amp;AS[[#This Row],[Insurer Code]]&amp;"; "&amp;O3593&amp;AS[[#This Row],[Reporting Year]]&amp;"; "&amp;P3593&amp;AS[[#This Row],[Insurance Category Code]]&amp;"; "&amp;Q3593&amp;AS[[#This Row],[Large Provider Entity Code]]&amp;"; "&amp;R3593&amp;AS[[#This Row],[Age Band Code]]&amp;"; "&amp;S3593&amp;AS[[#This Row],[Sex Code]]</f>
        <v xml:space="preserve">Insurer Code ; Reporting Year ; Insurance Category Code ; Large Provider Entity Code ; Age Band Code ; Sex Code </v>
      </c>
      <c r="N3593" s="297" t="s">
        <v>197</v>
      </c>
      <c r="O3593" s="297" t="s">
        <v>198</v>
      </c>
      <c r="P3593" s="297" t="s">
        <v>199</v>
      </c>
      <c r="Q3593" s="297" t="s">
        <v>200</v>
      </c>
      <c r="R3593" s="297" t="s">
        <v>213</v>
      </c>
      <c r="S3593" s="297" t="s">
        <v>214</v>
      </c>
    </row>
    <row r="3594" spans="1:19" x14ac:dyDescent="0.4">
      <c r="A3594" s="291"/>
      <c r="B3594" s="292"/>
      <c r="C3594" s="312"/>
      <c r="D3594" s="292"/>
      <c r="E3594" s="489"/>
      <c r="F3594" s="489"/>
      <c r="G3594" s="490"/>
      <c r="H3594" s="520"/>
      <c r="I3594" s="523"/>
      <c r="J3594" s="521"/>
      <c r="K3594" s="522"/>
      <c r="M3594" s="301" t="str">
        <f>N3594&amp;AS[[#This Row],[Insurer Code]]&amp;"; "&amp;O3594&amp;AS[[#This Row],[Reporting Year]]&amp;"; "&amp;P3594&amp;AS[[#This Row],[Insurance Category Code]]&amp;"; "&amp;Q3594&amp;AS[[#This Row],[Large Provider Entity Code]]&amp;"; "&amp;R3594&amp;AS[[#This Row],[Age Band Code]]&amp;"; "&amp;S3594&amp;AS[[#This Row],[Sex Code]]</f>
        <v xml:space="preserve">Insurer Code ; Reporting Year ; Insurance Category Code ; Large Provider Entity Code ; Age Band Code ; Sex Code </v>
      </c>
      <c r="N3594" s="297" t="s">
        <v>197</v>
      </c>
      <c r="O3594" s="297" t="s">
        <v>198</v>
      </c>
      <c r="P3594" s="297" t="s">
        <v>199</v>
      </c>
      <c r="Q3594" s="297" t="s">
        <v>200</v>
      </c>
      <c r="R3594" s="297" t="s">
        <v>213</v>
      </c>
      <c r="S3594" s="297" t="s">
        <v>214</v>
      </c>
    </row>
    <row r="3595" spans="1:19" x14ac:dyDescent="0.4">
      <c r="A3595" s="291"/>
      <c r="B3595" s="292"/>
      <c r="C3595" s="312"/>
      <c r="D3595" s="292"/>
      <c r="E3595" s="489"/>
      <c r="F3595" s="489"/>
      <c r="G3595" s="490"/>
      <c r="H3595" s="520"/>
      <c r="I3595" s="523"/>
      <c r="J3595" s="521"/>
      <c r="K3595" s="522"/>
      <c r="M3595" s="301" t="str">
        <f>N3595&amp;AS[[#This Row],[Insurer Code]]&amp;"; "&amp;O3595&amp;AS[[#This Row],[Reporting Year]]&amp;"; "&amp;P3595&amp;AS[[#This Row],[Insurance Category Code]]&amp;"; "&amp;Q3595&amp;AS[[#This Row],[Large Provider Entity Code]]&amp;"; "&amp;R3595&amp;AS[[#This Row],[Age Band Code]]&amp;"; "&amp;S3595&amp;AS[[#This Row],[Sex Code]]</f>
        <v xml:space="preserve">Insurer Code ; Reporting Year ; Insurance Category Code ; Large Provider Entity Code ; Age Band Code ; Sex Code </v>
      </c>
      <c r="N3595" s="297" t="s">
        <v>197</v>
      </c>
      <c r="O3595" s="297" t="s">
        <v>198</v>
      </c>
      <c r="P3595" s="297" t="s">
        <v>199</v>
      </c>
      <c r="Q3595" s="297" t="s">
        <v>200</v>
      </c>
      <c r="R3595" s="297" t="s">
        <v>213</v>
      </c>
      <c r="S3595" s="297" t="s">
        <v>214</v>
      </c>
    </row>
    <row r="3596" spans="1:19" x14ac:dyDescent="0.4">
      <c r="A3596" s="291"/>
      <c r="B3596" s="292"/>
      <c r="C3596" s="312"/>
      <c r="D3596" s="292"/>
      <c r="E3596" s="489"/>
      <c r="F3596" s="489"/>
      <c r="G3596" s="490"/>
      <c r="H3596" s="520"/>
      <c r="I3596" s="523"/>
      <c r="J3596" s="521"/>
      <c r="K3596" s="522"/>
      <c r="M3596" s="301" t="str">
        <f>N3596&amp;AS[[#This Row],[Insurer Code]]&amp;"; "&amp;O3596&amp;AS[[#This Row],[Reporting Year]]&amp;"; "&amp;P3596&amp;AS[[#This Row],[Insurance Category Code]]&amp;"; "&amp;Q3596&amp;AS[[#This Row],[Large Provider Entity Code]]&amp;"; "&amp;R3596&amp;AS[[#This Row],[Age Band Code]]&amp;"; "&amp;S3596&amp;AS[[#This Row],[Sex Code]]</f>
        <v xml:space="preserve">Insurer Code ; Reporting Year ; Insurance Category Code ; Large Provider Entity Code ; Age Band Code ; Sex Code </v>
      </c>
      <c r="N3596" s="297" t="s">
        <v>197</v>
      </c>
      <c r="O3596" s="297" t="s">
        <v>198</v>
      </c>
      <c r="P3596" s="297" t="s">
        <v>199</v>
      </c>
      <c r="Q3596" s="297" t="s">
        <v>200</v>
      </c>
      <c r="R3596" s="297" t="s">
        <v>213</v>
      </c>
      <c r="S3596" s="297" t="s">
        <v>214</v>
      </c>
    </row>
    <row r="3597" spans="1:19" x14ac:dyDescent="0.4">
      <c r="A3597" s="291"/>
      <c r="B3597" s="292"/>
      <c r="C3597" s="312"/>
      <c r="D3597" s="292"/>
      <c r="E3597" s="489"/>
      <c r="F3597" s="489"/>
      <c r="G3597" s="490"/>
      <c r="H3597" s="520"/>
      <c r="I3597" s="523"/>
      <c r="J3597" s="521"/>
      <c r="K3597" s="522"/>
      <c r="M3597" s="301" t="str">
        <f>N3597&amp;AS[[#This Row],[Insurer Code]]&amp;"; "&amp;O3597&amp;AS[[#This Row],[Reporting Year]]&amp;"; "&amp;P3597&amp;AS[[#This Row],[Insurance Category Code]]&amp;"; "&amp;Q3597&amp;AS[[#This Row],[Large Provider Entity Code]]&amp;"; "&amp;R3597&amp;AS[[#This Row],[Age Band Code]]&amp;"; "&amp;S3597&amp;AS[[#This Row],[Sex Code]]</f>
        <v xml:space="preserve">Insurer Code ; Reporting Year ; Insurance Category Code ; Large Provider Entity Code ; Age Band Code ; Sex Code </v>
      </c>
      <c r="N3597" s="297" t="s">
        <v>197</v>
      </c>
      <c r="O3597" s="297" t="s">
        <v>198</v>
      </c>
      <c r="P3597" s="297" t="s">
        <v>199</v>
      </c>
      <c r="Q3597" s="297" t="s">
        <v>200</v>
      </c>
      <c r="R3597" s="297" t="s">
        <v>213</v>
      </c>
      <c r="S3597" s="297" t="s">
        <v>214</v>
      </c>
    </row>
    <row r="3598" spans="1:19" x14ac:dyDescent="0.4">
      <c r="A3598" s="291"/>
      <c r="B3598" s="292"/>
      <c r="C3598" s="312"/>
      <c r="D3598" s="292"/>
      <c r="E3598" s="489"/>
      <c r="F3598" s="489"/>
      <c r="G3598" s="490"/>
      <c r="H3598" s="520"/>
      <c r="I3598" s="523"/>
      <c r="J3598" s="521"/>
      <c r="K3598" s="522"/>
      <c r="M3598" s="301" t="str">
        <f>N3598&amp;AS[[#This Row],[Insurer Code]]&amp;"; "&amp;O3598&amp;AS[[#This Row],[Reporting Year]]&amp;"; "&amp;P3598&amp;AS[[#This Row],[Insurance Category Code]]&amp;"; "&amp;Q3598&amp;AS[[#This Row],[Large Provider Entity Code]]&amp;"; "&amp;R3598&amp;AS[[#This Row],[Age Band Code]]&amp;"; "&amp;S3598&amp;AS[[#This Row],[Sex Code]]</f>
        <v xml:space="preserve">Insurer Code ; Reporting Year ; Insurance Category Code ; Large Provider Entity Code ; Age Band Code ; Sex Code </v>
      </c>
      <c r="N3598" s="297" t="s">
        <v>197</v>
      </c>
      <c r="O3598" s="297" t="s">
        <v>198</v>
      </c>
      <c r="P3598" s="297" t="s">
        <v>199</v>
      </c>
      <c r="Q3598" s="297" t="s">
        <v>200</v>
      </c>
      <c r="R3598" s="297" t="s">
        <v>213</v>
      </c>
      <c r="S3598" s="297" t="s">
        <v>214</v>
      </c>
    </row>
    <row r="3599" spans="1:19" x14ac:dyDescent="0.4">
      <c r="A3599" s="291"/>
      <c r="B3599" s="292"/>
      <c r="C3599" s="312"/>
      <c r="D3599" s="292"/>
      <c r="E3599" s="489"/>
      <c r="F3599" s="489"/>
      <c r="G3599" s="490"/>
      <c r="H3599" s="520"/>
      <c r="I3599" s="523"/>
      <c r="J3599" s="521"/>
      <c r="K3599" s="522"/>
      <c r="M3599" s="301" t="str">
        <f>N3599&amp;AS[[#This Row],[Insurer Code]]&amp;"; "&amp;O3599&amp;AS[[#This Row],[Reporting Year]]&amp;"; "&amp;P3599&amp;AS[[#This Row],[Insurance Category Code]]&amp;"; "&amp;Q3599&amp;AS[[#This Row],[Large Provider Entity Code]]&amp;"; "&amp;R3599&amp;AS[[#This Row],[Age Band Code]]&amp;"; "&amp;S3599&amp;AS[[#This Row],[Sex Code]]</f>
        <v xml:space="preserve">Insurer Code ; Reporting Year ; Insurance Category Code ; Large Provider Entity Code ; Age Band Code ; Sex Code </v>
      </c>
      <c r="N3599" s="297" t="s">
        <v>197</v>
      </c>
      <c r="O3599" s="297" t="s">
        <v>198</v>
      </c>
      <c r="P3599" s="297" t="s">
        <v>199</v>
      </c>
      <c r="Q3599" s="297" t="s">
        <v>200</v>
      </c>
      <c r="R3599" s="297" t="s">
        <v>213</v>
      </c>
      <c r="S3599" s="297" t="s">
        <v>214</v>
      </c>
    </row>
    <row r="3600" spans="1:19" x14ac:dyDescent="0.4">
      <c r="A3600" s="291"/>
      <c r="B3600" s="292"/>
      <c r="C3600" s="312"/>
      <c r="D3600" s="292"/>
      <c r="E3600" s="489"/>
      <c r="F3600" s="489"/>
      <c r="G3600" s="490"/>
      <c r="H3600" s="520"/>
      <c r="I3600" s="523"/>
      <c r="J3600" s="521"/>
      <c r="K3600" s="522"/>
      <c r="M3600" s="301" t="str">
        <f>N3600&amp;AS[[#This Row],[Insurer Code]]&amp;"; "&amp;O3600&amp;AS[[#This Row],[Reporting Year]]&amp;"; "&amp;P3600&amp;AS[[#This Row],[Insurance Category Code]]&amp;"; "&amp;Q3600&amp;AS[[#This Row],[Large Provider Entity Code]]&amp;"; "&amp;R3600&amp;AS[[#This Row],[Age Band Code]]&amp;"; "&amp;S3600&amp;AS[[#This Row],[Sex Code]]</f>
        <v xml:space="preserve">Insurer Code ; Reporting Year ; Insurance Category Code ; Large Provider Entity Code ; Age Band Code ; Sex Code </v>
      </c>
      <c r="N3600" s="297" t="s">
        <v>197</v>
      </c>
      <c r="O3600" s="297" t="s">
        <v>198</v>
      </c>
      <c r="P3600" s="297" t="s">
        <v>199</v>
      </c>
      <c r="Q3600" s="297" t="s">
        <v>200</v>
      </c>
      <c r="R3600" s="297" t="s">
        <v>213</v>
      </c>
      <c r="S3600" s="297" t="s">
        <v>214</v>
      </c>
    </row>
    <row r="3601" spans="1:19" x14ac:dyDescent="0.4">
      <c r="A3601" s="291"/>
      <c r="B3601" s="292"/>
      <c r="C3601" s="312"/>
      <c r="D3601" s="292"/>
      <c r="E3601" s="489"/>
      <c r="F3601" s="489"/>
      <c r="G3601" s="490"/>
      <c r="H3601" s="520"/>
      <c r="I3601" s="523"/>
      <c r="J3601" s="521"/>
      <c r="K3601" s="522"/>
      <c r="M3601" s="301" t="str">
        <f>N3601&amp;AS[[#This Row],[Insurer Code]]&amp;"; "&amp;O3601&amp;AS[[#This Row],[Reporting Year]]&amp;"; "&amp;P3601&amp;AS[[#This Row],[Insurance Category Code]]&amp;"; "&amp;Q3601&amp;AS[[#This Row],[Large Provider Entity Code]]&amp;"; "&amp;R3601&amp;AS[[#This Row],[Age Band Code]]&amp;"; "&amp;S3601&amp;AS[[#This Row],[Sex Code]]</f>
        <v xml:space="preserve">Insurer Code ; Reporting Year ; Insurance Category Code ; Large Provider Entity Code ; Age Band Code ; Sex Code </v>
      </c>
      <c r="N3601" s="297" t="s">
        <v>197</v>
      </c>
      <c r="O3601" s="297" t="s">
        <v>198</v>
      </c>
      <c r="P3601" s="297" t="s">
        <v>199</v>
      </c>
      <c r="Q3601" s="297" t="s">
        <v>200</v>
      </c>
      <c r="R3601" s="297" t="s">
        <v>213</v>
      </c>
      <c r="S3601" s="297" t="s">
        <v>214</v>
      </c>
    </row>
    <row r="3602" spans="1:19" x14ac:dyDescent="0.4">
      <c r="A3602" s="291"/>
      <c r="B3602" s="292"/>
      <c r="C3602" s="312"/>
      <c r="D3602" s="292"/>
      <c r="E3602" s="489"/>
      <c r="F3602" s="489"/>
      <c r="G3602" s="490"/>
      <c r="H3602" s="520"/>
      <c r="I3602" s="523"/>
      <c r="J3602" s="521"/>
      <c r="K3602" s="522"/>
      <c r="M3602" s="301" t="str">
        <f>N3602&amp;AS[[#This Row],[Insurer Code]]&amp;"; "&amp;O3602&amp;AS[[#This Row],[Reporting Year]]&amp;"; "&amp;P3602&amp;AS[[#This Row],[Insurance Category Code]]&amp;"; "&amp;Q3602&amp;AS[[#This Row],[Large Provider Entity Code]]&amp;"; "&amp;R3602&amp;AS[[#This Row],[Age Band Code]]&amp;"; "&amp;S3602&amp;AS[[#This Row],[Sex Code]]</f>
        <v xml:space="preserve">Insurer Code ; Reporting Year ; Insurance Category Code ; Large Provider Entity Code ; Age Band Code ; Sex Code </v>
      </c>
      <c r="N3602" s="297" t="s">
        <v>197</v>
      </c>
      <c r="O3602" s="297" t="s">
        <v>198</v>
      </c>
      <c r="P3602" s="297" t="s">
        <v>199</v>
      </c>
      <c r="Q3602" s="297" t="s">
        <v>200</v>
      </c>
      <c r="R3602" s="297" t="s">
        <v>213</v>
      </c>
      <c r="S3602" s="297" t="s">
        <v>214</v>
      </c>
    </row>
    <row r="3603" spans="1:19" x14ac:dyDescent="0.4">
      <c r="A3603" s="291"/>
      <c r="B3603" s="292"/>
      <c r="C3603" s="312"/>
      <c r="D3603" s="292"/>
      <c r="E3603" s="489"/>
      <c r="F3603" s="489"/>
      <c r="G3603" s="490"/>
      <c r="H3603" s="520"/>
      <c r="I3603" s="523"/>
      <c r="J3603" s="521"/>
      <c r="K3603" s="522"/>
      <c r="M3603" s="301" t="str">
        <f>N3603&amp;AS[[#This Row],[Insurer Code]]&amp;"; "&amp;O3603&amp;AS[[#This Row],[Reporting Year]]&amp;"; "&amp;P3603&amp;AS[[#This Row],[Insurance Category Code]]&amp;"; "&amp;Q3603&amp;AS[[#This Row],[Large Provider Entity Code]]&amp;"; "&amp;R3603&amp;AS[[#This Row],[Age Band Code]]&amp;"; "&amp;S3603&amp;AS[[#This Row],[Sex Code]]</f>
        <v xml:space="preserve">Insurer Code ; Reporting Year ; Insurance Category Code ; Large Provider Entity Code ; Age Band Code ; Sex Code </v>
      </c>
      <c r="N3603" s="297" t="s">
        <v>197</v>
      </c>
      <c r="O3603" s="297" t="s">
        <v>198</v>
      </c>
      <c r="P3603" s="297" t="s">
        <v>199</v>
      </c>
      <c r="Q3603" s="297" t="s">
        <v>200</v>
      </c>
      <c r="R3603" s="297" t="s">
        <v>213</v>
      </c>
      <c r="S3603" s="297" t="s">
        <v>214</v>
      </c>
    </row>
    <row r="3604" spans="1:19" x14ac:dyDescent="0.4">
      <c r="A3604" s="291"/>
      <c r="B3604" s="292"/>
      <c r="C3604" s="312"/>
      <c r="D3604" s="292"/>
      <c r="E3604" s="489"/>
      <c r="F3604" s="489"/>
      <c r="G3604" s="490"/>
      <c r="H3604" s="520"/>
      <c r="I3604" s="523"/>
      <c r="J3604" s="521"/>
      <c r="K3604" s="522"/>
      <c r="M3604" s="301" t="str">
        <f>N3604&amp;AS[[#This Row],[Insurer Code]]&amp;"; "&amp;O3604&amp;AS[[#This Row],[Reporting Year]]&amp;"; "&amp;P3604&amp;AS[[#This Row],[Insurance Category Code]]&amp;"; "&amp;Q3604&amp;AS[[#This Row],[Large Provider Entity Code]]&amp;"; "&amp;R3604&amp;AS[[#This Row],[Age Band Code]]&amp;"; "&amp;S3604&amp;AS[[#This Row],[Sex Code]]</f>
        <v xml:space="preserve">Insurer Code ; Reporting Year ; Insurance Category Code ; Large Provider Entity Code ; Age Band Code ; Sex Code </v>
      </c>
      <c r="N3604" s="297" t="s">
        <v>197</v>
      </c>
      <c r="O3604" s="297" t="s">
        <v>198</v>
      </c>
      <c r="P3604" s="297" t="s">
        <v>199</v>
      </c>
      <c r="Q3604" s="297" t="s">
        <v>200</v>
      </c>
      <c r="R3604" s="297" t="s">
        <v>213</v>
      </c>
      <c r="S3604" s="297" t="s">
        <v>214</v>
      </c>
    </row>
    <row r="3605" spans="1:19" x14ac:dyDescent="0.4">
      <c r="A3605" s="291"/>
      <c r="B3605" s="292"/>
      <c r="C3605" s="312"/>
      <c r="D3605" s="292"/>
      <c r="E3605" s="489"/>
      <c r="F3605" s="489"/>
      <c r="G3605" s="490"/>
      <c r="H3605" s="520"/>
      <c r="I3605" s="523"/>
      <c r="J3605" s="521"/>
      <c r="K3605" s="522"/>
      <c r="M3605" s="301" t="str">
        <f>N3605&amp;AS[[#This Row],[Insurer Code]]&amp;"; "&amp;O3605&amp;AS[[#This Row],[Reporting Year]]&amp;"; "&amp;P3605&amp;AS[[#This Row],[Insurance Category Code]]&amp;"; "&amp;Q3605&amp;AS[[#This Row],[Large Provider Entity Code]]&amp;"; "&amp;R3605&amp;AS[[#This Row],[Age Band Code]]&amp;"; "&amp;S3605&amp;AS[[#This Row],[Sex Code]]</f>
        <v xml:space="preserve">Insurer Code ; Reporting Year ; Insurance Category Code ; Large Provider Entity Code ; Age Band Code ; Sex Code </v>
      </c>
      <c r="N3605" s="297" t="s">
        <v>197</v>
      </c>
      <c r="O3605" s="297" t="s">
        <v>198</v>
      </c>
      <c r="P3605" s="297" t="s">
        <v>199</v>
      </c>
      <c r="Q3605" s="297" t="s">
        <v>200</v>
      </c>
      <c r="R3605" s="297" t="s">
        <v>213</v>
      </c>
      <c r="S3605" s="297" t="s">
        <v>214</v>
      </c>
    </row>
    <row r="3606" spans="1:19" x14ac:dyDescent="0.4">
      <c r="A3606" s="291"/>
      <c r="B3606" s="292"/>
      <c r="C3606" s="312"/>
      <c r="D3606" s="292"/>
      <c r="E3606" s="489"/>
      <c r="F3606" s="489"/>
      <c r="G3606" s="490"/>
      <c r="H3606" s="520"/>
      <c r="I3606" s="523"/>
      <c r="J3606" s="521"/>
      <c r="K3606" s="522"/>
      <c r="M3606" s="301" t="str">
        <f>N3606&amp;AS[[#This Row],[Insurer Code]]&amp;"; "&amp;O3606&amp;AS[[#This Row],[Reporting Year]]&amp;"; "&amp;P3606&amp;AS[[#This Row],[Insurance Category Code]]&amp;"; "&amp;Q3606&amp;AS[[#This Row],[Large Provider Entity Code]]&amp;"; "&amp;R3606&amp;AS[[#This Row],[Age Band Code]]&amp;"; "&amp;S3606&amp;AS[[#This Row],[Sex Code]]</f>
        <v xml:space="preserve">Insurer Code ; Reporting Year ; Insurance Category Code ; Large Provider Entity Code ; Age Band Code ; Sex Code </v>
      </c>
      <c r="N3606" s="297" t="s">
        <v>197</v>
      </c>
      <c r="O3606" s="297" t="s">
        <v>198</v>
      </c>
      <c r="P3606" s="297" t="s">
        <v>199</v>
      </c>
      <c r="Q3606" s="297" t="s">
        <v>200</v>
      </c>
      <c r="R3606" s="297" t="s">
        <v>213</v>
      </c>
      <c r="S3606" s="297" t="s">
        <v>214</v>
      </c>
    </row>
    <row r="3607" spans="1:19" x14ac:dyDescent="0.4">
      <c r="A3607" s="291"/>
      <c r="B3607" s="292"/>
      <c r="C3607" s="312"/>
      <c r="D3607" s="292"/>
      <c r="E3607" s="489"/>
      <c r="F3607" s="489"/>
      <c r="G3607" s="490"/>
      <c r="H3607" s="520"/>
      <c r="I3607" s="523"/>
      <c r="J3607" s="521"/>
      <c r="K3607" s="522"/>
      <c r="M3607" s="301" t="str">
        <f>N3607&amp;AS[[#This Row],[Insurer Code]]&amp;"; "&amp;O3607&amp;AS[[#This Row],[Reporting Year]]&amp;"; "&amp;P3607&amp;AS[[#This Row],[Insurance Category Code]]&amp;"; "&amp;Q3607&amp;AS[[#This Row],[Large Provider Entity Code]]&amp;"; "&amp;R3607&amp;AS[[#This Row],[Age Band Code]]&amp;"; "&amp;S3607&amp;AS[[#This Row],[Sex Code]]</f>
        <v xml:space="preserve">Insurer Code ; Reporting Year ; Insurance Category Code ; Large Provider Entity Code ; Age Band Code ; Sex Code </v>
      </c>
      <c r="N3607" s="297" t="s">
        <v>197</v>
      </c>
      <c r="O3607" s="297" t="s">
        <v>198</v>
      </c>
      <c r="P3607" s="297" t="s">
        <v>199</v>
      </c>
      <c r="Q3607" s="297" t="s">
        <v>200</v>
      </c>
      <c r="R3607" s="297" t="s">
        <v>213</v>
      </c>
      <c r="S3607" s="297" t="s">
        <v>214</v>
      </c>
    </row>
    <row r="3608" spans="1:19" x14ac:dyDescent="0.4">
      <c r="A3608" s="291"/>
      <c r="B3608" s="292"/>
      <c r="C3608" s="312"/>
      <c r="D3608" s="292"/>
      <c r="E3608" s="489"/>
      <c r="F3608" s="489"/>
      <c r="G3608" s="490"/>
      <c r="H3608" s="520"/>
      <c r="I3608" s="523"/>
      <c r="J3608" s="521"/>
      <c r="K3608" s="522"/>
      <c r="M3608" s="301" t="str">
        <f>N3608&amp;AS[[#This Row],[Insurer Code]]&amp;"; "&amp;O3608&amp;AS[[#This Row],[Reporting Year]]&amp;"; "&amp;P3608&amp;AS[[#This Row],[Insurance Category Code]]&amp;"; "&amp;Q3608&amp;AS[[#This Row],[Large Provider Entity Code]]&amp;"; "&amp;R3608&amp;AS[[#This Row],[Age Band Code]]&amp;"; "&amp;S3608&amp;AS[[#This Row],[Sex Code]]</f>
        <v xml:space="preserve">Insurer Code ; Reporting Year ; Insurance Category Code ; Large Provider Entity Code ; Age Band Code ; Sex Code </v>
      </c>
      <c r="N3608" s="297" t="s">
        <v>197</v>
      </c>
      <c r="O3608" s="297" t="s">
        <v>198</v>
      </c>
      <c r="P3608" s="297" t="s">
        <v>199</v>
      </c>
      <c r="Q3608" s="297" t="s">
        <v>200</v>
      </c>
      <c r="R3608" s="297" t="s">
        <v>213</v>
      </c>
      <c r="S3608" s="297" t="s">
        <v>214</v>
      </c>
    </row>
    <row r="3609" spans="1:19" x14ac:dyDescent="0.4">
      <c r="A3609" s="291"/>
      <c r="B3609" s="292"/>
      <c r="C3609" s="312"/>
      <c r="D3609" s="292"/>
      <c r="E3609" s="489"/>
      <c r="F3609" s="489"/>
      <c r="G3609" s="490"/>
      <c r="H3609" s="520"/>
      <c r="I3609" s="523"/>
      <c r="J3609" s="521"/>
      <c r="K3609" s="522"/>
      <c r="M3609" s="301" t="str">
        <f>N3609&amp;AS[[#This Row],[Insurer Code]]&amp;"; "&amp;O3609&amp;AS[[#This Row],[Reporting Year]]&amp;"; "&amp;P3609&amp;AS[[#This Row],[Insurance Category Code]]&amp;"; "&amp;Q3609&amp;AS[[#This Row],[Large Provider Entity Code]]&amp;"; "&amp;R3609&amp;AS[[#This Row],[Age Band Code]]&amp;"; "&amp;S3609&amp;AS[[#This Row],[Sex Code]]</f>
        <v xml:space="preserve">Insurer Code ; Reporting Year ; Insurance Category Code ; Large Provider Entity Code ; Age Band Code ; Sex Code </v>
      </c>
      <c r="N3609" s="297" t="s">
        <v>197</v>
      </c>
      <c r="O3609" s="297" t="s">
        <v>198</v>
      </c>
      <c r="P3609" s="297" t="s">
        <v>199</v>
      </c>
      <c r="Q3609" s="297" t="s">
        <v>200</v>
      </c>
      <c r="R3609" s="297" t="s">
        <v>213</v>
      </c>
      <c r="S3609" s="297" t="s">
        <v>214</v>
      </c>
    </row>
    <row r="3610" spans="1:19" x14ac:dyDescent="0.4">
      <c r="A3610" s="291"/>
      <c r="B3610" s="292"/>
      <c r="C3610" s="312"/>
      <c r="D3610" s="292"/>
      <c r="E3610" s="489"/>
      <c r="F3610" s="489"/>
      <c r="G3610" s="490"/>
      <c r="H3610" s="520"/>
      <c r="I3610" s="523"/>
      <c r="J3610" s="521"/>
      <c r="K3610" s="522"/>
      <c r="M3610" s="301" t="str">
        <f>N3610&amp;AS[[#This Row],[Insurer Code]]&amp;"; "&amp;O3610&amp;AS[[#This Row],[Reporting Year]]&amp;"; "&amp;P3610&amp;AS[[#This Row],[Insurance Category Code]]&amp;"; "&amp;Q3610&amp;AS[[#This Row],[Large Provider Entity Code]]&amp;"; "&amp;R3610&amp;AS[[#This Row],[Age Band Code]]&amp;"; "&amp;S3610&amp;AS[[#This Row],[Sex Code]]</f>
        <v xml:space="preserve">Insurer Code ; Reporting Year ; Insurance Category Code ; Large Provider Entity Code ; Age Band Code ; Sex Code </v>
      </c>
      <c r="N3610" s="297" t="s">
        <v>197</v>
      </c>
      <c r="O3610" s="297" t="s">
        <v>198</v>
      </c>
      <c r="P3610" s="297" t="s">
        <v>199</v>
      </c>
      <c r="Q3610" s="297" t="s">
        <v>200</v>
      </c>
      <c r="R3610" s="297" t="s">
        <v>213</v>
      </c>
      <c r="S3610" s="297" t="s">
        <v>214</v>
      </c>
    </row>
    <row r="3611" spans="1:19" x14ac:dyDescent="0.4">
      <c r="A3611" s="291"/>
      <c r="B3611" s="292"/>
      <c r="C3611" s="312"/>
      <c r="D3611" s="292"/>
      <c r="E3611" s="489"/>
      <c r="F3611" s="489"/>
      <c r="G3611" s="490"/>
      <c r="H3611" s="520"/>
      <c r="I3611" s="523"/>
      <c r="J3611" s="521"/>
      <c r="K3611" s="522"/>
      <c r="M3611" s="301" t="str">
        <f>N3611&amp;AS[[#This Row],[Insurer Code]]&amp;"; "&amp;O3611&amp;AS[[#This Row],[Reporting Year]]&amp;"; "&amp;P3611&amp;AS[[#This Row],[Insurance Category Code]]&amp;"; "&amp;Q3611&amp;AS[[#This Row],[Large Provider Entity Code]]&amp;"; "&amp;R3611&amp;AS[[#This Row],[Age Band Code]]&amp;"; "&amp;S3611&amp;AS[[#This Row],[Sex Code]]</f>
        <v xml:space="preserve">Insurer Code ; Reporting Year ; Insurance Category Code ; Large Provider Entity Code ; Age Band Code ; Sex Code </v>
      </c>
      <c r="N3611" s="297" t="s">
        <v>197</v>
      </c>
      <c r="O3611" s="297" t="s">
        <v>198</v>
      </c>
      <c r="P3611" s="297" t="s">
        <v>199</v>
      </c>
      <c r="Q3611" s="297" t="s">
        <v>200</v>
      </c>
      <c r="R3611" s="297" t="s">
        <v>213</v>
      </c>
      <c r="S3611" s="297" t="s">
        <v>214</v>
      </c>
    </row>
    <row r="3612" spans="1:19" x14ac:dyDescent="0.4">
      <c r="A3612" s="291"/>
      <c r="B3612" s="292"/>
      <c r="C3612" s="312"/>
      <c r="D3612" s="292"/>
      <c r="E3612" s="489"/>
      <c r="F3612" s="489"/>
      <c r="G3612" s="490"/>
      <c r="H3612" s="520"/>
      <c r="I3612" s="523"/>
      <c r="J3612" s="521"/>
      <c r="K3612" s="522"/>
      <c r="M3612" s="301" t="str">
        <f>N3612&amp;AS[[#This Row],[Insurer Code]]&amp;"; "&amp;O3612&amp;AS[[#This Row],[Reporting Year]]&amp;"; "&amp;P3612&amp;AS[[#This Row],[Insurance Category Code]]&amp;"; "&amp;Q3612&amp;AS[[#This Row],[Large Provider Entity Code]]&amp;"; "&amp;R3612&amp;AS[[#This Row],[Age Band Code]]&amp;"; "&amp;S3612&amp;AS[[#This Row],[Sex Code]]</f>
        <v xml:space="preserve">Insurer Code ; Reporting Year ; Insurance Category Code ; Large Provider Entity Code ; Age Band Code ; Sex Code </v>
      </c>
      <c r="N3612" s="297" t="s">
        <v>197</v>
      </c>
      <c r="O3612" s="297" t="s">
        <v>198</v>
      </c>
      <c r="P3612" s="297" t="s">
        <v>199</v>
      </c>
      <c r="Q3612" s="297" t="s">
        <v>200</v>
      </c>
      <c r="R3612" s="297" t="s">
        <v>213</v>
      </c>
      <c r="S3612" s="297" t="s">
        <v>214</v>
      </c>
    </row>
    <row r="3613" spans="1:19" x14ac:dyDescent="0.4">
      <c r="A3613" s="291"/>
      <c r="B3613" s="292"/>
      <c r="C3613" s="312"/>
      <c r="D3613" s="292"/>
      <c r="E3613" s="489"/>
      <c r="F3613" s="489"/>
      <c r="G3613" s="490"/>
      <c r="H3613" s="520"/>
      <c r="I3613" s="523"/>
      <c r="J3613" s="521"/>
      <c r="K3613" s="522"/>
      <c r="M3613" s="301" t="str">
        <f>N3613&amp;AS[[#This Row],[Insurer Code]]&amp;"; "&amp;O3613&amp;AS[[#This Row],[Reporting Year]]&amp;"; "&amp;P3613&amp;AS[[#This Row],[Insurance Category Code]]&amp;"; "&amp;Q3613&amp;AS[[#This Row],[Large Provider Entity Code]]&amp;"; "&amp;R3613&amp;AS[[#This Row],[Age Band Code]]&amp;"; "&amp;S3613&amp;AS[[#This Row],[Sex Code]]</f>
        <v xml:space="preserve">Insurer Code ; Reporting Year ; Insurance Category Code ; Large Provider Entity Code ; Age Band Code ; Sex Code </v>
      </c>
      <c r="N3613" s="297" t="s">
        <v>197</v>
      </c>
      <c r="O3613" s="297" t="s">
        <v>198</v>
      </c>
      <c r="P3613" s="297" t="s">
        <v>199</v>
      </c>
      <c r="Q3613" s="297" t="s">
        <v>200</v>
      </c>
      <c r="R3613" s="297" t="s">
        <v>213</v>
      </c>
      <c r="S3613" s="297" t="s">
        <v>214</v>
      </c>
    </row>
    <row r="3614" spans="1:19" x14ac:dyDescent="0.4">
      <c r="A3614" s="291"/>
      <c r="B3614" s="292"/>
      <c r="C3614" s="312"/>
      <c r="D3614" s="292"/>
      <c r="E3614" s="489"/>
      <c r="F3614" s="489"/>
      <c r="G3614" s="490"/>
      <c r="H3614" s="520"/>
      <c r="I3614" s="523"/>
      <c r="J3614" s="521"/>
      <c r="K3614" s="522"/>
      <c r="M3614" s="301" t="str">
        <f>N3614&amp;AS[[#This Row],[Insurer Code]]&amp;"; "&amp;O3614&amp;AS[[#This Row],[Reporting Year]]&amp;"; "&amp;P3614&amp;AS[[#This Row],[Insurance Category Code]]&amp;"; "&amp;Q3614&amp;AS[[#This Row],[Large Provider Entity Code]]&amp;"; "&amp;R3614&amp;AS[[#This Row],[Age Band Code]]&amp;"; "&amp;S3614&amp;AS[[#This Row],[Sex Code]]</f>
        <v xml:space="preserve">Insurer Code ; Reporting Year ; Insurance Category Code ; Large Provider Entity Code ; Age Band Code ; Sex Code </v>
      </c>
      <c r="N3614" s="297" t="s">
        <v>197</v>
      </c>
      <c r="O3614" s="297" t="s">
        <v>198</v>
      </c>
      <c r="P3614" s="297" t="s">
        <v>199</v>
      </c>
      <c r="Q3614" s="297" t="s">
        <v>200</v>
      </c>
      <c r="R3614" s="297" t="s">
        <v>213</v>
      </c>
      <c r="S3614" s="297" t="s">
        <v>214</v>
      </c>
    </row>
    <row r="3615" spans="1:19" x14ac:dyDescent="0.4">
      <c r="A3615" s="291"/>
      <c r="B3615" s="292"/>
      <c r="C3615" s="312"/>
      <c r="D3615" s="292"/>
      <c r="E3615" s="489"/>
      <c r="F3615" s="489"/>
      <c r="G3615" s="490"/>
      <c r="H3615" s="520"/>
      <c r="I3615" s="523"/>
      <c r="J3615" s="521"/>
      <c r="K3615" s="522"/>
      <c r="M3615" s="301" t="str">
        <f>N3615&amp;AS[[#This Row],[Insurer Code]]&amp;"; "&amp;O3615&amp;AS[[#This Row],[Reporting Year]]&amp;"; "&amp;P3615&amp;AS[[#This Row],[Insurance Category Code]]&amp;"; "&amp;Q3615&amp;AS[[#This Row],[Large Provider Entity Code]]&amp;"; "&amp;R3615&amp;AS[[#This Row],[Age Band Code]]&amp;"; "&amp;S3615&amp;AS[[#This Row],[Sex Code]]</f>
        <v xml:space="preserve">Insurer Code ; Reporting Year ; Insurance Category Code ; Large Provider Entity Code ; Age Band Code ; Sex Code </v>
      </c>
      <c r="N3615" s="297" t="s">
        <v>197</v>
      </c>
      <c r="O3615" s="297" t="s">
        <v>198</v>
      </c>
      <c r="P3615" s="297" t="s">
        <v>199</v>
      </c>
      <c r="Q3615" s="297" t="s">
        <v>200</v>
      </c>
      <c r="R3615" s="297" t="s">
        <v>213</v>
      </c>
      <c r="S3615" s="297" t="s">
        <v>214</v>
      </c>
    </row>
    <row r="3616" spans="1:19" x14ac:dyDescent="0.4">
      <c r="A3616" s="291"/>
      <c r="B3616" s="292"/>
      <c r="C3616" s="312"/>
      <c r="D3616" s="292"/>
      <c r="E3616" s="489"/>
      <c r="F3616" s="489"/>
      <c r="G3616" s="490"/>
      <c r="H3616" s="520"/>
      <c r="I3616" s="523"/>
      <c r="J3616" s="521"/>
      <c r="K3616" s="522"/>
      <c r="M3616" s="301" t="str">
        <f>N3616&amp;AS[[#This Row],[Insurer Code]]&amp;"; "&amp;O3616&amp;AS[[#This Row],[Reporting Year]]&amp;"; "&amp;P3616&amp;AS[[#This Row],[Insurance Category Code]]&amp;"; "&amp;Q3616&amp;AS[[#This Row],[Large Provider Entity Code]]&amp;"; "&amp;R3616&amp;AS[[#This Row],[Age Band Code]]&amp;"; "&amp;S3616&amp;AS[[#This Row],[Sex Code]]</f>
        <v xml:space="preserve">Insurer Code ; Reporting Year ; Insurance Category Code ; Large Provider Entity Code ; Age Band Code ; Sex Code </v>
      </c>
      <c r="N3616" s="297" t="s">
        <v>197</v>
      </c>
      <c r="O3616" s="297" t="s">
        <v>198</v>
      </c>
      <c r="P3616" s="297" t="s">
        <v>199</v>
      </c>
      <c r="Q3616" s="297" t="s">
        <v>200</v>
      </c>
      <c r="R3616" s="297" t="s">
        <v>213</v>
      </c>
      <c r="S3616" s="297" t="s">
        <v>214</v>
      </c>
    </row>
    <row r="3617" spans="1:19" x14ac:dyDescent="0.4">
      <c r="A3617" s="291"/>
      <c r="B3617" s="292"/>
      <c r="C3617" s="312"/>
      <c r="D3617" s="292"/>
      <c r="E3617" s="489"/>
      <c r="F3617" s="489"/>
      <c r="G3617" s="490"/>
      <c r="H3617" s="520"/>
      <c r="I3617" s="523"/>
      <c r="J3617" s="521"/>
      <c r="K3617" s="522"/>
      <c r="M3617" s="301" t="str">
        <f>N3617&amp;AS[[#This Row],[Insurer Code]]&amp;"; "&amp;O3617&amp;AS[[#This Row],[Reporting Year]]&amp;"; "&amp;P3617&amp;AS[[#This Row],[Insurance Category Code]]&amp;"; "&amp;Q3617&amp;AS[[#This Row],[Large Provider Entity Code]]&amp;"; "&amp;R3617&amp;AS[[#This Row],[Age Band Code]]&amp;"; "&amp;S3617&amp;AS[[#This Row],[Sex Code]]</f>
        <v xml:space="preserve">Insurer Code ; Reporting Year ; Insurance Category Code ; Large Provider Entity Code ; Age Band Code ; Sex Code </v>
      </c>
      <c r="N3617" s="297" t="s">
        <v>197</v>
      </c>
      <c r="O3617" s="297" t="s">
        <v>198</v>
      </c>
      <c r="P3617" s="297" t="s">
        <v>199</v>
      </c>
      <c r="Q3617" s="297" t="s">
        <v>200</v>
      </c>
      <c r="R3617" s="297" t="s">
        <v>213</v>
      </c>
      <c r="S3617" s="297" t="s">
        <v>214</v>
      </c>
    </row>
    <row r="3618" spans="1:19" x14ac:dyDescent="0.4">
      <c r="A3618" s="291"/>
      <c r="B3618" s="292"/>
      <c r="C3618" s="312"/>
      <c r="D3618" s="292"/>
      <c r="E3618" s="489"/>
      <c r="F3618" s="489"/>
      <c r="G3618" s="490"/>
      <c r="H3618" s="520"/>
      <c r="I3618" s="523"/>
      <c r="J3618" s="521"/>
      <c r="K3618" s="522"/>
      <c r="M3618" s="301" t="str">
        <f>N3618&amp;AS[[#This Row],[Insurer Code]]&amp;"; "&amp;O3618&amp;AS[[#This Row],[Reporting Year]]&amp;"; "&amp;P3618&amp;AS[[#This Row],[Insurance Category Code]]&amp;"; "&amp;Q3618&amp;AS[[#This Row],[Large Provider Entity Code]]&amp;"; "&amp;R3618&amp;AS[[#This Row],[Age Band Code]]&amp;"; "&amp;S3618&amp;AS[[#This Row],[Sex Code]]</f>
        <v xml:space="preserve">Insurer Code ; Reporting Year ; Insurance Category Code ; Large Provider Entity Code ; Age Band Code ; Sex Code </v>
      </c>
      <c r="N3618" s="297" t="s">
        <v>197</v>
      </c>
      <c r="O3618" s="297" t="s">
        <v>198</v>
      </c>
      <c r="P3618" s="297" t="s">
        <v>199</v>
      </c>
      <c r="Q3618" s="297" t="s">
        <v>200</v>
      </c>
      <c r="R3618" s="297" t="s">
        <v>213</v>
      </c>
      <c r="S3618" s="297" t="s">
        <v>214</v>
      </c>
    </row>
    <row r="3619" spans="1:19" x14ac:dyDescent="0.4">
      <c r="A3619" s="291"/>
      <c r="B3619" s="292"/>
      <c r="C3619" s="312"/>
      <c r="D3619" s="292"/>
      <c r="E3619" s="489"/>
      <c r="F3619" s="489"/>
      <c r="G3619" s="490"/>
      <c r="H3619" s="520"/>
      <c r="I3619" s="523"/>
      <c r="J3619" s="521"/>
      <c r="K3619" s="522"/>
      <c r="M3619" s="301" t="str">
        <f>N3619&amp;AS[[#This Row],[Insurer Code]]&amp;"; "&amp;O3619&amp;AS[[#This Row],[Reporting Year]]&amp;"; "&amp;P3619&amp;AS[[#This Row],[Insurance Category Code]]&amp;"; "&amp;Q3619&amp;AS[[#This Row],[Large Provider Entity Code]]&amp;"; "&amp;R3619&amp;AS[[#This Row],[Age Band Code]]&amp;"; "&amp;S3619&amp;AS[[#This Row],[Sex Code]]</f>
        <v xml:space="preserve">Insurer Code ; Reporting Year ; Insurance Category Code ; Large Provider Entity Code ; Age Band Code ; Sex Code </v>
      </c>
      <c r="N3619" s="297" t="s">
        <v>197</v>
      </c>
      <c r="O3619" s="297" t="s">
        <v>198</v>
      </c>
      <c r="P3619" s="297" t="s">
        <v>199</v>
      </c>
      <c r="Q3619" s="297" t="s">
        <v>200</v>
      </c>
      <c r="R3619" s="297" t="s">
        <v>213</v>
      </c>
      <c r="S3619" s="297" t="s">
        <v>214</v>
      </c>
    </row>
    <row r="3620" spans="1:19" x14ac:dyDescent="0.4">
      <c r="A3620" s="291"/>
      <c r="B3620" s="292"/>
      <c r="C3620" s="312"/>
      <c r="D3620" s="292"/>
      <c r="E3620" s="489"/>
      <c r="F3620" s="489"/>
      <c r="G3620" s="490"/>
      <c r="H3620" s="520"/>
      <c r="I3620" s="523"/>
      <c r="J3620" s="521"/>
      <c r="K3620" s="522"/>
      <c r="M3620" s="301" t="str">
        <f>N3620&amp;AS[[#This Row],[Insurer Code]]&amp;"; "&amp;O3620&amp;AS[[#This Row],[Reporting Year]]&amp;"; "&amp;P3620&amp;AS[[#This Row],[Insurance Category Code]]&amp;"; "&amp;Q3620&amp;AS[[#This Row],[Large Provider Entity Code]]&amp;"; "&amp;R3620&amp;AS[[#This Row],[Age Band Code]]&amp;"; "&amp;S3620&amp;AS[[#This Row],[Sex Code]]</f>
        <v xml:space="preserve">Insurer Code ; Reporting Year ; Insurance Category Code ; Large Provider Entity Code ; Age Band Code ; Sex Code </v>
      </c>
      <c r="N3620" s="297" t="s">
        <v>197</v>
      </c>
      <c r="O3620" s="297" t="s">
        <v>198</v>
      </c>
      <c r="P3620" s="297" t="s">
        <v>199</v>
      </c>
      <c r="Q3620" s="297" t="s">
        <v>200</v>
      </c>
      <c r="R3620" s="297" t="s">
        <v>213</v>
      </c>
      <c r="S3620" s="297" t="s">
        <v>214</v>
      </c>
    </row>
    <row r="3621" spans="1:19" x14ac:dyDescent="0.4">
      <c r="A3621" s="291"/>
      <c r="B3621" s="292"/>
      <c r="C3621" s="312"/>
      <c r="D3621" s="292"/>
      <c r="E3621" s="489"/>
      <c r="F3621" s="489"/>
      <c r="G3621" s="490"/>
      <c r="H3621" s="520"/>
      <c r="I3621" s="523"/>
      <c r="J3621" s="521"/>
      <c r="K3621" s="522"/>
      <c r="M3621" s="301" t="str">
        <f>N3621&amp;AS[[#This Row],[Insurer Code]]&amp;"; "&amp;O3621&amp;AS[[#This Row],[Reporting Year]]&amp;"; "&amp;P3621&amp;AS[[#This Row],[Insurance Category Code]]&amp;"; "&amp;Q3621&amp;AS[[#This Row],[Large Provider Entity Code]]&amp;"; "&amp;R3621&amp;AS[[#This Row],[Age Band Code]]&amp;"; "&amp;S3621&amp;AS[[#This Row],[Sex Code]]</f>
        <v xml:space="preserve">Insurer Code ; Reporting Year ; Insurance Category Code ; Large Provider Entity Code ; Age Band Code ; Sex Code </v>
      </c>
      <c r="N3621" s="297" t="s">
        <v>197</v>
      </c>
      <c r="O3621" s="297" t="s">
        <v>198</v>
      </c>
      <c r="P3621" s="297" t="s">
        <v>199</v>
      </c>
      <c r="Q3621" s="297" t="s">
        <v>200</v>
      </c>
      <c r="R3621" s="297" t="s">
        <v>213</v>
      </c>
      <c r="S3621" s="297" t="s">
        <v>214</v>
      </c>
    </row>
    <row r="3622" spans="1:19" x14ac:dyDescent="0.4">
      <c r="A3622" s="291"/>
      <c r="B3622" s="292"/>
      <c r="C3622" s="312"/>
      <c r="D3622" s="292"/>
      <c r="E3622" s="489"/>
      <c r="F3622" s="489"/>
      <c r="G3622" s="490"/>
      <c r="H3622" s="520"/>
      <c r="I3622" s="523"/>
      <c r="J3622" s="521"/>
      <c r="K3622" s="522"/>
      <c r="M3622" s="301" t="str">
        <f>N3622&amp;AS[[#This Row],[Insurer Code]]&amp;"; "&amp;O3622&amp;AS[[#This Row],[Reporting Year]]&amp;"; "&amp;P3622&amp;AS[[#This Row],[Insurance Category Code]]&amp;"; "&amp;Q3622&amp;AS[[#This Row],[Large Provider Entity Code]]&amp;"; "&amp;R3622&amp;AS[[#This Row],[Age Band Code]]&amp;"; "&amp;S3622&amp;AS[[#This Row],[Sex Code]]</f>
        <v xml:space="preserve">Insurer Code ; Reporting Year ; Insurance Category Code ; Large Provider Entity Code ; Age Band Code ; Sex Code </v>
      </c>
      <c r="N3622" s="297" t="s">
        <v>197</v>
      </c>
      <c r="O3622" s="297" t="s">
        <v>198</v>
      </c>
      <c r="P3622" s="297" t="s">
        <v>199</v>
      </c>
      <c r="Q3622" s="297" t="s">
        <v>200</v>
      </c>
      <c r="R3622" s="297" t="s">
        <v>213</v>
      </c>
      <c r="S3622" s="297" t="s">
        <v>214</v>
      </c>
    </row>
    <row r="3623" spans="1:19" x14ac:dyDescent="0.4">
      <c r="A3623" s="291"/>
      <c r="B3623" s="292"/>
      <c r="C3623" s="312"/>
      <c r="D3623" s="292"/>
      <c r="E3623" s="489"/>
      <c r="F3623" s="489"/>
      <c r="G3623" s="490"/>
      <c r="H3623" s="520"/>
      <c r="I3623" s="523"/>
      <c r="J3623" s="521"/>
      <c r="K3623" s="522"/>
      <c r="M3623" s="301" t="str">
        <f>N3623&amp;AS[[#This Row],[Insurer Code]]&amp;"; "&amp;O3623&amp;AS[[#This Row],[Reporting Year]]&amp;"; "&amp;P3623&amp;AS[[#This Row],[Insurance Category Code]]&amp;"; "&amp;Q3623&amp;AS[[#This Row],[Large Provider Entity Code]]&amp;"; "&amp;R3623&amp;AS[[#This Row],[Age Band Code]]&amp;"; "&amp;S3623&amp;AS[[#This Row],[Sex Code]]</f>
        <v xml:space="preserve">Insurer Code ; Reporting Year ; Insurance Category Code ; Large Provider Entity Code ; Age Band Code ; Sex Code </v>
      </c>
      <c r="N3623" s="297" t="s">
        <v>197</v>
      </c>
      <c r="O3623" s="297" t="s">
        <v>198</v>
      </c>
      <c r="P3623" s="297" t="s">
        <v>199</v>
      </c>
      <c r="Q3623" s="297" t="s">
        <v>200</v>
      </c>
      <c r="R3623" s="297" t="s">
        <v>213</v>
      </c>
      <c r="S3623" s="297" t="s">
        <v>214</v>
      </c>
    </row>
    <row r="3624" spans="1:19" x14ac:dyDescent="0.4">
      <c r="A3624" s="291"/>
      <c r="B3624" s="292"/>
      <c r="C3624" s="312"/>
      <c r="D3624" s="292"/>
      <c r="E3624" s="489"/>
      <c r="F3624" s="489"/>
      <c r="G3624" s="490"/>
      <c r="H3624" s="520"/>
      <c r="I3624" s="523"/>
      <c r="J3624" s="521"/>
      <c r="K3624" s="522"/>
      <c r="M3624" s="301" t="str">
        <f>N3624&amp;AS[[#This Row],[Insurer Code]]&amp;"; "&amp;O3624&amp;AS[[#This Row],[Reporting Year]]&amp;"; "&amp;P3624&amp;AS[[#This Row],[Insurance Category Code]]&amp;"; "&amp;Q3624&amp;AS[[#This Row],[Large Provider Entity Code]]&amp;"; "&amp;R3624&amp;AS[[#This Row],[Age Band Code]]&amp;"; "&amp;S3624&amp;AS[[#This Row],[Sex Code]]</f>
        <v xml:space="preserve">Insurer Code ; Reporting Year ; Insurance Category Code ; Large Provider Entity Code ; Age Band Code ; Sex Code </v>
      </c>
      <c r="N3624" s="297" t="s">
        <v>197</v>
      </c>
      <c r="O3624" s="297" t="s">
        <v>198</v>
      </c>
      <c r="P3624" s="297" t="s">
        <v>199</v>
      </c>
      <c r="Q3624" s="297" t="s">
        <v>200</v>
      </c>
      <c r="R3624" s="297" t="s">
        <v>213</v>
      </c>
      <c r="S3624" s="297" t="s">
        <v>214</v>
      </c>
    </row>
    <row r="3625" spans="1:19" x14ac:dyDescent="0.4">
      <c r="A3625" s="291"/>
      <c r="B3625" s="292"/>
      <c r="C3625" s="312"/>
      <c r="D3625" s="292"/>
      <c r="E3625" s="489"/>
      <c r="F3625" s="489"/>
      <c r="G3625" s="490"/>
      <c r="H3625" s="520"/>
      <c r="I3625" s="523"/>
      <c r="J3625" s="521"/>
      <c r="K3625" s="522"/>
      <c r="M3625" s="301" t="str">
        <f>N3625&amp;AS[[#This Row],[Insurer Code]]&amp;"; "&amp;O3625&amp;AS[[#This Row],[Reporting Year]]&amp;"; "&amp;P3625&amp;AS[[#This Row],[Insurance Category Code]]&amp;"; "&amp;Q3625&amp;AS[[#This Row],[Large Provider Entity Code]]&amp;"; "&amp;R3625&amp;AS[[#This Row],[Age Band Code]]&amp;"; "&amp;S3625&amp;AS[[#This Row],[Sex Code]]</f>
        <v xml:space="preserve">Insurer Code ; Reporting Year ; Insurance Category Code ; Large Provider Entity Code ; Age Band Code ; Sex Code </v>
      </c>
      <c r="N3625" s="297" t="s">
        <v>197</v>
      </c>
      <c r="O3625" s="297" t="s">
        <v>198</v>
      </c>
      <c r="P3625" s="297" t="s">
        <v>199</v>
      </c>
      <c r="Q3625" s="297" t="s">
        <v>200</v>
      </c>
      <c r="R3625" s="297" t="s">
        <v>213</v>
      </c>
      <c r="S3625" s="297" t="s">
        <v>214</v>
      </c>
    </row>
    <row r="3626" spans="1:19" x14ac:dyDescent="0.4">
      <c r="A3626" s="291"/>
      <c r="B3626" s="292"/>
      <c r="C3626" s="312"/>
      <c r="D3626" s="292"/>
      <c r="E3626" s="489"/>
      <c r="F3626" s="489"/>
      <c r="G3626" s="490"/>
      <c r="H3626" s="520"/>
      <c r="I3626" s="523"/>
      <c r="J3626" s="521"/>
      <c r="K3626" s="522"/>
      <c r="M3626" s="301" t="str">
        <f>N3626&amp;AS[[#This Row],[Insurer Code]]&amp;"; "&amp;O3626&amp;AS[[#This Row],[Reporting Year]]&amp;"; "&amp;P3626&amp;AS[[#This Row],[Insurance Category Code]]&amp;"; "&amp;Q3626&amp;AS[[#This Row],[Large Provider Entity Code]]&amp;"; "&amp;R3626&amp;AS[[#This Row],[Age Band Code]]&amp;"; "&amp;S3626&amp;AS[[#This Row],[Sex Code]]</f>
        <v xml:space="preserve">Insurer Code ; Reporting Year ; Insurance Category Code ; Large Provider Entity Code ; Age Band Code ; Sex Code </v>
      </c>
      <c r="N3626" s="297" t="s">
        <v>197</v>
      </c>
      <c r="O3626" s="297" t="s">
        <v>198</v>
      </c>
      <c r="P3626" s="297" t="s">
        <v>199</v>
      </c>
      <c r="Q3626" s="297" t="s">
        <v>200</v>
      </c>
      <c r="R3626" s="297" t="s">
        <v>213</v>
      </c>
      <c r="S3626" s="297" t="s">
        <v>214</v>
      </c>
    </row>
    <row r="3627" spans="1:19" x14ac:dyDescent="0.4">
      <c r="A3627" s="291"/>
      <c r="B3627" s="292"/>
      <c r="C3627" s="312"/>
      <c r="D3627" s="292"/>
      <c r="E3627" s="489"/>
      <c r="F3627" s="489"/>
      <c r="G3627" s="490"/>
      <c r="H3627" s="520"/>
      <c r="I3627" s="523"/>
      <c r="J3627" s="521"/>
      <c r="K3627" s="522"/>
      <c r="M3627" s="301" t="str">
        <f>N3627&amp;AS[[#This Row],[Insurer Code]]&amp;"; "&amp;O3627&amp;AS[[#This Row],[Reporting Year]]&amp;"; "&amp;P3627&amp;AS[[#This Row],[Insurance Category Code]]&amp;"; "&amp;Q3627&amp;AS[[#This Row],[Large Provider Entity Code]]&amp;"; "&amp;R3627&amp;AS[[#This Row],[Age Band Code]]&amp;"; "&amp;S3627&amp;AS[[#This Row],[Sex Code]]</f>
        <v xml:space="preserve">Insurer Code ; Reporting Year ; Insurance Category Code ; Large Provider Entity Code ; Age Band Code ; Sex Code </v>
      </c>
      <c r="N3627" s="297" t="s">
        <v>197</v>
      </c>
      <c r="O3627" s="297" t="s">
        <v>198</v>
      </c>
      <c r="P3627" s="297" t="s">
        <v>199</v>
      </c>
      <c r="Q3627" s="297" t="s">
        <v>200</v>
      </c>
      <c r="R3627" s="297" t="s">
        <v>213</v>
      </c>
      <c r="S3627" s="297" t="s">
        <v>214</v>
      </c>
    </row>
    <row r="3628" spans="1:19" x14ac:dyDescent="0.4">
      <c r="A3628" s="291"/>
      <c r="B3628" s="292"/>
      <c r="C3628" s="312"/>
      <c r="D3628" s="292"/>
      <c r="E3628" s="489"/>
      <c r="F3628" s="489"/>
      <c r="G3628" s="490"/>
      <c r="H3628" s="520"/>
      <c r="I3628" s="523"/>
      <c r="J3628" s="521"/>
      <c r="K3628" s="522"/>
      <c r="M3628" s="301" t="str">
        <f>N3628&amp;AS[[#This Row],[Insurer Code]]&amp;"; "&amp;O3628&amp;AS[[#This Row],[Reporting Year]]&amp;"; "&amp;P3628&amp;AS[[#This Row],[Insurance Category Code]]&amp;"; "&amp;Q3628&amp;AS[[#This Row],[Large Provider Entity Code]]&amp;"; "&amp;R3628&amp;AS[[#This Row],[Age Band Code]]&amp;"; "&amp;S3628&amp;AS[[#This Row],[Sex Code]]</f>
        <v xml:space="preserve">Insurer Code ; Reporting Year ; Insurance Category Code ; Large Provider Entity Code ; Age Band Code ; Sex Code </v>
      </c>
      <c r="N3628" s="297" t="s">
        <v>197</v>
      </c>
      <c r="O3628" s="297" t="s">
        <v>198</v>
      </c>
      <c r="P3628" s="297" t="s">
        <v>199</v>
      </c>
      <c r="Q3628" s="297" t="s">
        <v>200</v>
      </c>
      <c r="R3628" s="297" t="s">
        <v>213</v>
      </c>
      <c r="S3628" s="297" t="s">
        <v>214</v>
      </c>
    </row>
    <row r="3629" spans="1:19" x14ac:dyDescent="0.4">
      <c r="A3629" s="291"/>
      <c r="B3629" s="292"/>
      <c r="C3629" s="312"/>
      <c r="D3629" s="292"/>
      <c r="E3629" s="489"/>
      <c r="F3629" s="489"/>
      <c r="G3629" s="490"/>
      <c r="H3629" s="520"/>
      <c r="I3629" s="523"/>
      <c r="J3629" s="521"/>
      <c r="K3629" s="522"/>
      <c r="M3629" s="301" t="str">
        <f>N3629&amp;AS[[#This Row],[Insurer Code]]&amp;"; "&amp;O3629&amp;AS[[#This Row],[Reporting Year]]&amp;"; "&amp;P3629&amp;AS[[#This Row],[Insurance Category Code]]&amp;"; "&amp;Q3629&amp;AS[[#This Row],[Large Provider Entity Code]]&amp;"; "&amp;R3629&amp;AS[[#This Row],[Age Band Code]]&amp;"; "&amp;S3629&amp;AS[[#This Row],[Sex Code]]</f>
        <v xml:space="preserve">Insurer Code ; Reporting Year ; Insurance Category Code ; Large Provider Entity Code ; Age Band Code ; Sex Code </v>
      </c>
      <c r="N3629" s="297" t="s">
        <v>197</v>
      </c>
      <c r="O3629" s="297" t="s">
        <v>198</v>
      </c>
      <c r="P3629" s="297" t="s">
        <v>199</v>
      </c>
      <c r="Q3629" s="297" t="s">
        <v>200</v>
      </c>
      <c r="R3629" s="297" t="s">
        <v>213</v>
      </c>
      <c r="S3629" s="297" t="s">
        <v>214</v>
      </c>
    </row>
    <row r="3630" spans="1:19" x14ac:dyDescent="0.4">
      <c r="A3630" s="291"/>
      <c r="B3630" s="292"/>
      <c r="C3630" s="312"/>
      <c r="D3630" s="292"/>
      <c r="E3630" s="489"/>
      <c r="F3630" s="489"/>
      <c r="G3630" s="490"/>
      <c r="H3630" s="520"/>
      <c r="I3630" s="523"/>
      <c r="J3630" s="521"/>
      <c r="K3630" s="522"/>
      <c r="M3630" s="301" t="str">
        <f>N3630&amp;AS[[#This Row],[Insurer Code]]&amp;"; "&amp;O3630&amp;AS[[#This Row],[Reporting Year]]&amp;"; "&amp;P3630&amp;AS[[#This Row],[Insurance Category Code]]&amp;"; "&amp;Q3630&amp;AS[[#This Row],[Large Provider Entity Code]]&amp;"; "&amp;R3630&amp;AS[[#This Row],[Age Band Code]]&amp;"; "&amp;S3630&amp;AS[[#This Row],[Sex Code]]</f>
        <v xml:space="preserve">Insurer Code ; Reporting Year ; Insurance Category Code ; Large Provider Entity Code ; Age Band Code ; Sex Code </v>
      </c>
      <c r="N3630" s="297" t="s">
        <v>197</v>
      </c>
      <c r="O3630" s="297" t="s">
        <v>198</v>
      </c>
      <c r="P3630" s="297" t="s">
        <v>199</v>
      </c>
      <c r="Q3630" s="297" t="s">
        <v>200</v>
      </c>
      <c r="R3630" s="297" t="s">
        <v>213</v>
      </c>
      <c r="S3630" s="297" t="s">
        <v>214</v>
      </c>
    </row>
    <row r="3631" spans="1:19" x14ac:dyDescent="0.4">
      <c r="A3631" s="291"/>
      <c r="B3631" s="292"/>
      <c r="C3631" s="312"/>
      <c r="D3631" s="292"/>
      <c r="E3631" s="489"/>
      <c r="F3631" s="489"/>
      <c r="G3631" s="490"/>
      <c r="H3631" s="520"/>
      <c r="I3631" s="523"/>
      <c r="J3631" s="521"/>
      <c r="K3631" s="522"/>
      <c r="M3631" s="301" t="str">
        <f>N3631&amp;AS[[#This Row],[Insurer Code]]&amp;"; "&amp;O3631&amp;AS[[#This Row],[Reporting Year]]&amp;"; "&amp;P3631&amp;AS[[#This Row],[Insurance Category Code]]&amp;"; "&amp;Q3631&amp;AS[[#This Row],[Large Provider Entity Code]]&amp;"; "&amp;R3631&amp;AS[[#This Row],[Age Band Code]]&amp;"; "&amp;S3631&amp;AS[[#This Row],[Sex Code]]</f>
        <v xml:space="preserve">Insurer Code ; Reporting Year ; Insurance Category Code ; Large Provider Entity Code ; Age Band Code ; Sex Code </v>
      </c>
      <c r="N3631" s="297" t="s">
        <v>197</v>
      </c>
      <c r="O3631" s="297" t="s">
        <v>198</v>
      </c>
      <c r="P3631" s="297" t="s">
        <v>199</v>
      </c>
      <c r="Q3631" s="297" t="s">
        <v>200</v>
      </c>
      <c r="R3631" s="297" t="s">
        <v>213</v>
      </c>
      <c r="S3631" s="297" t="s">
        <v>214</v>
      </c>
    </row>
    <row r="3632" spans="1:19" x14ac:dyDescent="0.4">
      <c r="A3632" s="291"/>
      <c r="B3632" s="292"/>
      <c r="C3632" s="312"/>
      <c r="D3632" s="292"/>
      <c r="E3632" s="489"/>
      <c r="F3632" s="489"/>
      <c r="G3632" s="490"/>
      <c r="H3632" s="520"/>
      <c r="I3632" s="523"/>
      <c r="J3632" s="521"/>
      <c r="K3632" s="522"/>
      <c r="M3632" s="301" t="str">
        <f>N3632&amp;AS[[#This Row],[Insurer Code]]&amp;"; "&amp;O3632&amp;AS[[#This Row],[Reporting Year]]&amp;"; "&amp;P3632&amp;AS[[#This Row],[Insurance Category Code]]&amp;"; "&amp;Q3632&amp;AS[[#This Row],[Large Provider Entity Code]]&amp;"; "&amp;R3632&amp;AS[[#This Row],[Age Band Code]]&amp;"; "&amp;S3632&amp;AS[[#This Row],[Sex Code]]</f>
        <v xml:space="preserve">Insurer Code ; Reporting Year ; Insurance Category Code ; Large Provider Entity Code ; Age Band Code ; Sex Code </v>
      </c>
      <c r="N3632" s="297" t="s">
        <v>197</v>
      </c>
      <c r="O3632" s="297" t="s">
        <v>198</v>
      </c>
      <c r="P3632" s="297" t="s">
        <v>199</v>
      </c>
      <c r="Q3632" s="297" t="s">
        <v>200</v>
      </c>
      <c r="R3632" s="297" t="s">
        <v>213</v>
      </c>
      <c r="S3632" s="297" t="s">
        <v>214</v>
      </c>
    </row>
    <row r="3633" spans="1:19" x14ac:dyDescent="0.4">
      <c r="A3633" s="291"/>
      <c r="B3633" s="292"/>
      <c r="C3633" s="312"/>
      <c r="D3633" s="292"/>
      <c r="E3633" s="489"/>
      <c r="F3633" s="489"/>
      <c r="G3633" s="490"/>
      <c r="H3633" s="520"/>
      <c r="I3633" s="523"/>
      <c r="J3633" s="521"/>
      <c r="K3633" s="522"/>
      <c r="M3633" s="301" t="str">
        <f>N3633&amp;AS[[#This Row],[Insurer Code]]&amp;"; "&amp;O3633&amp;AS[[#This Row],[Reporting Year]]&amp;"; "&amp;P3633&amp;AS[[#This Row],[Insurance Category Code]]&amp;"; "&amp;Q3633&amp;AS[[#This Row],[Large Provider Entity Code]]&amp;"; "&amp;R3633&amp;AS[[#This Row],[Age Band Code]]&amp;"; "&amp;S3633&amp;AS[[#This Row],[Sex Code]]</f>
        <v xml:space="preserve">Insurer Code ; Reporting Year ; Insurance Category Code ; Large Provider Entity Code ; Age Band Code ; Sex Code </v>
      </c>
      <c r="N3633" s="297" t="s">
        <v>197</v>
      </c>
      <c r="O3633" s="297" t="s">
        <v>198</v>
      </c>
      <c r="P3633" s="297" t="s">
        <v>199</v>
      </c>
      <c r="Q3633" s="297" t="s">
        <v>200</v>
      </c>
      <c r="R3633" s="297" t="s">
        <v>213</v>
      </c>
      <c r="S3633" s="297" t="s">
        <v>214</v>
      </c>
    </row>
    <row r="3634" spans="1:19" x14ac:dyDescent="0.4">
      <c r="A3634" s="291"/>
      <c r="B3634" s="292"/>
      <c r="C3634" s="312"/>
      <c r="D3634" s="292"/>
      <c r="E3634" s="489"/>
      <c r="F3634" s="489"/>
      <c r="G3634" s="490"/>
      <c r="H3634" s="520"/>
      <c r="I3634" s="523"/>
      <c r="J3634" s="521"/>
      <c r="K3634" s="522"/>
      <c r="M3634" s="301" t="str">
        <f>N3634&amp;AS[[#This Row],[Insurer Code]]&amp;"; "&amp;O3634&amp;AS[[#This Row],[Reporting Year]]&amp;"; "&amp;P3634&amp;AS[[#This Row],[Insurance Category Code]]&amp;"; "&amp;Q3634&amp;AS[[#This Row],[Large Provider Entity Code]]&amp;"; "&amp;R3634&amp;AS[[#This Row],[Age Band Code]]&amp;"; "&amp;S3634&amp;AS[[#This Row],[Sex Code]]</f>
        <v xml:space="preserve">Insurer Code ; Reporting Year ; Insurance Category Code ; Large Provider Entity Code ; Age Band Code ; Sex Code </v>
      </c>
      <c r="N3634" s="297" t="s">
        <v>197</v>
      </c>
      <c r="O3634" s="297" t="s">
        <v>198</v>
      </c>
      <c r="P3634" s="297" t="s">
        <v>199</v>
      </c>
      <c r="Q3634" s="297" t="s">
        <v>200</v>
      </c>
      <c r="R3634" s="297" t="s">
        <v>213</v>
      </c>
      <c r="S3634" s="297" t="s">
        <v>214</v>
      </c>
    </row>
    <row r="3635" spans="1:19" x14ac:dyDescent="0.4">
      <c r="A3635" s="291"/>
      <c r="B3635" s="292"/>
      <c r="C3635" s="312"/>
      <c r="D3635" s="292"/>
      <c r="E3635" s="489"/>
      <c r="F3635" s="489"/>
      <c r="G3635" s="490"/>
      <c r="H3635" s="520"/>
      <c r="I3635" s="523"/>
      <c r="J3635" s="521"/>
      <c r="K3635" s="522"/>
      <c r="M3635" s="301" t="str">
        <f>N3635&amp;AS[[#This Row],[Insurer Code]]&amp;"; "&amp;O3635&amp;AS[[#This Row],[Reporting Year]]&amp;"; "&amp;P3635&amp;AS[[#This Row],[Insurance Category Code]]&amp;"; "&amp;Q3635&amp;AS[[#This Row],[Large Provider Entity Code]]&amp;"; "&amp;R3635&amp;AS[[#This Row],[Age Band Code]]&amp;"; "&amp;S3635&amp;AS[[#This Row],[Sex Code]]</f>
        <v xml:space="preserve">Insurer Code ; Reporting Year ; Insurance Category Code ; Large Provider Entity Code ; Age Band Code ; Sex Code </v>
      </c>
      <c r="N3635" s="297" t="s">
        <v>197</v>
      </c>
      <c r="O3635" s="297" t="s">
        <v>198</v>
      </c>
      <c r="P3635" s="297" t="s">
        <v>199</v>
      </c>
      <c r="Q3635" s="297" t="s">
        <v>200</v>
      </c>
      <c r="R3635" s="297" t="s">
        <v>213</v>
      </c>
      <c r="S3635" s="297" t="s">
        <v>214</v>
      </c>
    </row>
    <row r="3636" spans="1:19" x14ac:dyDescent="0.4">
      <c r="A3636" s="291"/>
      <c r="B3636" s="292"/>
      <c r="C3636" s="312"/>
      <c r="D3636" s="292"/>
      <c r="E3636" s="489"/>
      <c r="F3636" s="489"/>
      <c r="G3636" s="490"/>
      <c r="H3636" s="520"/>
      <c r="I3636" s="523"/>
      <c r="J3636" s="521"/>
      <c r="K3636" s="522"/>
      <c r="M3636" s="301" t="str">
        <f>N3636&amp;AS[[#This Row],[Insurer Code]]&amp;"; "&amp;O3636&amp;AS[[#This Row],[Reporting Year]]&amp;"; "&amp;P3636&amp;AS[[#This Row],[Insurance Category Code]]&amp;"; "&amp;Q3636&amp;AS[[#This Row],[Large Provider Entity Code]]&amp;"; "&amp;R3636&amp;AS[[#This Row],[Age Band Code]]&amp;"; "&amp;S3636&amp;AS[[#This Row],[Sex Code]]</f>
        <v xml:space="preserve">Insurer Code ; Reporting Year ; Insurance Category Code ; Large Provider Entity Code ; Age Band Code ; Sex Code </v>
      </c>
      <c r="N3636" s="297" t="s">
        <v>197</v>
      </c>
      <c r="O3636" s="297" t="s">
        <v>198</v>
      </c>
      <c r="P3636" s="297" t="s">
        <v>199</v>
      </c>
      <c r="Q3636" s="297" t="s">
        <v>200</v>
      </c>
      <c r="R3636" s="297" t="s">
        <v>213</v>
      </c>
      <c r="S3636" s="297" t="s">
        <v>214</v>
      </c>
    </row>
    <row r="3637" spans="1:19" x14ac:dyDescent="0.4">
      <c r="A3637" s="291"/>
      <c r="B3637" s="292"/>
      <c r="C3637" s="312"/>
      <c r="D3637" s="292"/>
      <c r="E3637" s="489"/>
      <c r="F3637" s="489"/>
      <c r="G3637" s="490"/>
      <c r="H3637" s="520"/>
      <c r="I3637" s="523"/>
      <c r="J3637" s="521"/>
      <c r="K3637" s="522"/>
      <c r="M3637" s="301" t="str">
        <f>N3637&amp;AS[[#This Row],[Insurer Code]]&amp;"; "&amp;O3637&amp;AS[[#This Row],[Reporting Year]]&amp;"; "&amp;P3637&amp;AS[[#This Row],[Insurance Category Code]]&amp;"; "&amp;Q3637&amp;AS[[#This Row],[Large Provider Entity Code]]&amp;"; "&amp;R3637&amp;AS[[#This Row],[Age Band Code]]&amp;"; "&amp;S3637&amp;AS[[#This Row],[Sex Code]]</f>
        <v xml:space="preserve">Insurer Code ; Reporting Year ; Insurance Category Code ; Large Provider Entity Code ; Age Band Code ; Sex Code </v>
      </c>
      <c r="N3637" s="297" t="s">
        <v>197</v>
      </c>
      <c r="O3637" s="297" t="s">
        <v>198</v>
      </c>
      <c r="P3637" s="297" t="s">
        <v>199</v>
      </c>
      <c r="Q3637" s="297" t="s">
        <v>200</v>
      </c>
      <c r="R3637" s="297" t="s">
        <v>213</v>
      </c>
      <c r="S3637" s="297" t="s">
        <v>214</v>
      </c>
    </row>
    <row r="3638" spans="1:19" x14ac:dyDescent="0.4">
      <c r="A3638" s="291"/>
      <c r="B3638" s="292"/>
      <c r="C3638" s="312"/>
      <c r="D3638" s="292"/>
      <c r="E3638" s="489"/>
      <c r="F3638" s="489"/>
      <c r="G3638" s="490"/>
      <c r="H3638" s="520"/>
      <c r="I3638" s="523"/>
      <c r="J3638" s="521"/>
      <c r="K3638" s="522"/>
      <c r="M3638" s="301" t="str">
        <f>N3638&amp;AS[[#This Row],[Insurer Code]]&amp;"; "&amp;O3638&amp;AS[[#This Row],[Reporting Year]]&amp;"; "&amp;P3638&amp;AS[[#This Row],[Insurance Category Code]]&amp;"; "&amp;Q3638&amp;AS[[#This Row],[Large Provider Entity Code]]&amp;"; "&amp;R3638&amp;AS[[#This Row],[Age Band Code]]&amp;"; "&amp;S3638&amp;AS[[#This Row],[Sex Code]]</f>
        <v xml:space="preserve">Insurer Code ; Reporting Year ; Insurance Category Code ; Large Provider Entity Code ; Age Band Code ; Sex Code </v>
      </c>
      <c r="N3638" s="297" t="s">
        <v>197</v>
      </c>
      <c r="O3638" s="297" t="s">
        <v>198</v>
      </c>
      <c r="P3638" s="297" t="s">
        <v>199</v>
      </c>
      <c r="Q3638" s="297" t="s">
        <v>200</v>
      </c>
      <c r="R3638" s="297" t="s">
        <v>213</v>
      </c>
      <c r="S3638" s="297" t="s">
        <v>214</v>
      </c>
    </row>
    <row r="3639" spans="1:19" x14ac:dyDescent="0.4">
      <c r="A3639" s="291"/>
      <c r="B3639" s="292"/>
      <c r="C3639" s="312"/>
      <c r="D3639" s="292"/>
      <c r="E3639" s="489"/>
      <c r="F3639" s="489"/>
      <c r="G3639" s="490"/>
      <c r="H3639" s="520"/>
      <c r="I3639" s="523"/>
      <c r="J3639" s="521"/>
      <c r="K3639" s="522"/>
      <c r="M3639" s="301" t="str">
        <f>N3639&amp;AS[[#This Row],[Insurer Code]]&amp;"; "&amp;O3639&amp;AS[[#This Row],[Reporting Year]]&amp;"; "&amp;P3639&amp;AS[[#This Row],[Insurance Category Code]]&amp;"; "&amp;Q3639&amp;AS[[#This Row],[Large Provider Entity Code]]&amp;"; "&amp;R3639&amp;AS[[#This Row],[Age Band Code]]&amp;"; "&amp;S3639&amp;AS[[#This Row],[Sex Code]]</f>
        <v xml:space="preserve">Insurer Code ; Reporting Year ; Insurance Category Code ; Large Provider Entity Code ; Age Band Code ; Sex Code </v>
      </c>
      <c r="N3639" s="297" t="s">
        <v>197</v>
      </c>
      <c r="O3639" s="297" t="s">
        <v>198</v>
      </c>
      <c r="P3639" s="297" t="s">
        <v>199</v>
      </c>
      <c r="Q3639" s="297" t="s">
        <v>200</v>
      </c>
      <c r="R3639" s="297" t="s">
        <v>213</v>
      </c>
      <c r="S3639" s="297" t="s">
        <v>214</v>
      </c>
    </row>
    <row r="3640" spans="1:19" x14ac:dyDescent="0.4">
      <c r="A3640" s="291"/>
      <c r="B3640" s="292"/>
      <c r="C3640" s="312"/>
      <c r="D3640" s="292"/>
      <c r="E3640" s="489"/>
      <c r="F3640" s="489"/>
      <c r="G3640" s="490"/>
      <c r="H3640" s="520"/>
      <c r="I3640" s="523"/>
      <c r="J3640" s="521"/>
      <c r="K3640" s="522"/>
      <c r="M3640" s="301" t="str">
        <f>N3640&amp;AS[[#This Row],[Insurer Code]]&amp;"; "&amp;O3640&amp;AS[[#This Row],[Reporting Year]]&amp;"; "&amp;P3640&amp;AS[[#This Row],[Insurance Category Code]]&amp;"; "&amp;Q3640&amp;AS[[#This Row],[Large Provider Entity Code]]&amp;"; "&amp;R3640&amp;AS[[#This Row],[Age Band Code]]&amp;"; "&amp;S3640&amp;AS[[#This Row],[Sex Code]]</f>
        <v xml:space="preserve">Insurer Code ; Reporting Year ; Insurance Category Code ; Large Provider Entity Code ; Age Band Code ; Sex Code </v>
      </c>
      <c r="N3640" s="297" t="s">
        <v>197</v>
      </c>
      <c r="O3640" s="297" t="s">
        <v>198</v>
      </c>
      <c r="P3640" s="297" t="s">
        <v>199</v>
      </c>
      <c r="Q3640" s="297" t="s">
        <v>200</v>
      </c>
      <c r="R3640" s="297" t="s">
        <v>213</v>
      </c>
      <c r="S3640" s="297" t="s">
        <v>214</v>
      </c>
    </row>
    <row r="3641" spans="1:19" x14ac:dyDescent="0.4">
      <c r="A3641" s="291"/>
      <c r="B3641" s="292"/>
      <c r="C3641" s="312"/>
      <c r="D3641" s="292"/>
      <c r="E3641" s="489"/>
      <c r="F3641" s="489"/>
      <c r="G3641" s="490"/>
      <c r="H3641" s="520"/>
      <c r="I3641" s="523"/>
      <c r="J3641" s="521"/>
      <c r="K3641" s="522"/>
      <c r="M3641" s="301" t="str">
        <f>N3641&amp;AS[[#This Row],[Insurer Code]]&amp;"; "&amp;O3641&amp;AS[[#This Row],[Reporting Year]]&amp;"; "&amp;P3641&amp;AS[[#This Row],[Insurance Category Code]]&amp;"; "&amp;Q3641&amp;AS[[#This Row],[Large Provider Entity Code]]&amp;"; "&amp;R3641&amp;AS[[#This Row],[Age Band Code]]&amp;"; "&amp;S3641&amp;AS[[#This Row],[Sex Code]]</f>
        <v xml:space="preserve">Insurer Code ; Reporting Year ; Insurance Category Code ; Large Provider Entity Code ; Age Band Code ; Sex Code </v>
      </c>
      <c r="N3641" s="297" t="s">
        <v>197</v>
      </c>
      <c r="O3641" s="297" t="s">
        <v>198</v>
      </c>
      <c r="P3641" s="297" t="s">
        <v>199</v>
      </c>
      <c r="Q3641" s="297" t="s">
        <v>200</v>
      </c>
      <c r="R3641" s="297" t="s">
        <v>213</v>
      </c>
      <c r="S3641" s="297" t="s">
        <v>214</v>
      </c>
    </row>
    <row r="3642" spans="1:19" x14ac:dyDescent="0.4">
      <c r="A3642" s="291"/>
      <c r="B3642" s="292"/>
      <c r="C3642" s="312"/>
      <c r="D3642" s="292"/>
      <c r="E3642" s="489"/>
      <c r="F3642" s="489"/>
      <c r="G3642" s="490"/>
      <c r="H3642" s="520"/>
      <c r="I3642" s="523"/>
      <c r="J3642" s="521"/>
      <c r="K3642" s="522"/>
      <c r="M3642" s="301" t="str">
        <f>N3642&amp;AS[[#This Row],[Insurer Code]]&amp;"; "&amp;O3642&amp;AS[[#This Row],[Reporting Year]]&amp;"; "&amp;P3642&amp;AS[[#This Row],[Insurance Category Code]]&amp;"; "&amp;Q3642&amp;AS[[#This Row],[Large Provider Entity Code]]&amp;"; "&amp;R3642&amp;AS[[#This Row],[Age Band Code]]&amp;"; "&amp;S3642&amp;AS[[#This Row],[Sex Code]]</f>
        <v xml:space="preserve">Insurer Code ; Reporting Year ; Insurance Category Code ; Large Provider Entity Code ; Age Band Code ; Sex Code </v>
      </c>
      <c r="N3642" s="297" t="s">
        <v>197</v>
      </c>
      <c r="O3642" s="297" t="s">
        <v>198</v>
      </c>
      <c r="P3642" s="297" t="s">
        <v>199</v>
      </c>
      <c r="Q3642" s="297" t="s">
        <v>200</v>
      </c>
      <c r="R3642" s="297" t="s">
        <v>213</v>
      </c>
      <c r="S3642" s="297" t="s">
        <v>214</v>
      </c>
    </row>
    <row r="3643" spans="1:19" x14ac:dyDescent="0.4">
      <c r="A3643" s="291"/>
      <c r="B3643" s="292"/>
      <c r="C3643" s="312"/>
      <c r="D3643" s="292"/>
      <c r="E3643" s="489"/>
      <c r="F3643" s="489"/>
      <c r="G3643" s="490"/>
      <c r="H3643" s="520"/>
      <c r="I3643" s="523"/>
      <c r="J3643" s="521"/>
      <c r="K3643" s="522"/>
      <c r="M3643" s="301" t="str">
        <f>N3643&amp;AS[[#This Row],[Insurer Code]]&amp;"; "&amp;O3643&amp;AS[[#This Row],[Reporting Year]]&amp;"; "&amp;P3643&amp;AS[[#This Row],[Insurance Category Code]]&amp;"; "&amp;Q3643&amp;AS[[#This Row],[Large Provider Entity Code]]&amp;"; "&amp;R3643&amp;AS[[#This Row],[Age Band Code]]&amp;"; "&amp;S3643&amp;AS[[#This Row],[Sex Code]]</f>
        <v xml:space="preserve">Insurer Code ; Reporting Year ; Insurance Category Code ; Large Provider Entity Code ; Age Band Code ; Sex Code </v>
      </c>
      <c r="N3643" s="297" t="s">
        <v>197</v>
      </c>
      <c r="O3643" s="297" t="s">
        <v>198</v>
      </c>
      <c r="P3643" s="297" t="s">
        <v>199</v>
      </c>
      <c r="Q3643" s="297" t="s">
        <v>200</v>
      </c>
      <c r="R3643" s="297" t="s">
        <v>213</v>
      </c>
      <c r="S3643" s="297" t="s">
        <v>214</v>
      </c>
    </row>
    <row r="3644" spans="1:19" x14ac:dyDescent="0.4">
      <c r="A3644" s="291"/>
      <c r="B3644" s="292"/>
      <c r="C3644" s="312"/>
      <c r="D3644" s="292"/>
      <c r="E3644" s="489"/>
      <c r="F3644" s="489"/>
      <c r="G3644" s="490"/>
      <c r="H3644" s="520"/>
      <c r="I3644" s="523"/>
      <c r="J3644" s="521"/>
      <c r="K3644" s="522"/>
      <c r="M3644" s="301" t="str">
        <f>N3644&amp;AS[[#This Row],[Insurer Code]]&amp;"; "&amp;O3644&amp;AS[[#This Row],[Reporting Year]]&amp;"; "&amp;P3644&amp;AS[[#This Row],[Insurance Category Code]]&amp;"; "&amp;Q3644&amp;AS[[#This Row],[Large Provider Entity Code]]&amp;"; "&amp;R3644&amp;AS[[#This Row],[Age Band Code]]&amp;"; "&amp;S3644&amp;AS[[#This Row],[Sex Code]]</f>
        <v xml:space="preserve">Insurer Code ; Reporting Year ; Insurance Category Code ; Large Provider Entity Code ; Age Band Code ; Sex Code </v>
      </c>
      <c r="N3644" s="297" t="s">
        <v>197</v>
      </c>
      <c r="O3644" s="297" t="s">
        <v>198</v>
      </c>
      <c r="P3644" s="297" t="s">
        <v>199</v>
      </c>
      <c r="Q3644" s="297" t="s">
        <v>200</v>
      </c>
      <c r="R3644" s="297" t="s">
        <v>213</v>
      </c>
      <c r="S3644" s="297" t="s">
        <v>214</v>
      </c>
    </row>
    <row r="3645" spans="1:19" x14ac:dyDescent="0.4">
      <c r="A3645" s="291"/>
      <c r="B3645" s="292"/>
      <c r="C3645" s="312"/>
      <c r="D3645" s="292"/>
      <c r="E3645" s="489"/>
      <c r="F3645" s="489"/>
      <c r="G3645" s="490"/>
      <c r="H3645" s="520"/>
      <c r="I3645" s="523"/>
      <c r="J3645" s="521"/>
      <c r="K3645" s="522"/>
      <c r="M3645" s="301" t="str">
        <f>N3645&amp;AS[[#This Row],[Insurer Code]]&amp;"; "&amp;O3645&amp;AS[[#This Row],[Reporting Year]]&amp;"; "&amp;P3645&amp;AS[[#This Row],[Insurance Category Code]]&amp;"; "&amp;Q3645&amp;AS[[#This Row],[Large Provider Entity Code]]&amp;"; "&amp;R3645&amp;AS[[#This Row],[Age Band Code]]&amp;"; "&amp;S3645&amp;AS[[#This Row],[Sex Code]]</f>
        <v xml:space="preserve">Insurer Code ; Reporting Year ; Insurance Category Code ; Large Provider Entity Code ; Age Band Code ; Sex Code </v>
      </c>
      <c r="N3645" s="297" t="s">
        <v>197</v>
      </c>
      <c r="O3645" s="297" t="s">
        <v>198</v>
      </c>
      <c r="P3645" s="297" t="s">
        <v>199</v>
      </c>
      <c r="Q3645" s="297" t="s">
        <v>200</v>
      </c>
      <c r="R3645" s="297" t="s">
        <v>213</v>
      </c>
      <c r="S3645" s="297" t="s">
        <v>214</v>
      </c>
    </row>
    <row r="3646" spans="1:19" x14ac:dyDescent="0.4">
      <c r="A3646" s="291"/>
      <c r="B3646" s="292"/>
      <c r="C3646" s="312"/>
      <c r="D3646" s="292"/>
      <c r="E3646" s="489"/>
      <c r="F3646" s="489"/>
      <c r="G3646" s="490"/>
      <c r="H3646" s="520"/>
      <c r="I3646" s="523"/>
      <c r="J3646" s="521"/>
      <c r="K3646" s="522"/>
      <c r="M3646" s="301" t="str">
        <f>N3646&amp;AS[[#This Row],[Insurer Code]]&amp;"; "&amp;O3646&amp;AS[[#This Row],[Reporting Year]]&amp;"; "&amp;P3646&amp;AS[[#This Row],[Insurance Category Code]]&amp;"; "&amp;Q3646&amp;AS[[#This Row],[Large Provider Entity Code]]&amp;"; "&amp;R3646&amp;AS[[#This Row],[Age Band Code]]&amp;"; "&amp;S3646&amp;AS[[#This Row],[Sex Code]]</f>
        <v xml:space="preserve">Insurer Code ; Reporting Year ; Insurance Category Code ; Large Provider Entity Code ; Age Band Code ; Sex Code </v>
      </c>
      <c r="N3646" s="297" t="s">
        <v>197</v>
      </c>
      <c r="O3646" s="297" t="s">
        <v>198</v>
      </c>
      <c r="P3646" s="297" t="s">
        <v>199</v>
      </c>
      <c r="Q3646" s="297" t="s">
        <v>200</v>
      </c>
      <c r="R3646" s="297" t="s">
        <v>213</v>
      </c>
      <c r="S3646" s="297" t="s">
        <v>214</v>
      </c>
    </row>
    <row r="3647" spans="1:19" x14ac:dyDescent="0.4">
      <c r="A3647" s="291"/>
      <c r="B3647" s="292"/>
      <c r="C3647" s="312"/>
      <c r="D3647" s="292"/>
      <c r="E3647" s="489"/>
      <c r="F3647" s="489"/>
      <c r="G3647" s="490"/>
      <c r="H3647" s="520"/>
      <c r="I3647" s="523"/>
      <c r="J3647" s="521"/>
      <c r="K3647" s="522"/>
      <c r="M3647" s="301" t="str">
        <f>N3647&amp;AS[[#This Row],[Insurer Code]]&amp;"; "&amp;O3647&amp;AS[[#This Row],[Reporting Year]]&amp;"; "&amp;P3647&amp;AS[[#This Row],[Insurance Category Code]]&amp;"; "&amp;Q3647&amp;AS[[#This Row],[Large Provider Entity Code]]&amp;"; "&amp;R3647&amp;AS[[#This Row],[Age Band Code]]&amp;"; "&amp;S3647&amp;AS[[#This Row],[Sex Code]]</f>
        <v xml:space="preserve">Insurer Code ; Reporting Year ; Insurance Category Code ; Large Provider Entity Code ; Age Band Code ; Sex Code </v>
      </c>
      <c r="N3647" s="297" t="s">
        <v>197</v>
      </c>
      <c r="O3647" s="297" t="s">
        <v>198</v>
      </c>
      <c r="P3647" s="297" t="s">
        <v>199</v>
      </c>
      <c r="Q3647" s="297" t="s">
        <v>200</v>
      </c>
      <c r="R3647" s="297" t="s">
        <v>213</v>
      </c>
      <c r="S3647" s="297" t="s">
        <v>214</v>
      </c>
    </row>
    <row r="3648" spans="1:19" x14ac:dyDescent="0.4">
      <c r="A3648" s="291"/>
      <c r="B3648" s="292"/>
      <c r="C3648" s="312"/>
      <c r="D3648" s="292"/>
      <c r="E3648" s="489"/>
      <c r="F3648" s="489"/>
      <c r="G3648" s="490"/>
      <c r="H3648" s="520"/>
      <c r="I3648" s="523"/>
      <c r="J3648" s="521"/>
      <c r="K3648" s="522"/>
      <c r="M3648" s="301" t="str">
        <f>N3648&amp;AS[[#This Row],[Insurer Code]]&amp;"; "&amp;O3648&amp;AS[[#This Row],[Reporting Year]]&amp;"; "&amp;P3648&amp;AS[[#This Row],[Insurance Category Code]]&amp;"; "&amp;Q3648&amp;AS[[#This Row],[Large Provider Entity Code]]&amp;"; "&amp;R3648&amp;AS[[#This Row],[Age Band Code]]&amp;"; "&amp;S3648&amp;AS[[#This Row],[Sex Code]]</f>
        <v xml:space="preserve">Insurer Code ; Reporting Year ; Insurance Category Code ; Large Provider Entity Code ; Age Band Code ; Sex Code </v>
      </c>
      <c r="N3648" s="297" t="s">
        <v>197</v>
      </c>
      <c r="O3648" s="297" t="s">
        <v>198</v>
      </c>
      <c r="P3648" s="297" t="s">
        <v>199</v>
      </c>
      <c r="Q3648" s="297" t="s">
        <v>200</v>
      </c>
      <c r="R3648" s="297" t="s">
        <v>213</v>
      </c>
      <c r="S3648" s="297" t="s">
        <v>214</v>
      </c>
    </row>
    <row r="3649" spans="1:19" x14ac:dyDescent="0.4">
      <c r="A3649" s="291"/>
      <c r="B3649" s="292"/>
      <c r="C3649" s="312"/>
      <c r="D3649" s="292"/>
      <c r="E3649" s="489"/>
      <c r="F3649" s="489"/>
      <c r="G3649" s="490"/>
      <c r="H3649" s="520"/>
      <c r="I3649" s="523"/>
      <c r="J3649" s="521"/>
      <c r="K3649" s="522"/>
      <c r="M3649" s="301" t="str">
        <f>N3649&amp;AS[[#This Row],[Insurer Code]]&amp;"; "&amp;O3649&amp;AS[[#This Row],[Reporting Year]]&amp;"; "&amp;P3649&amp;AS[[#This Row],[Insurance Category Code]]&amp;"; "&amp;Q3649&amp;AS[[#This Row],[Large Provider Entity Code]]&amp;"; "&amp;R3649&amp;AS[[#This Row],[Age Band Code]]&amp;"; "&amp;S3649&amp;AS[[#This Row],[Sex Code]]</f>
        <v xml:space="preserve">Insurer Code ; Reporting Year ; Insurance Category Code ; Large Provider Entity Code ; Age Band Code ; Sex Code </v>
      </c>
      <c r="N3649" s="297" t="s">
        <v>197</v>
      </c>
      <c r="O3649" s="297" t="s">
        <v>198</v>
      </c>
      <c r="P3649" s="297" t="s">
        <v>199</v>
      </c>
      <c r="Q3649" s="297" t="s">
        <v>200</v>
      </c>
      <c r="R3649" s="297" t="s">
        <v>213</v>
      </c>
      <c r="S3649" s="297" t="s">
        <v>214</v>
      </c>
    </row>
    <row r="3650" spans="1:19" x14ac:dyDescent="0.4">
      <c r="A3650" s="291"/>
      <c r="B3650" s="292"/>
      <c r="C3650" s="312"/>
      <c r="D3650" s="292"/>
      <c r="E3650" s="489"/>
      <c r="F3650" s="489"/>
      <c r="G3650" s="490"/>
      <c r="H3650" s="520"/>
      <c r="I3650" s="523"/>
      <c r="J3650" s="521"/>
      <c r="K3650" s="522"/>
      <c r="M3650" s="301" t="str">
        <f>N3650&amp;AS[[#This Row],[Insurer Code]]&amp;"; "&amp;O3650&amp;AS[[#This Row],[Reporting Year]]&amp;"; "&amp;P3650&amp;AS[[#This Row],[Insurance Category Code]]&amp;"; "&amp;Q3650&amp;AS[[#This Row],[Large Provider Entity Code]]&amp;"; "&amp;R3650&amp;AS[[#This Row],[Age Band Code]]&amp;"; "&amp;S3650&amp;AS[[#This Row],[Sex Code]]</f>
        <v xml:space="preserve">Insurer Code ; Reporting Year ; Insurance Category Code ; Large Provider Entity Code ; Age Band Code ; Sex Code </v>
      </c>
      <c r="N3650" s="297" t="s">
        <v>197</v>
      </c>
      <c r="O3650" s="297" t="s">
        <v>198</v>
      </c>
      <c r="P3650" s="297" t="s">
        <v>199</v>
      </c>
      <c r="Q3650" s="297" t="s">
        <v>200</v>
      </c>
      <c r="R3650" s="297" t="s">
        <v>213</v>
      </c>
      <c r="S3650" s="297" t="s">
        <v>214</v>
      </c>
    </row>
    <row r="3651" spans="1:19" x14ac:dyDescent="0.4">
      <c r="A3651" s="291"/>
      <c r="B3651" s="292"/>
      <c r="C3651" s="312"/>
      <c r="D3651" s="292"/>
      <c r="E3651" s="489"/>
      <c r="F3651" s="489"/>
      <c r="G3651" s="490"/>
      <c r="H3651" s="520"/>
      <c r="I3651" s="523"/>
      <c r="J3651" s="521"/>
      <c r="K3651" s="522"/>
      <c r="M3651" s="301" t="str">
        <f>N3651&amp;AS[[#This Row],[Insurer Code]]&amp;"; "&amp;O3651&amp;AS[[#This Row],[Reporting Year]]&amp;"; "&amp;P3651&amp;AS[[#This Row],[Insurance Category Code]]&amp;"; "&amp;Q3651&amp;AS[[#This Row],[Large Provider Entity Code]]&amp;"; "&amp;R3651&amp;AS[[#This Row],[Age Band Code]]&amp;"; "&amp;S3651&amp;AS[[#This Row],[Sex Code]]</f>
        <v xml:space="preserve">Insurer Code ; Reporting Year ; Insurance Category Code ; Large Provider Entity Code ; Age Band Code ; Sex Code </v>
      </c>
      <c r="N3651" s="297" t="s">
        <v>197</v>
      </c>
      <c r="O3651" s="297" t="s">
        <v>198</v>
      </c>
      <c r="P3651" s="297" t="s">
        <v>199</v>
      </c>
      <c r="Q3651" s="297" t="s">
        <v>200</v>
      </c>
      <c r="R3651" s="297" t="s">
        <v>213</v>
      </c>
      <c r="S3651" s="297" t="s">
        <v>214</v>
      </c>
    </row>
    <row r="3652" spans="1:19" x14ac:dyDescent="0.4">
      <c r="A3652" s="291"/>
      <c r="B3652" s="292"/>
      <c r="C3652" s="312"/>
      <c r="D3652" s="292"/>
      <c r="E3652" s="489"/>
      <c r="F3652" s="489"/>
      <c r="G3652" s="490"/>
      <c r="H3652" s="520"/>
      <c r="I3652" s="523"/>
      <c r="J3652" s="521"/>
      <c r="K3652" s="522"/>
      <c r="M3652" s="301" t="str">
        <f>N3652&amp;AS[[#This Row],[Insurer Code]]&amp;"; "&amp;O3652&amp;AS[[#This Row],[Reporting Year]]&amp;"; "&amp;P3652&amp;AS[[#This Row],[Insurance Category Code]]&amp;"; "&amp;Q3652&amp;AS[[#This Row],[Large Provider Entity Code]]&amp;"; "&amp;R3652&amp;AS[[#This Row],[Age Band Code]]&amp;"; "&amp;S3652&amp;AS[[#This Row],[Sex Code]]</f>
        <v xml:space="preserve">Insurer Code ; Reporting Year ; Insurance Category Code ; Large Provider Entity Code ; Age Band Code ; Sex Code </v>
      </c>
      <c r="N3652" s="297" t="s">
        <v>197</v>
      </c>
      <c r="O3652" s="297" t="s">
        <v>198</v>
      </c>
      <c r="P3652" s="297" t="s">
        <v>199</v>
      </c>
      <c r="Q3652" s="297" t="s">
        <v>200</v>
      </c>
      <c r="R3652" s="297" t="s">
        <v>213</v>
      </c>
      <c r="S3652" s="297" t="s">
        <v>214</v>
      </c>
    </row>
    <row r="3653" spans="1:19" x14ac:dyDescent="0.4">
      <c r="A3653" s="291"/>
      <c r="B3653" s="292"/>
      <c r="C3653" s="312"/>
      <c r="D3653" s="292"/>
      <c r="E3653" s="489"/>
      <c r="F3653" s="489"/>
      <c r="G3653" s="490"/>
      <c r="H3653" s="520"/>
      <c r="I3653" s="523"/>
      <c r="J3653" s="521"/>
      <c r="K3653" s="522"/>
      <c r="M3653" s="301" t="str">
        <f>N3653&amp;AS[[#This Row],[Insurer Code]]&amp;"; "&amp;O3653&amp;AS[[#This Row],[Reporting Year]]&amp;"; "&amp;P3653&amp;AS[[#This Row],[Insurance Category Code]]&amp;"; "&amp;Q3653&amp;AS[[#This Row],[Large Provider Entity Code]]&amp;"; "&amp;R3653&amp;AS[[#This Row],[Age Band Code]]&amp;"; "&amp;S3653&amp;AS[[#This Row],[Sex Code]]</f>
        <v xml:space="preserve">Insurer Code ; Reporting Year ; Insurance Category Code ; Large Provider Entity Code ; Age Band Code ; Sex Code </v>
      </c>
      <c r="N3653" s="297" t="s">
        <v>197</v>
      </c>
      <c r="O3653" s="297" t="s">
        <v>198</v>
      </c>
      <c r="P3653" s="297" t="s">
        <v>199</v>
      </c>
      <c r="Q3653" s="297" t="s">
        <v>200</v>
      </c>
      <c r="R3653" s="297" t="s">
        <v>213</v>
      </c>
      <c r="S3653" s="297" t="s">
        <v>214</v>
      </c>
    </row>
    <row r="3654" spans="1:19" x14ac:dyDescent="0.4">
      <c r="A3654" s="291"/>
      <c r="B3654" s="292"/>
      <c r="C3654" s="312"/>
      <c r="D3654" s="292"/>
      <c r="E3654" s="489"/>
      <c r="F3654" s="489"/>
      <c r="G3654" s="490"/>
      <c r="H3654" s="520"/>
      <c r="I3654" s="523"/>
      <c r="J3654" s="521"/>
      <c r="K3654" s="522"/>
      <c r="M3654" s="301" t="str">
        <f>N3654&amp;AS[[#This Row],[Insurer Code]]&amp;"; "&amp;O3654&amp;AS[[#This Row],[Reporting Year]]&amp;"; "&amp;P3654&amp;AS[[#This Row],[Insurance Category Code]]&amp;"; "&amp;Q3654&amp;AS[[#This Row],[Large Provider Entity Code]]&amp;"; "&amp;R3654&amp;AS[[#This Row],[Age Band Code]]&amp;"; "&amp;S3654&amp;AS[[#This Row],[Sex Code]]</f>
        <v xml:space="preserve">Insurer Code ; Reporting Year ; Insurance Category Code ; Large Provider Entity Code ; Age Band Code ; Sex Code </v>
      </c>
      <c r="N3654" s="297" t="s">
        <v>197</v>
      </c>
      <c r="O3654" s="297" t="s">
        <v>198</v>
      </c>
      <c r="P3654" s="297" t="s">
        <v>199</v>
      </c>
      <c r="Q3654" s="297" t="s">
        <v>200</v>
      </c>
      <c r="R3654" s="297" t="s">
        <v>213</v>
      </c>
      <c r="S3654" s="297" t="s">
        <v>214</v>
      </c>
    </row>
    <row r="3655" spans="1:19" x14ac:dyDescent="0.4">
      <c r="A3655" s="291"/>
      <c r="B3655" s="292"/>
      <c r="C3655" s="312"/>
      <c r="D3655" s="292"/>
      <c r="E3655" s="489"/>
      <c r="F3655" s="489"/>
      <c r="G3655" s="490"/>
      <c r="H3655" s="520"/>
      <c r="I3655" s="523"/>
      <c r="J3655" s="521"/>
      <c r="K3655" s="522"/>
      <c r="M3655" s="301" t="str">
        <f>N3655&amp;AS[[#This Row],[Insurer Code]]&amp;"; "&amp;O3655&amp;AS[[#This Row],[Reporting Year]]&amp;"; "&amp;P3655&amp;AS[[#This Row],[Insurance Category Code]]&amp;"; "&amp;Q3655&amp;AS[[#This Row],[Large Provider Entity Code]]&amp;"; "&amp;R3655&amp;AS[[#This Row],[Age Band Code]]&amp;"; "&amp;S3655&amp;AS[[#This Row],[Sex Code]]</f>
        <v xml:space="preserve">Insurer Code ; Reporting Year ; Insurance Category Code ; Large Provider Entity Code ; Age Band Code ; Sex Code </v>
      </c>
      <c r="N3655" s="297" t="s">
        <v>197</v>
      </c>
      <c r="O3655" s="297" t="s">
        <v>198</v>
      </c>
      <c r="P3655" s="297" t="s">
        <v>199</v>
      </c>
      <c r="Q3655" s="297" t="s">
        <v>200</v>
      </c>
      <c r="R3655" s="297" t="s">
        <v>213</v>
      </c>
      <c r="S3655" s="297" t="s">
        <v>214</v>
      </c>
    </row>
    <row r="3656" spans="1:19" x14ac:dyDescent="0.4">
      <c r="A3656" s="291"/>
      <c r="B3656" s="292"/>
      <c r="C3656" s="312"/>
      <c r="D3656" s="292"/>
      <c r="E3656" s="489"/>
      <c r="F3656" s="489"/>
      <c r="G3656" s="490"/>
      <c r="H3656" s="520"/>
      <c r="I3656" s="523"/>
      <c r="J3656" s="521"/>
      <c r="K3656" s="522"/>
      <c r="M3656" s="301" t="str">
        <f>N3656&amp;AS[[#This Row],[Insurer Code]]&amp;"; "&amp;O3656&amp;AS[[#This Row],[Reporting Year]]&amp;"; "&amp;P3656&amp;AS[[#This Row],[Insurance Category Code]]&amp;"; "&amp;Q3656&amp;AS[[#This Row],[Large Provider Entity Code]]&amp;"; "&amp;R3656&amp;AS[[#This Row],[Age Band Code]]&amp;"; "&amp;S3656&amp;AS[[#This Row],[Sex Code]]</f>
        <v xml:space="preserve">Insurer Code ; Reporting Year ; Insurance Category Code ; Large Provider Entity Code ; Age Band Code ; Sex Code </v>
      </c>
      <c r="N3656" s="297" t="s">
        <v>197</v>
      </c>
      <c r="O3656" s="297" t="s">
        <v>198</v>
      </c>
      <c r="P3656" s="297" t="s">
        <v>199</v>
      </c>
      <c r="Q3656" s="297" t="s">
        <v>200</v>
      </c>
      <c r="R3656" s="297" t="s">
        <v>213</v>
      </c>
      <c r="S3656" s="297" t="s">
        <v>214</v>
      </c>
    </row>
    <row r="3657" spans="1:19" x14ac:dyDescent="0.4">
      <c r="A3657" s="291"/>
      <c r="B3657" s="292"/>
      <c r="C3657" s="312"/>
      <c r="D3657" s="292"/>
      <c r="E3657" s="489"/>
      <c r="F3657" s="489"/>
      <c r="G3657" s="490"/>
      <c r="H3657" s="520"/>
      <c r="I3657" s="523"/>
      <c r="J3657" s="521"/>
      <c r="K3657" s="522"/>
      <c r="M3657" s="301" t="str">
        <f>N3657&amp;AS[[#This Row],[Insurer Code]]&amp;"; "&amp;O3657&amp;AS[[#This Row],[Reporting Year]]&amp;"; "&amp;P3657&amp;AS[[#This Row],[Insurance Category Code]]&amp;"; "&amp;Q3657&amp;AS[[#This Row],[Large Provider Entity Code]]&amp;"; "&amp;R3657&amp;AS[[#This Row],[Age Band Code]]&amp;"; "&amp;S3657&amp;AS[[#This Row],[Sex Code]]</f>
        <v xml:space="preserve">Insurer Code ; Reporting Year ; Insurance Category Code ; Large Provider Entity Code ; Age Band Code ; Sex Code </v>
      </c>
      <c r="N3657" s="297" t="s">
        <v>197</v>
      </c>
      <c r="O3657" s="297" t="s">
        <v>198</v>
      </c>
      <c r="P3657" s="297" t="s">
        <v>199</v>
      </c>
      <c r="Q3657" s="297" t="s">
        <v>200</v>
      </c>
      <c r="R3657" s="297" t="s">
        <v>213</v>
      </c>
      <c r="S3657" s="297" t="s">
        <v>214</v>
      </c>
    </row>
    <row r="3658" spans="1:19" x14ac:dyDescent="0.4">
      <c r="A3658" s="291"/>
      <c r="B3658" s="292"/>
      <c r="C3658" s="312"/>
      <c r="D3658" s="292"/>
      <c r="E3658" s="489"/>
      <c r="F3658" s="489"/>
      <c r="G3658" s="490"/>
      <c r="H3658" s="520"/>
      <c r="I3658" s="523"/>
      <c r="J3658" s="521"/>
      <c r="K3658" s="522"/>
      <c r="M3658" s="301" t="str">
        <f>N3658&amp;AS[[#This Row],[Insurer Code]]&amp;"; "&amp;O3658&amp;AS[[#This Row],[Reporting Year]]&amp;"; "&amp;P3658&amp;AS[[#This Row],[Insurance Category Code]]&amp;"; "&amp;Q3658&amp;AS[[#This Row],[Large Provider Entity Code]]&amp;"; "&amp;R3658&amp;AS[[#This Row],[Age Band Code]]&amp;"; "&amp;S3658&amp;AS[[#This Row],[Sex Code]]</f>
        <v xml:space="preserve">Insurer Code ; Reporting Year ; Insurance Category Code ; Large Provider Entity Code ; Age Band Code ; Sex Code </v>
      </c>
      <c r="N3658" s="297" t="s">
        <v>197</v>
      </c>
      <c r="O3658" s="297" t="s">
        <v>198</v>
      </c>
      <c r="P3658" s="297" t="s">
        <v>199</v>
      </c>
      <c r="Q3658" s="297" t="s">
        <v>200</v>
      </c>
      <c r="R3658" s="297" t="s">
        <v>213</v>
      </c>
      <c r="S3658" s="297" t="s">
        <v>214</v>
      </c>
    </row>
    <row r="3659" spans="1:19" x14ac:dyDescent="0.4">
      <c r="A3659" s="291"/>
      <c r="B3659" s="292"/>
      <c r="C3659" s="312"/>
      <c r="D3659" s="292"/>
      <c r="E3659" s="489"/>
      <c r="F3659" s="489"/>
      <c r="G3659" s="490"/>
      <c r="H3659" s="520"/>
      <c r="I3659" s="523"/>
      <c r="J3659" s="521"/>
      <c r="K3659" s="522"/>
      <c r="M3659" s="301" t="str">
        <f>N3659&amp;AS[[#This Row],[Insurer Code]]&amp;"; "&amp;O3659&amp;AS[[#This Row],[Reporting Year]]&amp;"; "&amp;P3659&amp;AS[[#This Row],[Insurance Category Code]]&amp;"; "&amp;Q3659&amp;AS[[#This Row],[Large Provider Entity Code]]&amp;"; "&amp;R3659&amp;AS[[#This Row],[Age Band Code]]&amp;"; "&amp;S3659&amp;AS[[#This Row],[Sex Code]]</f>
        <v xml:space="preserve">Insurer Code ; Reporting Year ; Insurance Category Code ; Large Provider Entity Code ; Age Band Code ; Sex Code </v>
      </c>
      <c r="N3659" s="297" t="s">
        <v>197</v>
      </c>
      <c r="O3659" s="297" t="s">
        <v>198</v>
      </c>
      <c r="P3659" s="297" t="s">
        <v>199</v>
      </c>
      <c r="Q3659" s="297" t="s">
        <v>200</v>
      </c>
      <c r="R3659" s="297" t="s">
        <v>213</v>
      </c>
      <c r="S3659" s="297" t="s">
        <v>214</v>
      </c>
    </row>
    <row r="3660" spans="1:19" x14ac:dyDescent="0.4">
      <c r="A3660" s="291"/>
      <c r="B3660" s="292"/>
      <c r="C3660" s="312"/>
      <c r="D3660" s="292"/>
      <c r="E3660" s="489"/>
      <c r="F3660" s="489"/>
      <c r="G3660" s="490"/>
      <c r="H3660" s="520"/>
      <c r="I3660" s="523"/>
      <c r="J3660" s="521"/>
      <c r="K3660" s="522"/>
      <c r="M3660" s="301" t="str">
        <f>N3660&amp;AS[[#This Row],[Insurer Code]]&amp;"; "&amp;O3660&amp;AS[[#This Row],[Reporting Year]]&amp;"; "&amp;P3660&amp;AS[[#This Row],[Insurance Category Code]]&amp;"; "&amp;Q3660&amp;AS[[#This Row],[Large Provider Entity Code]]&amp;"; "&amp;R3660&amp;AS[[#This Row],[Age Band Code]]&amp;"; "&amp;S3660&amp;AS[[#This Row],[Sex Code]]</f>
        <v xml:space="preserve">Insurer Code ; Reporting Year ; Insurance Category Code ; Large Provider Entity Code ; Age Band Code ; Sex Code </v>
      </c>
      <c r="N3660" s="297" t="s">
        <v>197</v>
      </c>
      <c r="O3660" s="297" t="s">
        <v>198</v>
      </c>
      <c r="P3660" s="297" t="s">
        <v>199</v>
      </c>
      <c r="Q3660" s="297" t="s">
        <v>200</v>
      </c>
      <c r="R3660" s="297" t="s">
        <v>213</v>
      </c>
      <c r="S3660" s="297" t="s">
        <v>214</v>
      </c>
    </row>
    <row r="3661" spans="1:19" x14ac:dyDescent="0.4">
      <c r="A3661" s="291"/>
      <c r="B3661" s="292"/>
      <c r="C3661" s="312"/>
      <c r="D3661" s="292"/>
      <c r="E3661" s="489"/>
      <c r="F3661" s="489"/>
      <c r="G3661" s="490"/>
      <c r="H3661" s="520"/>
      <c r="I3661" s="523"/>
      <c r="J3661" s="521"/>
      <c r="K3661" s="522"/>
      <c r="M3661" s="301" t="str">
        <f>N3661&amp;AS[[#This Row],[Insurer Code]]&amp;"; "&amp;O3661&amp;AS[[#This Row],[Reporting Year]]&amp;"; "&amp;P3661&amp;AS[[#This Row],[Insurance Category Code]]&amp;"; "&amp;Q3661&amp;AS[[#This Row],[Large Provider Entity Code]]&amp;"; "&amp;R3661&amp;AS[[#This Row],[Age Band Code]]&amp;"; "&amp;S3661&amp;AS[[#This Row],[Sex Code]]</f>
        <v xml:space="preserve">Insurer Code ; Reporting Year ; Insurance Category Code ; Large Provider Entity Code ; Age Band Code ; Sex Code </v>
      </c>
      <c r="N3661" s="297" t="s">
        <v>197</v>
      </c>
      <c r="O3661" s="297" t="s">
        <v>198</v>
      </c>
      <c r="P3661" s="297" t="s">
        <v>199</v>
      </c>
      <c r="Q3661" s="297" t="s">
        <v>200</v>
      </c>
      <c r="R3661" s="297" t="s">
        <v>213</v>
      </c>
      <c r="S3661" s="297" t="s">
        <v>214</v>
      </c>
    </row>
    <row r="3662" spans="1:19" x14ac:dyDescent="0.4">
      <c r="A3662" s="291"/>
      <c r="B3662" s="292"/>
      <c r="C3662" s="312"/>
      <c r="D3662" s="292"/>
      <c r="E3662" s="489"/>
      <c r="F3662" s="489"/>
      <c r="G3662" s="490"/>
      <c r="H3662" s="520"/>
      <c r="I3662" s="523"/>
      <c r="J3662" s="521"/>
      <c r="K3662" s="522"/>
      <c r="M3662" s="301" t="str">
        <f>N3662&amp;AS[[#This Row],[Insurer Code]]&amp;"; "&amp;O3662&amp;AS[[#This Row],[Reporting Year]]&amp;"; "&amp;P3662&amp;AS[[#This Row],[Insurance Category Code]]&amp;"; "&amp;Q3662&amp;AS[[#This Row],[Large Provider Entity Code]]&amp;"; "&amp;R3662&amp;AS[[#This Row],[Age Band Code]]&amp;"; "&amp;S3662&amp;AS[[#This Row],[Sex Code]]</f>
        <v xml:space="preserve">Insurer Code ; Reporting Year ; Insurance Category Code ; Large Provider Entity Code ; Age Band Code ; Sex Code </v>
      </c>
      <c r="N3662" s="297" t="s">
        <v>197</v>
      </c>
      <c r="O3662" s="297" t="s">
        <v>198</v>
      </c>
      <c r="P3662" s="297" t="s">
        <v>199</v>
      </c>
      <c r="Q3662" s="297" t="s">
        <v>200</v>
      </c>
      <c r="R3662" s="297" t="s">
        <v>213</v>
      </c>
      <c r="S3662" s="297" t="s">
        <v>214</v>
      </c>
    </row>
    <row r="3663" spans="1:19" x14ac:dyDescent="0.4">
      <c r="A3663" s="291"/>
      <c r="B3663" s="292"/>
      <c r="C3663" s="312"/>
      <c r="D3663" s="292"/>
      <c r="E3663" s="489"/>
      <c r="F3663" s="489"/>
      <c r="G3663" s="490"/>
      <c r="H3663" s="520"/>
      <c r="I3663" s="523"/>
      <c r="J3663" s="521"/>
      <c r="K3663" s="522"/>
      <c r="M3663" s="301" t="str">
        <f>N3663&amp;AS[[#This Row],[Insurer Code]]&amp;"; "&amp;O3663&amp;AS[[#This Row],[Reporting Year]]&amp;"; "&amp;P3663&amp;AS[[#This Row],[Insurance Category Code]]&amp;"; "&amp;Q3663&amp;AS[[#This Row],[Large Provider Entity Code]]&amp;"; "&amp;R3663&amp;AS[[#This Row],[Age Band Code]]&amp;"; "&amp;S3663&amp;AS[[#This Row],[Sex Code]]</f>
        <v xml:space="preserve">Insurer Code ; Reporting Year ; Insurance Category Code ; Large Provider Entity Code ; Age Band Code ; Sex Code </v>
      </c>
      <c r="N3663" s="297" t="s">
        <v>197</v>
      </c>
      <c r="O3663" s="297" t="s">
        <v>198</v>
      </c>
      <c r="P3663" s="297" t="s">
        <v>199</v>
      </c>
      <c r="Q3663" s="297" t="s">
        <v>200</v>
      </c>
      <c r="R3663" s="297" t="s">
        <v>213</v>
      </c>
      <c r="S3663" s="297" t="s">
        <v>214</v>
      </c>
    </row>
    <row r="3664" spans="1:19" x14ac:dyDescent="0.4">
      <c r="A3664" s="291"/>
      <c r="B3664" s="292"/>
      <c r="C3664" s="312"/>
      <c r="D3664" s="292"/>
      <c r="E3664" s="489"/>
      <c r="F3664" s="489"/>
      <c r="G3664" s="490"/>
      <c r="H3664" s="520"/>
      <c r="I3664" s="523"/>
      <c r="J3664" s="521"/>
      <c r="K3664" s="522"/>
      <c r="M3664" s="301" t="str">
        <f>N3664&amp;AS[[#This Row],[Insurer Code]]&amp;"; "&amp;O3664&amp;AS[[#This Row],[Reporting Year]]&amp;"; "&amp;P3664&amp;AS[[#This Row],[Insurance Category Code]]&amp;"; "&amp;Q3664&amp;AS[[#This Row],[Large Provider Entity Code]]&amp;"; "&amp;R3664&amp;AS[[#This Row],[Age Band Code]]&amp;"; "&amp;S3664&amp;AS[[#This Row],[Sex Code]]</f>
        <v xml:space="preserve">Insurer Code ; Reporting Year ; Insurance Category Code ; Large Provider Entity Code ; Age Band Code ; Sex Code </v>
      </c>
      <c r="N3664" s="297" t="s">
        <v>197</v>
      </c>
      <c r="O3664" s="297" t="s">
        <v>198</v>
      </c>
      <c r="P3664" s="297" t="s">
        <v>199</v>
      </c>
      <c r="Q3664" s="297" t="s">
        <v>200</v>
      </c>
      <c r="R3664" s="297" t="s">
        <v>213</v>
      </c>
      <c r="S3664" s="297" t="s">
        <v>214</v>
      </c>
    </row>
    <row r="3665" spans="1:19" x14ac:dyDescent="0.4">
      <c r="A3665" s="291"/>
      <c r="B3665" s="292"/>
      <c r="C3665" s="312"/>
      <c r="D3665" s="292"/>
      <c r="E3665" s="489"/>
      <c r="F3665" s="489"/>
      <c r="G3665" s="490"/>
      <c r="H3665" s="520"/>
      <c r="I3665" s="523"/>
      <c r="J3665" s="521"/>
      <c r="K3665" s="522"/>
      <c r="M3665" s="301" t="str">
        <f>N3665&amp;AS[[#This Row],[Insurer Code]]&amp;"; "&amp;O3665&amp;AS[[#This Row],[Reporting Year]]&amp;"; "&amp;P3665&amp;AS[[#This Row],[Insurance Category Code]]&amp;"; "&amp;Q3665&amp;AS[[#This Row],[Large Provider Entity Code]]&amp;"; "&amp;R3665&amp;AS[[#This Row],[Age Band Code]]&amp;"; "&amp;S3665&amp;AS[[#This Row],[Sex Code]]</f>
        <v xml:space="preserve">Insurer Code ; Reporting Year ; Insurance Category Code ; Large Provider Entity Code ; Age Band Code ; Sex Code </v>
      </c>
      <c r="N3665" s="297" t="s">
        <v>197</v>
      </c>
      <c r="O3665" s="297" t="s">
        <v>198</v>
      </c>
      <c r="P3665" s="297" t="s">
        <v>199</v>
      </c>
      <c r="Q3665" s="297" t="s">
        <v>200</v>
      </c>
      <c r="R3665" s="297" t="s">
        <v>213</v>
      </c>
      <c r="S3665" s="297" t="s">
        <v>214</v>
      </c>
    </row>
    <row r="3666" spans="1:19" x14ac:dyDescent="0.4">
      <c r="A3666" s="291"/>
      <c r="B3666" s="292"/>
      <c r="C3666" s="312"/>
      <c r="D3666" s="292"/>
      <c r="E3666" s="489"/>
      <c r="F3666" s="489"/>
      <c r="G3666" s="490"/>
      <c r="H3666" s="520"/>
      <c r="I3666" s="523"/>
      <c r="J3666" s="521"/>
      <c r="K3666" s="522"/>
      <c r="M3666" s="301" t="str">
        <f>N3666&amp;AS[[#This Row],[Insurer Code]]&amp;"; "&amp;O3666&amp;AS[[#This Row],[Reporting Year]]&amp;"; "&amp;P3666&amp;AS[[#This Row],[Insurance Category Code]]&amp;"; "&amp;Q3666&amp;AS[[#This Row],[Large Provider Entity Code]]&amp;"; "&amp;R3666&amp;AS[[#This Row],[Age Band Code]]&amp;"; "&amp;S3666&amp;AS[[#This Row],[Sex Code]]</f>
        <v xml:space="preserve">Insurer Code ; Reporting Year ; Insurance Category Code ; Large Provider Entity Code ; Age Band Code ; Sex Code </v>
      </c>
      <c r="N3666" s="297" t="s">
        <v>197</v>
      </c>
      <c r="O3666" s="297" t="s">
        <v>198</v>
      </c>
      <c r="P3666" s="297" t="s">
        <v>199</v>
      </c>
      <c r="Q3666" s="297" t="s">
        <v>200</v>
      </c>
      <c r="R3666" s="297" t="s">
        <v>213</v>
      </c>
      <c r="S3666" s="297" t="s">
        <v>214</v>
      </c>
    </row>
    <row r="3667" spans="1:19" x14ac:dyDescent="0.4">
      <c r="A3667" s="291"/>
      <c r="B3667" s="292"/>
      <c r="C3667" s="312"/>
      <c r="D3667" s="292"/>
      <c r="E3667" s="489"/>
      <c r="F3667" s="489"/>
      <c r="G3667" s="490"/>
      <c r="H3667" s="520"/>
      <c r="I3667" s="523"/>
      <c r="J3667" s="521"/>
      <c r="K3667" s="522"/>
      <c r="M3667" s="301" t="str">
        <f>N3667&amp;AS[[#This Row],[Insurer Code]]&amp;"; "&amp;O3667&amp;AS[[#This Row],[Reporting Year]]&amp;"; "&amp;P3667&amp;AS[[#This Row],[Insurance Category Code]]&amp;"; "&amp;Q3667&amp;AS[[#This Row],[Large Provider Entity Code]]&amp;"; "&amp;R3667&amp;AS[[#This Row],[Age Band Code]]&amp;"; "&amp;S3667&amp;AS[[#This Row],[Sex Code]]</f>
        <v xml:space="preserve">Insurer Code ; Reporting Year ; Insurance Category Code ; Large Provider Entity Code ; Age Band Code ; Sex Code </v>
      </c>
      <c r="N3667" s="297" t="s">
        <v>197</v>
      </c>
      <c r="O3667" s="297" t="s">
        <v>198</v>
      </c>
      <c r="P3667" s="297" t="s">
        <v>199</v>
      </c>
      <c r="Q3667" s="297" t="s">
        <v>200</v>
      </c>
      <c r="R3667" s="297" t="s">
        <v>213</v>
      </c>
      <c r="S3667" s="297" t="s">
        <v>214</v>
      </c>
    </row>
    <row r="3668" spans="1:19" x14ac:dyDescent="0.4">
      <c r="A3668" s="291"/>
      <c r="B3668" s="292"/>
      <c r="C3668" s="312"/>
      <c r="D3668" s="292"/>
      <c r="E3668" s="489"/>
      <c r="F3668" s="489"/>
      <c r="G3668" s="490"/>
      <c r="H3668" s="520"/>
      <c r="I3668" s="523"/>
      <c r="J3668" s="521"/>
      <c r="K3668" s="522"/>
      <c r="M3668" s="301" t="str">
        <f>N3668&amp;AS[[#This Row],[Insurer Code]]&amp;"; "&amp;O3668&amp;AS[[#This Row],[Reporting Year]]&amp;"; "&amp;P3668&amp;AS[[#This Row],[Insurance Category Code]]&amp;"; "&amp;Q3668&amp;AS[[#This Row],[Large Provider Entity Code]]&amp;"; "&amp;R3668&amp;AS[[#This Row],[Age Band Code]]&amp;"; "&amp;S3668&amp;AS[[#This Row],[Sex Code]]</f>
        <v xml:space="preserve">Insurer Code ; Reporting Year ; Insurance Category Code ; Large Provider Entity Code ; Age Band Code ; Sex Code </v>
      </c>
      <c r="N3668" s="297" t="s">
        <v>197</v>
      </c>
      <c r="O3668" s="297" t="s">
        <v>198</v>
      </c>
      <c r="P3668" s="297" t="s">
        <v>199</v>
      </c>
      <c r="Q3668" s="297" t="s">
        <v>200</v>
      </c>
      <c r="R3668" s="297" t="s">
        <v>213</v>
      </c>
      <c r="S3668" s="297" t="s">
        <v>214</v>
      </c>
    </row>
    <row r="3669" spans="1:19" x14ac:dyDescent="0.4">
      <c r="A3669" s="291"/>
      <c r="B3669" s="292"/>
      <c r="C3669" s="312"/>
      <c r="D3669" s="292"/>
      <c r="E3669" s="489"/>
      <c r="F3669" s="489"/>
      <c r="G3669" s="490"/>
      <c r="H3669" s="520"/>
      <c r="I3669" s="523"/>
      <c r="J3669" s="521"/>
      <c r="K3669" s="522"/>
      <c r="M3669" s="301" t="str">
        <f>N3669&amp;AS[[#This Row],[Insurer Code]]&amp;"; "&amp;O3669&amp;AS[[#This Row],[Reporting Year]]&amp;"; "&amp;P3669&amp;AS[[#This Row],[Insurance Category Code]]&amp;"; "&amp;Q3669&amp;AS[[#This Row],[Large Provider Entity Code]]&amp;"; "&amp;R3669&amp;AS[[#This Row],[Age Band Code]]&amp;"; "&amp;S3669&amp;AS[[#This Row],[Sex Code]]</f>
        <v xml:space="preserve">Insurer Code ; Reporting Year ; Insurance Category Code ; Large Provider Entity Code ; Age Band Code ; Sex Code </v>
      </c>
      <c r="N3669" s="297" t="s">
        <v>197</v>
      </c>
      <c r="O3669" s="297" t="s">
        <v>198</v>
      </c>
      <c r="P3669" s="297" t="s">
        <v>199</v>
      </c>
      <c r="Q3669" s="297" t="s">
        <v>200</v>
      </c>
      <c r="R3669" s="297" t="s">
        <v>213</v>
      </c>
      <c r="S3669" s="297" t="s">
        <v>214</v>
      </c>
    </row>
    <row r="3670" spans="1:19" x14ac:dyDescent="0.4">
      <c r="A3670" s="291"/>
      <c r="B3670" s="292"/>
      <c r="C3670" s="312"/>
      <c r="D3670" s="292"/>
      <c r="E3670" s="489"/>
      <c r="F3670" s="489"/>
      <c r="G3670" s="490"/>
      <c r="H3670" s="520"/>
      <c r="I3670" s="523"/>
      <c r="J3670" s="521"/>
      <c r="K3670" s="522"/>
      <c r="M3670" s="301" t="str">
        <f>N3670&amp;AS[[#This Row],[Insurer Code]]&amp;"; "&amp;O3670&amp;AS[[#This Row],[Reporting Year]]&amp;"; "&amp;P3670&amp;AS[[#This Row],[Insurance Category Code]]&amp;"; "&amp;Q3670&amp;AS[[#This Row],[Large Provider Entity Code]]&amp;"; "&amp;R3670&amp;AS[[#This Row],[Age Band Code]]&amp;"; "&amp;S3670&amp;AS[[#This Row],[Sex Code]]</f>
        <v xml:space="preserve">Insurer Code ; Reporting Year ; Insurance Category Code ; Large Provider Entity Code ; Age Band Code ; Sex Code </v>
      </c>
      <c r="N3670" s="297" t="s">
        <v>197</v>
      </c>
      <c r="O3670" s="297" t="s">
        <v>198</v>
      </c>
      <c r="P3670" s="297" t="s">
        <v>199</v>
      </c>
      <c r="Q3670" s="297" t="s">
        <v>200</v>
      </c>
      <c r="R3670" s="297" t="s">
        <v>213</v>
      </c>
      <c r="S3670" s="297" t="s">
        <v>214</v>
      </c>
    </row>
    <row r="3671" spans="1:19" x14ac:dyDescent="0.4">
      <c r="A3671" s="291"/>
      <c r="B3671" s="292"/>
      <c r="C3671" s="312"/>
      <c r="D3671" s="292"/>
      <c r="E3671" s="489"/>
      <c r="F3671" s="489"/>
      <c r="G3671" s="490"/>
      <c r="H3671" s="520"/>
      <c r="I3671" s="523"/>
      <c r="J3671" s="521"/>
      <c r="K3671" s="522"/>
      <c r="M3671" s="301" t="str">
        <f>N3671&amp;AS[[#This Row],[Insurer Code]]&amp;"; "&amp;O3671&amp;AS[[#This Row],[Reporting Year]]&amp;"; "&amp;P3671&amp;AS[[#This Row],[Insurance Category Code]]&amp;"; "&amp;Q3671&amp;AS[[#This Row],[Large Provider Entity Code]]&amp;"; "&amp;R3671&amp;AS[[#This Row],[Age Band Code]]&amp;"; "&amp;S3671&amp;AS[[#This Row],[Sex Code]]</f>
        <v xml:space="preserve">Insurer Code ; Reporting Year ; Insurance Category Code ; Large Provider Entity Code ; Age Band Code ; Sex Code </v>
      </c>
      <c r="N3671" s="297" t="s">
        <v>197</v>
      </c>
      <c r="O3671" s="297" t="s">
        <v>198</v>
      </c>
      <c r="P3671" s="297" t="s">
        <v>199</v>
      </c>
      <c r="Q3671" s="297" t="s">
        <v>200</v>
      </c>
      <c r="R3671" s="297" t="s">
        <v>213</v>
      </c>
      <c r="S3671" s="297" t="s">
        <v>214</v>
      </c>
    </row>
    <row r="3672" spans="1:19" x14ac:dyDescent="0.4">
      <c r="A3672" s="291"/>
      <c r="B3672" s="292"/>
      <c r="C3672" s="312"/>
      <c r="D3672" s="292"/>
      <c r="E3672" s="489"/>
      <c r="F3672" s="489"/>
      <c r="G3672" s="490"/>
      <c r="H3672" s="520"/>
      <c r="I3672" s="523"/>
      <c r="J3672" s="521"/>
      <c r="K3672" s="522"/>
      <c r="M3672" s="301" t="str">
        <f>N3672&amp;AS[[#This Row],[Insurer Code]]&amp;"; "&amp;O3672&amp;AS[[#This Row],[Reporting Year]]&amp;"; "&amp;P3672&amp;AS[[#This Row],[Insurance Category Code]]&amp;"; "&amp;Q3672&amp;AS[[#This Row],[Large Provider Entity Code]]&amp;"; "&amp;R3672&amp;AS[[#This Row],[Age Band Code]]&amp;"; "&amp;S3672&amp;AS[[#This Row],[Sex Code]]</f>
        <v xml:space="preserve">Insurer Code ; Reporting Year ; Insurance Category Code ; Large Provider Entity Code ; Age Band Code ; Sex Code </v>
      </c>
      <c r="N3672" s="297" t="s">
        <v>197</v>
      </c>
      <c r="O3672" s="297" t="s">
        <v>198</v>
      </c>
      <c r="P3672" s="297" t="s">
        <v>199</v>
      </c>
      <c r="Q3672" s="297" t="s">
        <v>200</v>
      </c>
      <c r="R3672" s="297" t="s">
        <v>213</v>
      </c>
      <c r="S3672" s="297" t="s">
        <v>214</v>
      </c>
    </row>
    <row r="3673" spans="1:19" x14ac:dyDescent="0.4">
      <c r="A3673" s="291"/>
      <c r="B3673" s="292"/>
      <c r="C3673" s="312"/>
      <c r="D3673" s="292"/>
      <c r="E3673" s="489"/>
      <c r="F3673" s="489"/>
      <c r="G3673" s="490"/>
      <c r="H3673" s="520"/>
      <c r="I3673" s="523"/>
      <c r="J3673" s="521"/>
      <c r="K3673" s="522"/>
      <c r="M3673" s="301" t="str">
        <f>N3673&amp;AS[[#This Row],[Insurer Code]]&amp;"; "&amp;O3673&amp;AS[[#This Row],[Reporting Year]]&amp;"; "&amp;P3673&amp;AS[[#This Row],[Insurance Category Code]]&amp;"; "&amp;Q3673&amp;AS[[#This Row],[Large Provider Entity Code]]&amp;"; "&amp;R3673&amp;AS[[#This Row],[Age Band Code]]&amp;"; "&amp;S3673&amp;AS[[#This Row],[Sex Code]]</f>
        <v xml:space="preserve">Insurer Code ; Reporting Year ; Insurance Category Code ; Large Provider Entity Code ; Age Band Code ; Sex Code </v>
      </c>
      <c r="N3673" s="297" t="s">
        <v>197</v>
      </c>
      <c r="O3673" s="297" t="s">
        <v>198</v>
      </c>
      <c r="P3673" s="297" t="s">
        <v>199</v>
      </c>
      <c r="Q3673" s="297" t="s">
        <v>200</v>
      </c>
      <c r="R3673" s="297" t="s">
        <v>213</v>
      </c>
      <c r="S3673" s="297" t="s">
        <v>214</v>
      </c>
    </row>
    <row r="3674" spans="1:19" x14ac:dyDescent="0.4">
      <c r="A3674" s="291"/>
      <c r="B3674" s="292"/>
      <c r="C3674" s="312"/>
      <c r="D3674" s="292"/>
      <c r="E3674" s="489"/>
      <c r="F3674" s="489"/>
      <c r="G3674" s="490"/>
      <c r="H3674" s="520"/>
      <c r="I3674" s="523"/>
      <c r="J3674" s="521"/>
      <c r="K3674" s="522"/>
      <c r="M3674" s="301" t="str">
        <f>N3674&amp;AS[[#This Row],[Insurer Code]]&amp;"; "&amp;O3674&amp;AS[[#This Row],[Reporting Year]]&amp;"; "&amp;P3674&amp;AS[[#This Row],[Insurance Category Code]]&amp;"; "&amp;Q3674&amp;AS[[#This Row],[Large Provider Entity Code]]&amp;"; "&amp;R3674&amp;AS[[#This Row],[Age Band Code]]&amp;"; "&amp;S3674&amp;AS[[#This Row],[Sex Code]]</f>
        <v xml:space="preserve">Insurer Code ; Reporting Year ; Insurance Category Code ; Large Provider Entity Code ; Age Band Code ; Sex Code </v>
      </c>
      <c r="N3674" s="297" t="s">
        <v>197</v>
      </c>
      <c r="O3674" s="297" t="s">
        <v>198</v>
      </c>
      <c r="P3674" s="297" t="s">
        <v>199</v>
      </c>
      <c r="Q3674" s="297" t="s">
        <v>200</v>
      </c>
      <c r="R3674" s="297" t="s">
        <v>213</v>
      </c>
      <c r="S3674" s="297" t="s">
        <v>214</v>
      </c>
    </row>
    <row r="3675" spans="1:19" x14ac:dyDescent="0.4">
      <c r="A3675" s="291"/>
      <c r="B3675" s="292"/>
      <c r="C3675" s="312"/>
      <c r="D3675" s="292"/>
      <c r="E3675" s="489"/>
      <c r="F3675" s="489"/>
      <c r="G3675" s="490"/>
      <c r="H3675" s="520"/>
      <c r="I3675" s="523"/>
      <c r="J3675" s="521"/>
      <c r="K3675" s="522"/>
      <c r="M3675" s="301" t="str">
        <f>N3675&amp;AS[[#This Row],[Insurer Code]]&amp;"; "&amp;O3675&amp;AS[[#This Row],[Reporting Year]]&amp;"; "&amp;P3675&amp;AS[[#This Row],[Insurance Category Code]]&amp;"; "&amp;Q3675&amp;AS[[#This Row],[Large Provider Entity Code]]&amp;"; "&amp;R3675&amp;AS[[#This Row],[Age Band Code]]&amp;"; "&amp;S3675&amp;AS[[#This Row],[Sex Code]]</f>
        <v xml:space="preserve">Insurer Code ; Reporting Year ; Insurance Category Code ; Large Provider Entity Code ; Age Band Code ; Sex Code </v>
      </c>
      <c r="N3675" s="297" t="s">
        <v>197</v>
      </c>
      <c r="O3675" s="297" t="s">
        <v>198</v>
      </c>
      <c r="P3675" s="297" t="s">
        <v>199</v>
      </c>
      <c r="Q3675" s="297" t="s">
        <v>200</v>
      </c>
      <c r="R3675" s="297" t="s">
        <v>213</v>
      </c>
      <c r="S3675" s="297" t="s">
        <v>214</v>
      </c>
    </row>
    <row r="3676" spans="1:19" x14ac:dyDescent="0.4">
      <c r="A3676" s="291"/>
      <c r="B3676" s="292"/>
      <c r="C3676" s="312"/>
      <c r="D3676" s="292"/>
      <c r="E3676" s="489"/>
      <c r="F3676" s="489"/>
      <c r="G3676" s="490"/>
      <c r="H3676" s="520"/>
      <c r="I3676" s="523"/>
      <c r="J3676" s="521"/>
      <c r="K3676" s="522"/>
      <c r="M3676" s="301" t="str">
        <f>N3676&amp;AS[[#This Row],[Insurer Code]]&amp;"; "&amp;O3676&amp;AS[[#This Row],[Reporting Year]]&amp;"; "&amp;P3676&amp;AS[[#This Row],[Insurance Category Code]]&amp;"; "&amp;Q3676&amp;AS[[#This Row],[Large Provider Entity Code]]&amp;"; "&amp;R3676&amp;AS[[#This Row],[Age Band Code]]&amp;"; "&amp;S3676&amp;AS[[#This Row],[Sex Code]]</f>
        <v xml:space="preserve">Insurer Code ; Reporting Year ; Insurance Category Code ; Large Provider Entity Code ; Age Band Code ; Sex Code </v>
      </c>
      <c r="N3676" s="297" t="s">
        <v>197</v>
      </c>
      <c r="O3676" s="297" t="s">
        <v>198</v>
      </c>
      <c r="P3676" s="297" t="s">
        <v>199</v>
      </c>
      <c r="Q3676" s="297" t="s">
        <v>200</v>
      </c>
      <c r="R3676" s="297" t="s">
        <v>213</v>
      </c>
      <c r="S3676" s="297" t="s">
        <v>214</v>
      </c>
    </row>
    <row r="3677" spans="1:19" x14ac:dyDescent="0.4">
      <c r="A3677" s="291"/>
      <c r="B3677" s="292"/>
      <c r="C3677" s="312"/>
      <c r="D3677" s="292"/>
      <c r="E3677" s="489"/>
      <c r="F3677" s="489"/>
      <c r="G3677" s="490"/>
      <c r="H3677" s="520"/>
      <c r="I3677" s="523"/>
      <c r="J3677" s="521"/>
      <c r="K3677" s="522"/>
      <c r="M3677" s="301" t="str">
        <f>N3677&amp;AS[[#This Row],[Insurer Code]]&amp;"; "&amp;O3677&amp;AS[[#This Row],[Reporting Year]]&amp;"; "&amp;P3677&amp;AS[[#This Row],[Insurance Category Code]]&amp;"; "&amp;Q3677&amp;AS[[#This Row],[Large Provider Entity Code]]&amp;"; "&amp;R3677&amp;AS[[#This Row],[Age Band Code]]&amp;"; "&amp;S3677&amp;AS[[#This Row],[Sex Code]]</f>
        <v xml:space="preserve">Insurer Code ; Reporting Year ; Insurance Category Code ; Large Provider Entity Code ; Age Band Code ; Sex Code </v>
      </c>
      <c r="N3677" s="297" t="s">
        <v>197</v>
      </c>
      <c r="O3677" s="297" t="s">
        <v>198</v>
      </c>
      <c r="P3677" s="297" t="s">
        <v>199</v>
      </c>
      <c r="Q3677" s="297" t="s">
        <v>200</v>
      </c>
      <c r="R3677" s="297" t="s">
        <v>213</v>
      </c>
      <c r="S3677" s="297" t="s">
        <v>214</v>
      </c>
    </row>
    <row r="3678" spans="1:19" x14ac:dyDescent="0.4">
      <c r="A3678" s="291"/>
      <c r="B3678" s="292"/>
      <c r="C3678" s="312"/>
      <c r="D3678" s="292"/>
      <c r="E3678" s="489"/>
      <c r="F3678" s="489"/>
      <c r="G3678" s="490"/>
      <c r="H3678" s="520"/>
      <c r="I3678" s="523"/>
      <c r="J3678" s="521"/>
      <c r="K3678" s="522"/>
      <c r="M3678" s="301" t="str">
        <f>N3678&amp;AS[[#This Row],[Insurer Code]]&amp;"; "&amp;O3678&amp;AS[[#This Row],[Reporting Year]]&amp;"; "&amp;P3678&amp;AS[[#This Row],[Insurance Category Code]]&amp;"; "&amp;Q3678&amp;AS[[#This Row],[Large Provider Entity Code]]&amp;"; "&amp;R3678&amp;AS[[#This Row],[Age Band Code]]&amp;"; "&amp;S3678&amp;AS[[#This Row],[Sex Code]]</f>
        <v xml:space="preserve">Insurer Code ; Reporting Year ; Insurance Category Code ; Large Provider Entity Code ; Age Band Code ; Sex Code </v>
      </c>
      <c r="N3678" s="297" t="s">
        <v>197</v>
      </c>
      <c r="O3678" s="297" t="s">
        <v>198</v>
      </c>
      <c r="P3678" s="297" t="s">
        <v>199</v>
      </c>
      <c r="Q3678" s="297" t="s">
        <v>200</v>
      </c>
      <c r="R3678" s="297" t="s">
        <v>213</v>
      </c>
      <c r="S3678" s="297" t="s">
        <v>214</v>
      </c>
    </row>
    <row r="3679" spans="1:19" x14ac:dyDescent="0.4">
      <c r="A3679" s="291"/>
      <c r="B3679" s="292"/>
      <c r="C3679" s="312"/>
      <c r="D3679" s="292"/>
      <c r="E3679" s="489"/>
      <c r="F3679" s="489"/>
      <c r="G3679" s="490"/>
      <c r="H3679" s="520"/>
      <c r="I3679" s="523"/>
      <c r="J3679" s="521"/>
      <c r="K3679" s="522"/>
      <c r="M3679" s="301" t="str">
        <f>N3679&amp;AS[[#This Row],[Insurer Code]]&amp;"; "&amp;O3679&amp;AS[[#This Row],[Reporting Year]]&amp;"; "&amp;P3679&amp;AS[[#This Row],[Insurance Category Code]]&amp;"; "&amp;Q3679&amp;AS[[#This Row],[Large Provider Entity Code]]&amp;"; "&amp;R3679&amp;AS[[#This Row],[Age Band Code]]&amp;"; "&amp;S3679&amp;AS[[#This Row],[Sex Code]]</f>
        <v xml:space="preserve">Insurer Code ; Reporting Year ; Insurance Category Code ; Large Provider Entity Code ; Age Band Code ; Sex Code </v>
      </c>
      <c r="N3679" s="297" t="s">
        <v>197</v>
      </c>
      <c r="O3679" s="297" t="s">
        <v>198</v>
      </c>
      <c r="P3679" s="297" t="s">
        <v>199</v>
      </c>
      <c r="Q3679" s="297" t="s">
        <v>200</v>
      </c>
      <c r="R3679" s="297" t="s">
        <v>213</v>
      </c>
      <c r="S3679" s="297" t="s">
        <v>214</v>
      </c>
    </row>
    <row r="3680" spans="1:19" x14ac:dyDescent="0.4">
      <c r="A3680" s="291"/>
      <c r="B3680" s="292"/>
      <c r="C3680" s="312"/>
      <c r="D3680" s="292"/>
      <c r="E3680" s="489"/>
      <c r="F3680" s="489"/>
      <c r="G3680" s="490"/>
      <c r="H3680" s="520"/>
      <c r="I3680" s="523"/>
      <c r="J3680" s="521"/>
      <c r="K3680" s="522"/>
      <c r="M3680" s="301" t="str">
        <f>N3680&amp;AS[[#This Row],[Insurer Code]]&amp;"; "&amp;O3680&amp;AS[[#This Row],[Reporting Year]]&amp;"; "&amp;P3680&amp;AS[[#This Row],[Insurance Category Code]]&amp;"; "&amp;Q3680&amp;AS[[#This Row],[Large Provider Entity Code]]&amp;"; "&amp;R3680&amp;AS[[#This Row],[Age Band Code]]&amp;"; "&amp;S3680&amp;AS[[#This Row],[Sex Code]]</f>
        <v xml:space="preserve">Insurer Code ; Reporting Year ; Insurance Category Code ; Large Provider Entity Code ; Age Band Code ; Sex Code </v>
      </c>
      <c r="N3680" s="297" t="s">
        <v>197</v>
      </c>
      <c r="O3680" s="297" t="s">
        <v>198</v>
      </c>
      <c r="P3680" s="297" t="s">
        <v>199</v>
      </c>
      <c r="Q3680" s="297" t="s">
        <v>200</v>
      </c>
      <c r="R3680" s="297" t="s">
        <v>213</v>
      </c>
      <c r="S3680" s="297" t="s">
        <v>214</v>
      </c>
    </row>
    <row r="3681" spans="1:19" x14ac:dyDescent="0.4">
      <c r="A3681" s="291"/>
      <c r="B3681" s="292"/>
      <c r="C3681" s="312"/>
      <c r="D3681" s="292"/>
      <c r="E3681" s="489"/>
      <c r="F3681" s="489"/>
      <c r="G3681" s="490"/>
      <c r="H3681" s="520"/>
      <c r="I3681" s="523"/>
      <c r="J3681" s="521"/>
      <c r="K3681" s="522"/>
      <c r="M3681" s="301" t="str">
        <f>N3681&amp;AS[[#This Row],[Insurer Code]]&amp;"; "&amp;O3681&amp;AS[[#This Row],[Reporting Year]]&amp;"; "&amp;P3681&amp;AS[[#This Row],[Insurance Category Code]]&amp;"; "&amp;Q3681&amp;AS[[#This Row],[Large Provider Entity Code]]&amp;"; "&amp;R3681&amp;AS[[#This Row],[Age Band Code]]&amp;"; "&amp;S3681&amp;AS[[#This Row],[Sex Code]]</f>
        <v xml:space="preserve">Insurer Code ; Reporting Year ; Insurance Category Code ; Large Provider Entity Code ; Age Band Code ; Sex Code </v>
      </c>
      <c r="N3681" s="297" t="s">
        <v>197</v>
      </c>
      <c r="O3681" s="297" t="s">
        <v>198</v>
      </c>
      <c r="P3681" s="297" t="s">
        <v>199</v>
      </c>
      <c r="Q3681" s="297" t="s">
        <v>200</v>
      </c>
      <c r="R3681" s="297" t="s">
        <v>213</v>
      </c>
      <c r="S3681" s="297" t="s">
        <v>214</v>
      </c>
    </row>
    <row r="3682" spans="1:19" x14ac:dyDescent="0.4">
      <c r="A3682" s="291"/>
      <c r="B3682" s="292"/>
      <c r="C3682" s="312"/>
      <c r="D3682" s="292"/>
      <c r="E3682" s="489"/>
      <c r="F3682" s="489"/>
      <c r="G3682" s="490"/>
      <c r="H3682" s="520"/>
      <c r="I3682" s="523"/>
      <c r="J3682" s="521"/>
      <c r="K3682" s="522"/>
      <c r="M3682" s="301" t="str">
        <f>N3682&amp;AS[[#This Row],[Insurer Code]]&amp;"; "&amp;O3682&amp;AS[[#This Row],[Reporting Year]]&amp;"; "&amp;P3682&amp;AS[[#This Row],[Insurance Category Code]]&amp;"; "&amp;Q3682&amp;AS[[#This Row],[Large Provider Entity Code]]&amp;"; "&amp;R3682&amp;AS[[#This Row],[Age Band Code]]&amp;"; "&amp;S3682&amp;AS[[#This Row],[Sex Code]]</f>
        <v xml:space="preserve">Insurer Code ; Reporting Year ; Insurance Category Code ; Large Provider Entity Code ; Age Band Code ; Sex Code </v>
      </c>
      <c r="N3682" s="297" t="s">
        <v>197</v>
      </c>
      <c r="O3682" s="297" t="s">
        <v>198</v>
      </c>
      <c r="P3682" s="297" t="s">
        <v>199</v>
      </c>
      <c r="Q3682" s="297" t="s">
        <v>200</v>
      </c>
      <c r="R3682" s="297" t="s">
        <v>213</v>
      </c>
      <c r="S3682" s="297" t="s">
        <v>214</v>
      </c>
    </row>
    <row r="3683" spans="1:19" x14ac:dyDescent="0.4">
      <c r="A3683" s="291"/>
      <c r="B3683" s="292"/>
      <c r="C3683" s="312"/>
      <c r="D3683" s="292"/>
      <c r="E3683" s="489"/>
      <c r="F3683" s="489"/>
      <c r="G3683" s="490"/>
      <c r="H3683" s="520"/>
      <c r="I3683" s="523"/>
      <c r="J3683" s="521"/>
      <c r="K3683" s="522"/>
      <c r="M3683" s="301" t="str">
        <f>N3683&amp;AS[[#This Row],[Insurer Code]]&amp;"; "&amp;O3683&amp;AS[[#This Row],[Reporting Year]]&amp;"; "&amp;P3683&amp;AS[[#This Row],[Insurance Category Code]]&amp;"; "&amp;Q3683&amp;AS[[#This Row],[Large Provider Entity Code]]&amp;"; "&amp;R3683&amp;AS[[#This Row],[Age Band Code]]&amp;"; "&amp;S3683&amp;AS[[#This Row],[Sex Code]]</f>
        <v xml:space="preserve">Insurer Code ; Reporting Year ; Insurance Category Code ; Large Provider Entity Code ; Age Band Code ; Sex Code </v>
      </c>
      <c r="N3683" s="297" t="s">
        <v>197</v>
      </c>
      <c r="O3683" s="297" t="s">
        <v>198</v>
      </c>
      <c r="P3683" s="297" t="s">
        <v>199</v>
      </c>
      <c r="Q3683" s="297" t="s">
        <v>200</v>
      </c>
      <c r="R3683" s="297" t="s">
        <v>213</v>
      </c>
      <c r="S3683" s="297" t="s">
        <v>214</v>
      </c>
    </row>
    <row r="3684" spans="1:19" x14ac:dyDescent="0.4">
      <c r="A3684" s="291"/>
      <c r="B3684" s="292"/>
      <c r="C3684" s="312"/>
      <c r="D3684" s="292"/>
      <c r="E3684" s="489"/>
      <c r="F3684" s="489"/>
      <c r="G3684" s="490"/>
      <c r="H3684" s="520"/>
      <c r="I3684" s="523"/>
      <c r="J3684" s="521"/>
      <c r="K3684" s="522"/>
      <c r="M3684" s="301" t="str">
        <f>N3684&amp;AS[[#This Row],[Insurer Code]]&amp;"; "&amp;O3684&amp;AS[[#This Row],[Reporting Year]]&amp;"; "&amp;P3684&amp;AS[[#This Row],[Insurance Category Code]]&amp;"; "&amp;Q3684&amp;AS[[#This Row],[Large Provider Entity Code]]&amp;"; "&amp;R3684&amp;AS[[#This Row],[Age Band Code]]&amp;"; "&amp;S3684&amp;AS[[#This Row],[Sex Code]]</f>
        <v xml:space="preserve">Insurer Code ; Reporting Year ; Insurance Category Code ; Large Provider Entity Code ; Age Band Code ; Sex Code </v>
      </c>
      <c r="N3684" s="297" t="s">
        <v>197</v>
      </c>
      <c r="O3684" s="297" t="s">
        <v>198</v>
      </c>
      <c r="P3684" s="297" t="s">
        <v>199</v>
      </c>
      <c r="Q3684" s="297" t="s">
        <v>200</v>
      </c>
      <c r="R3684" s="297" t="s">
        <v>213</v>
      </c>
      <c r="S3684" s="297" t="s">
        <v>214</v>
      </c>
    </row>
    <row r="3685" spans="1:19" x14ac:dyDescent="0.4">
      <c r="A3685" s="291"/>
      <c r="B3685" s="292"/>
      <c r="C3685" s="312"/>
      <c r="D3685" s="292"/>
      <c r="E3685" s="489"/>
      <c r="F3685" s="489"/>
      <c r="G3685" s="490"/>
      <c r="H3685" s="520"/>
      <c r="I3685" s="523"/>
      <c r="J3685" s="521"/>
      <c r="K3685" s="522"/>
      <c r="M3685" s="301" t="str">
        <f>N3685&amp;AS[[#This Row],[Insurer Code]]&amp;"; "&amp;O3685&amp;AS[[#This Row],[Reporting Year]]&amp;"; "&amp;P3685&amp;AS[[#This Row],[Insurance Category Code]]&amp;"; "&amp;Q3685&amp;AS[[#This Row],[Large Provider Entity Code]]&amp;"; "&amp;R3685&amp;AS[[#This Row],[Age Band Code]]&amp;"; "&amp;S3685&amp;AS[[#This Row],[Sex Code]]</f>
        <v xml:space="preserve">Insurer Code ; Reporting Year ; Insurance Category Code ; Large Provider Entity Code ; Age Band Code ; Sex Code </v>
      </c>
      <c r="N3685" s="297" t="s">
        <v>197</v>
      </c>
      <c r="O3685" s="297" t="s">
        <v>198</v>
      </c>
      <c r="P3685" s="297" t="s">
        <v>199</v>
      </c>
      <c r="Q3685" s="297" t="s">
        <v>200</v>
      </c>
      <c r="R3685" s="297" t="s">
        <v>213</v>
      </c>
      <c r="S3685" s="297" t="s">
        <v>214</v>
      </c>
    </row>
    <row r="3686" spans="1:19" x14ac:dyDescent="0.4">
      <c r="A3686" s="291"/>
      <c r="B3686" s="292"/>
      <c r="C3686" s="312"/>
      <c r="D3686" s="292"/>
      <c r="E3686" s="489"/>
      <c r="F3686" s="489"/>
      <c r="G3686" s="490"/>
      <c r="H3686" s="520"/>
      <c r="I3686" s="523"/>
      <c r="J3686" s="521"/>
      <c r="K3686" s="522"/>
      <c r="M3686" s="301" t="str">
        <f>N3686&amp;AS[[#This Row],[Insurer Code]]&amp;"; "&amp;O3686&amp;AS[[#This Row],[Reporting Year]]&amp;"; "&amp;P3686&amp;AS[[#This Row],[Insurance Category Code]]&amp;"; "&amp;Q3686&amp;AS[[#This Row],[Large Provider Entity Code]]&amp;"; "&amp;R3686&amp;AS[[#This Row],[Age Band Code]]&amp;"; "&amp;S3686&amp;AS[[#This Row],[Sex Code]]</f>
        <v xml:space="preserve">Insurer Code ; Reporting Year ; Insurance Category Code ; Large Provider Entity Code ; Age Band Code ; Sex Code </v>
      </c>
      <c r="N3686" s="297" t="s">
        <v>197</v>
      </c>
      <c r="O3686" s="297" t="s">
        <v>198</v>
      </c>
      <c r="P3686" s="297" t="s">
        <v>199</v>
      </c>
      <c r="Q3686" s="297" t="s">
        <v>200</v>
      </c>
      <c r="R3686" s="297" t="s">
        <v>213</v>
      </c>
      <c r="S3686" s="297" t="s">
        <v>214</v>
      </c>
    </row>
    <row r="3687" spans="1:19" x14ac:dyDescent="0.4">
      <c r="A3687" s="291"/>
      <c r="B3687" s="292"/>
      <c r="C3687" s="312"/>
      <c r="D3687" s="292"/>
      <c r="E3687" s="489"/>
      <c r="F3687" s="489"/>
      <c r="G3687" s="490"/>
      <c r="H3687" s="520"/>
      <c r="I3687" s="523"/>
      <c r="J3687" s="521"/>
      <c r="K3687" s="522"/>
      <c r="M3687" s="301" t="str">
        <f>N3687&amp;AS[[#This Row],[Insurer Code]]&amp;"; "&amp;O3687&amp;AS[[#This Row],[Reporting Year]]&amp;"; "&amp;P3687&amp;AS[[#This Row],[Insurance Category Code]]&amp;"; "&amp;Q3687&amp;AS[[#This Row],[Large Provider Entity Code]]&amp;"; "&amp;R3687&amp;AS[[#This Row],[Age Band Code]]&amp;"; "&amp;S3687&amp;AS[[#This Row],[Sex Code]]</f>
        <v xml:space="preserve">Insurer Code ; Reporting Year ; Insurance Category Code ; Large Provider Entity Code ; Age Band Code ; Sex Code </v>
      </c>
      <c r="N3687" s="297" t="s">
        <v>197</v>
      </c>
      <c r="O3687" s="297" t="s">
        <v>198</v>
      </c>
      <c r="P3687" s="297" t="s">
        <v>199</v>
      </c>
      <c r="Q3687" s="297" t="s">
        <v>200</v>
      </c>
      <c r="R3687" s="297" t="s">
        <v>213</v>
      </c>
      <c r="S3687" s="297" t="s">
        <v>214</v>
      </c>
    </row>
    <row r="3688" spans="1:19" x14ac:dyDescent="0.4">
      <c r="A3688" s="291"/>
      <c r="B3688" s="292"/>
      <c r="C3688" s="312"/>
      <c r="D3688" s="292"/>
      <c r="E3688" s="489"/>
      <c r="F3688" s="489"/>
      <c r="G3688" s="490"/>
      <c r="H3688" s="520"/>
      <c r="I3688" s="523"/>
      <c r="J3688" s="521"/>
      <c r="K3688" s="522"/>
      <c r="M3688" s="301" t="str">
        <f>N3688&amp;AS[[#This Row],[Insurer Code]]&amp;"; "&amp;O3688&amp;AS[[#This Row],[Reporting Year]]&amp;"; "&amp;P3688&amp;AS[[#This Row],[Insurance Category Code]]&amp;"; "&amp;Q3688&amp;AS[[#This Row],[Large Provider Entity Code]]&amp;"; "&amp;R3688&amp;AS[[#This Row],[Age Band Code]]&amp;"; "&amp;S3688&amp;AS[[#This Row],[Sex Code]]</f>
        <v xml:space="preserve">Insurer Code ; Reporting Year ; Insurance Category Code ; Large Provider Entity Code ; Age Band Code ; Sex Code </v>
      </c>
      <c r="N3688" s="297" t="s">
        <v>197</v>
      </c>
      <c r="O3688" s="297" t="s">
        <v>198</v>
      </c>
      <c r="P3688" s="297" t="s">
        <v>199</v>
      </c>
      <c r="Q3688" s="297" t="s">
        <v>200</v>
      </c>
      <c r="R3688" s="297" t="s">
        <v>213</v>
      </c>
      <c r="S3688" s="297" t="s">
        <v>214</v>
      </c>
    </row>
    <row r="3689" spans="1:19" x14ac:dyDescent="0.4">
      <c r="A3689" s="291"/>
      <c r="B3689" s="292"/>
      <c r="C3689" s="312"/>
      <c r="D3689" s="292"/>
      <c r="E3689" s="489"/>
      <c r="F3689" s="489"/>
      <c r="G3689" s="490"/>
      <c r="H3689" s="520"/>
      <c r="I3689" s="523"/>
      <c r="J3689" s="521"/>
      <c r="K3689" s="522"/>
      <c r="M3689" s="301" t="str">
        <f>N3689&amp;AS[[#This Row],[Insurer Code]]&amp;"; "&amp;O3689&amp;AS[[#This Row],[Reporting Year]]&amp;"; "&amp;P3689&amp;AS[[#This Row],[Insurance Category Code]]&amp;"; "&amp;Q3689&amp;AS[[#This Row],[Large Provider Entity Code]]&amp;"; "&amp;R3689&amp;AS[[#This Row],[Age Band Code]]&amp;"; "&amp;S3689&amp;AS[[#This Row],[Sex Code]]</f>
        <v xml:space="preserve">Insurer Code ; Reporting Year ; Insurance Category Code ; Large Provider Entity Code ; Age Band Code ; Sex Code </v>
      </c>
      <c r="N3689" s="297" t="s">
        <v>197</v>
      </c>
      <c r="O3689" s="297" t="s">
        <v>198</v>
      </c>
      <c r="P3689" s="297" t="s">
        <v>199</v>
      </c>
      <c r="Q3689" s="297" t="s">
        <v>200</v>
      </c>
      <c r="R3689" s="297" t="s">
        <v>213</v>
      </c>
      <c r="S3689" s="297" t="s">
        <v>214</v>
      </c>
    </row>
    <row r="3690" spans="1:19" x14ac:dyDescent="0.4">
      <c r="A3690" s="291"/>
      <c r="B3690" s="292"/>
      <c r="C3690" s="312"/>
      <c r="D3690" s="292"/>
      <c r="E3690" s="489"/>
      <c r="F3690" s="489"/>
      <c r="G3690" s="490"/>
      <c r="H3690" s="520"/>
      <c r="I3690" s="523"/>
      <c r="J3690" s="521"/>
      <c r="K3690" s="522"/>
      <c r="M3690" s="301" t="str">
        <f>N3690&amp;AS[[#This Row],[Insurer Code]]&amp;"; "&amp;O3690&amp;AS[[#This Row],[Reporting Year]]&amp;"; "&amp;P3690&amp;AS[[#This Row],[Insurance Category Code]]&amp;"; "&amp;Q3690&amp;AS[[#This Row],[Large Provider Entity Code]]&amp;"; "&amp;R3690&amp;AS[[#This Row],[Age Band Code]]&amp;"; "&amp;S3690&amp;AS[[#This Row],[Sex Code]]</f>
        <v xml:space="preserve">Insurer Code ; Reporting Year ; Insurance Category Code ; Large Provider Entity Code ; Age Band Code ; Sex Code </v>
      </c>
      <c r="N3690" s="297" t="s">
        <v>197</v>
      </c>
      <c r="O3690" s="297" t="s">
        <v>198</v>
      </c>
      <c r="P3690" s="297" t="s">
        <v>199</v>
      </c>
      <c r="Q3690" s="297" t="s">
        <v>200</v>
      </c>
      <c r="R3690" s="297" t="s">
        <v>213</v>
      </c>
      <c r="S3690" s="297" t="s">
        <v>214</v>
      </c>
    </row>
    <row r="3691" spans="1:19" x14ac:dyDescent="0.4">
      <c r="A3691" s="291"/>
      <c r="B3691" s="292"/>
      <c r="C3691" s="312"/>
      <c r="D3691" s="292"/>
      <c r="E3691" s="489"/>
      <c r="F3691" s="489"/>
      <c r="G3691" s="490"/>
      <c r="H3691" s="520"/>
      <c r="I3691" s="523"/>
      <c r="J3691" s="521"/>
      <c r="K3691" s="522"/>
      <c r="M3691" s="301" t="str">
        <f>N3691&amp;AS[[#This Row],[Insurer Code]]&amp;"; "&amp;O3691&amp;AS[[#This Row],[Reporting Year]]&amp;"; "&amp;P3691&amp;AS[[#This Row],[Insurance Category Code]]&amp;"; "&amp;Q3691&amp;AS[[#This Row],[Large Provider Entity Code]]&amp;"; "&amp;R3691&amp;AS[[#This Row],[Age Band Code]]&amp;"; "&amp;S3691&amp;AS[[#This Row],[Sex Code]]</f>
        <v xml:space="preserve">Insurer Code ; Reporting Year ; Insurance Category Code ; Large Provider Entity Code ; Age Band Code ; Sex Code </v>
      </c>
      <c r="N3691" s="297" t="s">
        <v>197</v>
      </c>
      <c r="O3691" s="297" t="s">
        <v>198</v>
      </c>
      <c r="P3691" s="297" t="s">
        <v>199</v>
      </c>
      <c r="Q3691" s="297" t="s">
        <v>200</v>
      </c>
      <c r="R3691" s="297" t="s">
        <v>213</v>
      </c>
      <c r="S3691" s="297" t="s">
        <v>214</v>
      </c>
    </row>
    <row r="3692" spans="1:19" x14ac:dyDescent="0.4">
      <c r="A3692" s="291"/>
      <c r="B3692" s="292"/>
      <c r="C3692" s="312"/>
      <c r="D3692" s="292"/>
      <c r="E3692" s="489"/>
      <c r="F3692" s="489"/>
      <c r="G3692" s="490"/>
      <c r="H3692" s="520"/>
      <c r="I3692" s="523"/>
      <c r="J3692" s="521"/>
      <c r="K3692" s="522"/>
      <c r="M3692" s="301" t="str">
        <f>N3692&amp;AS[[#This Row],[Insurer Code]]&amp;"; "&amp;O3692&amp;AS[[#This Row],[Reporting Year]]&amp;"; "&amp;P3692&amp;AS[[#This Row],[Insurance Category Code]]&amp;"; "&amp;Q3692&amp;AS[[#This Row],[Large Provider Entity Code]]&amp;"; "&amp;R3692&amp;AS[[#This Row],[Age Band Code]]&amp;"; "&amp;S3692&amp;AS[[#This Row],[Sex Code]]</f>
        <v xml:space="preserve">Insurer Code ; Reporting Year ; Insurance Category Code ; Large Provider Entity Code ; Age Band Code ; Sex Code </v>
      </c>
      <c r="N3692" s="297" t="s">
        <v>197</v>
      </c>
      <c r="O3692" s="297" t="s">
        <v>198</v>
      </c>
      <c r="P3692" s="297" t="s">
        <v>199</v>
      </c>
      <c r="Q3692" s="297" t="s">
        <v>200</v>
      </c>
      <c r="R3692" s="297" t="s">
        <v>213</v>
      </c>
      <c r="S3692" s="297" t="s">
        <v>214</v>
      </c>
    </row>
    <row r="3693" spans="1:19" x14ac:dyDescent="0.4">
      <c r="A3693" s="291"/>
      <c r="B3693" s="292"/>
      <c r="C3693" s="312"/>
      <c r="D3693" s="292"/>
      <c r="E3693" s="489"/>
      <c r="F3693" s="489"/>
      <c r="G3693" s="490"/>
      <c r="H3693" s="520"/>
      <c r="I3693" s="523"/>
      <c r="J3693" s="521"/>
      <c r="K3693" s="522"/>
      <c r="M3693" s="301" t="str">
        <f>N3693&amp;AS[[#This Row],[Insurer Code]]&amp;"; "&amp;O3693&amp;AS[[#This Row],[Reporting Year]]&amp;"; "&amp;P3693&amp;AS[[#This Row],[Insurance Category Code]]&amp;"; "&amp;Q3693&amp;AS[[#This Row],[Large Provider Entity Code]]&amp;"; "&amp;R3693&amp;AS[[#This Row],[Age Band Code]]&amp;"; "&amp;S3693&amp;AS[[#This Row],[Sex Code]]</f>
        <v xml:space="preserve">Insurer Code ; Reporting Year ; Insurance Category Code ; Large Provider Entity Code ; Age Band Code ; Sex Code </v>
      </c>
      <c r="N3693" s="297" t="s">
        <v>197</v>
      </c>
      <c r="O3693" s="297" t="s">
        <v>198</v>
      </c>
      <c r="P3693" s="297" t="s">
        <v>199</v>
      </c>
      <c r="Q3693" s="297" t="s">
        <v>200</v>
      </c>
      <c r="R3693" s="297" t="s">
        <v>213</v>
      </c>
      <c r="S3693" s="297" t="s">
        <v>214</v>
      </c>
    </row>
    <row r="3694" spans="1:19" x14ac:dyDescent="0.4">
      <c r="A3694" s="291"/>
      <c r="B3694" s="292"/>
      <c r="C3694" s="312"/>
      <c r="D3694" s="292"/>
      <c r="E3694" s="489"/>
      <c r="F3694" s="489"/>
      <c r="G3694" s="490"/>
      <c r="H3694" s="520"/>
      <c r="I3694" s="523"/>
      <c r="J3694" s="521"/>
      <c r="K3694" s="522"/>
      <c r="M3694" s="301" t="str">
        <f>N3694&amp;AS[[#This Row],[Insurer Code]]&amp;"; "&amp;O3694&amp;AS[[#This Row],[Reporting Year]]&amp;"; "&amp;P3694&amp;AS[[#This Row],[Insurance Category Code]]&amp;"; "&amp;Q3694&amp;AS[[#This Row],[Large Provider Entity Code]]&amp;"; "&amp;R3694&amp;AS[[#This Row],[Age Band Code]]&amp;"; "&amp;S3694&amp;AS[[#This Row],[Sex Code]]</f>
        <v xml:space="preserve">Insurer Code ; Reporting Year ; Insurance Category Code ; Large Provider Entity Code ; Age Band Code ; Sex Code </v>
      </c>
      <c r="N3694" s="297" t="s">
        <v>197</v>
      </c>
      <c r="O3694" s="297" t="s">
        <v>198</v>
      </c>
      <c r="P3694" s="297" t="s">
        <v>199</v>
      </c>
      <c r="Q3694" s="297" t="s">
        <v>200</v>
      </c>
      <c r="R3694" s="297" t="s">
        <v>213</v>
      </c>
      <c r="S3694" s="297" t="s">
        <v>214</v>
      </c>
    </row>
    <row r="3695" spans="1:19" x14ac:dyDescent="0.4">
      <c r="A3695" s="291"/>
      <c r="B3695" s="292"/>
      <c r="C3695" s="312"/>
      <c r="D3695" s="292"/>
      <c r="E3695" s="489"/>
      <c r="F3695" s="489"/>
      <c r="G3695" s="490"/>
      <c r="H3695" s="520"/>
      <c r="I3695" s="523"/>
      <c r="J3695" s="521"/>
      <c r="K3695" s="522"/>
      <c r="M3695" s="301" t="str">
        <f>N3695&amp;AS[[#This Row],[Insurer Code]]&amp;"; "&amp;O3695&amp;AS[[#This Row],[Reporting Year]]&amp;"; "&amp;P3695&amp;AS[[#This Row],[Insurance Category Code]]&amp;"; "&amp;Q3695&amp;AS[[#This Row],[Large Provider Entity Code]]&amp;"; "&amp;R3695&amp;AS[[#This Row],[Age Band Code]]&amp;"; "&amp;S3695&amp;AS[[#This Row],[Sex Code]]</f>
        <v xml:space="preserve">Insurer Code ; Reporting Year ; Insurance Category Code ; Large Provider Entity Code ; Age Band Code ; Sex Code </v>
      </c>
      <c r="N3695" s="297" t="s">
        <v>197</v>
      </c>
      <c r="O3695" s="297" t="s">
        <v>198</v>
      </c>
      <c r="P3695" s="297" t="s">
        <v>199</v>
      </c>
      <c r="Q3695" s="297" t="s">
        <v>200</v>
      </c>
      <c r="R3695" s="297" t="s">
        <v>213</v>
      </c>
      <c r="S3695" s="297" t="s">
        <v>214</v>
      </c>
    </row>
    <row r="3696" spans="1:19" x14ac:dyDescent="0.4">
      <c r="A3696" s="291"/>
      <c r="B3696" s="292"/>
      <c r="C3696" s="312"/>
      <c r="D3696" s="292"/>
      <c r="E3696" s="489"/>
      <c r="F3696" s="489"/>
      <c r="G3696" s="490"/>
      <c r="H3696" s="520"/>
      <c r="I3696" s="523"/>
      <c r="J3696" s="521"/>
      <c r="K3696" s="522"/>
      <c r="M3696" s="301" t="str">
        <f>N3696&amp;AS[[#This Row],[Insurer Code]]&amp;"; "&amp;O3696&amp;AS[[#This Row],[Reporting Year]]&amp;"; "&amp;P3696&amp;AS[[#This Row],[Insurance Category Code]]&amp;"; "&amp;Q3696&amp;AS[[#This Row],[Large Provider Entity Code]]&amp;"; "&amp;R3696&amp;AS[[#This Row],[Age Band Code]]&amp;"; "&amp;S3696&amp;AS[[#This Row],[Sex Code]]</f>
        <v xml:space="preserve">Insurer Code ; Reporting Year ; Insurance Category Code ; Large Provider Entity Code ; Age Band Code ; Sex Code </v>
      </c>
      <c r="N3696" s="297" t="s">
        <v>197</v>
      </c>
      <c r="O3696" s="297" t="s">
        <v>198</v>
      </c>
      <c r="P3696" s="297" t="s">
        <v>199</v>
      </c>
      <c r="Q3696" s="297" t="s">
        <v>200</v>
      </c>
      <c r="R3696" s="297" t="s">
        <v>213</v>
      </c>
      <c r="S3696" s="297" t="s">
        <v>214</v>
      </c>
    </row>
    <row r="3697" spans="1:19" x14ac:dyDescent="0.4">
      <c r="A3697" s="291"/>
      <c r="B3697" s="292"/>
      <c r="C3697" s="312"/>
      <c r="D3697" s="292"/>
      <c r="E3697" s="489"/>
      <c r="F3697" s="489"/>
      <c r="G3697" s="490"/>
      <c r="H3697" s="520"/>
      <c r="I3697" s="523"/>
      <c r="J3697" s="521"/>
      <c r="K3697" s="522"/>
      <c r="M3697" s="301" t="str">
        <f>N3697&amp;AS[[#This Row],[Insurer Code]]&amp;"; "&amp;O3697&amp;AS[[#This Row],[Reporting Year]]&amp;"; "&amp;P3697&amp;AS[[#This Row],[Insurance Category Code]]&amp;"; "&amp;Q3697&amp;AS[[#This Row],[Large Provider Entity Code]]&amp;"; "&amp;R3697&amp;AS[[#This Row],[Age Band Code]]&amp;"; "&amp;S3697&amp;AS[[#This Row],[Sex Code]]</f>
        <v xml:space="preserve">Insurer Code ; Reporting Year ; Insurance Category Code ; Large Provider Entity Code ; Age Band Code ; Sex Code </v>
      </c>
      <c r="N3697" s="297" t="s">
        <v>197</v>
      </c>
      <c r="O3697" s="297" t="s">
        <v>198</v>
      </c>
      <c r="P3697" s="297" t="s">
        <v>199</v>
      </c>
      <c r="Q3697" s="297" t="s">
        <v>200</v>
      </c>
      <c r="R3697" s="297" t="s">
        <v>213</v>
      </c>
      <c r="S3697" s="297" t="s">
        <v>214</v>
      </c>
    </row>
    <row r="3698" spans="1:19" x14ac:dyDescent="0.4">
      <c r="A3698" s="291"/>
      <c r="B3698" s="292"/>
      <c r="C3698" s="312"/>
      <c r="D3698" s="292"/>
      <c r="E3698" s="489"/>
      <c r="F3698" s="489"/>
      <c r="G3698" s="490"/>
      <c r="H3698" s="520"/>
      <c r="I3698" s="523"/>
      <c r="J3698" s="521"/>
      <c r="K3698" s="522"/>
      <c r="M3698" s="301" t="str">
        <f>N3698&amp;AS[[#This Row],[Insurer Code]]&amp;"; "&amp;O3698&amp;AS[[#This Row],[Reporting Year]]&amp;"; "&amp;P3698&amp;AS[[#This Row],[Insurance Category Code]]&amp;"; "&amp;Q3698&amp;AS[[#This Row],[Large Provider Entity Code]]&amp;"; "&amp;R3698&amp;AS[[#This Row],[Age Band Code]]&amp;"; "&amp;S3698&amp;AS[[#This Row],[Sex Code]]</f>
        <v xml:space="preserve">Insurer Code ; Reporting Year ; Insurance Category Code ; Large Provider Entity Code ; Age Band Code ; Sex Code </v>
      </c>
      <c r="N3698" s="297" t="s">
        <v>197</v>
      </c>
      <c r="O3698" s="297" t="s">
        <v>198</v>
      </c>
      <c r="P3698" s="297" t="s">
        <v>199</v>
      </c>
      <c r="Q3698" s="297" t="s">
        <v>200</v>
      </c>
      <c r="R3698" s="297" t="s">
        <v>213</v>
      </c>
      <c r="S3698" s="297" t="s">
        <v>214</v>
      </c>
    </row>
    <row r="3699" spans="1:19" x14ac:dyDescent="0.4">
      <c r="A3699" s="291"/>
      <c r="B3699" s="292"/>
      <c r="C3699" s="312"/>
      <c r="D3699" s="292"/>
      <c r="E3699" s="489"/>
      <c r="F3699" s="489"/>
      <c r="G3699" s="490"/>
      <c r="H3699" s="520"/>
      <c r="I3699" s="523"/>
      <c r="J3699" s="521"/>
      <c r="K3699" s="522"/>
      <c r="M3699" s="301" t="str">
        <f>N3699&amp;AS[[#This Row],[Insurer Code]]&amp;"; "&amp;O3699&amp;AS[[#This Row],[Reporting Year]]&amp;"; "&amp;P3699&amp;AS[[#This Row],[Insurance Category Code]]&amp;"; "&amp;Q3699&amp;AS[[#This Row],[Large Provider Entity Code]]&amp;"; "&amp;R3699&amp;AS[[#This Row],[Age Band Code]]&amp;"; "&amp;S3699&amp;AS[[#This Row],[Sex Code]]</f>
        <v xml:space="preserve">Insurer Code ; Reporting Year ; Insurance Category Code ; Large Provider Entity Code ; Age Band Code ; Sex Code </v>
      </c>
      <c r="N3699" s="297" t="s">
        <v>197</v>
      </c>
      <c r="O3699" s="297" t="s">
        <v>198</v>
      </c>
      <c r="P3699" s="297" t="s">
        <v>199</v>
      </c>
      <c r="Q3699" s="297" t="s">
        <v>200</v>
      </c>
      <c r="R3699" s="297" t="s">
        <v>213</v>
      </c>
      <c r="S3699" s="297" t="s">
        <v>214</v>
      </c>
    </row>
    <row r="3700" spans="1:19" x14ac:dyDescent="0.4">
      <c r="A3700" s="291"/>
      <c r="B3700" s="292"/>
      <c r="C3700" s="312"/>
      <c r="D3700" s="292"/>
      <c r="E3700" s="489"/>
      <c r="F3700" s="489"/>
      <c r="G3700" s="490"/>
      <c r="H3700" s="520"/>
      <c r="I3700" s="523"/>
      <c r="J3700" s="521"/>
      <c r="K3700" s="522"/>
      <c r="M3700" s="301" t="str">
        <f>N3700&amp;AS[[#This Row],[Insurer Code]]&amp;"; "&amp;O3700&amp;AS[[#This Row],[Reporting Year]]&amp;"; "&amp;P3700&amp;AS[[#This Row],[Insurance Category Code]]&amp;"; "&amp;Q3700&amp;AS[[#This Row],[Large Provider Entity Code]]&amp;"; "&amp;R3700&amp;AS[[#This Row],[Age Band Code]]&amp;"; "&amp;S3700&amp;AS[[#This Row],[Sex Code]]</f>
        <v xml:space="preserve">Insurer Code ; Reporting Year ; Insurance Category Code ; Large Provider Entity Code ; Age Band Code ; Sex Code </v>
      </c>
      <c r="N3700" s="297" t="s">
        <v>197</v>
      </c>
      <c r="O3700" s="297" t="s">
        <v>198</v>
      </c>
      <c r="P3700" s="297" t="s">
        <v>199</v>
      </c>
      <c r="Q3700" s="297" t="s">
        <v>200</v>
      </c>
      <c r="R3700" s="297" t="s">
        <v>213</v>
      </c>
      <c r="S3700" s="297" t="s">
        <v>214</v>
      </c>
    </row>
    <row r="3701" spans="1:19" x14ac:dyDescent="0.4">
      <c r="A3701" s="291"/>
      <c r="B3701" s="292"/>
      <c r="C3701" s="312"/>
      <c r="D3701" s="292"/>
      <c r="E3701" s="489"/>
      <c r="F3701" s="489"/>
      <c r="G3701" s="490"/>
      <c r="H3701" s="520"/>
      <c r="I3701" s="523"/>
      <c r="J3701" s="521"/>
      <c r="K3701" s="522"/>
      <c r="M3701" s="301" t="str">
        <f>N3701&amp;AS[[#This Row],[Insurer Code]]&amp;"; "&amp;O3701&amp;AS[[#This Row],[Reporting Year]]&amp;"; "&amp;P3701&amp;AS[[#This Row],[Insurance Category Code]]&amp;"; "&amp;Q3701&amp;AS[[#This Row],[Large Provider Entity Code]]&amp;"; "&amp;R3701&amp;AS[[#This Row],[Age Band Code]]&amp;"; "&amp;S3701&amp;AS[[#This Row],[Sex Code]]</f>
        <v xml:space="preserve">Insurer Code ; Reporting Year ; Insurance Category Code ; Large Provider Entity Code ; Age Band Code ; Sex Code </v>
      </c>
      <c r="N3701" s="297" t="s">
        <v>197</v>
      </c>
      <c r="O3701" s="297" t="s">
        <v>198</v>
      </c>
      <c r="P3701" s="297" t="s">
        <v>199</v>
      </c>
      <c r="Q3701" s="297" t="s">
        <v>200</v>
      </c>
      <c r="R3701" s="297" t="s">
        <v>213</v>
      </c>
      <c r="S3701" s="297" t="s">
        <v>214</v>
      </c>
    </row>
    <row r="3702" spans="1:19" x14ac:dyDescent="0.4">
      <c r="A3702" s="291"/>
      <c r="B3702" s="292"/>
      <c r="C3702" s="312"/>
      <c r="D3702" s="292"/>
      <c r="E3702" s="489"/>
      <c r="F3702" s="489"/>
      <c r="G3702" s="490"/>
      <c r="H3702" s="520"/>
      <c r="I3702" s="523"/>
      <c r="J3702" s="521"/>
      <c r="K3702" s="522"/>
      <c r="M3702" s="301" t="str">
        <f>N3702&amp;AS[[#This Row],[Insurer Code]]&amp;"; "&amp;O3702&amp;AS[[#This Row],[Reporting Year]]&amp;"; "&amp;P3702&amp;AS[[#This Row],[Insurance Category Code]]&amp;"; "&amp;Q3702&amp;AS[[#This Row],[Large Provider Entity Code]]&amp;"; "&amp;R3702&amp;AS[[#This Row],[Age Band Code]]&amp;"; "&amp;S3702&amp;AS[[#This Row],[Sex Code]]</f>
        <v xml:space="preserve">Insurer Code ; Reporting Year ; Insurance Category Code ; Large Provider Entity Code ; Age Band Code ; Sex Code </v>
      </c>
      <c r="N3702" s="297" t="s">
        <v>197</v>
      </c>
      <c r="O3702" s="297" t="s">
        <v>198</v>
      </c>
      <c r="P3702" s="297" t="s">
        <v>199</v>
      </c>
      <c r="Q3702" s="297" t="s">
        <v>200</v>
      </c>
      <c r="R3702" s="297" t="s">
        <v>213</v>
      </c>
      <c r="S3702" s="297" t="s">
        <v>214</v>
      </c>
    </row>
    <row r="3703" spans="1:19" x14ac:dyDescent="0.4">
      <c r="A3703" s="291"/>
      <c r="B3703" s="292"/>
      <c r="C3703" s="312"/>
      <c r="D3703" s="292"/>
      <c r="E3703" s="489"/>
      <c r="F3703" s="489"/>
      <c r="G3703" s="490"/>
      <c r="H3703" s="520"/>
      <c r="I3703" s="523"/>
      <c r="J3703" s="521"/>
      <c r="K3703" s="522"/>
      <c r="M3703" s="301" t="str">
        <f>N3703&amp;AS[[#This Row],[Insurer Code]]&amp;"; "&amp;O3703&amp;AS[[#This Row],[Reporting Year]]&amp;"; "&amp;P3703&amp;AS[[#This Row],[Insurance Category Code]]&amp;"; "&amp;Q3703&amp;AS[[#This Row],[Large Provider Entity Code]]&amp;"; "&amp;R3703&amp;AS[[#This Row],[Age Band Code]]&amp;"; "&amp;S3703&amp;AS[[#This Row],[Sex Code]]</f>
        <v xml:space="preserve">Insurer Code ; Reporting Year ; Insurance Category Code ; Large Provider Entity Code ; Age Band Code ; Sex Code </v>
      </c>
      <c r="N3703" s="297" t="s">
        <v>197</v>
      </c>
      <c r="O3703" s="297" t="s">
        <v>198</v>
      </c>
      <c r="P3703" s="297" t="s">
        <v>199</v>
      </c>
      <c r="Q3703" s="297" t="s">
        <v>200</v>
      </c>
      <c r="R3703" s="297" t="s">
        <v>213</v>
      </c>
      <c r="S3703" s="297" t="s">
        <v>214</v>
      </c>
    </row>
    <row r="3704" spans="1:19" x14ac:dyDescent="0.4">
      <c r="A3704" s="291"/>
      <c r="B3704" s="292"/>
      <c r="C3704" s="312"/>
      <c r="D3704" s="292"/>
      <c r="E3704" s="489"/>
      <c r="F3704" s="489"/>
      <c r="G3704" s="490"/>
      <c r="H3704" s="520"/>
      <c r="I3704" s="523"/>
      <c r="J3704" s="521"/>
      <c r="K3704" s="522"/>
      <c r="M3704" s="301" t="str">
        <f>N3704&amp;AS[[#This Row],[Insurer Code]]&amp;"; "&amp;O3704&amp;AS[[#This Row],[Reporting Year]]&amp;"; "&amp;P3704&amp;AS[[#This Row],[Insurance Category Code]]&amp;"; "&amp;Q3704&amp;AS[[#This Row],[Large Provider Entity Code]]&amp;"; "&amp;R3704&amp;AS[[#This Row],[Age Band Code]]&amp;"; "&amp;S3704&amp;AS[[#This Row],[Sex Code]]</f>
        <v xml:space="preserve">Insurer Code ; Reporting Year ; Insurance Category Code ; Large Provider Entity Code ; Age Band Code ; Sex Code </v>
      </c>
      <c r="N3704" s="297" t="s">
        <v>197</v>
      </c>
      <c r="O3704" s="297" t="s">
        <v>198</v>
      </c>
      <c r="P3704" s="297" t="s">
        <v>199</v>
      </c>
      <c r="Q3704" s="297" t="s">
        <v>200</v>
      </c>
      <c r="R3704" s="297" t="s">
        <v>213</v>
      </c>
      <c r="S3704" s="297" t="s">
        <v>214</v>
      </c>
    </row>
    <row r="3705" spans="1:19" x14ac:dyDescent="0.4">
      <c r="A3705" s="291"/>
      <c r="B3705" s="292"/>
      <c r="C3705" s="312"/>
      <c r="D3705" s="292"/>
      <c r="E3705" s="489"/>
      <c r="F3705" s="489"/>
      <c r="G3705" s="490"/>
      <c r="H3705" s="520"/>
      <c r="I3705" s="523"/>
      <c r="J3705" s="521"/>
      <c r="K3705" s="522"/>
      <c r="M3705" s="301" t="str">
        <f>N3705&amp;AS[[#This Row],[Insurer Code]]&amp;"; "&amp;O3705&amp;AS[[#This Row],[Reporting Year]]&amp;"; "&amp;P3705&amp;AS[[#This Row],[Insurance Category Code]]&amp;"; "&amp;Q3705&amp;AS[[#This Row],[Large Provider Entity Code]]&amp;"; "&amp;R3705&amp;AS[[#This Row],[Age Band Code]]&amp;"; "&amp;S3705&amp;AS[[#This Row],[Sex Code]]</f>
        <v xml:space="preserve">Insurer Code ; Reporting Year ; Insurance Category Code ; Large Provider Entity Code ; Age Band Code ; Sex Code </v>
      </c>
      <c r="N3705" s="297" t="s">
        <v>197</v>
      </c>
      <c r="O3705" s="297" t="s">
        <v>198</v>
      </c>
      <c r="P3705" s="297" t="s">
        <v>199</v>
      </c>
      <c r="Q3705" s="297" t="s">
        <v>200</v>
      </c>
      <c r="R3705" s="297" t="s">
        <v>213</v>
      </c>
      <c r="S3705" s="297" t="s">
        <v>214</v>
      </c>
    </row>
    <row r="3706" spans="1:19" x14ac:dyDescent="0.4">
      <c r="A3706" s="291"/>
      <c r="B3706" s="292"/>
      <c r="C3706" s="312"/>
      <c r="D3706" s="292"/>
      <c r="E3706" s="489"/>
      <c r="F3706" s="489"/>
      <c r="G3706" s="490"/>
      <c r="H3706" s="520"/>
      <c r="I3706" s="523"/>
      <c r="J3706" s="521"/>
      <c r="K3706" s="522"/>
      <c r="M3706" s="301" t="str">
        <f>N3706&amp;AS[[#This Row],[Insurer Code]]&amp;"; "&amp;O3706&amp;AS[[#This Row],[Reporting Year]]&amp;"; "&amp;P3706&amp;AS[[#This Row],[Insurance Category Code]]&amp;"; "&amp;Q3706&amp;AS[[#This Row],[Large Provider Entity Code]]&amp;"; "&amp;R3706&amp;AS[[#This Row],[Age Band Code]]&amp;"; "&amp;S3706&amp;AS[[#This Row],[Sex Code]]</f>
        <v xml:space="preserve">Insurer Code ; Reporting Year ; Insurance Category Code ; Large Provider Entity Code ; Age Band Code ; Sex Code </v>
      </c>
      <c r="N3706" s="297" t="s">
        <v>197</v>
      </c>
      <c r="O3706" s="297" t="s">
        <v>198</v>
      </c>
      <c r="P3706" s="297" t="s">
        <v>199</v>
      </c>
      <c r="Q3706" s="297" t="s">
        <v>200</v>
      </c>
      <c r="R3706" s="297" t="s">
        <v>213</v>
      </c>
      <c r="S3706" s="297" t="s">
        <v>214</v>
      </c>
    </row>
    <row r="3707" spans="1:19" x14ac:dyDescent="0.4">
      <c r="A3707" s="291"/>
      <c r="B3707" s="292"/>
      <c r="C3707" s="312"/>
      <c r="D3707" s="292"/>
      <c r="E3707" s="489"/>
      <c r="F3707" s="489"/>
      <c r="G3707" s="490"/>
      <c r="H3707" s="520"/>
      <c r="I3707" s="523"/>
      <c r="J3707" s="521"/>
      <c r="K3707" s="522"/>
      <c r="M3707" s="301" t="str">
        <f>N3707&amp;AS[[#This Row],[Insurer Code]]&amp;"; "&amp;O3707&amp;AS[[#This Row],[Reporting Year]]&amp;"; "&amp;P3707&amp;AS[[#This Row],[Insurance Category Code]]&amp;"; "&amp;Q3707&amp;AS[[#This Row],[Large Provider Entity Code]]&amp;"; "&amp;R3707&amp;AS[[#This Row],[Age Band Code]]&amp;"; "&amp;S3707&amp;AS[[#This Row],[Sex Code]]</f>
        <v xml:space="preserve">Insurer Code ; Reporting Year ; Insurance Category Code ; Large Provider Entity Code ; Age Band Code ; Sex Code </v>
      </c>
      <c r="N3707" s="297" t="s">
        <v>197</v>
      </c>
      <c r="O3707" s="297" t="s">
        <v>198</v>
      </c>
      <c r="P3707" s="297" t="s">
        <v>199</v>
      </c>
      <c r="Q3707" s="297" t="s">
        <v>200</v>
      </c>
      <c r="R3707" s="297" t="s">
        <v>213</v>
      </c>
      <c r="S3707" s="297" t="s">
        <v>214</v>
      </c>
    </row>
    <row r="3708" spans="1:19" x14ac:dyDescent="0.4">
      <c r="A3708" s="291"/>
      <c r="B3708" s="292"/>
      <c r="C3708" s="312"/>
      <c r="D3708" s="292"/>
      <c r="E3708" s="489"/>
      <c r="F3708" s="489"/>
      <c r="G3708" s="490"/>
      <c r="H3708" s="520"/>
      <c r="I3708" s="523"/>
      <c r="J3708" s="521"/>
      <c r="K3708" s="522"/>
      <c r="M3708" s="301" t="str">
        <f>N3708&amp;AS[[#This Row],[Insurer Code]]&amp;"; "&amp;O3708&amp;AS[[#This Row],[Reporting Year]]&amp;"; "&amp;P3708&amp;AS[[#This Row],[Insurance Category Code]]&amp;"; "&amp;Q3708&amp;AS[[#This Row],[Large Provider Entity Code]]&amp;"; "&amp;R3708&amp;AS[[#This Row],[Age Band Code]]&amp;"; "&amp;S3708&amp;AS[[#This Row],[Sex Code]]</f>
        <v xml:space="preserve">Insurer Code ; Reporting Year ; Insurance Category Code ; Large Provider Entity Code ; Age Band Code ; Sex Code </v>
      </c>
      <c r="N3708" s="297" t="s">
        <v>197</v>
      </c>
      <c r="O3708" s="297" t="s">
        <v>198</v>
      </c>
      <c r="P3708" s="297" t="s">
        <v>199</v>
      </c>
      <c r="Q3708" s="297" t="s">
        <v>200</v>
      </c>
      <c r="R3708" s="297" t="s">
        <v>213</v>
      </c>
      <c r="S3708" s="297" t="s">
        <v>214</v>
      </c>
    </row>
    <row r="3709" spans="1:19" x14ac:dyDescent="0.4">
      <c r="A3709" s="291"/>
      <c r="B3709" s="292"/>
      <c r="C3709" s="312"/>
      <c r="D3709" s="292"/>
      <c r="E3709" s="489"/>
      <c r="F3709" s="489"/>
      <c r="G3709" s="490"/>
      <c r="H3709" s="520"/>
      <c r="I3709" s="523"/>
      <c r="J3709" s="521"/>
      <c r="K3709" s="522"/>
      <c r="M3709" s="301" t="str">
        <f>N3709&amp;AS[[#This Row],[Insurer Code]]&amp;"; "&amp;O3709&amp;AS[[#This Row],[Reporting Year]]&amp;"; "&amp;P3709&amp;AS[[#This Row],[Insurance Category Code]]&amp;"; "&amp;Q3709&amp;AS[[#This Row],[Large Provider Entity Code]]&amp;"; "&amp;R3709&amp;AS[[#This Row],[Age Band Code]]&amp;"; "&amp;S3709&amp;AS[[#This Row],[Sex Code]]</f>
        <v xml:space="preserve">Insurer Code ; Reporting Year ; Insurance Category Code ; Large Provider Entity Code ; Age Band Code ; Sex Code </v>
      </c>
      <c r="N3709" s="297" t="s">
        <v>197</v>
      </c>
      <c r="O3709" s="297" t="s">
        <v>198</v>
      </c>
      <c r="P3709" s="297" t="s">
        <v>199</v>
      </c>
      <c r="Q3709" s="297" t="s">
        <v>200</v>
      </c>
      <c r="R3709" s="297" t="s">
        <v>213</v>
      </c>
      <c r="S3709" s="297" t="s">
        <v>214</v>
      </c>
    </row>
    <row r="3710" spans="1:19" x14ac:dyDescent="0.4">
      <c r="A3710" s="291"/>
      <c r="B3710" s="292"/>
      <c r="C3710" s="312"/>
      <c r="D3710" s="292"/>
      <c r="E3710" s="489"/>
      <c r="F3710" s="489"/>
      <c r="G3710" s="490"/>
      <c r="H3710" s="520"/>
      <c r="I3710" s="523"/>
      <c r="J3710" s="521"/>
      <c r="K3710" s="522"/>
      <c r="M3710" s="301" t="str">
        <f>N3710&amp;AS[[#This Row],[Insurer Code]]&amp;"; "&amp;O3710&amp;AS[[#This Row],[Reporting Year]]&amp;"; "&amp;P3710&amp;AS[[#This Row],[Insurance Category Code]]&amp;"; "&amp;Q3710&amp;AS[[#This Row],[Large Provider Entity Code]]&amp;"; "&amp;R3710&amp;AS[[#This Row],[Age Band Code]]&amp;"; "&amp;S3710&amp;AS[[#This Row],[Sex Code]]</f>
        <v xml:space="preserve">Insurer Code ; Reporting Year ; Insurance Category Code ; Large Provider Entity Code ; Age Band Code ; Sex Code </v>
      </c>
      <c r="N3710" s="297" t="s">
        <v>197</v>
      </c>
      <c r="O3710" s="297" t="s">
        <v>198</v>
      </c>
      <c r="P3710" s="297" t="s">
        <v>199</v>
      </c>
      <c r="Q3710" s="297" t="s">
        <v>200</v>
      </c>
      <c r="R3710" s="297" t="s">
        <v>213</v>
      </c>
      <c r="S3710" s="297" t="s">
        <v>214</v>
      </c>
    </row>
    <row r="3711" spans="1:19" x14ac:dyDescent="0.4">
      <c r="A3711" s="291"/>
      <c r="B3711" s="292"/>
      <c r="C3711" s="312"/>
      <c r="D3711" s="292"/>
      <c r="E3711" s="489"/>
      <c r="F3711" s="489"/>
      <c r="G3711" s="490"/>
      <c r="H3711" s="520"/>
      <c r="I3711" s="523"/>
      <c r="J3711" s="521"/>
      <c r="K3711" s="522"/>
      <c r="M3711" s="301" t="str">
        <f>N3711&amp;AS[[#This Row],[Insurer Code]]&amp;"; "&amp;O3711&amp;AS[[#This Row],[Reporting Year]]&amp;"; "&amp;P3711&amp;AS[[#This Row],[Insurance Category Code]]&amp;"; "&amp;Q3711&amp;AS[[#This Row],[Large Provider Entity Code]]&amp;"; "&amp;R3711&amp;AS[[#This Row],[Age Band Code]]&amp;"; "&amp;S3711&amp;AS[[#This Row],[Sex Code]]</f>
        <v xml:space="preserve">Insurer Code ; Reporting Year ; Insurance Category Code ; Large Provider Entity Code ; Age Band Code ; Sex Code </v>
      </c>
      <c r="N3711" s="297" t="s">
        <v>197</v>
      </c>
      <c r="O3711" s="297" t="s">
        <v>198</v>
      </c>
      <c r="P3711" s="297" t="s">
        <v>199</v>
      </c>
      <c r="Q3711" s="297" t="s">
        <v>200</v>
      </c>
      <c r="R3711" s="297" t="s">
        <v>213</v>
      </c>
      <c r="S3711" s="297" t="s">
        <v>214</v>
      </c>
    </row>
    <row r="3712" spans="1:19" x14ac:dyDescent="0.4">
      <c r="A3712" s="291"/>
      <c r="B3712" s="292"/>
      <c r="C3712" s="312"/>
      <c r="D3712" s="292"/>
      <c r="E3712" s="489"/>
      <c r="F3712" s="489"/>
      <c r="G3712" s="490"/>
      <c r="H3712" s="520"/>
      <c r="I3712" s="523"/>
      <c r="J3712" s="521"/>
      <c r="K3712" s="522"/>
      <c r="M3712" s="301" t="str">
        <f>N3712&amp;AS[[#This Row],[Insurer Code]]&amp;"; "&amp;O3712&amp;AS[[#This Row],[Reporting Year]]&amp;"; "&amp;P3712&amp;AS[[#This Row],[Insurance Category Code]]&amp;"; "&amp;Q3712&amp;AS[[#This Row],[Large Provider Entity Code]]&amp;"; "&amp;R3712&amp;AS[[#This Row],[Age Band Code]]&amp;"; "&amp;S3712&amp;AS[[#This Row],[Sex Code]]</f>
        <v xml:space="preserve">Insurer Code ; Reporting Year ; Insurance Category Code ; Large Provider Entity Code ; Age Band Code ; Sex Code </v>
      </c>
      <c r="N3712" s="297" t="s">
        <v>197</v>
      </c>
      <c r="O3712" s="297" t="s">
        <v>198</v>
      </c>
      <c r="P3712" s="297" t="s">
        <v>199</v>
      </c>
      <c r="Q3712" s="297" t="s">
        <v>200</v>
      </c>
      <c r="R3712" s="297" t="s">
        <v>213</v>
      </c>
      <c r="S3712" s="297" t="s">
        <v>214</v>
      </c>
    </row>
    <row r="3713" spans="1:19" x14ac:dyDescent="0.4">
      <c r="A3713" s="291"/>
      <c r="B3713" s="292"/>
      <c r="C3713" s="312"/>
      <c r="D3713" s="292"/>
      <c r="E3713" s="489"/>
      <c r="F3713" s="489"/>
      <c r="G3713" s="490"/>
      <c r="H3713" s="520"/>
      <c r="I3713" s="523"/>
      <c r="J3713" s="521"/>
      <c r="K3713" s="522"/>
      <c r="M3713" s="301" t="str">
        <f>N3713&amp;AS[[#This Row],[Insurer Code]]&amp;"; "&amp;O3713&amp;AS[[#This Row],[Reporting Year]]&amp;"; "&amp;P3713&amp;AS[[#This Row],[Insurance Category Code]]&amp;"; "&amp;Q3713&amp;AS[[#This Row],[Large Provider Entity Code]]&amp;"; "&amp;R3713&amp;AS[[#This Row],[Age Band Code]]&amp;"; "&amp;S3713&amp;AS[[#This Row],[Sex Code]]</f>
        <v xml:space="preserve">Insurer Code ; Reporting Year ; Insurance Category Code ; Large Provider Entity Code ; Age Band Code ; Sex Code </v>
      </c>
      <c r="N3713" s="297" t="s">
        <v>197</v>
      </c>
      <c r="O3713" s="297" t="s">
        <v>198</v>
      </c>
      <c r="P3713" s="297" t="s">
        <v>199</v>
      </c>
      <c r="Q3713" s="297" t="s">
        <v>200</v>
      </c>
      <c r="R3713" s="297" t="s">
        <v>213</v>
      </c>
      <c r="S3713" s="297" t="s">
        <v>214</v>
      </c>
    </row>
    <row r="3714" spans="1:19" x14ac:dyDescent="0.4">
      <c r="A3714" s="291"/>
      <c r="B3714" s="292"/>
      <c r="C3714" s="312"/>
      <c r="D3714" s="292"/>
      <c r="E3714" s="489"/>
      <c r="F3714" s="489"/>
      <c r="G3714" s="490"/>
      <c r="H3714" s="520"/>
      <c r="I3714" s="523"/>
      <c r="J3714" s="521"/>
      <c r="K3714" s="522"/>
      <c r="M3714" s="301" t="str">
        <f>N3714&amp;AS[[#This Row],[Insurer Code]]&amp;"; "&amp;O3714&amp;AS[[#This Row],[Reporting Year]]&amp;"; "&amp;P3714&amp;AS[[#This Row],[Insurance Category Code]]&amp;"; "&amp;Q3714&amp;AS[[#This Row],[Large Provider Entity Code]]&amp;"; "&amp;R3714&amp;AS[[#This Row],[Age Band Code]]&amp;"; "&amp;S3714&amp;AS[[#This Row],[Sex Code]]</f>
        <v xml:space="preserve">Insurer Code ; Reporting Year ; Insurance Category Code ; Large Provider Entity Code ; Age Band Code ; Sex Code </v>
      </c>
      <c r="N3714" s="297" t="s">
        <v>197</v>
      </c>
      <c r="O3714" s="297" t="s">
        <v>198</v>
      </c>
      <c r="P3714" s="297" t="s">
        <v>199</v>
      </c>
      <c r="Q3714" s="297" t="s">
        <v>200</v>
      </c>
      <c r="R3714" s="297" t="s">
        <v>213</v>
      </c>
      <c r="S3714" s="297" t="s">
        <v>214</v>
      </c>
    </row>
    <row r="3715" spans="1:19" x14ac:dyDescent="0.4">
      <c r="A3715" s="291"/>
      <c r="B3715" s="292"/>
      <c r="C3715" s="312"/>
      <c r="D3715" s="292"/>
      <c r="E3715" s="489"/>
      <c r="F3715" s="489"/>
      <c r="G3715" s="490"/>
      <c r="H3715" s="520"/>
      <c r="I3715" s="523"/>
      <c r="J3715" s="521"/>
      <c r="K3715" s="522"/>
      <c r="M3715" s="301" t="str">
        <f>N3715&amp;AS[[#This Row],[Insurer Code]]&amp;"; "&amp;O3715&amp;AS[[#This Row],[Reporting Year]]&amp;"; "&amp;P3715&amp;AS[[#This Row],[Insurance Category Code]]&amp;"; "&amp;Q3715&amp;AS[[#This Row],[Large Provider Entity Code]]&amp;"; "&amp;R3715&amp;AS[[#This Row],[Age Band Code]]&amp;"; "&amp;S3715&amp;AS[[#This Row],[Sex Code]]</f>
        <v xml:space="preserve">Insurer Code ; Reporting Year ; Insurance Category Code ; Large Provider Entity Code ; Age Band Code ; Sex Code </v>
      </c>
      <c r="N3715" s="297" t="s">
        <v>197</v>
      </c>
      <c r="O3715" s="297" t="s">
        <v>198</v>
      </c>
      <c r="P3715" s="297" t="s">
        <v>199</v>
      </c>
      <c r="Q3715" s="297" t="s">
        <v>200</v>
      </c>
      <c r="R3715" s="297" t="s">
        <v>213</v>
      </c>
      <c r="S3715" s="297" t="s">
        <v>214</v>
      </c>
    </row>
    <row r="3716" spans="1:19" x14ac:dyDescent="0.4">
      <c r="A3716" s="291"/>
      <c r="B3716" s="292"/>
      <c r="C3716" s="312"/>
      <c r="D3716" s="292"/>
      <c r="E3716" s="489"/>
      <c r="F3716" s="489"/>
      <c r="G3716" s="490"/>
      <c r="H3716" s="520"/>
      <c r="I3716" s="523"/>
      <c r="J3716" s="521"/>
      <c r="K3716" s="522"/>
      <c r="M3716" s="301" t="str">
        <f>N3716&amp;AS[[#This Row],[Insurer Code]]&amp;"; "&amp;O3716&amp;AS[[#This Row],[Reporting Year]]&amp;"; "&amp;P3716&amp;AS[[#This Row],[Insurance Category Code]]&amp;"; "&amp;Q3716&amp;AS[[#This Row],[Large Provider Entity Code]]&amp;"; "&amp;R3716&amp;AS[[#This Row],[Age Band Code]]&amp;"; "&amp;S3716&amp;AS[[#This Row],[Sex Code]]</f>
        <v xml:space="preserve">Insurer Code ; Reporting Year ; Insurance Category Code ; Large Provider Entity Code ; Age Band Code ; Sex Code </v>
      </c>
      <c r="N3716" s="297" t="s">
        <v>197</v>
      </c>
      <c r="O3716" s="297" t="s">
        <v>198</v>
      </c>
      <c r="P3716" s="297" t="s">
        <v>199</v>
      </c>
      <c r="Q3716" s="297" t="s">
        <v>200</v>
      </c>
      <c r="R3716" s="297" t="s">
        <v>213</v>
      </c>
      <c r="S3716" s="297" t="s">
        <v>214</v>
      </c>
    </row>
    <row r="3717" spans="1:19" x14ac:dyDescent="0.4">
      <c r="A3717" s="291"/>
      <c r="B3717" s="292"/>
      <c r="C3717" s="312"/>
      <c r="D3717" s="292"/>
      <c r="E3717" s="489"/>
      <c r="F3717" s="489"/>
      <c r="G3717" s="490"/>
      <c r="H3717" s="520"/>
      <c r="I3717" s="523"/>
      <c r="J3717" s="521"/>
      <c r="K3717" s="522"/>
      <c r="M3717" s="301" t="str">
        <f>N3717&amp;AS[[#This Row],[Insurer Code]]&amp;"; "&amp;O3717&amp;AS[[#This Row],[Reporting Year]]&amp;"; "&amp;P3717&amp;AS[[#This Row],[Insurance Category Code]]&amp;"; "&amp;Q3717&amp;AS[[#This Row],[Large Provider Entity Code]]&amp;"; "&amp;R3717&amp;AS[[#This Row],[Age Band Code]]&amp;"; "&amp;S3717&amp;AS[[#This Row],[Sex Code]]</f>
        <v xml:space="preserve">Insurer Code ; Reporting Year ; Insurance Category Code ; Large Provider Entity Code ; Age Band Code ; Sex Code </v>
      </c>
      <c r="N3717" s="297" t="s">
        <v>197</v>
      </c>
      <c r="O3717" s="297" t="s">
        <v>198</v>
      </c>
      <c r="P3717" s="297" t="s">
        <v>199</v>
      </c>
      <c r="Q3717" s="297" t="s">
        <v>200</v>
      </c>
      <c r="R3717" s="297" t="s">
        <v>213</v>
      </c>
      <c r="S3717" s="297" t="s">
        <v>214</v>
      </c>
    </row>
    <row r="3718" spans="1:19" x14ac:dyDescent="0.4">
      <c r="A3718" s="291"/>
      <c r="B3718" s="292"/>
      <c r="C3718" s="312"/>
      <c r="D3718" s="292"/>
      <c r="E3718" s="489"/>
      <c r="F3718" s="489"/>
      <c r="G3718" s="490"/>
      <c r="H3718" s="520"/>
      <c r="I3718" s="523"/>
      <c r="J3718" s="521"/>
      <c r="K3718" s="522"/>
      <c r="M3718" s="301" t="str">
        <f>N3718&amp;AS[[#This Row],[Insurer Code]]&amp;"; "&amp;O3718&amp;AS[[#This Row],[Reporting Year]]&amp;"; "&amp;P3718&amp;AS[[#This Row],[Insurance Category Code]]&amp;"; "&amp;Q3718&amp;AS[[#This Row],[Large Provider Entity Code]]&amp;"; "&amp;R3718&amp;AS[[#This Row],[Age Band Code]]&amp;"; "&amp;S3718&amp;AS[[#This Row],[Sex Code]]</f>
        <v xml:space="preserve">Insurer Code ; Reporting Year ; Insurance Category Code ; Large Provider Entity Code ; Age Band Code ; Sex Code </v>
      </c>
      <c r="N3718" s="297" t="s">
        <v>197</v>
      </c>
      <c r="O3718" s="297" t="s">
        <v>198</v>
      </c>
      <c r="P3718" s="297" t="s">
        <v>199</v>
      </c>
      <c r="Q3718" s="297" t="s">
        <v>200</v>
      </c>
      <c r="R3718" s="297" t="s">
        <v>213</v>
      </c>
      <c r="S3718" s="297" t="s">
        <v>214</v>
      </c>
    </row>
    <row r="3719" spans="1:19" x14ac:dyDescent="0.4">
      <c r="A3719" s="291"/>
      <c r="B3719" s="292"/>
      <c r="C3719" s="312"/>
      <c r="D3719" s="292"/>
      <c r="E3719" s="489"/>
      <c r="F3719" s="489"/>
      <c r="G3719" s="490"/>
      <c r="H3719" s="520"/>
      <c r="I3719" s="523"/>
      <c r="J3719" s="521"/>
      <c r="K3719" s="522"/>
      <c r="M3719" s="301" t="str">
        <f>N3719&amp;AS[[#This Row],[Insurer Code]]&amp;"; "&amp;O3719&amp;AS[[#This Row],[Reporting Year]]&amp;"; "&amp;P3719&amp;AS[[#This Row],[Insurance Category Code]]&amp;"; "&amp;Q3719&amp;AS[[#This Row],[Large Provider Entity Code]]&amp;"; "&amp;R3719&amp;AS[[#This Row],[Age Band Code]]&amp;"; "&amp;S3719&amp;AS[[#This Row],[Sex Code]]</f>
        <v xml:space="preserve">Insurer Code ; Reporting Year ; Insurance Category Code ; Large Provider Entity Code ; Age Band Code ; Sex Code </v>
      </c>
      <c r="N3719" s="297" t="s">
        <v>197</v>
      </c>
      <c r="O3719" s="297" t="s">
        <v>198</v>
      </c>
      <c r="P3719" s="297" t="s">
        <v>199</v>
      </c>
      <c r="Q3719" s="297" t="s">
        <v>200</v>
      </c>
      <c r="R3719" s="297" t="s">
        <v>213</v>
      </c>
      <c r="S3719" s="297" t="s">
        <v>214</v>
      </c>
    </row>
    <row r="3720" spans="1:19" x14ac:dyDescent="0.4">
      <c r="A3720" s="291"/>
      <c r="B3720" s="292"/>
      <c r="C3720" s="312"/>
      <c r="D3720" s="292"/>
      <c r="E3720" s="489"/>
      <c r="F3720" s="489"/>
      <c r="G3720" s="490"/>
      <c r="H3720" s="520"/>
      <c r="I3720" s="523"/>
      <c r="J3720" s="521"/>
      <c r="K3720" s="522"/>
      <c r="M3720" s="301" t="str">
        <f>N3720&amp;AS[[#This Row],[Insurer Code]]&amp;"; "&amp;O3720&amp;AS[[#This Row],[Reporting Year]]&amp;"; "&amp;P3720&amp;AS[[#This Row],[Insurance Category Code]]&amp;"; "&amp;Q3720&amp;AS[[#This Row],[Large Provider Entity Code]]&amp;"; "&amp;R3720&amp;AS[[#This Row],[Age Band Code]]&amp;"; "&amp;S3720&amp;AS[[#This Row],[Sex Code]]</f>
        <v xml:space="preserve">Insurer Code ; Reporting Year ; Insurance Category Code ; Large Provider Entity Code ; Age Band Code ; Sex Code </v>
      </c>
      <c r="N3720" s="297" t="s">
        <v>197</v>
      </c>
      <c r="O3720" s="297" t="s">
        <v>198</v>
      </c>
      <c r="P3720" s="297" t="s">
        <v>199</v>
      </c>
      <c r="Q3720" s="297" t="s">
        <v>200</v>
      </c>
      <c r="R3720" s="297" t="s">
        <v>213</v>
      </c>
      <c r="S3720" s="297" t="s">
        <v>214</v>
      </c>
    </row>
    <row r="3721" spans="1:19" x14ac:dyDescent="0.4">
      <c r="A3721" s="291"/>
      <c r="B3721" s="292"/>
      <c r="C3721" s="312"/>
      <c r="D3721" s="292"/>
      <c r="E3721" s="489"/>
      <c r="F3721" s="489"/>
      <c r="G3721" s="490"/>
      <c r="H3721" s="520"/>
      <c r="I3721" s="523"/>
      <c r="J3721" s="521"/>
      <c r="K3721" s="522"/>
      <c r="M3721" s="301" t="str">
        <f>N3721&amp;AS[[#This Row],[Insurer Code]]&amp;"; "&amp;O3721&amp;AS[[#This Row],[Reporting Year]]&amp;"; "&amp;P3721&amp;AS[[#This Row],[Insurance Category Code]]&amp;"; "&amp;Q3721&amp;AS[[#This Row],[Large Provider Entity Code]]&amp;"; "&amp;R3721&amp;AS[[#This Row],[Age Band Code]]&amp;"; "&amp;S3721&amp;AS[[#This Row],[Sex Code]]</f>
        <v xml:space="preserve">Insurer Code ; Reporting Year ; Insurance Category Code ; Large Provider Entity Code ; Age Band Code ; Sex Code </v>
      </c>
      <c r="N3721" s="297" t="s">
        <v>197</v>
      </c>
      <c r="O3721" s="297" t="s">
        <v>198</v>
      </c>
      <c r="P3721" s="297" t="s">
        <v>199</v>
      </c>
      <c r="Q3721" s="297" t="s">
        <v>200</v>
      </c>
      <c r="R3721" s="297" t="s">
        <v>213</v>
      </c>
      <c r="S3721" s="297" t="s">
        <v>214</v>
      </c>
    </row>
    <row r="3722" spans="1:19" x14ac:dyDescent="0.4">
      <c r="A3722" s="291"/>
      <c r="B3722" s="292"/>
      <c r="C3722" s="312"/>
      <c r="D3722" s="292"/>
      <c r="E3722" s="489"/>
      <c r="F3722" s="489"/>
      <c r="G3722" s="490"/>
      <c r="H3722" s="520"/>
      <c r="I3722" s="523"/>
      <c r="J3722" s="521"/>
      <c r="K3722" s="522"/>
      <c r="M3722" s="301" t="str">
        <f>N3722&amp;AS[[#This Row],[Insurer Code]]&amp;"; "&amp;O3722&amp;AS[[#This Row],[Reporting Year]]&amp;"; "&amp;P3722&amp;AS[[#This Row],[Insurance Category Code]]&amp;"; "&amp;Q3722&amp;AS[[#This Row],[Large Provider Entity Code]]&amp;"; "&amp;R3722&amp;AS[[#This Row],[Age Band Code]]&amp;"; "&amp;S3722&amp;AS[[#This Row],[Sex Code]]</f>
        <v xml:space="preserve">Insurer Code ; Reporting Year ; Insurance Category Code ; Large Provider Entity Code ; Age Band Code ; Sex Code </v>
      </c>
      <c r="N3722" s="297" t="s">
        <v>197</v>
      </c>
      <c r="O3722" s="297" t="s">
        <v>198</v>
      </c>
      <c r="P3722" s="297" t="s">
        <v>199</v>
      </c>
      <c r="Q3722" s="297" t="s">
        <v>200</v>
      </c>
      <c r="R3722" s="297" t="s">
        <v>213</v>
      </c>
      <c r="S3722" s="297" t="s">
        <v>214</v>
      </c>
    </row>
    <row r="3723" spans="1:19" x14ac:dyDescent="0.4">
      <c r="A3723" s="291"/>
      <c r="B3723" s="292"/>
      <c r="C3723" s="312"/>
      <c r="D3723" s="292"/>
      <c r="E3723" s="489"/>
      <c r="F3723" s="489"/>
      <c r="G3723" s="490"/>
      <c r="H3723" s="520"/>
      <c r="I3723" s="523"/>
      <c r="J3723" s="521"/>
      <c r="K3723" s="522"/>
      <c r="M3723" s="301" t="str">
        <f>N3723&amp;AS[[#This Row],[Insurer Code]]&amp;"; "&amp;O3723&amp;AS[[#This Row],[Reporting Year]]&amp;"; "&amp;P3723&amp;AS[[#This Row],[Insurance Category Code]]&amp;"; "&amp;Q3723&amp;AS[[#This Row],[Large Provider Entity Code]]&amp;"; "&amp;R3723&amp;AS[[#This Row],[Age Band Code]]&amp;"; "&amp;S3723&amp;AS[[#This Row],[Sex Code]]</f>
        <v xml:space="preserve">Insurer Code ; Reporting Year ; Insurance Category Code ; Large Provider Entity Code ; Age Band Code ; Sex Code </v>
      </c>
      <c r="N3723" s="297" t="s">
        <v>197</v>
      </c>
      <c r="O3723" s="297" t="s">
        <v>198</v>
      </c>
      <c r="P3723" s="297" t="s">
        <v>199</v>
      </c>
      <c r="Q3723" s="297" t="s">
        <v>200</v>
      </c>
      <c r="R3723" s="297" t="s">
        <v>213</v>
      </c>
      <c r="S3723" s="297" t="s">
        <v>214</v>
      </c>
    </row>
    <row r="3724" spans="1:19" x14ac:dyDescent="0.4">
      <c r="A3724" s="291"/>
      <c r="B3724" s="292"/>
      <c r="C3724" s="312"/>
      <c r="D3724" s="292"/>
      <c r="E3724" s="489"/>
      <c r="F3724" s="489"/>
      <c r="G3724" s="490"/>
      <c r="H3724" s="520"/>
      <c r="I3724" s="523"/>
      <c r="J3724" s="521"/>
      <c r="K3724" s="522"/>
      <c r="M3724" s="301" t="str">
        <f>N3724&amp;AS[[#This Row],[Insurer Code]]&amp;"; "&amp;O3724&amp;AS[[#This Row],[Reporting Year]]&amp;"; "&amp;P3724&amp;AS[[#This Row],[Insurance Category Code]]&amp;"; "&amp;Q3724&amp;AS[[#This Row],[Large Provider Entity Code]]&amp;"; "&amp;R3724&amp;AS[[#This Row],[Age Band Code]]&amp;"; "&amp;S3724&amp;AS[[#This Row],[Sex Code]]</f>
        <v xml:space="preserve">Insurer Code ; Reporting Year ; Insurance Category Code ; Large Provider Entity Code ; Age Band Code ; Sex Code </v>
      </c>
      <c r="N3724" s="297" t="s">
        <v>197</v>
      </c>
      <c r="O3724" s="297" t="s">
        <v>198</v>
      </c>
      <c r="P3724" s="297" t="s">
        <v>199</v>
      </c>
      <c r="Q3724" s="297" t="s">
        <v>200</v>
      </c>
      <c r="R3724" s="297" t="s">
        <v>213</v>
      </c>
      <c r="S3724" s="297" t="s">
        <v>214</v>
      </c>
    </row>
    <row r="3725" spans="1:19" x14ac:dyDescent="0.4">
      <c r="A3725" s="291"/>
      <c r="B3725" s="292"/>
      <c r="C3725" s="312"/>
      <c r="D3725" s="292"/>
      <c r="E3725" s="489"/>
      <c r="F3725" s="489"/>
      <c r="G3725" s="490"/>
      <c r="H3725" s="520"/>
      <c r="I3725" s="523"/>
      <c r="J3725" s="521"/>
      <c r="K3725" s="522"/>
      <c r="M3725" s="301" t="str">
        <f>N3725&amp;AS[[#This Row],[Insurer Code]]&amp;"; "&amp;O3725&amp;AS[[#This Row],[Reporting Year]]&amp;"; "&amp;P3725&amp;AS[[#This Row],[Insurance Category Code]]&amp;"; "&amp;Q3725&amp;AS[[#This Row],[Large Provider Entity Code]]&amp;"; "&amp;R3725&amp;AS[[#This Row],[Age Band Code]]&amp;"; "&amp;S3725&amp;AS[[#This Row],[Sex Code]]</f>
        <v xml:space="preserve">Insurer Code ; Reporting Year ; Insurance Category Code ; Large Provider Entity Code ; Age Band Code ; Sex Code </v>
      </c>
      <c r="N3725" s="297" t="s">
        <v>197</v>
      </c>
      <c r="O3725" s="297" t="s">
        <v>198</v>
      </c>
      <c r="P3725" s="297" t="s">
        <v>199</v>
      </c>
      <c r="Q3725" s="297" t="s">
        <v>200</v>
      </c>
      <c r="R3725" s="297" t="s">
        <v>213</v>
      </c>
      <c r="S3725" s="297" t="s">
        <v>214</v>
      </c>
    </row>
    <row r="3726" spans="1:19" x14ac:dyDescent="0.4">
      <c r="A3726" s="291"/>
      <c r="B3726" s="292"/>
      <c r="C3726" s="312"/>
      <c r="D3726" s="292"/>
      <c r="E3726" s="489"/>
      <c r="F3726" s="489"/>
      <c r="G3726" s="490"/>
      <c r="H3726" s="520"/>
      <c r="I3726" s="523"/>
      <c r="J3726" s="521"/>
      <c r="K3726" s="522"/>
      <c r="M3726" s="301" t="str">
        <f>N3726&amp;AS[[#This Row],[Insurer Code]]&amp;"; "&amp;O3726&amp;AS[[#This Row],[Reporting Year]]&amp;"; "&amp;P3726&amp;AS[[#This Row],[Insurance Category Code]]&amp;"; "&amp;Q3726&amp;AS[[#This Row],[Large Provider Entity Code]]&amp;"; "&amp;R3726&amp;AS[[#This Row],[Age Band Code]]&amp;"; "&amp;S3726&amp;AS[[#This Row],[Sex Code]]</f>
        <v xml:space="preserve">Insurer Code ; Reporting Year ; Insurance Category Code ; Large Provider Entity Code ; Age Band Code ; Sex Code </v>
      </c>
      <c r="N3726" s="297" t="s">
        <v>197</v>
      </c>
      <c r="O3726" s="297" t="s">
        <v>198</v>
      </c>
      <c r="P3726" s="297" t="s">
        <v>199</v>
      </c>
      <c r="Q3726" s="297" t="s">
        <v>200</v>
      </c>
      <c r="R3726" s="297" t="s">
        <v>213</v>
      </c>
      <c r="S3726" s="297" t="s">
        <v>214</v>
      </c>
    </row>
    <row r="3727" spans="1:19" x14ac:dyDescent="0.4">
      <c r="A3727" s="291"/>
      <c r="B3727" s="292"/>
      <c r="C3727" s="312"/>
      <c r="D3727" s="292"/>
      <c r="E3727" s="489"/>
      <c r="F3727" s="489"/>
      <c r="G3727" s="490"/>
      <c r="H3727" s="520"/>
      <c r="I3727" s="523"/>
      <c r="J3727" s="521"/>
      <c r="K3727" s="522"/>
      <c r="M3727" s="301" t="str">
        <f>N3727&amp;AS[[#This Row],[Insurer Code]]&amp;"; "&amp;O3727&amp;AS[[#This Row],[Reporting Year]]&amp;"; "&amp;P3727&amp;AS[[#This Row],[Insurance Category Code]]&amp;"; "&amp;Q3727&amp;AS[[#This Row],[Large Provider Entity Code]]&amp;"; "&amp;R3727&amp;AS[[#This Row],[Age Band Code]]&amp;"; "&amp;S3727&amp;AS[[#This Row],[Sex Code]]</f>
        <v xml:space="preserve">Insurer Code ; Reporting Year ; Insurance Category Code ; Large Provider Entity Code ; Age Band Code ; Sex Code </v>
      </c>
      <c r="N3727" s="297" t="s">
        <v>197</v>
      </c>
      <c r="O3727" s="297" t="s">
        <v>198</v>
      </c>
      <c r="P3727" s="297" t="s">
        <v>199</v>
      </c>
      <c r="Q3727" s="297" t="s">
        <v>200</v>
      </c>
      <c r="R3727" s="297" t="s">
        <v>213</v>
      </c>
      <c r="S3727" s="297" t="s">
        <v>214</v>
      </c>
    </row>
    <row r="3728" spans="1:19" x14ac:dyDescent="0.4">
      <c r="A3728" s="291"/>
      <c r="B3728" s="292"/>
      <c r="C3728" s="312"/>
      <c r="D3728" s="292"/>
      <c r="E3728" s="489"/>
      <c r="F3728" s="489"/>
      <c r="G3728" s="490"/>
      <c r="H3728" s="520"/>
      <c r="I3728" s="523"/>
      <c r="J3728" s="521"/>
      <c r="K3728" s="522"/>
      <c r="M3728" s="301" t="str">
        <f>N3728&amp;AS[[#This Row],[Insurer Code]]&amp;"; "&amp;O3728&amp;AS[[#This Row],[Reporting Year]]&amp;"; "&amp;P3728&amp;AS[[#This Row],[Insurance Category Code]]&amp;"; "&amp;Q3728&amp;AS[[#This Row],[Large Provider Entity Code]]&amp;"; "&amp;R3728&amp;AS[[#This Row],[Age Band Code]]&amp;"; "&amp;S3728&amp;AS[[#This Row],[Sex Code]]</f>
        <v xml:space="preserve">Insurer Code ; Reporting Year ; Insurance Category Code ; Large Provider Entity Code ; Age Band Code ; Sex Code </v>
      </c>
      <c r="N3728" s="297" t="s">
        <v>197</v>
      </c>
      <c r="O3728" s="297" t="s">
        <v>198</v>
      </c>
      <c r="P3728" s="297" t="s">
        <v>199</v>
      </c>
      <c r="Q3728" s="297" t="s">
        <v>200</v>
      </c>
      <c r="R3728" s="297" t="s">
        <v>213</v>
      </c>
      <c r="S3728" s="297" t="s">
        <v>214</v>
      </c>
    </row>
    <row r="3729" spans="1:19" x14ac:dyDescent="0.4">
      <c r="A3729" s="291"/>
      <c r="B3729" s="292"/>
      <c r="C3729" s="312"/>
      <c r="D3729" s="292"/>
      <c r="E3729" s="489"/>
      <c r="F3729" s="489"/>
      <c r="G3729" s="490"/>
      <c r="H3729" s="520"/>
      <c r="I3729" s="523"/>
      <c r="J3729" s="521"/>
      <c r="K3729" s="522"/>
      <c r="M3729" s="301" t="str">
        <f>N3729&amp;AS[[#This Row],[Insurer Code]]&amp;"; "&amp;O3729&amp;AS[[#This Row],[Reporting Year]]&amp;"; "&amp;P3729&amp;AS[[#This Row],[Insurance Category Code]]&amp;"; "&amp;Q3729&amp;AS[[#This Row],[Large Provider Entity Code]]&amp;"; "&amp;R3729&amp;AS[[#This Row],[Age Band Code]]&amp;"; "&amp;S3729&amp;AS[[#This Row],[Sex Code]]</f>
        <v xml:space="preserve">Insurer Code ; Reporting Year ; Insurance Category Code ; Large Provider Entity Code ; Age Band Code ; Sex Code </v>
      </c>
      <c r="N3729" s="297" t="s">
        <v>197</v>
      </c>
      <c r="O3729" s="297" t="s">
        <v>198</v>
      </c>
      <c r="P3729" s="297" t="s">
        <v>199</v>
      </c>
      <c r="Q3729" s="297" t="s">
        <v>200</v>
      </c>
      <c r="R3729" s="297" t="s">
        <v>213</v>
      </c>
      <c r="S3729" s="297" t="s">
        <v>214</v>
      </c>
    </row>
    <row r="3730" spans="1:19" x14ac:dyDescent="0.4">
      <c r="A3730" s="291"/>
      <c r="B3730" s="292"/>
      <c r="C3730" s="312"/>
      <c r="D3730" s="292"/>
      <c r="E3730" s="489"/>
      <c r="F3730" s="489"/>
      <c r="G3730" s="490"/>
      <c r="H3730" s="520"/>
      <c r="I3730" s="523"/>
      <c r="J3730" s="521"/>
      <c r="K3730" s="522"/>
      <c r="M3730" s="301" t="str">
        <f>N3730&amp;AS[[#This Row],[Insurer Code]]&amp;"; "&amp;O3730&amp;AS[[#This Row],[Reporting Year]]&amp;"; "&amp;P3730&amp;AS[[#This Row],[Insurance Category Code]]&amp;"; "&amp;Q3730&amp;AS[[#This Row],[Large Provider Entity Code]]&amp;"; "&amp;R3730&amp;AS[[#This Row],[Age Band Code]]&amp;"; "&amp;S3730&amp;AS[[#This Row],[Sex Code]]</f>
        <v xml:space="preserve">Insurer Code ; Reporting Year ; Insurance Category Code ; Large Provider Entity Code ; Age Band Code ; Sex Code </v>
      </c>
      <c r="N3730" s="297" t="s">
        <v>197</v>
      </c>
      <c r="O3730" s="297" t="s">
        <v>198</v>
      </c>
      <c r="P3730" s="297" t="s">
        <v>199</v>
      </c>
      <c r="Q3730" s="297" t="s">
        <v>200</v>
      </c>
      <c r="R3730" s="297" t="s">
        <v>213</v>
      </c>
      <c r="S3730" s="297" t="s">
        <v>214</v>
      </c>
    </row>
    <row r="3731" spans="1:19" x14ac:dyDescent="0.4">
      <c r="A3731" s="291"/>
      <c r="B3731" s="292"/>
      <c r="C3731" s="312"/>
      <c r="D3731" s="292"/>
      <c r="E3731" s="489"/>
      <c r="F3731" s="489"/>
      <c r="G3731" s="490"/>
      <c r="H3731" s="520"/>
      <c r="I3731" s="523"/>
      <c r="J3731" s="521"/>
      <c r="K3731" s="522"/>
      <c r="M3731" s="301" t="str">
        <f>N3731&amp;AS[[#This Row],[Insurer Code]]&amp;"; "&amp;O3731&amp;AS[[#This Row],[Reporting Year]]&amp;"; "&amp;P3731&amp;AS[[#This Row],[Insurance Category Code]]&amp;"; "&amp;Q3731&amp;AS[[#This Row],[Large Provider Entity Code]]&amp;"; "&amp;R3731&amp;AS[[#This Row],[Age Band Code]]&amp;"; "&amp;S3731&amp;AS[[#This Row],[Sex Code]]</f>
        <v xml:space="preserve">Insurer Code ; Reporting Year ; Insurance Category Code ; Large Provider Entity Code ; Age Band Code ; Sex Code </v>
      </c>
      <c r="N3731" s="297" t="s">
        <v>197</v>
      </c>
      <c r="O3731" s="297" t="s">
        <v>198</v>
      </c>
      <c r="P3731" s="297" t="s">
        <v>199</v>
      </c>
      <c r="Q3731" s="297" t="s">
        <v>200</v>
      </c>
      <c r="R3731" s="297" t="s">
        <v>213</v>
      </c>
      <c r="S3731" s="297" t="s">
        <v>214</v>
      </c>
    </row>
    <row r="3732" spans="1:19" x14ac:dyDescent="0.4">
      <c r="A3732" s="291"/>
      <c r="B3732" s="292"/>
      <c r="C3732" s="312"/>
      <c r="D3732" s="292"/>
      <c r="E3732" s="489"/>
      <c r="F3732" s="489"/>
      <c r="G3732" s="490"/>
      <c r="H3732" s="520"/>
      <c r="I3732" s="523"/>
      <c r="J3732" s="521"/>
      <c r="K3732" s="522"/>
      <c r="M3732" s="301" t="str">
        <f>N3732&amp;AS[[#This Row],[Insurer Code]]&amp;"; "&amp;O3732&amp;AS[[#This Row],[Reporting Year]]&amp;"; "&amp;P3732&amp;AS[[#This Row],[Insurance Category Code]]&amp;"; "&amp;Q3732&amp;AS[[#This Row],[Large Provider Entity Code]]&amp;"; "&amp;R3732&amp;AS[[#This Row],[Age Band Code]]&amp;"; "&amp;S3732&amp;AS[[#This Row],[Sex Code]]</f>
        <v xml:space="preserve">Insurer Code ; Reporting Year ; Insurance Category Code ; Large Provider Entity Code ; Age Band Code ; Sex Code </v>
      </c>
      <c r="N3732" s="297" t="s">
        <v>197</v>
      </c>
      <c r="O3732" s="297" t="s">
        <v>198</v>
      </c>
      <c r="P3732" s="297" t="s">
        <v>199</v>
      </c>
      <c r="Q3732" s="297" t="s">
        <v>200</v>
      </c>
      <c r="R3732" s="297" t="s">
        <v>213</v>
      </c>
      <c r="S3732" s="297" t="s">
        <v>214</v>
      </c>
    </row>
    <row r="3733" spans="1:19" x14ac:dyDescent="0.4">
      <c r="A3733" s="291"/>
      <c r="B3733" s="292"/>
      <c r="C3733" s="312"/>
      <c r="D3733" s="292"/>
      <c r="E3733" s="489"/>
      <c r="F3733" s="489"/>
      <c r="G3733" s="490"/>
      <c r="H3733" s="520"/>
      <c r="I3733" s="523"/>
      <c r="J3733" s="521"/>
      <c r="K3733" s="522"/>
      <c r="M3733" s="301" t="str">
        <f>N3733&amp;AS[[#This Row],[Insurer Code]]&amp;"; "&amp;O3733&amp;AS[[#This Row],[Reporting Year]]&amp;"; "&amp;P3733&amp;AS[[#This Row],[Insurance Category Code]]&amp;"; "&amp;Q3733&amp;AS[[#This Row],[Large Provider Entity Code]]&amp;"; "&amp;R3733&amp;AS[[#This Row],[Age Band Code]]&amp;"; "&amp;S3733&amp;AS[[#This Row],[Sex Code]]</f>
        <v xml:space="preserve">Insurer Code ; Reporting Year ; Insurance Category Code ; Large Provider Entity Code ; Age Band Code ; Sex Code </v>
      </c>
      <c r="N3733" s="297" t="s">
        <v>197</v>
      </c>
      <c r="O3733" s="297" t="s">
        <v>198</v>
      </c>
      <c r="P3733" s="297" t="s">
        <v>199</v>
      </c>
      <c r="Q3733" s="297" t="s">
        <v>200</v>
      </c>
      <c r="R3733" s="297" t="s">
        <v>213</v>
      </c>
      <c r="S3733" s="297" t="s">
        <v>214</v>
      </c>
    </row>
    <row r="3734" spans="1:19" x14ac:dyDescent="0.4">
      <c r="A3734" s="291"/>
      <c r="B3734" s="292"/>
      <c r="C3734" s="312"/>
      <c r="D3734" s="292"/>
      <c r="E3734" s="489"/>
      <c r="F3734" s="489"/>
      <c r="G3734" s="490"/>
      <c r="H3734" s="520"/>
      <c r="I3734" s="523"/>
      <c r="J3734" s="521"/>
      <c r="K3734" s="522"/>
      <c r="M3734" s="301" t="str">
        <f>N3734&amp;AS[[#This Row],[Insurer Code]]&amp;"; "&amp;O3734&amp;AS[[#This Row],[Reporting Year]]&amp;"; "&amp;P3734&amp;AS[[#This Row],[Insurance Category Code]]&amp;"; "&amp;Q3734&amp;AS[[#This Row],[Large Provider Entity Code]]&amp;"; "&amp;R3734&amp;AS[[#This Row],[Age Band Code]]&amp;"; "&amp;S3734&amp;AS[[#This Row],[Sex Code]]</f>
        <v xml:space="preserve">Insurer Code ; Reporting Year ; Insurance Category Code ; Large Provider Entity Code ; Age Band Code ; Sex Code </v>
      </c>
      <c r="N3734" s="297" t="s">
        <v>197</v>
      </c>
      <c r="O3734" s="297" t="s">
        <v>198</v>
      </c>
      <c r="P3734" s="297" t="s">
        <v>199</v>
      </c>
      <c r="Q3734" s="297" t="s">
        <v>200</v>
      </c>
      <c r="R3734" s="297" t="s">
        <v>213</v>
      </c>
      <c r="S3734" s="297" t="s">
        <v>214</v>
      </c>
    </row>
    <row r="3735" spans="1:19" x14ac:dyDescent="0.4">
      <c r="A3735" s="291"/>
      <c r="B3735" s="292"/>
      <c r="C3735" s="312"/>
      <c r="D3735" s="292"/>
      <c r="E3735" s="489"/>
      <c r="F3735" s="489"/>
      <c r="G3735" s="490"/>
      <c r="H3735" s="520"/>
      <c r="I3735" s="523"/>
      <c r="J3735" s="521"/>
      <c r="K3735" s="522"/>
      <c r="M3735" s="301" t="str">
        <f>N3735&amp;AS[[#This Row],[Insurer Code]]&amp;"; "&amp;O3735&amp;AS[[#This Row],[Reporting Year]]&amp;"; "&amp;P3735&amp;AS[[#This Row],[Insurance Category Code]]&amp;"; "&amp;Q3735&amp;AS[[#This Row],[Large Provider Entity Code]]&amp;"; "&amp;R3735&amp;AS[[#This Row],[Age Band Code]]&amp;"; "&amp;S3735&amp;AS[[#This Row],[Sex Code]]</f>
        <v xml:space="preserve">Insurer Code ; Reporting Year ; Insurance Category Code ; Large Provider Entity Code ; Age Band Code ; Sex Code </v>
      </c>
      <c r="N3735" s="297" t="s">
        <v>197</v>
      </c>
      <c r="O3735" s="297" t="s">
        <v>198</v>
      </c>
      <c r="P3735" s="297" t="s">
        <v>199</v>
      </c>
      <c r="Q3735" s="297" t="s">
        <v>200</v>
      </c>
      <c r="R3735" s="297" t="s">
        <v>213</v>
      </c>
      <c r="S3735" s="297" t="s">
        <v>214</v>
      </c>
    </row>
    <row r="3736" spans="1:19" x14ac:dyDescent="0.4">
      <c r="A3736" s="291"/>
      <c r="B3736" s="292"/>
      <c r="C3736" s="312"/>
      <c r="D3736" s="292"/>
      <c r="E3736" s="489"/>
      <c r="F3736" s="489"/>
      <c r="G3736" s="490"/>
      <c r="H3736" s="520"/>
      <c r="I3736" s="523"/>
      <c r="J3736" s="521"/>
      <c r="K3736" s="522"/>
      <c r="M3736" s="301" t="str">
        <f>N3736&amp;AS[[#This Row],[Insurer Code]]&amp;"; "&amp;O3736&amp;AS[[#This Row],[Reporting Year]]&amp;"; "&amp;P3736&amp;AS[[#This Row],[Insurance Category Code]]&amp;"; "&amp;Q3736&amp;AS[[#This Row],[Large Provider Entity Code]]&amp;"; "&amp;R3736&amp;AS[[#This Row],[Age Band Code]]&amp;"; "&amp;S3736&amp;AS[[#This Row],[Sex Code]]</f>
        <v xml:space="preserve">Insurer Code ; Reporting Year ; Insurance Category Code ; Large Provider Entity Code ; Age Band Code ; Sex Code </v>
      </c>
      <c r="N3736" s="297" t="s">
        <v>197</v>
      </c>
      <c r="O3736" s="297" t="s">
        <v>198</v>
      </c>
      <c r="P3736" s="297" t="s">
        <v>199</v>
      </c>
      <c r="Q3736" s="297" t="s">
        <v>200</v>
      </c>
      <c r="R3736" s="297" t="s">
        <v>213</v>
      </c>
      <c r="S3736" s="297" t="s">
        <v>214</v>
      </c>
    </row>
    <row r="3737" spans="1:19" x14ac:dyDescent="0.4">
      <c r="A3737" s="291"/>
      <c r="B3737" s="292"/>
      <c r="C3737" s="312"/>
      <c r="D3737" s="292"/>
      <c r="E3737" s="489"/>
      <c r="F3737" s="489"/>
      <c r="G3737" s="490"/>
      <c r="H3737" s="520"/>
      <c r="I3737" s="523"/>
      <c r="J3737" s="521"/>
      <c r="K3737" s="522"/>
      <c r="M3737" s="301" t="str">
        <f>N3737&amp;AS[[#This Row],[Insurer Code]]&amp;"; "&amp;O3737&amp;AS[[#This Row],[Reporting Year]]&amp;"; "&amp;P3737&amp;AS[[#This Row],[Insurance Category Code]]&amp;"; "&amp;Q3737&amp;AS[[#This Row],[Large Provider Entity Code]]&amp;"; "&amp;R3737&amp;AS[[#This Row],[Age Band Code]]&amp;"; "&amp;S3737&amp;AS[[#This Row],[Sex Code]]</f>
        <v xml:space="preserve">Insurer Code ; Reporting Year ; Insurance Category Code ; Large Provider Entity Code ; Age Band Code ; Sex Code </v>
      </c>
      <c r="N3737" s="297" t="s">
        <v>197</v>
      </c>
      <c r="O3737" s="297" t="s">
        <v>198</v>
      </c>
      <c r="P3737" s="297" t="s">
        <v>199</v>
      </c>
      <c r="Q3737" s="297" t="s">
        <v>200</v>
      </c>
      <c r="R3737" s="297" t="s">
        <v>213</v>
      </c>
      <c r="S3737" s="297" t="s">
        <v>214</v>
      </c>
    </row>
    <row r="3738" spans="1:19" x14ac:dyDescent="0.4">
      <c r="A3738" s="291"/>
      <c r="B3738" s="292"/>
      <c r="C3738" s="312"/>
      <c r="D3738" s="292"/>
      <c r="E3738" s="489"/>
      <c r="F3738" s="489"/>
      <c r="G3738" s="490"/>
      <c r="H3738" s="520"/>
      <c r="I3738" s="523"/>
      <c r="J3738" s="521"/>
      <c r="K3738" s="522"/>
      <c r="M3738" s="301" t="str">
        <f>N3738&amp;AS[[#This Row],[Insurer Code]]&amp;"; "&amp;O3738&amp;AS[[#This Row],[Reporting Year]]&amp;"; "&amp;P3738&amp;AS[[#This Row],[Insurance Category Code]]&amp;"; "&amp;Q3738&amp;AS[[#This Row],[Large Provider Entity Code]]&amp;"; "&amp;R3738&amp;AS[[#This Row],[Age Band Code]]&amp;"; "&amp;S3738&amp;AS[[#This Row],[Sex Code]]</f>
        <v xml:space="preserve">Insurer Code ; Reporting Year ; Insurance Category Code ; Large Provider Entity Code ; Age Band Code ; Sex Code </v>
      </c>
      <c r="N3738" s="297" t="s">
        <v>197</v>
      </c>
      <c r="O3738" s="297" t="s">
        <v>198</v>
      </c>
      <c r="P3738" s="297" t="s">
        <v>199</v>
      </c>
      <c r="Q3738" s="297" t="s">
        <v>200</v>
      </c>
      <c r="R3738" s="297" t="s">
        <v>213</v>
      </c>
      <c r="S3738" s="297" t="s">
        <v>214</v>
      </c>
    </row>
    <row r="3739" spans="1:19" x14ac:dyDescent="0.4">
      <c r="A3739" s="291"/>
      <c r="B3739" s="292"/>
      <c r="C3739" s="312"/>
      <c r="D3739" s="292"/>
      <c r="E3739" s="489"/>
      <c r="F3739" s="489"/>
      <c r="G3739" s="490"/>
      <c r="H3739" s="520"/>
      <c r="I3739" s="523"/>
      <c r="J3739" s="521"/>
      <c r="K3739" s="522"/>
      <c r="M3739" s="301" t="str">
        <f>N3739&amp;AS[[#This Row],[Insurer Code]]&amp;"; "&amp;O3739&amp;AS[[#This Row],[Reporting Year]]&amp;"; "&amp;P3739&amp;AS[[#This Row],[Insurance Category Code]]&amp;"; "&amp;Q3739&amp;AS[[#This Row],[Large Provider Entity Code]]&amp;"; "&amp;R3739&amp;AS[[#This Row],[Age Band Code]]&amp;"; "&amp;S3739&amp;AS[[#This Row],[Sex Code]]</f>
        <v xml:space="preserve">Insurer Code ; Reporting Year ; Insurance Category Code ; Large Provider Entity Code ; Age Band Code ; Sex Code </v>
      </c>
      <c r="N3739" s="297" t="s">
        <v>197</v>
      </c>
      <c r="O3739" s="297" t="s">
        <v>198</v>
      </c>
      <c r="P3739" s="297" t="s">
        <v>199</v>
      </c>
      <c r="Q3739" s="297" t="s">
        <v>200</v>
      </c>
      <c r="R3739" s="297" t="s">
        <v>213</v>
      </c>
      <c r="S3739" s="297" t="s">
        <v>214</v>
      </c>
    </row>
    <row r="3740" spans="1:19" x14ac:dyDescent="0.4">
      <c r="A3740" s="291"/>
      <c r="B3740" s="292"/>
      <c r="C3740" s="312"/>
      <c r="D3740" s="292"/>
      <c r="E3740" s="489"/>
      <c r="F3740" s="489"/>
      <c r="G3740" s="490"/>
      <c r="H3740" s="520"/>
      <c r="I3740" s="523"/>
      <c r="J3740" s="521"/>
      <c r="K3740" s="522"/>
      <c r="M3740" s="301" t="str">
        <f>N3740&amp;AS[[#This Row],[Insurer Code]]&amp;"; "&amp;O3740&amp;AS[[#This Row],[Reporting Year]]&amp;"; "&amp;P3740&amp;AS[[#This Row],[Insurance Category Code]]&amp;"; "&amp;Q3740&amp;AS[[#This Row],[Large Provider Entity Code]]&amp;"; "&amp;R3740&amp;AS[[#This Row],[Age Band Code]]&amp;"; "&amp;S3740&amp;AS[[#This Row],[Sex Code]]</f>
        <v xml:space="preserve">Insurer Code ; Reporting Year ; Insurance Category Code ; Large Provider Entity Code ; Age Band Code ; Sex Code </v>
      </c>
      <c r="N3740" s="297" t="s">
        <v>197</v>
      </c>
      <c r="O3740" s="297" t="s">
        <v>198</v>
      </c>
      <c r="P3740" s="297" t="s">
        <v>199</v>
      </c>
      <c r="Q3740" s="297" t="s">
        <v>200</v>
      </c>
      <c r="R3740" s="297" t="s">
        <v>213</v>
      </c>
      <c r="S3740" s="297" t="s">
        <v>214</v>
      </c>
    </row>
    <row r="3741" spans="1:19" x14ac:dyDescent="0.4">
      <c r="A3741" s="291"/>
      <c r="B3741" s="292"/>
      <c r="C3741" s="312"/>
      <c r="D3741" s="292"/>
      <c r="E3741" s="489"/>
      <c r="F3741" s="489"/>
      <c r="G3741" s="490"/>
      <c r="H3741" s="520"/>
      <c r="I3741" s="523"/>
      <c r="J3741" s="521"/>
      <c r="K3741" s="522"/>
      <c r="M3741" s="301" t="str">
        <f>N3741&amp;AS[[#This Row],[Insurer Code]]&amp;"; "&amp;O3741&amp;AS[[#This Row],[Reporting Year]]&amp;"; "&amp;P3741&amp;AS[[#This Row],[Insurance Category Code]]&amp;"; "&amp;Q3741&amp;AS[[#This Row],[Large Provider Entity Code]]&amp;"; "&amp;R3741&amp;AS[[#This Row],[Age Band Code]]&amp;"; "&amp;S3741&amp;AS[[#This Row],[Sex Code]]</f>
        <v xml:space="preserve">Insurer Code ; Reporting Year ; Insurance Category Code ; Large Provider Entity Code ; Age Band Code ; Sex Code </v>
      </c>
      <c r="N3741" s="297" t="s">
        <v>197</v>
      </c>
      <c r="O3741" s="297" t="s">
        <v>198</v>
      </c>
      <c r="P3741" s="297" t="s">
        <v>199</v>
      </c>
      <c r="Q3741" s="297" t="s">
        <v>200</v>
      </c>
      <c r="R3741" s="297" t="s">
        <v>213</v>
      </c>
      <c r="S3741" s="297" t="s">
        <v>214</v>
      </c>
    </row>
    <row r="3742" spans="1:19" x14ac:dyDescent="0.4">
      <c r="A3742" s="291"/>
      <c r="B3742" s="292"/>
      <c r="C3742" s="312"/>
      <c r="D3742" s="292"/>
      <c r="E3742" s="489"/>
      <c r="F3742" s="489"/>
      <c r="G3742" s="490"/>
      <c r="H3742" s="520"/>
      <c r="I3742" s="523"/>
      <c r="J3742" s="521"/>
      <c r="K3742" s="522"/>
      <c r="M3742" s="301" t="str">
        <f>N3742&amp;AS[[#This Row],[Insurer Code]]&amp;"; "&amp;O3742&amp;AS[[#This Row],[Reporting Year]]&amp;"; "&amp;P3742&amp;AS[[#This Row],[Insurance Category Code]]&amp;"; "&amp;Q3742&amp;AS[[#This Row],[Large Provider Entity Code]]&amp;"; "&amp;R3742&amp;AS[[#This Row],[Age Band Code]]&amp;"; "&amp;S3742&amp;AS[[#This Row],[Sex Code]]</f>
        <v xml:space="preserve">Insurer Code ; Reporting Year ; Insurance Category Code ; Large Provider Entity Code ; Age Band Code ; Sex Code </v>
      </c>
      <c r="N3742" s="297" t="s">
        <v>197</v>
      </c>
      <c r="O3742" s="297" t="s">
        <v>198</v>
      </c>
      <c r="P3742" s="297" t="s">
        <v>199</v>
      </c>
      <c r="Q3742" s="297" t="s">
        <v>200</v>
      </c>
      <c r="R3742" s="297" t="s">
        <v>213</v>
      </c>
      <c r="S3742" s="297" t="s">
        <v>214</v>
      </c>
    </row>
    <row r="3743" spans="1:19" x14ac:dyDescent="0.4">
      <c r="A3743" s="291"/>
      <c r="B3743" s="292"/>
      <c r="C3743" s="312"/>
      <c r="D3743" s="292"/>
      <c r="E3743" s="489"/>
      <c r="F3743" s="489"/>
      <c r="G3743" s="490"/>
      <c r="H3743" s="520"/>
      <c r="I3743" s="523"/>
      <c r="J3743" s="521"/>
      <c r="K3743" s="522"/>
      <c r="M3743" s="301" t="str">
        <f>N3743&amp;AS[[#This Row],[Insurer Code]]&amp;"; "&amp;O3743&amp;AS[[#This Row],[Reporting Year]]&amp;"; "&amp;P3743&amp;AS[[#This Row],[Insurance Category Code]]&amp;"; "&amp;Q3743&amp;AS[[#This Row],[Large Provider Entity Code]]&amp;"; "&amp;R3743&amp;AS[[#This Row],[Age Band Code]]&amp;"; "&amp;S3743&amp;AS[[#This Row],[Sex Code]]</f>
        <v xml:space="preserve">Insurer Code ; Reporting Year ; Insurance Category Code ; Large Provider Entity Code ; Age Band Code ; Sex Code </v>
      </c>
      <c r="N3743" s="297" t="s">
        <v>197</v>
      </c>
      <c r="O3743" s="297" t="s">
        <v>198</v>
      </c>
      <c r="P3743" s="297" t="s">
        <v>199</v>
      </c>
      <c r="Q3743" s="297" t="s">
        <v>200</v>
      </c>
      <c r="R3743" s="297" t="s">
        <v>213</v>
      </c>
      <c r="S3743" s="297" t="s">
        <v>214</v>
      </c>
    </row>
    <row r="3744" spans="1:19" x14ac:dyDescent="0.4">
      <c r="A3744" s="291"/>
      <c r="B3744" s="292"/>
      <c r="C3744" s="312"/>
      <c r="D3744" s="292"/>
      <c r="E3744" s="489"/>
      <c r="F3744" s="489"/>
      <c r="G3744" s="490"/>
      <c r="H3744" s="520"/>
      <c r="I3744" s="523"/>
      <c r="J3744" s="521"/>
      <c r="K3744" s="522"/>
      <c r="M3744" s="301" t="str">
        <f>N3744&amp;AS[[#This Row],[Insurer Code]]&amp;"; "&amp;O3744&amp;AS[[#This Row],[Reporting Year]]&amp;"; "&amp;P3744&amp;AS[[#This Row],[Insurance Category Code]]&amp;"; "&amp;Q3744&amp;AS[[#This Row],[Large Provider Entity Code]]&amp;"; "&amp;R3744&amp;AS[[#This Row],[Age Band Code]]&amp;"; "&amp;S3744&amp;AS[[#This Row],[Sex Code]]</f>
        <v xml:space="preserve">Insurer Code ; Reporting Year ; Insurance Category Code ; Large Provider Entity Code ; Age Band Code ; Sex Code </v>
      </c>
      <c r="N3744" s="297" t="s">
        <v>197</v>
      </c>
      <c r="O3744" s="297" t="s">
        <v>198</v>
      </c>
      <c r="P3744" s="297" t="s">
        <v>199</v>
      </c>
      <c r="Q3744" s="297" t="s">
        <v>200</v>
      </c>
      <c r="R3744" s="297" t="s">
        <v>213</v>
      </c>
      <c r="S3744" s="297" t="s">
        <v>214</v>
      </c>
    </row>
    <row r="3745" spans="1:19" x14ac:dyDescent="0.4">
      <c r="A3745" s="291"/>
      <c r="B3745" s="292"/>
      <c r="C3745" s="312"/>
      <c r="D3745" s="292"/>
      <c r="E3745" s="489"/>
      <c r="F3745" s="489"/>
      <c r="G3745" s="490"/>
      <c r="H3745" s="520"/>
      <c r="I3745" s="523"/>
      <c r="J3745" s="521"/>
      <c r="K3745" s="522"/>
      <c r="M3745" s="301" t="str">
        <f>N3745&amp;AS[[#This Row],[Insurer Code]]&amp;"; "&amp;O3745&amp;AS[[#This Row],[Reporting Year]]&amp;"; "&amp;P3745&amp;AS[[#This Row],[Insurance Category Code]]&amp;"; "&amp;Q3745&amp;AS[[#This Row],[Large Provider Entity Code]]&amp;"; "&amp;R3745&amp;AS[[#This Row],[Age Band Code]]&amp;"; "&amp;S3745&amp;AS[[#This Row],[Sex Code]]</f>
        <v xml:space="preserve">Insurer Code ; Reporting Year ; Insurance Category Code ; Large Provider Entity Code ; Age Band Code ; Sex Code </v>
      </c>
      <c r="N3745" s="297" t="s">
        <v>197</v>
      </c>
      <c r="O3745" s="297" t="s">
        <v>198</v>
      </c>
      <c r="P3745" s="297" t="s">
        <v>199</v>
      </c>
      <c r="Q3745" s="297" t="s">
        <v>200</v>
      </c>
      <c r="R3745" s="297" t="s">
        <v>213</v>
      </c>
      <c r="S3745" s="297" t="s">
        <v>214</v>
      </c>
    </row>
    <row r="3746" spans="1:19" x14ac:dyDescent="0.4">
      <c r="A3746" s="291"/>
      <c r="B3746" s="292"/>
      <c r="C3746" s="312"/>
      <c r="D3746" s="292"/>
      <c r="E3746" s="489"/>
      <c r="F3746" s="489"/>
      <c r="G3746" s="490"/>
      <c r="H3746" s="520"/>
      <c r="I3746" s="523"/>
      <c r="J3746" s="521"/>
      <c r="K3746" s="522"/>
      <c r="M3746" s="301" t="str">
        <f>N3746&amp;AS[[#This Row],[Insurer Code]]&amp;"; "&amp;O3746&amp;AS[[#This Row],[Reporting Year]]&amp;"; "&amp;P3746&amp;AS[[#This Row],[Insurance Category Code]]&amp;"; "&amp;Q3746&amp;AS[[#This Row],[Large Provider Entity Code]]&amp;"; "&amp;R3746&amp;AS[[#This Row],[Age Band Code]]&amp;"; "&amp;S3746&amp;AS[[#This Row],[Sex Code]]</f>
        <v xml:space="preserve">Insurer Code ; Reporting Year ; Insurance Category Code ; Large Provider Entity Code ; Age Band Code ; Sex Code </v>
      </c>
      <c r="N3746" s="297" t="s">
        <v>197</v>
      </c>
      <c r="O3746" s="297" t="s">
        <v>198</v>
      </c>
      <c r="P3746" s="297" t="s">
        <v>199</v>
      </c>
      <c r="Q3746" s="297" t="s">
        <v>200</v>
      </c>
      <c r="R3746" s="297" t="s">
        <v>213</v>
      </c>
      <c r="S3746" s="297" t="s">
        <v>214</v>
      </c>
    </row>
    <row r="3747" spans="1:19" x14ac:dyDescent="0.4">
      <c r="A3747" s="291"/>
      <c r="B3747" s="292"/>
      <c r="C3747" s="312"/>
      <c r="D3747" s="292"/>
      <c r="E3747" s="489"/>
      <c r="F3747" s="489"/>
      <c r="G3747" s="490"/>
      <c r="H3747" s="520"/>
      <c r="I3747" s="523"/>
      <c r="J3747" s="521"/>
      <c r="K3747" s="522"/>
      <c r="M3747" s="301" t="str">
        <f>N3747&amp;AS[[#This Row],[Insurer Code]]&amp;"; "&amp;O3747&amp;AS[[#This Row],[Reporting Year]]&amp;"; "&amp;P3747&amp;AS[[#This Row],[Insurance Category Code]]&amp;"; "&amp;Q3747&amp;AS[[#This Row],[Large Provider Entity Code]]&amp;"; "&amp;R3747&amp;AS[[#This Row],[Age Band Code]]&amp;"; "&amp;S3747&amp;AS[[#This Row],[Sex Code]]</f>
        <v xml:space="preserve">Insurer Code ; Reporting Year ; Insurance Category Code ; Large Provider Entity Code ; Age Band Code ; Sex Code </v>
      </c>
      <c r="N3747" s="297" t="s">
        <v>197</v>
      </c>
      <c r="O3747" s="297" t="s">
        <v>198</v>
      </c>
      <c r="P3747" s="297" t="s">
        <v>199</v>
      </c>
      <c r="Q3747" s="297" t="s">
        <v>200</v>
      </c>
      <c r="R3747" s="297" t="s">
        <v>213</v>
      </c>
      <c r="S3747" s="297" t="s">
        <v>214</v>
      </c>
    </row>
    <row r="3748" spans="1:19" x14ac:dyDescent="0.4">
      <c r="A3748" s="291"/>
      <c r="B3748" s="292"/>
      <c r="C3748" s="312"/>
      <c r="D3748" s="292"/>
      <c r="E3748" s="489"/>
      <c r="F3748" s="489"/>
      <c r="G3748" s="490"/>
      <c r="H3748" s="520"/>
      <c r="I3748" s="523"/>
      <c r="J3748" s="521"/>
      <c r="K3748" s="522"/>
      <c r="M3748" s="301" t="str">
        <f>N3748&amp;AS[[#This Row],[Insurer Code]]&amp;"; "&amp;O3748&amp;AS[[#This Row],[Reporting Year]]&amp;"; "&amp;P3748&amp;AS[[#This Row],[Insurance Category Code]]&amp;"; "&amp;Q3748&amp;AS[[#This Row],[Large Provider Entity Code]]&amp;"; "&amp;R3748&amp;AS[[#This Row],[Age Band Code]]&amp;"; "&amp;S3748&amp;AS[[#This Row],[Sex Code]]</f>
        <v xml:space="preserve">Insurer Code ; Reporting Year ; Insurance Category Code ; Large Provider Entity Code ; Age Band Code ; Sex Code </v>
      </c>
      <c r="N3748" s="297" t="s">
        <v>197</v>
      </c>
      <c r="O3748" s="297" t="s">
        <v>198</v>
      </c>
      <c r="P3748" s="297" t="s">
        <v>199</v>
      </c>
      <c r="Q3748" s="297" t="s">
        <v>200</v>
      </c>
      <c r="R3748" s="297" t="s">
        <v>213</v>
      </c>
      <c r="S3748" s="297" t="s">
        <v>214</v>
      </c>
    </row>
    <row r="3749" spans="1:19" x14ac:dyDescent="0.4">
      <c r="A3749" s="291"/>
      <c r="B3749" s="292"/>
      <c r="C3749" s="312"/>
      <c r="D3749" s="292"/>
      <c r="E3749" s="489"/>
      <c r="F3749" s="489"/>
      <c r="G3749" s="490"/>
      <c r="H3749" s="520"/>
      <c r="I3749" s="523"/>
      <c r="J3749" s="521"/>
      <c r="K3749" s="522"/>
      <c r="M3749" s="301" t="str">
        <f>N3749&amp;AS[[#This Row],[Insurer Code]]&amp;"; "&amp;O3749&amp;AS[[#This Row],[Reporting Year]]&amp;"; "&amp;P3749&amp;AS[[#This Row],[Insurance Category Code]]&amp;"; "&amp;Q3749&amp;AS[[#This Row],[Large Provider Entity Code]]&amp;"; "&amp;R3749&amp;AS[[#This Row],[Age Band Code]]&amp;"; "&amp;S3749&amp;AS[[#This Row],[Sex Code]]</f>
        <v xml:space="preserve">Insurer Code ; Reporting Year ; Insurance Category Code ; Large Provider Entity Code ; Age Band Code ; Sex Code </v>
      </c>
      <c r="N3749" s="297" t="s">
        <v>197</v>
      </c>
      <c r="O3749" s="297" t="s">
        <v>198</v>
      </c>
      <c r="P3749" s="297" t="s">
        <v>199</v>
      </c>
      <c r="Q3749" s="297" t="s">
        <v>200</v>
      </c>
      <c r="R3749" s="297" t="s">
        <v>213</v>
      </c>
      <c r="S3749" s="297" t="s">
        <v>214</v>
      </c>
    </row>
    <row r="3750" spans="1:19" x14ac:dyDescent="0.4">
      <c r="A3750" s="291"/>
      <c r="B3750" s="292"/>
      <c r="C3750" s="312"/>
      <c r="D3750" s="292"/>
      <c r="E3750" s="489"/>
      <c r="F3750" s="489"/>
      <c r="G3750" s="490"/>
      <c r="H3750" s="520"/>
      <c r="I3750" s="523"/>
      <c r="J3750" s="521"/>
      <c r="K3750" s="522"/>
      <c r="M3750" s="301" t="str">
        <f>N3750&amp;AS[[#This Row],[Insurer Code]]&amp;"; "&amp;O3750&amp;AS[[#This Row],[Reporting Year]]&amp;"; "&amp;P3750&amp;AS[[#This Row],[Insurance Category Code]]&amp;"; "&amp;Q3750&amp;AS[[#This Row],[Large Provider Entity Code]]&amp;"; "&amp;R3750&amp;AS[[#This Row],[Age Band Code]]&amp;"; "&amp;S3750&amp;AS[[#This Row],[Sex Code]]</f>
        <v xml:space="preserve">Insurer Code ; Reporting Year ; Insurance Category Code ; Large Provider Entity Code ; Age Band Code ; Sex Code </v>
      </c>
      <c r="N3750" s="297" t="s">
        <v>197</v>
      </c>
      <c r="O3750" s="297" t="s">
        <v>198</v>
      </c>
      <c r="P3750" s="297" t="s">
        <v>199</v>
      </c>
      <c r="Q3750" s="297" t="s">
        <v>200</v>
      </c>
      <c r="R3750" s="297" t="s">
        <v>213</v>
      </c>
      <c r="S3750" s="297" t="s">
        <v>214</v>
      </c>
    </row>
    <row r="3751" spans="1:19" x14ac:dyDescent="0.4">
      <c r="A3751" s="291"/>
      <c r="B3751" s="292"/>
      <c r="C3751" s="312"/>
      <c r="D3751" s="292"/>
      <c r="E3751" s="489"/>
      <c r="F3751" s="489"/>
      <c r="G3751" s="490"/>
      <c r="H3751" s="520"/>
      <c r="I3751" s="523"/>
      <c r="J3751" s="521"/>
      <c r="K3751" s="522"/>
      <c r="M3751" s="301" t="str">
        <f>N3751&amp;AS[[#This Row],[Insurer Code]]&amp;"; "&amp;O3751&amp;AS[[#This Row],[Reporting Year]]&amp;"; "&amp;P3751&amp;AS[[#This Row],[Insurance Category Code]]&amp;"; "&amp;Q3751&amp;AS[[#This Row],[Large Provider Entity Code]]&amp;"; "&amp;R3751&amp;AS[[#This Row],[Age Band Code]]&amp;"; "&amp;S3751&amp;AS[[#This Row],[Sex Code]]</f>
        <v xml:space="preserve">Insurer Code ; Reporting Year ; Insurance Category Code ; Large Provider Entity Code ; Age Band Code ; Sex Code </v>
      </c>
      <c r="N3751" s="297" t="s">
        <v>197</v>
      </c>
      <c r="O3751" s="297" t="s">
        <v>198</v>
      </c>
      <c r="P3751" s="297" t="s">
        <v>199</v>
      </c>
      <c r="Q3751" s="297" t="s">
        <v>200</v>
      </c>
      <c r="R3751" s="297" t="s">
        <v>213</v>
      </c>
      <c r="S3751" s="297" t="s">
        <v>214</v>
      </c>
    </row>
    <row r="3752" spans="1:19" x14ac:dyDescent="0.4">
      <c r="A3752" s="291"/>
      <c r="B3752" s="292"/>
      <c r="C3752" s="312"/>
      <c r="D3752" s="292"/>
      <c r="E3752" s="489"/>
      <c r="F3752" s="489"/>
      <c r="G3752" s="490"/>
      <c r="H3752" s="520"/>
      <c r="I3752" s="523"/>
      <c r="J3752" s="521"/>
      <c r="K3752" s="522"/>
      <c r="M3752" s="301" t="str">
        <f>N3752&amp;AS[[#This Row],[Insurer Code]]&amp;"; "&amp;O3752&amp;AS[[#This Row],[Reporting Year]]&amp;"; "&amp;P3752&amp;AS[[#This Row],[Insurance Category Code]]&amp;"; "&amp;Q3752&amp;AS[[#This Row],[Large Provider Entity Code]]&amp;"; "&amp;R3752&amp;AS[[#This Row],[Age Band Code]]&amp;"; "&amp;S3752&amp;AS[[#This Row],[Sex Code]]</f>
        <v xml:space="preserve">Insurer Code ; Reporting Year ; Insurance Category Code ; Large Provider Entity Code ; Age Band Code ; Sex Code </v>
      </c>
      <c r="N3752" s="297" t="s">
        <v>197</v>
      </c>
      <c r="O3752" s="297" t="s">
        <v>198</v>
      </c>
      <c r="P3752" s="297" t="s">
        <v>199</v>
      </c>
      <c r="Q3752" s="297" t="s">
        <v>200</v>
      </c>
      <c r="R3752" s="297" t="s">
        <v>213</v>
      </c>
      <c r="S3752" s="297" t="s">
        <v>214</v>
      </c>
    </row>
    <row r="3753" spans="1:19" x14ac:dyDescent="0.4">
      <c r="A3753" s="291"/>
      <c r="B3753" s="292"/>
      <c r="C3753" s="312"/>
      <c r="D3753" s="292"/>
      <c r="E3753" s="489"/>
      <c r="F3753" s="489"/>
      <c r="G3753" s="490"/>
      <c r="H3753" s="520"/>
      <c r="I3753" s="523"/>
      <c r="J3753" s="521"/>
      <c r="K3753" s="522"/>
      <c r="M3753" s="301" t="str">
        <f>N3753&amp;AS[[#This Row],[Insurer Code]]&amp;"; "&amp;O3753&amp;AS[[#This Row],[Reporting Year]]&amp;"; "&amp;P3753&amp;AS[[#This Row],[Insurance Category Code]]&amp;"; "&amp;Q3753&amp;AS[[#This Row],[Large Provider Entity Code]]&amp;"; "&amp;R3753&amp;AS[[#This Row],[Age Band Code]]&amp;"; "&amp;S3753&amp;AS[[#This Row],[Sex Code]]</f>
        <v xml:space="preserve">Insurer Code ; Reporting Year ; Insurance Category Code ; Large Provider Entity Code ; Age Band Code ; Sex Code </v>
      </c>
      <c r="N3753" s="297" t="s">
        <v>197</v>
      </c>
      <c r="O3753" s="297" t="s">
        <v>198</v>
      </c>
      <c r="P3753" s="297" t="s">
        <v>199</v>
      </c>
      <c r="Q3753" s="297" t="s">
        <v>200</v>
      </c>
      <c r="R3753" s="297" t="s">
        <v>213</v>
      </c>
      <c r="S3753" s="297" t="s">
        <v>214</v>
      </c>
    </row>
    <row r="3754" spans="1:19" x14ac:dyDescent="0.4">
      <c r="A3754" s="291"/>
      <c r="B3754" s="292"/>
      <c r="C3754" s="312"/>
      <c r="D3754" s="292"/>
      <c r="E3754" s="489"/>
      <c r="F3754" s="489"/>
      <c r="G3754" s="490"/>
      <c r="H3754" s="520"/>
      <c r="I3754" s="523"/>
      <c r="J3754" s="521"/>
      <c r="K3754" s="522"/>
      <c r="M3754" s="301" t="str">
        <f>N3754&amp;AS[[#This Row],[Insurer Code]]&amp;"; "&amp;O3754&amp;AS[[#This Row],[Reporting Year]]&amp;"; "&amp;P3754&amp;AS[[#This Row],[Insurance Category Code]]&amp;"; "&amp;Q3754&amp;AS[[#This Row],[Large Provider Entity Code]]&amp;"; "&amp;R3754&amp;AS[[#This Row],[Age Band Code]]&amp;"; "&amp;S3754&amp;AS[[#This Row],[Sex Code]]</f>
        <v xml:space="preserve">Insurer Code ; Reporting Year ; Insurance Category Code ; Large Provider Entity Code ; Age Band Code ; Sex Code </v>
      </c>
      <c r="N3754" s="297" t="s">
        <v>197</v>
      </c>
      <c r="O3754" s="297" t="s">
        <v>198</v>
      </c>
      <c r="P3754" s="297" t="s">
        <v>199</v>
      </c>
      <c r="Q3754" s="297" t="s">
        <v>200</v>
      </c>
      <c r="R3754" s="297" t="s">
        <v>213</v>
      </c>
      <c r="S3754" s="297" t="s">
        <v>214</v>
      </c>
    </row>
    <row r="3755" spans="1:19" x14ac:dyDescent="0.4">
      <c r="A3755" s="291"/>
      <c r="B3755" s="292"/>
      <c r="C3755" s="312"/>
      <c r="D3755" s="292"/>
      <c r="E3755" s="489"/>
      <c r="F3755" s="489"/>
      <c r="G3755" s="490"/>
      <c r="H3755" s="520"/>
      <c r="I3755" s="523"/>
      <c r="J3755" s="521"/>
      <c r="K3755" s="522"/>
      <c r="M3755" s="301" t="str">
        <f>N3755&amp;AS[[#This Row],[Insurer Code]]&amp;"; "&amp;O3755&amp;AS[[#This Row],[Reporting Year]]&amp;"; "&amp;P3755&amp;AS[[#This Row],[Insurance Category Code]]&amp;"; "&amp;Q3755&amp;AS[[#This Row],[Large Provider Entity Code]]&amp;"; "&amp;R3755&amp;AS[[#This Row],[Age Band Code]]&amp;"; "&amp;S3755&amp;AS[[#This Row],[Sex Code]]</f>
        <v xml:space="preserve">Insurer Code ; Reporting Year ; Insurance Category Code ; Large Provider Entity Code ; Age Band Code ; Sex Code </v>
      </c>
      <c r="N3755" s="297" t="s">
        <v>197</v>
      </c>
      <c r="O3755" s="297" t="s">
        <v>198</v>
      </c>
      <c r="P3755" s="297" t="s">
        <v>199</v>
      </c>
      <c r="Q3755" s="297" t="s">
        <v>200</v>
      </c>
      <c r="R3755" s="297" t="s">
        <v>213</v>
      </c>
      <c r="S3755" s="297" t="s">
        <v>214</v>
      </c>
    </row>
    <row r="3756" spans="1:19" x14ac:dyDescent="0.4">
      <c r="A3756" s="291"/>
      <c r="B3756" s="292"/>
      <c r="C3756" s="312"/>
      <c r="D3756" s="292"/>
      <c r="E3756" s="489"/>
      <c r="F3756" s="489"/>
      <c r="G3756" s="490"/>
      <c r="H3756" s="520"/>
      <c r="I3756" s="523"/>
      <c r="J3756" s="521"/>
      <c r="K3756" s="522"/>
      <c r="M3756" s="301" t="str">
        <f>N3756&amp;AS[[#This Row],[Insurer Code]]&amp;"; "&amp;O3756&amp;AS[[#This Row],[Reporting Year]]&amp;"; "&amp;P3756&amp;AS[[#This Row],[Insurance Category Code]]&amp;"; "&amp;Q3756&amp;AS[[#This Row],[Large Provider Entity Code]]&amp;"; "&amp;R3756&amp;AS[[#This Row],[Age Band Code]]&amp;"; "&amp;S3756&amp;AS[[#This Row],[Sex Code]]</f>
        <v xml:space="preserve">Insurer Code ; Reporting Year ; Insurance Category Code ; Large Provider Entity Code ; Age Band Code ; Sex Code </v>
      </c>
      <c r="N3756" s="297" t="s">
        <v>197</v>
      </c>
      <c r="O3756" s="297" t="s">
        <v>198</v>
      </c>
      <c r="P3756" s="297" t="s">
        <v>199</v>
      </c>
      <c r="Q3756" s="297" t="s">
        <v>200</v>
      </c>
      <c r="R3756" s="297" t="s">
        <v>213</v>
      </c>
      <c r="S3756" s="297" t="s">
        <v>214</v>
      </c>
    </row>
    <row r="3757" spans="1:19" x14ac:dyDescent="0.4">
      <c r="A3757" s="291"/>
      <c r="B3757" s="292"/>
      <c r="C3757" s="312"/>
      <c r="D3757" s="292"/>
      <c r="E3757" s="489"/>
      <c r="F3757" s="489"/>
      <c r="G3757" s="490"/>
      <c r="H3757" s="520"/>
      <c r="I3757" s="523"/>
      <c r="J3757" s="521"/>
      <c r="K3757" s="522"/>
      <c r="M3757" s="301" t="str">
        <f>N3757&amp;AS[[#This Row],[Insurer Code]]&amp;"; "&amp;O3757&amp;AS[[#This Row],[Reporting Year]]&amp;"; "&amp;P3757&amp;AS[[#This Row],[Insurance Category Code]]&amp;"; "&amp;Q3757&amp;AS[[#This Row],[Large Provider Entity Code]]&amp;"; "&amp;R3757&amp;AS[[#This Row],[Age Band Code]]&amp;"; "&amp;S3757&amp;AS[[#This Row],[Sex Code]]</f>
        <v xml:space="preserve">Insurer Code ; Reporting Year ; Insurance Category Code ; Large Provider Entity Code ; Age Band Code ; Sex Code </v>
      </c>
      <c r="N3757" s="297" t="s">
        <v>197</v>
      </c>
      <c r="O3757" s="297" t="s">
        <v>198</v>
      </c>
      <c r="P3757" s="297" t="s">
        <v>199</v>
      </c>
      <c r="Q3757" s="297" t="s">
        <v>200</v>
      </c>
      <c r="R3757" s="297" t="s">
        <v>213</v>
      </c>
      <c r="S3757" s="297" t="s">
        <v>214</v>
      </c>
    </row>
    <row r="3758" spans="1:19" x14ac:dyDescent="0.4">
      <c r="A3758" s="291"/>
      <c r="B3758" s="292"/>
      <c r="C3758" s="312"/>
      <c r="D3758" s="292"/>
      <c r="E3758" s="489"/>
      <c r="F3758" s="489"/>
      <c r="G3758" s="490"/>
      <c r="H3758" s="520"/>
      <c r="I3758" s="523"/>
      <c r="J3758" s="521"/>
      <c r="K3758" s="522"/>
      <c r="M3758" s="301" t="str">
        <f>N3758&amp;AS[[#This Row],[Insurer Code]]&amp;"; "&amp;O3758&amp;AS[[#This Row],[Reporting Year]]&amp;"; "&amp;P3758&amp;AS[[#This Row],[Insurance Category Code]]&amp;"; "&amp;Q3758&amp;AS[[#This Row],[Large Provider Entity Code]]&amp;"; "&amp;R3758&amp;AS[[#This Row],[Age Band Code]]&amp;"; "&amp;S3758&amp;AS[[#This Row],[Sex Code]]</f>
        <v xml:space="preserve">Insurer Code ; Reporting Year ; Insurance Category Code ; Large Provider Entity Code ; Age Band Code ; Sex Code </v>
      </c>
      <c r="N3758" s="297" t="s">
        <v>197</v>
      </c>
      <c r="O3758" s="297" t="s">
        <v>198</v>
      </c>
      <c r="P3758" s="297" t="s">
        <v>199</v>
      </c>
      <c r="Q3758" s="297" t="s">
        <v>200</v>
      </c>
      <c r="R3758" s="297" t="s">
        <v>213</v>
      </c>
      <c r="S3758" s="297" t="s">
        <v>214</v>
      </c>
    </row>
    <row r="3759" spans="1:19" x14ac:dyDescent="0.4">
      <c r="A3759" s="291"/>
      <c r="B3759" s="292"/>
      <c r="C3759" s="312"/>
      <c r="D3759" s="292"/>
      <c r="E3759" s="489"/>
      <c r="F3759" s="489"/>
      <c r="G3759" s="490"/>
      <c r="H3759" s="520"/>
      <c r="I3759" s="523"/>
      <c r="J3759" s="521"/>
      <c r="K3759" s="522"/>
      <c r="M3759" s="301" t="str">
        <f>N3759&amp;AS[[#This Row],[Insurer Code]]&amp;"; "&amp;O3759&amp;AS[[#This Row],[Reporting Year]]&amp;"; "&amp;P3759&amp;AS[[#This Row],[Insurance Category Code]]&amp;"; "&amp;Q3759&amp;AS[[#This Row],[Large Provider Entity Code]]&amp;"; "&amp;R3759&amp;AS[[#This Row],[Age Band Code]]&amp;"; "&amp;S3759&amp;AS[[#This Row],[Sex Code]]</f>
        <v xml:space="preserve">Insurer Code ; Reporting Year ; Insurance Category Code ; Large Provider Entity Code ; Age Band Code ; Sex Code </v>
      </c>
      <c r="N3759" s="297" t="s">
        <v>197</v>
      </c>
      <c r="O3759" s="297" t="s">
        <v>198</v>
      </c>
      <c r="P3759" s="297" t="s">
        <v>199</v>
      </c>
      <c r="Q3759" s="297" t="s">
        <v>200</v>
      </c>
      <c r="R3759" s="297" t="s">
        <v>213</v>
      </c>
      <c r="S3759" s="297" t="s">
        <v>214</v>
      </c>
    </row>
    <row r="3760" spans="1:19" x14ac:dyDescent="0.4">
      <c r="A3760" s="291"/>
      <c r="B3760" s="292"/>
      <c r="C3760" s="312"/>
      <c r="D3760" s="292"/>
      <c r="E3760" s="489"/>
      <c r="F3760" s="489"/>
      <c r="G3760" s="490"/>
      <c r="H3760" s="520"/>
      <c r="I3760" s="523"/>
      <c r="J3760" s="521"/>
      <c r="K3760" s="522"/>
      <c r="M3760" s="301" t="str">
        <f>N3760&amp;AS[[#This Row],[Insurer Code]]&amp;"; "&amp;O3760&amp;AS[[#This Row],[Reporting Year]]&amp;"; "&amp;P3760&amp;AS[[#This Row],[Insurance Category Code]]&amp;"; "&amp;Q3760&amp;AS[[#This Row],[Large Provider Entity Code]]&amp;"; "&amp;R3760&amp;AS[[#This Row],[Age Band Code]]&amp;"; "&amp;S3760&amp;AS[[#This Row],[Sex Code]]</f>
        <v xml:space="preserve">Insurer Code ; Reporting Year ; Insurance Category Code ; Large Provider Entity Code ; Age Band Code ; Sex Code </v>
      </c>
      <c r="N3760" s="297" t="s">
        <v>197</v>
      </c>
      <c r="O3760" s="297" t="s">
        <v>198</v>
      </c>
      <c r="P3760" s="297" t="s">
        <v>199</v>
      </c>
      <c r="Q3760" s="297" t="s">
        <v>200</v>
      </c>
      <c r="R3760" s="297" t="s">
        <v>213</v>
      </c>
      <c r="S3760" s="297" t="s">
        <v>214</v>
      </c>
    </row>
    <row r="3761" spans="1:19" x14ac:dyDescent="0.4">
      <c r="A3761" s="291"/>
      <c r="B3761" s="292"/>
      <c r="C3761" s="312"/>
      <c r="D3761" s="292"/>
      <c r="E3761" s="489"/>
      <c r="F3761" s="489"/>
      <c r="G3761" s="490"/>
      <c r="H3761" s="520"/>
      <c r="I3761" s="523"/>
      <c r="J3761" s="521"/>
      <c r="K3761" s="522"/>
      <c r="M3761" s="301" t="str">
        <f>N3761&amp;AS[[#This Row],[Insurer Code]]&amp;"; "&amp;O3761&amp;AS[[#This Row],[Reporting Year]]&amp;"; "&amp;P3761&amp;AS[[#This Row],[Insurance Category Code]]&amp;"; "&amp;Q3761&amp;AS[[#This Row],[Large Provider Entity Code]]&amp;"; "&amp;R3761&amp;AS[[#This Row],[Age Band Code]]&amp;"; "&amp;S3761&amp;AS[[#This Row],[Sex Code]]</f>
        <v xml:space="preserve">Insurer Code ; Reporting Year ; Insurance Category Code ; Large Provider Entity Code ; Age Band Code ; Sex Code </v>
      </c>
      <c r="N3761" s="297" t="s">
        <v>197</v>
      </c>
      <c r="O3761" s="297" t="s">
        <v>198</v>
      </c>
      <c r="P3761" s="297" t="s">
        <v>199</v>
      </c>
      <c r="Q3761" s="297" t="s">
        <v>200</v>
      </c>
      <c r="R3761" s="297" t="s">
        <v>213</v>
      </c>
      <c r="S3761" s="297" t="s">
        <v>214</v>
      </c>
    </row>
    <row r="3762" spans="1:19" x14ac:dyDescent="0.4">
      <c r="A3762" s="291"/>
      <c r="B3762" s="292"/>
      <c r="C3762" s="312"/>
      <c r="D3762" s="292"/>
      <c r="E3762" s="489"/>
      <c r="F3762" s="489"/>
      <c r="G3762" s="490"/>
      <c r="H3762" s="520"/>
      <c r="I3762" s="523"/>
      <c r="J3762" s="521"/>
      <c r="K3762" s="522"/>
      <c r="M3762" s="301" t="str">
        <f>N3762&amp;AS[[#This Row],[Insurer Code]]&amp;"; "&amp;O3762&amp;AS[[#This Row],[Reporting Year]]&amp;"; "&amp;P3762&amp;AS[[#This Row],[Insurance Category Code]]&amp;"; "&amp;Q3762&amp;AS[[#This Row],[Large Provider Entity Code]]&amp;"; "&amp;R3762&amp;AS[[#This Row],[Age Band Code]]&amp;"; "&amp;S3762&amp;AS[[#This Row],[Sex Code]]</f>
        <v xml:space="preserve">Insurer Code ; Reporting Year ; Insurance Category Code ; Large Provider Entity Code ; Age Band Code ; Sex Code </v>
      </c>
      <c r="N3762" s="297" t="s">
        <v>197</v>
      </c>
      <c r="O3762" s="297" t="s">
        <v>198</v>
      </c>
      <c r="P3762" s="297" t="s">
        <v>199</v>
      </c>
      <c r="Q3762" s="297" t="s">
        <v>200</v>
      </c>
      <c r="R3762" s="297" t="s">
        <v>213</v>
      </c>
      <c r="S3762" s="297" t="s">
        <v>214</v>
      </c>
    </row>
    <row r="3763" spans="1:19" x14ac:dyDescent="0.4">
      <c r="A3763" s="291"/>
      <c r="B3763" s="292"/>
      <c r="C3763" s="312"/>
      <c r="D3763" s="292"/>
      <c r="E3763" s="489"/>
      <c r="F3763" s="489"/>
      <c r="G3763" s="490"/>
      <c r="H3763" s="520"/>
      <c r="I3763" s="523"/>
      <c r="J3763" s="521"/>
      <c r="K3763" s="522"/>
      <c r="M3763" s="301" t="str">
        <f>N3763&amp;AS[[#This Row],[Insurer Code]]&amp;"; "&amp;O3763&amp;AS[[#This Row],[Reporting Year]]&amp;"; "&amp;P3763&amp;AS[[#This Row],[Insurance Category Code]]&amp;"; "&amp;Q3763&amp;AS[[#This Row],[Large Provider Entity Code]]&amp;"; "&amp;R3763&amp;AS[[#This Row],[Age Band Code]]&amp;"; "&amp;S3763&amp;AS[[#This Row],[Sex Code]]</f>
        <v xml:space="preserve">Insurer Code ; Reporting Year ; Insurance Category Code ; Large Provider Entity Code ; Age Band Code ; Sex Code </v>
      </c>
      <c r="N3763" s="297" t="s">
        <v>197</v>
      </c>
      <c r="O3763" s="297" t="s">
        <v>198</v>
      </c>
      <c r="P3763" s="297" t="s">
        <v>199</v>
      </c>
      <c r="Q3763" s="297" t="s">
        <v>200</v>
      </c>
      <c r="R3763" s="297" t="s">
        <v>213</v>
      </c>
      <c r="S3763" s="297" t="s">
        <v>214</v>
      </c>
    </row>
    <row r="3764" spans="1:19" x14ac:dyDescent="0.4">
      <c r="A3764" s="291"/>
      <c r="B3764" s="292"/>
      <c r="C3764" s="312"/>
      <c r="D3764" s="292"/>
      <c r="E3764" s="489"/>
      <c r="F3764" s="489"/>
      <c r="G3764" s="490"/>
      <c r="H3764" s="520"/>
      <c r="I3764" s="523"/>
      <c r="J3764" s="521"/>
      <c r="K3764" s="522"/>
      <c r="M3764" s="301" t="str">
        <f>N3764&amp;AS[[#This Row],[Insurer Code]]&amp;"; "&amp;O3764&amp;AS[[#This Row],[Reporting Year]]&amp;"; "&amp;P3764&amp;AS[[#This Row],[Insurance Category Code]]&amp;"; "&amp;Q3764&amp;AS[[#This Row],[Large Provider Entity Code]]&amp;"; "&amp;R3764&amp;AS[[#This Row],[Age Band Code]]&amp;"; "&amp;S3764&amp;AS[[#This Row],[Sex Code]]</f>
        <v xml:space="preserve">Insurer Code ; Reporting Year ; Insurance Category Code ; Large Provider Entity Code ; Age Band Code ; Sex Code </v>
      </c>
      <c r="N3764" s="297" t="s">
        <v>197</v>
      </c>
      <c r="O3764" s="297" t="s">
        <v>198</v>
      </c>
      <c r="P3764" s="297" t="s">
        <v>199</v>
      </c>
      <c r="Q3764" s="297" t="s">
        <v>200</v>
      </c>
      <c r="R3764" s="297" t="s">
        <v>213</v>
      </c>
      <c r="S3764" s="297" t="s">
        <v>214</v>
      </c>
    </row>
    <row r="3765" spans="1:19" x14ac:dyDescent="0.4">
      <c r="A3765" s="291"/>
      <c r="B3765" s="292"/>
      <c r="C3765" s="312"/>
      <c r="D3765" s="292"/>
      <c r="E3765" s="489"/>
      <c r="F3765" s="489"/>
      <c r="G3765" s="490"/>
      <c r="H3765" s="520"/>
      <c r="I3765" s="523"/>
      <c r="J3765" s="521"/>
      <c r="K3765" s="522"/>
      <c r="M3765" s="301" t="str">
        <f>N3765&amp;AS[[#This Row],[Insurer Code]]&amp;"; "&amp;O3765&amp;AS[[#This Row],[Reporting Year]]&amp;"; "&amp;P3765&amp;AS[[#This Row],[Insurance Category Code]]&amp;"; "&amp;Q3765&amp;AS[[#This Row],[Large Provider Entity Code]]&amp;"; "&amp;R3765&amp;AS[[#This Row],[Age Band Code]]&amp;"; "&amp;S3765&amp;AS[[#This Row],[Sex Code]]</f>
        <v xml:space="preserve">Insurer Code ; Reporting Year ; Insurance Category Code ; Large Provider Entity Code ; Age Band Code ; Sex Code </v>
      </c>
      <c r="N3765" s="297" t="s">
        <v>197</v>
      </c>
      <c r="O3765" s="297" t="s">
        <v>198</v>
      </c>
      <c r="P3765" s="297" t="s">
        <v>199</v>
      </c>
      <c r="Q3765" s="297" t="s">
        <v>200</v>
      </c>
      <c r="R3765" s="297" t="s">
        <v>213</v>
      </c>
      <c r="S3765" s="297" t="s">
        <v>214</v>
      </c>
    </row>
    <row r="3766" spans="1:19" x14ac:dyDescent="0.4">
      <c r="A3766" s="291"/>
      <c r="B3766" s="292"/>
      <c r="C3766" s="312"/>
      <c r="D3766" s="292"/>
      <c r="E3766" s="489"/>
      <c r="F3766" s="489"/>
      <c r="G3766" s="490"/>
      <c r="H3766" s="520"/>
      <c r="I3766" s="523"/>
      <c r="J3766" s="521"/>
      <c r="K3766" s="522"/>
      <c r="M3766" s="301" t="str">
        <f>N3766&amp;AS[[#This Row],[Insurer Code]]&amp;"; "&amp;O3766&amp;AS[[#This Row],[Reporting Year]]&amp;"; "&amp;P3766&amp;AS[[#This Row],[Insurance Category Code]]&amp;"; "&amp;Q3766&amp;AS[[#This Row],[Large Provider Entity Code]]&amp;"; "&amp;R3766&amp;AS[[#This Row],[Age Band Code]]&amp;"; "&amp;S3766&amp;AS[[#This Row],[Sex Code]]</f>
        <v xml:space="preserve">Insurer Code ; Reporting Year ; Insurance Category Code ; Large Provider Entity Code ; Age Band Code ; Sex Code </v>
      </c>
      <c r="N3766" s="297" t="s">
        <v>197</v>
      </c>
      <c r="O3766" s="297" t="s">
        <v>198</v>
      </c>
      <c r="P3766" s="297" t="s">
        <v>199</v>
      </c>
      <c r="Q3766" s="297" t="s">
        <v>200</v>
      </c>
      <c r="R3766" s="297" t="s">
        <v>213</v>
      </c>
      <c r="S3766" s="297" t="s">
        <v>214</v>
      </c>
    </row>
    <row r="3767" spans="1:19" x14ac:dyDescent="0.4">
      <c r="A3767" s="291"/>
      <c r="B3767" s="292"/>
      <c r="C3767" s="312"/>
      <c r="D3767" s="292"/>
      <c r="E3767" s="489"/>
      <c r="F3767" s="489"/>
      <c r="G3767" s="490"/>
      <c r="H3767" s="520"/>
      <c r="I3767" s="523"/>
      <c r="J3767" s="521"/>
      <c r="K3767" s="522"/>
      <c r="M3767" s="301" t="str">
        <f>N3767&amp;AS[[#This Row],[Insurer Code]]&amp;"; "&amp;O3767&amp;AS[[#This Row],[Reporting Year]]&amp;"; "&amp;P3767&amp;AS[[#This Row],[Insurance Category Code]]&amp;"; "&amp;Q3767&amp;AS[[#This Row],[Large Provider Entity Code]]&amp;"; "&amp;R3767&amp;AS[[#This Row],[Age Band Code]]&amp;"; "&amp;S3767&amp;AS[[#This Row],[Sex Code]]</f>
        <v xml:space="preserve">Insurer Code ; Reporting Year ; Insurance Category Code ; Large Provider Entity Code ; Age Band Code ; Sex Code </v>
      </c>
      <c r="N3767" s="297" t="s">
        <v>197</v>
      </c>
      <c r="O3767" s="297" t="s">
        <v>198</v>
      </c>
      <c r="P3767" s="297" t="s">
        <v>199</v>
      </c>
      <c r="Q3767" s="297" t="s">
        <v>200</v>
      </c>
      <c r="R3767" s="297" t="s">
        <v>213</v>
      </c>
      <c r="S3767" s="297" t="s">
        <v>214</v>
      </c>
    </row>
    <row r="3768" spans="1:19" x14ac:dyDescent="0.4">
      <c r="A3768" s="291"/>
      <c r="B3768" s="292"/>
      <c r="C3768" s="312"/>
      <c r="D3768" s="292"/>
      <c r="E3768" s="489"/>
      <c r="F3768" s="489"/>
      <c r="G3768" s="490"/>
      <c r="H3768" s="520"/>
      <c r="I3768" s="523"/>
      <c r="J3768" s="521"/>
      <c r="K3768" s="522"/>
      <c r="M3768" s="301" t="str">
        <f>N3768&amp;AS[[#This Row],[Insurer Code]]&amp;"; "&amp;O3768&amp;AS[[#This Row],[Reporting Year]]&amp;"; "&amp;P3768&amp;AS[[#This Row],[Insurance Category Code]]&amp;"; "&amp;Q3768&amp;AS[[#This Row],[Large Provider Entity Code]]&amp;"; "&amp;R3768&amp;AS[[#This Row],[Age Band Code]]&amp;"; "&amp;S3768&amp;AS[[#This Row],[Sex Code]]</f>
        <v xml:space="preserve">Insurer Code ; Reporting Year ; Insurance Category Code ; Large Provider Entity Code ; Age Band Code ; Sex Code </v>
      </c>
      <c r="N3768" s="297" t="s">
        <v>197</v>
      </c>
      <c r="O3768" s="297" t="s">
        <v>198</v>
      </c>
      <c r="P3768" s="297" t="s">
        <v>199</v>
      </c>
      <c r="Q3768" s="297" t="s">
        <v>200</v>
      </c>
      <c r="R3768" s="297" t="s">
        <v>213</v>
      </c>
      <c r="S3768" s="297" t="s">
        <v>214</v>
      </c>
    </row>
    <row r="3769" spans="1:19" x14ac:dyDescent="0.4">
      <c r="A3769" s="291"/>
      <c r="B3769" s="292"/>
      <c r="C3769" s="312"/>
      <c r="D3769" s="292"/>
      <c r="E3769" s="489"/>
      <c r="F3769" s="489"/>
      <c r="G3769" s="490"/>
      <c r="H3769" s="520"/>
      <c r="I3769" s="523"/>
      <c r="J3769" s="521"/>
      <c r="K3769" s="522"/>
      <c r="M3769" s="301" t="str">
        <f>N3769&amp;AS[[#This Row],[Insurer Code]]&amp;"; "&amp;O3769&amp;AS[[#This Row],[Reporting Year]]&amp;"; "&amp;P3769&amp;AS[[#This Row],[Insurance Category Code]]&amp;"; "&amp;Q3769&amp;AS[[#This Row],[Large Provider Entity Code]]&amp;"; "&amp;R3769&amp;AS[[#This Row],[Age Band Code]]&amp;"; "&amp;S3769&amp;AS[[#This Row],[Sex Code]]</f>
        <v xml:space="preserve">Insurer Code ; Reporting Year ; Insurance Category Code ; Large Provider Entity Code ; Age Band Code ; Sex Code </v>
      </c>
      <c r="N3769" s="297" t="s">
        <v>197</v>
      </c>
      <c r="O3769" s="297" t="s">
        <v>198</v>
      </c>
      <c r="P3769" s="297" t="s">
        <v>199</v>
      </c>
      <c r="Q3769" s="297" t="s">
        <v>200</v>
      </c>
      <c r="R3769" s="297" t="s">
        <v>213</v>
      </c>
      <c r="S3769" s="297" t="s">
        <v>214</v>
      </c>
    </row>
    <row r="3770" spans="1:19" x14ac:dyDescent="0.4">
      <c r="A3770" s="291"/>
      <c r="B3770" s="292"/>
      <c r="C3770" s="312"/>
      <c r="D3770" s="292"/>
      <c r="E3770" s="489"/>
      <c r="F3770" s="489"/>
      <c r="G3770" s="490"/>
      <c r="H3770" s="520"/>
      <c r="I3770" s="523"/>
      <c r="J3770" s="521"/>
      <c r="K3770" s="522"/>
      <c r="M3770" s="301" t="str">
        <f>N3770&amp;AS[[#This Row],[Insurer Code]]&amp;"; "&amp;O3770&amp;AS[[#This Row],[Reporting Year]]&amp;"; "&amp;P3770&amp;AS[[#This Row],[Insurance Category Code]]&amp;"; "&amp;Q3770&amp;AS[[#This Row],[Large Provider Entity Code]]&amp;"; "&amp;R3770&amp;AS[[#This Row],[Age Band Code]]&amp;"; "&amp;S3770&amp;AS[[#This Row],[Sex Code]]</f>
        <v xml:space="preserve">Insurer Code ; Reporting Year ; Insurance Category Code ; Large Provider Entity Code ; Age Band Code ; Sex Code </v>
      </c>
      <c r="N3770" s="297" t="s">
        <v>197</v>
      </c>
      <c r="O3770" s="297" t="s">
        <v>198</v>
      </c>
      <c r="P3770" s="297" t="s">
        <v>199</v>
      </c>
      <c r="Q3770" s="297" t="s">
        <v>200</v>
      </c>
      <c r="R3770" s="297" t="s">
        <v>213</v>
      </c>
      <c r="S3770" s="297" t="s">
        <v>214</v>
      </c>
    </row>
    <row r="3771" spans="1:19" x14ac:dyDescent="0.4">
      <c r="A3771" s="291"/>
      <c r="B3771" s="292"/>
      <c r="C3771" s="312"/>
      <c r="D3771" s="292"/>
      <c r="E3771" s="489"/>
      <c r="F3771" s="489"/>
      <c r="G3771" s="490"/>
      <c r="H3771" s="520"/>
      <c r="I3771" s="523"/>
      <c r="J3771" s="521"/>
      <c r="K3771" s="522"/>
      <c r="M3771" s="301" t="str">
        <f>N3771&amp;AS[[#This Row],[Insurer Code]]&amp;"; "&amp;O3771&amp;AS[[#This Row],[Reporting Year]]&amp;"; "&amp;P3771&amp;AS[[#This Row],[Insurance Category Code]]&amp;"; "&amp;Q3771&amp;AS[[#This Row],[Large Provider Entity Code]]&amp;"; "&amp;R3771&amp;AS[[#This Row],[Age Band Code]]&amp;"; "&amp;S3771&amp;AS[[#This Row],[Sex Code]]</f>
        <v xml:space="preserve">Insurer Code ; Reporting Year ; Insurance Category Code ; Large Provider Entity Code ; Age Band Code ; Sex Code </v>
      </c>
      <c r="N3771" s="297" t="s">
        <v>197</v>
      </c>
      <c r="O3771" s="297" t="s">
        <v>198</v>
      </c>
      <c r="P3771" s="297" t="s">
        <v>199</v>
      </c>
      <c r="Q3771" s="297" t="s">
        <v>200</v>
      </c>
      <c r="R3771" s="297" t="s">
        <v>213</v>
      </c>
      <c r="S3771" s="297" t="s">
        <v>214</v>
      </c>
    </row>
    <row r="3772" spans="1:19" x14ac:dyDescent="0.4">
      <c r="A3772" s="291"/>
      <c r="B3772" s="292"/>
      <c r="C3772" s="312"/>
      <c r="D3772" s="292"/>
      <c r="E3772" s="489"/>
      <c r="F3772" s="489"/>
      <c r="G3772" s="490"/>
      <c r="H3772" s="520"/>
      <c r="I3772" s="523"/>
      <c r="J3772" s="521"/>
      <c r="K3772" s="522"/>
      <c r="M3772" s="301" t="str">
        <f>N3772&amp;AS[[#This Row],[Insurer Code]]&amp;"; "&amp;O3772&amp;AS[[#This Row],[Reporting Year]]&amp;"; "&amp;P3772&amp;AS[[#This Row],[Insurance Category Code]]&amp;"; "&amp;Q3772&amp;AS[[#This Row],[Large Provider Entity Code]]&amp;"; "&amp;R3772&amp;AS[[#This Row],[Age Band Code]]&amp;"; "&amp;S3772&amp;AS[[#This Row],[Sex Code]]</f>
        <v xml:space="preserve">Insurer Code ; Reporting Year ; Insurance Category Code ; Large Provider Entity Code ; Age Band Code ; Sex Code </v>
      </c>
      <c r="N3772" s="297" t="s">
        <v>197</v>
      </c>
      <c r="O3772" s="297" t="s">
        <v>198</v>
      </c>
      <c r="P3772" s="297" t="s">
        <v>199</v>
      </c>
      <c r="Q3772" s="297" t="s">
        <v>200</v>
      </c>
      <c r="R3772" s="297" t="s">
        <v>213</v>
      </c>
      <c r="S3772" s="297" t="s">
        <v>214</v>
      </c>
    </row>
    <row r="3773" spans="1:19" x14ac:dyDescent="0.4">
      <c r="A3773" s="291"/>
      <c r="B3773" s="292"/>
      <c r="C3773" s="312"/>
      <c r="D3773" s="292"/>
      <c r="E3773" s="489"/>
      <c r="F3773" s="489"/>
      <c r="G3773" s="490"/>
      <c r="H3773" s="520"/>
      <c r="I3773" s="523"/>
      <c r="J3773" s="521"/>
      <c r="K3773" s="522"/>
      <c r="M3773" s="301" t="str">
        <f>N3773&amp;AS[[#This Row],[Insurer Code]]&amp;"; "&amp;O3773&amp;AS[[#This Row],[Reporting Year]]&amp;"; "&amp;P3773&amp;AS[[#This Row],[Insurance Category Code]]&amp;"; "&amp;Q3773&amp;AS[[#This Row],[Large Provider Entity Code]]&amp;"; "&amp;R3773&amp;AS[[#This Row],[Age Band Code]]&amp;"; "&amp;S3773&amp;AS[[#This Row],[Sex Code]]</f>
        <v xml:space="preserve">Insurer Code ; Reporting Year ; Insurance Category Code ; Large Provider Entity Code ; Age Band Code ; Sex Code </v>
      </c>
      <c r="N3773" s="297" t="s">
        <v>197</v>
      </c>
      <c r="O3773" s="297" t="s">
        <v>198</v>
      </c>
      <c r="P3773" s="297" t="s">
        <v>199</v>
      </c>
      <c r="Q3773" s="297" t="s">
        <v>200</v>
      </c>
      <c r="R3773" s="297" t="s">
        <v>213</v>
      </c>
      <c r="S3773" s="297" t="s">
        <v>214</v>
      </c>
    </row>
    <row r="3774" spans="1:19" x14ac:dyDescent="0.4">
      <c r="A3774" s="291"/>
      <c r="B3774" s="292"/>
      <c r="C3774" s="312"/>
      <c r="D3774" s="292"/>
      <c r="E3774" s="489"/>
      <c r="F3774" s="489"/>
      <c r="G3774" s="490"/>
      <c r="H3774" s="520"/>
      <c r="I3774" s="523"/>
      <c r="J3774" s="521"/>
      <c r="K3774" s="522"/>
      <c r="M3774" s="301" t="str">
        <f>N3774&amp;AS[[#This Row],[Insurer Code]]&amp;"; "&amp;O3774&amp;AS[[#This Row],[Reporting Year]]&amp;"; "&amp;P3774&amp;AS[[#This Row],[Insurance Category Code]]&amp;"; "&amp;Q3774&amp;AS[[#This Row],[Large Provider Entity Code]]&amp;"; "&amp;R3774&amp;AS[[#This Row],[Age Band Code]]&amp;"; "&amp;S3774&amp;AS[[#This Row],[Sex Code]]</f>
        <v xml:space="preserve">Insurer Code ; Reporting Year ; Insurance Category Code ; Large Provider Entity Code ; Age Band Code ; Sex Code </v>
      </c>
      <c r="N3774" s="297" t="s">
        <v>197</v>
      </c>
      <c r="O3774" s="297" t="s">
        <v>198</v>
      </c>
      <c r="P3774" s="297" t="s">
        <v>199</v>
      </c>
      <c r="Q3774" s="297" t="s">
        <v>200</v>
      </c>
      <c r="R3774" s="297" t="s">
        <v>213</v>
      </c>
      <c r="S3774" s="297" t="s">
        <v>214</v>
      </c>
    </row>
    <row r="3775" spans="1:19" x14ac:dyDescent="0.4">
      <c r="A3775" s="291"/>
      <c r="B3775" s="292"/>
      <c r="C3775" s="312"/>
      <c r="D3775" s="292"/>
      <c r="E3775" s="489"/>
      <c r="F3775" s="489"/>
      <c r="G3775" s="490"/>
      <c r="H3775" s="520"/>
      <c r="I3775" s="523"/>
      <c r="J3775" s="521"/>
      <c r="K3775" s="522"/>
      <c r="M3775" s="301" t="str">
        <f>N3775&amp;AS[[#This Row],[Insurer Code]]&amp;"; "&amp;O3775&amp;AS[[#This Row],[Reporting Year]]&amp;"; "&amp;P3775&amp;AS[[#This Row],[Insurance Category Code]]&amp;"; "&amp;Q3775&amp;AS[[#This Row],[Large Provider Entity Code]]&amp;"; "&amp;R3775&amp;AS[[#This Row],[Age Band Code]]&amp;"; "&amp;S3775&amp;AS[[#This Row],[Sex Code]]</f>
        <v xml:space="preserve">Insurer Code ; Reporting Year ; Insurance Category Code ; Large Provider Entity Code ; Age Band Code ; Sex Code </v>
      </c>
      <c r="N3775" s="297" t="s">
        <v>197</v>
      </c>
      <c r="O3775" s="297" t="s">
        <v>198</v>
      </c>
      <c r="P3775" s="297" t="s">
        <v>199</v>
      </c>
      <c r="Q3775" s="297" t="s">
        <v>200</v>
      </c>
      <c r="R3775" s="297" t="s">
        <v>213</v>
      </c>
      <c r="S3775" s="297" t="s">
        <v>214</v>
      </c>
    </row>
    <row r="3776" spans="1:19" x14ac:dyDescent="0.4">
      <c r="A3776" s="291"/>
      <c r="B3776" s="292"/>
      <c r="C3776" s="312"/>
      <c r="D3776" s="292"/>
      <c r="E3776" s="489"/>
      <c r="F3776" s="489"/>
      <c r="G3776" s="490"/>
      <c r="H3776" s="520"/>
      <c r="I3776" s="523"/>
      <c r="J3776" s="521"/>
      <c r="K3776" s="522"/>
      <c r="M3776" s="301" t="str">
        <f>N3776&amp;AS[[#This Row],[Insurer Code]]&amp;"; "&amp;O3776&amp;AS[[#This Row],[Reporting Year]]&amp;"; "&amp;P3776&amp;AS[[#This Row],[Insurance Category Code]]&amp;"; "&amp;Q3776&amp;AS[[#This Row],[Large Provider Entity Code]]&amp;"; "&amp;R3776&amp;AS[[#This Row],[Age Band Code]]&amp;"; "&amp;S3776&amp;AS[[#This Row],[Sex Code]]</f>
        <v xml:space="preserve">Insurer Code ; Reporting Year ; Insurance Category Code ; Large Provider Entity Code ; Age Band Code ; Sex Code </v>
      </c>
      <c r="N3776" s="297" t="s">
        <v>197</v>
      </c>
      <c r="O3776" s="297" t="s">
        <v>198</v>
      </c>
      <c r="P3776" s="297" t="s">
        <v>199</v>
      </c>
      <c r="Q3776" s="297" t="s">
        <v>200</v>
      </c>
      <c r="R3776" s="297" t="s">
        <v>213</v>
      </c>
      <c r="S3776" s="297" t="s">
        <v>214</v>
      </c>
    </row>
    <row r="3777" spans="1:19" x14ac:dyDescent="0.4">
      <c r="A3777" s="291"/>
      <c r="B3777" s="292"/>
      <c r="C3777" s="312"/>
      <c r="D3777" s="292"/>
      <c r="E3777" s="489"/>
      <c r="F3777" s="489"/>
      <c r="G3777" s="490"/>
      <c r="H3777" s="520"/>
      <c r="I3777" s="523"/>
      <c r="J3777" s="521"/>
      <c r="K3777" s="522"/>
      <c r="M3777" s="301" t="str">
        <f>N3777&amp;AS[[#This Row],[Insurer Code]]&amp;"; "&amp;O3777&amp;AS[[#This Row],[Reporting Year]]&amp;"; "&amp;P3777&amp;AS[[#This Row],[Insurance Category Code]]&amp;"; "&amp;Q3777&amp;AS[[#This Row],[Large Provider Entity Code]]&amp;"; "&amp;R3777&amp;AS[[#This Row],[Age Band Code]]&amp;"; "&amp;S3777&amp;AS[[#This Row],[Sex Code]]</f>
        <v xml:space="preserve">Insurer Code ; Reporting Year ; Insurance Category Code ; Large Provider Entity Code ; Age Band Code ; Sex Code </v>
      </c>
      <c r="N3777" s="297" t="s">
        <v>197</v>
      </c>
      <c r="O3777" s="297" t="s">
        <v>198</v>
      </c>
      <c r="P3777" s="297" t="s">
        <v>199</v>
      </c>
      <c r="Q3777" s="297" t="s">
        <v>200</v>
      </c>
      <c r="R3777" s="297" t="s">
        <v>213</v>
      </c>
      <c r="S3777" s="297" t="s">
        <v>214</v>
      </c>
    </row>
    <row r="3778" spans="1:19" x14ac:dyDescent="0.4">
      <c r="A3778" s="291"/>
      <c r="B3778" s="292"/>
      <c r="C3778" s="312"/>
      <c r="D3778" s="292"/>
      <c r="E3778" s="489"/>
      <c r="F3778" s="489"/>
      <c r="G3778" s="490"/>
      <c r="H3778" s="520"/>
      <c r="I3778" s="523"/>
      <c r="J3778" s="521"/>
      <c r="K3778" s="522"/>
      <c r="M3778" s="301" t="str">
        <f>N3778&amp;AS[[#This Row],[Insurer Code]]&amp;"; "&amp;O3778&amp;AS[[#This Row],[Reporting Year]]&amp;"; "&amp;P3778&amp;AS[[#This Row],[Insurance Category Code]]&amp;"; "&amp;Q3778&amp;AS[[#This Row],[Large Provider Entity Code]]&amp;"; "&amp;R3778&amp;AS[[#This Row],[Age Band Code]]&amp;"; "&amp;S3778&amp;AS[[#This Row],[Sex Code]]</f>
        <v xml:space="preserve">Insurer Code ; Reporting Year ; Insurance Category Code ; Large Provider Entity Code ; Age Band Code ; Sex Code </v>
      </c>
      <c r="N3778" s="297" t="s">
        <v>197</v>
      </c>
      <c r="O3778" s="297" t="s">
        <v>198</v>
      </c>
      <c r="P3778" s="297" t="s">
        <v>199</v>
      </c>
      <c r="Q3778" s="297" t="s">
        <v>200</v>
      </c>
      <c r="R3778" s="297" t="s">
        <v>213</v>
      </c>
      <c r="S3778" s="297" t="s">
        <v>214</v>
      </c>
    </row>
    <row r="3779" spans="1:19" x14ac:dyDescent="0.4">
      <c r="A3779" s="291"/>
      <c r="B3779" s="292"/>
      <c r="C3779" s="312"/>
      <c r="D3779" s="292"/>
      <c r="E3779" s="489"/>
      <c r="F3779" s="489"/>
      <c r="G3779" s="490"/>
      <c r="H3779" s="520"/>
      <c r="I3779" s="523"/>
      <c r="J3779" s="521"/>
      <c r="K3779" s="522"/>
      <c r="M3779" s="301" t="str">
        <f>N3779&amp;AS[[#This Row],[Insurer Code]]&amp;"; "&amp;O3779&amp;AS[[#This Row],[Reporting Year]]&amp;"; "&amp;P3779&amp;AS[[#This Row],[Insurance Category Code]]&amp;"; "&amp;Q3779&amp;AS[[#This Row],[Large Provider Entity Code]]&amp;"; "&amp;R3779&amp;AS[[#This Row],[Age Band Code]]&amp;"; "&amp;S3779&amp;AS[[#This Row],[Sex Code]]</f>
        <v xml:space="preserve">Insurer Code ; Reporting Year ; Insurance Category Code ; Large Provider Entity Code ; Age Band Code ; Sex Code </v>
      </c>
      <c r="N3779" s="297" t="s">
        <v>197</v>
      </c>
      <c r="O3779" s="297" t="s">
        <v>198</v>
      </c>
      <c r="P3779" s="297" t="s">
        <v>199</v>
      </c>
      <c r="Q3779" s="297" t="s">
        <v>200</v>
      </c>
      <c r="R3779" s="297" t="s">
        <v>213</v>
      </c>
      <c r="S3779" s="297" t="s">
        <v>214</v>
      </c>
    </row>
    <row r="3780" spans="1:19" x14ac:dyDescent="0.4">
      <c r="A3780" s="291"/>
      <c r="B3780" s="292"/>
      <c r="C3780" s="312"/>
      <c r="D3780" s="292"/>
      <c r="E3780" s="489"/>
      <c r="F3780" s="489"/>
      <c r="G3780" s="490"/>
      <c r="H3780" s="520"/>
      <c r="I3780" s="523"/>
      <c r="J3780" s="521"/>
      <c r="K3780" s="522"/>
      <c r="M3780" s="301" t="str">
        <f>N3780&amp;AS[[#This Row],[Insurer Code]]&amp;"; "&amp;O3780&amp;AS[[#This Row],[Reporting Year]]&amp;"; "&amp;P3780&amp;AS[[#This Row],[Insurance Category Code]]&amp;"; "&amp;Q3780&amp;AS[[#This Row],[Large Provider Entity Code]]&amp;"; "&amp;R3780&amp;AS[[#This Row],[Age Band Code]]&amp;"; "&amp;S3780&amp;AS[[#This Row],[Sex Code]]</f>
        <v xml:space="preserve">Insurer Code ; Reporting Year ; Insurance Category Code ; Large Provider Entity Code ; Age Band Code ; Sex Code </v>
      </c>
      <c r="N3780" s="297" t="s">
        <v>197</v>
      </c>
      <c r="O3780" s="297" t="s">
        <v>198</v>
      </c>
      <c r="P3780" s="297" t="s">
        <v>199</v>
      </c>
      <c r="Q3780" s="297" t="s">
        <v>200</v>
      </c>
      <c r="R3780" s="297" t="s">
        <v>213</v>
      </c>
      <c r="S3780" s="297" t="s">
        <v>214</v>
      </c>
    </row>
    <row r="3781" spans="1:19" x14ac:dyDescent="0.4">
      <c r="A3781" s="291"/>
      <c r="B3781" s="292"/>
      <c r="C3781" s="312"/>
      <c r="D3781" s="292"/>
      <c r="E3781" s="489"/>
      <c r="F3781" s="489"/>
      <c r="G3781" s="490"/>
      <c r="H3781" s="520"/>
      <c r="I3781" s="523"/>
      <c r="J3781" s="521"/>
      <c r="K3781" s="522"/>
      <c r="M3781" s="301" t="str">
        <f>N3781&amp;AS[[#This Row],[Insurer Code]]&amp;"; "&amp;O3781&amp;AS[[#This Row],[Reporting Year]]&amp;"; "&amp;P3781&amp;AS[[#This Row],[Insurance Category Code]]&amp;"; "&amp;Q3781&amp;AS[[#This Row],[Large Provider Entity Code]]&amp;"; "&amp;R3781&amp;AS[[#This Row],[Age Band Code]]&amp;"; "&amp;S3781&amp;AS[[#This Row],[Sex Code]]</f>
        <v xml:space="preserve">Insurer Code ; Reporting Year ; Insurance Category Code ; Large Provider Entity Code ; Age Band Code ; Sex Code </v>
      </c>
      <c r="N3781" s="297" t="s">
        <v>197</v>
      </c>
      <c r="O3781" s="297" t="s">
        <v>198</v>
      </c>
      <c r="P3781" s="297" t="s">
        <v>199</v>
      </c>
      <c r="Q3781" s="297" t="s">
        <v>200</v>
      </c>
      <c r="R3781" s="297" t="s">
        <v>213</v>
      </c>
      <c r="S3781" s="297" t="s">
        <v>214</v>
      </c>
    </row>
    <row r="3782" spans="1:19" x14ac:dyDescent="0.4">
      <c r="A3782" s="291"/>
      <c r="B3782" s="292"/>
      <c r="C3782" s="312"/>
      <c r="D3782" s="292"/>
      <c r="E3782" s="489"/>
      <c r="F3782" s="489"/>
      <c r="G3782" s="490"/>
      <c r="H3782" s="520"/>
      <c r="I3782" s="523"/>
      <c r="J3782" s="521"/>
      <c r="K3782" s="522"/>
      <c r="M3782" s="301" t="str">
        <f>N3782&amp;AS[[#This Row],[Insurer Code]]&amp;"; "&amp;O3782&amp;AS[[#This Row],[Reporting Year]]&amp;"; "&amp;P3782&amp;AS[[#This Row],[Insurance Category Code]]&amp;"; "&amp;Q3782&amp;AS[[#This Row],[Large Provider Entity Code]]&amp;"; "&amp;R3782&amp;AS[[#This Row],[Age Band Code]]&amp;"; "&amp;S3782&amp;AS[[#This Row],[Sex Code]]</f>
        <v xml:space="preserve">Insurer Code ; Reporting Year ; Insurance Category Code ; Large Provider Entity Code ; Age Band Code ; Sex Code </v>
      </c>
      <c r="N3782" s="297" t="s">
        <v>197</v>
      </c>
      <c r="O3782" s="297" t="s">
        <v>198</v>
      </c>
      <c r="P3782" s="297" t="s">
        <v>199</v>
      </c>
      <c r="Q3782" s="297" t="s">
        <v>200</v>
      </c>
      <c r="R3782" s="297" t="s">
        <v>213</v>
      </c>
      <c r="S3782" s="297" t="s">
        <v>214</v>
      </c>
    </row>
    <row r="3783" spans="1:19" x14ac:dyDescent="0.4">
      <c r="A3783" s="291"/>
      <c r="B3783" s="292"/>
      <c r="C3783" s="312"/>
      <c r="D3783" s="292"/>
      <c r="E3783" s="489"/>
      <c r="F3783" s="489"/>
      <c r="G3783" s="490"/>
      <c r="H3783" s="520"/>
      <c r="I3783" s="523"/>
      <c r="J3783" s="521"/>
      <c r="K3783" s="522"/>
      <c r="M3783" s="301" t="str">
        <f>N3783&amp;AS[[#This Row],[Insurer Code]]&amp;"; "&amp;O3783&amp;AS[[#This Row],[Reporting Year]]&amp;"; "&amp;P3783&amp;AS[[#This Row],[Insurance Category Code]]&amp;"; "&amp;Q3783&amp;AS[[#This Row],[Large Provider Entity Code]]&amp;"; "&amp;R3783&amp;AS[[#This Row],[Age Band Code]]&amp;"; "&amp;S3783&amp;AS[[#This Row],[Sex Code]]</f>
        <v xml:space="preserve">Insurer Code ; Reporting Year ; Insurance Category Code ; Large Provider Entity Code ; Age Band Code ; Sex Code </v>
      </c>
      <c r="N3783" s="297" t="s">
        <v>197</v>
      </c>
      <c r="O3783" s="297" t="s">
        <v>198</v>
      </c>
      <c r="P3783" s="297" t="s">
        <v>199</v>
      </c>
      <c r="Q3783" s="297" t="s">
        <v>200</v>
      </c>
      <c r="R3783" s="297" t="s">
        <v>213</v>
      </c>
      <c r="S3783" s="297" t="s">
        <v>214</v>
      </c>
    </row>
    <row r="3784" spans="1:19" x14ac:dyDescent="0.4">
      <c r="A3784" s="291"/>
      <c r="B3784" s="292"/>
      <c r="C3784" s="312"/>
      <c r="D3784" s="292"/>
      <c r="E3784" s="489"/>
      <c r="F3784" s="489"/>
      <c r="G3784" s="490"/>
      <c r="H3784" s="520"/>
      <c r="I3784" s="523"/>
      <c r="J3784" s="521"/>
      <c r="K3784" s="522"/>
      <c r="M3784" s="301" t="str">
        <f>N3784&amp;AS[[#This Row],[Insurer Code]]&amp;"; "&amp;O3784&amp;AS[[#This Row],[Reporting Year]]&amp;"; "&amp;P3784&amp;AS[[#This Row],[Insurance Category Code]]&amp;"; "&amp;Q3784&amp;AS[[#This Row],[Large Provider Entity Code]]&amp;"; "&amp;R3784&amp;AS[[#This Row],[Age Band Code]]&amp;"; "&amp;S3784&amp;AS[[#This Row],[Sex Code]]</f>
        <v xml:space="preserve">Insurer Code ; Reporting Year ; Insurance Category Code ; Large Provider Entity Code ; Age Band Code ; Sex Code </v>
      </c>
      <c r="N3784" s="297" t="s">
        <v>197</v>
      </c>
      <c r="O3784" s="297" t="s">
        <v>198</v>
      </c>
      <c r="P3784" s="297" t="s">
        <v>199</v>
      </c>
      <c r="Q3784" s="297" t="s">
        <v>200</v>
      </c>
      <c r="R3784" s="297" t="s">
        <v>213</v>
      </c>
      <c r="S3784" s="297" t="s">
        <v>214</v>
      </c>
    </row>
    <row r="3785" spans="1:19" x14ac:dyDescent="0.4">
      <c r="A3785" s="291"/>
      <c r="B3785" s="292"/>
      <c r="C3785" s="312"/>
      <c r="D3785" s="292"/>
      <c r="E3785" s="489"/>
      <c r="F3785" s="489"/>
      <c r="G3785" s="490"/>
      <c r="H3785" s="520"/>
      <c r="I3785" s="523"/>
      <c r="J3785" s="521"/>
      <c r="K3785" s="522"/>
      <c r="M3785" s="301" t="str">
        <f>N3785&amp;AS[[#This Row],[Insurer Code]]&amp;"; "&amp;O3785&amp;AS[[#This Row],[Reporting Year]]&amp;"; "&amp;P3785&amp;AS[[#This Row],[Insurance Category Code]]&amp;"; "&amp;Q3785&amp;AS[[#This Row],[Large Provider Entity Code]]&amp;"; "&amp;R3785&amp;AS[[#This Row],[Age Band Code]]&amp;"; "&amp;S3785&amp;AS[[#This Row],[Sex Code]]</f>
        <v xml:space="preserve">Insurer Code ; Reporting Year ; Insurance Category Code ; Large Provider Entity Code ; Age Band Code ; Sex Code </v>
      </c>
      <c r="N3785" s="297" t="s">
        <v>197</v>
      </c>
      <c r="O3785" s="297" t="s">
        <v>198</v>
      </c>
      <c r="P3785" s="297" t="s">
        <v>199</v>
      </c>
      <c r="Q3785" s="297" t="s">
        <v>200</v>
      </c>
      <c r="R3785" s="297" t="s">
        <v>213</v>
      </c>
      <c r="S3785" s="297" t="s">
        <v>214</v>
      </c>
    </row>
    <row r="3786" spans="1:19" x14ac:dyDescent="0.4">
      <c r="A3786" s="291"/>
      <c r="B3786" s="292"/>
      <c r="C3786" s="312"/>
      <c r="D3786" s="292"/>
      <c r="E3786" s="489"/>
      <c r="F3786" s="489"/>
      <c r="G3786" s="490"/>
      <c r="H3786" s="520"/>
      <c r="I3786" s="523"/>
      <c r="J3786" s="521"/>
      <c r="K3786" s="522"/>
      <c r="M3786" s="301" t="str">
        <f>N3786&amp;AS[[#This Row],[Insurer Code]]&amp;"; "&amp;O3786&amp;AS[[#This Row],[Reporting Year]]&amp;"; "&amp;P3786&amp;AS[[#This Row],[Insurance Category Code]]&amp;"; "&amp;Q3786&amp;AS[[#This Row],[Large Provider Entity Code]]&amp;"; "&amp;R3786&amp;AS[[#This Row],[Age Band Code]]&amp;"; "&amp;S3786&amp;AS[[#This Row],[Sex Code]]</f>
        <v xml:space="preserve">Insurer Code ; Reporting Year ; Insurance Category Code ; Large Provider Entity Code ; Age Band Code ; Sex Code </v>
      </c>
      <c r="N3786" s="297" t="s">
        <v>197</v>
      </c>
      <c r="O3786" s="297" t="s">
        <v>198</v>
      </c>
      <c r="P3786" s="297" t="s">
        <v>199</v>
      </c>
      <c r="Q3786" s="297" t="s">
        <v>200</v>
      </c>
      <c r="R3786" s="297" t="s">
        <v>213</v>
      </c>
      <c r="S3786" s="297" t="s">
        <v>214</v>
      </c>
    </row>
    <row r="3787" spans="1:19" x14ac:dyDescent="0.4">
      <c r="A3787" s="291"/>
      <c r="B3787" s="292"/>
      <c r="C3787" s="312"/>
      <c r="D3787" s="292"/>
      <c r="E3787" s="489"/>
      <c r="F3787" s="489"/>
      <c r="G3787" s="490"/>
      <c r="H3787" s="520"/>
      <c r="I3787" s="523"/>
      <c r="J3787" s="521"/>
      <c r="K3787" s="522"/>
      <c r="M3787" s="301" t="str">
        <f>N3787&amp;AS[[#This Row],[Insurer Code]]&amp;"; "&amp;O3787&amp;AS[[#This Row],[Reporting Year]]&amp;"; "&amp;P3787&amp;AS[[#This Row],[Insurance Category Code]]&amp;"; "&amp;Q3787&amp;AS[[#This Row],[Large Provider Entity Code]]&amp;"; "&amp;R3787&amp;AS[[#This Row],[Age Band Code]]&amp;"; "&amp;S3787&amp;AS[[#This Row],[Sex Code]]</f>
        <v xml:space="preserve">Insurer Code ; Reporting Year ; Insurance Category Code ; Large Provider Entity Code ; Age Band Code ; Sex Code </v>
      </c>
      <c r="N3787" s="297" t="s">
        <v>197</v>
      </c>
      <c r="O3787" s="297" t="s">
        <v>198</v>
      </c>
      <c r="P3787" s="297" t="s">
        <v>199</v>
      </c>
      <c r="Q3787" s="297" t="s">
        <v>200</v>
      </c>
      <c r="R3787" s="297" t="s">
        <v>213</v>
      </c>
      <c r="S3787" s="297" t="s">
        <v>214</v>
      </c>
    </row>
    <row r="3788" spans="1:19" x14ac:dyDescent="0.4">
      <c r="A3788" s="291"/>
      <c r="B3788" s="292"/>
      <c r="C3788" s="312"/>
      <c r="D3788" s="292"/>
      <c r="E3788" s="489"/>
      <c r="F3788" s="489"/>
      <c r="G3788" s="490"/>
      <c r="H3788" s="520"/>
      <c r="I3788" s="523"/>
      <c r="J3788" s="521"/>
      <c r="K3788" s="522"/>
      <c r="M3788" s="301" t="str">
        <f>N3788&amp;AS[[#This Row],[Insurer Code]]&amp;"; "&amp;O3788&amp;AS[[#This Row],[Reporting Year]]&amp;"; "&amp;P3788&amp;AS[[#This Row],[Insurance Category Code]]&amp;"; "&amp;Q3788&amp;AS[[#This Row],[Large Provider Entity Code]]&amp;"; "&amp;R3788&amp;AS[[#This Row],[Age Band Code]]&amp;"; "&amp;S3788&amp;AS[[#This Row],[Sex Code]]</f>
        <v xml:space="preserve">Insurer Code ; Reporting Year ; Insurance Category Code ; Large Provider Entity Code ; Age Band Code ; Sex Code </v>
      </c>
      <c r="N3788" s="297" t="s">
        <v>197</v>
      </c>
      <c r="O3788" s="297" t="s">
        <v>198</v>
      </c>
      <c r="P3788" s="297" t="s">
        <v>199</v>
      </c>
      <c r="Q3788" s="297" t="s">
        <v>200</v>
      </c>
      <c r="R3788" s="297" t="s">
        <v>213</v>
      </c>
      <c r="S3788" s="297" t="s">
        <v>214</v>
      </c>
    </row>
    <row r="3789" spans="1:19" x14ac:dyDescent="0.4">
      <c r="A3789" s="291"/>
      <c r="B3789" s="292"/>
      <c r="C3789" s="312"/>
      <c r="D3789" s="292"/>
      <c r="E3789" s="489"/>
      <c r="F3789" s="489"/>
      <c r="G3789" s="490"/>
      <c r="H3789" s="520"/>
      <c r="I3789" s="523"/>
      <c r="J3789" s="521"/>
      <c r="K3789" s="522"/>
      <c r="M3789" s="301" t="str">
        <f>N3789&amp;AS[[#This Row],[Insurer Code]]&amp;"; "&amp;O3789&amp;AS[[#This Row],[Reporting Year]]&amp;"; "&amp;P3789&amp;AS[[#This Row],[Insurance Category Code]]&amp;"; "&amp;Q3789&amp;AS[[#This Row],[Large Provider Entity Code]]&amp;"; "&amp;R3789&amp;AS[[#This Row],[Age Band Code]]&amp;"; "&amp;S3789&amp;AS[[#This Row],[Sex Code]]</f>
        <v xml:space="preserve">Insurer Code ; Reporting Year ; Insurance Category Code ; Large Provider Entity Code ; Age Band Code ; Sex Code </v>
      </c>
      <c r="N3789" s="297" t="s">
        <v>197</v>
      </c>
      <c r="O3789" s="297" t="s">
        <v>198</v>
      </c>
      <c r="P3789" s="297" t="s">
        <v>199</v>
      </c>
      <c r="Q3789" s="297" t="s">
        <v>200</v>
      </c>
      <c r="R3789" s="297" t="s">
        <v>213</v>
      </c>
      <c r="S3789" s="297" t="s">
        <v>214</v>
      </c>
    </row>
    <row r="3790" spans="1:19" x14ac:dyDescent="0.4">
      <c r="A3790" s="291"/>
      <c r="B3790" s="292"/>
      <c r="C3790" s="312"/>
      <c r="D3790" s="292"/>
      <c r="E3790" s="489"/>
      <c r="F3790" s="489"/>
      <c r="G3790" s="490"/>
      <c r="H3790" s="520"/>
      <c r="I3790" s="523"/>
      <c r="J3790" s="521"/>
      <c r="K3790" s="522"/>
      <c r="M3790" s="301" t="str">
        <f>N3790&amp;AS[[#This Row],[Insurer Code]]&amp;"; "&amp;O3790&amp;AS[[#This Row],[Reporting Year]]&amp;"; "&amp;P3790&amp;AS[[#This Row],[Insurance Category Code]]&amp;"; "&amp;Q3790&amp;AS[[#This Row],[Large Provider Entity Code]]&amp;"; "&amp;R3790&amp;AS[[#This Row],[Age Band Code]]&amp;"; "&amp;S3790&amp;AS[[#This Row],[Sex Code]]</f>
        <v xml:space="preserve">Insurer Code ; Reporting Year ; Insurance Category Code ; Large Provider Entity Code ; Age Band Code ; Sex Code </v>
      </c>
      <c r="N3790" s="297" t="s">
        <v>197</v>
      </c>
      <c r="O3790" s="297" t="s">
        <v>198</v>
      </c>
      <c r="P3790" s="297" t="s">
        <v>199</v>
      </c>
      <c r="Q3790" s="297" t="s">
        <v>200</v>
      </c>
      <c r="R3790" s="297" t="s">
        <v>213</v>
      </c>
      <c r="S3790" s="297" t="s">
        <v>214</v>
      </c>
    </row>
    <row r="3791" spans="1:19" x14ac:dyDescent="0.4">
      <c r="A3791" s="291"/>
      <c r="B3791" s="292"/>
      <c r="C3791" s="312"/>
      <c r="D3791" s="292"/>
      <c r="E3791" s="489"/>
      <c r="F3791" s="489"/>
      <c r="G3791" s="490"/>
      <c r="H3791" s="520"/>
      <c r="I3791" s="523"/>
      <c r="J3791" s="521"/>
      <c r="K3791" s="522"/>
      <c r="M3791" s="301" t="str">
        <f>N3791&amp;AS[[#This Row],[Insurer Code]]&amp;"; "&amp;O3791&amp;AS[[#This Row],[Reporting Year]]&amp;"; "&amp;P3791&amp;AS[[#This Row],[Insurance Category Code]]&amp;"; "&amp;Q3791&amp;AS[[#This Row],[Large Provider Entity Code]]&amp;"; "&amp;R3791&amp;AS[[#This Row],[Age Band Code]]&amp;"; "&amp;S3791&amp;AS[[#This Row],[Sex Code]]</f>
        <v xml:space="preserve">Insurer Code ; Reporting Year ; Insurance Category Code ; Large Provider Entity Code ; Age Band Code ; Sex Code </v>
      </c>
      <c r="N3791" s="297" t="s">
        <v>197</v>
      </c>
      <c r="O3791" s="297" t="s">
        <v>198</v>
      </c>
      <c r="P3791" s="297" t="s">
        <v>199</v>
      </c>
      <c r="Q3791" s="297" t="s">
        <v>200</v>
      </c>
      <c r="R3791" s="297" t="s">
        <v>213</v>
      </c>
      <c r="S3791" s="297" t="s">
        <v>214</v>
      </c>
    </row>
    <row r="3792" spans="1:19" x14ac:dyDescent="0.4">
      <c r="A3792" s="291"/>
      <c r="B3792" s="292"/>
      <c r="C3792" s="312"/>
      <c r="D3792" s="292"/>
      <c r="E3792" s="489"/>
      <c r="F3792" s="489"/>
      <c r="G3792" s="490"/>
      <c r="H3792" s="520"/>
      <c r="I3792" s="523"/>
      <c r="J3792" s="521"/>
      <c r="K3792" s="522"/>
      <c r="M3792" s="301" t="str">
        <f>N3792&amp;AS[[#This Row],[Insurer Code]]&amp;"; "&amp;O3792&amp;AS[[#This Row],[Reporting Year]]&amp;"; "&amp;P3792&amp;AS[[#This Row],[Insurance Category Code]]&amp;"; "&amp;Q3792&amp;AS[[#This Row],[Large Provider Entity Code]]&amp;"; "&amp;R3792&amp;AS[[#This Row],[Age Band Code]]&amp;"; "&amp;S3792&amp;AS[[#This Row],[Sex Code]]</f>
        <v xml:space="preserve">Insurer Code ; Reporting Year ; Insurance Category Code ; Large Provider Entity Code ; Age Band Code ; Sex Code </v>
      </c>
      <c r="N3792" s="297" t="s">
        <v>197</v>
      </c>
      <c r="O3792" s="297" t="s">
        <v>198</v>
      </c>
      <c r="P3792" s="297" t="s">
        <v>199</v>
      </c>
      <c r="Q3792" s="297" t="s">
        <v>200</v>
      </c>
      <c r="R3792" s="297" t="s">
        <v>213</v>
      </c>
      <c r="S3792" s="297" t="s">
        <v>214</v>
      </c>
    </row>
    <row r="3793" spans="1:19" x14ac:dyDescent="0.4">
      <c r="A3793" s="291"/>
      <c r="B3793" s="292"/>
      <c r="C3793" s="312"/>
      <c r="D3793" s="292"/>
      <c r="E3793" s="489"/>
      <c r="F3793" s="489"/>
      <c r="G3793" s="490"/>
      <c r="H3793" s="520"/>
      <c r="I3793" s="523"/>
      <c r="J3793" s="521"/>
      <c r="K3793" s="522"/>
      <c r="M3793" s="301" t="str">
        <f>N3793&amp;AS[[#This Row],[Insurer Code]]&amp;"; "&amp;O3793&amp;AS[[#This Row],[Reporting Year]]&amp;"; "&amp;P3793&amp;AS[[#This Row],[Insurance Category Code]]&amp;"; "&amp;Q3793&amp;AS[[#This Row],[Large Provider Entity Code]]&amp;"; "&amp;R3793&amp;AS[[#This Row],[Age Band Code]]&amp;"; "&amp;S3793&amp;AS[[#This Row],[Sex Code]]</f>
        <v xml:space="preserve">Insurer Code ; Reporting Year ; Insurance Category Code ; Large Provider Entity Code ; Age Band Code ; Sex Code </v>
      </c>
      <c r="N3793" s="297" t="s">
        <v>197</v>
      </c>
      <c r="O3793" s="297" t="s">
        <v>198</v>
      </c>
      <c r="P3793" s="297" t="s">
        <v>199</v>
      </c>
      <c r="Q3793" s="297" t="s">
        <v>200</v>
      </c>
      <c r="R3793" s="297" t="s">
        <v>213</v>
      </c>
      <c r="S3793" s="297" t="s">
        <v>214</v>
      </c>
    </row>
    <row r="3794" spans="1:19" x14ac:dyDescent="0.4">
      <c r="A3794" s="291"/>
      <c r="B3794" s="292"/>
      <c r="C3794" s="312"/>
      <c r="D3794" s="292"/>
      <c r="E3794" s="489"/>
      <c r="F3794" s="489"/>
      <c r="G3794" s="490"/>
      <c r="H3794" s="520"/>
      <c r="I3794" s="523"/>
      <c r="J3794" s="521"/>
      <c r="K3794" s="522"/>
      <c r="M3794" s="301" t="str">
        <f>N3794&amp;AS[[#This Row],[Insurer Code]]&amp;"; "&amp;O3794&amp;AS[[#This Row],[Reporting Year]]&amp;"; "&amp;P3794&amp;AS[[#This Row],[Insurance Category Code]]&amp;"; "&amp;Q3794&amp;AS[[#This Row],[Large Provider Entity Code]]&amp;"; "&amp;R3794&amp;AS[[#This Row],[Age Band Code]]&amp;"; "&amp;S3794&amp;AS[[#This Row],[Sex Code]]</f>
        <v xml:space="preserve">Insurer Code ; Reporting Year ; Insurance Category Code ; Large Provider Entity Code ; Age Band Code ; Sex Code </v>
      </c>
      <c r="N3794" s="297" t="s">
        <v>197</v>
      </c>
      <c r="O3794" s="297" t="s">
        <v>198</v>
      </c>
      <c r="P3794" s="297" t="s">
        <v>199</v>
      </c>
      <c r="Q3794" s="297" t="s">
        <v>200</v>
      </c>
      <c r="R3794" s="297" t="s">
        <v>213</v>
      </c>
      <c r="S3794" s="297" t="s">
        <v>214</v>
      </c>
    </row>
    <row r="3795" spans="1:19" x14ac:dyDescent="0.4">
      <c r="A3795" s="291"/>
      <c r="B3795" s="292"/>
      <c r="C3795" s="312"/>
      <c r="D3795" s="292"/>
      <c r="E3795" s="489"/>
      <c r="F3795" s="489"/>
      <c r="G3795" s="490"/>
      <c r="H3795" s="520"/>
      <c r="I3795" s="523"/>
      <c r="J3795" s="521"/>
      <c r="K3795" s="522"/>
      <c r="M3795" s="301" t="str">
        <f>N3795&amp;AS[[#This Row],[Insurer Code]]&amp;"; "&amp;O3795&amp;AS[[#This Row],[Reporting Year]]&amp;"; "&amp;P3795&amp;AS[[#This Row],[Insurance Category Code]]&amp;"; "&amp;Q3795&amp;AS[[#This Row],[Large Provider Entity Code]]&amp;"; "&amp;R3795&amp;AS[[#This Row],[Age Band Code]]&amp;"; "&amp;S3795&amp;AS[[#This Row],[Sex Code]]</f>
        <v xml:space="preserve">Insurer Code ; Reporting Year ; Insurance Category Code ; Large Provider Entity Code ; Age Band Code ; Sex Code </v>
      </c>
      <c r="N3795" s="297" t="s">
        <v>197</v>
      </c>
      <c r="O3795" s="297" t="s">
        <v>198</v>
      </c>
      <c r="P3795" s="297" t="s">
        <v>199</v>
      </c>
      <c r="Q3795" s="297" t="s">
        <v>200</v>
      </c>
      <c r="R3795" s="297" t="s">
        <v>213</v>
      </c>
      <c r="S3795" s="297" t="s">
        <v>214</v>
      </c>
    </row>
    <row r="3796" spans="1:19" x14ac:dyDescent="0.4">
      <c r="A3796" s="291"/>
      <c r="B3796" s="292"/>
      <c r="C3796" s="312"/>
      <c r="D3796" s="292"/>
      <c r="E3796" s="489"/>
      <c r="F3796" s="489"/>
      <c r="G3796" s="490"/>
      <c r="H3796" s="520"/>
      <c r="I3796" s="523"/>
      <c r="J3796" s="521"/>
      <c r="K3796" s="522"/>
      <c r="M3796" s="301" t="str">
        <f>N3796&amp;AS[[#This Row],[Insurer Code]]&amp;"; "&amp;O3796&amp;AS[[#This Row],[Reporting Year]]&amp;"; "&amp;P3796&amp;AS[[#This Row],[Insurance Category Code]]&amp;"; "&amp;Q3796&amp;AS[[#This Row],[Large Provider Entity Code]]&amp;"; "&amp;R3796&amp;AS[[#This Row],[Age Band Code]]&amp;"; "&amp;S3796&amp;AS[[#This Row],[Sex Code]]</f>
        <v xml:space="preserve">Insurer Code ; Reporting Year ; Insurance Category Code ; Large Provider Entity Code ; Age Band Code ; Sex Code </v>
      </c>
      <c r="N3796" s="297" t="s">
        <v>197</v>
      </c>
      <c r="O3796" s="297" t="s">
        <v>198</v>
      </c>
      <c r="P3796" s="297" t="s">
        <v>199</v>
      </c>
      <c r="Q3796" s="297" t="s">
        <v>200</v>
      </c>
      <c r="R3796" s="297" t="s">
        <v>213</v>
      </c>
      <c r="S3796" s="297" t="s">
        <v>214</v>
      </c>
    </row>
    <row r="3797" spans="1:19" x14ac:dyDescent="0.4">
      <c r="A3797" s="291"/>
      <c r="B3797" s="292"/>
      <c r="C3797" s="312"/>
      <c r="D3797" s="292"/>
      <c r="E3797" s="489"/>
      <c r="F3797" s="489"/>
      <c r="G3797" s="490"/>
      <c r="H3797" s="520"/>
      <c r="I3797" s="523"/>
      <c r="J3797" s="521"/>
      <c r="K3797" s="522"/>
      <c r="M3797" s="301" t="str">
        <f>N3797&amp;AS[[#This Row],[Insurer Code]]&amp;"; "&amp;O3797&amp;AS[[#This Row],[Reporting Year]]&amp;"; "&amp;P3797&amp;AS[[#This Row],[Insurance Category Code]]&amp;"; "&amp;Q3797&amp;AS[[#This Row],[Large Provider Entity Code]]&amp;"; "&amp;R3797&amp;AS[[#This Row],[Age Band Code]]&amp;"; "&amp;S3797&amp;AS[[#This Row],[Sex Code]]</f>
        <v xml:space="preserve">Insurer Code ; Reporting Year ; Insurance Category Code ; Large Provider Entity Code ; Age Band Code ; Sex Code </v>
      </c>
      <c r="N3797" s="297" t="s">
        <v>197</v>
      </c>
      <c r="O3797" s="297" t="s">
        <v>198</v>
      </c>
      <c r="P3797" s="297" t="s">
        <v>199</v>
      </c>
      <c r="Q3797" s="297" t="s">
        <v>200</v>
      </c>
      <c r="R3797" s="297" t="s">
        <v>213</v>
      </c>
      <c r="S3797" s="297" t="s">
        <v>214</v>
      </c>
    </row>
    <row r="3798" spans="1:19" x14ac:dyDescent="0.4">
      <c r="A3798" s="291"/>
      <c r="B3798" s="292"/>
      <c r="C3798" s="312"/>
      <c r="D3798" s="292"/>
      <c r="E3798" s="489"/>
      <c r="F3798" s="489"/>
      <c r="G3798" s="490"/>
      <c r="H3798" s="520"/>
      <c r="I3798" s="523"/>
      <c r="J3798" s="521"/>
      <c r="K3798" s="522"/>
      <c r="M3798" s="301" t="str">
        <f>N3798&amp;AS[[#This Row],[Insurer Code]]&amp;"; "&amp;O3798&amp;AS[[#This Row],[Reporting Year]]&amp;"; "&amp;P3798&amp;AS[[#This Row],[Insurance Category Code]]&amp;"; "&amp;Q3798&amp;AS[[#This Row],[Large Provider Entity Code]]&amp;"; "&amp;R3798&amp;AS[[#This Row],[Age Band Code]]&amp;"; "&amp;S3798&amp;AS[[#This Row],[Sex Code]]</f>
        <v xml:space="preserve">Insurer Code ; Reporting Year ; Insurance Category Code ; Large Provider Entity Code ; Age Band Code ; Sex Code </v>
      </c>
      <c r="N3798" s="297" t="s">
        <v>197</v>
      </c>
      <c r="O3798" s="297" t="s">
        <v>198</v>
      </c>
      <c r="P3798" s="297" t="s">
        <v>199</v>
      </c>
      <c r="Q3798" s="297" t="s">
        <v>200</v>
      </c>
      <c r="R3798" s="297" t="s">
        <v>213</v>
      </c>
      <c r="S3798" s="297" t="s">
        <v>214</v>
      </c>
    </row>
    <row r="3799" spans="1:19" x14ac:dyDescent="0.4">
      <c r="A3799" s="291"/>
      <c r="B3799" s="292"/>
      <c r="C3799" s="312"/>
      <c r="D3799" s="292"/>
      <c r="E3799" s="489"/>
      <c r="F3799" s="489"/>
      <c r="G3799" s="490"/>
      <c r="H3799" s="520"/>
      <c r="I3799" s="523"/>
      <c r="J3799" s="521"/>
      <c r="K3799" s="522"/>
      <c r="M3799" s="301" t="str">
        <f>N3799&amp;AS[[#This Row],[Insurer Code]]&amp;"; "&amp;O3799&amp;AS[[#This Row],[Reporting Year]]&amp;"; "&amp;P3799&amp;AS[[#This Row],[Insurance Category Code]]&amp;"; "&amp;Q3799&amp;AS[[#This Row],[Large Provider Entity Code]]&amp;"; "&amp;R3799&amp;AS[[#This Row],[Age Band Code]]&amp;"; "&amp;S3799&amp;AS[[#This Row],[Sex Code]]</f>
        <v xml:space="preserve">Insurer Code ; Reporting Year ; Insurance Category Code ; Large Provider Entity Code ; Age Band Code ; Sex Code </v>
      </c>
      <c r="N3799" s="297" t="s">
        <v>197</v>
      </c>
      <c r="O3799" s="297" t="s">
        <v>198</v>
      </c>
      <c r="P3799" s="297" t="s">
        <v>199</v>
      </c>
      <c r="Q3799" s="297" t="s">
        <v>200</v>
      </c>
      <c r="R3799" s="297" t="s">
        <v>213</v>
      </c>
      <c r="S3799" s="297" t="s">
        <v>214</v>
      </c>
    </row>
    <row r="3800" spans="1:19" x14ac:dyDescent="0.4">
      <c r="A3800" s="291"/>
      <c r="B3800" s="292"/>
      <c r="C3800" s="312"/>
      <c r="D3800" s="292"/>
      <c r="E3800" s="489"/>
      <c r="F3800" s="489"/>
      <c r="G3800" s="490"/>
      <c r="H3800" s="520"/>
      <c r="I3800" s="523"/>
      <c r="J3800" s="521"/>
      <c r="K3800" s="522"/>
      <c r="M3800" s="301" t="str">
        <f>N3800&amp;AS[[#This Row],[Insurer Code]]&amp;"; "&amp;O3800&amp;AS[[#This Row],[Reporting Year]]&amp;"; "&amp;P3800&amp;AS[[#This Row],[Insurance Category Code]]&amp;"; "&amp;Q3800&amp;AS[[#This Row],[Large Provider Entity Code]]&amp;"; "&amp;R3800&amp;AS[[#This Row],[Age Band Code]]&amp;"; "&amp;S3800&amp;AS[[#This Row],[Sex Code]]</f>
        <v xml:space="preserve">Insurer Code ; Reporting Year ; Insurance Category Code ; Large Provider Entity Code ; Age Band Code ; Sex Code </v>
      </c>
      <c r="N3800" s="297" t="s">
        <v>197</v>
      </c>
      <c r="O3800" s="297" t="s">
        <v>198</v>
      </c>
      <c r="P3800" s="297" t="s">
        <v>199</v>
      </c>
      <c r="Q3800" s="297" t="s">
        <v>200</v>
      </c>
      <c r="R3800" s="297" t="s">
        <v>213</v>
      </c>
      <c r="S3800" s="297" t="s">
        <v>214</v>
      </c>
    </row>
    <row r="3801" spans="1:19" x14ac:dyDescent="0.4">
      <c r="A3801" s="291"/>
      <c r="B3801" s="292"/>
      <c r="C3801" s="312"/>
      <c r="D3801" s="292"/>
      <c r="E3801" s="489"/>
      <c r="F3801" s="489"/>
      <c r="G3801" s="490"/>
      <c r="H3801" s="520"/>
      <c r="I3801" s="523"/>
      <c r="J3801" s="521"/>
      <c r="K3801" s="522"/>
      <c r="M3801" s="301" t="str">
        <f>N3801&amp;AS[[#This Row],[Insurer Code]]&amp;"; "&amp;O3801&amp;AS[[#This Row],[Reporting Year]]&amp;"; "&amp;P3801&amp;AS[[#This Row],[Insurance Category Code]]&amp;"; "&amp;Q3801&amp;AS[[#This Row],[Large Provider Entity Code]]&amp;"; "&amp;R3801&amp;AS[[#This Row],[Age Band Code]]&amp;"; "&amp;S3801&amp;AS[[#This Row],[Sex Code]]</f>
        <v xml:space="preserve">Insurer Code ; Reporting Year ; Insurance Category Code ; Large Provider Entity Code ; Age Band Code ; Sex Code </v>
      </c>
      <c r="N3801" s="297" t="s">
        <v>197</v>
      </c>
      <c r="O3801" s="297" t="s">
        <v>198</v>
      </c>
      <c r="P3801" s="297" t="s">
        <v>199</v>
      </c>
      <c r="Q3801" s="297" t="s">
        <v>200</v>
      </c>
      <c r="R3801" s="297" t="s">
        <v>213</v>
      </c>
      <c r="S3801" s="297" t="s">
        <v>214</v>
      </c>
    </row>
    <row r="3802" spans="1:19" x14ac:dyDescent="0.4">
      <c r="A3802" s="291"/>
      <c r="B3802" s="292"/>
      <c r="C3802" s="312"/>
      <c r="D3802" s="292"/>
      <c r="E3802" s="489"/>
      <c r="F3802" s="489"/>
      <c r="G3802" s="490"/>
      <c r="H3802" s="520"/>
      <c r="I3802" s="523"/>
      <c r="J3802" s="521"/>
      <c r="K3802" s="522"/>
      <c r="M3802" s="301" t="str">
        <f>N3802&amp;AS[[#This Row],[Insurer Code]]&amp;"; "&amp;O3802&amp;AS[[#This Row],[Reporting Year]]&amp;"; "&amp;P3802&amp;AS[[#This Row],[Insurance Category Code]]&amp;"; "&amp;Q3802&amp;AS[[#This Row],[Large Provider Entity Code]]&amp;"; "&amp;R3802&amp;AS[[#This Row],[Age Band Code]]&amp;"; "&amp;S3802&amp;AS[[#This Row],[Sex Code]]</f>
        <v xml:space="preserve">Insurer Code ; Reporting Year ; Insurance Category Code ; Large Provider Entity Code ; Age Band Code ; Sex Code </v>
      </c>
      <c r="N3802" s="297" t="s">
        <v>197</v>
      </c>
      <c r="O3802" s="297" t="s">
        <v>198</v>
      </c>
      <c r="P3802" s="297" t="s">
        <v>199</v>
      </c>
      <c r="Q3802" s="297" t="s">
        <v>200</v>
      </c>
      <c r="R3802" s="297" t="s">
        <v>213</v>
      </c>
      <c r="S3802" s="297" t="s">
        <v>214</v>
      </c>
    </row>
    <row r="3803" spans="1:19" x14ac:dyDescent="0.4">
      <c r="A3803" s="291"/>
      <c r="B3803" s="292"/>
      <c r="C3803" s="312"/>
      <c r="D3803" s="292"/>
      <c r="E3803" s="489"/>
      <c r="F3803" s="489"/>
      <c r="G3803" s="490"/>
      <c r="H3803" s="520"/>
      <c r="I3803" s="523"/>
      <c r="J3803" s="521"/>
      <c r="K3803" s="522"/>
      <c r="M3803" s="301" t="str">
        <f>N3803&amp;AS[[#This Row],[Insurer Code]]&amp;"; "&amp;O3803&amp;AS[[#This Row],[Reporting Year]]&amp;"; "&amp;P3803&amp;AS[[#This Row],[Insurance Category Code]]&amp;"; "&amp;Q3803&amp;AS[[#This Row],[Large Provider Entity Code]]&amp;"; "&amp;R3803&amp;AS[[#This Row],[Age Band Code]]&amp;"; "&amp;S3803&amp;AS[[#This Row],[Sex Code]]</f>
        <v xml:space="preserve">Insurer Code ; Reporting Year ; Insurance Category Code ; Large Provider Entity Code ; Age Band Code ; Sex Code </v>
      </c>
      <c r="N3803" s="297" t="s">
        <v>197</v>
      </c>
      <c r="O3803" s="297" t="s">
        <v>198</v>
      </c>
      <c r="P3803" s="297" t="s">
        <v>199</v>
      </c>
      <c r="Q3803" s="297" t="s">
        <v>200</v>
      </c>
      <c r="R3803" s="297" t="s">
        <v>213</v>
      </c>
      <c r="S3803" s="297" t="s">
        <v>214</v>
      </c>
    </row>
    <row r="3804" spans="1:19" x14ac:dyDescent="0.4">
      <c r="A3804" s="291"/>
      <c r="B3804" s="292"/>
      <c r="C3804" s="312"/>
      <c r="D3804" s="292"/>
      <c r="E3804" s="489"/>
      <c r="F3804" s="489"/>
      <c r="G3804" s="490"/>
      <c r="H3804" s="520"/>
      <c r="I3804" s="523"/>
      <c r="J3804" s="521"/>
      <c r="K3804" s="522"/>
      <c r="M3804" s="301" t="str">
        <f>N3804&amp;AS[[#This Row],[Insurer Code]]&amp;"; "&amp;O3804&amp;AS[[#This Row],[Reporting Year]]&amp;"; "&amp;P3804&amp;AS[[#This Row],[Insurance Category Code]]&amp;"; "&amp;Q3804&amp;AS[[#This Row],[Large Provider Entity Code]]&amp;"; "&amp;R3804&amp;AS[[#This Row],[Age Band Code]]&amp;"; "&amp;S3804&amp;AS[[#This Row],[Sex Code]]</f>
        <v xml:space="preserve">Insurer Code ; Reporting Year ; Insurance Category Code ; Large Provider Entity Code ; Age Band Code ; Sex Code </v>
      </c>
      <c r="N3804" s="297" t="s">
        <v>197</v>
      </c>
      <c r="O3804" s="297" t="s">
        <v>198</v>
      </c>
      <c r="P3804" s="297" t="s">
        <v>199</v>
      </c>
      <c r="Q3804" s="297" t="s">
        <v>200</v>
      </c>
      <c r="R3804" s="297" t="s">
        <v>213</v>
      </c>
      <c r="S3804" s="297" t="s">
        <v>214</v>
      </c>
    </row>
    <row r="3805" spans="1:19" x14ac:dyDescent="0.4">
      <c r="A3805" s="291"/>
      <c r="B3805" s="292"/>
      <c r="C3805" s="312"/>
      <c r="D3805" s="292"/>
      <c r="E3805" s="489"/>
      <c r="F3805" s="489"/>
      <c r="G3805" s="490"/>
      <c r="H3805" s="520"/>
      <c r="I3805" s="523"/>
      <c r="J3805" s="521"/>
      <c r="K3805" s="522"/>
      <c r="M3805" s="301" t="str">
        <f>N3805&amp;AS[[#This Row],[Insurer Code]]&amp;"; "&amp;O3805&amp;AS[[#This Row],[Reporting Year]]&amp;"; "&amp;P3805&amp;AS[[#This Row],[Insurance Category Code]]&amp;"; "&amp;Q3805&amp;AS[[#This Row],[Large Provider Entity Code]]&amp;"; "&amp;R3805&amp;AS[[#This Row],[Age Band Code]]&amp;"; "&amp;S3805&amp;AS[[#This Row],[Sex Code]]</f>
        <v xml:space="preserve">Insurer Code ; Reporting Year ; Insurance Category Code ; Large Provider Entity Code ; Age Band Code ; Sex Code </v>
      </c>
      <c r="N3805" s="297" t="s">
        <v>197</v>
      </c>
      <c r="O3805" s="297" t="s">
        <v>198</v>
      </c>
      <c r="P3805" s="297" t="s">
        <v>199</v>
      </c>
      <c r="Q3805" s="297" t="s">
        <v>200</v>
      </c>
      <c r="R3805" s="297" t="s">
        <v>213</v>
      </c>
      <c r="S3805" s="297" t="s">
        <v>214</v>
      </c>
    </row>
    <row r="3806" spans="1:19" x14ac:dyDescent="0.4">
      <c r="A3806" s="291"/>
      <c r="B3806" s="292"/>
      <c r="C3806" s="312"/>
      <c r="D3806" s="292"/>
      <c r="E3806" s="489"/>
      <c r="F3806" s="489"/>
      <c r="G3806" s="490"/>
      <c r="H3806" s="520"/>
      <c r="I3806" s="523"/>
      <c r="J3806" s="521"/>
      <c r="K3806" s="522"/>
      <c r="M3806" s="301" t="str">
        <f>N3806&amp;AS[[#This Row],[Insurer Code]]&amp;"; "&amp;O3806&amp;AS[[#This Row],[Reporting Year]]&amp;"; "&amp;P3806&amp;AS[[#This Row],[Insurance Category Code]]&amp;"; "&amp;Q3806&amp;AS[[#This Row],[Large Provider Entity Code]]&amp;"; "&amp;R3806&amp;AS[[#This Row],[Age Band Code]]&amp;"; "&amp;S3806&amp;AS[[#This Row],[Sex Code]]</f>
        <v xml:space="preserve">Insurer Code ; Reporting Year ; Insurance Category Code ; Large Provider Entity Code ; Age Band Code ; Sex Code </v>
      </c>
      <c r="N3806" s="297" t="s">
        <v>197</v>
      </c>
      <c r="O3806" s="297" t="s">
        <v>198</v>
      </c>
      <c r="P3806" s="297" t="s">
        <v>199</v>
      </c>
      <c r="Q3806" s="297" t="s">
        <v>200</v>
      </c>
      <c r="R3806" s="297" t="s">
        <v>213</v>
      </c>
      <c r="S3806" s="297" t="s">
        <v>214</v>
      </c>
    </row>
    <row r="3807" spans="1:19" x14ac:dyDescent="0.4">
      <c r="A3807" s="291"/>
      <c r="B3807" s="292"/>
      <c r="C3807" s="312"/>
      <c r="D3807" s="292"/>
      <c r="E3807" s="489"/>
      <c r="F3807" s="489"/>
      <c r="G3807" s="490"/>
      <c r="H3807" s="520"/>
      <c r="I3807" s="523"/>
      <c r="J3807" s="521"/>
      <c r="K3807" s="522"/>
      <c r="M3807" s="301" t="str">
        <f>N3807&amp;AS[[#This Row],[Insurer Code]]&amp;"; "&amp;O3807&amp;AS[[#This Row],[Reporting Year]]&amp;"; "&amp;P3807&amp;AS[[#This Row],[Insurance Category Code]]&amp;"; "&amp;Q3807&amp;AS[[#This Row],[Large Provider Entity Code]]&amp;"; "&amp;R3807&amp;AS[[#This Row],[Age Band Code]]&amp;"; "&amp;S3807&amp;AS[[#This Row],[Sex Code]]</f>
        <v xml:space="preserve">Insurer Code ; Reporting Year ; Insurance Category Code ; Large Provider Entity Code ; Age Band Code ; Sex Code </v>
      </c>
      <c r="N3807" s="297" t="s">
        <v>197</v>
      </c>
      <c r="O3807" s="297" t="s">
        <v>198</v>
      </c>
      <c r="P3807" s="297" t="s">
        <v>199</v>
      </c>
      <c r="Q3807" s="297" t="s">
        <v>200</v>
      </c>
      <c r="R3807" s="297" t="s">
        <v>213</v>
      </c>
      <c r="S3807" s="297" t="s">
        <v>214</v>
      </c>
    </row>
    <row r="3808" spans="1:19" x14ac:dyDescent="0.4">
      <c r="A3808" s="291"/>
      <c r="B3808" s="292"/>
      <c r="C3808" s="312"/>
      <c r="D3808" s="292"/>
      <c r="E3808" s="489"/>
      <c r="F3808" s="489"/>
      <c r="G3808" s="490"/>
      <c r="H3808" s="520"/>
      <c r="I3808" s="523"/>
      <c r="J3808" s="521"/>
      <c r="K3808" s="522"/>
      <c r="M3808" s="301" t="str">
        <f>N3808&amp;AS[[#This Row],[Insurer Code]]&amp;"; "&amp;O3808&amp;AS[[#This Row],[Reporting Year]]&amp;"; "&amp;P3808&amp;AS[[#This Row],[Insurance Category Code]]&amp;"; "&amp;Q3808&amp;AS[[#This Row],[Large Provider Entity Code]]&amp;"; "&amp;R3808&amp;AS[[#This Row],[Age Band Code]]&amp;"; "&amp;S3808&amp;AS[[#This Row],[Sex Code]]</f>
        <v xml:space="preserve">Insurer Code ; Reporting Year ; Insurance Category Code ; Large Provider Entity Code ; Age Band Code ; Sex Code </v>
      </c>
      <c r="N3808" s="297" t="s">
        <v>197</v>
      </c>
      <c r="O3808" s="297" t="s">
        <v>198</v>
      </c>
      <c r="P3808" s="297" t="s">
        <v>199</v>
      </c>
      <c r="Q3808" s="297" t="s">
        <v>200</v>
      </c>
      <c r="R3808" s="297" t="s">
        <v>213</v>
      </c>
      <c r="S3808" s="297" t="s">
        <v>214</v>
      </c>
    </row>
    <row r="3809" spans="1:19" x14ac:dyDescent="0.4">
      <c r="A3809" s="291"/>
      <c r="B3809" s="292"/>
      <c r="C3809" s="312"/>
      <c r="D3809" s="292"/>
      <c r="E3809" s="489"/>
      <c r="F3809" s="489"/>
      <c r="G3809" s="490"/>
      <c r="H3809" s="520"/>
      <c r="I3809" s="523"/>
      <c r="J3809" s="521"/>
      <c r="K3809" s="522"/>
      <c r="M3809" s="301" t="str">
        <f>N3809&amp;AS[[#This Row],[Insurer Code]]&amp;"; "&amp;O3809&amp;AS[[#This Row],[Reporting Year]]&amp;"; "&amp;P3809&amp;AS[[#This Row],[Insurance Category Code]]&amp;"; "&amp;Q3809&amp;AS[[#This Row],[Large Provider Entity Code]]&amp;"; "&amp;R3809&amp;AS[[#This Row],[Age Band Code]]&amp;"; "&amp;S3809&amp;AS[[#This Row],[Sex Code]]</f>
        <v xml:space="preserve">Insurer Code ; Reporting Year ; Insurance Category Code ; Large Provider Entity Code ; Age Band Code ; Sex Code </v>
      </c>
      <c r="N3809" s="297" t="s">
        <v>197</v>
      </c>
      <c r="O3809" s="297" t="s">
        <v>198</v>
      </c>
      <c r="P3809" s="297" t="s">
        <v>199</v>
      </c>
      <c r="Q3809" s="297" t="s">
        <v>200</v>
      </c>
      <c r="R3809" s="297" t="s">
        <v>213</v>
      </c>
      <c r="S3809" s="297" t="s">
        <v>214</v>
      </c>
    </row>
    <row r="3810" spans="1:19" x14ac:dyDescent="0.4">
      <c r="A3810" s="291"/>
      <c r="B3810" s="292"/>
      <c r="C3810" s="312"/>
      <c r="D3810" s="292"/>
      <c r="E3810" s="489"/>
      <c r="F3810" s="489"/>
      <c r="G3810" s="490"/>
      <c r="H3810" s="520"/>
      <c r="I3810" s="523"/>
      <c r="J3810" s="521"/>
      <c r="K3810" s="522"/>
      <c r="M3810" s="301" t="str">
        <f>N3810&amp;AS[[#This Row],[Insurer Code]]&amp;"; "&amp;O3810&amp;AS[[#This Row],[Reporting Year]]&amp;"; "&amp;P3810&amp;AS[[#This Row],[Insurance Category Code]]&amp;"; "&amp;Q3810&amp;AS[[#This Row],[Large Provider Entity Code]]&amp;"; "&amp;R3810&amp;AS[[#This Row],[Age Band Code]]&amp;"; "&amp;S3810&amp;AS[[#This Row],[Sex Code]]</f>
        <v xml:space="preserve">Insurer Code ; Reporting Year ; Insurance Category Code ; Large Provider Entity Code ; Age Band Code ; Sex Code </v>
      </c>
      <c r="N3810" s="297" t="s">
        <v>197</v>
      </c>
      <c r="O3810" s="297" t="s">
        <v>198</v>
      </c>
      <c r="P3810" s="297" t="s">
        <v>199</v>
      </c>
      <c r="Q3810" s="297" t="s">
        <v>200</v>
      </c>
      <c r="R3810" s="297" t="s">
        <v>213</v>
      </c>
      <c r="S3810" s="297" t="s">
        <v>214</v>
      </c>
    </row>
    <row r="3811" spans="1:19" x14ac:dyDescent="0.4">
      <c r="A3811" s="291"/>
      <c r="B3811" s="292"/>
      <c r="C3811" s="312"/>
      <c r="D3811" s="292"/>
      <c r="E3811" s="489"/>
      <c r="F3811" s="489"/>
      <c r="G3811" s="490"/>
      <c r="H3811" s="520"/>
      <c r="I3811" s="523"/>
      <c r="J3811" s="521"/>
      <c r="K3811" s="522"/>
      <c r="M3811" s="301" t="str">
        <f>N3811&amp;AS[[#This Row],[Insurer Code]]&amp;"; "&amp;O3811&amp;AS[[#This Row],[Reporting Year]]&amp;"; "&amp;P3811&amp;AS[[#This Row],[Insurance Category Code]]&amp;"; "&amp;Q3811&amp;AS[[#This Row],[Large Provider Entity Code]]&amp;"; "&amp;R3811&amp;AS[[#This Row],[Age Band Code]]&amp;"; "&amp;S3811&amp;AS[[#This Row],[Sex Code]]</f>
        <v xml:space="preserve">Insurer Code ; Reporting Year ; Insurance Category Code ; Large Provider Entity Code ; Age Band Code ; Sex Code </v>
      </c>
      <c r="N3811" s="297" t="s">
        <v>197</v>
      </c>
      <c r="O3811" s="297" t="s">
        <v>198</v>
      </c>
      <c r="P3811" s="297" t="s">
        <v>199</v>
      </c>
      <c r="Q3811" s="297" t="s">
        <v>200</v>
      </c>
      <c r="R3811" s="297" t="s">
        <v>213</v>
      </c>
      <c r="S3811" s="297" t="s">
        <v>214</v>
      </c>
    </row>
    <row r="3812" spans="1:19" x14ac:dyDescent="0.4">
      <c r="A3812" s="291"/>
      <c r="B3812" s="292"/>
      <c r="C3812" s="312"/>
      <c r="D3812" s="292"/>
      <c r="E3812" s="489"/>
      <c r="F3812" s="489"/>
      <c r="G3812" s="490"/>
      <c r="H3812" s="520"/>
      <c r="I3812" s="523"/>
      <c r="J3812" s="521"/>
      <c r="K3812" s="522"/>
      <c r="M3812" s="301" t="str">
        <f>N3812&amp;AS[[#This Row],[Insurer Code]]&amp;"; "&amp;O3812&amp;AS[[#This Row],[Reporting Year]]&amp;"; "&amp;P3812&amp;AS[[#This Row],[Insurance Category Code]]&amp;"; "&amp;Q3812&amp;AS[[#This Row],[Large Provider Entity Code]]&amp;"; "&amp;R3812&amp;AS[[#This Row],[Age Band Code]]&amp;"; "&amp;S3812&amp;AS[[#This Row],[Sex Code]]</f>
        <v xml:space="preserve">Insurer Code ; Reporting Year ; Insurance Category Code ; Large Provider Entity Code ; Age Band Code ; Sex Code </v>
      </c>
      <c r="N3812" s="297" t="s">
        <v>197</v>
      </c>
      <c r="O3812" s="297" t="s">
        <v>198</v>
      </c>
      <c r="P3812" s="297" t="s">
        <v>199</v>
      </c>
      <c r="Q3812" s="297" t="s">
        <v>200</v>
      </c>
      <c r="R3812" s="297" t="s">
        <v>213</v>
      </c>
      <c r="S3812" s="297" t="s">
        <v>214</v>
      </c>
    </row>
    <row r="3813" spans="1:19" x14ac:dyDescent="0.4">
      <c r="A3813" s="291"/>
      <c r="B3813" s="292"/>
      <c r="C3813" s="312"/>
      <c r="D3813" s="292"/>
      <c r="E3813" s="489"/>
      <c r="F3813" s="489"/>
      <c r="G3813" s="490"/>
      <c r="H3813" s="520"/>
      <c r="I3813" s="523"/>
      <c r="J3813" s="521"/>
      <c r="K3813" s="522"/>
      <c r="M3813" s="301" t="str">
        <f>N3813&amp;AS[[#This Row],[Insurer Code]]&amp;"; "&amp;O3813&amp;AS[[#This Row],[Reporting Year]]&amp;"; "&amp;P3813&amp;AS[[#This Row],[Insurance Category Code]]&amp;"; "&amp;Q3813&amp;AS[[#This Row],[Large Provider Entity Code]]&amp;"; "&amp;R3813&amp;AS[[#This Row],[Age Band Code]]&amp;"; "&amp;S3813&amp;AS[[#This Row],[Sex Code]]</f>
        <v xml:space="preserve">Insurer Code ; Reporting Year ; Insurance Category Code ; Large Provider Entity Code ; Age Band Code ; Sex Code </v>
      </c>
      <c r="N3813" s="297" t="s">
        <v>197</v>
      </c>
      <c r="O3813" s="297" t="s">
        <v>198</v>
      </c>
      <c r="P3813" s="297" t="s">
        <v>199</v>
      </c>
      <c r="Q3813" s="297" t="s">
        <v>200</v>
      </c>
      <c r="R3813" s="297" t="s">
        <v>213</v>
      </c>
      <c r="S3813" s="297" t="s">
        <v>214</v>
      </c>
    </row>
    <row r="3814" spans="1:19" x14ac:dyDescent="0.4">
      <c r="A3814" s="291"/>
      <c r="B3814" s="292"/>
      <c r="C3814" s="312"/>
      <c r="D3814" s="292"/>
      <c r="E3814" s="489"/>
      <c r="F3814" s="489"/>
      <c r="G3814" s="490"/>
      <c r="H3814" s="520"/>
      <c r="I3814" s="523"/>
      <c r="J3814" s="521"/>
      <c r="K3814" s="522"/>
      <c r="M3814" s="301" t="str">
        <f>N3814&amp;AS[[#This Row],[Insurer Code]]&amp;"; "&amp;O3814&amp;AS[[#This Row],[Reporting Year]]&amp;"; "&amp;P3814&amp;AS[[#This Row],[Insurance Category Code]]&amp;"; "&amp;Q3814&amp;AS[[#This Row],[Large Provider Entity Code]]&amp;"; "&amp;R3814&amp;AS[[#This Row],[Age Band Code]]&amp;"; "&amp;S3814&amp;AS[[#This Row],[Sex Code]]</f>
        <v xml:space="preserve">Insurer Code ; Reporting Year ; Insurance Category Code ; Large Provider Entity Code ; Age Band Code ; Sex Code </v>
      </c>
      <c r="N3814" s="297" t="s">
        <v>197</v>
      </c>
      <c r="O3814" s="297" t="s">
        <v>198</v>
      </c>
      <c r="P3814" s="297" t="s">
        <v>199</v>
      </c>
      <c r="Q3814" s="297" t="s">
        <v>200</v>
      </c>
      <c r="R3814" s="297" t="s">
        <v>213</v>
      </c>
      <c r="S3814" s="297" t="s">
        <v>214</v>
      </c>
    </row>
    <row r="3815" spans="1:19" x14ac:dyDescent="0.4">
      <c r="A3815" s="291"/>
      <c r="B3815" s="292"/>
      <c r="C3815" s="312"/>
      <c r="D3815" s="292"/>
      <c r="E3815" s="489"/>
      <c r="F3815" s="489"/>
      <c r="G3815" s="490"/>
      <c r="H3815" s="520"/>
      <c r="I3815" s="523"/>
      <c r="J3815" s="521"/>
      <c r="K3815" s="522"/>
      <c r="M3815" s="301" t="str">
        <f>N3815&amp;AS[[#This Row],[Insurer Code]]&amp;"; "&amp;O3815&amp;AS[[#This Row],[Reporting Year]]&amp;"; "&amp;P3815&amp;AS[[#This Row],[Insurance Category Code]]&amp;"; "&amp;Q3815&amp;AS[[#This Row],[Large Provider Entity Code]]&amp;"; "&amp;R3815&amp;AS[[#This Row],[Age Band Code]]&amp;"; "&amp;S3815&amp;AS[[#This Row],[Sex Code]]</f>
        <v xml:space="preserve">Insurer Code ; Reporting Year ; Insurance Category Code ; Large Provider Entity Code ; Age Band Code ; Sex Code </v>
      </c>
      <c r="N3815" s="297" t="s">
        <v>197</v>
      </c>
      <c r="O3815" s="297" t="s">
        <v>198</v>
      </c>
      <c r="P3815" s="297" t="s">
        <v>199</v>
      </c>
      <c r="Q3815" s="297" t="s">
        <v>200</v>
      </c>
      <c r="R3815" s="297" t="s">
        <v>213</v>
      </c>
      <c r="S3815" s="297" t="s">
        <v>214</v>
      </c>
    </row>
    <row r="3816" spans="1:19" x14ac:dyDescent="0.4">
      <c r="A3816" s="291"/>
      <c r="B3816" s="292"/>
      <c r="C3816" s="312"/>
      <c r="D3816" s="292"/>
      <c r="E3816" s="489"/>
      <c r="F3816" s="489"/>
      <c r="G3816" s="490"/>
      <c r="H3816" s="520"/>
      <c r="I3816" s="523"/>
      <c r="J3816" s="521"/>
      <c r="K3816" s="522"/>
      <c r="M3816" s="301" t="str">
        <f>N3816&amp;AS[[#This Row],[Insurer Code]]&amp;"; "&amp;O3816&amp;AS[[#This Row],[Reporting Year]]&amp;"; "&amp;P3816&amp;AS[[#This Row],[Insurance Category Code]]&amp;"; "&amp;Q3816&amp;AS[[#This Row],[Large Provider Entity Code]]&amp;"; "&amp;R3816&amp;AS[[#This Row],[Age Band Code]]&amp;"; "&amp;S3816&amp;AS[[#This Row],[Sex Code]]</f>
        <v xml:space="preserve">Insurer Code ; Reporting Year ; Insurance Category Code ; Large Provider Entity Code ; Age Band Code ; Sex Code </v>
      </c>
      <c r="N3816" s="297" t="s">
        <v>197</v>
      </c>
      <c r="O3816" s="297" t="s">
        <v>198</v>
      </c>
      <c r="P3816" s="297" t="s">
        <v>199</v>
      </c>
      <c r="Q3816" s="297" t="s">
        <v>200</v>
      </c>
      <c r="R3816" s="297" t="s">
        <v>213</v>
      </c>
      <c r="S3816" s="297" t="s">
        <v>214</v>
      </c>
    </row>
    <row r="3817" spans="1:19" x14ac:dyDescent="0.4">
      <c r="A3817" s="291"/>
      <c r="B3817" s="292"/>
      <c r="C3817" s="312"/>
      <c r="D3817" s="292"/>
      <c r="E3817" s="489"/>
      <c r="F3817" s="489"/>
      <c r="G3817" s="490"/>
      <c r="H3817" s="520"/>
      <c r="I3817" s="523"/>
      <c r="J3817" s="521"/>
      <c r="K3817" s="522"/>
      <c r="M3817" s="301" t="str">
        <f>N3817&amp;AS[[#This Row],[Insurer Code]]&amp;"; "&amp;O3817&amp;AS[[#This Row],[Reporting Year]]&amp;"; "&amp;P3817&amp;AS[[#This Row],[Insurance Category Code]]&amp;"; "&amp;Q3817&amp;AS[[#This Row],[Large Provider Entity Code]]&amp;"; "&amp;R3817&amp;AS[[#This Row],[Age Band Code]]&amp;"; "&amp;S3817&amp;AS[[#This Row],[Sex Code]]</f>
        <v xml:space="preserve">Insurer Code ; Reporting Year ; Insurance Category Code ; Large Provider Entity Code ; Age Band Code ; Sex Code </v>
      </c>
      <c r="N3817" s="297" t="s">
        <v>197</v>
      </c>
      <c r="O3817" s="297" t="s">
        <v>198</v>
      </c>
      <c r="P3817" s="297" t="s">
        <v>199</v>
      </c>
      <c r="Q3817" s="297" t="s">
        <v>200</v>
      </c>
      <c r="R3817" s="297" t="s">
        <v>213</v>
      </c>
      <c r="S3817" s="297" t="s">
        <v>214</v>
      </c>
    </row>
    <row r="3818" spans="1:19" x14ac:dyDescent="0.4">
      <c r="A3818" s="291"/>
      <c r="B3818" s="292"/>
      <c r="C3818" s="312"/>
      <c r="D3818" s="292"/>
      <c r="E3818" s="489"/>
      <c r="F3818" s="489"/>
      <c r="G3818" s="490"/>
      <c r="H3818" s="520"/>
      <c r="I3818" s="523"/>
      <c r="J3818" s="521"/>
      <c r="K3818" s="522"/>
      <c r="M3818" s="301" t="str">
        <f>N3818&amp;AS[[#This Row],[Insurer Code]]&amp;"; "&amp;O3818&amp;AS[[#This Row],[Reporting Year]]&amp;"; "&amp;P3818&amp;AS[[#This Row],[Insurance Category Code]]&amp;"; "&amp;Q3818&amp;AS[[#This Row],[Large Provider Entity Code]]&amp;"; "&amp;R3818&amp;AS[[#This Row],[Age Band Code]]&amp;"; "&amp;S3818&amp;AS[[#This Row],[Sex Code]]</f>
        <v xml:space="preserve">Insurer Code ; Reporting Year ; Insurance Category Code ; Large Provider Entity Code ; Age Band Code ; Sex Code </v>
      </c>
      <c r="N3818" s="297" t="s">
        <v>197</v>
      </c>
      <c r="O3818" s="297" t="s">
        <v>198</v>
      </c>
      <c r="P3818" s="297" t="s">
        <v>199</v>
      </c>
      <c r="Q3818" s="297" t="s">
        <v>200</v>
      </c>
      <c r="R3818" s="297" t="s">
        <v>213</v>
      </c>
      <c r="S3818" s="297" t="s">
        <v>214</v>
      </c>
    </row>
    <row r="3819" spans="1:19" x14ac:dyDescent="0.4">
      <c r="A3819" s="291"/>
      <c r="B3819" s="292"/>
      <c r="C3819" s="312"/>
      <c r="D3819" s="292"/>
      <c r="E3819" s="489"/>
      <c r="F3819" s="489"/>
      <c r="G3819" s="490"/>
      <c r="H3819" s="520"/>
      <c r="I3819" s="523"/>
      <c r="J3819" s="521"/>
      <c r="K3819" s="522"/>
      <c r="M3819" s="301" t="str">
        <f>N3819&amp;AS[[#This Row],[Insurer Code]]&amp;"; "&amp;O3819&amp;AS[[#This Row],[Reporting Year]]&amp;"; "&amp;P3819&amp;AS[[#This Row],[Insurance Category Code]]&amp;"; "&amp;Q3819&amp;AS[[#This Row],[Large Provider Entity Code]]&amp;"; "&amp;R3819&amp;AS[[#This Row],[Age Band Code]]&amp;"; "&amp;S3819&amp;AS[[#This Row],[Sex Code]]</f>
        <v xml:space="preserve">Insurer Code ; Reporting Year ; Insurance Category Code ; Large Provider Entity Code ; Age Band Code ; Sex Code </v>
      </c>
      <c r="N3819" s="297" t="s">
        <v>197</v>
      </c>
      <c r="O3819" s="297" t="s">
        <v>198</v>
      </c>
      <c r="P3819" s="297" t="s">
        <v>199</v>
      </c>
      <c r="Q3819" s="297" t="s">
        <v>200</v>
      </c>
      <c r="R3819" s="297" t="s">
        <v>213</v>
      </c>
      <c r="S3819" s="297" t="s">
        <v>214</v>
      </c>
    </row>
    <row r="3820" spans="1:19" x14ac:dyDescent="0.4">
      <c r="A3820" s="291"/>
      <c r="B3820" s="292"/>
      <c r="C3820" s="312"/>
      <c r="D3820" s="292"/>
      <c r="E3820" s="489"/>
      <c r="F3820" s="489"/>
      <c r="G3820" s="490"/>
      <c r="H3820" s="520"/>
      <c r="I3820" s="523"/>
      <c r="J3820" s="521"/>
      <c r="K3820" s="522"/>
      <c r="M3820" s="301" t="str">
        <f>N3820&amp;AS[[#This Row],[Insurer Code]]&amp;"; "&amp;O3820&amp;AS[[#This Row],[Reporting Year]]&amp;"; "&amp;P3820&amp;AS[[#This Row],[Insurance Category Code]]&amp;"; "&amp;Q3820&amp;AS[[#This Row],[Large Provider Entity Code]]&amp;"; "&amp;R3820&amp;AS[[#This Row],[Age Band Code]]&amp;"; "&amp;S3820&amp;AS[[#This Row],[Sex Code]]</f>
        <v xml:space="preserve">Insurer Code ; Reporting Year ; Insurance Category Code ; Large Provider Entity Code ; Age Band Code ; Sex Code </v>
      </c>
      <c r="N3820" s="297" t="s">
        <v>197</v>
      </c>
      <c r="O3820" s="297" t="s">
        <v>198</v>
      </c>
      <c r="P3820" s="297" t="s">
        <v>199</v>
      </c>
      <c r="Q3820" s="297" t="s">
        <v>200</v>
      </c>
      <c r="R3820" s="297" t="s">
        <v>213</v>
      </c>
      <c r="S3820" s="297" t="s">
        <v>214</v>
      </c>
    </row>
    <row r="3821" spans="1:19" x14ac:dyDescent="0.4">
      <c r="A3821" s="291"/>
      <c r="B3821" s="292"/>
      <c r="C3821" s="312"/>
      <c r="D3821" s="292"/>
      <c r="E3821" s="489"/>
      <c r="F3821" s="489"/>
      <c r="G3821" s="490"/>
      <c r="H3821" s="520"/>
      <c r="I3821" s="523"/>
      <c r="J3821" s="521"/>
      <c r="K3821" s="522"/>
      <c r="M3821" s="301" t="str">
        <f>N3821&amp;AS[[#This Row],[Insurer Code]]&amp;"; "&amp;O3821&amp;AS[[#This Row],[Reporting Year]]&amp;"; "&amp;P3821&amp;AS[[#This Row],[Insurance Category Code]]&amp;"; "&amp;Q3821&amp;AS[[#This Row],[Large Provider Entity Code]]&amp;"; "&amp;R3821&amp;AS[[#This Row],[Age Band Code]]&amp;"; "&amp;S3821&amp;AS[[#This Row],[Sex Code]]</f>
        <v xml:space="preserve">Insurer Code ; Reporting Year ; Insurance Category Code ; Large Provider Entity Code ; Age Band Code ; Sex Code </v>
      </c>
      <c r="N3821" s="297" t="s">
        <v>197</v>
      </c>
      <c r="O3821" s="297" t="s">
        <v>198</v>
      </c>
      <c r="P3821" s="297" t="s">
        <v>199</v>
      </c>
      <c r="Q3821" s="297" t="s">
        <v>200</v>
      </c>
      <c r="R3821" s="297" t="s">
        <v>213</v>
      </c>
      <c r="S3821" s="297" t="s">
        <v>214</v>
      </c>
    </row>
    <row r="3822" spans="1:19" x14ac:dyDescent="0.4">
      <c r="A3822" s="291"/>
      <c r="B3822" s="292"/>
      <c r="C3822" s="312"/>
      <c r="D3822" s="292"/>
      <c r="E3822" s="489"/>
      <c r="F3822" s="489"/>
      <c r="G3822" s="490"/>
      <c r="H3822" s="520"/>
      <c r="I3822" s="523"/>
      <c r="J3822" s="521"/>
      <c r="K3822" s="522"/>
      <c r="M3822" s="301" t="str">
        <f>N3822&amp;AS[[#This Row],[Insurer Code]]&amp;"; "&amp;O3822&amp;AS[[#This Row],[Reporting Year]]&amp;"; "&amp;P3822&amp;AS[[#This Row],[Insurance Category Code]]&amp;"; "&amp;Q3822&amp;AS[[#This Row],[Large Provider Entity Code]]&amp;"; "&amp;R3822&amp;AS[[#This Row],[Age Band Code]]&amp;"; "&amp;S3822&amp;AS[[#This Row],[Sex Code]]</f>
        <v xml:space="preserve">Insurer Code ; Reporting Year ; Insurance Category Code ; Large Provider Entity Code ; Age Band Code ; Sex Code </v>
      </c>
      <c r="N3822" s="297" t="s">
        <v>197</v>
      </c>
      <c r="O3822" s="297" t="s">
        <v>198</v>
      </c>
      <c r="P3822" s="297" t="s">
        <v>199</v>
      </c>
      <c r="Q3822" s="297" t="s">
        <v>200</v>
      </c>
      <c r="R3822" s="297" t="s">
        <v>213</v>
      </c>
      <c r="S3822" s="297" t="s">
        <v>214</v>
      </c>
    </row>
    <row r="3823" spans="1:19" x14ac:dyDescent="0.4">
      <c r="A3823" s="291"/>
      <c r="B3823" s="292"/>
      <c r="C3823" s="312"/>
      <c r="D3823" s="292"/>
      <c r="E3823" s="489"/>
      <c r="F3823" s="489"/>
      <c r="G3823" s="490"/>
      <c r="H3823" s="520"/>
      <c r="I3823" s="523"/>
      <c r="J3823" s="521"/>
      <c r="K3823" s="522"/>
      <c r="M3823" s="301" t="str">
        <f>N3823&amp;AS[[#This Row],[Insurer Code]]&amp;"; "&amp;O3823&amp;AS[[#This Row],[Reporting Year]]&amp;"; "&amp;P3823&amp;AS[[#This Row],[Insurance Category Code]]&amp;"; "&amp;Q3823&amp;AS[[#This Row],[Large Provider Entity Code]]&amp;"; "&amp;R3823&amp;AS[[#This Row],[Age Band Code]]&amp;"; "&amp;S3823&amp;AS[[#This Row],[Sex Code]]</f>
        <v xml:space="preserve">Insurer Code ; Reporting Year ; Insurance Category Code ; Large Provider Entity Code ; Age Band Code ; Sex Code </v>
      </c>
      <c r="N3823" s="297" t="s">
        <v>197</v>
      </c>
      <c r="O3823" s="297" t="s">
        <v>198</v>
      </c>
      <c r="P3823" s="297" t="s">
        <v>199</v>
      </c>
      <c r="Q3823" s="297" t="s">
        <v>200</v>
      </c>
      <c r="R3823" s="297" t="s">
        <v>213</v>
      </c>
      <c r="S3823" s="297" t="s">
        <v>214</v>
      </c>
    </row>
    <row r="3824" spans="1:19" x14ac:dyDescent="0.4">
      <c r="A3824" s="291"/>
      <c r="B3824" s="292"/>
      <c r="C3824" s="312"/>
      <c r="D3824" s="292"/>
      <c r="E3824" s="489"/>
      <c r="F3824" s="489"/>
      <c r="G3824" s="490"/>
      <c r="H3824" s="520"/>
      <c r="I3824" s="523"/>
      <c r="J3824" s="521"/>
      <c r="K3824" s="522"/>
      <c r="M3824" s="301" t="str">
        <f>N3824&amp;AS[[#This Row],[Insurer Code]]&amp;"; "&amp;O3824&amp;AS[[#This Row],[Reporting Year]]&amp;"; "&amp;P3824&amp;AS[[#This Row],[Insurance Category Code]]&amp;"; "&amp;Q3824&amp;AS[[#This Row],[Large Provider Entity Code]]&amp;"; "&amp;R3824&amp;AS[[#This Row],[Age Band Code]]&amp;"; "&amp;S3824&amp;AS[[#This Row],[Sex Code]]</f>
        <v xml:space="preserve">Insurer Code ; Reporting Year ; Insurance Category Code ; Large Provider Entity Code ; Age Band Code ; Sex Code </v>
      </c>
      <c r="N3824" s="297" t="s">
        <v>197</v>
      </c>
      <c r="O3824" s="297" t="s">
        <v>198</v>
      </c>
      <c r="P3824" s="297" t="s">
        <v>199</v>
      </c>
      <c r="Q3824" s="297" t="s">
        <v>200</v>
      </c>
      <c r="R3824" s="297" t="s">
        <v>213</v>
      </c>
      <c r="S3824" s="297" t="s">
        <v>214</v>
      </c>
    </row>
    <row r="3825" spans="1:19" x14ac:dyDescent="0.4">
      <c r="A3825" s="291"/>
      <c r="B3825" s="292"/>
      <c r="C3825" s="312"/>
      <c r="D3825" s="292"/>
      <c r="E3825" s="489"/>
      <c r="F3825" s="489"/>
      <c r="G3825" s="490"/>
      <c r="H3825" s="520"/>
      <c r="I3825" s="523"/>
      <c r="J3825" s="521"/>
      <c r="K3825" s="522"/>
      <c r="M3825" s="301" t="str">
        <f>N3825&amp;AS[[#This Row],[Insurer Code]]&amp;"; "&amp;O3825&amp;AS[[#This Row],[Reporting Year]]&amp;"; "&amp;P3825&amp;AS[[#This Row],[Insurance Category Code]]&amp;"; "&amp;Q3825&amp;AS[[#This Row],[Large Provider Entity Code]]&amp;"; "&amp;R3825&amp;AS[[#This Row],[Age Band Code]]&amp;"; "&amp;S3825&amp;AS[[#This Row],[Sex Code]]</f>
        <v xml:space="preserve">Insurer Code ; Reporting Year ; Insurance Category Code ; Large Provider Entity Code ; Age Band Code ; Sex Code </v>
      </c>
      <c r="N3825" s="297" t="s">
        <v>197</v>
      </c>
      <c r="O3825" s="297" t="s">
        <v>198</v>
      </c>
      <c r="P3825" s="297" t="s">
        <v>199</v>
      </c>
      <c r="Q3825" s="297" t="s">
        <v>200</v>
      </c>
      <c r="R3825" s="297" t="s">
        <v>213</v>
      </c>
      <c r="S3825" s="297" t="s">
        <v>214</v>
      </c>
    </row>
    <row r="3826" spans="1:19" x14ac:dyDescent="0.4">
      <c r="A3826" s="291"/>
      <c r="B3826" s="292"/>
      <c r="C3826" s="312"/>
      <c r="D3826" s="292"/>
      <c r="E3826" s="489"/>
      <c r="F3826" s="489"/>
      <c r="G3826" s="490"/>
      <c r="H3826" s="520"/>
      <c r="I3826" s="523"/>
      <c r="J3826" s="521"/>
      <c r="K3826" s="522"/>
      <c r="M3826" s="301" t="str">
        <f>N3826&amp;AS[[#This Row],[Insurer Code]]&amp;"; "&amp;O3826&amp;AS[[#This Row],[Reporting Year]]&amp;"; "&amp;P3826&amp;AS[[#This Row],[Insurance Category Code]]&amp;"; "&amp;Q3826&amp;AS[[#This Row],[Large Provider Entity Code]]&amp;"; "&amp;R3826&amp;AS[[#This Row],[Age Band Code]]&amp;"; "&amp;S3826&amp;AS[[#This Row],[Sex Code]]</f>
        <v xml:space="preserve">Insurer Code ; Reporting Year ; Insurance Category Code ; Large Provider Entity Code ; Age Band Code ; Sex Code </v>
      </c>
      <c r="N3826" s="297" t="s">
        <v>197</v>
      </c>
      <c r="O3826" s="297" t="s">
        <v>198</v>
      </c>
      <c r="P3826" s="297" t="s">
        <v>199</v>
      </c>
      <c r="Q3826" s="297" t="s">
        <v>200</v>
      </c>
      <c r="R3826" s="297" t="s">
        <v>213</v>
      </c>
      <c r="S3826" s="297" t="s">
        <v>214</v>
      </c>
    </row>
    <row r="3827" spans="1:19" x14ac:dyDescent="0.4">
      <c r="A3827" s="291"/>
      <c r="B3827" s="292"/>
      <c r="C3827" s="312"/>
      <c r="D3827" s="292"/>
      <c r="E3827" s="489"/>
      <c r="F3827" s="489"/>
      <c r="G3827" s="490"/>
      <c r="H3827" s="520"/>
      <c r="I3827" s="523"/>
      <c r="J3827" s="521"/>
      <c r="K3827" s="522"/>
      <c r="M3827" s="301" t="str">
        <f>N3827&amp;AS[[#This Row],[Insurer Code]]&amp;"; "&amp;O3827&amp;AS[[#This Row],[Reporting Year]]&amp;"; "&amp;P3827&amp;AS[[#This Row],[Insurance Category Code]]&amp;"; "&amp;Q3827&amp;AS[[#This Row],[Large Provider Entity Code]]&amp;"; "&amp;R3827&amp;AS[[#This Row],[Age Band Code]]&amp;"; "&amp;S3827&amp;AS[[#This Row],[Sex Code]]</f>
        <v xml:space="preserve">Insurer Code ; Reporting Year ; Insurance Category Code ; Large Provider Entity Code ; Age Band Code ; Sex Code </v>
      </c>
      <c r="N3827" s="297" t="s">
        <v>197</v>
      </c>
      <c r="O3827" s="297" t="s">
        <v>198</v>
      </c>
      <c r="P3827" s="297" t="s">
        <v>199</v>
      </c>
      <c r="Q3827" s="297" t="s">
        <v>200</v>
      </c>
      <c r="R3827" s="297" t="s">
        <v>213</v>
      </c>
      <c r="S3827" s="297" t="s">
        <v>214</v>
      </c>
    </row>
    <row r="3828" spans="1:19" x14ac:dyDescent="0.4">
      <c r="A3828" s="291"/>
      <c r="B3828" s="292"/>
      <c r="C3828" s="312"/>
      <c r="D3828" s="292"/>
      <c r="E3828" s="489"/>
      <c r="F3828" s="489"/>
      <c r="G3828" s="490"/>
      <c r="H3828" s="520"/>
      <c r="I3828" s="523"/>
      <c r="J3828" s="521"/>
      <c r="K3828" s="522"/>
      <c r="M3828" s="301" t="str">
        <f>N3828&amp;AS[[#This Row],[Insurer Code]]&amp;"; "&amp;O3828&amp;AS[[#This Row],[Reporting Year]]&amp;"; "&amp;P3828&amp;AS[[#This Row],[Insurance Category Code]]&amp;"; "&amp;Q3828&amp;AS[[#This Row],[Large Provider Entity Code]]&amp;"; "&amp;R3828&amp;AS[[#This Row],[Age Band Code]]&amp;"; "&amp;S3828&amp;AS[[#This Row],[Sex Code]]</f>
        <v xml:space="preserve">Insurer Code ; Reporting Year ; Insurance Category Code ; Large Provider Entity Code ; Age Band Code ; Sex Code </v>
      </c>
      <c r="N3828" s="297" t="s">
        <v>197</v>
      </c>
      <c r="O3828" s="297" t="s">
        <v>198</v>
      </c>
      <c r="P3828" s="297" t="s">
        <v>199</v>
      </c>
      <c r="Q3828" s="297" t="s">
        <v>200</v>
      </c>
      <c r="R3828" s="297" t="s">
        <v>213</v>
      </c>
      <c r="S3828" s="297" t="s">
        <v>214</v>
      </c>
    </row>
    <row r="3829" spans="1:19" x14ac:dyDescent="0.4">
      <c r="A3829" s="291"/>
      <c r="B3829" s="292"/>
      <c r="C3829" s="312"/>
      <c r="D3829" s="292"/>
      <c r="E3829" s="489"/>
      <c r="F3829" s="489"/>
      <c r="G3829" s="490"/>
      <c r="H3829" s="520"/>
      <c r="I3829" s="523"/>
      <c r="J3829" s="521"/>
      <c r="K3829" s="522"/>
      <c r="M3829" s="301" t="str">
        <f>N3829&amp;AS[[#This Row],[Insurer Code]]&amp;"; "&amp;O3829&amp;AS[[#This Row],[Reporting Year]]&amp;"; "&amp;P3829&amp;AS[[#This Row],[Insurance Category Code]]&amp;"; "&amp;Q3829&amp;AS[[#This Row],[Large Provider Entity Code]]&amp;"; "&amp;R3829&amp;AS[[#This Row],[Age Band Code]]&amp;"; "&amp;S3829&amp;AS[[#This Row],[Sex Code]]</f>
        <v xml:space="preserve">Insurer Code ; Reporting Year ; Insurance Category Code ; Large Provider Entity Code ; Age Band Code ; Sex Code </v>
      </c>
      <c r="N3829" s="297" t="s">
        <v>197</v>
      </c>
      <c r="O3829" s="297" t="s">
        <v>198</v>
      </c>
      <c r="P3829" s="297" t="s">
        <v>199</v>
      </c>
      <c r="Q3829" s="297" t="s">
        <v>200</v>
      </c>
      <c r="R3829" s="297" t="s">
        <v>213</v>
      </c>
      <c r="S3829" s="297" t="s">
        <v>214</v>
      </c>
    </row>
    <row r="3830" spans="1:19" x14ac:dyDescent="0.4">
      <c r="A3830" s="291"/>
      <c r="B3830" s="292"/>
      <c r="C3830" s="312"/>
      <c r="D3830" s="292"/>
      <c r="E3830" s="489"/>
      <c r="F3830" s="489"/>
      <c r="G3830" s="490"/>
      <c r="H3830" s="520"/>
      <c r="I3830" s="523"/>
      <c r="J3830" s="521"/>
      <c r="K3830" s="522"/>
      <c r="M3830" s="301" t="str">
        <f>N3830&amp;AS[[#This Row],[Insurer Code]]&amp;"; "&amp;O3830&amp;AS[[#This Row],[Reporting Year]]&amp;"; "&amp;P3830&amp;AS[[#This Row],[Insurance Category Code]]&amp;"; "&amp;Q3830&amp;AS[[#This Row],[Large Provider Entity Code]]&amp;"; "&amp;R3830&amp;AS[[#This Row],[Age Band Code]]&amp;"; "&amp;S3830&amp;AS[[#This Row],[Sex Code]]</f>
        <v xml:space="preserve">Insurer Code ; Reporting Year ; Insurance Category Code ; Large Provider Entity Code ; Age Band Code ; Sex Code </v>
      </c>
      <c r="N3830" s="297" t="s">
        <v>197</v>
      </c>
      <c r="O3830" s="297" t="s">
        <v>198</v>
      </c>
      <c r="P3830" s="297" t="s">
        <v>199</v>
      </c>
      <c r="Q3830" s="297" t="s">
        <v>200</v>
      </c>
      <c r="R3830" s="297" t="s">
        <v>213</v>
      </c>
      <c r="S3830" s="297" t="s">
        <v>214</v>
      </c>
    </row>
    <row r="3831" spans="1:19" x14ac:dyDescent="0.4">
      <c r="A3831" s="291"/>
      <c r="B3831" s="292"/>
      <c r="C3831" s="312"/>
      <c r="D3831" s="292"/>
      <c r="E3831" s="489"/>
      <c r="F3831" s="489"/>
      <c r="G3831" s="490"/>
      <c r="H3831" s="520"/>
      <c r="I3831" s="523"/>
      <c r="J3831" s="521"/>
      <c r="K3831" s="522"/>
      <c r="M3831" s="301" t="str">
        <f>N3831&amp;AS[[#This Row],[Insurer Code]]&amp;"; "&amp;O3831&amp;AS[[#This Row],[Reporting Year]]&amp;"; "&amp;P3831&amp;AS[[#This Row],[Insurance Category Code]]&amp;"; "&amp;Q3831&amp;AS[[#This Row],[Large Provider Entity Code]]&amp;"; "&amp;R3831&amp;AS[[#This Row],[Age Band Code]]&amp;"; "&amp;S3831&amp;AS[[#This Row],[Sex Code]]</f>
        <v xml:space="preserve">Insurer Code ; Reporting Year ; Insurance Category Code ; Large Provider Entity Code ; Age Band Code ; Sex Code </v>
      </c>
      <c r="N3831" s="297" t="s">
        <v>197</v>
      </c>
      <c r="O3831" s="297" t="s">
        <v>198</v>
      </c>
      <c r="P3831" s="297" t="s">
        <v>199</v>
      </c>
      <c r="Q3831" s="297" t="s">
        <v>200</v>
      </c>
      <c r="R3831" s="297" t="s">
        <v>213</v>
      </c>
      <c r="S3831" s="297" t="s">
        <v>214</v>
      </c>
    </row>
    <row r="3832" spans="1:19" x14ac:dyDescent="0.4">
      <c r="A3832" s="291"/>
      <c r="B3832" s="292"/>
      <c r="C3832" s="312"/>
      <c r="D3832" s="292"/>
      <c r="E3832" s="489"/>
      <c r="F3832" s="489"/>
      <c r="G3832" s="490"/>
      <c r="H3832" s="520"/>
      <c r="I3832" s="523"/>
      <c r="J3832" s="521"/>
      <c r="K3832" s="522"/>
      <c r="M3832" s="301" t="str">
        <f>N3832&amp;AS[[#This Row],[Insurer Code]]&amp;"; "&amp;O3832&amp;AS[[#This Row],[Reporting Year]]&amp;"; "&amp;P3832&amp;AS[[#This Row],[Insurance Category Code]]&amp;"; "&amp;Q3832&amp;AS[[#This Row],[Large Provider Entity Code]]&amp;"; "&amp;R3832&amp;AS[[#This Row],[Age Band Code]]&amp;"; "&amp;S3832&amp;AS[[#This Row],[Sex Code]]</f>
        <v xml:space="preserve">Insurer Code ; Reporting Year ; Insurance Category Code ; Large Provider Entity Code ; Age Band Code ; Sex Code </v>
      </c>
      <c r="N3832" s="297" t="s">
        <v>197</v>
      </c>
      <c r="O3832" s="297" t="s">
        <v>198</v>
      </c>
      <c r="P3832" s="297" t="s">
        <v>199</v>
      </c>
      <c r="Q3832" s="297" t="s">
        <v>200</v>
      </c>
      <c r="R3832" s="297" t="s">
        <v>213</v>
      </c>
      <c r="S3832" s="297" t="s">
        <v>214</v>
      </c>
    </row>
    <row r="3833" spans="1:19" x14ac:dyDescent="0.4">
      <c r="A3833" s="291"/>
      <c r="B3833" s="292"/>
      <c r="C3833" s="312"/>
      <c r="D3833" s="292"/>
      <c r="E3833" s="489"/>
      <c r="F3833" s="489"/>
      <c r="G3833" s="490"/>
      <c r="H3833" s="520"/>
      <c r="I3833" s="523"/>
      <c r="J3833" s="521"/>
      <c r="K3833" s="522"/>
      <c r="M3833" s="301" t="str">
        <f>N3833&amp;AS[[#This Row],[Insurer Code]]&amp;"; "&amp;O3833&amp;AS[[#This Row],[Reporting Year]]&amp;"; "&amp;P3833&amp;AS[[#This Row],[Insurance Category Code]]&amp;"; "&amp;Q3833&amp;AS[[#This Row],[Large Provider Entity Code]]&amp;"; "&amp;R3833&amp;AS[[#This Row],[Age Band Code]]&amp;"; "&amp;S3833&amp;AS[[#This Row],[Sex Code]]</f>
        <v xml:space="preserve">Insurer Code ; Reporting Year ; Insurance Category Code ; Large Provider Entity Code ; Age Band Code ; Sex Code </v>
      </c>
      <c r="N3833" s="297" t="s">
        <v>197</v>
      </c>
      <c r="O3833" s="297" t="s">
        <v>198</v>
      </c>
      <c r="P3833" s="297" t="s">
        <v>199</v>
      </c>
      <c r="Q3833" s="297" t="s">
        <v>200</v>
      </c>
      <c r="R3833" s="297" t="s">
        <v>213</v>
      </c>
      <c r="S3833" s="297" t="s">
        <v>214</v>
      </c>
    </row>
    <row r="3834" spans="1:19" x14ac:dyDescent="0.4">
      <c r="A3834" s="291"/>
      <c r="B3834" s="292"/>
      <c r="C3834" s="312"/>
      <c r="D3834" s="292"/>
      <c r="E3834" s="489"/>
      <c r="F3834" s="489"/>
      <c r="G3834" s="490"/>
      <c r="H3834" s="520"/>
      <c r="I3834" s="523"/>
      <c r="J3834" s="521"/>
      <c r="K3834" s="522"/>
      <c r="M3834" s="301" t="str">
        <f>N3834&amp;AS[[#This Row],[Insurer Code]]&amp;"; "&amp;O3834&amp;AS[[#This Row],[Reporting Year]]&amp;"; "&amp;P3834&amp;AS[[#This Row],[Insurance Category Code]]&amp;"; "&amp;Q3834&amp;AS[[#This Row],[Large Provider Entity Code]]&amp;"; "&amp;R3834&amp;AS[[#This Row],[Age Band Code]]&amp;"; "&amp;S3834&amp;AS[[#This Row],[Sex Code]]</f>
        <v xml:space="preserve">Insurer Code ; Reporting Year ; Insurance Category Code ; Large Provider Entity Code ; Age Band Code ; Sex Code </v>
      </c>
      <c r="N3834" s="297" t="s">
        <v>197</v>
      </c>
      <c r="O3834" s="297" t="s">
        <v>198</v>
      </c>
      <c r="P3834" s="297" t="s">
        <v>199</v>
      </c>
      <c r="Q3834" s="297" t="s">
        <v>200</v>
      </c>
      <c r="R3834" s="297" t="s">
        <v>213</v>
      </c>
      <c r="S3834" s="297" t="s">
        <v>214</v>
      </c>
    </row>
    <row r="3835" spans="1:19" x14ac:dyDescent="0.4">
      <c r="A3835" s="291"/>
      <c r="B3835" s="292"/>
      <c r="C3835" s="312"/>
      <c r="D3835" s="292"/>
      <c r="E3835" s="489"/>
      <c r="F3835" s="489"/>
      <c r="G3835" s="490"/>
      <c r="H3835" s="520"/>
      <c r="I3835" s="523"/>
      <c r="J3835" s="521"/>
      <c r="K3835" s="522"/>
      <c r="M3835" s="301" t="str">
        <f>N3835&amp;AS[[#This Row],[Insurer Code]]&amp;"; "&amp;O3835&amp;AS[[#This Row],[Reporting Year]]&amp;"; "&amp;P3835&amp;AS[[#This Row],[Insurance Category Code]]&amp;"; "&amp;Q3835&amp;AS[[#This Row],[Large Provider Entity Code]]&amp;"; "&amp;R3835&amp;AS[[#This Row],[Age Band Code]]&amp;"; "&amp;S3835&amp;AS[[#This Row],[Sex Code]]</f>
        <v xml:space="preserve">Insurer Code ; Reporting Year ; Insurance Category Code ; Large Provider Entity Code ; Age Band Code ; Sex Code </v>
      </c>
      <c r="N3835" s="297" t="s">
        <v>197</v>
      </c>
      <c r="O3835" s="297" t="s">
        <v>198</v>
      </c>
      <c r="P3835" s="297" t="s">
        <v>199</v>
      </c>
      <c r="Q3835" s="297" t="s">
        <v>200</v>
      </c>
      <c r="R3835" s="297" t="s">
        <v>213</v>
      </c>
      <c r="S3835" s="297" t="s">
        <v>214</v>
      </c>
    </row>
    <row r="3836" spans="1:19" x14ac:dyDescent="0.4">
      <c r="A3836" s="291"/>
      <c r="B3836" s="292"/>
      <c r="C3836" s="312"/>
      <c r="D3836" s="292"/>
      <c r="E3836" s="489"/>
      <c r="F3836" s="489"/>
      <c r="G3836" s="490"/>
      <c r="H3836" s="520"/>
      <c r="I3836" s="523"/>
      <c r="J3836" s="521"/>
      <c r="K3836" s="522"/>
      <c r="M3836" s="301" t="str">
        <f>N3836&amp;AS[[#This Row],[Insurer Code]]&amp;"; "&amp;O3836&amp;AS[[#This Row],[Reporting Year]]&amp;"; "&amp;P3836&amp;AS[[#This Row],[Insurance Category Code]]&amp;"; "&amp;Q3836&amp;AS[[#This Row],[Large Provider Entity Code]]&amp;"; "&amp;R3836&amp;AS[[#This Row],[Age Band Code]]&amp;"; "&amp;S3836&amp;AS[[#This Row],[Sex Code]]</f>
        <v xml:space="preserve">Insurer Code ; Reporting Year ; Insurance Category Code ; Large Provider Entity Code ; Age Band Code ; Sex Code </v>
      </c>
      <c r="N3836" s="297" t="s">
        <v>197</v>
      </c>
      <c r="O3836" s="297" t="s">
        <v>198</v>
      </c>
      <c r="P3836" s="297" t="s">
        <v>199</v>
      </c>
      <c r="Q3836" s="297" t="s">
        <v>200</v>
      </c>
      <c r="R3836" s="297" t="s">
        <v>213</v>
      </c>
      <c r="S3836" s="297" t="s">
        <v>214</v>
      </c>
    </row>
    <row r="3837" spans="1:19" x14ac:dyDescent="0.4">
      <c r="A3837" s="291"/>
      <c r="B3837" s="292"/>
      <c r="C3837" s="312"/>
      <c r="D3837" s="292"/>
      <c r="E3837" s="489"/>
      <c r="F3837" s="489"/>
      <c r="G3837" s="490"/>
      <c r="H3837" s="520"/>
      <c r="I3837" s="523"/>
      <c r="J3837" s="521"/>
      <c r="K3837" s="522"/>
      <c r="M3837" s="301" t="str">
        <f>N3837&amp;AS[[#This Row],[Insurer Code]]&amp;"; "&amp;O3837&amp;AS[[#This Row],[Reporting Year]]&amp;"; "&amp;P3837&amp;AS[[#This Row],[Insurance Category Code]]&amp;"; "&amp;Q3837&amp;AS[[#This Row],[Large Provider Entity Code]]&amp;"; "&amp;R3837&amp;AS[[#This Row],[Age Band Code]]&amp;"; "&amp;S3837&amp;AS[[#This Row],[Sex Code]]</f>
        <v xml:space="preserve">Insurer Code ; Reporting Year ; Insurance Category Code ; Large Provider Entity Code ; Age Band Code ; Sex Code </v>
      </c>
      <c r="N3837" s="297" t="s">
        <v>197</v>
      </c>
      <c r="O3837" s="297" t="s">
        <v>198</v>
      </c>
      <c r="P3837" s="297" t="s">
        <v>199</v>
      </c>
      <c r="Q3837" s="297" t="s">
        <v>200</v>
      </c>
      <c r="R3837" s="297" t="s">
        <v>213</v>
      </c>
      <c r="S3837" s="297" t="s">
        <v>214</v>
      </c>
    </row>
    <row r="3838" spans="1:19" x14ac:dyDescent="0.4">
      <c r="A3838" s="291"/>
      <c r="B3838" s="292"/>
      <c r="C3838" s="312"/>
      <c r="D3838" s="292"/>
      <c r="E3838" s="489"/>
      <c r="F3838" s="489"/>
      <c r="G3838" s="490"/>
      <c r="H3838" s="520"/>
      <c r="I3838" s="523"/>
      <c r="J3838" s="521"/>
      <c r="K3838" s="522"/>
      <c r="M3838" s="301" t="str">
        <f>N3838&amp;AS[[#This Row],[Insurer Code]]&amp;"; "&amp;O3838&amp;AS[[#This Row],[Reporting Year]]&amp;"; "&amp;P3838&amp;AS[[#This Row],[Insurance Category Code]]&amp;"; "&amp;Q3838&amp;AS[[#This Row],[Large Provider Entity Code]]&amp;"; "&amp;R3838&amp;AS[[#This Row],[Age Band Code]]&amp;"; "&amp;S3838&amp;AS[[#This Row],[Sex Code]]</f>
        <v xml:space="preserve">Insurer Code ; Reporting Year ; Insurance Category Code ; Large Provider Entity Code ; Age Band Code ; Sex Code </v>
      </c>
      <c r="N3838" s="297" t="s">
        <v>197</v>
      </c>
      <c r="O3838" s="297" t="s">
        <v>198</v>
      </c>
      <c r="P3838" s="297" t="s">
        <v>199</v>
      </c>
      <c r="Q3838" s="297" t="s">
        <v>200</v>
      </c>
      <c r="R3838" s="297" t="s">
        <v>213</v>
      </c>
      <c r="S3838" s="297" t="s">
        <v>214</v>
      </c>
    </row>
    <row r="3839" spans="1:19" x14ac:dyDescent="0.4">
      <c r="A3839" s="291"/>
      <c r="B3839" s="292"/>
      <c r="C3839" s="312"/>
      <c r="D3839" s="292"/>
      <c r="E3839" s="489"/>
      <c r="F3839" s="489"/>
      <c r="G3839" s="490"/>
      <c r="H3839" s="520"/>
      <c r="I3839" s="523"/>
      <c r="J3839" s="521"/>
      <c r="K3839" s="522"/>
      <c r="M3839" s="301" t="str">
        <f>N3839&amp;AS[[#This Row],[Insurer Code]]&amp;"; "&amp;O3839&amp;AS[[#This Row],[Reporting Year]]&amp;"; "&amp;P3839&amp;AS[[#This Row],[Insurance Category Code]]&amp;"; "&amp;Q3839&amp;AS[[#This Row],[Large Provider Entity Code]]&amp;"; "&amp;R3839&amp;AS[[#This Row],[Age Band Code]]&amp;"; "&amp;S3839&amp;AS[[#This Row],[Sex Code]]</f>
        <v xml:space="preserve">Insurer Code ; Reporting Year ; Insurance Category Code ; Large Provider Entity Code ; Age Band Code ; Sex Code </v>
      </c>
      <c r="N3839" s="297" t="s">
        <v>197</v>
      </c>
      <c r="O3839" s="297" t="s">
        <v>198</v>
      </c>
      <c r="P3839" s="297" t="s">
        <v>199</v>
      </c>
      <c r="Q3839" s="297" t="s">
        <v>200</v>
      </c>
      <c r="R3839" s="297" t="s">
        <v>213</v>
      </c>
      <c r="S3839" s="297" t="s">
        <v>214</v>
      </c>
    </row>
    <row r="3840" spans="1:19" x14ac:dyDescent="0.4">
      <c r="A3840" s="291"/>
      <c r="B3840" s="292"/>
      <c r="C3840" s="312"/>
      <c r="D3840" s="292"/>
      <c r="E3840" s="489"/>
      <c r="F3840" s="489"/>
      <c r="G3840" s="490"/>
      <c r="H3840" s="520"/>
      <c r="I3840" s="523"/>
      <c r="J3840" s="521"/>
      <c r="K3840" s="522"/>
      <c r="M3840" s="301" t="str">
        <f>N3840&amp;AS[[#This Row],[Insurer Code]]&amp;"; "&amp;O3840&amp;AS[[#This Row],[Reporting Year]]&amp;"; "&amp;P3840&amp;AS[[#This Row],[Insurance Category Code]]&amp;"; "&amp;Q3840&amp;AS[[#This Row],[Large Provider Entity Code]]&amp;"; "&amp;R3840&amp;AS[[#This Row],[Age Band Code]]&amp;"; "&amp;S3840&amp;AS[[#This Row],[Sex Code]]</f>
        <v xml:space="preserve">Insurer Code ; Reporting Year ; Insurance Category Code ; Large Provider Entity Code ; Age Band Code ; Sex Code </v>
      </c>
      <c r="N3840" s="297" t="s">
        <v>197</v>
      </c>
      <c r="O3840" s="297" t="s">
        <v>198</v>
      </c>
      <c r="P3840" s="297" t="s">
        <v>199</v>
      </c>
      <c r="Q3840" s="297" t="s">
        <v>200</v>
      </c>
      <c r="R3840" s="297" t="s">
        <v>213</v>
      </c>
      <c r="S3840" s="297" t="s">
        <v>214</v>
      </c>
    </row>
    <row r="3841" spans="1:19" x14ac:dyDescent="0.4">
      <c r="A3841" s="291"/>
      <c r="B3841" s="292"/>
      <c r="C3841" s="312"/>
      <c r="D3841" s="292"/>
      <c r="E3841" s="489"/>
      <c r="F3841" s="489"/>
      <c r="G3841" s="490"/>
      <c r="H3841" s="520"/>
      <c r="I3841" s="523"/>
      <c r="J3841" s="521"/>
      <c r="K3841" s="522"/>
      <c r="M3841" s="301" t="str">
        <f>N3841&amp;AS[[#This Row],[Insurer Code]]&amp;"; "&amp;O3841&amp;AS[[#This Row],[Reporting Year]]&amp;"; "&amp;P3841&amp;AS[[#This Row],[Insurance Category Code]]&amp;"; "&amp;Q3841&amp;AS[[#This Row],[Large Provider Entity Code]]&amp;"; "&amp;R3841&amp;AS[[#This Row],[Age Band Code]]&amp;"; "&amp;S3841&amp;AS[[#This Row],[Sex Code]]</f>
        <v xml:space="preserve">Insurer Code ; Reporting Year ; Insurance Category Code ; Large Provider Entity Code ; Age Band Code ; Sex Code </v>
      </c>
      <c r="N3841" s="297" t="s">
        <v>197</v>
      </c>
      <c r="O3841" s="297" t="s">
        <v>198</v>
      </c>
      <c r="P3841" s="297" t="s">
        <v>199</v>
      </c>
      <c r="Q3841" s="297" t="s">
        <v>200</v>
      </c>
      <c r="R3841" s="297" t="s">
        <v>213</v>
      </c>
      <c r="S3841" s="297" t="s">
        <v>214</v>
      </c>
    </row>
    <row r="3842" spans="1:19" x14ac:dyDescent="0.4">
      <c r="A3842" s="291"/>
      <c r="B3842" s="292"/>
      <c r="C3842" s="312"/>
      <c r="D3842" s="292"/>
      <c r="E3842" s="489"/>
      <c r="F3842" s="489"/>
      <c r="G3842" s="490"/>
      <c r="H3842" s="520"/>
      <c r="I3842" s="523"/>
      <c r="J3842" s="521"/>
      <c r="K3842" s="522"/>
      <c r="M3842" s="301" t="str">
        <f>N3842&amp;AS[[#This Row],[Insurer Code]]&amp;"; "&amp;O3842&amp;AS[[#This Row],[Reporting Year]]&amp;"; "&amp;P3842&amp;AS[[#This Row],[Insurance Category Code]]&amp;"; "&amp;Q3842&amp;AS[[#This Row],[Large Provider Entity Code]]&amp;"; "&amp;R3842&amp;AS[[#This Row],[Age Band Code]]&amp;"; "&amp;S3842&amp;AS[[#This Row],[Sex Code]]</f>
        <v xml:space="preserve">Insurer Code ; Reporting Year ; Insurance Category Code ; Large Provider Entity Code ; Age Band Code ; Sex Code </v>
      </c>
      <c r="N3842" s="297" t="s">
        <v>197</v>
      </c>
      <c r="O3842" s="297" t="s">
        <v>198</v>
      </c>
      <c r="P3842" s="297" t="s">
        <v>199</v>
      </c>
      <c r="Q3842" s="297" t="s">
        <v>200</v>
      </c>
      <c r="R3842" s="297" t="s">
        <v>213</v>
      </c>
      <c r="S3842" s="297" t="s">
        <v>214</v>
      </c>
    </row>
    <row r="3843" spans="1:19" x14ac:dyDescent="0.4">
      <c r="A3843" s="291"/>
      <c r="B3843" s="292"/>
      <c r="C3843" s="312"/>
      <c r="D3843" s="292"/>
      <c r="E3843" s="489"/>
      <c r="F3843" s="489"/>
      <c r="G3843" s="490"/>
      <c r="H3843" s="520"/>
      <c r="I3843" s="523"/>
      <c r="J3843" s="521"/>
      <c r="K3843" s="522"/>
      <c r="M3843" s="301" t="str">
        <f>N3843&amp;AS[[#This Row],[Insurer Code]]&amp;"; "&amp;O3843&amp;AS[[#This Row],[Reporting Year]]&amp;"; "&amp;P3843&amp;AS[[#This Row],[Insurance Category Code]]&amp;"; "&amp;Q3843&amp;AS[[#This Row],[Large Provider Entity Code]]&amp;"; "&amp;R3843&amp;AS[[#This Row],[Age Band Code]]&amp;"; "&amp;S3843&amp;AS[[#This Row],[Sex Code]]</f>
        <v xml:space="preserve">Insurer Code ; Reporting Year ; Insurance Category Code ; Large Provider Entity Code ; Age Band Code ; Sex Code </v>
      </c>
      <c r="N3843" s="297" t="s">
        <v>197</v>
      </c>
      <c r="O3843" s="297" t="s">
        <v>198</v>
      </c>
      <c r="P3843" s="297" t="s">
        <v>199</v>
      </c>
      <c r="Q3843" s="297" t="s">
        <v>200</v>
      </c>
      <c r="R3843" s="297" t="s">
        <v>213</v>
      </c>
      <c r="S3843" s="297" t="s">
        <v>214</v>
      </c>
    </row>
    <row r="3844" spans="1:19" x14ac:dyDescent="0.4">
      <c r="A3844" s="291"/>
      <c r="B3844" s="292"/>
      <c r="C3844" s="312"/>
      <c r="D3844" s="292"/>
      <c r="E3844" s="489"/>
      <c r="F3844" s="489"/>
      <c r="G3844" s="490"/>
      <c r="H3844" s="520"/>
      <c r="I3844" s="523"/>
      <c r="J3844" s="521"/>
      <c r="K3844" s="522"/>
      <c r="M3844" s="301" t="str">
        <f>N3844&amp;AS[[#This Row],[Insurer Code]]&amp;"; "&amp;O3844&amp;AS[[#This Row],[Reporting Year]]&amp;"; "&amp;P3844&amp;AS[[#This Row],[Insurance Category Code]]&amp;"; "&amp;Q3844&amp;AS[[#This Row],[Large Provider Entity Code]]&amp;"; "&amp;R3844&amp;AS[[#This Row],[Age Band Code]]&amp;"; "&amp;S3844&amp;AS[[#This Row],[Sex Code]]</f>
        <v xml:space="preserve">Insurer Code ; Reporting Year ; Insurance Category Code ; Large Provider Entity Code ; Age Band Code ; Sex Code </v>
      </c>
      <c r="N3844" s="297" t="s">
        <v>197</v>
      </c>
      <c r="O3844" s="297" t="s">
        <v>198</v>
      </c>
      <c r="P3844" s="297" t="s">
        <v>199</v>
      </c>
      <c r="Q3844" s="297" t="s">
        <v>200</v>
      </c>
      <c r="R3844" s="297" t="s">
        <v>213</v>
      </c>
      <c r="S3844" s="297" t="s">
        <v>214</v>
      </c>
    </row>
    <row r="3845" spans="1:19" x14ac:dyDescent="0.4">
      <c r="A3845" s="291"/>
      <c r="B3845" s="292"/>
      <c r="C3845" s="312"/>
      <c r="D3845" s="292"/>
      <c r="E3845" s="489"/>
      <c r="F3845" s="489"/>
      <c r="G3845" s="490"/>
      <c r="H3845" s="520"/>
      <c r="I3845" s="523"/>
      <c r="J3845" s="521"/>
      <c r="K3845" s="522"/>
      <c r="M3845" s="301" t="str">
        <f>N3845&amp;AS[[#This Row],[Insurer Code]]&amp;"; "&amp;O3845&amp;AS[[#This Row],[Reporting Year]]&amp;"; "&amp;P3845&amp;AS[[#This Row],[Insurance Category Code]]&amp;"; "&amp;Q3845&amp;AS[[#This Row],[Large Provider Entity Code]]&amp;"; "&amp;R3845&amp;AS[[#This Row],[Age Band Code]]&amp;"; "&amp;S3845&amp;AS[[#This Row],[Sex Code]]</f>
        <v xml:space="preserve">Insurer Code ; Reporting Year ; Insurance Category Code ; Large Provider Entity Code ; Age Band Code ; Sex Code </v>
      </c>
      <c r="N3845" s="297" t="s">
        <v>197</v>
      </c>
      <c r="O3845" s="297" t="s">
        <v>198</v>
      </c>
      <c r="P3845" s="297" t="s">
        <v>199</v>
      </c>
      <c r="Q3845" s="297" t="s">
        <v>200</v>
      </c>
      <c r="R3845" s="297" t="s">
        <v>213</v>
      </c>
      <c r="S3845" s="297" t="s">
        <v>214</v>
      </c>
    </row>
    <row r="3846" spans="1:19" x14ac:dyDescent="0.4">
      <c r="A3846" s="291"/>
      <c r="B3846" s="292"/>
      <c r="C3846" s="312"/>
      <c r="D3846" s="292"/>
      <c r="E3846" s="489"/>
      <c r="F3846" s="489"/>
      <c r="G3846" s="490"/>
      <c r="H3846" s="520"/>
      <c r="I3846" s="523"/>
      <c r="J3846" s="521"/>
      <c r="K3846" s="522"/>
      <c r="M3846" s="301" t="str">
        <f>N3846&amp;AS[[#This Row],[Insurer Code]]&amp;"; "&amp;O3846&amp;AS[[#This Row],[Reporting Year]]&amp;"; "&amp;P3846&amp;AS[[#This Row],[Insurance Category Code]]&amp;"; "&amp;Q3846&amp;AS[[#This Row],[Large Provider Entity Code]]&amp;"; "&amp;R3846&amp;AS[[#This Row],[Age Band Code]]&amp;"; "&amp;S3846&amp;AS[[#This Row],[Sex Code]]</f>
        <v xml:space="preserve">Insurer Code ; Reporting Year ; Insurance Category Code ; Large Provider Entity Code ; Age Band Code ; Sex Code </v>
      </c>
      <c r="N3846" s="297" t="s">
        <v>197</v>
      </c>
      <c r="O3846" s="297" t="s">
        <v>198</v>
      </c>
      <c r="P3846" s="297" t="s">
        <v>199</v>
      </c>
      <c r="Q3846" s="297" t="s">
        <v>200</v>
      </c>
      <c r="R3846" s="297" t="s">
        <v>213</v>
      </c>
      <c r="S3846" s="297" t="s">
        <v>214</v>
      </c>
    </row>
    <row r="3847" spans="1:19" x14ac:dyDescent="0.4">
      <c r="A3847" s="291"/>
      <c r="B3847" s="292"/>
      <c r="C3847" s="312"/>
      <c r="D3847" s="292"/>
      <c r="E3847" s="489"/>
      <c r="F3847" s="489"/>
      <c r="G3847" s="490"/>
      <c r="H3847" s="520"/>
      <c r="I3847" s="523"/>
      <c r="J3847" s="521"/>
      <c r="K3847" s="522"/>
      <c r="M3847" s="301" t="str">
        <f>N3847&amp;AS[[#This Row],[Insurer Code]]&amp;"; "&amp;O3847&amp;AS[[#This Row],[Reporting Year]]&amp;"; "&amp;P3847&amp;AS[[#This Row],[Insurance Category Code]]&amp;"; "&amp;Q3847&amp;AS[[#This Row],[Large Provider Entity Code]]&amp;"; "&amp;R3847&amp;AS[[#This Row],[Age Band Code]]&amp;"; "&amp;S3847&amp;AS[[#This Row],[Sex Code]]</f>
        <v xml:space="preserve">Insurer Code ; Reporting Year ; Insurance Category Code ; Large Provider Entity Code ; Age Band Code ; Sex Code </v>
      </c>
      <c r="N3847" s="297" t="s">
        <v>197</v>
      </c>
      <c r="O3847" s="297" t="s">
        <v>198</v>
      </c>
      <c r="P3847" s="297" t="s">
        <v>199</v>
      </c>
      <c r="Q3847" s="297" t="s">
        <v>200</v>
      </c>
      <c r="R3847" s="297" t="s">
        <v>213</v>
      </c>
      <c r="S3847" s="297" t="s">
        <v>214</v>
      </c>
    </row>
    <row r="3848" spans="1:19" x14ac:dyDescent="0.4">
      <c r="A3848" s="291"/>
      <c r="B3848" s="292"/>
      <c r="C3848" s="312"/>
      <c r="D3848" s="292"/>
      <c r="E3848" s="489"/>
      <c r="F3848" s="489"/>
      <c r="G3848" s="490"/>
      <c r="H3848" s="520"/>
      <c r="I3848" s="523"/>
      <c r="J3848" s="521"/>
      <c r="K3848" s="522"/>
      <c r="M3848" s="301" t="str">
        <f>N3848&amp;AS[[#This Row],[Insurer Code]]&amp;"; "&amp;O3848&amp;AS[[#This Row],[Reporting Year]]&amp;"; "&amp;P3848&amp;AS[[#This Row],[Insurance Category Code]]&amp;"; "&amp;Q3848&amp;AS[[#This Row],[Large Provider Entity Code]]&amp;"; "&amp;R3848&amp;AS[[#This Row],[Age Band Code]]&amp;"; "&amp;S3848&amp;AS[[#This Row],[Sex Code]]</f>
        <v xml:space="preserve">Insurer Code ; Reporting Year ; Insurance Category Code ; Large Provider Entity Code ; Age Band Code ; Sex Code </v>
      </c>
      <c r="N3848" s="297" t="s">
        <v>197</v>
      </c>
      <c r="O3848" s="297" t="s">
        <v>198</v>
      </c>
      <c r="P3848" s="297" t="s">
        <v>199</v>
      </c>
      <c r="Q3848" s="297" t="s">
        <v>200</v>
      </c>
      <c r="R3848" s="297" t="s">
        <v>213</v>
      </c>
      <c r="S3848" s="297" t="s">
        <v>214</v>
      </c>
    </row>
    <row r="3849" spans="1:19" x14ac:dyDescent="0.4">
      <c r="A3849" s="291"/>
      <c r="B3849" s="292"/>
      <c r="C3849" s="312"/>
      <c r="D3849" s="292"/>
      <c r="E3849" s="489"/>
      <c r="F3849" s="489"/>
      <c r="G3849" s="490"/>
      <c r="H3849" s="520"/>
      <c r="I3849" s="523"/>
      <c r="J3849" s="521"/>
      <c r="K3849" s="522"/>
      <c r="M3849" s="301" t="str">
        <f>N3849&amp;AS[[#This Row],[Insurer Code]]&amp;"; "&amp;O3849&amp;AS[[#This Row],[Reporting Year]]&amp;"; "&amp;P3849&amp;AS[[#This Row],[Insurance Category Code]]&amp;"; "&amp;Q3849&amp;AS[[#This Row],[Large Provider Entity Code]]&amp;"; "&amp;R3849&amp;AS[[#This Row],[Age Band Code]]&amp;"; "&amp;S3849&amp;AS[[#This Row],[Sex Code]]</f>
        <v xml:space="preserve">Insurer Code ; Reporting Year ; Insurance Category Code ; Large Provider Entity Code ; Age Band Code ; Sex Code </v>
      </c>
      <c r="N3849" s="297" t="s">
        <v>197</v>
      </c>
      <c r="O3849" s="297" t="s">
        <v>198</v>
      </c>
      <c r="P3849" s="297" t="s">
        <v>199</v>
      </c>
      <c r="Q3849" s="297" t="s">
        <v>200</v>
      </c>
      <c r="R3849" s="297" t="s">
        <v>213</v>
      </c>
      <c r="S3849" s="297" t="s">
        <v>214</v>
      </c>
    </row>
    <row r="3850" spans="1:19" x14ac:dyDescent="0.4">
      <c r="A3850" s="291"/>
      <c r="B3850" s="292"/>
      <c r="C3850" s="312"/>
      <c r="D3850" s="292"/>
      <c r="E3850" s="489"/>
      <c r="F3850" s="489"/>
      <c r="G3850" s="490"/>
      <c r="H3850" s="520"/>
      <c r="I3850" s="523"/>
      <c r="J3850" s="521"/>
      <c r="K3850" s="522"/>
      <c r="M3850" s="301" t="str">
        <f>N3850&amp;AS[[#This Row],[Insurer Code]]&amp;"; "&amp;O3850&amp;AS[[#This Row],[Reporting Year]]&amp;"; "&amp;P3850&amp;AS[[#This Row],[Insurance Category Code]]&amp;"; "&amp;Q3850&amp;AS[[#This Row],[Large Provider Entity Code]]&amp;"; "&amp;R3850&amp;AS[[#This Row],[Age Band Code]]&amp;"; "&amp;S3850&amp;AS[[#This Row],[Sex Code]]</f>
        <v xml:space="preserve">Insurer Code ; Reporting Year ; Insurance Category Code ; Large Provider Entity Code ; Age Band Code ; Sex Code </v>
      </c>
      <c r="N3850" s="297" t="s">
        <v>197</v>
      </c>
      <c r="O3850" s="297" t="s">
        <v>198</v>
      </c>
      <c r="P3850" s="297" t="s">
        <v>199</v>
      </c>
      <c r="Q3850" s="297" t="s">
        <v>200</v>
      </c>
      <c r="R3850" s="297" t="s">
        <v>213</v>
      </c>
      <c r="S3850" s="297" t="s">
        <v>214</v>
      </c>
    </row>
    <row r="3851" spans="1:19" x14ac:dyDescent="0.4">
      <c r="A3851" s="291"/>
      <c r="B3851" s="292"/>
      <c r="C3851" s="312"/>
      <c r="D3851" s="292"/>
      <c r="E3851" s="489"/>
      <c r="F3851" s="489"/>
      <c r="G3851" s="490"/>
      <c r="H3851" s="520"/>
      <c r="I3851" s="523"/>
      <c r="J3851" s="521"/>
      <c r="K3851" s="522"/>
      <c r="M3851" s="301" t="str">
        <f>N3851&amp;AS[[#This Row],[Insurer Code]]&amp;"; "&amp;O3851&amp;AS[[#This Row],[Reporting Year]]&amp;"; "&amp;P3851&amp;AS[[#This Row],[Insurance Category Code]]&amp;"; "&amp;Q3851&amp;AS[[#This Row],[Large Provider Entity Code]]&amp;"; "&amp;R3851&amp;AS[[#This Row],[Age Band Code]]&amp;"; "&amp;S3851&amp;AS[[#This Row],[Sex Code]]</f>
        <v xml:space="preserve">Insurer Code ; Reporting Year ; Insurance Category Code ; Large Provider Entity Code ; Age Band Code ; Sex Code </v>
      </c>
      <c r="N3851" s="297" t="s">
        <v>197</v>
      </c>
      <c r="O3851" s="297" t="s">
        <v>198</v>
      </c>
      <c r="P3851" s="297" t="s">
        <v>199</v>
      </c>
      <c r="Q3851" s="297" t="s">
        <v>200</v>
      </c>
      <c r="R3851" s="297" t="s">
        <v>213</v>
      </c>
      <c r="S3851" s="297" t="s">
        <v>214</v>
      </c>
    </row>
    <row r="3852" spans="1:19" x14ac:dyDescent="0.4">
      <c r="A3852" s="291"/>
      <c r="B3852" s="292"/>
      <c r="C3852" s="312"/>
      <c r="D3852" s="292"/>
      <c r="E3852" s="489"/>
      <c r="F3852" s="489"/>
      <c r="G3852" s="490"/>
      <c r="H3852" s="520"/>
      <c r="I3852" s="523"/>
      <c r="J3852" s="521"/>
      <c r="K3852" s="522"/>
      <c r="M3852" s="301" t="str">
        <f>N3852&amp;AS[[#This Row],[Insurer Code]]&amp;"; "&amp;O3852&amp;AS[[#This Row],[Reporting Year]]&amp;"; "&amp;P3852&amp;AS[[#This Row],[Insurance Category Code]]&amp;"; "&amp;Q3852&amp;AS[[#This Row],[Large Provider Entity Code]]&amp;"; "&amp;R3852&amp;AS[[#This Row],[Age Band Code]]&amp;"; "&amp;S3852&amp;AS[[#This Row],[Sex Code]]</f>
        <v xml:space="preserve">Insurer Code ; Reporting Year ; Insurance Category Code ; Large Provider Entity Code ; Age Band Code ; Sex Code </v>
      </c>
      <c r="N3852" s="297" t="s">
        <v>197</v>
      </c>
      <c r="O3852" s="297" t="s">
        <v>198</v>
      </c>
      <c r="P3852" s="297" t="s">
        <v>199</v>
      </c>
      <c r="Q3852" s="297" t="s">
        <v>200</v>
      </c>
      <c r="R3852" s="297" t="s">
        <v>213</v>
      </c>
      <c r="S3852" s="297" t="s">
        <v>214</v>
      </c>
    </row>
    <row r="3853" spans="1:19" x14ac:dyDescent="0.4">
      <c r="A3853" s="291"/>
      <c r="B3853" s="292"/>
      <c r="C3853" s="312"/>
      <c r="D3853" s="292"/>
      <c r="E3853" s="489"/>
      <c r="F3853" s="489"/>
      <c r="G3853" s="490"/>
      <c r="H3853" s="520"/>
      <c r="I3853" s="523"/>
      <c r="J3853" s="521"/>
      <c r="K3853" s="522"/>
      <c r="M3853" s="301" t="str">
        <f>N3853&amp;AS[[#This Row],[Insurer Code]]&amp;"; "&amp;O3853&amp;AS[[#This Row],[Reporting Year]]&amp;"; "&amp;P3853&amp;AS[[#This Row],[Insurance Category Code]]&amp;"; "&amp;Q3853&amp;AS[[#This Row],[Large Provider Entity Code]]&amp;"; "&amp;R3853&amp;AS[[#This Row],[Age Band Code]]&amp;"; "&amp;S3853&amp;AS[[#This Row],[Sex Code]]</f>
        <v xml:space="preserve">Insurer Code ; Reporting Year ; Insurance Category Code ; Large Provider Entity Code ; Age Band Code ; Sex Code </v>
      </c>
      <c r="N3853" s="297" t="s">
        <v>197</v>
      </c>
      <c r="O3853" s="297" t="s">
        <v>198</v>
      </c>
      <c r="P3853" s="297" t="s">
        <v>199</v>
      </c>
      <c r="Q3853" s="297" t="s">
        <v>200</v>
      </c>
      <c r="R3853" s="297" t="s">
        <v>213</v>
      </c>
      <c r="S3853" s="297" t="s">
        <v>214</v>
      </c>
    </row>
    <row r="3854" spans="1:19" x14ac:dyDescent="0.4">
      <c r="A3854" s="291"/>
      <c r="B3854" s="292"/>
      <c r="C3854" s="312"/>
      <c r="D3854" s="292"/>
      <c r="E3854" s="489"/>
      <c r="F3854" s="489"/>
      <c r="G3854" s="490"/>
      <c r="H3854" s="520"/>
      <c r="I3854" s="523"/>
      <c r="J3854" s="521"/>
      <c r="K3854" s="522"/>
      <c r="M3854" s="301" t="str">
        <f>N3854&amp;AS[[#This Row],[Insurer Code]]&amp;"; "&amp;O3854&amp;AS[[#This Row],[Reporting Year]]&amp;"; "&amp;P3854&amp;AS[[#This Row],[Insurance Category Code]]&amp;"; "&amp;Q3854&amp;AS[[#This Row],[Large Provider Entity Code]]&amp;"; "&amp;R3854&amp;AS[[#This Row],[Age Band Code]]&amp;"; "&amp;S3854&amp;AS[[#This Row],[Sex Code]]</f>
        <v xml:space="preserve">Insurer Code ; Reporting Year ; Insurance Category Code ; Large Provider Entity Code ; Age Band Code ; Sex Code </v>
      </c>
      <c r="N3854" s="297" t="s">
        <v>197</v>
      </c>
      <c r="O3854" s="297" t="s">
        <v>198</v>
      </c>
      <c r="P3854" s="297" t="s">
        <v>199</v>
      </c>
      <c r="Q3854" s="297" t="s">
        <v>200</v>
      </c>
      <c r="R3854" s="297" t="s">
        <v>213</v>
      </c>
      <c r="S3854" s="297" t="s">
        <v>214</v>
      </c>
    </row>
    <row r="3855" spans="1:19" x14ac:dyDescent="0.4">
      <c r="A3855" s="291"/>
      <c r="B3855" s="292"/>
      <c r="C3855" s="312"/>
      <c r="D3855" s="292"/>
      <c r="E3855" s="489"/>
      <c r="F3855" s="489"/>
      <c r="G3855" s="490"/>
      <c r="H3855" s="520"/>
      <c r="I3855" s="523"/>
      <c r="J3855" s="521"/>
      <c r="K3855" s="522"/>
      <c r="M3855" s="301" t="str">
        <f>N3855&amp;AS[[#This Row],[Insurer Code]]&amp;"; "&amp;O3855&amp;AS[[#This Row],[Reporting Year]]&amp;"; "&amp;P3855&amp;AS[[#This Row],[Insurance Category Code]]&amp;"; "&amp;Q3855&amp;AS[[#This Row],[Large Provider Entity Code]]&amp;"; "&amp;R3855&amp;AS[[#This Row],[Age Band Code]]&amp;"; "&amp;S3855&amp;AS[[#This Row],[Sex Code]]</f>
        <v xml:space="preserve">Insurer Code ; Reporting Year ; Insurance Category Code ; Large Provider Entity Code ; Age Band Code ; Sex Code </v>
      </c>
      <c r="N3855" s="297" t="s">
        <v>197</v>
      </c>
      <c r="O3855" s="297" t="s">
        <v>198</v>
      </c>
      <c r="P3855" s="297" t="s">
        <v>199</v>
      </c>
      <c r="Q3855" s="297" t="s">
        <v>200</v>
      </c>
      <c r="R3855" s="297" t="s">
        <v>213</v>
      </c>
      <c r="S3855" s="297" t="s">
        <v>214</v>
      </c>
    </row>
    <row r="3856" spans="1:19" x14ac:dyDescent="0.4">
      <c r="A3856" s="291"/>
      <c r="B3856" s="292"/>
      <c r="C3856" s="312"/>
      <c r="D3856" s="292"/>
      <c r="E3856" s="489"/>
      <c r="F3856" s="489"/>
      <c r="G3856" s="490"/>
      <c r="H3856" s="520"/>
      <c r="I3856" s="523"/>
      <c r="J3856" s="521"/>
      <c r="K3856" s="522"/>
      <c r="M3856" s="301" t="str">
        <f>N3856&amp;AS[[#This Row],[Insurer Code]]&amp;"; "&amp;O3856&amp;AS[[#This Row],[Reporting Year]]&amp;"; "&amp;P3856&amp;AS[[#This Row],[Insurance Category Code]]&amp;"; "&amp;Q3856&amp;AS[[#This Row],[Large Provider Entity Code]]&amp;"; "&amp;R3856&amp;AS[[#This Row],[Age Band Code]]&amp;"; "&amp;S3856&amp;AS[[#This Row],[Sex Code]]</f>
        <v xml:space="preserve">Insurer Code ; Reporting Year ; Insurance Category Code ; Large Provider Entity Code ; Age Band Code ; Sex Code </v>
      </c>
      <c r="N3856" s="297" t="s">
        <v>197</v>
      </c>
      <c r="O3856" s="297" t="s">
        <v>198</v>
      </c>
      <c r="P3856" s="297" t="s">
        <v>199</v>
      </c>
      <c r="Q3856" s="297" t="s">
        <v>200</v>
      </c>
      <c r="R3856" s="297" t="s">
        <v>213</v>
      </c>
      <c r="S3856" s="297" t="s">
        <v>214</v>
      </c>
    </row>
    <row r="3857" spans="1:19" x14ac:dyDescent="0.4">
      <c r="A3857" s="291"/>
      <c r="B3857" s="292"/>
      <c r="C3857" s="312"/>
      <c r="D3857" s="292"/>
      <c r="E3857" s="489"/>
      <c r="F3857" s="489"/>
      <c r="G3857" s="490"/>
      <c r="H3857" s="520"/>
      <c r="I3857" s="523"/>
      <c r="J3857" s="521"/>
      <c r="K3857" s="522"/>
      <c r="M3857" s="301" t="str">
        <f>N3857&amp;AS[[#This Row],[Insurer Code]]&amp;"; "&amp;O3857&amp;AS[[#This Row],[Reporting Year]]&amp;"; "&amp;P3857&amp;AS[[#This Row],[Insurance Category Code]]&amp;"; "&amp;Q3857&amp;AS[[#This Row],[Large Provider Entity Code]]&amp;"; "&amp;R3857&amp;AS[[#This Row],[Age Band Code]]&amp;"; "&amp;S3857&amp;AS[[#This Row],[Sex Code]]</f>
        <v xml:space="preserve">Insurer Code ; Reporting Year ; Insurance Category Code ; Large Provider Entity Code ; Age Band Code ; Sex Code </v>
      </c>
      <c r="N3857" s="297" t="s">
        <v>197</v>
      </c>
      <c r="O3857" s="297" t="s">
        <v>198</v>
      </c>
      <c r="P3857" s="297" t="s">
        <v>199</v>
      </c>
      <c r="Q3857" s="297" t="s">
        <v>200</v>
      </c>
      <c r="R3857" s="297" t="s">
        <v>213</v>
      </c>
      <c r="S3857" s="297" t="s">
        <v>214</v>
      </c>
    </row>
    <row r="3858" spans="1:19" x14ac:dyDescent="0.4">
      <c r="A3858" s="291"/>
      <c r="B3858" s="292"/>
      <c r="C3858" s="312"/>
      <c r="D3858" s="292"/>
      <c r="E3858" s="489"/>
      <c r="F3858" s="489"/>
      <c r="G3858" s="490"/>
      <c r="H3858" s="520"/>
      <c r="I3858" s="523"/>
      <c r="J3858" s="521"/>
      <c r="K3858" s="522"/>
      <c r="M3858" s="301" t="str">
        <f>N3858&amp;AS[[#This Row],[Insurer Code]]&amp;"; "&amp;O3858&amp;AS[[#This Row],[Reporting Year]]&amp;"; "&amp;P3858&amp;AS[[#This Row],[Insurance Category Code]]&amp;"; "&amp;Q3858&amp;AS[[#This Row],[Large Provider Entity Code]]&amp;"; "&amp;R3858&amp;AS[[#This Row],[Age Band Code]]&amp;"; "&amp;S3858&amp;AS[[#This Row],[Sex Code]]</f>
        <v xml:space="preserve">Insurer Code ; Reporting Year ; Insurance Category Code ; Large Provider Entity Code ; Age Band Code ; Sex Code </v>
      </c>
      <c r="N3858" s="297" t="s">
        <v>197</v>
      </c>
      <c r="O3858" s="297" t="s">
        <v>198</v>
      </c>
      <c r="P3858" s="297" t="s">
        <v>199</v>
      </c>
      <c r="Q3858" s="297" t="s">
        <v>200</v>
      </c>
      <c r="R3858" s="297" t="s">
        <v>213</v>
      </c>
      <c r="S3858" s="297" t="s">
        <v>214</v>
      </c>
    </row>
    <row r="3859" spans="1:19" x14ac:dyDescent="0.4">
      <c r="A3859" s="291"/>
      <c r="B3859" s="292"/>
      <c r="C3859" s="312"/>
      <c r="D3859" s="292"/>
      <c r="E3859" s="489"/>
      <c r="F3859" s="489"/>
      <c r="G3859" s="490"/>
      <c r="H3859" s="520"/>
      <c r="I3859" s="523"/>
      <c r="J3859" s="521"/>
      <c r="K3859" s="522"/>
      <c r="M3859" s="301" t="str">
        <f>N3859&amp;AS[[#This Row],[Insurer Code]]&amp;"; "&amp;O3859&amp;AS[[#This Row],[Reporting Year]]&amp;"; "&amp;P3859&amp;AS[[#This Row],[Insurance Category Code]]&amp;"; "&amp;Q3859&amp;AS[[#This Row],[Large Provider Entity Code]]&amp;"; "&amp;R3859&amp;AS[[#This Row],[Age Band Code]]&amp;"; "&amp;S3859&amp;AS[[#This Row],[Sex Code]]</f>
        <v xml:space="preserve">Insurer Code ; Reporting Year ; Insurance Category Code ; Large Provider Entity Code ; Age Band Code ; Sex Code </v>
      </c>
      <c r="N3859" s="297" t="s">
        <v>197</v>
      </c>
      <c r="O3859" s="297" t="s">
        <v>198</v>
      </c>
      <c r="P3859" s="297" t="s">
        <v>199</v>
      </c>
      <c r="Q3859" s="297" t="s">
        <v>200</v>
      </c>
      <c r="R3859" s="297" t="s">
        <v>213</v>
      </c>
      <c r="S3859" s="297" t="s">
        <v>214</v>
      </c>
    </row>
    <row r="3860" spans="1:19" x14ac:dyDescent="0.4">
      <c r="A3860" s="291"/>
      <c r="B3860" s="292"/>
      <c r="C3860" s="312"/>
      <c r="D3860" s="292"/>
      <c r="E3860" s="489"/>
      <c r="F3860" s="489"/>
      <c r="G3860" s="490"/>
      <c r="H3860" s="520"/>
      <c r="I3860" s="523"/>
      <c r="J3860" s="521"/>
      <c r="K3860" s="522"/>
      <c r="M3860" s="301" t="str">
        <f>N3860&amp;AS[[#This Row],[Insurer Code]]&amp;"; "&amp;O3860&amp;AS[[#This Row],[Reporting Year]]&amp;"; "&amp;P3860&amp;AS[[#This Row],[Insurance Category Code]]&amp;"; "&amp;Q3860&amp;AS[[#This Row],[Large Provider Entity Code]]&amp;"; "&amp;R3860&amp;AS[[#This Row],[Age Band Code]]&amp;"; "&amp;S3860&amp;AS[[#This Row],[Sex Code]]</f>
        <v xml:space="preserve">Insurer Code ; Reporting Year ; Insurance Category Code ; Large Provider Entity Code ; Age Band Code ; Sex Code </v>
      </c>
      <c r="N3860" s="297" t="s">
        <v>197</v>
      </c>
      <c r="O3860" s="297" t="s">
        <v>198</v>
      </c>
      <c r="P3860" s="297" t="s">
        <v>199</v>
      </c>
      <c r="Q3860" s="297" t="s">
        <v>200</v>
      </c>
      <c r="R3860" s="297" t="s">
        <v>213</v>
      </c>
      <c r="S3860" s="297" t="s">
        <v>214</v>
      </c>
    </row>
    <row r="3861" spans="1:19" x14ac:dyDescent="0.4">
      <c r="A3861" s="291"/>
      <c r="B3861" s="292"/>
      <c r="C3861" s="312"/>
      <c r="D3861" s="292"/>
      <c r="E3861" s="489"/>
      <c r="F3861" s="489"/>
      <c r="G3861" s="490"/>
      <c r="H3861" s="520"/>
      <c r="I3861" s="523"/>
      <c r="J3861" s="521"/>
      <c r="K3861" s="522"/>
      <c r="M3861" s="301" t="str">
        <f>N3861&amp;AS[[#This Row],[Insurer Code]]&amp;"; "&amp;O3861&amp;AS[[#This Row],[Reporting Year]]&amp;"; "&amp;P3861&amp;AS[[#This Row],[Insurance Category Code]]&amp;"; "&amp;Q3861&amp;AS[[#This Row],[Large Provider Entity Code]]&amp;"; "&amp;R3861&amp;AS[[#This Row],[Age Band Code]]&amp;"; "&amp;S3861&amp;AS[[#This Row],[Sex Code]]</f>
        <v xml:space="preserve">Insurer Code ; Reporting Year ; Insurance Category Code ; Large Provider Entity Code ; Age Band Code ; Sex Code </v>
      </c>
      <c r="N3861" s="297" t="s">
        <v>197</v>
      </c>
      <c r="O3861" s="297" t="s">
        <v>198</v>
      </c>
      <c r="P3861" s="297" t="s">
        <v>199</v>
      </c>
      <c r="Q3861" s="297" t="s">
        <v>200</v>
      </c>
      <c r="R3861" s="297" t="s">
        <v>213</v>
      </c>
      <c r="S3861" s="297" t="s">
        <v>214</v>
      </c>
    </row>
    <row r="3862" spans="1:19" x14ac:dyDescent="0.4">
      <c r="A3862" s="291"/>
      <c r="B3862" s="292"/>
      <c r="C3862" s="312"/>
      <c r="D3862" s="292"/>
      <c r="E3862" s="489"/>
      <c r="F3862" s="489"/>
      <c r="G3862" s="490"/>
      <c r="H3862" s="520"/>
      <c r="I3862" s="523"/>
      <c r="J3862" s="521"/>
      <c r="K3862" s="522"/>
      <c r="M3862" s="301" t="str">
        <f>N3862&amp;AS[[#This Row],[Insurer Code]]&amp;"; "&amp;O3862&amp;AS[[#This Row],[Reporting Year]]&amp;"; "&amp;P3862&amp;AS[[#This Row],[Insurance Category Code]]&amp;"; "&amp;Q3862&amp;AS[[#This Row],[Large Provider Entity Code]]&amp;"; "&amp;R3862&amp;AS[[#This Row],[Age Band Code]]&amp;"; "&amp;S3862&amp;AS[[#This Row],[Sex Code]]</f>
        <v xml:space="preserve">Insurer Code ; Reporting Year ; Insurance Category Code ; Large Provider Entity Code ; Age Band Code ; Sex Code </v>
      </c>
      <c r="N3862" s="297" t="s">
        <v>197</v>
      </c>
      <c r="O3862" s="297" t="s">
        <v>198</v>
      </c>
      <c r="P3862" s="297" t="s">
        <v>199</v>
      </c>
      <c r="Q3862" s="297" t="s">
        <v>200</v>
      </c>
      <c r="R3862" s="297" t="s">
        <v>213</v>
      </c>
      <c r="S3862" s="297" t="s">
        <v>214</v>
      </c>
    </row>
    <row r="3863" spans="1:19" x14ac:dyDescent="0.4">
      <c r="A3863" s="291"/>
      <c r="B3863" s="292"/>
      <c r="C3863" s="312"/>
      <c r="D3863" s="292"/>
      <c r="E3863" s="489"/>
      <c r="F3863" s="489"/>
      <c r="G3863" s="490"/>
      <c r="H3863" s="520"/>
      <c r="I3863" s="523"/>
      <c r="J3863" s="521"/>
      <c r="K3863" s="522"/>
      <c r="M3863" s="301" t="str">
        <f>N3863&amp;AS[[#This Row],[Insurer Code]]&amp;"; "&amp;O3863&amp;AS[[#This Row],[Reporting Year]]&amp;"; "&amp;P3863&amp;AS[[#This Row],[Insurance Category Code]]&amp;"; "&amp;Q3863&amp;AS[[#This Row],[Large Provider Entity Code]]&amp;"; "&amp;R3863&amp;AS[[#This Row],[Age Band Code]]&amp;"; "&amp;S3863&amp;AS[[#This Row],[Sex Code]]</f>
        <v xml:space="preserve">Insurer Code ; Reporting Year ; Insurance Category Code ; Large Provider Entity Code ; Age Band Code ; Sex Code </v>
      </c>
      <c r="N3863" s="297" t="s">
        <v>197</v>
      </c>
      <c r="O3863" s="297" t="s">
        <v>198</v>
      </c>
      <c r="P3863" s="297" t="s">
        <v>199</v>
      </c>
      <c r="Q3863" s="297" t="s">
        <v>200</v>
      </c>
      <c r="R3863" s="297" t="s">
        <v>213</v>
      </c>
      <c r="S3863" s="297" t="s">
        <v>214</v>
      </c>
    </row>
    <row r="3864" spans="1:19" x14ac:dyDescent="0.4">
      <c r="A3864" s="291"/>
      <c r="B3864" s="292"/>
      <c r="C3864" s="312"/>
      <c r="D3864" s="292"/>
      <c r="E3864" s="489"/>
      <c r="F3864" s="489"/>
      <c r="G3864" s="490"/>
      <c r="H3864" s="520"/>
      <c r="I3864" s="523"/>
      <c r="J3864" s="521"/>
      <c r="K3864" s="522"/>
      <c r="M3864" s="301" t="str">
        <f>N3864&amp;AS[[#This Row],[Insurer Code]]&amp;"; "&amp;O3864&amp;AS[[#This Row],[Reporting Year]]&amp;"; "&amp;P3864&amp;AS[[#This Row],[Insurance Category Code]]&amp;"; "&amp;Q3864&amp;AS[[#This Row],[Large Provider Entity Code]]&amp;"; "&amp;R3864&amp;AS[[#This Row],[Age Band Code]]&amp;"; "&amp;S3864&amp;AS[[#This Row],[Sex Code]]</f>
        <v xml:space="preserve">Insurer Code ; Reporting Year ; Insurance Category Code ; Large Provider Entity Code ; Age Band Code ; Sex Code </v>
      </c>
      <c r="N3864" s="297" t="s">
        <v>197</v>
      </c>
      <c r="O3864" s="297" t="s">
        <v>198</v>
      </c>
      <c r="P3864" s="297" t="s">
        <v>199</v>
      </c>
      <c r="Q3864" s="297" t="s">
        <v>200</v>
      </c>
      <c r="R3864" s="297" t="s">
        <v>213</v>
      </c>
      <c r="S3864" s="297" t="s">
        <v>214</v>
      </c>
    </row>
    <row r="3865" spans="1:19" x14ac:dyDescent="0.4">
      <c r="A3865" s="291"/>
      <c r="B3865" s="292"/>
      <c r="C3865" s="312"/>
      <c r="D3865" s="292"/>
      <c r="E3865" s="489"/>
      <c r="F3865" s="489"/>
      <c r="G3865" s="490"/>
      <c r="H3865" s="520"/>
      <c r="I3865" s="523"/>
      <c r="J3865" s="521"/>
      <c r="K3865" s="522"/>
      <c r="M3865" s="301" t="str">
        <f>N3865&amp;AS[[#This Row],[Insurer Code]]&amp;"; "&amp;O3865&amp;AS[[#This Row],[Reporting Year]]&amp;"; "&amp;P3865&amp;AS[[#This Row],[Insurance Category Code]]&amp;"; "&amp;Q3865&amp;AS[[#This Row],[Large Provider Entity Code]]&amp;"; "&amp;R3865&amp;AS[[#This Row],[Age Band Code]]&amp;"; "&amp;S3865&amp;AS[[#This Row],[Sex Code]]</f>
        <v xml:space="preserve">Insurer Code ; Reporting Year ; Insurance Category Code ; Large Provider Entity Code ; Age Band Code ; Sex Code </v>
      </c>
      <c r="N3865" s="297" t="s">
        <v>197</v>
      </c>
      <c r="O3865" s="297" t="s">
        <v>198</v>
      </c>
      <c r="P3865" s="297" t="s">
        <v>199</v>
      </c>
      <c r="Q3865" s="297" t="s">
        <v>200</v>
      </c>
      <c r="R3865" s="297" t="s">
        <v>213</v>
      </c>
      <c r="S3865" s="297" t="s">
        <v>214</v>
      </c>
    </row>
    <row r="3866" spans="1:19" x14ac:dyDescent="0.4">
      <c r="A3866" s="291"/>
      <c r="B3866" s="292"/>
      <c r="C3866" s="312"/>
      <c r="D3866" s="292"/>
      <c r="E3866" s="489"/>
      <c r="F3866" s="489"/>
      <c r="G3866" s="490"/>
      <c r="H3866" s="520"/>
      <c r="I3866" s="523"/>
      <c r="J3866" s="521"/>
      <c r="K3866" s="522"/>
      <c r="M3866" s="301" t="str">
        <f>N3866&amp;AS[[#This Row],[Insurer Code]]&amp;"; "&amp;O3866&amp;AS[[#This Row],[Reporting Year]]&amp;"; "&amp;P3866&amp;AS[[#This Row],[Insurance Category Code]]&amp;"; "&amp;Q3866&amp;AS[[#This Row],[Large Provider Entity Code]]&amp;"; "&amp;R3866&amp;AS[[#This Row],[Age Band Code]]&amp;"; "&amp;S3866&amp;AS[[#This Row],[Sex Code]]</f>
        <v xml:space="preserve">Insurer Code ; Reporting Year ; Insurance Category Code ; Large Provider Entity Code ; Age Band Code ; Sex Code </v>
      </c>
      <c r="N3866" s="297" t="s">
        <v>197</v>
      </c>
      <c r="O3866" s="297" t="s">
        <v>198</v>
      </c>
      <c r="P3866" s="297" t="s">
        <v>199</v>
      </c>
      <c r="Q3866" s="297" t="s">
        <v>200</v>
      </c>
      <c r="R3866" s="297" t="s">
        <v>213</v>
      </c>
      <c r="S3866" s="297" t="s">
        <v>214</v>
      </c>
    </row>
    <row r="3867" spans="1:19" x14ac:dyDescent="0.4">
      <c r="A3867" s="291"/>
      <c r="B3867" s="292"/>
      <c r="C3867" s="312"/>
      <c r="D3867" s="292"/>
      <c r="E3867" s="489"/>
      <c r="F3867" s="489"/>
      <c r="G3867" s="490"/>
      <c r="H3867" s="520"/>
      <c r="I3867" s="523"/>
      <c r="J3867" s="521"/>
      <c r="K3867" s="522"/>
      <c r="M3867" s="301" t="str">
        <f>N3867&amp;AS[[#This Row],[Insurer Code]]&amp;"; "&amp;O3867&amp;AS[[#This Row],[Reporting Year]]&amp;"; "&amp;P3867&amp;AS[[#This Row],[Insurance Category Code]]&amp;"; "&amp;Q3867&amp;AS[[#This Row],[Large Provider Entity Code]]&amp;"; "&amp;R3867&amp;AS[[#This Row],[Age Band Code]]&amp;"; "&amp;S3867&amp;AS[[#This Row],[Sex Code]]</f>
        <v xml:space="preserve">Insurer Code ; Reporting Year ; Insurance Category Code ; Large Provider Entity Code ; Age Band Code ; Sex Code </v>
      </c>
      <c r="N3867" s="297" t="s">
        <v>197</v>
      </c>
      <c r="O3867" s="297" t="s">
        <v>198</v>
      </c>
      <c r="P3867" s="297" t="s">
        <v>199</v>
      </c>
      <c r="Q3867" s="297" t="s">
        <v>200</v>
      </c>
      <c r="R3867" s="297" t="s">
        <v>213</v>
      </c>
      <c r="S3867" s="297" t="s">
        <v>214</v>
      </c>
    </row>
    <row r="3868" spans="1:19" x14ac:dyDescent="0.4">
      <c r="A3868" s="291"/>
      <c r="B3868" s="292"/>
      <c r="C3868" s="312"/>
      <c r="D3868" s="292"/>
      <c r="E3868" s="489"/>
      <c r="F3868" s="489"/>
      <c r="G3868" s="490"/>
      <c r="H3868" s="520"/>
      <c r="I3868" s="523"/>
      <c r="J3868" s="521"/>
      <c r="K3868" s="522"/>
      <c r="M3868" s="301" t="str">
        <f>N3868&amp;AS[[#This Row],[Insurer Code]]&amp;"; "&amp;O3868&amp;AS[[#This Row],[Reporting Year]]&amp;"; "&amp;P3868&amp;AS[[#This Row],[Insurance Category Code]]&amp;"; "&amp;Q3868&amp;AS[[#This Row],[Large Provider Entity Code]]&amp;"; "&amp;R3868&amp;AS[[#This Row],[Age Band Code]]&amp;"; "&amp;S3868&amp;AS[[#This Row],[Sex Code]]</f>
        <v xml:space="preserve">Insurer Code ; Reporting Year ; Insurance Category Code ; Large Provider Entity Code ; Age Band Code ; Sex Code </v>
      </c>
      <c r="N3868" s="297" t="s">
        <v>197</v>
      </c>
      <c r="O3868" s="297" t="s">
        <v>198</v>
      </c>
      <c r="P3868" s="297" t="s">
        <v>199</v>
      </c>
      <c r="Q3868" s="297" t="s">
        <v>200</v>
      </c>
      <c r="R3868" s="297" t="s">
        <v>213</v>
      </c>
      <c r="S3868" s="297" t="s">
        <v>214</v>
      </c>
    </row>
    <row r="3869" spans="1:19" x14ac:dyDescent="0.4">
      <c r="A3869" s="291"/>
      <c r="B3869" s="292"/>
      <c r="C3869" s="312"/>
      <c r="D3869" s="292"/>
      <c r="E3869" s="489"/>
      <c r="F3869" s="489"/>
      <c r="G3869" s="490"/>
      <c r="H3869" s="520"/>
      <c r="I3869" s="523"/>
      <c r="J3869" s="521"/>
      <c r="K3869" s="522"/>
      <c r="M3869" s="301" t="str">
        <f>N3869&amp;AS[[#This Row],[Insurer Code]]&amp;"; "&amp;O3869&amp;AS[[#This Row],[Reporting Year]]&amp;"; "&amp;P3869&amp;AS[[#This Row],[Insurance Category Code]]&amp;"; "&amp;Q3869&amp;AS[[#This Row],[Large Provider Entity Code]]&amp;"; "&amp;R3869&amp;AS[[#This Row],[Age Band Code]]&amp;"; "&amp;S3869&amp;AS[[#This Row],[Sex Code]]</f>
        <v xml:space="preserve">Insurer Code ; Reporting Year ; Insurance Category Code ; Large Provider Entity Code ; Age Band Code ; Sex Code </v>
      </c>
      <c r="N3869" s="297" t="s">
        <v>197</v>
      </c>
      <c r="O3869" s="297" t="s">
        <v>198</v>
      </c>
      <c r="P3869" s="297" t="s">
        <v>199</v>
      </c>
      <c r="Q3869" s="297" t="s">
        <v>200</v>
      </c>
      <c r="R3869" s="297" t="s">
        <v>213</v>
      </c>
      <c r="S3869" s="297" t="s">
        <v>214</v>
      </c>
    </row>
    <row r="3870" spans="1:19" x14ac:dyDescent="0.4">
      <c r="A3870" s="291"/>
      <c r="B3870" s="292"/>
      <c r="C3870" s="312"/>
      <c r="D3870" s="292"/>
      <c r="E3870" s="489"/>
      <c r="F3870" s="489"/>
      <c r="G3870" s="490"/>
      <c r="H3870" s="520"/>
      <c r="I3870" s="523"/>
      <c r="J3870" s="521"/>
      <c r="K3870" s="522"/>
      <c r="M3870" s="301" t="str">
        <f>N3870&amp;AS[[#This Row],[Insurer Code]]&amp;"; "&amp;O3870&amp;AS[[#This Row],[Reporting Year]]&amp;"; "&amp;P3870&amp;AS[[#This Row],[Insurance Category Code]]&amp;"; "&amp;Q3870&amp;AS[[#This Row],[Large Provider Entity Code]]&amp;"; "&amp;R3870&amp;AS[[#This Row],[Age Band Code]]&amp;"; "&amp;S3870&amp;AS[[#This Row],[Sex Code]]</f>
        <v xml:space="preserve">Insurer Code ; Reporting Year ; Insurance Category Code ; Large Provider Entity Code ; Age Band Code ; Sex Code </v>
      </c>
      <c r="N3870" s="297" t="s">
        <v>197</v>
      </c>
      <c r="O3870" s="297" t="s">
        <v>198</v>
      </c>
      <c r="P3870" s="297" t="s">
        <v>199</v>
      </c>
      <c r="Q3870" s="297" t="s">
        <v>200</v>
      </c>
      <c r="R3870" s="297" t="s">
        <v>213</v>
      </c>
      <c r="S3870" s="297" t="s">
        <v>214</v>
      </c>
    </row>
    <row r="3871" spans="1:19" x14ac:dyDescent="0.4">
      <c r="A3871" s="291"/>
      <c r="B3871" s="292"/>
      <c r="C3871" s="312"/>
      <c r="D3871" s="292"/>
      <c r="E3871" s="489"/>
      <c r="F3871" s="489"/>
      <c r="G3871" s="490"/>
      <c r="H3871" s="520"/>
      <c r="I3871" s="523"/>
      <c r="J3871" s="521"/>
      <c r="K3871" s="522"/>
      <c r="M3871" s="301" t="str">
        <f>N3871&amp;AS[[#This Row],[Insurer Code]]&amp;"; "&amp;O3871&amp;AS[[#This Row],[Reporting Year]]&amp;"; "&amp;P3871&amp;AS[[#This Row],[Insurance Category Code]]&amp;"; "&amp;Q3871&amp;AS[[#This Row],[Large Provider Entity Code]]&amp;"; "&amp;R3871&amp;AS[[#This Row],[Age Band Code]]&amp;"; "&amp;S3871&amp;AS[[#This Row],[Sex Code]]</f>
        <v xml:space="preserve">Insurer Code ; Reporting Year ; Insurance Category Code ; Large Provider Entity Code ; Age Band Code ; Sex Code </v>
      </c>
      <c r="N3871" s="297" t="s">
        <v>197</v>
      </c>
      <c r="O3871" s="297" t="s">
        <v>198</v>
      </c>
      <c r="P3871" s="297" t="s">
        <v>199</v>
      </c>
      <c r="Q3871" s="297" t="s">
        <v>200</v>
      </c>
      <c r="R3871" s="297" t="s">
        <v>213</v>
      </c>
      <c r="S3871" s="297" t="s">
        <v>214</v>
      </c>
    </row>
    <row r="3872" spans="1:19" x14ac:dyDescent="0.4">
      <c r="A3872" s="291"/>
      <c r="B3872" s="292"/>
      <c r="C3872" s="312"/>
      <c r="D3872" s="292"/>
      <c r="E3872" s="489"/>
      <c r="F3872" s="489"/>
      <c r="G3872" s="490"/>
      <c r="H3872" s="520"/>
      <c r="I3872" s="523"/>
      <c r="J3872" s="521"/>
      <c r="K3872" s="522"/>
      <c r="M3872" s="301" t="str">
        <f>N3872&amp;AS[[#This Row],[Insurer Code]]&amp;"; "&amp;O3872&amp;AS[[#This Row],[Reporting Year]]&amp;"; "&amp;P3872&amp;AS[[#This Row],[Insurance Category Code]]&amp;"; "&amp;Q3872&amp;AS[[#This Row],[Large Provider Entity Code]]&amp;"; "&amp;R3872&amp;AS[[#This Row],[Age Band Code]]&amp;"; "&amp;S3872&amp;AS[[#This Row],[Sex Code]]</f>
        <v xml:space="preserve">Insurer Code ; Reporting Year ; Insurance Category Code ; Large Provider Entity Code ; Age Band Code ; Sex Code </v>
      </c>
      <c r="N3872" s="297" t="s">
        <v>197</v>
      </c>
      <c r="O3872" s="297" t="s">
        <v>198</v>
      </c>
      <c r="P3872" s="297" t="s">
        <v>199</v>
      </c>
      <c r="Q3872" s="297" t="s">
        <v>200</v>
      </c>
      <c r="R3872" s="297" t="s">
        <v>213</v>
      </c>
      <c r="S3872" s="297" t="s">
        <v>214</v>
      </c>
    </row>
    <row r="3873" spans="1:19" x14ac:dyDescent="0.4">
      <c r="A3873" s="291"/>
      <c r="B3873" s="292"/>
      <c r="C3873" s="312"/>
      <c r="D3873" s="292"/>
      <c r="E3873" s="489"/>
      <c r="F3873" s="489"/>
      <c r="G3873" s="490"/>
      <c r="H3873" s="520"/>
      <c r="I3873" s="523"/>
      <c r="J3873" s="521"/>
      <c r="K3873" s="522"/>
      <c r="M3873" s="301" t="str">
        <f>N3873&amp;AS[[#This Row],[Insurer Code]]&amp;"; "&amp;O3873&amp;AS[[#This Row],[Reporting Year]]&amp;"; "&amp;P3873&amp;AS[[#This Row],[Insurance Category Code]]&amp;"; "&amp;Q3873&amp;AS[[#This Row],[Large Provider Entity Code]]&amp;"; "&amp;R3873&amp;AS[[#This Row],[Age Band Code]]&amp;"; "&amp;S3873&amp;AS[[#This Row],[Sex Code]]</f>
        <v xml:space="preserve">Insurer Code ; Reporting Year ; Insurance Category Code ; Large Provider Entity Code ; Age Band Code ; Sex Code </v>
      </c>
      <c r="N3873" s="297" t="s">
        <v>197</v>
      </c>
      <c r="O3873" s="297" t="s">
        <v>198</v>
      </c>
      <c r="P3873" s="297" t="s">
        <v>199</v>
      </c>
      <c r="Q3873" s="297" t="s">
        <v>200</v>
      </c>
      <c r="R3873" s="297" t="s">
        <v>213</v>
      </c>
      <c r="S3873" s="297" t="s">
        <v>214</v>
      </c>
    </row>
    <row r="3874" spans="1:19" x14ac:dyDescent="0.4">
      <c r="A3874" s="291"/>
      <c r="B3874" s="292"/>
      <c r="C3874" s="312"/>
      <c r="D3874" s="292"/>
      <c r="E3874" s="489"/>
      <c r="F3874" s="489"/>
      <c r="G3874" s="490"/>
      <c r="H3874" s="520"/>
      <c r="I3874" s="523"/>
      <c r="J3874" s="521"/>
      <c r="K3874" s="522"/>
      <c r="M3874" s="301" t="str">
        <f>N3874&amp;AS[[#This Row],[Insurer Code]]&amp;"; "&amp;O3874&amp;AS[[#This Row],[Reporting Year]]&amp;"; "&amp;P3874&amp;AS[[#This Row],[Insurance Category Code]]&amp;"; "&amp;Q3874&amp;AS[[#This Row],[Large Provider Entity Code]]&amp;"; "&amp;R3874&amp;AS[[#This Row],[Age Band Code]]&amp;"; "&amp;S3874&amp;AS[[#This Row],[Sex Code]]</f>
        <v xml:space="preserve">Insurer Code ; Reporting Year ; Insurance Category Code ; Large Provider Entity Code ; Age Band Code ; Sex Code </v>
      </c>
      <c r="N3874" s="297" t="s">
        <v>197</v>
      </c>
      <c r="O3874" s="297" t="s">
        <v>198</v>
      </c>
      <c r="P3874" s="297" t="s">
        <v>199</v>
      </c>
      <c r="Q3874" s="297" t="s">
        <v>200</v>
      </c>
      <c r="R3874" s="297" t="s">
        <v>213</v>
      </c>
      <c r="S3874" s="297" t="s">
        <v>214</v>
      </c>
    </row>
    <row r="3875" spans="1:19" x14ac:dyDescent="0.4">
      <c r="A3875" s="291"/>
      <c r="B3875" s="292"/>
      <c r="C3875" s="312"/>
      <c r="D3875" s="292"/>
      <c r="E3875" s="489"/>
      <c r="F3875" s="489"/>
      <c r="G3875" s="490"/>
      <c r="H3875" s="520"/>
      <c r="I3875" s="523"/>
      <c r="J3875" s="521"/>
      <c r="K3875" s="522"/>
      <c r="M3875" s="301" t="str">
        <f>N3875&amp;AS[[#This Row],[Insurer Code]]&amp;"; "&amp;O3875&amp;AS[[#This Row],[Reporting Year]]&amp;"; "&amp;P3875&amp;AS[[#This Row],[Insurance Category Code]]&amp;"; "&amp;Q3875&amp;AS[[#This Row],[Large Provider Entity Code]]&amp;"; "&amp;R3875&amp;AS[[#This Row],[Age Band Code]]&amp;"; "&amp;S3875&amp;AS[[#This Row],[Sex Code]]</f>
        <v xml:space="preserve">Insurer Code ; Reporting Year ; Insurance Category Code ; Large Provider Entity Code ; Age Band Code ; Sex Code </v>
      </c>
      <c r="N3875" s="297" t="s">
        <v>197</v>
      </c>
      <c r="O3875" s="297" t="s">
        <v>198</v>
      </c>
      <c r="P3875" s="297" t="s">
        <v>199</v>
      </c>
      <c r="Q3875" s="297" t="s">
        <v>200</v>
      </c>
      <c r="R3875" s="297" t="s">
        <v>213</v>
      </c>
      <c r="S3875" s="297" t="s">
        <v>214</v>
      </c>
    </row>
    <row r="3876" spans="1:19" x14ac:dyDescent="0.4">
      <c r="A3876" s="291"/>
      <c r="B3876" s="292"/>
      <c r="C3876" s="312"/>
      <c r="D3876" s="292"/>
      <c r="E3876" s="489"/>
      <c r="F3876" s="489"/>
      <c r="G3876" s="490"/>
      <c r="H3876" s="520"/>
      <c r="I3876" s="523"/>
      <c r="J3876" s="521"/>
      <c r="K3876" s="522"/>
      <c r="M3876" s="301" t="str">
        <f>N3876&amp;AS[[#This Row],[Insurer Code]]&amp;"; "&amp;O3876&amp;AS[[#This Row],[Reporting Year]]&amp;"; "&amp;P3876&amp;AS[[#This Row],[Insurance Category Code]]&amp;"; "&amp;Q3876&amp;AS[[#This Row],[Large Provider Entity Code]]&amp;"; "&amp;R3876&amp;AS[[#This Row],[Age Band Code]]&amp;"; "&amp;S3876&amp;AS[[#This Row],[Sex Code]]</f>
        <v xml:space="preserve">Insurer Code ; Reporting Year ; Insurance Category Code ; Large Provider Entity Code ; Age Band Code ; Sex Code </v>
      </c>
      <c r="N3876" s="297" t="s">
        <v>197</v>
      </c>
      <c r="O3876" s="297" t="s">
        <v>198</v>
      </c>
      <c r="P3876" s="297" t="s">
        <v>199</v>
      </c>
      <c r="Q3876" s="297" t="s">
        <v>200</v>
      </c>
      <c r="R3876" s="297" t="s">
        <v>213</v>
      </c>
      <c r="S3876" s="297" t="s">
        <v>214</v>
      </c>
    </row>
    <row r="3877" spans="1:19" x14ac:dyDescent="0.4">
      <c r="A3877" s="291"/>
      <c r="B3877" s="292"/>
      <c r="C3877" s="312"/>
      <c r="D3877" s="292"/>
      <c r="E3877" s="489"/>
      <c r="F3877" s="489"/>
      <c r="G3877" s="490"/>
      <c r="H3877" s="520"/>
      <c r="I3877" s="523"/>
      <c r="J3877" s="521"/>
      <c r="K3877" s="522"/>
      <c r="M3877" s="301" t="str">
        <f>N3877&amp;AS[[#This Row],[Insurer Code]]&amp;"; "&amp;O3877&amp;AS[[#This Row],[Reporting Year]]&amp;"; "&amp;P3877&amp;AS[[#This Row],[Insurance Category Code]]&amp;"; "&amp;Q3877&amp;AS[[#This Row],[Large Provider Entity Code]]&amp;"; "&amp;R3877&amp;AS[[#This Row],[Age Band Code]]&amp;"; "&amp;S3877&amp;AS[[#This Row],[Sex Code]]</f>
        <v xml:space="preserve">Insurer Code ; Reporting Year ; Insurance Category Code ; Large Provider Entity Code ; Age Band Code ; Sex Code </v>
      </c>
      <c r="N3877" s="297" t="s">
        <v>197</v>
      </c>
      <c r="O3877" s="297" t="s">
        <v>198</v>
      </c>
      <c r="P3877" s="297" t="s">
        <v>199</v>
      </c>
      <c r="Q3877" s="297" t="s">
        <v>200</v>
      </c>
      <c r="R3877" s="297" t="s">
        <v>213</v>
      </c>
      <c r="S3877" s="297" t="s">
        <v>214</v>
      </c>
    </row>
    <row r="3878" spans="1:19" x14ac:dyDescent="0.4">
      <c r="A3878" s="291"/>
      <c r="B3878" s="292"/>
      <c r="C3878" s="312"/>
      <c r="D3878" s="292"/>
      <c r="E3878" s="489"/>
      <c r="F3878" s="489"/>
      <c r="G3878" s="490"/>
      <c r="H3878" s="520"/>
      <c r="I3878" s="523"/>
      <c r="J3878" s="521"/>
      <c r="K3878" s="522"/>
      <c r="M3878" s="301" t="str">
        <f>N3878&amp;AS[[#This Row],[Insurer Code]]&amp;"; "&amp;O3878&amp;AS[[#This Row],[Reporting Year]]&amp;"; "&amp;P3878&amp;AS[[#This Row],[Insurance Category Code]]&amp;"; "&amp;Q3878&amp;AS[[#This Row],[Large Provider Entity Code]]&amp;"; "&amp;R3878&amp;AS[[#This Row],[Age Band Code]]&amp;"; "&amp;S3878&amp;AS[[#This Row],[Sex Code]]</f>
        <v xml:space="preserve">Insurer Code ; Reporting Year ; Insurance Category Code ; Large Provider Entity Code ; Age Band Code ; Sex Code </v>
      </c>
      <c r="N3878" s="297" t="s">
        <v>197</v>
      </c>
      <c r="O3878" s="297" t="s">
        <v>198</v>
      </c>
      <c r="P3878" s="297" t="s">
        <v>199</v>
      </c>
      <c r="Q3878" s="297" t="s">
        <v>200</v>
      </c>
      <c r="R3878" s="297" t="s">
        <v>213</v>
      </c>
      <c r="S3878" s="297" t="s">
        <v>214</v>
      </c>
    </row>
    <row r="3879" spans="1:19" x14ac:dyDescent="0.4">
      <c r="A3879" s="291"/>
      <c r="B3879" s="292"/>
      <c r="C3879" s="312"/>
      <c r="D3879" s="292"/>
      <c r="E3879" s="489"/>
      <c r="F3879" s="489"/>
      <c r="G3879" s="490"/>
      <c r="H3879" s="520"/>
      <c r="I3879" s="523"/>
      <c r="J3879" s="521"/>
      <c r="K3879" s="522"/>
      <c r="M3879" s="301" t="str">
        <f>N3879&amp;AS[[#This Row],[Insurer Code]]&amp;"; "&amp;O3879&amp;AS[[#This Row],[Reporting Year]]&amp;"; "&amp;P3879&amp;AS[[#This Row],[Insurance Category Code]]&amp;"; "&amp;Q3879&amp;AS[[#This Row],[Large Provider Entity Code]]&amp;"; "&amp;R3879&amp;AS[[#This Row],[Age Band Code]]&amp;"; "&amp;S3879&amp;AS[[#This Row],[Sex Code]]</f>
        <v xml:space="preserve">Insurer Code ; Reporting Year ; Insurance Category Code ; Large Provider Entity Code ; Age Band Code ; Sex Code </v>
      </c>
      <c r="N3879" s="297" t="s">
        <v>197</v>
      </c>
      <c r="O3879" s="297" t="s">
        <v>198</v>
      </c>
      <c r="P3879" s="297" t="s">
        <v>199</v>
      </c>
      <c r="Q3879" s="297" t="s">
        <v>200</v>
      </c>
      <c r="R3879" s="297" t="s">
        <v>213</v>
      </c>
      <c r="S3879" s="297" t="s">
        <v>214</v>
      </c>
    </row>
    <row r="3880" spans="1:19" x14ac:dyDescent="0.4">
      <c r="A3880" s="291"/>
      <c r="B3880" s="292"/>
      <c r="C3880" s="312"/>
      <c r="D3880" s="292"/>
      <c r="E3880" s="489"/>
      <c r="F3880" s="489"/>
      <c r="G3880" s="490"/>
      <c r="H3880" s="520"/>
      <c r="I3880" s="523"/>
      <c r="J3880" s="521"/>
      <c r="K3880" s="522"/>
      <c r="M3880" s="301" t="str">
        <f>N3880&amp;AS[[#This Row],[Insurer Code]]&amp;"; "&amp;O3880&amp;AS[[#This Row],[Reporting Year]]&amp;"; "&amp;P3880&amp;AS[[#This Row],[Insurance Category Code]]&amp;"; "&amp;Q3880&amp;AS[[#This Row],[Large Provider Entity Code]]&amp;"; "&amp;R3880&amp;AS[[#This Row],[Age Band Code]]&amp;"; "&amp;S3880&amp;AS[[#This Row],[Sex Code]]</f>
        <v xml:space="preserve">Insurer Code ; Reporting Year ; Insurance Category Code ; Large Provider Entity Code ; Age Band Code ; Sex Code </v>
      </c>
      <c r="N3880" s="297" t="s">
        <v>197</v>
      </c>
      <c r="O3880" s="297" t="s">
        <v>198</v>
      </c>
      <c r="P3880" s="297" t="s">
        <v>199</v>
      </c>
      <c r="Q3880" s="297" t="s">
        <v>200</v>
      </c>
      <c r="R3880" s="297" t="s">
        <v>213</v>
      </c>
      <c r="S3880" s="297" t="s">
        <v>214</v>
      </c>
    </row>
    <row r="3881" spans="1:19" x14ac:dyDescent="0.4">
      <c r="A3881" s="291"/>
      <c r="B3881" s="292"/>
      <c r="C3881" s="312"/>
      <c r="D3881" s="292"/>
      <c r="E3881" s="489"/>
      <c r="F3881" s="489"/>
      <c r="G3881" s="490"/>
      <c r="H3881" s="520"/>
      <c r="I3881" s="523"/>
      <c r="J3881" s="521"/>
      <c r="K3881" s="522"/>
      <c r="M3881" s="301" t="str">
        <f>N3881&amp;AS[[#This Row],[Insurer Code]]&amp;"; "&amp;O3881&amp;AS[[#This Row],[Reporting Year]]&amp;"; "&amp;P3881&amp;AS[[#This Row],[Insurance Category Code]]&amp;"; "&amp;Q3881&amp;AS[[#This Row],[Large Provider Entity Code]]&amp;"; "&amp;R3881&amp;AS[[#This Row],[Age Band Code]]&amp;"; "&amp;S3881&amp;AS[[#This Row],[Sex Code]]</f>
        <v xml:space="preserve">Insurer Code ; Reporting Year ; Insurance Category Code ; Large Provider Entity Code ; Age Band Code ; Sex Code </v>
      </c>
      <c r="N3881" s="297" t="s">
        <v>197</v>
      </c>
      <c r="O3881" s="297" t="s">
        <v>198</v>
      </c>
      <c r="P3881" s="297" t="s">
        <v>199</v>
      </c>
      <c r="Q3881" s="297" t="s">
        <v>200</v>
      </c>
      <c r="R3881" s="297" t="s">
        <v>213</v>
      </c>
      <c r="S3881" s="297" t="s">
        <v>214</v>
      </c>
    </row>
    <row r="3882" spans="1:19" x14ac:dyDescent="0.4">
      <c r="A3882" s="291"/>
      <c r="B3882" s="292"/>
      <c r="C3882" s="312"/>
      <c r="D3882" s="292"/>
      <c r="E3882" s="489"/>
      <c r="F3882" s="489"/>
      <c r="G3882" s="490"/>
      <c r="H3882" s="520"/>
      <c r="I3882" s="523"/>
      <c r="J3882" s="521"/>
      <c r="K3882" s="522"/>
      <c r="M3882" s="301" t="str">
        <f>N3882&amp;AS[[#This Row],[Insurer Code]]&amp;"; "&amp;O3882&amp;AS[[#This Row],[Reporting Year]]&amp;"; "&amp;P3882&amp;AS[[#This Row],[Insurance Category Code]]&amp;"; "&amp;Q3882&amp;AS[[#This Row],[Large Provider Entity Code]]&amp;"; "&amp;R3882&amp;AS[[#This Row],[Age Band Code]]&amp;"; "&amp;S3882&amp;AS[[#This Row],[Sex Code]]</f>
        <v xml:space="preserve">Insurer Code ; Reporting Year ; Insurance Category Code ; Large Provider Entity Code ; Age Band Code ; Sex Code </v>
      </c>
      <c r="N3882" s="297" t="s">
        <v>197</v>
      </c>
      <c r="O3882" s="297" t="s">
        <v>198</v>
      </c>
      <c r="P3882" s="297" t="s">
        <v>199</v>
      </c>
      <c r="Q3882" s="297" t="s">
        <v>200</v>
      </c>
      <c r="R3882" s="297" t="s">
        <v>213</v>
      </c>
      <c r="S3882" s="297" t="s">
        <v>214</v>
      </c>
    </row>
    <row r="3883" spans="1:19" x14ac:dyDescent="0.4">
      <c r="A3883" s="291"/>
      <c r="B3883" s="292"/>
      <c r="C3883" s="312"/>
      <c r="D3883" s="292"/>
      <c r="E3883" s="489"/>
      <c r="F3883" s="489"/>
      <c r="G3883" s="490"/>
      <c r="H3883" s="520"/>
      <c r="I3883" s="523"/>
      <c r="J3883" s="521"/>
      <c r="K3883" s="522"/>
      <c r="M3883" s="301" t="str">
        <f>N3883&amp;AS[[#This Row],[Insurer Code]]&amp;"; "&amp;O3883&amp;AS[[#This Row],[Reporting Year]]&amp;"; "&amp;P3883&amp;AS[[#This Row],[Insurance Category Code]]&amp;"; "&amp;Q3883&amp;AS[[#This Row],[Large Provider Entity Code]]&amp;"; "&amp;R3883&amp;AS[[#This Row],[Age Band Code]]&amp;"; "&amp;S3883&amp;AS[[#This Row],[Sex Code]]</f>
        <v xml:space="preserve">Insurer Code ; Reporting Year ; Insurance Category Code ; Large Provider Entity Code ; Age Band Code ; Sex Code </v>
      </c>
      <c r="N3883" s="297" t="s">
        <v>197</v>
      </c>
      <c r="O3883" s="297" t="s">
        <v>198</v>
      </c>
      <c r="P3883" s="297" t="s">
        <v>199</v>
      </c>
      <c r="Q3883" s="297" t="s">
        <v>200</v>
      </c>
      <c r="R3883" s="297" t="s">
        <v>213</v>
      </c>
      <c r="S3883" s="297" t="s">
        <v>214</v>
      </c>
    </row>
    <row r="3884" spans="1:19" x14ac:dyDescent="0.4">
      <c r="A3884" s="291"/>
      <c r="B3884" s="292"/>
      <c r="C3884" s="312"/>
      <c r="D3884" s="292"/>
      <c r="E3884" s="489"/>
      <c r="F3884" s="489"/>
      <c r="G3884" s="490"/>
      <c r="H3884" s="520"/>
      <c r="I3884" s="523"/>
      <c r="J3884" s="521"/>
      <c r="K3884" s="522"/>
      <c r="M3884" s="301" t="str">
        <f>N3884&amp;AS[[#This Row],[Insurer Code]]&amp;"; "&amp;O3884&amp;AS[[#This Row],[Reporting Year]]&amp;"; "&amp;P3884&amp;AS[[#This Row],[Insurance Category Code]]&amp;"; "&amp;Q3884&amp;AS[[#This Row],[Large Provider Entity Code]]&amp;"; "&amp;R3884&amp;AS[[#This Row],[Age Band Code]]&amp;"; "&amp;S3884&amp;AS[[#This Row],[Sex Code]]</f>
        <v xml:space="preserve">Insurer Code ; Reporting Year ; Insurance Category Code ; Large Provider Entity Code ; Age Band Code ; Sex Code </v>
      </c>
      <c r="N3884" s="297" t="s">
        <v>197</v>
      </c>
      <c r="O3884" s="297" t="s">
        <v>198</v>
      </c>
      <c r="P3884" s="297" t="s">
        <v>199</v>
      </c>
      <c r="Q3884" s="297" t="s">
        <v>200</v>
      </c>
      <c r="R3884" s="297" t="s">
        <v>213</v>
      </c>
      <c r="S3884" s="297" t="s">
        <v>214</v>
      </c>
    </row>
    <row r="3885" spans="1:19" x14ac:dyDescent="0.4">
      <c r="A3885" s="291"/>
      <c r="B3885" s="292"/>
      <c r="C3885" s="312"/>
      <c r="D3885" s="292"/>
      <c r="E3885" s="489"/>
      <c r="F3885" s="489"/>
      <c r="G3885" s="490"/>
      <c r="H3885" s="520"/>
      <c r="I3885" s="523"/>
      <c r="J3885" s="521"/>
      <c r="K3885" s="522"/>
      <c r="M3885" s="301" t="str">
        <f>N3885&amp;AS[[#This Row],[Insurer Code]]&amp;"; "&amp;O3885&amp;AS[[#This Row],[Reporting Year]]&amp;"; "&amp;P3885&amp;AS[[#This Row],[Insurance Category Code]]&amp;"; "&amp;Q3885&amp;AS[[#This Row],[Large Provider Entity Code]]&amp;"; "&amp;R3885&amp;AS[[#This Row],[Age Band Code]]&amp;"; "&amp;S3885&amp;AS[[#This Row],[Sex Code]]</f>
        <v xml:space="preserve">Insurer Code ; Reporting Year ; Insurance Category Code ; Large Provider Entity Code ; Age Band Code ; Sex Code </v>
      </c>
      <c r="N3885" s="297" t="s">
        <v>197</v>
      </c>
      <c r="O3885" s="297" t="s">
        <v>198</v>
      </c>
      <c r="P3885" s="297" t="s">
        <v>199</v>
      </c>
      <c r="Q3885" s="297" t="s">
        <v>200</v>
      </c>
      <c r="R3885" s="297" t="s">
        <v>213</v>
      </c>
      <c r="S3885" s="297" t="s">
        <v>214</v>
      </c>
    </row>
    <row r="3886" spans="1:19" x14ac:dyDescent="0.4">
      <c r="A3886" s="291"/>
      <c r="B3886" s="292"/>
      <c r="C3886" s="312"/>
      <c r="D3886" s="292"/>
      <c r="E3886" s="489"/>
      <c r="F3886" s="489"/>
      <c r="G3886" s="490"/>
      <c r="H3886" s="520"/>
      <c r="I3886" s="523"/>
      <c r="J3886" s="521"/>
      <c r="K3886" s="522"/>
      <c r="M3886" s="301" t="str">
        <f>N3886&amp;AS[[#This Row],[Insurer Code]]&amp;"; "&amp;O3886&amp;AS[[#This Row],[Reporting Year]]&amp;"; "&amp;P3886&amp;AS[[#This Row],[Insurance Category Code]]&amp;"; "&amp;Q3886&amp;AS[[#This Row],[Large Provider Entity Code]]&amp;"; "&amp;R3886&amp;AS[[#This Row],[Age Band Code]]&amp;"; "&amp;S3886&amp;AS[[#This Row],[Sex Code]]</f>
        <v xml:space="preserve">Insurer Code ; Reporting Year ; Insurance Category Code ; Large Provider Entity Code ; Age Band Code ; Sex Code </v>
      </c>
      <c r="N3886" s="297" t="s">
        <v>197</v>
      </c>
      <c r="O3886" s="297" t="s">
        <v>198</v>
      </c>
      <c r="P3886" s="297" t="s">
        <v>199</v>
      </c>
      <c r="Q3886" s="297" t="s">
        <v>200</v>
      </c>
      <c r="R3886" s="297" t="s">
        <v>213</v>
      </c>
      <c r="S3886" s="297" t="s">
        <v>214</v>
      </c>
    </row>
    <row r="3887" spans="1:19" x14ac:dyDescent="0.4">
      <c r="A3887" s="291"/>
      <c r="B3887" s="292"/>
      <c r="C3887" s="312"/>
      <c r="D3887" s="292"/>
      <c r="E3887" s="489"/>
      <c r="F3887" s="489"/>
      <c r="G3887" s="490"/>
      <c r="H3887" s="520"/>
      <c r="I3887" s="523"/>
      <c r="J3887" s="521"/>
      <c r="K3887" s="522"/>
      <c r="M3887" s="301" t="str">
        <f>N3887&amp;AS[[#This Row],[Insurer Code]]&amp;"; "&amp;O3887&amp;AS[[#This Row],[Reporting Year]]&amp;"; "&amp;P3887&amp;AS[[#This Row],[Insurance Category Code]]&amp;"; "&amp;Q3887&amp;AS[[#This Row],[Large Provider Entity Code]]&amp;"; "&amp;R3887&amp;AS[[#This Row],[Age Band Code]]&amp;"; "&amp;S3887&amp;AS[[#This Row],[Sex Code]]</f>
        <v xml:space="preserve">Insurer Code ; Reporting Year ; Insurance Category Code ; Large Provider Entity Code ; Age Band Code ; Sex Code </v>
      </c>
      <c r="N3887" s="297" t="s">
        <v>197</v>
      </c>
      <c r="O3887" s="297" t="s">
        <v>198</v>
      </c>
      <c r="P3887" s="297" t="s">
        <v>199</v>
      </c>
      <c r="Q3887" s="297" t="s">
        <v>200</v>
      </c>
      <c r="R3887" s="297" t="s">
        <v>213</v>
      </c>
      <c r="S3887" s="297" t="s">
        <v>214</v>
      </c>
    </row>
    <row r="3888" spans="1:19" x14ac:dyDescent="0.4">
      <c r="A3888" s="291"/>
      <c r="B3888" s="292"/>
      <c r="C3888" s="312"/>
      <c r="D3888" s="292"/>
      <c r="E3888" s="489"/>
      <c r="F3888" s="489"/>
      <c r="G3888" s="490"/>
      <c r="H3888" s="520"/>
      <c r="I3888" s="523"/>
      <c r="J3888" s="521"/>
      <c r="K3888" s="522"/>
      <c r="M3888" s="301" t="str">
        <f>N3888&amp;AS[[#This Row],[Insurer Code]]&amp;"; "&amp;O3888&amp;AS[[#This Row],[Reporting Year]]&amp;"; "&amp;P3888&amp;AS[[#This Row],[Insurance Category Code]]&amp;"; "&amp;Q3888&amp;AS[[#This Row],[Large Provider Entity Code]]&amp;"; "&amp;R3888&amp;AS[[#This Row],[Age Band Code]]&amp;"; "&amp;S3888&amp;AS[[#This Row],[Sex Code]]</f>
        <v xml:space="preserve">Insurer Code ; Reporting Year ; Insurance Category Code ; Large Provider Entity Code ; Age Band Code ; Sex Code </v>
      </c>
      <c r="N3888" s="297" t="s">
        <v>197</v>
      </c>
      <c r="O3888" s="297" t="s">
        <v>198</v>
      </c>
      <c r="P3888" s="297" t="s">
        <v>199</v>
      </c>
      <c r="Q3888" s="297" t="s">
        <v>200</v>
      </c>
      <c r="R3888" s="297" t="s">
        <v>213</v>
      </c>
      <c r="S3888" s="297" t="s">
        <v>214</v>
      </c>
    </row>
    <row r="3889" spans="1:19" x14ac:dyDescent="0.4">
      <c r="A3889" s="291"/>
      <c r="B3889" s="292"/>
      <c r="C3889" s="312"/>
      <c r="D3889" s="292"/>
      <c r="E3889" s="489"/>
      <c r="F3889" s="489"/>
      <c r="G3889" s="490"/>
      <c r="H3889" s="520"/>
      <c r="I3889" s="523"/>
      <c r="J3889" s="521"/>
      <c r="K3889" s="522"/>
      <c r="M3889" s="301" t="str">
        <f>N3889&amp;AS[[#This Row],[Insurer Code]]&amp;"; "&amp;O3889&amp;AS[[#This Row],[Reporting Year]]&amp;"; "&amp;P3889&amp;AS[[#This Row],[Insurance Category Code]]&amp;"; "&amp;Q3889&amp;AS[[#This Row],[Large Provider Entity Code]]&amp;"; "&amp;R3889&amp;AS[[#This Row],[Age Band Code]]&amp;"; "&amp;S3889&amp;AS[[#This Row],[Sex Code]]</f>
        <v xml:space="preserve">Insurer Code ; Reporting Year ; Insurance Category Code ; Large Provider Entity Code ; Age Band Code ; Sex Code </v>
      </c>
      <c r="N3889" s="297" t="s">
        <v>197</v>
      </c>
      <c r="O3889" s="297" t="s">
        <v>198</v>
      </c>
      <c r="P3889" s="297" t="s">
        <v>199</v>
      </c>
      <c r="Q3889" s="297" t="s">
        <v>200</v>
      </c>
      <c r="R3889" s="297" t="s">
        <v>213</v>
      </c>
      <c r="S3889" s="297" t="s">
        <v>214</v>
      </c>
    </row>
    <row r="3890" spans="1:19" x14ac:dyDescent="0.4">
      <c r="A3890" s="291"/>
      <c r="B3890" s="292"/>
      <c r="C3890" s="312"/>
      <c r="D3890" s="292"/>
      <c r="E3890" s="489"/>
      <c r="F3890" s="489"/>
      <c r="G3890" s="490"/>
      <c r="H3890" s="520"/>
      <c r="I3890" s="523"/>
      <c r="J3890" s="521"/>
      <c r="K3890" s="522"/>
      <c r="M3890" s="301" t="str">
        <f>N3890&amp;AS[[#This Row],[Insurer Code]]&amp;"; "&amp;O3890&amp;AS[[#This Row],[Reporting Year]]&amp;"; "&amp;P3890&amp;AS[[#This Row],[Insurance Category Code]]&amp;"; "&amp;Q3890&amp;AS[[#This Row],[Large Provider Entity Code]]&amp;"; "&amp;R3890&amp;AS[[#This Row],[Age Band Code]]&amp;"; "&amp;S3890&amp;AS[[#This Row],[Sex Code]]</f>
        <v xml:space="preserve">Insurer Code ; Reporting Year ; Insurance Category Code ; Large Provider Entity Code ; Age Band Code ; Sex Code </v>
      </c>
      <c r="N3890" s="297" t="s">
        <v>197</v>
      </c>
      <c r="O3890" s="297" t="s">
        <v>198</v>
      </c>
      <c r="P3890" s="297" t="s">
        <v>199</v>
      </c>
      <c r="Q3890" s="297" t="s">
        <v>200</v>
      </c>
      <c r="R3890" s="297" t="s">
        <v>213</v>
      </c>
      <c r="S3890" s="297" t="s">
        <v>214</v>
      </c>
    </row>
    <row r="3891" spans="1:19" x14ac:dyDescent="0.4">
      <c r="A3891" s="291"/>
      <c r="B3891" s="292"/>
      <c r="C3891" s="312"/>
      <c r="D3891" s="292"/>
      <c r="E3891" s="489"/>
      <c r="F3891" s="489"/>
      <c r="G3891" s="490"/>
      <c r="H3891" s="520"/>
      <c r="I3891" s="523"/>
      <c r="J3891" s="521"/>
      <c r="K3891" s="522"/>
      <c r="M3891" s="301" t="str">
        <f>N3891&amp;AS[[#This Row],[Insurer Code]]&amp;"; "&amp;O3891&amp;AS[[#This Row],[Reporting Year]]&amp;"; "&amp;P3891&amp;AS[[#This Row],[Insurance Category Code]]&amp;"; "&amp;Q3891&amp;AS[[#This Row],[Large Provider Entity Code]]&amp;"; "&amp;R3891&amp;AS[[#This Row],[Age Band Code]]&amp;"; "&amp;S3891&amp;AS[[#This Row],[Sex Code]]</f>
        <v xml:space="preserve">Insurer Code ; Reporting Year ; Insurance Category Code ; Large Provider Entity Code ; Age Band Code ; Sex Code </v>
      </c>
      <c r="N3891" s="297" t="s">
        <v>197</v>
      </c>
      <c r="O3891" s="297" t="s">
        <v>198</v>
      </c>
      <c r="P3891" s="297" t="s">
        <v>199</v>
      </c>
      <c r="Q3891" s="297" t="s">
        <v>200</v>
      </c>
      <c r="R3891" s="297" t="s">
        <v>213</v>
      </c>
      <c r="S3891" s="297" t="s">
        <v>214</v>
      </c>
    </row>
    <row r="3892" spans="1:19" x14ac:dyDescent="0.4">
      <c r="A3892" s="291"/>
      <c r="B3892" s="292"/>
      <c r="C3892" s="312"/>
      <c r="D3892" s="292"/>
      <c r="E3892" s="489"/>
      <c r="F3892" s="489"/>
      <c r="G3892" s="490"/>
      <c r="H3892" s="520"/>
      <c r="I3892" s="523"/>
      <c r="J3892" s="521"/>
      <c r="K3892" s="522"/>
      <c r="M3892" s="301" t="str">
        <f>N3892&amp;AS[[#This Row],[Insurer Code]]&amp;"; "&amp;O3892&amp;AS[[#This Row],[Reporting Year]]&amp;"; "&amp;P3892&amp;AS[[#This Row],[Insurance Category Code]]&amp;"; "&amp;Q3892&amp;AS[[#This Row],[Large Provider Entity Code]]&amp;"; "&amp;R3892&amp;AS[[#This Row],[Age Band Code]]&amp;"; "&amp;S3892&amp;AS[[#This Row],[Sex Code]]</f>
        <v xml:space="preserve">Insurer Code ; Reporting Year ; Insurance Category Code ; Large Provider Entity Code ; Age Band Code ; Sex Code </v>
      </c>
      <c r="N3892" s="297" t="s">
        <v>197</v>
      </c>
      <c r="O3892" s="297" t="s">
        <v>198</v>
      </c>
      <c r="P3892" s="297" t="s">
        <v>199</v>
      </c>
      <c r="Q3892" s="297" t="s">
        <v>200</v>
      </c>
      <c r="R3892" s="297" t="s">
        <v>213</v>
      </c>
      <c r="S3892" s="297" t="s">
        <v>214</v>
      </c>
    </row>
    <row r="3893" spans="1:19" x14ac:dyDescent="0.4">
      <c r="A3893" s="291"/>
      <c r="B3893" s="292"/>
      <c r="C3893" s="312"/>
      <c r="D3893" s="292"/>
      <c r="E3893" s="489"/>
      <c r="F3893" s="489"/>
      <c r="G3893" s="490"/>
      <c r="H3893" s="520"/>
      <c r="I3893" s="523"/>
      <c r="J3893" s="521"/>
      <c r="K3893" s="522"/>
      <c r="M3893" s="301" t="str">
        <f>N3893&amp;AS[[#This Row],[Insurer Code]]&amp;"; "&amp;O3893&amp;AS[[#This Row],[Reporting Year]]&amp;"; "&amp;P3893&amp;AS[[#This Row],[Insurance Category Code]]&amp;"; "&amp;Q3893&amp;AS[[#This Row],[Large Provider Entity Code]]&amp;"; "&amp;R3893&amp;AS[[#This Row],[Age Band Code]]&amp;"; "&amp;S3893&amp;AS[[#This Row],[Sex Code]]</f>
        <v xml:space="preserve">Insurer Code ; Reporting Year ; Insurance Category Code ; Large Provider Entity Code ; Age Band Code ; Sex Code </v>
      </c>
      <c r="N3893" s="297" t="s">
        <v>197</v>
      </c>
      <c r="O3893" s="297" t="s">
        <v>198</v>
      </c>
      <c r="P3893" s="297" t="s">
        <v>199</v>
      </c>
      <c r="Q3893" s="297" t="s">
        <v>200</v>
      </c>
      <c r="R3893" s="297" t="s">
        <v>213</v>
      </c>
      <c r="S3893" s="297" t="s">
        <v>214</v>
      </c>
    </row>
    <row r="3894" spans="1:19" x14ac:dyDescent="0.4">
      <c r="A3894" s="291"/>
      <c r="B3894" s="292"/>
      <c r="C3894" s="312"/>
      <c r="D3894" s="292"/>
      <c r="E3894" s="489"/>
      <c r="F3894" s="489"/>
      <c r="G3894" s="490"/>
      <c r="H3894" s="520"/>
      <c r="I3894" s="523"/>
      <c r="J3894" s="521"/>
      <c r="K3894" s="522"/>
      <c r="M3894" s="301" t="str">
        <f>N3894&amp;AS[[#This Row],[Insurer Code]]&amp;"; "&amp;O3894&amp;AS[[#This Row],[Reporting Year]]&amp;"; "&amp;P3894&amp;AS[[#This Row],[Insurance Category Code]]&amp;"; "&amp;Q3894&amp;AS[[#This Row],[Large Provider Entity Code]]&amp;"; "&amp;R3894&amp;AS[[#This Row],[Age Band Code]]&amp;"; "&amp;S3894&amp;AS[[#This Row],[Sex Code]]</f>
        <v xml:space="preserve">Insurer Code ; Reporting Year ; Insurance Category Code ; Large Provider Entity Code ; Age Band Code ; Sex Code </v>
      </c>
      <c r="N3894" s="297" t="s">
        <v>197</v>
      </c>
      <c r="O3894" s="297" t="s">
        <v>198</v>
      </c>
      <c r="P3894" s="297" t="s">
        <v>199</v>
      </c>
      <c r="Q3894" s="297" t="s">
        <v>200</v>
      </c>
      <c r="R3894" s="297" t="s">
        <v>213</v>
      </c>
      <c r="S3894" s="297" t="s">
        <v>214</v>
      </c>
    </row>
    <row r="3895" spans="1:19" x14ac:dyDescent="0.4">
      <c r="A3895" s="291"/>
      <c r="B3895" s="292"/>
      <c r="C3895" s="312"/>
      <c r="D3895" s="292"/>
      <c r="E3895" s="489"/>
      <c r="F3895" s="489"/>
      <c r="G3895" s="490"/>
      <c r="H3895" s="520"/>
      <c r="I3895" s="523"/>
      <c r="J3895" s="521"/>
      <c r="K3895" s="522"/>
      <c r="M3895" s="301" t="str">
        <f>N3895&amp;AS[[#This Row],[Insurer Code]]&amp;"; "&amp;O3895&amp;AS[[#This Row],[Reporting Year]]&amp;"; "&amp;P3895&amp;AS[[#This Row],[Insurance Category Code]]&amp;"; "&amp;Q3895&amp;AS[[#This Row],[Large Provider Entity Code]]&amp;"; "&amp;R3895&amp;AS[[#This Row],[Age Band Code]]&amp;"; "&amp;S3895&amp;AS[[#This Row],[Sex Code]]</f>
        <v xml:space="preserve">Insurer Code ; Reporting Year ; Insurance Category Code ; Large Provider Entity Code ; Age Band Code ; Sex Code </v>
      </c>
      <c r="N3895" s="297" t="s">
        <v>197</v>
      </c>
      <c r="O3895" s="297" t="s">
        <v>198</v>
      </c>
      <c r="P3895" s="297" t="s">
        <v>199</v>
      </c>
      <c r="Q3895" s="297" t="s">
        <v>200</v>
      </c>
      <c r="R3895" s="297" t="s">
        <v>213</v>
      </c>
      <c r="S3895" s="297" t="s">
        <v>214</v>
      </c>
    </row>
    <row r="3896" spans="1:19" x14ac:dyDescent="0.4">
      <c r="A3896" s="291"/>
      <c r="B3896" s="292"/>
      <c r="C3896" s="312"/>
      <c r="D3896" s="292"/>
      <c r="E3896" s="489"/>
      <c r="F3896" s="489"/>
      <c r="G3896" s="490"/>
      <c r="H3896" s="520"/>
      <c r="I3896" s="523"/>
      <c r="J3896" s="521"/>
      <c r="K3896" s="522"/>
      <c r="M3896" s="301" t="str">
        <f>N3896&amp;AS[[#This Row],[Insurer Code]]&amp;"; "&amp;O3896&amp;AS[[#This Row],[Reporting Year]]&amp;"; "&amp;P3896&amp;AS[[#This Row],[Insurance Category Code]]&amp;"; "&amp;Q3896&amp;AS[[#This Row],[Large Provider Entity Code]]&amp;"; "&amp;R3896&amp;AS[[#This Row],[Age Band Code]]&amp;"; "&amp;S3896&amp;AS[[#This Row],[Sex Code]]</f>
        <v xml:space="preserve">Insurer Code ; Reporting Year ; Insurance Category Code ; Large Provider Entity Code ; Age Band Code ; Sex Code </v>
      </c>
      <c r="N3896" s="297" t="s">
        <v>197</v>
      </c>
      <c r="O3896" s="297" t="s">
        <v>198</v>
      </c>
      <c r="P3896" s="297" t="s">
        <v>199</v>
      </c>
      <c r="Q3896" s="297" t="s">
        <v>200</v>
      </c>
      <c r="R3896" s="297" t="s">
        <v>213</v>
      </c>
      <c r="S3896" s="297" t="s">
        <v>214</v>
      </c>
    </row>
    <row r="3897" spans="1:19" x14ac:dyDescent="0.4">
      <c r="A3897" s="291"/>
      <c r="B3897" s="292"/>
      <c r="C3897" s="312"/>
      <c r="D3897" s="292"/>
      <c r="E3897" s="489"/>
      <c r="F3897" s="489"/>
      <c r="G3897" s="490"/>
      <c r="H3897" s="520"/>
      <c r="I3897" s="523"/>
      <c r="J3897" s="521"/>
      <c r="K3897" s="522"/>
      <c r="M3897" s="301" t="str">
        <f>N3897&amp;AS[[#This Row],[Insurer Code]]&amp;"; "&amp;O3897&amp;AS[[#This Row],[Reporting Year]]&amp;"; "&amp;P3897&amp;AS[[#This Row],[Insurance Category Code]]&amp;"; "&amp;Q3897&amp;AS[[#This Row],[Large Provider Entity Code]]&amp;"; "&amp;R3897&amp;AS[[#This Row],[Age Band Code]]&amp;"; "&amp;S3897&amp;AS[[#This Row],[Sex Code]]</f>
        <v xml:space="preserve">Insurer Code ; Reporting Year ; Insurance Category Code ; Large Provider Entity Code ; Age Band Code ; Sex Code </v>
      </c>
      <c r="N3897" s="297" t="s">
        <v>197</v>
      </c>
      <c r="O3897" s="297" t="s">
        <v>198</v>
      </c>
      <c r="P3897" s="297" t="s">
        <v>199</v>
      </c>
      <c r="Q3897" s="297" t="s">
        <v>200</v>
      </c>
      <c r="R3897" s="297" t="s">
        <v>213</v>
      </c>
      <c r="S3897" s="297" t="s">
        <v>214</v>
      </c>
    </row>
    <row r="3898" spans="1:19" x14ac:dyDescent="0.4">
      <c r="A3898" s="291"/>
      <c r="B3898" s="292"/>
      <c r="C3898" s="312"/>
      <c r="D3898" s="292"/>
      <c r="E3898" s="489"/>
      <c r="F3898" s="489"/>
      <c r="G3898" s="490"/>
      <c r="H3898" s="520"/>
      <c r="I3898" s="523"/>
      <c r="J3898" s="521"/>
      <c r="K3898" s="522"/>
      <c r="M3898" s="301" t="str">
        <f>N3898&amp;AS[[#This Row],[Insurer Code]]&amp;"; "&amp;O3898&amp;AS[[#This Row],[Reporting Year]]&amp;"; "&amp;P3898&amp;AS[[#This Row],[Insurance Category Code]]&amp;"; "&amp;Q3898&amp;AS[[#This Row],[Large Provider Entity Code]]&amp;"; "&amp;R3898&amp;AS[[#This Row],[Age Band Code]]&amp;"; "&amp;S3898&amp;AS[[#This Row],[Sex Code]]</f>
        <v xml:space="preserve">Insurer Code ; Reporting Year ; Insurance Category Code ; Large Provider Entity Code ; Age Band Code ; Sex Code </v>
      </c>
      <c r="N3898" s="297" t="s">
        <v>197</v>
      </c>
      <c r="O3898" s="297" t="s">
        <v>198</v>
      </c>
      <c r="P3898" s="297" t="s">
        <v>199</v>
      </c>
      <c r="Q3898" s="297" t="s">
        <v>200</v>
      </c>
      <c r="R3898" s="297" t="s">
        <v>213</v>
      </c>
      <c r="S3898" s="297" t="s">
        <v>214</v>
      </c>
    </row>
    <row r="3899" spans="1:19" x14ac:dyDescent="0.4">
      <c r="A3899" s="291"/>
      <c r="B3899" s="292"/>
      <c r="C3899" s="312"/>
      <c r="D3899" s="292"/>
      <c r="E3899" s="489"/>
      <c r="F3899" s="489"/>
      <c r="G3899" s="490"/>
      <c r="H3899" s="520"/>
      <c r="I3899" s="523"/>
      <c r="J3899" s="521"/>
      <c r="K3899" s="522"/>
      <c r="M3899" s="301" t="str">
        <f>N3899&amp;AS[[#This Row],[Insurer Code]]&amp;"; "&amp;O3899&amp;AS[[#This Row],[Reporting Year]]&amp;"; "&amp;P3899&amp;AS[[#This Row],[Insurance Category Code]]&amp;"; "&amp;Q3899&amp;AS[[#This Row],[Large Provider Entity Code]]&amp;"; "&amp;R3899&amp;AS[[#This Row],[Age Band Code]]&amp;"; "&amp;S3899&amp;AS[[#This Row],[Sex Code]]</f>
        <v xml:space="preserve">Insurer Code ; Reporting Year ; Insurance Category Code ; Large Provider Entity Code ; Age Band Code ; Sex Code </v>
      </c>
      <c r="N3899" s="297" t="s">
        <v>197</v>
      </c>
      <c r="O3899" s="297" t="s">
        <v>198</v>
      </c>
      <c r="P3899" s="297" t="s">
        <v>199</v>
      </c>
      <c r="Q3899" s="297" t="s">
        <v>200</v>
      </c>
      <c r="R3899" s="297" t="s">
        <v>213</v>
      </c>
      <c r="S3899" s="297" t="s">
        <v>214</v>
      </c>
    </row>
    <row r="3900" spans="1:19" x14ac:dyDescent="0.4">
      <c r="A3900" s="291"/>
      <c r="B3900" s="292"/>
      <c r="C3900" s="312"/>
      <c r="D3900" s="292"/>
      <c r="E3900" s="489"/>
      <c r="F3900" s="489"/>
      <c r="G3900" s="490"/>
      <c r="H3900" s="520"/>
      <c r="I3900" s="523"/>
      <c r="J3900" s="521"/>
      <c r="K3900" s="522"/>
      <c r="M3900" s="301" t="str">
        <f>N3900&amp;AS[[#This Row],[Insurer Code]]&amp;"; "&amp;O3900&amp;AS[[#This Row],[Reporting Year]]&amp;"; "&amp;P3900&amp;AS[[#This Row],[Insurance Category Code]]&amp;"; "&amp;Q3900&amp;AS[[#This Row],[Large Provider Entity Code]]&amp;"; "&amp;R3900&amp;AS[[#This Row],[Age Band Code]]&amp;"; "&amp;S3900&amp;AS[[#This Row],[Sex Code]]</f>
        <v xml:space="preserve">Insurer Code ; Reporting Year ; Insurance Category Code ; Large Provider Entity Code ; Age Band Code ; Sex Code </v>
      </c>
      <c r="N3900" s="297" t="s">
        <v>197</v>
      </c>
      <c r="O3900" s="297" t="s">
        <v>198</v>
      </c>
      <c r="P3900" s="297" t="s">
        <v>199</v>
      </c>
      <c r="Q3900" s="297" t="s">
        <v>200</v>
      </c>
      <c r="R3900" s="297" t="s">
        <v>213</v>
      </c>
      <c r="S3900" s="297" t="s">
        <v>214</v>
      </c>
    </row>
    <row r="3901" spans="1:19" x14ac:dyDescent="0.4">
      <c r="A3901" s="291"/>
      <c r="B3901" s="292"/>
      <c r="C3901" s="312"/>
      <c r="D3901" s="292"/>
      <c r="E3901" s="489"/>
      <c r="F3901" s="489"/>
      <c r="G3901" s="490"/>
      <c r="H3901" s="520"/>
      <c r="I3901" s="523"/>
      <c r="J3901" s="521"/>
      <c r="K3901" s="522"/>
      <c r="M3901" s="301" t="str">
        <f>N3901&amp;AS[[#This Row],[Insurer Code]]&amp;"; "&amp;O3901&amp;AS[[#This Row],[Reporting Year]]&amp;"; "&amp;P3901&amp;AS[[#This Row],[Insurance Category Code]]&amp;"; "&amp;Q3901&amp;AS[[#This Row],[Large Provider Entity Code]]&amp;"; "&amp;R3901&amp;AS[[#This Row],[Age Band Code]]&amp;"; "&amp;S3901&amp;AS[[#This Row],[Sex Code]]</f>
        <v xml:space="preserve">Insurer Code ; Reporting Year ; Insurance Category Code ; Large Provider Entity Code ; Age Band Code ; Sex Code </v>
      </c>
      <c r="N3901" s="297" t="s">
        <v>197</v>
      </c>
      <c r="O3901" s="297" t="s">
        <v>198</v>
      </c>
      <c r="P3901" s="297" t="s">
        <v>199</v>
      </c>
      <c r="Q3901" s="297" t="s">
        <v>200</v>
      </c>
      <c r="R3901" s="297" t="s">
        <v>213</v>
      </c>
      <c r="S3901" s="297" t="s">
        <v>214</v>
      </c>
    </row>
    <row r="3902" spans="1:19" x14ac:dyDescent="0.4">
      <c r="A3902" s="291"/>
      <c r="B3902" s="292"/>
      <c r="C3902" s="312"/>
      <c r="D3902" s="292"/>
      <c r="E3902" s="489"/>
      <c r="F3902" s="489"/>
      <c r="G3902" s="490"/>
      <c r="H3902" s="520"/>
      <c r="I3902" s="523"/>
      <c r="J3902" s="521"/>
      <c r="K3902" s="522"/>
      <c r="M3902" s="301" t="str">
        <f>N3902&amp;AS[[#This Row],[Insurer Code]]&amp;"; "&amp;O3902&amp;AS[[#This Row],[Reporting Year]]&amp;"; "&amp;P3902&amp;AS[[#This Row],[Insurance Category Code]]&amp;"; "&amp;Q3902&amp;AS[[#This Row],[Large Provider Entity Code]]&amp;"; "&amp;R3902&amp;AS[[#This Row],[Age Band Code]]&amp;"; "&amp;S3902&amp;AS[[#This Row],[Sex Code]]</f>
        <v xml:space="preserve">Insurer Code ; Reporting Year ; Insurance Category Code ; Large Provider Entity Code ; Age Band Code ; Sex Code </v>
      </c>
      <c r="N3902" s="297" t="s">
        <v>197</v>
      </c>
      <c r="O3902" s="297" t="s">
        <v>198</v>
      </c>
      <c r="P3902" s="297" t="s">
        <v>199</v>
      </c>
      <c r="Q3902" s="297" t="s">
        <v>200</v>
      </c>
      <c r="R3902" s="297" t="s">
        <v>213</v>
      </c>
      <c r="S3902" s="297" t="s">
        <v>214</v>
      </c>
    </row>
    <row r="3903" spans="1:19" x14ac:dyDescent="0.4">
      <c r="A3903" s="291"/>
      <c r="B3903" s="292"/>
      <c r="C3903" s="312"/>
      <c r="D3903" s="292"/>
      <c r="E3903" s="489"/>
      <c r="F3903" s="489"/>
      <c r="G3903" s="490"/>
      <c r="H3903" s="520"/>
      <c r="I3903" s="523"/>
      <c r="J3903" s="521"/>
      <c r="K3903" s="522"/>
      <c r="M3903" s="301" t="str">
        <f>N3903&amp;AS[[#This Row],[Insurer Code]]&amp;"; "&amp;O3903&amp;AS[[#This Row],[Reporting Year]]&amp;"; "&amp;P3903&amp;AS[[#This Row],[Insurance Category Code]]&amp;"; "&amp;Q3903&amp;AS[[#This Row],[Large Provider Entity Code]]&amp;"; "&amp;R3903&amp;AS[[#This Row],[Age Band Code]]&amp;"; "&amp;S3903&amp;AS[[#This Row],[Sex Code]]</f>
        <v xml:space="preserve">Insurer Code ; Reporting Year ; Insurance Category Code ; Large Provider Entity Code ; Age Band Code ; Sex Code </v>
      </c>
      <c r="N3903" s="297" t="s">
        <v>197</v>
      </c>
      <c r="O3903" s="297" t="s">
        <v>198</v>
      </c>
      <c r="P3903" s="297" t="s">
        <v>199</v>
      </c>
      <c r="Q3903" s="297" t="s">
        <v>200</v>
      </c>
      <c r="R3903" s="297" t="s">
        <v>213</v>
      </c>
      <c r="S3903" s="297" t="s">
        <v>214</v>
      </c>
    </row>
    <row r="3904" spans="1:19" x14ac:dyDescent="0.4">
      <c r="A3904" s="291"/>
      <c r="B3904" s="292"/>
      <c r="C3904" s="312"/>
      <c r="D3904" s="292"/>
      <c r="E3904" s="489"/>
      <c r="F3904" s="489"/>
      <c r="G3904" s="490"/>
      <c r="H3904" s="520"/>
      <c r="I3904" s="523"/>
      <c r="J3904" s="521"/>
      <c r="K3904" s="522"/>
      <c r="M3904" s="301" t="str">
        <f>N3904&amp;AS[[#This Row],[Insurer Code]]&amp;"; "&amp;O3904&amp;AS[[#This Row],[Reporting Year]]&amp;"; "&amp;P3904&amp;AS[[#This Row],[Insurance Category Code]]&amp;"; "&amp;Q3904&amp;AS[[#This Row],[Large Provider Entity Code]]&amp;"; "&amp;R3904&amp;AS[[#This Row],[Age Band Code]]&amp;"; "&amp;S3904&amp;AS[[#This Row],[Sex Code]]</f>
        <v xml:space="preserve">Insurer Code ; Reporting Year ; Insurance Category Code ; Large Provider Entity Code ; Age Band Code ; Sex Code </v>
      </c>
      <c r="N3904" s="297" t="s">
        <v>197</v>
      </c>
      <c r="O3904" s="297" t="s">
        <v>198</v>
      </c>
      <c r="P3904" s="297" t="s">
        <v>199</v>
      </c>
      <c r="Q3904" s="297" t="s">
        <v>200</v>
      </c>
      <c r="R3904" s="297" t="s">
        <v>213</v>
      </c>
      <c r="S3904" s="297" t="s">
        <v>214</v>
      </c>
    </row>
    <row r="3905" spans="1:19" x14ac:dyDescent="0.4">
      <c r="A3905" s="291"/>
      <c r="B3905" s="292"/>
      <c r="C3905" s="312"/>
      <c r="D3905" s="292"/>
      <c r="E3905" s="489"/>
      <c r="F3905" s="489"/>
      <c r="G3905" s="490"/>
      <c r="H3905" s="520"/>
      <c r="I3905" s="523"/>
      <c r="J3905" s="521"/>
      <c r="K3905" s="522"/>
      <c r="M3905" s="301" t="str">
        <f>N3905&amp;AS[[#This Row],[Insurer Code]]&amp;"; "&amp;O3905&amp;AS[[#This Row],[Reporting Year]]&amp;"; "&amp;P3905&amp;AS[[#This Row],[Insurance Category Code]]&amp;"; "&amp;Q3905&amp;AS[[#This Row],[Large Provider Entity Code]]&amp;"; "&amp;R3905&amp;AS[[#This Row],[Age Band Code]]&amp;"; "&amp;S3905&amp;AS[[#This Row],[Sex Code]]</f>
        <v xml:space="preserve">Insurer Code ; Reporting Year ; Insurance Category Code ; Large Provider Entity Code ; Age Band Code ; Sex Code </v>
      </c>
      <c r="N3905" s="297" t="s">
        <v>197</v>
      </c>
      <c r="O3905" s="297" t="s">
        <v>198</v>
      </c>
      <c r="P3905" s="297" t="s">
        <v>199</v>
      </c>
      <c r="Q3905" s="297" t="s">
        <v>200</v>
      </c>
      <c r="R3905" s="297" t="s">
        <v>213</v>
      </c>
      <c r="S3905" s="297" t="s">
        <v>214</v>
      </c>
    </row>
    <row r="3906" spans="1:19" x14ac:dyDescent="0.4">
      <c r="A3906" s="291"/>
      <c r="B3906" s="292"/>
      <c r="C3906" s="312"/>
      <c r="D3906" s="292"/>
      <c r="E3906" s="489"/>
      <c r="F3906" s="489"/>
      <c r="G3906" s="490"/>
      <c r="H3906" s="520"/>
      <c r="I3906" s="523"/>
      <c r="J3906" s="521"/>
      <c r="K3906" s="522"/>
      <c r="M3906" s="301" t="str">
        <f>N3906&amp;AS[[#This Row],[Insurer Code]]&amp;"; "&amp;O3906&amp;AS[[#This Row],[Reporting Year]]&amp;"; "&amp;P3906&amp;AS[[#This Row],[Insurance Category Code]]&amp;"; "&amp;Q3906&amp;AS[[#This Row],[Large Provider Entity Code]]&amp;"; "&amp;R3906&amp;AS[[#This Row],[Age Band Code]]&amp;"; "&amp;S3906&amp;AS[[#This Row],[Sex Code]]</f>
        <v xml:space="preserve">Insurer Code ; Reporting Year ; Insurance Category Code ; Large Provider Entity Code ; Age Band Code ; Sex Code </v>
      </c>
      <c r="N3906" s="297" t="s">
        <v>197</v>
      </c>
      <c r="O3906" s="297" t="s">
        <v>198</v>
      </c>
      <c r="P3906" s="297" t="s">
        <v>199</v>
      </c>
      <c r="Q3906" s="297" t="s">
        <v>200</v>
      </c>
      <c r="R3906" s="297" t="s">
        <v>213</v>
      </c>
      <c r="S3906" s="297" t="s">
        <v>214</v>
      </c>
    </row>
    <row r="3907" spans="1:19" x14ac:dyDescent="0.4">
      <c r="A3907" s="291"/>
      <c r="B3907" s="292"/>
      <c r="C3907" s="312"/>
      <c r="D3907" s="292"/>
      <c r="E3907" s="489"/>
      <c r="F3907" s="489"/>
      <c r="G3907" s="490"/>
      <c r="H3907" s="520"/>
      <c r="I3907" s="523"/>
      <c r="J3907" s="521"/>
      <c r="K3907" s="522"/>
      <c r="M3907" s="301" t="str">
        <f>N3907&amp;AS[[#This Row],[Insurer Code]]&amp;"; "&amp;O3907&amp;AS[[#This Row],[Reporting Year]]&amp;"; "&amp;P3907&amp;AS[[#This Row],[Insurance Category Code]]&amp;"; "&amp;Q3907&amp;AS[[#This Row],[Large Provider Entity Code]]&amp;"; "&amp;R3907&amp;AS[[#This Row],[Age Band Code]]&amp;"; "&amp;S3907&amp;AS[[#This Row],[Sex Code]]</f>
        <v xml:space="preserve">Insurer Code ; Reporting Year ; Insurance Category Code ; Large Provider Entity Code ; Age Band Code ; Sex Code </v>
      </c>
      <c r="N3907" s="297" t="s">
        <v>197</v>
      </c>
      <c r="O3907" s="297" t="s">
        <v>198</v>
      </c>
      <c r="P3907" s="297" t="s">
        <v>199</v>
      </c>
      <c r="Q3907" s="297" t="s">
        <v>200</v>
      </c>
      <c r="R3907" s="297" t="s">
        <v>213</v>
      </c>
      <c r="S3907" s="297" t="s">
        <v>214</v>
      </c>
    </row>
    <row r="3908" spans="1:19" x14ac:dyDescent="0.4">
      <c r="A3908" s="291"/>
      <c r="B3908" s="292"/>
      <c r="C3908" s="312"/>
      <c r="D3908" s="292"/>
      <c r="E3908" s="489"/>
      <c r="F3908" s="489"/>
      <c r="G3908" s="490"/>
      <c r="H3908" s="520"/>
      <c r="I3908" s="523"/>
      <c r="J3908" s="521"/>
      <c r="K3908" s="522"/>
      <c r="M3908" s="301" t="str">
        <f>N3908&amp;AS[[#This Row],[Insurer Code]]&amp;"; "&amp;O3908&amp;AS[[#This Row],[Reporting Year]]&amp;"; "&amp;P3908&amp;AS[[#This Row],[Insurance Category Code]]&amp;"; "&amp;Q3908&amp;AS[[#This Row],[Large Provider Entity Code]]&amp;"; "&amp;R3908&amp;AS[[#This Row],[Age Band Code]]&amp;"; "&amp;S3908&amp;AS[[#This Row],[Sex Code]]</f>
        <v xml:space="preserve">Insurer Code ; Reporting Year ; Insurance Category Code ; Large Provider Entity Code ; Age Band Code ; Sex Code </v>
      </c>
      <c r="N3908" s="297" t="s">
        <v>197</v>
      </c>
      <c r="O3908" s="297" t="s">
        <v>198</v>
      </c>
      <c r="P3908" s="297" t="s">
        <v>199</v>
      </c>
      <c r="Q3908" s="297" t="s">
        <v>200</v>
      </c>
      <c r="R3908" s="297" t="s">
        <v>213</v>
      </c>
      <c r="S3908" s="297" t="s">
        <v>214</v>
      </c>
    </row>
    <row r="3909" spans="1:19" x14ac:dyDescent="0.4">
      <c r="A3909" s="291"/>
      <c r="B3909" s="292"/>
      <c r="C3909" s="312"/>
      <c r="D3909" s="292"/>
      <c r="E3909" s="489"/>
      <c r="F3909" s="489"/>
      <c r="G3909" s="490"/>
      <c r="H3909" s="520"/>
      <c r="I3909" s="523"/>
      <c r="J3909" s="521"/>
      <c r="K3909" s="522"/>
      <c r="M3909" s="301" t="str">
        <f>N3909&amp;AS[[#This Row],[Insurer Code]]&amp;"; "&amp;O3909&amp;AS[[#This Row],[Reporting Year]]&amp;"; "&amp;P3909&amp;AS[[#This Row],[Insurance Category Code]]&amp;"; "&amp;Q3909&amp;AS[[#This Row],[Large Provider Entity Code]]&amp;"; "&amp;R3909&amp;AS[[#This Row],[Age Band Code]]&amp;"; "&amp;S3909&amp;AS[[#This Row],[Sex Code]]</f>
        <v xml:space="preserve">Insurer Code ; Reporting Year ; Insurance Category Code ; Large Provider Entity Code ; Age Band Code ; Sex Code </v>
      </c>
      <c r="N3909" s="297" t="s">
        <v>197</v>
      </c>
      <c r="O3909" s="297" t="s">
        <v>198</v>
      </c>
      <c r="P3909" s="297" t="s">
        <v>199</v>
      </c>
      <c r="Q3909" s="297" t="s">
        <v>200</v>
      </c>
      <c r="R3909" s="297" t="s">
        <v>213</v>
      </c>
      <c r="S3909" s="297" t="s">
        <v>214</v>
      </c>
    </row>
    <row r="3910" spans="1:19" x14ac:dyDescent="0.4">
      <c r="A3910" s="291"/>
      <c r="B3910" s="292"/>
      <c r="C3910" s="312"/>
      <c r="D3910" s="292"/>
      <c r="E3910" s="489"/>
      <c r="F3910" s="489"/>
      <c r="G3910" s="490"/>
      <c r="H3910" s="520"/>
      <c r="I3910" s="523"/>
      <c r="J3910" s="521"/>
      <c r="K3910" s="522"/>
      <c r="M3910" s="301" t="str">
        <f>N3910&amp;AS[[#This Row],[Insurer Code]]&amp;"; "&amp;O3910&amp;AS[[#This Row],[Reporting Year]]&amp;"; "&amp;P3910&amp;AS[[#This Row],[Insurance Category Code]]&amp;"; "&amp;Q3910&amp;AS[[#This Row],[Large Provider Entity Code]]&amp;"; "&amp;R3910&amp;AS[[#This Row],[Age Band Code]]&amp;"; "&amp;S3910&amp;AS[[#This Row],[Sex Code]]</f>
        <v xml:space="preserve">Insurer Code ; Reporting Year ; Insurance Category Code ; Large Provider Entity Code ; Age Band Code ; Sex Code </v>
      </c>
      <c r="N3910" s="297" t="s">
        <v>197</v>
      </c>
      <c r="O3910" s="297" t="s">
        <v>198</v>
      </c>
      <c r="P3910" s="297" t="s">
        <v>199</v>
      </c>
      <c r="Q3910" s="297" t="s">
        <v>200</v>
      </c>
      <c r="R3910" s="297" t="s">
        <v>213</v>
      </c>
      <c r="S3910" s="297" t="s">
        <v>214</v>
      </c>
    </row>
    <row r="3911" spans="1:19" x14ac:dyDescent="0.4">
      <c r="A3911" s="291"/>
      <c r="B3911" s="292"/>
      <c r="C3911" s="312"/>
      <c r="D3911" s="292"/>
      <c r="E3911" s="489"/>
      <c r="F3911" s="489"/>
      <c r="G3911" s="490"/>
      <c r="H3911" s="520"/>
      <c r="I3911" s="523"/>
      <c r="J3911" s="521"/>
      <c r="K3911" s="522"/>
      <c r="M3911" s="301" t="str">
        <f>N3911&amp;AS[[#This Row],[Insurer Code]]&amp;"; "&amp;O3911&amp;AS[[#This Row],[Reporting Year]]&amp;"; "&amp;P3911&amp;AS[[#This Row],[Insurance Category Code]]&amp;"; "&amp;Q3911&amp;AS[[#This Row],[Large Provider Entity Code]]&amp;"; "&amp;R3911&amp;AS[[#This Row],[Age Band Code]]&amp;"; "&amp;S3911&amp;AS[[#This Row],[Sex Code]]</f>
        <v xml:space="preserve">Insurer Code ; Reporting Year ; Insurance Category Code ; Large Provider Entity Code ; Age Band Code ; Sex Code </v>
      </c>
      <c r="N3911" s="297" t="s">
        <v>197</v>
      </c>
      <c r="O3911" s="297" t="s">
        <v>198</v>
      </c>
      <c r="P3911" s="297" t="s">
        <v>199</v>
      </c>
      <c r="Q3911" s="297" t="s">
        <v>200</v>
      </c>
      <c r="R3911" s="297" t="s">
        <v>213</v>
      </c>
      <c r="S3911" s="297" t="s">
        <v>214</v>
      </c>
    </row>
    <row r="3912" spans="1:19" x14ac:dyDescent="0.4">
      <c r="A3912" s="291"/>
      <c r="B3912" s="292"/>
      <c r="C3912" s="312"/>
      <c r="D3912" s="292"/>
      <c r="E3912" s="489"/>
      <c r="F3912" s="489"/>
      <c r="G3912" s="490"/>
      <c r="H3912" s="520"/>
      <c r="I3912" s="523"/>
      <c r="J3912" s="521"/>
      <c r="K3912" s="522"/>
      <c r="M3912" s="301" t="str">
        <f>N3912&amp;AS[[#This Row],[Insurer Code]]&amp;"; "&amp;O3912&amp;AS[[#This Row],[Reporting Year]]&amp;"; "&amp;P3912&amp;AS[[#This Row],[Insurance Category Code]]&amp;"; "&amp;Q3912&amp;AS[[#This Row],[Large Provider Entity Code]]&amp;"; "&amp;R3912&amp;AS[[#This Row],[Age Band Code]]&amp;"; "&amp;S3912&amp;AS[[#This Row],[Sex Code]]</f>
        <v xml:space="preserve">Insurer Code ; Reporting Year ; Insurance Category Code ; Large Provider Entity Code ; Age Band Code ; Sex Code </v>
      </c>
      <c r="N3912" s="297" t="s">
        <v>197</v>
      </c>
      <c r="O3912" s="297" t="s">
        <v>198</v>
      </c>
      <c r="P3912" s="297" t="s">
        <v>199</v>
      </c>
      <c r="Q3912" s="297" t="s">
        <v>200</v>
      </c>
      <c r="R3912" s="297" t="s">
        <v>213</v>
      </c>
      <c r="S3912" s="297" t="s">
        <v>214</v>
      </c>
    </row>
    <row r="3913" spans="1:19" x14ac:dyDescent="0.4">
      <c r="A3913" s="291"/>
      <c r="B3913" s="292"/>
      <c r="C3913" s="312"/>
      <c r="D3913" s="292"/>
      <c r="E3913" s="489"/>
      <c r="F3913" s="489"/>
      <c r="G3913" s="490"/>
      <c r="H3913" s="520"/>
      <c r="I3913" s="523"/>
      <c r="J3913" s="521"/>
      <c r="K3913" s="522"/>
      <c r="M3913" s="301" t="str">
        <f>N3913&amp;AS[[#This Row],[Insurer Code]]&amp;"; "&amp;O3913&amp;AS[[#This Row],[Reporting Year]]&amp;"; "&amp;P3913&amp;AS[[#This Row],[Insurance Category Code]]&amp;"; "&amp;Q3913&amp;AS[[#This Row],[Large Provider Entity Code]]&amp;"; "&amp;R3913&amp;AS[[#This Row],[Age Band Code]]&amp;"; "&amp;S3913&amp;AS[[#This Row],[Sex Code]]</f>
        <v xml:space="preserve">Insurer Code ; Reporting Year ; Insurance Category Code ; Large Provider Entity Code ; Age Band Code ; Sex Code </v>
      </c>
      <c r="N3913" s="297" t="s">
        <v>197</v>
      </c>
      <c r="O3913" s="297" t="s">
        <v>198</v>
      </c>
      <c r="P3913" s="297" t="s">
        <v>199</v>
      </c>
      <c r="Q3913" s="297" t="s">
        <v>200</v>
      </c>
      <c r="R3913" s="297" t="s">
        <v>213</v>
      </c>
      <c r="S3913" s="297" t="s">
        <v>214</v>
      </c>
    </row>
    <row r="3914" spans="1:19" x14ac:dyDescent="0.4">
      <c r="A3914" s="291"/>
      <c r="B3914" s="292"/>
      <c r="C3914" s="312"/>
      <c r="D3914" s="292"/>
      <c r="E3914" s="489"/>
      <c r="F3914" s="489"/>
      <c r="G3914" s="490"/>
      <c r="H3914" s="520"/>
      <c r="I3914" s="523"/>
      <c r="J3914" s="521"/>
      <c r="K3914" s="522"/>
      <c r="M3914" s="301" t="str">
        <f>N3914&amp;AS[[#This Row],[Insurer Code]]&amp;"; "&amp;O3914&amp;AS[[#This Row],[Reporting Year]]&amp;"; "&amp;P3914&amp;AS[[#This Row],[Insurance Category Code]]&amp;"; "&amp;Q3914&amp;AS[[#This Row],[Large Provider Entity Code]]&amp;"; "&amp;R3914&amp;AS[[#This Row],[Age Band Code]]&amp;"; "&amp;S3914&amp;AS[[#This Row],[Sex Code]]</f>
        <v xml:space="preserve">Insurer Code ; Reporting Year ; Insurance Category Code ; Large Provider Entity Code ; Age Band Code ; Sex Code </v>
      </c>
      <c r="N3914" s="297" t="s">
        <v>197</v>
      </c>
      <c r="O3914" s="297" t="s">
        <v>198</v>
      </c>
      <c r="P3914" s="297" t="s">
        <v>199</v>
      </c>
      <c r="Q3914" s="297" t="s">
        <v>200</v>
      </c>
      <c r="R3914" s="297" t="s">
        <v>213</v>
      </c>
      <c r="S3914" s="297" t="s">
        <v>214</v>
      </c>
    </row>
    <row r="3915" spans="1:19" x14ac:dyDescent="0.4">
      <c r="A3915" s="291"/>
      <c r="B3915" s="292"/>
      <c r="C3915" s="312"/>
      <c r="D3915" s="292"/>
      <c r="E3915" s="489"/>
      <c r="F3915" s="489"/>
      <c r="G3915" s="490"/>
      <c r="H3915" s="520"/>
      <c r="I3915" s="523"/>
      <c r="J3915" s="521"/>
      <c r="K3915" s="522"/>
      <c r="M3915" s="301" t="str">
        <f>N3915&amp;AS[[#This Row],[Insurer Code]]&amp;"; "&amp;O3915&amp;AS[[#This Row],[Reporting Year]]&amp;"; "&amp;P3915&amp;AS[[#This Row],[Insurance Category Code]]&amp;"; "&amp;Q3915&amp;AS[[#This Row],[Large Provider Entity Code]]&amp;"; "&amp;R3915&amp;AS[[#This Row],[Age Band Code]]&amp;"; "&amp;S3915&amp;AS[[#This Row],[Sex Code]]</f>
        <v xml:space="preserve">Insurer Code ; Reporting Year ; Insurance Category Code ; Large Provider Entity Code ; Age Band Code ; Sex Code </v>
      </c>
      <c r="N3915" s="297" t="s">
        <v>197</v>
      </c>
      <c r="O3915" s="297" t="s">
        <v>198</v>
      </c>
      <c r="P3915" s="297" t="s">
        <v>199</v>
      </c>
      <c r="Q3915" s="297" t="s">
        <v>200</v>
      </c>
      <c r="R3915" s="297" t="s">
        <v>213</v>
      </c>
      <c r="S3915" s="297" t="s">
        <v>214</v>
      </c>
    </row>
    <row r="3916" spans="1:19" x14ac:dyDescent="0.4">
      <c r="A3916" s="291"/>
      <c r="B3916" s="292"/>
      <c r="C3916" s="312"/>
      <c r="D3916" s="292"/>
      <c r="E3916" s="489"/>
      <c r="F3916" s="489"/>
      <c r="G3916" s="490"/>
      <c r="H3916" s="520"/>
      <c r="I3916" s="523"/>
      <c r="J3916" s="521"/>
      <c r="K3916" s="522"/>
      <c r="M3916" s="301" t="str">
        <f>N3916&amp;AS[[#This Row],[Insurer Code]]&amp;"; "&amp;O3916&amp;AS[[#This Row],[Reporting Year]]&amp;"; "&amp;P3916&amp;AS[[#This Row],[Insurance Category Code]]&amp;"; "&amp;Q3916&amp;AS[[#This Row],[Large Provider Entity Code]]&amp;"; "&amp;R3916&amp;AS[[#This Row],[Age Band Code]]&amp;"; "&amp;S3916&amp;AS[[#This Row],[Sex Code]]</f>
        <v xml:space="preserve">Insurer Code ; Reporting Year ; Insurance Category Code ; Large Provider Entity Code ; Age Band Code ; Sex Code </v>
      </c>
      <c r="N3916" s="297" t="s">
        <v>197</v>
      </c>
      <c r="O3916" s="297" t="s">
        <v>198</v>
      </c>
      <c r="P3916" s="297" t="s">
        <v>199</v>
      </c>
      <c r="Q3916" s="297" t="s">
        <v>200</v>
      </c>
      <c r="R3916" s="297" t="s">
        <v>213</v>
      </c>
      <c r="S3916" s="297" t="s">
        <v>214</v>
      </c>
    </row>
    <row r="3917" spans="1:19" x14ac:dyDescent="0.4">
      <c r="A3917" s="291"/>
      <c r="B3917" s="292"/>
      <c r="C3917" s="312"/>
      <c r="D3917" s="292"/>
      <c r="E3917" s="489"/>
      <c r="F3917" s="489"/>
      <c r="G3917" s="490"/>
      <c r="H3917" s="520"/>
      <c r="I3917" s="523"/>
      <c r="J3917" s="521"/>
      <c r="K3917" s="522"/>
      <c r="M3917" s="301" t="str">
        <f>N3917&amp;AS[[#This Row],[Insurer Code]]&amp;"; "&amp;O3917&amp;AS[[#This Row],[Reporting Year]]&amp;"; "&amp;P3917&amp;AS[[#This Row],[Insurance Category Code]]&amp;"; "&amp;Q3917&amp;AS[[#This Row],[Large Provider Entity Code]]&amp;"; "&amp;R3917&amp;AS[[#This Row],[Age Band Code]]&amp;"; "&amp;S3917&amp;AS[[#This Row],[Sex Code]]</f>
        <v xml:space="preserve">Insurer Code ; Reporting Year ; Insurance Category Code ; Large Provider Entity Code ; Age Band Code ; Sex Code </v>
      </c>
      <c r="N3917" s="297" t="s">
        <v>197</v>
      </c>
      <c r="O3917" s="297" t="s">
        <v>198</v>
      </c>
      <c r="P3917" s="297" t="s">
        <v>199</v>
      </c>
      <c r="Q3917" s="297" t="s">
        <v>200</v>
      </c>
      <c r="R3917" s="297" t="s">
        <v>213</v>
      </c>
      <c r="S3917" s="297" t="s">
        <v>214</v>
      </c>
    </row>
    <row r="3918" spans="1:19" x14ac:dyDescent="0.4">
      <c r="A3918" s="291"/>
      <c r="B3918" s="292"/>
      <c r="C3918" s="312"/>
      <c r="D3918" s="292"/>
      <c r="E3918" s="489"/>
      <c r="F3918" s="489"/>
      <c r="G3918" s="490"/>
      <c r="H3918" s="520"/>
      <c r="I3918" s="523"/>
      <c r="J3918" s="521"/>
      <c r="K3918" s="522"/>
      <c r="M3918" s="301" t="str">
        <f>N3918&amp;AS[[#This Row],[Insurer Code]]&amp;"; "&amp;O3918&amp;AS[[#This Row],[Reporting Year]]&amp;"; "&amp;P3918&amp;AS[[#This Row],[Insurance Category Code]]&amp;"; "&amp;Q3918&amp;AS[[#This Row],[Large Provider Entity Code]]&amp;"; "&amp;R3918&amp;AS[[#This Row],[Age Band Code]]&amp;"; "&amp;S3918&amp;AS[[#This Row],[Sex Code]]</f>
        <v xml:space="preserve">Insurer Code ; Reporting Year ; Insurance Category Code ; Large Provider Entity Code ; Age Band Code ; Sex Code </v>
      </c>
      <c r="N3918" s="297" t="s">
        <v>197</v>
      </c>
      <c r="O3918" s="297" t="s">
        <v>198</v>
      </c>
      <c r="P3918" s="297" t="s">
        <v>199</v>
      </c>
      <c r="Q3918" s="297" t="s">
        <v>200</v>
      </c>
      <c r="R3918" s="297" t="s">
        <v>213</v>
      </c>
      <c r="S3918" s="297" t="s">
        <v>214</v>
      </c>
    </row>
    <row r="3919" spans="1:19" x14ac:dyDescent="0.4">
      <c r="A3919" s="291"/>
      <c r="B3919" s="292"/>
      <c r="C3919" s="312"/>
      <c r="D3919" s="292"/>
      <c r="E3919" s="489"/>
      <c r="F3919" s="489"/>
      <c r="G3919" s="490"/>
      <c r="H3919" s="520"/>
      <c r="I3919" s="523"/>
      <c r="J3919" s="521"/>
      <c r="K3919" s="522"/>
      <c r="M3919" s="301" t="str">
        <f>N3919&amp;AS[[#This Row],[Insurer Code]]&amp;"; "&amp;O3919&amp;AS[[#This Row],[Reporting Year]]&amp;"; "&amp;P3919&amp;AS[[#This Row],[Insurance Category Code]]&amp;"; "&amp;Q3919&amp;AS[[#This Row],[Large Provider Entity Code]]&amp;"; "&amp;R3919&amp;AS[[#This Row],[Age Band Code]]&amp;"; "&amp;S3919&amp;AS[[#This Row],[Sex Code]]</f>
        <v xml:space="preserve">Insurer Code ; Reporting Year ; Insurance Category Code ; Large Provider Entity Code ; Age Band Code ; Sex Code </v>
      </c>
      <c r="N3919" s="297" t="s">
        <v>197</v>
      </c>
      <c r="O3919" s="297" t="s">
        <v>198</v>
      </c>
      <c r="P3919" s="297" t="s">
        <v>199</v>
      </c>
      <c r="Q3919" s="297" t="s">
        <v>200</v>
      </c>
      <c r="R3919" s="297" t="s">
        <v>213</v>
      </c>
      <c r="S3919" s="297" t="s">
        <v>214</v>
      </c>
    </row>
    <row r="3920" spans="1:19" x14ac:dyDescent="0.4">
      <c r="A3920" s="291"/>
      <c r="B3920" s="292"/>
      <c r="C3920" s="312"/>
      <c r="D3920" s="292"/>
      <c r="E3920" s="489"/>
      <c r="F3920" s="489"/>
      <c r="G3920" s="490"/>
      <c r="H3920" s="520"/>
      <c r="I3920" s="523"/>
      <c r="J3920" s="521"/>
      <c r="K3920" s="522"/>
      <c r="M3920" s="301" t="str">
        <f>N3920&amp;AS[[#This Row],[Insurer Code]]&amp;"; "&amp;O3920&amp;AS[[#This Row],[Reporting Year]]&amp;"; "&amp;P3920&amp;AS[[#This Row],[Insurance Category Code]]&amp;"; "&amp;Q3920&amp;AS[[#This Row],[Large Provider Entity Code]]&amp;"; "&amp;R3920&amp;AS[[#This Row],[Age Band Code]]&amp;"; "&amp;S3920&amp;AS[[#This Row],[Sex Code]]</f>
        <v xml:space="preserve">Insurer Code ; Reporting Year ; Insurance Category Code ; Large Provider Entity Code ; Age Band Code ; Sex Code </v>
      </c>
      <c r="N3920" s="297" t="s">
        <v>197</v>
      </c>
      <c r="O3920" s="297" t="s">
        <v>198</v>
      </c>
      <c r="P3920" s="297" t="s">
        <v>199</v>
      </c>
      <c r="Q3920" s="297" t="s">
        <v>200</v>
      </c>
      <c r="R3920" s="297" t="s">
        <v>213</v>
      </c>
      <c r="S3920" s="297" t="s">
        <v>214</v>
      </c>
    </row>
    <row r="3921" spans="1:19" x14ac:dyDescent="0.4">
      <c r="A3921" s="291"/>
      <c r="B3921" s="292"/>
      <c r="C3921" s="312"/>
      <c r="D3921" s="292"/>
      <c r="E3921" s="489"/>
      <c r="F3921" s="489"/>
      <c r="G3921" s="490"/>
      <c r="H3921" s="520"/>
      <c r="I3921" s="523"/>
      <c r="J3921" s="521"/>
      <c r="K3921" s="522"/>
      <c r="M3921" s="301" t="str">
        <f>N3921&amp;AS[[#This Row],[Insurer Code]]&amp;"; "&amp;O3921&amp;AS[[#This Row],[Reporting Year]]&amp;"; "&amp;P3921&amp;AS[[#This Row],[Insurance Category Code]]&amp;"; "&amp;Q3921&amp;AS[[#This Row],[Large Provider Entity Code]]&amp;"; "&amp;R3921&amp;AS[[#This Row],[Age Band Code]]&amp;"; "&amp;S3921&amp;AS[[#This Row],[Sex Code]]</f>
        <v xml:space="preserve">Insurer Code ; Reporting Year ; Insurance Category Code ; Large Provider Entity Code ; Age Band Code ; Sex Code </v>
      </c>
      <c r="N3921" s="297" t="s">
        <v>197</v>
      </c>
      <c r="O3921" s="297" t="s">
        <v>198</v>
      </c>
      <c r="P3921" s="297" t="s">
        <v>199</v>
      </c>
      <c r="Q3921" s="297" t="s">
        <v>200</v>
      </c>
      <c r="R3921" s="297" t="s">
        <v>213</v>
      </c>
      <c r="S3921" s="297" t="s">
        <v>214</v>
      </c>
    </row>
    <row r="3922" spans="1:19" x14ac:dyDescent="0.4">
      <c r="A3922" s="291"/>
      <c r="B3922" s="292"/>
      <c r="C3922" s="312"/>
      <c r="D3922" s="292"/>
      <c r="E3922" s="489"/>
      <c r="F3922" s="489"/>
      <c r="G3922" s="490"/>
      <c r="H3922" s="520"/>
      <c r="I3922" s="523"/>
      <c r="J3922" s="521"/>
      <c r="K3922" s="522"/>
      <c r="M3922" s="301" t="str">
        <f>N3922&amp;AS[[#This Row],[Insurer Code]]&amp;"; "&amp;O3922&amp;AS[[#This Row],[Reporting Year]]&amp;"; "&amp;P3922&amp;AS[[#This Row],[Insurance Category Code]]&amp;"; "&amp;Q3922&amp;AS[[#This Row],[Large Provider Entity Code]]&amp;"; "&amp;R3922&amp;AS[[#This Row],[Age Band Code]]&amp;"; "&amp;S3922&amp;AS[[#This Row],[Sex Code]]</f>
        <v xml:space="preserve">Insurer Code ; Reporting Year ; Insurance Category Code ; Large Provider Entity Code ; Age Band Code ; Sex Code </v>
      </c>
      <c r="N3922" s="297" t="s">
        <v>197</v>
      </c>
      <c r="O3922" s="297" t="s">
        <v>198</v>
      </c>
      <c r="P3922" s="297" t="s">
        <v>199</v>
      </c>
      <c r="Q3922" s="297" t="s">
        <v>200</v>
      </c>
      <c r="R3922" s="297" t="s">
        <v>213</v>
      </c>
      <c r="S3922" s="297" t="s">
        <v>214</v>
      </c>
    </row>
    <row r="3923" spans="1:19" x14ac:dyDescent="0.4">
      <c r="A3923" s="291"/>
      <c r="B3923" s="292"/>
      <c r="C3923" s="312"/>
      <c r="D3923" s="292"/>
      <c r="E3923" s="489"/>
      <c r="F3923" s="489"/>
      <c r="G3923" s="490"/>
      <c r="H3923" s="520"/>
      <c r="I3923" s="523"/>
      <c r="J3923" s="521"/>
      <c r="K3923" s="522"/>
      <c r="M3923" s="301" t="str">
        <f>N3923&amp;AS[[#This Row],[Insurer Code]]&amp;"; "&amp;O3923&amp;AS[[#This Row],[Reporting Year]]&amp;"; "&amp;P3923&amp;AS[[#This Row],[Insurance Category Code]]&amp;"; "&amp;Q3923&amp;AS[[#This Row],[Large Provider Entity Code]]&amp;"; "&amp;R3923&amp;AS[[#This Row],[Age Band Code]]&amp;"; "&amp;S3923&amp;AS[[#This Row],[Sex Code]]</f>
        <v xml:space="preserve">Insurer Code ; Reporting Year ; Insurance Category Code ; Large Provider Entity Code ; Age Band Code ; Sex Code </v>
      </c>
      <c r="N3923" s="297" t="s">
        <v>197</v>
      </c>
      <c r="O3923" s="297" t="s">
        <v>198</v>
      </c>
      <c r="P3923" s="297" t="s">
        <v>199</v>
      </c>
      <c r="Q3923" s="297" t="s">
        <v>200</v>
      </c>
      <c r="R3923" s="297" t="s">
        <v>213</v>
      </c>
      <c r="S3923" s="297" t="s">
        <v>214</v>
      </c>
    </row>
    <row r="3924" spans="1:19" x14ac:dyDescent="0.4">
      <c r="A3924" s="291"/>
      <c r="B3924" s="292"/>
      <c r="C3924" s="312"/>
      <c r="D3924" s="292"/>
      <c r="E3924" s="489"/>
      <c r="F3924" s="489"/>
      <c r="G3924" s="490"/>
      <c r="H3924" s="520"/>
      <c r="I3924" s="523"/>
      <c r="J3924" s="521"/>
      <c r="K3924" s="522"/>
      <c r="M3924" s="301" t="str">
        <f>N3924&amp;AS[[#This Row],[Insurer Code]]&amp;"; "&amp;O3924&amp;AS[[#This Row],[Reporting Year]]&amp;"; "&amp;P3924&amp;AS[[#This Row],[Insurance Category Code]]&amp;"; "&amp;Q3924&amp;AS[[#This Row],[Large Provider Entity Code]]&amp;"; "&amp;R3924&amp;AS[[#This Row],[Age Band Code]]&amp;"; "&amp;S3924&amp;AS[[#This Row],[Sex Code]]</f>
        <v xml:space="preserve">Insurer Code ; Reporting Year ; Insurance Category Code ; Large Provider Entity Code ; Age Band Code ; Sex Code </v>
      </c>
      <c r="N3924" s="297" t="s">
        <v>197</v>
      </c>
      <c r="O3924" s="297" t="s">
        <v>198</v>
      </c>
      <c r="P3924" s="297" t="s">
        <v>199</v>
      </c>
      <c r="Q3924" s="297" t="s">
        <v>200</v>
      </c>
      <c r="R3924" s="297" t="s">
        <v>213</v>
      </c>
      <c r="S3924" s="297" t="s">
        <v>214</v>
      </c>
    </row>
    <row r="3925" spans="1:19" x14ac:dyDescent="0.4">
      <c r="A3925" s="291"/>
      <c r="B3925" s="292"/>
      <c r="C3925" s="312"/>
      <c r="D3925" s="292"/>
      <c r="E3925" s="489"/>
      <c r="F3925" s="489"/>
      <c r="G3925" s="490"/>
      <c r="H3925" s="520"/>
      <c r="I3925" s="523"/>
      <c r="J3925" s="521"/>
      <c r="K3925" s="522"/>
      <c r="M3925" s="301" t="str">
        <f>N3925&amp;AS[[#This Row],[Insurer Code]]&amp;"; "&amp;O3925&amp;AS[[#This Row],[Reporting Year]]&amp;"; "&amp;P3925&amp;AS[[#This Row],[Insurance Category Code]]&amp;"; "&amp;Q3925&amp;AS[[#This Row],[Large Provider Entity Code]]&amp;"; "&amp;R3925&amp;AS[[#This Row],[Age Band Code]]&amp;"; "&amp;S3925&amp;AS[[#This Row],[Sex Code]]</f>
        <v xml:space="preserve">Insurer Code ; Reporting Year ; Insurance Category Code ; Large Provider Entity Code ; Age Band Code ; Sex Code </v>
      </c>
      <c r="N3925" s="297" t="s">
        <v>197</v>
      </c>
      <c r="O3925" s="297" t="s">
        <v>198</v>
      </c>
      <c r="P3925" s="297" t="s">
        <v>199</v>
      </c>
      <c r="Q3925" s="297" t="s">
        <v>200</v>
      </c>
      <c r="R3925" s="297" t="s">
        <v>213</v>
      </c>
      <c r="S3925" s="297" t="s">
        <v>214</v>
      </c>
    </row>
    <row r="3926" spans="1:19" x14ac:dyDescent="0.4">
      <c r="A3926" s="291"/>
      <c r="B3926" s="292"/>
      <c r="C3926" s="312"/>
      <c r="D3926" s="292"/>
      <c r="E3926" s="489"/>
      <c r="F3926" s="489"/>
      <c r="G3926" s="490"/>
      <c r="H3926" s="520"/>
      <c r="I3926" s="523"/>
      <c r="J3926" s="521"/>
      <c r="K3926" s="522"/>
      <c r="M3926" s="301" t="str">
        <f>N3926&amp;AS[[#This Row],[Insurer Code]]&amp;"; "&amp;O3926&amp;AS[[#This Row],[Reporting Year]]&amp;"; "&amp;P3926&amp;AS[[#This Row],[Insurance Category Code]]&amp;"; "&amp;Q3926&amp;AS[[#This Row],[Large Provider Entity Code]]&amp;"; "&amp;R3926&amp;AS[[#This Row],[Age Band Code]]&amp;"; "&amp;S3926&amp;AS[[#This Row],[Sex Code]]</f>
        <v xml:space="preserve">Insurer Code ; Reporting Year ; Insurance Category Code ; Large Provider Entity Code ; Age Band Code ; Sex Code </v>
      </c>
      <c r="N3926" s="297" t="s">
        <v>197</v>
      </c>
      <c r="O3926" s="297" t="s">
        <v>198</v>
      </c>
      <c r="P3926" s="297" t="s">
        <v>199</v>
      </c>
      <c r="Q3926" s="297" t="s">
        <v>200</v>
      </c>
      <c r="R3926" s="297" t="s">
        <v>213</v>
      </c>
      <c r="S3926" s="297" t="s">
        <v>214</v>
      </c>
    </row>
    <row r="3927" spans="1:19" x14ac:dyDescent="0.4">
      <c r="A3927" s="291"/>
      <c r="B3927" s="292"/>
      <c r="C3927" s="312"/>
      <c r="D3927" s="292"/>
      <c r="E3927" s="489"/>
      <c r="F3927" s="489"/>
      <c r="G3927" s="490"/>
      <c r="H3927" s="520"/>
      <c r="I3927" s="523"/>
      <c r="J3927" s="521"/>
      <c r="K3927" s="522"/>
      <c r="M3927" s="301" t="str">
        <f>N3927&amp;AS[[#This Row],[Insurer Code]]&amp;"; "&amp;O3927&amp;AS[[#This Row],[Reporting Year]]&amp;"; "&amp;P3927&amp;AS[[#This Row],[Insurance Category Code]]&amp;"; "&amp;Q3927&amp;AS[[#This Row],[Large Provider Entity Code]]&amp;"; "&amp;R3927&amp;AS[[#This Row],[Age Band Code]]&amp;"; "&amp;S3927&amp;AS[[#This Row],[Sex Code]]</f>
        <v xml:space="preserve">Insurer Code ; Reporting Year ; Insurance Category Code ; Large Provider Entity Code ; Age Band Code ; Sex Code </v>
      </c>
      <c r="N3927" s="297" t="s">
        <v>197</v>
      </c>
      <c r="O3927" s="297" t="s">
        <v>198</v>
      </c>
      <c r="P3927" s="297" t="s">
        <v>199</v>
      </c>
      <c r="Q3927" s="297" t="s">
        <v>200</v>
      </c>
      <c r="R3927" s="297" t="s">
        <v>213</v>
      </c>
      <c r="S3927" s="297" t="s">
        <v>214</v>
      </c>
    </row>
    <row r="3928" spans="1:19" x14ac:dyDescent="0.4">
      <c r="A3928" s="291"/>
      <c r="B3928" s="292"/>
      <c r="C3928" s="312"/>
      <c r="D3928" s="292"/>
      <c r="E3928" s="489"/>
      <c r="F3928" s="489"/>
      <c r="G3928" s="490"/>
      <c r="H3928" s="520"/>
      <c r="I3928" s="523"/>
      <c r="J3928" s="521"/>
      <c r="K3928" s="522"/>
      <c r="M3928" s="301" t="str">
        <f>N3928&amp;AS[[#This Row],[Insurer Code]]&amp;"; "&amp;O3928&amp;AS[[#This Row],[Reporting Year]]&amp;"; "&amp;P3928&amp;AS[[#This Row],[Insurance Category Code]]&amp;"; "&amp;Q3928&amp;AS[[#This Row],[Large Provider Entity Code]]&amp;"; "&amp;R3928&amp;AS[[#This Row],[Age Band Code]]&amp;"; "&amp;S3928&amp;AS[[#This Row],[Sex Code]]</f>
        <v xml:space="preserve">Insurer Code ; Reporting Year ; Insurance Category Code ; Large Provider Entity Code ; Age Band Code ; Sex Code </v>
      </c>
      <c r="N3928" s="297" t="s">
        <v>197</v>
      </c>
      <c r="O3928" s="297" t="s">
        <v>198</v>
      </c>
      <c r="P3928" s="297" t="s">
        <v>199</v>
      </c>
      <c r="Q3928" s="297" t="s">
        <v>200</v>
      </c>
      <c r="R3928" s="297" t="s">
        <v>213</v>
      </c>
      <c r="S3928" s="297" t="s">
        <v>214</v>
      </c>
    </row>
    <row r="3929" spans="1:19" x14ac:dyDescent="0.4">
      <c r="A3929" s="291"/>
      <c r="B3929" s="292"/>
      <c r="C3929" s="312"/>
      <c r="D3929" s="292"/>
      <c r="E3929" s="489"/>
      <c r="F3929" s="489"/>
      <c r="G3929" s="490"/>
      <c r="H3929" s="520"/>
      <c r="I3929" s="523"/>
      <c r="J3929" s="521"/>
      <c r="K3929" s="522"/>
      <c r="M3929" s="301" t="str">
        <f>N3929&amp;AS[[#This Row],[Insurer Code]]&amp;"; "&amp;O3929&amp;AS[[#This Row],[Reporting Year]]&amp;"; "&amp;P3929&amp;AS[[#This Row],[Insurance Category Code]]&amp;"; "&amp;Q3929&amp;AS[[#This Row],[Large Provider Entity Code]]&amp;"; "&amp;R3929&amp;AS[[#This Row],[Age Band Code]]&amp;"; "&amp;S3929&amp;AS[[#This Row],[Sex Code]]</f>
        <v xml:space="preserve">Insurer Code ; Reporting Year ; Insurance Category Code ; Large Provider Entity Code ; Age Band Code ; Sex Code </v>
      </c>
      <c r="N3929" s="297" t="s">
        <v>197</v>
      </c>
      <c r="O3929" s="297" t="s">
        <v>198</v>
      </c>
      <c r="P3929" s="297" t="s">
        <v>199</v>
      </c>
      <c r="Q3929" s="297" t="s">
        <v>200</v>
      </c>
      <c r="R3929" s="297" t="s">
        <v>213</v>
      </c>
      <c r="S3929" s="297" t="s">
        <v>214</v>
      </c>
    </row>
    <row r="3930" spans="1:19" x14ac:dyDescent="0.4">
      <c r="A3930" s="291"/>
      <c r="B3930" s="292"/>
      <c r="C3930" s="312"/>
      <c r="D3930" s="292"/>
      <c r="E3930" s="489"/>
      <c r="F3930" s="489"/>
      <c r="G3930" s="490"/>
      <c r="H3930" s="520"/>
      <c r="I3930" s="523"/>
      <c r="J3930" s="521"/>
      <c r="K3930" s="522"/>
      <c r="M3930" s="301" t="str">
        <f>N3930&amp;AS[[#This Row],[Insurer Code]]&amp;"; "&amp;O3930&amp;AS[[#This Row],[Reporting Year]]&amp;"; "&amp;P3930&amp;AS[[#This Row],[Insurance Category Code]]&amp;"; "&amp;Q3930&amp;AS[[#This Row],[Large Provider Entity Code]]&amp;"; "&amp;R3930&amp;AS[[#This Row],[Age Band Code]]&amp;"; "&amp;S3930&amp;AS[[#This Row],[Sex Code]]</f>
        <v xml:space="preserve">Insurer Code ; Reporting Year ; Insurance Category Code ; Large Provider Entity Code ; Age Band Code ; Sex Code </v>
      </c>
      <c r="N3930" s="297" t="s">
        <v>197</v>
      </c>
      <c r="O3930" s="297" t="s">
        <v>198</v>
      </c>
      <c r="P3930" s="297" t="s">
        <v>199</v>
      </c>
      <c r="Q3930" s="297" t="s">
        <v>200</v>
      </c>
      <c r="R3930" s="297" t="s">
        <v>213</v>
      </c>
      <c r="S3930" s="297" t="s">
        <v>214</v>
      </c>
    </row>
    <row r="3931" spans="1:19" x14ac:dyDescent="0.4">
      <c r="A3931" s="291"/>
      <c r="B3931" s="292"/>
      <c r="C3931" s="312"/>
      <c r="D3931" s="292"/>
      <c r="E3931" s="489"/>
      <c r="F3931" s="489"/>
      <c r="G3931" s="490"/>
      <c r="H3931" s="520"/>
      <c r="I3931" s="523"/>
      <c r="J3931" s="521"/>
      <c r="K3931" s="522"/>
      <c r="M3931" s="301" t="str">
        <f>N3931&amp;AS[[#This Row],[Insurer Code]]&amp;"; "&amp;O3931&amp;AS[[#This Row],[Reporting Year]]&amp;"; "&amp;P3931&amp;AS[[#This Row],[Insurance Category Code]]&amp;"; "&amp;Q3931&amp;AS[[#This Row],[Large Provider Entity Code]]&amp;"; "&amp;R3931&amp;AS[[#This Row],[Age Band Code]]&amp;"; "&amp;S3931&amp;AS[[#This Row],[Sex Code]]</f>
        <v xml:space="preserve">Insurer Code ; Reporting Year ; Insurance Category Code ; Large Provider Entity Code ; Age Band Code ; Sex Code </v>
      </c>
      <c r="N3931" s="297" t="s">
        <v>197</v>
      </c>
      <c r="O3931" s="297" t="s">
        <v>198</v>
      </c>
      <c r="P3931" s="297" t="s">
        <v>199</v>
      </c>
      <c r="Q3931" s="297" t="s">
        <v>200</v>
      </c>
      <c r="R3931" s="297" t="s">
        <v>213</v>
      </c>
      <c r="S3931" s="297" t="s">
        <v>214</v>
      </c>
    </row>
    <row r="3932" spans="1:19" x14ac:dyDescent="0.4">
      <c r="A3932" s="291"/>
      <c r="B3932" s="292"/>
      <c r="C3932" s="312"/>
      <c r="D3932" s="292"/>
      <c r="E3932" s="489"/>
      <c r="F3932" s="489"/>
      <c r="G3932" s="490"/>
      <c r="H3932" s="520"/>
      <c r="I3932" s="523"/>
      <c r="J3932" s="521"/>
      <c r="K3932" s="522"/>
      <c r="M3932" s="301" t="str">
        <f>N3932&amp;AS[[#This Row],[Insurer Code]]&amp;"; "&amp;O3932&amp;AS[[#This Row],[Reporting Year]]&amp;"; "&amp;P3932&amp;AS[[#This Row],[Insurance Category Code]]&amp;"; "&amp;Q3932&amp;AS[[#This Row],[Large Provider Entity Code]]&amp;"; "&amp;R3932&amp;AS[[#This Row],[Age Band Code]]&amp;"; "&amp;S3932&amp;AS[[#This Row],[Sex Code]]</f>
        <v xml:space="preserve">Insurer Code ; Reporting Year ; Insurance Category Code ; Large Provider Entity Code ; Age Band Code ; Sex Code </v>
      </c>
      <c r="N3932" s="297" t="s">
        <v>197</v>
      </c>
      <c r="O3932" s="297" t="s">
        <v>198</v>
      </c>
      <c r="P3932" s="297" t="s">
        <v>199</v>
      </c>
      <c r="Q3932" s="297" t="s">
        <v>200</v>
      </c>
      <c r="R3932" s="297" t="s">
        <v>213</v>
      </c>
      <c r="S3932" s="297" t="s">
        <v>214</v>
      </c>
    </row>
    <row r="3933" spans="1:19" x14ac:dyDescent="0.4">
      <c r="A3933" s="291"/>
      <c r="B3933" s="292"/>
      <c r="C3933" s="312"/>
      <c r="D3933" s="292"/>
      <c r="E3933" s="489"/>
      <c r="F3933" s="489"/>
      <c r="G3933" s="490"/>
      <c r="H3933" s="520"/>
      <c r="I3933" s="523"/>
      <c r="J3933" s="521"/>
      <c r="K3933" s="522"/>
      <c r="M3933" s="301" t="str">
        <f>N3933&amp;AS[[#This Row],[Insurer Code]]&amp;"; "&amp;O3933&amp;AS[[#This Row],[Reporting Year]]&amp;"; "&amp;P3933&amp;AS[[#This Row],[Insurance Category Code]]&amp;"; "&amp;Q3933&amp;AS[[#This Row],[Large Provider Entity Code]]&amp;"; "&amp;R3933&amp;AS[[#This Row],[Age Band Code]]&amp;"; "&amp;S3933&amp;AS[[#This Row],[Sex Code]]</f>
        <v xml:space="preserve">Insurer Code ; Reporting Year ; Insurance Category Code ; Large Provider Entity Code ; Age Band Code ; Sex Code </v>
      </c>
      <c r="N3933" s="297" t="s">
        <v>197</v>
      </c>
      <c r="O3933" s="297" t="s">
        <v>198</v>
      </c>
      <c r="P3933" s="297" t="s">
        <v>199</v>
      </c>
      <c r="Q3933" s="297" t="s">
        <v>200</v>
      </c>
      <c r="R3933" s="297" t="s">
        <v>213</v>
      </c>
      <c r="S3933" s="297" t="s">
        <v>214</v>
      </c>
    </row>
    <row r="3934" spans="1:19" x14ac:dyDescent="0.4">
      <c r="A3934" s="291"/>
      <c r="B3934" s="292"/>
      <c r="C3934" s="312"/>
      <c r="D3934" s="292"/>
      <c r="E3934" s="489"/>
      <c r="F3934" s="489"/>
      <c r="G3934" s="490"/>
      <c r="H3934" s="520"/>
      <c r="I3934" s="523"/>
      <c r="J3934" s="521"/>
      <c r="K3934" s="522"/>
      <c r="M3934" s="301" t="str">
        <f>N3934&amp;AS[[#This Row],[Insurer Code]]&amp;"; "&amp;O3934&amp;AS[[#This Row],[Reporting Year]]&amp;"; "&amp;P3934&amp;AS[[#This Row],[Insurance Category Code]]&amp;"; "&amp;Q3934&amp;AS[[#This Row],[Large Provider Entity Code]]&amp;"; "&amp;R3934&amp;AS[[#This Row],[Age Band Code]]&amp;"; "&amp;S3934&amp;AS[[#This Row],[Sex Code]]</f>
        <v xml:space="preserve">Insurer Code ; Reporting Year ; Insurance Category Code ; Large Provider Entity Code ; Age Band Code ; Sex Code </v>
      </c>
      <c r="N3934" s="297" t="s">
        <v>197</v>
      </c>
      <c r="O3934" s="297" t="s">
        <v>198</v>
      </c>
      <c r="P3934" s="297" t="s">
        <v>199</v>
      </c>
      <c r="Q3934" s="297" t="s">
        <v>200</v>
      </c>
      <c r="R3934" s="297" t="s">
        <v>213</v>
      </c>
      <c r="S3934" s="297" t="s">
        <v>214</v>
      </c>
    </row>
    <row r="3935" spans="1:19" x14ac:dyDescent="0.4">
      <c r="A3935" s="291"/>
      <c r="B3935" s="292"/>
      <c r="C3935" s="312"/>
      <c r="D3935" s="292"/>
      <c r="E3935" s="489"/>
      <c r="F3935" s="489"/>
      <c r="G3935" s="490"/>
      <c r="H3935" s="520"/>
      <c r="I3935" s="523"/>
      <c r="J3935" s="521"/>
      <c r="K3935" s="522"/>
      <c r="M3935" s="301" t="str">
        <f>N3935&amp;AS[[#This Row],[Insurer Code]]&amp;"; "&amp;O3935&amp;AS[[#This Row],[Reporting Year]]&amp;"; "&amp;P3935&amp;AS[[#This Row],[Insurance Category Code]]&amp;"; "&amp;Q3935&amp;AS[[#This Row],[Large Provider Entity Code]]&amp;"; "&amp;R3935&amp;AS[[#This Row],[Age Band Code]]&amp;"; "&amp;S3935&amp;AS[[#This Row],[Sex Code]]</f>
        <v xml:space="preserve">Insurer Code ; Reporting Year ; Insurance Category Code ; Large Provider Entity Code ; Age Band Code ; Sex Code </v>
      </c>
      <c r="N3935" s="297" t="s">
        <v>197</v>
      </c>
      <c r="O3935" s="297" t="s">
        <v>198</v>
      </c>
      <c r="P3935" s="297" t="s">
        <v>199</v>
      </c>
      <c r="Q3935" s="297" t="s">
        <v>200</v>
      </c>
      <c r="R3935" s="297" t="s">
        <v>213</v>
      </c>
      <c r="S3935" s="297" t="s">
        <v>214</v>
      </c>
    </row>
    <row r="3936" spans="1:19" x14ac:dyDescent="0.4">
      <c r="A3936" s="291"/>
      <c r="B3936" s="292"/>
      <c r="C3936" s="312"/>
      <c r="D3936" s="292"/>
      <c r="E3936" s="489"/>
      <c r="F3936" s="489"/>
      <c r="G3936" s="490"/>
      <c r="H3936" s="520"/>
      <c r="I3936" s="523"/>
      <c r="J3936" s="521"/>
      <c r="K3936" s="522"/>
      <c r="M3936" s="301" t="str">
        <f>N3936&amp;AS[[#This Row],[Insurer Code]]&amp;"; "&amp;O3936&amp;AS[[#This Row],[Reporting Year]]&amp;"; "&amp;P3936&amp;AS[[#This Row],[Insurance Category Code]]&amp;"; "&amp;Q3936&amp;AS[[#This Row],[Large Provider Entity Code]]&amp;"; "&amp;R3936&amp;AS[[#This Row],[Age Band Code]]&amp;"; "&amp;S3936&amp;AS[[#This Row],[Sex Code]]</f>
        <v xml:space="preserve">Insurer Code ; Reporting Year ; Insurance Category Code ; Large Provider Entity Code ; Age Band Code ; Sex Code </v>
      </c>
      <c r="N3936" s="297" t="s">
        <v>197</v>
      </c>
      <c r="O3936" s="297" t="s">
        <v>198</v>
      </c>
      <c r="P3936" s="297" t="s">
        <v>199</v>
      </c>
      <c r="Q3936" s="297" t="s">
        <v>200</v>
      </c>
      <c r="R3936" s="297" t="s">
        <v>213</v>
      </c>
      <c r="S3936" s="297" t="s">
        <v>214</v>
      </c>
    </row>
    <row r="3937" spans="1:19" x14ac:dyDescent="0.4">
      <c r="A3937" s="291"/>
      <c r="B3937" s="292"/>
      <c r="C3937" s="312"/>
      <c r="D3937" s="292"/>
      <c r="E3937" s="489"/>
      <c r="F3937" s="489"/>
      <c r="G3937" s="490"/>
      <c r="H3937" s="520"/>
      <c r="I3937" s="523"/>
      <c r="J3937" s="521"/>
      <c r="K3937" s="522"/>
      <c r="M3937" s="301" t="str">
        <f>N3937&amp;AS[[#This Row],[Insurer Code]]&amp;"; "&amp;O3937&amp;AS[[#This Row],[Reporting Year]]&amp;"; "&amp;P3937&amp;AS[[#This Row],[Insurance Category Code]]&amp;"; "&amp;Q3937&amp;AS[[#This Row],[Large Provider Entity Code]]&amp;"; "&amp;R3937&amp;AS[[#This Row],[Age Band Code]]&amp;"; "&amp;S3937&amp;AS[[#This Row],[Sex Code]]</f>
        <v xml:space="preserve">Insurer Code ; Reporting Year ; Insurance Category Code ; Large Provider Entity Code ; Age Band Code ; Sex Code </v>
      </c>
      <c r="N3937" s="297" t="s">
        <v>197</v>
      </c>
      <c r="O3937" s="297" t="s">
        <v>198</v>
      </c>
      <c r="P3937" s="297" t="s">
        <v>199</v>
      </c>
      <c r="Q3937" s="297" t="s">
        <v>200</v>
      </c>
      <c r="R3937" s="297" t="s">
        <v>213</v>
      </c>
      <c r="S3937" s="297" t="s">
        <v>214</v>
      </c>
    </row>
    <row r="3938" spans="1:19" x14ac:dyDescent="0.4">
      <c r="A3938" s="291"/>
      <c r="B3938" s="292"/>
      <c r="C3938" s="312"/>
      <c r="D3938" s="292"/>
      <c r="E3938" s="489"/>
      <c r="F3938" s="489"/>
      <c r="G3938" s="490"/>
      <c r="H3938" s="520"/>
      <c r="I3938" s="523"/>
      <c r="J3938" s="521"/>
      <c r="K3938" s="522"/>
      <c r="M3938" s="301" t="str">
        <f>N3938&amp;AS[[#This Row],[Insurer Code]]&amp;"; "&amp;O3938&amp;AS[[#This Row],[Reporting Year]]&amp;"; "&amp;P3938&amp;AS[[#This Row],[Insurance Category Code]]&amp;"; "&amp;Q3938&amp;AS[[#This Row],[Large Provider Entity Code]]&amp;"; "&amp;R3938&amp;AS[[#This Row],[Age Band Code]]&amp;"; "&amp;S3938&amp;AS[[#This Row],[Sex Code]]</f>
        <v xml:space="preserve">Insurer Code ; Reporting Year ; Insurance Category Code ; Large Provider Entity Code ; Age Band Code ; Sex Code </v>
      </c>
      <c r="N3938" s="297" t="s">
        <v>197</v>
      </c>
      <c r="O3938" s="297" t="s">
        <v>198</v>
      </c>
      <c r="P3938" s="297" t="s">
        <v>199</v>
      </c>
      <c r="Q3938" s="297" t="s">
        <v>200</v>
      </c>
      <c r="R3938" s="297" t="s">
        <v>213</v>
      </c>
      <c r="S3938" s="297" t="s">
        <v>214</v>
      </c>
    </row>
    <row r="3939" spans="1:19" x14ac:dyDescent="0.4">
      <c r="A3939" s="291"/>
      <c r="B3939" s="292"/>
      <c r="C3939" s="312"/>
      <c r="D3939" s="292"/>
      <c r="E3939" s="489"/>
      <c r="F3939" s="489"/>
      <c r="G3939" s="490"/>
      <c r="H3939" s="520"/>
      <c r="I3939" s="523"/>
      <c r="J3939" s="521"/>
      <c r="K3939" s="522"/>
      <c r="M3939" s="301" t="str">
        <f>N3939&amp;AS[[#This Row],[Insurer Code]]&amp;"; "&amp;O3939&amp;AS[[#This Row],[Reporting Year]]&amp;"; "&amp;P3939&amp;AS[[#This Row],[Insurance Category Code]]&amp;"; "&amp;Q3939&amp;AS[[#This Row],[Large Provider Entity Code]]&amp;"; "&amp;R3939&amp;AS[[#This Row],[Age Band Code]]&amp;"; "&amp;S3939&amp;AS[[#This Row],[Sex Code]]</f>
        <v xml:space="preserve">Insurer Code ; Reporting Year ; Insurance Category Code ; Large Provider Entity Code ; Age Band Code ; Sex Code </v>
      </c>
      <c r="N3939" s="297" t="s">
        <v>197</v>
      </c>
      <c r="O3939" s="297" t="s">
        <v>198</v>
      </c>
      <c r="P3939" s="297" t="s">
        <v>199</v>
      </c>
      <c r="Q3939" s="297" t="s">
        <v>200</v>
      </c>
      <c r="R3939" s="297" t="s">
        <v>213</v>
      </c>
      <c r="S3939" s="297" t="s">
        <v>214</v>
      </c>
    </row>
    <row r="3940" spans="1:19" x14ac:dyDescent="0.4">
      <c r="A3940" s="291"/>
      <c r="B3940" s="292"/>
      <c r="C3940" s="312"/>
      <c r="D3940" s="292"/>
      <c r="E3940" s="489"/>
      <c r="F3940" s="489"/>
      <c r="G3940" s="490"/>
      <c r="H3940" s="520"/>
      <c r="I3940" s="523"/>
      <c r="J3940" s="521"/>
      <c r="K3940" s="522"/>
      <c r="M3940" s="301" t="str">
        <f>N3940&amp;AS[[#This Row],[Insurer Code]]&amp;"; "&amp;O3940&amp;AS[[#This Row],[Reporting Year]]&amp;"; "&amp;P3940&amp;AS[[#This Row],[Insurance Category Code]]&amp;"; "&amp;Q3940&amp;AS[[#This Row],[Large Provider Entity Code]]&amp;"; "&amp;R3940&amp;AS[[#This Row],[Age Band Code]]&amp;"; "&amp;S3940&amp;AS[[#This Row],[Sex Code]]</f>
        <v xml:space="preserve">Insurer Code ; Reporting Year ; Insurance Category Code ; Large Provider Entity Code ; Age Band Code ; Sex Code </v>
      </c>
      <c r="N3940" s="297" t="s">
        <v>197</v>
      </c>
      <c r="O3940" s="297" t="s">
        <v>198</v>
      </c>
      <c r="P3940" s="297" t="s">
        <v>199</v>
      </c>
      <c r="Q3940" s="297" t="s">
        <v>200</v>
      </c>
      <c r="R3940" s="297" t="s">
        <v>213</v>
      </c>
      <c r="S3940" s="297" t="s">
        <v>214</v>
      </c>
    </row>
    <row r="3941" spans="1:19" x14ac:dyDescent="0.4">
      <c r="A3941" s="291"/>
      <c r="B3941" s="292"/>
      <c r="C3941" s="312"/>
      <c r="D3941" s="292"/>
      <c r="E3941" s="489"/>
      <c r="F3941" s="489"/>
      <c r="G3941" s="490"/>
      <c r="H3941" s="520"/>
      <c r="I3941" s="523"/>
      <c r="J3941" s="521"/>
      <c r="K3941" s="522"/>
      <c r="M3941" s="301" t="str">
        <f>N3941&amp;AS[[#This Row],[Insurer Code]]&amp;"; "&amp;O3941&amp;AS[[#This Row],[Reporting Year]]&amp;"; "&amp;P3941&amp;AS[[#This Row],[Insurance Category Code]]&amp;"; "&amp;Q3941&amp;AS[[#This Row],[Large Provider Entity Code]]&amp;"; "&amp;R3941&amp;AS[[#This Row],[Age Band Code]]&amp;"; "&amp;S3941&amp;AS[[#This Row],[Sex Code]]</f>
        <v xml:space="preserve">Insurer Code ; Reporting Year ; Insurance Category Code ; Large Provider Entity Code ; Age Band Code ; Sex Code </v>
      </c>
      <c r="N3941" s="297" t="s">
        <v>197</v>
      </c>
      <c r="O3941" s="297" t="s">
        <v>198</v>
      </c>
      <c r="P3941" s="297" t="s">
        <v>199</v>
      </c>
      <c r="Q3941" s="297" t="s">
        <v>200</v>
      </c>
      <c r="R3941" s="297" t="s">
        <v>213</v>
      </c>
      <c r="S3941" s="297" t="s">
        <v>214</v>
      </c>
    </row>
    <row r="3942" spans="1:19" x14ac:dyDescent="0.4">
      <c r="A3942" s="291"/>
      <c r="B3942" s="292"/>
      <c r="C3942" s="312"/>
      <c r="D3942" s="292"/>
      <c r="E3942" s="489"/>
      <c r="F3942" s="489"/>
      <c r="G3942" s="490"/>
      <c r="H3942" s="520"/>
      <c r="I3942" s="523"/>
      <c r="J3942" s="521"/>
      <c r="K3942" s="522"/>
      <c r="M3942" s="301" t="str">
        <f>N3942&amp;AS[[#This Row],[Insurer Code]]&amp;"; "&amp;O3942&amp;AS[[#This Row],[Reporting Year]]&amp;"; "&amp;P3942&amp;AS[[#This Row],[Insurance Category Code]]&amp;"; "&amp;Q3942&amp;AS[[#This Row],[Large Provider Entity Code]]&amp;"; "&amp;R3942&amp;AS[[#This Row],[Age Band Code]]&amp;"; "&amp;S3942&amp;AS[[#This Row],[Sex Code]]</f>
        <v xml:space="preserve">Insurer Code ; Reporting Year ; Insurance Category Code ; Large Provider Entity Code ; Age Band Code ; Sex Code </v>
      </c>
      <c r="N3942" s="297" t="s">
        <v>197</v>
      </c>
      <c r="O3942" s="297" t="s">
        <v>198</v>
      </c>
      <c r="P3942" s="297" t="s">
        <v>199</v>
      </c>
      <c r="Q3942" s="297" t="s">
        <v>200</v>
      </c>
      <c r="R3942" s="297" t="s">
        <v>213</v>
      </c>
      <c r="S3942" s="297" t="s">
        <v>214</v>
      </c>
    </row>
    <row r="3943" spans="1:19" x14ac:dyDescent="0.4">
      <c r="A3943" s="291"/>
      <c r="B3943" s="292"/>
      <c r="C3943" s="312"/>
      <c r="D3943" s="292"/>
      <c r="E3943" s="489"/>
      <c r="F3943" s="489"/>
      <c r="G3943" s="490"/>
      <c r="H3943" s="520"/>
      <c r="I3943" s="523"/>
      <c r="J3943" s="521"/>
      <c r="K3943" s="522"/>
      <c r="M3943" s="301" t="str">
        <f>N3943&amp;AS[[#This Row],[Insurer Code]]&amp;"; "&amp;O3943&amp;AS[[#This Row],[Reporting Year]]&amp;"; "&amp;P3943&amp;AS[[#This Row],[Insurance Category Code]]&amp;"; "&amp;Q3943&amp;AS[[#This Row],[Large Provider Entity Code]]&amp;"; "&amp;R3943&amp;AS[[#This Row],[Age Band Code]]&amp;"; "&amp;S3943&amp;AS[[#This Row],[Sex Code]]</f>
        <v xml:space="preserve">Insurer Code ; Reporting Year ; Insurance Category Code ; Large Provider Entity Code ; Age Band Code ; Sex Code </v>
      </c>
      <c r="N3943" s="297" t="s">
        <v>197</v>
      </c>
      <c r="O3943" s="297" t="s">
        <v>198</v>
      </c>
      <c r="P3943" s="297" t="s">
        <v>199</v>
      </c>
      <c r="Q3943" s="297" t="s">
        <v>200</v>
      </c>
      <c r="R3943" s="297" t="s">
        <v>213</v>
      </c>
      <c r="S3943" s="297" t="s">
        <v>214</v>
      </c>
    </row>
    <row r="3944" spans="1:19" x14ac:dyDescent="0.4">
      <c r="A3944" s="291"/>
      <c r="B3944" s="292"/>
      <c r="C3944" s="312"/>
      <c r="D3944" s="292"/>
      <c r="E3944" s="489"/>
      <c r="F3944" s="489"/>
      <c r="G3944" s="490"/>
      <c r="H3944" s="520"/>
      <c r="I3944" s="523"/>
      <c r="J3944" s="521"/>
      <c r="K3944" s="522"/>
      <c r="M3944" s="301" t="str">
        <f>N3944&amp;AS[[#This Row],[Insurer Code]]&amp;"; "&amp;O3944&amp;AS[[#This Row],[Reporting Year]]&amp;"; "&amp;P3944&amp;AS[[#This Row],[Insurance Category Code]]&amp;"; "&amp;Q3944&amp;AS[[#This Row],[Large Provider Entity Code]]&amp;"; "&amp;R3944&amp;AS[[#This Row],[Age Band Code]]&amp;"; "&amp;S3944&amp;AS[[#This Row],[Sex Code]]</f>
        <v xml:space="preserve">Insurer Code ; Reporting Year ; Insurance Category Code ; Large Provider Entity Code ; Age Band Code ; Sex Code </v>
      </c>
      <c r="N3944" s="297" t="s">
        <v>197</v>
      </c>
      <c r="O3944" s="297" t="s">
        <v>198</v>
      </c>
      <c r="P3944" s="297" t="s">
        <v>199</v>
      </c>
      <c r="Q3944" s="297" t="s">
        <v>200</v>
      </c>
      <c r="R3944" s="297" t="s">
        <v>213</v>
      </c>
      <c r="S3944" s="297" t="s">
        <v>214</v>
      </c>
    </row>
    <row r="3945" spans="1:19" x14ac:dyDescent="0.4">
      <c r="A3945" s="291"/>
      <c r="B3945" s="292"/>
      <c r="C3945" s="312"/>
      <c r="D3945" s="292"/>
      <c r="E3945" s="489"/>
      <c r="F3945" s="489"/>
      <c r="G3945" s="490"/>
      <c r="H3945" s="520"/>
      <c r="I3945" s="523"/>
      <c r="J3945" s="521"/>
      <c r="K3945" s="522"/>
      <c r="M3945" s="301" t="str">
        <f>N3945&amp;AS[[#This Row],[Insurer Code]]&amp;"; "&amp;O3945&amp;AS[[#This Row],[Reporting Year]]&amp;"; "&amp;P3945&amp;AS[[#This Row],[Insurance Category Code]]&amp;"; "&amp;Q3945&amp;AS[[#This Row],[Large Provider Entity Code]]&amp;"; "&amp;R3945&amp;AS[[#This Row],[Age Band Code]]&amp;"; "&amp;S3945&amp;AS[[#This Row],[Sex Code]]</f>
        <v xml:space="preserve">Insurer Code ; Reporting Year ; Insurance Category Code ; Large Provider Entity Code ; Age Band Code ; Sex Code </v>
      </c>
      <c r="N3945" s="297" t="s">
        <v>197</v>
      </c>
      <c r="O3945" s="297" t="s">
        <v>198</v>
      </c>
      <c r="P3945" s="297" t="s">
        <v>199</v>
      </c>
      <c r="Q3945" s="297" t="s">
        <v>200</v>
      </c>
      <c r="R3945" s="297" t="s">
        <v>213</v>
      </c>
      <c r="S3945" s="297" t="s">
        <v>214</v>
      </c>
    </row>
    <row r="3946" spans="1:19" x14ac:dyDescent="0.4">
      <c r="A3946" s="291"/>
      <c r="B3946" s="292"/>
      <c r="C3946" s="312"/>
      <c r="D3946" s="292"/>
      <c r="E3946" s="489"/>
      <c r="F3946" s="489"/>
      <c r="G3946" s="490"/>
      <c r="H3946" s="520"/>
      <c r="I3946" s="523"/>
      <c r="J3946" s="521"/>
      <c r="K3946" s="522"/>
      <c r="M3946" s="301" t="str">
        <f>N3946&amp;AS[[#This Row],[Insurer Code]]&amp;"; "&amp;O3946&amp;AS[[#This Row],[Reporting Year]]&amp;"; "&amp;P3946&amp;AS[[#This Row],[Insurance Category Code]]&amp;"; "&amp;Q3946&amp;AS[[#This Row],[Large Provider Entity Code]]&amp;"; "&amp;R3946&amp;AS[[#This Row],[Age Band Code]]&amp;"; "&amp;S3946&amp;AS[[#This Row],[Sex Code]]</f>
        <v xml:space="preserve">Insurer Code ; Reporting Year ; Insurance Category Code ; Large Provider Entity Code ; Age Band Code ; Sex Code </v>
      </c>
      <c r="N3946" s="297" t="s">
        <v>197</v>
      </c>
      <c r="O3946" s="297" t="s">
        <v>198</v>
      </c>
      <c r="P3946" s="297" t="s">
        <v>199</v>
      </c>
      <c r="Q3946" s="297" t="s">
        <v>200</v>
      </c>
      <c r="R3946" s="297" t="s">
        <v>213</v>
      </c>
      <c r="S3946" s="297" t="s">
        <v>214</v>
      </c>
    </row>
    <row r="3947" spans="1:19" x14ac:dyDescent="0.4">
      <c r="A3947" s="291"/>
      <c r="B3947" s="292"/>
      <c r="C3947" s="312"/>
      <c r="D3947" s="292"/>
      <c r="E3947" s="489"/>
      <c r="F3947" s="489"/>
      <c r="G3947" s="490"/>
      <c r="H3947" s="520"/>
      <c r="I3947" s="523"/>
      <c r="J3947" s="521"/>
      <c r="K3947" s="522"/>
      <c r="M3947" s="301" t="str">
        <f>N3947&amp;AS[[#This Row],[Insurer Code]]&amp;"; "&amp;O3947&amp;AS[[#This Row],[Reporting Year]]&amp;"; "&amp;P3947&amp;AS[[#This Row],[Insurance Category Code]]&amp;"; "&amp;Q3947&amp;AS[[#This Row],[Large Provider Entity Code]]&amp;"; "&amp;R3947&amp;AS[[#This Row],[Age Band Code]]&amp;"; "&amp;S3947&amp;AS[[#This Row],[Sex Code]]</f>
        <v xml:space="preserve">Insurer Code ; Reporting Year ; Insurance Category Code ; Large Provider Entity Code ; Age Band Code ; Sex Code </v>
      </c>
      <c r="N3947" s="297" t="s">
        <v>197</v>
      </c>
      <c r="O3947" s="297" t="s">
        <v>198</v>
      </c>
      <c r="P3947" s="297" t="s">
        <v>199</v>
      </c>
      <c r="Q3947" s="297" t="s">
        <v>200</v>
      </c>
      <c r="R3947" s="297" t="s">
        <v>213</v>
      </c>
      <c r="S3947" s="297" t="s">
        <v>214</v>
      </c>
    </row>
    <row r="3948" spans="1:19" x14ac:dyDescent="0.4">
      <c r="A3948" s="291"/>
      <c r="B3948" s="292"/>
      <c r="C3948" s="312"/>
      <c r="D3948" s="292"/>
      <c r="E3948" s="489"/>
      <c r="F3948" s="489"/>
      <c r="G3948" s="490"/>
      <c r="H3948" s="520"/>
      <c r="I3948" s="523"/>
      <c r="J3948" s="521"/>
      <c r="K3948" s="522"/>
      <c r="M3948" s="301" t="str">
        <f>N3948&amp;AS[[#This Row],[Insurer Code]]&amp;"; "&amp;O3948&amp;AS[[#This Row],[Reporting Year]]&amp;"; "&amp;P3948&amp;AS[[#This Row],[Insurance Category Code]]&amp;"; "&amp;Q3948&amp;AS[[#This Row],[Large Provider Entity Code]]&amp;"; "&amp;R3948&amp;AS[[#This Row],[Age Band Code]]&amp;"; "&amp;S3948&amp;AS[[#This Row],[Sex Code]]</f>
        <v xml:space="preserve">Insurer Code ; Reporting Year ; Insurance Category Code ; Large Provider Entity Code ; Age Band Code ; Sex Code </v>
      </c>
      <c r="N3948" s="297" t="s">
        <v>197</v>
      </c>
      <c r="O3948" s="297" t="s">
        <v>198</v>
      </c>
      <c r="P3948" s="297" t="s">
        <v>199</v>
      </c>
      <c r="Q3948" s="297" t="s">
        <v>200</v>
      </c>
      <c r="R3948" s="297" t="s">
        <v>213</v>
      </c>
      <c r="S3948" s="297" t="s">
        <v>214</v>
      </c>
    </row>
    <row r="3949" spans="1:19" x14ac:dyDescent="0.4">
      <c r="A3949" s="291"/>
      <c r="B3949" s="292"/>
      <c r="C3949" s="312"/>
      <c r="D3949" s="292"/>
      <c r="E3949" s="489"/>
      <c r="F3949" s="489"/>
      <c r="G3949" s="490"/>
      <c r="H3949" s="520"/>
      <c r="I3949" s="523"/>
      <c r="J3949" s="521"/>
      <c r="K3949" s="522"/>
      <c r="M3949" s="301" t="str">
        <f>N3949&amp;AS[[#This Row],[Insurer Code]]&amp;"; "&amp;O3949&amp;AS[[#This Row],[Reporting Year]]&amp;"; "&amp;P3949&amp;AS[[#This Row],[Insurance Category Code]]&amp;"; "&amp;Q3949&amp;AS[[#This Row],[Large Provider Entity Code]]&amp;"; "&amp;R3949&amp;AS[[#This Row],[Age Band Code]]&amp;"; "&amp;S3949&amp;AS[[#This Row],[Sex Code]]</f>
        <v xml:space="preserve">Insurer Code ; Reporting Year ; Insurance Category Code ; Large Provider Entity Code ; Age Band Code ; Sex Code </v>
      </c>
      <c r="N3949" s="297" t="s">
        <v>197</v>
      </c>
      <c r="O3949" s="297" t="s">
        <v>198</v>
      </c>
      <c r="P3949" s="297" t="s">
        <v>199</v>
      </c>
      <c r="Q3949" s="297" t="s">
        <v>200</v>
      </c>
      <c r="R3949" s="297" t="s">
        <v>213</v>
      </c>
      <c r="S3949" s="297" t="s">
        <v>214</v>
      </c>
    </row>
    <row r="3950" spans="1:19" x14ac:dyDescent="0.4">
      <c r="A3950" s="291"/>
      <c r="B3950" s="292"/>
      <c r="C3950" s="312"/>
      <c r="D3950" s="292"/>
      <c r="E3950" s="489"/>
      <c r="F3950" s="489"/>
      <c r="G3950" s="490"/>
      <c r="H3950" s="520"/>
      <c r="I3950" s="523"/>
      <c r="J3950" s="521"/>
      <c r="K3950" s="522"/>
      <c r="M3950" s="301" t="str">
        <f>N3950&amp;AS[[#This Row],[Insurer Code]]&amp;"; "&amp;O3950&amp;AS[[#This Row],[Reporting Year]]&amp;"; "&amp;P3950&amp;AS[[#This Row],[Insurance Category Code]]&amp;"; "&amp;Q3950&amp;AS[[#This Row],[Large Provider Entity Code]]&amp;"; "&amp;R3950&amp;AS[[#This Row],[Age Band Code]]&amp;"; "&amp;S3950&amp;AS[[#This Row],[Sex Code]]</f>
        <v xml:space="preserve">Insurer Code ; Reporting Year ; Insurance Category Code ; Large Provider Entity Code ; Age Band Code ; Sex Code </v>
      </c>
      <c r="N3950" s="297" t="s">
        <v>197</v>
      </c>
      <c r="O3950" s="297" t="s">
        <v>198</v>
      </c>
      <c r="P3950" s="297" t="s">
        <v>199</v>
      </c>
      <c r="Q3950" s="297" t="s">
        <v>200</v>
      </c>
      <c r="R3950" s="297" t="s">
        <v>213</v>
      </c>
      <c r="S3950" s="297" t="s">
        <v>214</v>
      </c>
    </row>
    <row r="3951" spans="1:19" x14ac:dyDescent="0.4">
      <c r="A3951" s="291"/>
      <c r="B3951" s="292"/>
      <c r="C3951" s="312"/>
      <c r="D3951" s="292"/>
      <c r="E3951" s="489"/>
      <c r="F3951" s="489"/>
      <c r="G3951" s="490"/>
      <c r="H3951" s="520"/>
      <c r="I3951" s="523"/>
      <c r="J3951" s="521"/>
      <c r="K3951" s="522"/>
      <c r="M3951" s="301" t="str">
        <f>N3951&amp;AS[[#This Row],[Insurer Code]]&amp;"; "&amp;O3951&amp;AS[[#This Row],[Reporting Year]]&amp;"; "&amp;P3951&amp;AS[[#This Row],[Insurance Category Code]]&amp;"; "&amp;Q3951&amp;AS[[#This Row],[Large Provider Entity Code]]&amp;"; "&amp;R3951&amp;AS[[#This Row],[Age Band Code]]&amp;"; "&amp;S3951&amp;AS[[#This Row],[Sex Code]]</f>
        <v xml:space="preserve">Insurer Code ; Reporting Year ; Insurance Category Code ; Large Provider Entity Code ; Age Band Code ; Sex Code </v>
      </c>
      <c r="N3951" s="297" t="s">
        <v>197</v>
      </c>
      <c r="O3951" s="297" t="s">
        <v>198</v>
      </c>
      <c r="P3951" s="297" t="s">
        <v>199</v>
      </c>
      <c r="Q3951" s="297" t="s">
        <v>200</v>
      </c>
      <c r="R3951" s="297" t="s">
        <v>213</v>
      </c>
      <c r="S3951" s="297" t="s">
        <v>214</v>
      </c>
    </row>
    <row r="3952" spans="1:19" x14ac:dyDescent="0.4">
      <c r="A3952" s="291"/>
      <c r="B3952" s="292"/>
      <c r="C3952" s="312"/>
      <c r="D3952" s="292"/>
      <c r="E3952" s="489"/>
      <c r="F3952" s="489"/>
      <c r="G3952" s="490"/>
      <c r="H3952" s="520"/>
      <c r="I3952" s="523"/>
      <c r="J3952" s="521"/>
      <c r="K3952" s="522"/>
      <c r="M3952" s="301" t="str">
        <f>N3952&amp;AS[[#This Row],[Insurer Code]]&amp;"; "&amp;O3952&amp;AS[[#This Row],[Reporting Year]]&amp;"; "&amp;P3952&amp;AS[[#This Row],[Insurance Category Code]]&amp;"; "&amp;Q3952&amp;AS[[#This Row],[Large Provider Entity Code]]&amp;"; "&amp;R3952&amp;AS[[#This Row],[Age Band Code]]&amp;"; "&amp;S3952&amp;AS[[#This Row],[Sex Code]]</f>
        <v xml:space="preserve">Insurer Code ; Reporting Year ; Insurance Category Code ; Large Provider Entity Code ; Age Band Code ; Sex Code </v>
      </c>
      <c r="N3952" s="297" t="s">
        <v>197</v>
      </c>
      <c r="O3952" s="297" t="s">
        <v>198</v>
      </c>
      <c r="P3952" s="297" t="s">
        <v>199</v>
      </c>
      <c r="Q3952" s="297" t="s">
        <v>200</v>
      </c>
      <c r="R3952" s="297" t="s">
        <v>213</v>
      </c>
      <c r="S3952" s="297" t="s">
        <v>214</v>
      </c>
    </row>
    <row r="3953" spans="1:19" x14ac:dyDescent="0.4">
      <c r="A3953" s="291"/>
      <c r="B3953" s="292"/>
      <c r="C3953" s="312"/>
      <c r="D3953" s="292"/>
      <c r="E3953" s="489"/>
      <c r="F3953" s="489"/>
      <c r="G3953" s="490"/>
      <c r="H3953" s="520"/>
      <c r="I3953" s="523"/>
      <c r="J3953" s="521"/>
      <c r="K3953" s="522"/>
      <c r="M3953" s="301" t="str">
        <f>N3953&amp;AS[[#This Row],[Insurer Code]]&amp;"; "&amp;O3953&amp;AS[[#This Row],[Reporting Year]]&amp;"; "&amp;P3953&amp;AS[[#This Row],[Insurance Category Code]]&amp;"; "&amp;Q3953&amp;AS[[#This Row],[Large Provider Entity Code]]&amp;"; "&amp;R3953&amp;AS[[#This Row],[Age Band Code]]&amp;"; "&amp;S3953&amp;AS[[#This Row],[Sex Code]]</f>
        <v xml:space="preserve">Insurer Code ; Reporting Year ; Insurance Category Code ; Large Provider Entity Code ; Age Band Code ; Sex Code </v>
      </c>
      <c r="N3953" s="297" t="s">
        <v>197</v>
      </c>
      <c r="O3953" s="297" t="s">
        <v>198</v>
      </c>
      <c r="P3953" s="297" t="s">
        <v>199</v>
      </c>
      <c r="Q3953" s="297" t="s">
        <v>200</v>
      </c>
      <c r="R3953" s="297" t="s">
        <v>213</v>
      </c>
      <c r="S3953" s="297" t="s">
        <v>214</v>
      </c>
    </row>
    <row r="3954" spans="1:19" x14ac:dyDescent="0.4">
      <c r="A3954" s="291"/>
      <c r="B3954" s="292"/>
      <c r="C3954" s="312"/>
      <c r="D3954" s="292"/>
      <c r="E3954" s="489"/>
      <c r="F3954" s="489"/>
      <c r="G3954" s="490"/>
      <c r="H3954" s="520"/>
      <c r="I3954" s="523"/>
      <c r="J3954" s="521"/>
      <c r="K3954" s="522"/>
      <c r="M3954" s="301" t="str">
        <f>N3954&amp;AS[[#This Row],[Insurer Code]]&amp;"; "&amp;O3954&amp;AS[[#This Row],[Reporting Year]]&amp;"; "&amp;P3954&amp;AS[[#This Row],[Insurance Category Code]]&amp;"; "&amp;Q3954&amp;AS[[#This Row],[Large Provider Entity Code]]&amp;"; "&amp;R3954&amp;AS[[#This Row],[Age Band Code]]&amp;"; "&amp;S3954&amp;AS[[#This Row],[Sex Code]]</f>
        <v xml:space="preserve">Insurer Code ; Reporting Year ; Insurance Category Code ; Large Provider Entity Code ; Age Band Code ; Sex Code </v>
      </c>
      <c r="N3954" s="297" t="s">
        <v>197</v>
      </c>
      <c r="O3954" s="297" t="s">
        <v>198</v>
      </c>
      <c r="P3954" s="297" t="s">
        <v>199</v>
      </c>
      <c r="Q3954" s="297" t="s">
        <v>200</v>
      </c>
      <c r="R3954" s="297" t="s">
        <v>213</v>
      </c>
      <c r="S3954" s="297" t="s">
        <v>214</v>
      </c>
    </row>
    <row r="3955" spans="1:19" x14ac:dyDescent="0.4">
      <c r="A3955" s="291"/>
      <c r="B3955" s="292"/>
      <c r="C3955" s="312"/>
      <c r="D3955" s="292"/>
      <c r="E3955" s="489"/>
      <c r="F3955" s="489"/>
      <c r="G3955" s="490"/>
      <c r="H3955" s="520"/>
      <c r="I3955" s="523"/>
      <c r="J3955" s="521"/>
      <c r="K3955" s="522"/>
      <c r="M3955" s="301" t="str">
        <f>N3955&amp;AS[[#This Row],[Insurer Code]]&amp;"; "&amp;O3955&amp;AS[[#This Row],[Reporting Year]]&amp;"; "&amp;P3955&amp;AS[[#This Row],[Insurance Category Code]]&amp;"; "&amp;Q3955&amp;AS[[#This Row],[Large Provider Entity Code]]&amp;"; "&amp;R3955&amp;AS[[#This Row],[Age Band Code]]&amp;"; "&amp;S3955&amp;AS[[#This Row],[Sex Code]]</f>
        <v xml:space="preserve">Insurer Code ; Reporting Year ; Insurance Category Code ; Large Provider Entity Code ; Age Band Code ; Sex Code </v>
      </c>
      <c r="N3955" s="297" t="s">
        <v>197</v>
      </c>
      <c r="O3955" s="297" t="s">
        <v>198</v>
      </c>
      <c r="P3955" s="297" t="s">
        <v>199</v>
      </c>
      <c r="Q3955" s="297" t="s">
        <v>200</v>
      </c>
      <c r="R3955" s="297" t="s">
        <v>213</v>
      </c>
      <c r="S3955" s="297" t="s">
        <v>214</v>
      </c>
    </row>
    <row r="3956" spans="1:19" x14ac:dyDescent="0.4">
      <c r="A3956" s="291"/>
      <c r="B3956" s="292"/>
      <c r="C3956" s="312"/>
      <c r="D3956" s="292"/>
      <c r="E3956" s="489"/>
      <c r="F3956" s="489"/>
      <c r="G3956" s="490"/>
      <c r="H3956" s="520"/>
      <c r="I3956" s="523"/>
      <c r="J3956" s="521"/>
      <c r="K3956" s="522"/>
      <c r="M3956" s="301" t="str">
        <f>N3956&amp;AS[[#This Row],[Insurer Code]]&amp;"; "&amp;O3956&amp;AS[[#This Row],[Reporting Year]]&amp;"; "&amp;P3956&amp;AS[[#This Row],[Insurance Category Code]]&amp;"; "&amp;Q3956&amp;AS[[#This Row],[Large Provider Entity Code]]&amp;"; "&amp;R3956&amp;AS[[#This Row],[Age Band Code]]&amp;"; "&amp;S3956&amp;AS[[#This Row],[Sex Code]]</f>
        <v xml:space="preserve">Insurer Code ; Reporting Year ; Insurance Category Code ; Large Provider Entity Code ; Age Band Code ; Sex Code </v>
      </c>
      <c r="N3956" s="297" t="s">
        <v>197</v>
      </c>
      <c r="O3956" s="297" t="s">
        <v>198</v>
      </c>
      <c r="P3956" s="297" t="s">
        <v>199</v>
      </c>
      <c r="Q3956" s="297" t="s">
        <v>200</v>
      </c>
      <c r="R3956" s="297" t="s">
        <v>213</v>
      </c>
      <c r="S3956" s="297" t="s">
        <v>214</v>
      </c>
    </row>
    <row r="3957" spans="1:19" x14ac:dyDescent="0.4">
      <c r="A3957" s="291"/>
      <c r="B3957" s="292"/>
      <c r="C3957" s="312"/>
      <c r="D3957" s="292"/>
      <c r="E3957" s="489"/>
      <c r="F3957" s="489"/>
      <c r="G3957" s="490"/>
      <c r="H3957" s="520"/>
      <c r="I3957" s="523"/>
      <c r="J3957" s="521"/>
      <c r="K3957" s="522"/>
      <c r="M3957" s="301" t="str">
        <f>N3957&amp;AS[[#This Row],[Insurer Code]]&amp;"; "&amp;O3957&amp;AS[[#This Row],[Reporting Year]]&amp;"; "&amp;P3957&amp;AS[[#This Row],[Insurance Category Code]]&amp;"; "&amp;Q3957&amp;AS[[#This Row],[Large Provider Entity Code]]&amp;"; "&amp;R3957&amp;AS[[#This Row],[Age Band Code]]&amp;"; "&amp;S3957&amp;AS[[#This Row],[Sex Code]]</f>
        <v xml:space="preserve">Insurer Code ; Reporting Year ; Insurance Category Code ; Large Provider Entity Code ; Age Band Code ; Sex Code </v>
      </c>
      <c r="N3957" s="297" t="s">
        <v>197</v>
      </c>
      <c r="O3957" s="297" t="s">
        <v>198</v>
      </c>
      <c r="P3957" s="297" t="s">
        <v>199</v>
      </c>
      <c r="Q3957" s="297" t="s">
        <v>200</v>
      </c>
      <c r="R3957" s="297" t="s">
        <v>213</v>
      </c>
      <c r="S3957" s="297" t="s">
        <v>214</v>
      </c>
    </row>
    <row r="3958" spans="1:19" x14ac:dyDescent="0.4">
      <c r="A3958" s="291"/>
      <c r="B3958" s="292"/>
      <c r="C3958" s="312"/>
      <c r="D3958" s="292"/>
      <c r="E3958" s="489"/>
      <c r="F3958" s="489"/>
      <c r="G3958" s="490"/>
      <c r="H3958" s="520"/>
      <c r="I3958" s="523"/>
      <c r="J3958" s="521"/>
      <c r="K3958" s="522"/>
      <c r="M3958" s="301" t="str">
        <f>N3958&amp;AS[[#This Row],[Insurer Code]]&amp;"; "&amp;O3958&amp;AS[[#This Row],[Reporting Year]]&amp;"; "&amp;P3958&amp;AS[[#This Row],[Insurance Category Code]]&amp;"; "&amp;Q3958&amp;AS[[#This Row],[Large Provider Entity Code]]&amp;"; "&amp;R3958&amp;AS[[#This Row],[Age Band Code]]&amp;"; "&amp;S3958&amp;AS[[#This Row],[Sex Code]]</f>
        <v xml:space="preserve">Insurer Code ; Reporting Year ; Insurance Category Code ; Large Provider Entity Code ; Age Band Code ; Sex Code </v>
      </c>
      <c r="N3958" s="297" t="s">
        <v>197</v>
      </c>
      <c r="O3958" s="297" t="s">
        <v>198</v>
      </c>
      <c r="P3958" s="297" t="s">
        <v>199</v>
      </c>
      <c r="Q3958" s="297" t="s">
        <v>200</v>
      </c>
      <c r="R3958" s="297" t="s">
        <v>213</v>
      </c>
      <c r="S3958" s="297" t="s">
        <v>214</v>
      </c>
    </row>
    <row r="3959" spans="1:19" x14ac:dyDescent="0.4">
      <c r="A3959" s="291"/>
      <c r="B3959" s="292"/>
      <c r="C3959" s="312"/>
      <c r="D3959" s="292"/>
      <c r="E3959" s="489"/>
      <c r="F3959" s="489"/>
      <c r="G3959" s="490"/>
      <c r="H3959" s="520"/>
      <c r="I3959" s="523"/>
      <c r="J3959" s="521"/>
      <c r="K3959" s="522"/>
      <c r="M3959" s="301" t="str">
        <f>N3959&amp;AS[[#This Row],[Insurer Code]]&amp;"; "&amp;O3959&amp;AS[[#This Row],[Reporting Year]]&amp;"; "&amp;P3959&amp;AS[[#This Row],[Insurance Category Code]]&amp;"; "&amp;Q3959&amp;AS[[#This Row],[Large Provider Entity Code]]&amp;"; "&amp;R3959&amp;AS[[#This Row],[Age Band Code]]&amp;"; "&amp;S3959&amp;AS[[#This Row],[Sex Code]]</f>
        <v xml:space="preserve">Insurer Code ; Reporting Year ; Insurance Category Code ; Large Provider Entity Code ; Age Band Code ; Sex Code </v>
      </c>
      <c r="N3959" s="297" t="s">
        <v>197</v>
      </c>
      <c r="O3959" s="297" t="s">
        <v>198</v>
      </c>
      <c r="P3959" s="297" t="s">
        <v>199</v>
      </c>
      <c r="Q3959" s="297" t="s">
        <v>200</v>
      </c>
      <c r="R3959" s="297" t="s">
        <v>213</v>
      </c>
      <c r="S3959" s="297" t="s">
        <v>214</v>
      </c>
    </row>
    <row r="3960" spans="1:19" x14ac:dyDescent="0.4">
      <c r="A3960" s="291"/>
      <c r="B3960" s="292"/>
      <c r="C3960" s="312"/>
      <c r="D3960" s="292"/>
      <c r="E3960" s="489"/>
      <c r="F3960" s="489"/>
      <c r="G3960" s="490"/>
      <c r="H3960" s="520"/>
      <c r="I3960" s="523"/>
      <c r="J3960" s="521"/>
      <c r="K3960" s="522"/>
      <c r="M3960" s="301" t="str">
        <f>N3960&amp;AS[[#This Row],[Insurer Code]]&amp;"; "&amp;O3960&amp;AS[[#This Row],[Reporting Year]]&amp;"; "&amp;P3960&amp;AS[[#This Row],[Insurance Category Code]]&amp;"; "&amp;Q3960&amp;AS[[#This Row],[Large Provider Entity Code]]&amp;"; "&amp;R3960&amp;AS[[#This Row],[Age Band Code]]&amp;"; "&amp;S3960&amp;AS[[#This Row],[Sex Code]]</f>
        <v xml:space="preserve">Insurer Code ; Reporting Year ; Insurance Category Code ; Large Provider Entity Code ; Age Band Code ; Sex Code </v>
      </c>
      <c r="N3960" s="297" t="s">
        <v>197</v>
      </c>
      <c r="O3960" s="297" t="s">
        <v>198</v>
      </c>
      <c r="P3960" s="297" t="s">
        <v>199</v>
      </c>
      <c r="Q3960" s="297" t="s">
        <v>200</v>
      </c>
      <c r="R3960" s="297" t="s">
        <v>213</v>
      </c>
      <c r="S3960" s="297" t="s">
        <v>214</v>
      </c>
    </row>
    <row r="3961" spans="1:19" x14ac:dyDescent="0.4">
      <c r="A3961" s="291"/>
      <c r="B3961" s="292"/>
      <c r="C3961" s="312"/>
      <c r="D3961" s="292"/>
      <c r="E3961" s="489"/>
      <c r="F3961" s="489"/>
      <c r="G3961" s="490"/>
      <c r="H3961" s="520"/>
      <c r="I3961" s="523"/>
      <c r="J3961" s="521"/>
      <c r="K3961" s="522"/>
      <c r="M3961" s="301" t="str">
        <f>N3961&amp;AS[[#This Row],[Insurer Code]]&amp;"; "&amp;O3961&amp;AS[[#This Row],[Reporting Year]]&amp;"; "&amp;P3961&amp;AS[[#This Row],[Insurance Category Code]]&amp;"; "&amp;Q3961&amp;AS[[#This Row],[Large Provider Entity Code]]&amp;"; "&amp;R3961&amp;AS[[#This Row],[Age Band Code]]&amp;"; "&amp;S3961&amp;AS[[#This Row],[Sex Code]]</f>
        <v xml:space="preserve">Insurer Code ; Reporting Year ; Insurance Category Code ; Large Provider Entity Code ; Age Band Code ; Sex Code </v>
      </c>
      <c r="N3961" s="297" t="s">
        <v>197</v>
      </c>
      <c r="O3961" s="297" t="s">
        <v>198</v>
      </c>
      <c r="P3961" s="297" t="s">
        <v>199</v>
      </c>
      <c r="Q3961" s="297" t="s">
        <v>200</v>
      </c>
      <c r="R3961" s="297" t="s">
        <v>213</v>
      </c>
      <c r="S3961" s="297" t="s">
        <v>214</v>
      </c>
    </row>
    <row r="3962" spans="1:19" x14ac:dyDescent="0.4">
      <c r="A3962" s="291"/>
      <c r="B3962" s="292"/>
      <c r="C3962" s="312"/>
      <c r="D3962" s="292"/>
      <c r="E3962" s="489"/>
      <c r="F3962" s="489"/>
      <c r="G3962" s="490"/>
      <c r="H3962" s="520"/>
      <c r="I3962" s="523"/>
      <c r="J3962" s="521"/>
      <c r="K3962" s="522"/>
      <c r="M3962" s="301" t="str">
        <f>N3962&amp;AS[[#This Row],[Insurer Code]]&amp;"; "&amp;O3962&amp;AS[[#This Row],[Reporting Year]]&amp;"; "&amp;P3962&amp;AS[[#This Row],[Insurance Category Code]]&amp;"; "&amp;Q3962&amp;AS[[#This Row],[Large Provider Entity Code]]&amp;"; "&amp;R3962&amp;AS[[#This Row],[Age Band Code]]&amp;"; "&amp;S3962&amp;AS[[#This Row],[Sex Code]]</f>
        <v xml:space="preserve">Insurer Code ; Reporting Year ; Insurance Category Code ; Large Provider Entity Code ; Age Band Code ; Sex Code </v>
      </c>
      <c r="N3962" s="297" t="s">
        <v>197</v>
      </c>
      <c r="O3962" s="297" t="s">
        <v>198</v>
      </c>
      <c r="P3962" s="297" t="s">
        <v>199</v>
      </c>
      <c r="Q3962" s="297" t="s">
        <v>200</v>
      </c>
      <c r="R3962" s="297" t="s">
        <v>213</v>
      </c>
      <c r="S3962" s="297" t="s">
        <v>214</v>
      </c>
    </row>
    <row r="3963" spans="1:19" x14ac:dyDescent="0.4">
      <c r="A3963" s="291"/>
      <c r="B3963" s="292"/>
      <c r="C3963" s="312"/>
      <c r="D3963" s="292"/>
      <c r="E3963" s="489"/>
      <c r="F3963" s="489"/>
      <c r="G3963" s="490"/>
      <c r="H3963" s="520"/>
      <c r="I3963" s="523"/>
      <c r="J3963" s="521"/>
      <c r="K3963" s="522"/>
      <c r="M3963" s="301" t="str">
        <f>N3963&amp;AS[[#This Row],[Insurer Code]]&amp;"; "&amp;O3963&amp;AS[[#This Row],[Reporting Year]]&amp;"; "&amp;P3963&amp;AS[[#This Row],[Insurance Category Code]]&amp;"; "&amp;Q3963&amp;AS[[#This Row],[Large Provider Entity Code]]&amp;"; "&amp;R3963&amp;AS[[#This Row],[Age Band Code]]&amp;"; "&amp;S3963&amp;AS[[#This Row],[Sex Code]]</f>
        <v xml:space="preserve">Insurer Code ; Reporting Year ; Insurance Category Code ; Large Provider Entity Code ; Age Band Code ; Sex Code </v>
      </c>
      <c r="N3963" s="297" t="s">
        <v>197</v>
      </c>
      <c r="O3963" s="297" t="s">
        <v>198</v>
      </c>
      <c r="P3963" s="297" t="s">
        <v>199</v>
      </c>
      <c r="Q3963" s="297" t="s">
        <v>200</v>
      </c>
      <c r="R3963" s="297" t="s">
        <v>213</v>
      </c>
      <c r="S3963" s="297" t="s">
        <v>214</v>
      </c>
    </row>
    <row r="3964" spans="1:19" x14ac:dyDescent="0.4">
      <c r="A3964" s="291"/>
      <c r="B3964" s="292"/>
      <c r="C3964" s="312"/>
      <c r="D3964" s="292"/>
      <c r="E3964" s="489"/>
      <c r="F3964" s="489"/>
      <c r="G3964" s="490"/>
      <c r="H3964" s="520"/>
      <c r="I3964" s="523"/>
      <c r="J3964" s="521"/>
      <c r="K3964" s="522"/>
      <c r="M3964" s="301" t="str">
        <f>N3964&amp;AS[[#This Row],[Insurer Code]]&amp;"; "&amp;O3964&amp;AS[[#This Row],[Reporting Year]]&amp;"; "&amp;P3964&amp;AS[[#This Row],[Insurance Category Code]]&amp;"; "&amp;Q3964&amp;AS[[#This Row],[Large Provider Entity Code]]&amp;"; "&amp;R3964&amp;AS[[#This Row],[Age Band Code]]&amp;"; "&amp;S3964&amp;AS[[#This Row],[Sex Code]]</f>
        <v xml:space="preserve">Insurer Code ; Reporting Year ; Insurance Category Code ; Large Provider Entity Code ; Age Band Code ; Sex Code </v>
      </c>
      <c r="N3964" s="297" t="s">
        <v>197</v>
      </c>
      <c r="O3964" s="297" t="s">
        <v>198</v>
      </c>
      <c r="P3964" s="297" t="s">
        <v>199</v>
      </c>
      <c r="Q3964" s="297" t="s">
        <v>200</v>
      </c>
      <c r="R3964" s="297" t="s">
        <v>213</v>
      </c>
      <c r="S3964" s="297" t="s">
        <v>214</v>
      </c>
    </row>
    <row r="3965" spans="1:19" x14ac:dyDescent="0.4">
      <c r="A3965" s="291"/>
      <c r="B3965" s="292"/>
      <c r="C3965" s="312"/>
      <c r="D3965" s="292"/>
      <c r="E3965" s="489"/>
      <c r="F3965" s="489"/>
      <c r="G3965" s="490"/>
      <c r="H3965" s="520"/>
      <c r="I3965" s="523"/>
      <c r="J3965" s="521"/>
      <c r="K3965" s="522"/>
      <c r="M3965" s="301" t="str">
        <f>N3965&amp;AS[[#This Row],[Insurer Code]]&amp;"; "&amp;O3965&amp;AS[[#This Row],[Reporting Year]]&amp;"; "&amp;P3965&amp;AS[[#This Row],[Insurance Category Code]]&amp;"; "&amp;Q3965&amp;AS[[#This Row],[Large Provider Entity Code]]&amp;"; "&amp;R3965&amp;AS[[#This Row],[Age Band Code]]&amp;"; "&amp;S3965&amp;AS[[#This Row],[Sex Code]]</f>
        <v xml:space="preserve">Insurer Code ; Reporting Year ; Insurance Category Code ; Large Provider Entity Code ; Age Band Code ; Sex Code </v>
      </c>
      <c r="N3965" s="297" t="s">
        <v>197</v>
      </c>
      <c r="O3965" s="297" t="s">
        <v>198</v>
      </c>
      <c r="P3965" s="297" t="s">
        <v>199</v>
      </c>
      <c r="Q3965" s="297" t="s">
        <v>200</v>
      </c>
      <c r="R3965" s="297" t="s">
        <v>213</v>
      </c>
      <c r="S3965" s="297" t="s">
        <v>214</v>
      </c>
    </row>
    <row r="3966" spans="1:19" x14ac:dyDescent="0.4">
      <c r="A3966" s="291"/>
      <c r="B3966" s="292"/>
      <c r="C3966" s="312"/>
      <c r="D3966" s="292"/>
      <c r="E3966" s="489"/>
      <c r="F3966" s="489"/>
      <c r="G3966" s="490"/>
      <c r="H3966" s="520"/>
      <c r="I3966" s="523"/>
      <c r="J3966" s="521"/>
      <c r="K3966" s="522"/>
      <c r="M3966" s="301" t="str">
        <f>N3966&amp;AS[[#This Row],[Insurer Code]]&amp;"; "&amp;O3966&amp;AS[[#This Row],[Reporting Year]]&amp;"; "&amp;P3966&amp;AS[[#This Row],[Insurance Category Code]]&amp;"; "&amp;Q3966&amp;AS[[#This Row],[Large Provider Entity Code]]&amp;"; "&amp;R3966&amp;AS[[#This Row],[Age Band Code]]&amp;"; "&amp;S3966&amp;AS[[#This Row],[Sex Code]]</f>
        <v xml:space="preserve">Insurer Code ; Reporting Year ; Insurance Category Code ; Large Provider Entity Code ; Age Band Code ; Sex Code </v>
      </c>
      <c r="N3966" s="297" t="s">
        <v>197</v>
      </c>
      <c r="O3966" s="297" t="s">
        <v>198</v>
      </c>
      <c r="P3966" s="297" t="s">
        <v>199</v>
      </c>
      <c r="Q3966" s="297" t="s">
        <v>200</v>
      </c>
      <c r="R3966" s="297" t="s">
        <v>213</v>
      </c>
      <c r="S3966" s="297" t="s">
        <v>214</v>
      </c>
    </row>
    <row r="3967" spans="1:19" x14ac:dyDescent="0.4">
      <c r="A3967" s="291"/>
      <c r="B3967" s="292"/>
      <c r="C3967" s="312"/>
      <c r="D3967" s="292"/>
      <c r="E3967" s="489"/>
      <c r="F3967" s="489"/>
      <c r="G3967" s="490"/>
      <c r="H3967" s="520"/>
      <c r="I3967" s="523"/>
      <c r="J3967" s="521"/>
      <c r="K3967" s="522"/>
      <c r="M3967" s="301" t="str">
        <f>N3967&amp;AS[[#This Row],[Insurer Code]]&amp;"; "&amp;O3967&amp;AS[[#This Row],[Reporting Year]]&amp;"; "&amp;P3967&amp;AS[[#This Row],[Insurance Category Code]]&amp;"; "&amp;Q3967&amp;AS[[#This Row],[Large Provider Entity Code]]&amp;"; "&amp;R3967&amp;AS[[#This Row],[Age Band Code]]&amp;"; "&amp;S3967&amp;AS[[#This Row],[Sex Code]]</f>
        <v xml:space="preserve">Insurer Code ; Reporting Year ; Insurance Category Code ; Large Provider Entity Code ; Age Band Code ; Sex Code </v>
      </c>
      <c r="N3967" s="297" t="s">
        <v>197</v>
      </c>
      <c r="O3967" s="297" t="s">
        <v>198</v>
      </c>
      <c r="P3967" s="297" t="s">
        <v>199</v>
      </c>
      <c r="Q3967" s="297" t="s">
        <v>200</v>
      </c>
      <c r="R3967" s="297" t="s">
        <v>213</v>
      </c>
      <c r="S3967" s="297" t="s">
        <v>214</v>
      </c>
    </row>
    <row r="3968" spans="1:19" x14ac:dyDescent="0.4">
      <c r="A3968" s="291"/>
      <c r="B3968" s="292"/>
      <c r="C3968" s="312"/>
      <c r="D3968" s="292"/>
      <c r="E3968" s="489"/>
      <c r="F3968" s="489"/>
      <c r="G3968" s="490"/>
      <c r="H3968" s="520"/>
      <c r="I3968" s="523"/>
      <c r="J3968" s="521"/>
      <c r="K3968" s="522"/>
      <c r="M3968" s="301" t="str">
        <f>N3968&amp;AS[[#This Row],[Insurer Code]]&amp;"; "&amp;O3968&amp;AS[[#This Row],[Reporting Year]]&amp;"; "&amp;P3968&amp;AS[[#This Row],[Insurance Category Code]]&amp;"; "&amp;Q3968&amp;AS[[#This Row],[Large Provider Entity Code]]&amp;"; "&amp;R3968&amp;AS[[#This Row],[Age Band Code]]&amp;"; "&amp;S3968&amp;AS[[#This Row],[Sex Code]]</f>
        <v xml:space="preserve">Insurer Code ; Reporting Year ; Insurance Category Code ; Large Provider Entity Code ; Age Band Code ; Sex Code </v>
      </c>
      <c r="N3968" s="297" t="s">
        <v>197</v>
      </c>
      <c r="O3968" s="297" t="s">
        <v>198</v>
      </c>
      <c r="P3968" s="297" t="s">
        <v>199</v>
      </c>
      <c r="Q3968" s="297" t="s">
        <v>200</v>
      </c>
      <c r="R3968" s="297" t="s">
        <v>213</v>
      </c>
      <c r="S3968" s="297" t="s">
        <v>214</v>
      </c>
    </row>
    <row r="3969" spans="1:19" x14ac:dyDescent="0.4">
      <c r="A3969" s="291"/>
      <c r="B3969" s="292"/>
      <c r="C3969" s="312"/>
      <c r="D3969" s="292"/>
      <c r="E3969" s="489"/>
      <c r="F3969" s="489"/>
      <c r="G3969" s="490"/>
      <c r="H3969" s="520"/>
      <c r="I3969" s="523"/>
      <c r="J3969" s="521"/>
      <c r="K3969" s="522"/>
      <c r="M3969" s="301" t="str">
        <f>N3969&amp;AS[[#This Row],[Insurer Code]]&amp;"; "&amp;O3969&amp;AS[[#This Row],[Reporting Year]]&amp;"; "&amp;P3969&amp;AS[[#This Row],[Insurance Category Code]]&amp;"; "&amp;Q3969&amp;AS[[#This Row],[Large Provider Entity Code]]&amp;"; "&amp;R3969&amp;AS[[#This Row],[Age Band Code]]&amp;"; "&amp;S3969&amp;AS[[#This Row],[Sex Code]]</f>
        <v xml:space="preserve">Insurer Code ; Reporting Year ; Insurance Category Code ; Large Provider Entity Code ; Age Band Code ; Sex Code </v>
      </c>
      <c r="N3969" s="297" t="s">
        <v>197</v>
      </c>
      <c r="O3969" s="297" t="s">
        <v>198</v>
      </c>
      <c r="P3969" s="297" t="s">
        <v>199</v>
      </c>
      <c r="Q3969" s="297" t="s">
        <v>200</v>
      </c>
      <c r="R3969" s="297" t="s">
        <v>213</v>
      </c>
      <c r="S3969" s="297" t="s">
        <v>214</v>
      </c>
    </row>
    <row r="3970" spans="1:19" x14ac:dyDescent="0.4">
      <c r="A3970" s="291"/>
      <c r="B3970" s="292"/>
      <c r="C3970" s="312"/>
      <c r="D3970" s="292"/>
      <c r="E3970" s="489"/>
      <c r="F3970" s="489"/>
      <c r="G3970" s="490"/>
      <c r="H3970" s="520"/>
      <c r="I3970" s="523"/>
      <c r="J3970" s="521"/>
      <c r="K3970" s="522"/>
      <c r="M3970" s="301" t="str">
        <f>N3970&amp;AS[[#This Row],[Insurer Code]]&amp;"; "&amp;O3970&amp;AS[[#This Row],[Reporting Year]]&amp;"; "&amp;P3970&amp;AS[[#This Row],[Insurance Category Code]]&amp;"; "&amp;Q3970&amp;AS[[#This Row],[Large Provider Entity Code]]&amp;"; "&amp;R3970&amp;AS[[#This Row],[Age Band Code]]&amp;"; "&amp;S3970&amp;AS[[#This Row],[Sex Code]]</f>
        <v xml:space="preserve">Insurer Code ; Reporting Year ; Insurance Category Code ; Large Provider Entity Code ; Age Band Code ; Sex Code </v>
      </c>
      <c r="N3970" s="297" t="s">
        <v>197</v>
      </c>
      <c r="O3970" s="297" t="s">
        <v>198</v>
      </c>
      <c r="P3970" s="297" t="s">
        <v>199</v>
      </c>
      <c r="Q3970" s="297" t="s">
        <v>200</v>
      </c>
      <c r="R3970" s="297" t="s">
        <v>213</v>
      </c>
      <c r="S3970" s="297" t="s">
        <v>214</v>
      </c>
    </row>
    <row r="3971" spans="1:19" x14ac:dyDescent="0.4">
      <c r="A3971" s="291"/>
      <c r="B3971" s="292"/>
      <c r="C3971" s="312"/>
      <c r="D3971" s="292"/>
      <c r="E3971" s="489"/>
      <c r="F3971" s="489"/>
      <c r="G3971" s="490"/>
      <c r="H3971" s="520"/>
      <c r="I3971" s="523"/>
      <c r="J3971" s="521"/>
      <c r="K3971" s="522"/>
      <c r="M3971" s="301" t="str">
        <f>N3971&amp;AS[[#This Row],[Insurer Code]]&amp;"; "&amp;O3971&amp;AS[[#This Row],[Reporting Year]]&amp;"; "&amp;P3971&amp;AS[[#This Row],[Insurance Category Code]]&amp;"; "&amp;Q3971&amp;AS[[#This Row],[Large Provider Entity Code]]&amp;"; "&amp;R3971&amp;AS[[#This Row],[Age Band Code]]&amp;"; "&amp;S3971&amp;AS[[#This Row],[Sex Code]]</f>
        <v xml:space="preserve">Insurer Code ; Reporting Year ; Insurance Category Code ; Large Provider Entity Code ; Age Band Code ; Sex Code </v>
      </c>
      <c r="N3971" s="297" t="s">
        <v>197</v>
      </c>
      <c r="O3971" s="297" t="s">
        <v>198</v>
      </c>
      <c r="P3971" s="297" t="s">
        <v>199</v>
      </c>
      <c r="Q3971" s="297" t="s">
        <v>200</v>
      </c>
      <c r="R3971" s="297" t="s">
        <v>213</v>
      </c>
      <c r="S3971" s="297" t="s">
        <v>214</v>
      </c>
    </row>
    <row r="3972" spans="1:19" x14ac:dyDescent="0.4">
      <c r="A3972" s="291"/>
      <c r="B3972" s="292"/>
      <c r="C3972" s="312"/>
      <c r="D3972" s="292"/>
      <c r="E3972" s="489"/>
      <c r="F3972" s="489"/>
      <c r="G3972" s="490"/>
      <c r="H3972" s="520"/>
      <c r="I3972" s="523"/>
      <c r="J3972" s="521"/>
      <c r="K3972" s="522"/>
      <c r="M3972" s="301" t="str">
        <f>N3972&amp;AS[[#This Row],[Insurer Code]]&amp;"; "&amp;O3972&amp;AS[[#This Row],[Reporting Year]]&amp;"; "&amp;P3972&amp;AS[[#This Row],[Insurance Category Code]]&amp;"; "&amp;Q3972&amp;AS[[#This Row],[Large Provider Entity Code]]&amp;"; "&amp;R3972&amp;AS[[#This Row],[Age Band Code]]&amp;"; "&amp;S3972&amp;AS[[#This Row],[Sex Code]]</f>
        <v xml:space="preserve">Insurer Code ; Reporting Year ; Insurance Category Code ; Large Provider Entity Code ; Age Band Code ; Sex Code </v>
      </c>
      <c r="N3972" s="297" t="s">
        <v>197</v>
      </c>
      <c r="O3972" s="297" t="s">
        <v>198</v>
      </c>
      <c r="P3972" s="297" t="s">
        <v>199</v>
      </c>
      <c r="Q3972" s="297" t="s">
        <v>200</v>
      </c>
      <c r="R3972" s="297" t="s">
        <v>213</v>
      </c>
      <c r="S3972" s="297" t="s">
        <v>214</v>
      </c>
    </row>
    <row r="3973" spans="1:19" x14ac:dyDescent="0.4">
      <c r="A3973" s="291"/>
      <c r="B3973" s="292"/>
      <c r="C3973" s="312"/>
      <c r="D3973" s="292"/>
      <c r="E3973" s="489"/>
      <c r="F3973" s="489"/>
      <c r="G3973" s="490"/>
      <c r="H3973" s="520"/>
      <c r="I3973" s="523"/>
      <c r="J3973" s="521"/>
      <c r="K3973" s="522"/>
      <c r="M3973" s="301" t="str">
        <f>N3973&amp;AS[[#This Row],[Insurer Code]]&amp;"; "&amp;O3973&amp;AS[[#This Row],[Reporting Year]]&amp;"; "&amp;P3973&amp;AS[[#This Row],[Insurance Category Code]]&amp;"; "&amp;Q3973&amp;AS[[#This Row],[Large Provider Entity Code]]&amp;"; "&amp;R3973&amp;AS[[#This Row],[Age Band Code]]&amp;"; "&amp;S3973&amp;AS[[#This Row],[Sex Code]]</f>
        <v xml:space="preserve">Insurer Code ; Reporting Year ; Insurance Category Code ; Large Provider Entity Code ; Age Band Code ; Sex Code </v>
      </c>
      <c r="N3973" s="297" t="s">
        <v>197</v>
      </c>
      <c r="O3973" s="297" t="s">
        <v>198</v>
      </c>
      <c r="P3973" s="297" t="s">
        <v>199</v>
      </c>
      <c r="Q3973" s="297" t="s">
        <v>200</v>
      </c>
      <c r="R3973" s="297" t="s">
        <v>213</v>
      </c>
      <c r="S3973" s="297" t="s">
        <v>214</v>
      </c>
    </row>
    <row r="3974" spans="1:19" x14ac:dyDescent="0.4">
      <c r="A3974" s="291"/>
      <c r="B3974" s="292"/>
      <c r="C3974" s="312"/>
      <c r="D3974" s="292"/>
      <c r="E3974" s="489"/>
      <c r="F3974" s="489"/>
      <c r="G3974" s="490"/>
      <c r="H3974" s="520"/>
      <c r="I3974" s="523"/>
      <c r="J3974" s="521"/>
      <c r="K3974" s="522"/>
      <c r="M3974" s="301" t="str">
        <f>N3974&amp;AS[[#This Row],[Insurer Code]]&amp;"; "&amp;O3974&amp;AS[[#This Row],[Reporting Year]]&amp;"; "&amp;P3974&amp;AS[[#This Row],[Insurance Category Code]]&amp;"; "&amp;Q3974&amp;AS[[#This Row],[Large Provider Entity Code]]&amp;"; "&amp;R3974&amp;AS[[#This Row],[Age Band Code]]&amp;"; "&amp;S3974&amp;AS[[#This Row],[Sex Code]]</f>
        <v xml:space="preserve">Insurer Code ; Reporting Year ; Insurance Category Code ; Large Provider Entity Code ; Age Band Code ; Sex Code </v>
      </c>
      <c r="N3974" s="297" t="s">
        <v>197</v>
      </c>
      <c r="O3974" s="297" t="s">
        <v>198</v>
      </c>
      <c r="P3974" s="297" t="s">
        <v>199</v>
      </c>
      <c r="Q3974" s="297" t="s">
        <v>200</v>
      </c>
      <c r="R3974" s="297" t="s">
        <v>213</v>
      </c>
      <c r="S3974" s="297" t="s">
        <v>214</v>
      </c>
    </row>
    <row r="3975" spans="1:19" x14ac:dyDescent="0.4">
      <c r="A3975" s="291"/>
      <c r="B3975" s="292"/>
      <c r="C3975" s="312"/>
      <c r="D3975" s="292"/>
      <c r="E3975" s="489"/>
      <c r="F3975" s="489"/>
      <c r="G3975" s="490"/>
      <c r="H3975" s="520"/>
      <c r="I3975" s="523"/>
      <c r="J3975" s="521"/>
      <c r="K3975" s="522"/>
      <c r="M3975" s="301" t="str">
        <f>N3975&amp;AS[[#This Row],[Insurer Code]]&amp;"; "&amp;O3975&amp;AS[[#This Row],[Reporting Year]]&amp;"; "&amp;P3975&amp;AS[[#This Row],[Insurance Category Code]]&amp;"; "&amp;Q3975&amp;AS[[#This Row],[Large Provider Entity Code]]&amp;"; "&amp;R3975&amp;AS[[#This Row],[Age Band Code]]&amp;"; "&amp;S3975&amp;AS[[#This Row],[Sex Code]]</f>
        <v xml:space="preserve">Insurer Code ; Reporting Year ; Insurance Category Code ; Large Provider Entity Code ; Age Band Code ; Sex Code </v>
      </c>
      <c r="N3975" s="297" t="s">
        <v>197</v>
      </c>
      <c r="O3975" s="297" t="s">
        <v>198</v>
      </c>
      <c r="P3975" s="297" t="s">
        <v>199</v>
      </c>
      <c r="Q3975" s="297" t="s">
        <v>200</v>
      </c>
      <c r="R3975" s="297" t="s">
        <v>213</v>
      </c>
      <c r="S3975" s="297" t="s">
        <v>214</v>
      </c>
    </row>
    <row r="3976" spans="1:19" x14ac:dyDescent="0.4">
      <c r="A3976" s="291"/>
      <c r="B3976" s="292"/>
      <c r="C3976" s="312"/>
      <c r="D3976" s="292"/>
      <c r="E3976" s="489"/>
      <c r="F3976" s="489"/>
      <c r="G3976" s="490"/>
      <c r="H3976" s="520"/>
      <c r="I3976" s="523"/>
      <c r="J3976" s="521"/>
      <c r="K3976" s="522"/>
      <c r="M3976" s="301" t="str">
        <f>N3976&amp;AS[[#This Row],[Insurer Code]]&amp;"; "&amp;O3976&amp;AS[[#This Row],[Reporting Year]]&amp;"; "&amp;P3976&amp;AS[[#This Row],[Insurance Category Code]]&amp;"; "&amp;Q3976&amp;AS[[#This Row],[Large Provider Entity Code]]&amp;"; "&amp;R3976&amp;AS[[#This Row],[Age Band Code]]&amp;"; "&amp;S3976&amp;AS[[#This Row],[Sex Code]]</f>
        <v xml:space="preserve">Insurer Code ; Reporting Year ; Insurance Category Code ; Large Provider Entity Code ; Age Band Code ; Sex Code </v>
      </c>
      <c r="N3976" s="297" t="s">
        <v>197</v>
      </c>
      <c r="O3976" s="297" t="s">
        <v>198</v>
      </c>
      <c r="P3976" s="297" t="s">
        <v>199</v>
      </c>
      <c r="Q3976" s="297" t="s">
        <v>200</v>
      </c>
      <c r="R3976" s="297" t="s">
        <v>213</v>
      </c>
      <c r="S3976" s="297" t="s">
        <v>214</v>
      </c>
    </row>
    <row r="3977" spans="1:19" x14ac:dyDescent="0.4">
      <c r="A3977" s="291"/>
      <c r="B3977" s="292"/>
      <c r="C3977" s="312"/>
      <c r="D3977" s="292"/>
      <c r="E3977" s="489"/>
      <c r="F3977" s="489"/>
      <c r="G3977" s="490"/>
      <c r="H3977" s="520"/>
      <c r="I3977" s="523"/>
      <c r="J3977" s="521"/>
      <c r="K3977" s="522"/>
      <c r="M3977" s="301" t="str">
        <f>N3977&amp;AS[[#This Row],[Insurer Code]]&amp;"; "&amp;O3977&amp;AS[[#This Row],[Reporting Year]]&amp;"; "&amp;P3977&amp;AS[[#This Row],[Insurance Category Code]]&amp;"; "&amp;Q3977&amp;AS[[#This Row],[Large Provider Entity Code]]&amp;"; "&amp;R3977&amp;AS[[#This Row],[Age Band Code]]&amp;"; "&amp;S3977&amp;AS[[#This Row],[Sex Code]]</f>
        <v xml:space="preserve">Insurer Code ; Reporting Year ; Insurance Category Code ; Large Provider Entity Code ; Age Band Code ; Sex Code </v>
      </c>
      <c r="N3977" s="297" t="s">
        <v>197</v>
      </c>
      <c r="O3977" s="297" t="s">
        <v>198</v>
      </c>
      <c r="P3977" s="297" t="s">
        <v>199</v>
      </c>
      <c r="Q3977" s="297" t="s">
        <v>200</v>
      </c>
      <c r="R3977" s="297" t="s">
        <v>213</v>
      </c>
      <c r="S3977" s="297" t="s">
        <v>214</v>
      </c>
    </row>
    <row r="3978" spans="1:19" x14ac:dyDescent="0.4">
      <c r="A3978" s="291"/>
      <c r="B3978" s="292"/>
      <c r="C3978" s="312"/>
      <c r="D3978" s="292"/>
      <c r="E3978" s="489"/>
      <c r="F3978" s="489"/>
      <c r="G3978" s="490"/>
      <c r="H3978" s="520"/>
      <c r="I3978" s="523"/>
      <c r="J3978" s="521"/>
      <c r="K3978" s="522"/>
      <c r="M3978" s="301" t="str">
        <f>N3978&amp;AS[[#This Row],[Insurer Code]]&amp;"; "&amp;O3978&amp;AS[[#This Row],[Reporting Year]]&amp;"; "&amp;P3978&amp;AS[[#This Row],[Insurance Category Code]]&amp;"; "&amp;Q3978&amp;AS[[#This Row],[Large Provider Entity Code]]&amp;"; "&amp;R3978&amp;AS[[#This Row],[Age Band Code]]&amp;"; "&amp;S3978&amp;AS[[#This Row],[Sex Code]]</f>
        <v xml:space="preserve">Insurer Code ; Reporting Year ; Insurance Category Code ; Large Provider Entity Code ; Age Band Code ; Sex Code </v>
      </c>
      <c r="N3978" s="297" t="s">
        <v>197</v>
      </c>
      <c r="O3978" s="297" t="s">
        <v>198</v>
      </c>
      <c r="P3978" s="297" t="s">
        <v>199</v>
      </c>
      <c r="Q3978" s="297" t="s">
        <v>200</v>
      </c>
      <c r="R3978" s="297" t="s">
        <v>213</v>
      </c>
      <c r="S3978" s="297" t="s">
        <v>214</v>
      </c>
    </row>
    <row r="3979" spans="1:19" x14ac:dyDescent="0.4">
      <c r="A3979" s="291"/>
      <c r="B3979" s="292"/>
      <c r="C3979" s="312"/>
      <c r="D3979" s="292"/>
      <c r="E3979" s="489"/>
      <c r="F3979" s="489"/>
      <c r="G3979" s="490"/>
      <c r="H3979" s="520"/>
      <c r="I3979" s="523"/>
      <c r="J3979" s="521"/>
      <c r="K3979" s="522"/>
      <c r="M3979" s="301" t="str">
        <f>N3979&amp;AS[[#This Row],[Insurer Code]]&amp;"; "&amp;O3979&amp;AS[[#This Row],[Reporting Year]]&amp;"; "&amp;P3979&amp;AS[[#This Row],[Insurance Category Code]]&amp;"; "&amp;Q3979&amp;AS[[#This Row],[Large Provider Entity Code]]&amp;"; "&amp;R3979&amp;AS[[#This Row],[Age Band Code]]&amp;"; "&amp;S3979&amp;AS[[#This Row],[Sex Code]]</f>
        <v xml:space="preserve">Insurer Code ; Reporting Year ; Insurance Category Code ; Large Provider Entity Code ; Age Band Code ; Sex Code </v>
      </c>
      <c r="N3979" s="297" t="s">
        <v>197</v>
      </c>
      <c r="O3979" s="297" t="s">
        <v>198</v>
      </c>
      <c r="P3979" s="297" t="s">
        <v>199</v>
      </c>
      <c r="Q3979" s="297" t="s">
        <v>200</v>
      </c>
      <c r="R3979" s="297" t="s">
        <v>213</v>
      </c>
      <c r="S3979" s="297" t="s">
        <v>214</v>
      </c>
    </row>
    <row r="3980" spans="1:19" x14ac:dyDescent="0.4">
      <c r="A3980" s="291"/>
      <c r="B3980" s="292"/>
      <c r="C3980" s="312"/>
      <c r="D3980" s="292"/>
      <c r="E3980" s="489"/>
      <c r="F3980" s="489"/>
      <c r="G3980" s="490"/>
      <c r="H3980" s="520"/>
      <c r="I3980" s="523"/>
      <c r="J3980" s="521"/>
      <c r="K3980" s="522"/>
      <c r="M3980" s="301" t="str">
        <f>N3980&amp;AS[[#This Row],[Insurer Code]]&amp;"; "&amp;O3980&amp;AS[[#This Row],[Reporting Year]]&amp;"; "&amp;P3980&amp;AS[[#This Row],[Insurance Category Code]]&amp;"; "&amp;Q3980&amp;AS[[#This Row],[Large Provider Entity Code]]&amp;"; "&amp;R3980&amp;AS[[#This Row],[Age Band Code]]&amp;"; "&amp;S3980&amp;AS[[#This Row],[Sex Code]]</f>
        <v xml:space="preserve">Insurer Code ; Reporting Year ; Insurance Category Code ; Large Provider Entity Code ; Age Band Code ; Sex Code </v>
      </c>
      <c r="N3980" s="297" t="s">
        <v>197</v>
      </c>
      <c r="O3980" s="297" t="s">
        <v>198</v>
      </c>
      <c r="P3980" s="297" t="s">
        <v>199</v>
      </c>
      <c r="Q3980" s="297" t="s">
        <v>200</v>
      </c>
      <c r="R3980" s="297" t="s">
        <v>213</v>
      </c>
      <c r="S3980" s="297" t="s">
        <v>214</v>
      </c>
    </row>
    <row r="3981" spans="1:19" x14ac:dyDescent="0.4">
      <c r="A3981" s="291"/>
      <c r="B3981" s="292"/>
      <c r="C3981" s="312"/>
      <c r="D3981" s="292"/>
      <c r="E3981" s="489"/>
      <c r="F3981" s="489"/>
      <c r="G3981" s="490"/>
      <c r="H3981" s="520"/>
      <c r="I3981" s="523"/>
      <c r="J3981" s="521"/>
      <c r="K3981" s="522"/>
      <c r="M3981" s="301" t="str">
        <f>N3981&amp;AS[[#This Row],[Insurer Code]]&amp;"; "&amp;O3981&amp;AS[[#This Row],[Reporting Year]]&amp;"; "&amp;P3981&amp;AS[[#This Row],[Insurance Category Code]]&amp;"; "&amp;Q3981&amp;AS[[#This Row],[Large Provider Entity Code]]&amp;"; "&amp;R3981&amp;AS[[#This Row],[Age Band Code]]&amp;"; "&amp;S3981&amp;AS[[#This Row],[Sex Code]]</f>
        <v xml:space="preserve">Insurer Code ; Reporting Year ; Insurance Category Code ; Large Provider Entity Code ; Age Band Code ; Sex Code </v>
      </c>
      <c r="N3981" s="297" t="s">
        <v>197</v>
      </c>
      <c r="O3981" s="297" t="s">
        <v>198</v>
      </c>
      <c r="P3981" s="297" t="s">
        <v>199</v>
      </c>
      <c r="Q3981" s="297" t="s">
        <v>200</v>
      </c>
      <c r="R3981" s="297" t="s">
        <v>213</v>
      </c>
      <c r="S3981" s="297" t="s">
        <v>214</v>
      </c>
    </row>
    <row r="3982" spans="1:19" x14ac:dyDescent="0.4">
      <c r="A3982" s="291"/>
      <c r="B3982" s="292"/>
      <c r="C3982" s="312"/>
      <c r="D3982" s="292"/>
      <c r="E3982" s="489"/>
      <c r="F3982" s="489"/>
      <c r="G3982" s="490"/>
      <c r="H3982" s="520"/>
      <c r="I3982" s="523"/>
      <c r="J3982" s="521"/>
      <c r="K3982" s="522"/>
      <c r="M3982" s="301" t="str">
        <f>N3982&amp;AS[[#This Row],[Insurer Code]]&amp;"; "&amp;O3982&amp;AS[[#This Row],[Reporting Year]]&amp;"; "&amp;P3982&amp;AS[[#This Row],[Insurance Category Code]]&amp;"; "&amp;Q3982&amp;AS[[#This Row],[Large Provider Entity Code]]&amp;"; "&amp;R3982&amp;AS[[#This Row],[Age Band Code]]&amp;"; "&amp;S3982&amp;AS[[#This Row],[Sex Code]]</f>
        <v xml:space="preserve">Insurer Code ; Reporting Year ; Insurance Category Code ; Large Provider Entity Code ; Age Band Code ; Sex Code </v>
      </c>
      <c r="N3982" s="297" t="s">
        <v>197</v>
      </c>
      <c r="O3982" s="297" t="s">
        <v>198</v>
      </c>
      <c r="P3982" s="297" t="s">
        <v>199</v>
      </c>
      <c r="Q3982" s="297" t="s">
        <v>200</v>
      </c>
      <c r="R3982" s="297" t="s">
        <v>213</v>
      </c>
      <c r="S3982" s="297" t="s">
        <v>214</v>
      </c>
    </row>
    <row r="3983" spans="1:19" x14ac:dyDescent="0.4">
      <c r="A3983" s="291"/>
      <c r="B3983" s="292"/>
      <c r="C3983" s="312"/>
      <c r="D3983" s="292"/>
      <c r="E3983" s="489"/>
      <c r="F3983" s="489"/>
      <c r="G3983" s="490"/>
      <c r="H3983" s="520"/>
      <c r="I3983" s="523"/>
      <c r="J3983" s="521"/>
      <c r="K3983" s="522"/>
      <c r="M3983" s="301" t="str">
        <f>N3983&amp;AS[[#This Row],[Insurer Code]]&amp;"; "&amp;O3983&amp;AS[[#This Row],[Reporting Year]]&amp;"; "&amp;P3983&amp;AS[[#This Row],[Insurance Category Code]]&amp;"; "&amp;Q3983&amp;AS[[#This Row],[Large Provider Entity Code]]&amp;"; "&amp;R3983&amp;AS[[#This Row],[Age Band Code]]&amp;"; "&amp;S3983&amp;AS[[#This Row],[Sex Code]]</f>
        <v xml:space="preserve">Insurer Code ; Reporting Year ; Insurance Category Code ; Large Provider Entity Code ; Age Band Code ; Sex Code </v>
      </c>
      <c r="N3983" s="297" t="s">
        <v>197</v>
      </c>
      <c r="O3983" s="297" t="s">
        <v>198</v>
      </c>
      <c r="P3983" s="297" t="s">
        <v>199</v>
      </c>
      <c r="Q3983" s="297" t="s">
        <v>200</v>
      </c>
      <c r="R3983" s="297" t="s">
        <v>213</v>
      </c>
      <c r="S3983" s="297" t="s">
        <v>214</v>
      </c>
    </row>
    <row r="3984" spans="1:19" x14ac:dyDescent="0.4">
      <c r="A3984" s="291"/>
      <c r="B3984" s="292"/>
      <c r="C3984" s="312"/>
      <c r="D3984" s="292"/>
      <c r="E3984" s="489"/>
      <c r="F3984" s="489"/>
      <c r="G3984" s="490"/>
      <c r="H3984" s="520"/>
      <c r="I3984" s="523"/>
      <c r="J3984" s="521"/>
      <c r="K3984" s="522"/>
      <c r="M3984" s="301" t="str">
        <f>N3984&amp;AS[[#This Row],[Insurer Code]]&amp;"; "&amp;O3984&amp;AS[[#This Row],[Reporting Year]]&amp;"; "&amp;P3984&amp;AS[[#This Row],[Insurance Category Code]]&amp;"; "&amp;Q3984&amp;AS[[#This Row],[Large Provider Entity Code]]&amp;"; "&amp;R3984&amp;AS[[#This Row],[Age Band Code]]&amp;"; "&amp;S3984&amp;AS[[#This Row],[Sex Code]]</f>
        <v xml:space="preserve">Insurer Code ; Reporting Year ; Insurance Category Code ; Large Provider Entity Code ; Age Band Code ; Sex Code </v>
      </c>
      <c r="N3984" s="297" t="s">
        <v>197</v>
      </c>
      <c r="O3984" s="297" t="s">
        <v>198</v>
      </c>
      <c r="P3984" s="297" t="s">
        <v>199</v>
      </c>
      <c r="Q3984" s="297" t="s">
        <v>200</v>
      </c>
      <c r="R3984" s="297" t="s">
        <v>213</v>
      </c>
      <c r="S3984" s="297" t="s">
        <v>214</v>
      </c>
    </row>
    <row r="3985" spans="1:19" x14ac:dyDescent="0.4">
      <c r="A3985" s="291"/>
      <c r="B3985" s="292"/>
      <c r="C3985" s="312"/>
      <c r="D3985" s="292"/>
      <c r="E3985" s="489"/>
      <c r="F3985" s="489"/>
      <c r="G3985" s="490"/>
      <c r="H3985" s="520"/>
      <c r="I3985" s="523"/>
      <c r="J3985" s="521"/>
      <c r="K3985" s="522"/>
      <c r="M3985" s="301" t="str">
        <f>N3985&amp;AS[[#This Row],[Insurer Code]]&amp;"; "&amp;O3985&amp;AS[[#This Row],[Reporting Year]]&amp;"; "&amp;P3985&amp;AS[[#This Row],[Insurance Category Code]]&amp;"; "&amp;Q3985&amp;AS[[#This Row],[Large Provider Entity Code]]&amp;"; "&amp;R3985&amp;AS[[#This Row],[Age Band Code]]&amp;"; "&amp;S3985&amp;AS[[#This Row],[Sex Code]]</f>
        <v xml:space="preserve">Insurer Code ; Reporting Year ; Insurance Category Code ; Large Provider Entity Code ; Age Band Code ; Sex Code </v>
      </c>
      <c r="N3985" s="297" t="s">
        <v>197</v>
      </c>
      <c r="O3985" s="297" t="s">
        <v>198</v>
      </c>
      <c r="P3985" s="297" t="s">
        <v>199</v>
      </c>
      <c r="Q3985" s="297" t="s">
        <v>200</v>
      </c>
      <c r="R3985" s="297" t="s">
        <v>213</v>
      </c>
      <c r="S3985" s="297" t="s">
        <v>214</v>
      </c>
    </row>
    <row r="3986" spans="1:19" x14ac:dyDescent="0.4">
      <c r="A3986" s="291"/>
      <c r="B3986" s="292"/>
      <c r="C3986" s="312"/>
      <c r="D3986" s="292"/>
      <c r="E3986" s="489"/>
      <c r="F3986" s="489"/>
      <c r="G3986" s="490"/>
      <c r="H3986" s="520"/>
      <c r="I3986" s="523"/>
      <c r="J3986" s="521"/>
      <c r="K3986" s="522"/>
      <c r="M3986" s="301" t="str">
        <f>N3986&amp;AS[[#This Row],[Insurer Code]]&amp;"; "&amp;O3986&amp;AS[[#This Row],[Reporting Year]]&amp;"; "&amp;P3986&amp;AS[[#This Row],[Insurance Category Code]]&amp;"; "&amp;Q3986&amp;AS[[#This Row],[Large Provider Entity Code]]&amp;"; "&amp;R3986&amp;AS[[#This Row],[Age Band Code]]&amp;"; "&amp;S3986&amp;AS[[#This Row],[Sex Code]]</f>
        <v xml:space="preserve">Insurer Code ; Reporting Year ; Insurance Category Code ; Large Provider Entity Code ; Age Band Code ; Sex Code </v>
      </c>
      <c r="N3986" s="297" t="s">
        <v>197</v>
      </c>
      <c r="O3986" s="297" t="s">
        <v>198</v>
      </c>
      <c r="P3986" s="297" t="s">
        <v>199</v>
      </c>
      <c r="Q3986" s="297" t="s">
        <v>200</v>
      </c>
      <c r="R3986" s="297" t="s">
        <v>213</v>
      </c>
      <c r="S3986" s="297" t="s">
        <v>214</v>
      </c>
    </row>
    <row r="3987" spans="1:19" x14ac:dyDescent="0.4">
      <c r="A3987" s="291"/>
      <c r="B3987" s="292"/>
      <c r="C3987" s="312"/>
      <c r="D3987" s="292"/>
      <c r="E3987" s="489"/>
      <c r="F3987" s="489"/>
      <c r="G3987" s="490"/>
      <c r="H3987" s="520"/>
      <c r="I3987" s="523"/>
      <c r="J3987" s="521"/>
      <c r="K3987" s="522"/>
      <c r="M3987" s="301" t="str">
        <f>N3987&amp;AS[[#This Row],[Insurer Code]]&amp;"; "&amp;O3987&amp;AS[[#This Row],[Reporting Year]]&amp;"; "&amp;P3987&amp;AS[[#This Row],[Insurance Category Code]]&amp;"; "&amp;Q3987&amp;AS[[#This Row],[Large Provider Entity Code]]&amp;"; "&amp;R3987&amp;AS[[#This Row],[Age Band Code]]&amp;"; "&amp;S3987&amp;AS[[#This Row],[Sex Code]]</f>
        <v xml:space="preserve">Insurer Code ; Reporting Year ; Insurance Category Code ; Large Provider Entity Code ; Age Band Code ; Sex Code </v>
      </c>
      <c r="N3987" s="297" t="s">
        <v>197</v>
      </c>
      <c r="O3987" s="297" t="s">
        <v>198</v>
      </c>
      <c r="P3987" s="297" t="s">
        <v>199</v>
      </c>
      <c r="Q3987" s="297" t="s">
        <v>200</v>
      </c>
      <c r="R3987" s="297" t="s">
        <v>213</v>
      </c>
      <c r="S3987" s="297" t="s">
        <v>214</v>
      </c>
    </row>
    <row r="3988" spans="1:19" x14ac:dyDescent="0.4">
      <c r="A3988" s="291"/>
      <c r="B3988" s="292"/>
      <c r="C3988" s="312"/>
      <c r="D3988" s="292"/>
      <c r="E3988" s="489"/>
      <c r="F3988" s="489"/>
      <c r="G3988" s="490"/>
      <c r="H3988" s="520"/>
      <c r="I3988" s="523"/>
      <c r="J3988" s="521"/>
      <c r="K3988" s="522"/>
      <c r="M3988" s="301" t="str">
        <f>N3988&amp;AS[[#This Row],[Insurer Code]]&amp;"; "&amp;O3988&amp;AS[[#This Row],[Reporting Year]]&amp;"; "&amp;P3988&amp;AS[[#This Row],[Insurance Category Code]]&amp;"; "&amp;Q3988&amp;AS[[#This Row],[Large Provider Entity Code]]&amp;"; "&amp;R3988&amp;AS[[#This Row],[Age Band Code]]&amp;"; "&amp;S3988&amp;AS[[#This Row],[Sex Code]]</f>
        <v xml:space="preserve">Insurer Code ; Reporting Year ; Insurance Category Code ; Large Provider Entity Code ; Age Band Code ; Sex Code </v>
      </c>
      <c r="N3988" s="297" t="s">
        <v>197</v>
      </c>
      <c r="O3988" s="297" t="s">
        <v>198</v>
      </c>
      <c r="P3988" s="297" t="s">
        <v>199</v>
      </c>
      <c r="Q3988" s="297" t="s">
        <v>200</v>
      </c>
      <c r="R3988" s="297" t="s">
        <v>213</v>
      </c>
      <c r="S3988" s="297" t="s">
        <v>214</v>
      </c>
    </row>
    <row r="3989" spans="1:19" x14ac:dyDescent="0.4">
      <c r="A3989" s="291"/>
      <c r="B3989" s="292"/>
      <c r="C3989" s="312"/>
      <c r="D3989" s="292"/>
      <c r="E3989" s="489"/>
      <c r="F3989" s="489"/>
      <c r="G3989" s="490"/>
      <c r="H3989" s="520"/>
      <c r="I3989" s="523"/>
      <c r="J3989" s="521"/>
      <c r="K3989" s="522"/>
      <c r="M3989" s="301" t="str">
        <f>N3989&amp;AS[[#This Row],[Insurer Code]]&amp;"; "&amp;O3989&amp;AS[[#This Row],[Reporting Year]]&amp;"; "&amp;P3989&amp;AS[[#This Row],[Insurance Category Code]]&amp;"; "&amp;Q3989&amp;AS[[#This Row],[Large Provider Entity Code]]&amp;"; "&amp;R3989&amp;AS[[#This Row],[Age Band Code]]&amp;"; "&amp;S3989&amp;AS[[#This Row],[Sex Code]]</f>
        <v xml:space="preserve">Insurer Code ; Reporting Year ; Insurance Category Code ; Large Provider Entity Code ; Age Band Code ; Sex Code </v>
      </c>
      <c r="N3989" s="297" t="s">
        <v>197</v>
      </c>
      <c r="O3989" s="297" t="s">
        <v>198</v>
      </c>
      <c r="P3989" s="297" t="s">
        <v>199</v>
      </c>
      <c r="Q3989" s="297" t="s">
        <v>200</v>
      </c>
      <c r="R3989" s="297" t="s">
        <v>213</v>
      </c>
      <c r="S3989" s="297" t="s">
        <v>214</v>
      </c>
    </row>
    <row r="3990" spans="1:19" x14ac:dyDescent="0.4">
      <c r="A3990" s="291"/>
      <c r="B3990" s="292"/>
      <c r="C3990" s="312"/>
      <c r="D3990" s="292"/>
      <c r="E3990" s="489"/>
      <c r="F3990" s="489"/>
      <c r="G3990" s="490"/>
      <c r="H3990" s="520"/>
      <c r="I3990" s="523"/>
      <c r="J3990" s="521"/>
      <c r="K3990" s="522"/>
      <c r="M3990" s="301" t="str">
        <f>N3990&amp;AS[[#This Row],[Insurer Code]]&amp;"; "&amp;O3990&amp;AS[[#This Row],[Reporting Year]]&amp;"; "&amp;P3990&amp;AS[[#This Row],[Insurance Category Code]]&amp;"; "&amp;Q3990&amp;AS[[#This Row],[Large Provider Entity Code]]&amp;"; "&amp;R3990&amp;AS[[#This Row],[Age Band Code]]&amp;"; "&amp;S3990&amp;AS[[#This Row],[Sex Code]]</f>
        <v xml:space="preserve">Insurer Code ; Reporting Year ; Insurance Category Code ; Large Provider Entity Code ; Age Band Code ; Sex Code </v>
      </c>
      <c r="N3990" s="297" t="s">
        <v>197</v>
      </c>
      <c r="O3990" s="297" t="s">
        <v>198</v>
      </c>
      <c r="P3990" s="297" t="s">
        <v>199</v>
      </c>
      <c r="Q3990" s="297" t="s">
        <v>200</v>
      </c>
      <c r="R3990" s="297" t="s">
        <v>213</v>
      </c>
      <c r="S3990" s="297" t="s">
        <v>214</v>
      </c>
    </row>
    <row r="3991" spans="1:19" x14ac:dyDescent="0.4">
      <c r="A3991" s="291"/>
      <c r="B3991" s="292"/>
      <c r="C3991" s="312"/>
      <c r="D3991" s="292"/>
      <c r="E3991" s="489"/>
      <c r="F3991" s="489"/>
      <c r="G3991" s="490"/>
      <c r="H3991" s="520"/>
      <c r="I3991" s="523"/>
      <c r="J3991" s="521"/>
      <c r="K3991" s="522"/>
      <c r="M3991" s="301" t="str">
        <f>N3991&amp;AS[[#This Row],[Insurer Code]]&amp;"; "&amp;O3991&amp;AS[[#This Row],[Reporting Year]]&amp;"; "&amp;P3991&amp;AS[[#This Row],[Insurance Category Code]]&amp;"; "&amp;Q3991&amp;AS[[#This Row],[Large Provider Entity Code]]&amp;"; "&amp;R3991&amp;AS[[#This Row],[Age Band Code]]&amp;"; "&amp;S3991&amp;AS[[#This Row],[Sex Code]]</f>
        <v xml:space="preserve">Insurer Code ; Reporting Year ; Insurance Category Code ; Large Provider Entity Code ; Age Band Code ; Sex Code </v>
      </c>
      <c r="N3991" s="297" t="s">
        <v>197</v>
      </c>
      <c r="O3991" s="297" t="s">
        <v>198</v>
      </c>
      <c r="P3991" s="297" t="s">
        <v>199</v>
      </c>
      <c r="Q3991" s="297" t="s">
        <v>200</v>
      </c>
      <c r="R3991" s="297" t="s">
        <v>213</v>
      </c>
      <c r="S3991" s="297" t="s">
        <v>214</v>
      </c>
    </row>
    <row r="3992" spans="1:19" x14ac:dyDescent="0.4">
      <c r="A3992" s="291"/>
      <c r="B3992" s="292"/>
      <c r="C3992" s="312"/>
      <c r="D3992" s="292"/>
      <c r="E3992" s="489"/>
      <c r="F3992" s="489"/>
      <c r="G3992" s="490"/>
      <c r="H3992" s="520"/>
      <c r="I3992" s="523"/>
      <c r="J3992" s="521"/>
      <c r="K3992" s="522"/>
      <c r="M3992" s="301" t="str">
        <f>N3992&amp;AS[[#This Row],[Insurer Code]]&amp;"; "&amp;O3992&amp;AS[[#This Row],[Reporting Year]]&amp;"; "&amp;P3992&amp;AS[[#This Row],[Insurance Category Code]]&amp;"; "&amp;Q3992&amp;AS[[#This Row],[Large Provider Entity Code]]&amp;"; "&amp;R3992&amp;AS[[#This Row],[Age Band Code]]&amp;"; "&amp;S3992&amp;AS[[#This Row],[Sex Code]]</f>
        <v xml:space="preserve">Insurer Code ; Reporting Year ; Insurance Category Code ; Large Provider Entity Code ; Age Band Code ; Sex Code </v>
      </c>
      <c r="N3992" s="297" t="s">
        <v>197</v>
      </c>
      <c r="O3992" s="297" t="s">
        <v>198</v>
      </c>
      <c r="P3992" s="297" t="s">
        <v>199</v>
      </c>
      <c r="Q3992" s="297" t="s">
        <v>200</v>
      </c>
      <c r="R3992" s="297" t="s">
        <v>213</v>
      </c>
      <c r="S3992" s="297" t="s">
        <v>214</v>
      </c>
    </row>
    <row r="3993" spans="1:19" x14ac:dyDescent="0.4">
      <c r="A3993" s="291"/>
      <c r="B3993" s="292"/>
      <c r="C3993" s="312"/>
      <c r="D3993" s="292"/>
      <c r="E3993" s="489"/>
      <c r="F3993" s="489"/>
      <c r="G3993" s="490"/>
      <c r="H3993" s="520"/>
      <c r="I3993" s="523"/>
      <c r="J3993" s="521"/>
      <c r="K3993" s="522"/>
      <c r="M3993" s="301" t="str">
        <f>N3993&amp;AS[[#This Row],[Insurer Code]]&amp;"; "&amp;O3993&amp;AS[[#This Row],[Reporting Year]]&amp;"; "&amp;P3993&amp;AS[[#This Row],[Insurance Category Code]]&amp;"; "&amp;Q3993&amp;AS[[#This Row],[Large Provider Entity Code]]&amp;"; "&amp;R3993&amp;AS[[#This Row],[Age Band Code]]&amp;"; "&amp;S3993&amp;AS[[#This Row],[Sex Code]]</f>
        <v xml:space="preserve">Insurer Code ; Reporting Year ; Insurance Category Code ; Large Provider Entity Code ; Age Band Code ; Sex Code </v>
      </c>
      <c r="N3993" s="297" t="s">
        <v>197</v>
      </c>
      <c r="O3993" s="297" t="s">
        <v>198</v>
      </c>
      <c r="P3993" s="297" t="s">
        <v>199</v>
      </c>
      <c r="Q3993" s="297" t="s">
        <v>200</v>
      </c>
      <c r="R3993" s="297" t="s">
        <v>213</v>
      </c>
      <c r="S3993" s="297" t="s">
        <v>214</v>
      </c>
    </row>
    <row r="3994" spans="1:19" x14ac:dyDescent="0.4">
      <c r="A3994" s="291"/>
      <c r="B3994" s="292"/>
      <c r="C3994" s="312"/>
      <c r="D3994" s="292"/>
      <c r="E3994" s="489"/>
      <c r="F3994" s="489"/>
      <c r="G3994" s="490"/>
      <c r="H3994" s="520"/>
      <c r="I3994" s="523"/>
      <c r="J3994" s="521"/>
      <c r="K3994" s="522"/>
      <c r="M3994" s="301" t="str">
        <f>N3994&amp;AS[[#This Row],[Insurer Code]]&amp;"; "&amp;O3994&amp;AS[[#This Row],[Reporting Year]]&amp;"; "&amp;P3994&amp;AS[[#This Row],[Insurance Category Code]]&amp;"; "&amp;Q3994&amp;AS[[#This Row],[Large Provider Entity Code]]&amp;"; "&amp;R3994&amp;AS[[#This Row],[Age Band Code]]&amp;"; "&amp;S3994&amp;AS[[#This Row],[Sex Code]]</f>
        <v xml:space="preserve">Insurer Code ; Reporting Year ; Insurance Category Code ; Large Provider Entity Code ; Age Band Code ; Sex Code </v>
      </c>
      <c r="N3994" s="297" t="s">
        <v>197</v>
      </c>
      <c r="O3994" s="297" t="s">
        <v>198</v>
      </c>
      <c r="P3994" s="297" t="s">
        <v>199</v>
      </c>
      <c r="Q3994" s="297" t="s">
        <v>200</v>
      </c>
      <c r="R3994" s="297" t="s">
        <v>213</v>
      </c>
      <c r="S3994" s="297" t="s">
        <v>214</v>
      </c>
    </row>
    <row r="3995" spans="1:19" x14ac:dyDescent="0.4">
      <c r="A3995" s="291"/>
      <c r="B3995" s="292"/>
      <c r="C3995" s="312"/>
      <c r="D3995" s="292"/>
      <c r="E3995" s="489"/>
      <c r="F3995" s="489"/>
      <c r="G3995" s="490"/>
      <c r="H3995" s="520"/>
      <c r="I3995" s="523"/>
      <c r="J3995" s="521"/>
      <c r="K3995" s="522"/>
      <c r="M3995" s="301" t="str">
        <f>N3995&amp;AS[[#This Row],[Insurer Code]]&amp;"; "&amp;O3995&amp;AS[[#This Row],[Reporting Year]]&amp;"; "&amp;P3995&amp;AS[[#This Row],[Insurance Category Code]]&amp;"; "&amp;Q3995&amp;AS[[#This Row],[Large Provider Entity Code]]&amp;"; "&amp;R3995&amp;AS[[#This Row],[Age Band Code]]&amp;"; "&amp;S3995&amp;AS[[#This Row],[Sex Code]]</f>
        <v xml:space="preserve">Insurer Code ; Reporting Year ; Insurance Category Code ; Large Provider Entity Code ; Age Band Code ; Sex Code </v>
      </c>
      <c r="N3995" s="297" t="s">
        <v>197</v>
      </c>
      <c r="O3995" s="297" t="s">
        <v>198</v>
      </c>
      <c r="P3995" s="297" t="s">
        <v>199</v>
      </c>
      <c r="Q3995" s="297" t="s">
        <v>200</v>
      </c>
      <c r="R3995" s="297" t="s">
        <v>213</v>
      </c>
      <c r="S3995" s="297" t="s">
        <v>214</v>
      </c>
    </row>
    <row r="3996" spans="1:19" x14ac:dyDescent="0.4">
      <c r="A3996" s="291"/>
      <c r="B3996" s="292"/>
      <c r="C3996" s="312"/>
      <c r="D3996" s="292"/>
      <c r="E3996" s="489"/>
      <c r="F3996" s="489"/>
      <c r="G3996" s="490"/>
      <c r="H3996" s="520"/>
      <c r="I3996" s="523"/>
      <c r="J3996" s="521"/>
      <c r="K3996" s="522"/>
      <c r="M3996" s="301" t="str">
        <f>N3996&amp;AS[[#This Row],[Insurer Code]]&amp;"; "&amp;O3996&amp;AS[[#This Row],[Reporting Year]]&amp;"; "&amp;P3996&amp;AS[[#This Row],[Insurance Category Code]]&amp;"; "&amp;Q3996&amp;AS[[#This Row],[Large Provider Entity Code]]&amp;"; "&amp;R3996&amp;AS[[#This Row],[Age Band Code]]&amp;"; "&amp;S3996&amp;AS[[#This Row],[Sex Code]]</f>
        <v xml:space="preserve">Insurer Code ; Reporting Year ; Insurance Category Code ; Large Provider Entity Code ; Age Band Code ; Sex Code </v>
      </c>
      <c r="N3996" s="297" t="s">
        <v>197</v>
      </c>
      <c r="O3996" s="297" t="s">
        <v>198</v>
      </c>
      <c r="P3996" s="297" t="s">
        <v>199</v>
      </c>
      <c r="Q3996" s="297" t="s">
        <v>200</v>
      </c>
      <c r="R3996" s="297" t="s">
        <v>213</v>
      </c>
      <c r="S3996" s="297" t="s">
        <v>214</v>
      </c>
    </row>
    <row r="3997" spans="1:19" x14ac:dyDescent="0.4">
      <c r="A3997" s="291"/>
      <c r="B3997" s="292"/>
      <c r="C3997" s="312"/>
      <c r="D3997" s="292"/>
      <c r="E3997" s="489"/>
      <c r="F3997" s="489"/>
      <c r="G3997" s="490"/>
      <c r="H3997" s="520"/>
      <c r="I3997" s="523"/>
      <c r="J3997" s="521"/>
      <c r="K3997" s="522"/>
      <c r="M3997" s="301" t="str">
        <f>N3997&amp;AS[[#This Row],[Insurer Code]]&amp;"; "&amp;O3997&amp;AS[[#This Row],[Reporting Year]]&amp;"; "&amp;P3997&amp;AS[[#This Row],[Insurance Category Code]]&amp;"; "&amp;Q3997&amp;AS[[#This Row],[Large Provider Entity Code]]&amp;"; "&amp;R3997&amp;AS[[#This Row],[Age Band Code]]&amp;"; "&amp;S3997&amp;AS[[#This Row],[Sex Code]]</f>
        <v xml:space="preserve">Insurer Code ; Reporting Year ; Insurance Category Code ; Large Provider Entity Code ; Age Band Code ; Sex Code </v>
      </c>
      <c r="N3997" s="297" t="s">
        <v>197</v>
      </c>
      <c r="O3997" s="297" t="s">
        <v>198</v>
      </c>
      <c r="P3997" s="297" t="s">
        <v>199</v>
      </c>
      <c r="Q3997" s="297" t="s">
        <v>200</v>
      </c>
      <c r="R3997" s="297" t="s">
        <v>213</v>
      </c>
      <c r="S3997" s="297" t="s">
        <v>214</v>
      </c>
    </row>
    <row r="3998" spans="1:19" x14ac:dyDescent="0.4">
      <c r="A3998" s="291"/>
      <c r="B3998" s="292"/>
      <c r="C3998" s="312"/>
      <c r="D3998" s="292"/>
      <c r="E3998" s="489"/>
      <c r="F3998" s="489"/>
      <c r="G3998" s="490"/>
      <c r="H3998" s="520"/>
      <c r="I3998" s="523"/>
      <c r="J3998" s="521"/>
      <c r="K3998" s="522"/>
      <c r="M3998" s="301" t="str">
        <f>N3998&amp;AS[[#This Row],[Insurer Code]]&amp;"; "&amp;O3998&amp;AS[[#This Row],[Reporting Year]]&amp;"; "&amp;P3998&amp;AS[[#This Row],[Insurance Category Code]]&amp;"; "&amp;Q3998&amp;AS[[#This Row],[Large Provider Entity Code]]&amp;"; "&amp;R3998&amp;AS[[#This Row],[Age Band Code]]&amp;"; "&amp;S3998&amp;AS[[#This Row],[Sex Code]]</f>
        <v xml:space="preserve">Insurer Code ; Reporting Year ; Insurance Category Code ; Large Provider Entity Code ; Age Band Code ; Sex Code </v>
      </c>
      <c r="N3998" s="297" t="s">
        <v>197</v>
      </c>
      <c r="O3998" s="297" t="s">
        <v>198</v>
      </c>
      <c r="P3998" s="297" t="s">
        <v>199</v>
      </c>
      <c r="Q3998" s="297" t="s">
        <v>200</v>
      </c>
      <c r="R3998" s="297" t="s">
        <v>213</v>
      </c>
      <c r="S3998" s="297" t="s">
        <v>214</v>
      </c>
    </row>
    <row r="3999" spans="1:19" x14ac:dyDescent="0.4">
      <c r="A3999" s="291"/>
      <c r="B3999" s="292"/>
      <c r="C3999" s="312"/>
      <c r="D3999" s="292"/>
      <c r="E3999" s="489"/>
      <c r="F3999" s="489"/>
      <c r="G3999" s="490"/>
      <c r="H3999" s="520"/>
      <c r="I3999" s="523"/>
      <c r="J3999" s="521"/>
      <c r="K3999" s="522"/>
      <c r="M3999" s="301" t="str">
        <f>N3999&amp;AS[[#This Row],[Insurer Code]]&amp;"; "&amp;O3999&amp;AS[[#This Row],[Reporting Year]]&amp;"; "&amp;P3999&amp;AS[[#This Row],[Insurance Category Code]]&amp;"; "&amp;Q3999&amp;AS[[#This Row],[Large Provider Entity Code]]&amp;"; "&amp;R3999&amp;AS[[#This Row],[Age Band Code]]&amp;"; "&amp;S3999&amp;AS[[#This Row],[Sex Code]]</f>
        <v xml:space="preserve">Insurer Code ; Reporting Year ; Insurance Category Code ; Large Provider Entity Code ; Age Band Code ; Sex Code </v>
      </c>
      <c r="N3999" s="297" t="s">
        <v>197</v>
      </c>
      <c r="O3999" s="297" t="s">
        <v>198</v>
      </c>
      <c r="P3999" s="297" t="s">
        <v>199</v>
      </c>
      <c r="Q3999" s="297" t="s">
        <v>200</v>
      </c>
      <c r="R3999" s="297" t="s">
        <v>213</v>
      </c>
      <c r="S3999" s="297" t="s">
        <v>214</v>
      </c>
    </row>
    <row r="4000" spans="1:19" x14ac:dyDescent="0.4">
      <c r="A4000" s="291"/>
      <c r="B4000" s="292"/>
      <c r="C4000" s="312"/>
      <c r="D4000" s="292"/>
      <c r="E4000" s="489"/>
      <c r="F4000" s="489"/>
      <c r="G4000" s="490"/>
      <c r="H4000" s="520"/>
      <c r="I4000" s="523"/>
      <c r="J4000" s="521"/>
      <c r="K4000" s="522"/>
      <c r="M4000" s="301" t="str">
        <f>N4000&amp;AS[[#This Row],[Insurer Code]]&amp;"; "&amp;O4000&amp;AS[[#This Row],[Reporting Year]]&amp;"; "&amp;P4000&amp;AS[[#This Row],[Insurance Category Code]]&amp;"; "&amp;Q4000&amp;AS[[#This Row],[Large Provider Entity Code]]&amp;"; "&amp;R4000&amp;AS[[#This Row],[Age Band Code]]&amp;"; "&amp;S4000&amp;AS[[#This Row],[Sex Code]]</f>
        <v xml:space="preserve">Insurer Code ; Reporting Year ; Insurance Category Code ; Large Provider Entity Code ; Age Band Code ; Sex Code </v>
      </c>
      <c r="N4000" s="297" t="s">
        <v>197</v>
      </c>
      <c r="O4000" s="297" t="s">
        <v>198</v>
      </c>
      <c r="P4000" s="297" t="s">
        <v>199</v>
      </c>
      <c r="Q4000" s="297" t="s">
        <v>200</v>
      </c>
      <c r="R4000" s="297" t="s">
        <v>213</v>
      </c>
      <c r="S4000" s="297" t="s">
        <v>214</v>
      </c>
    </row>
    <row r="4001" spans="1:19" x14ac:dyDescent="0.4">
      <c r="A4001" s="291"/>
      <c r="B4001" s="292"/>
      <c r="C4001" s="312"/>
      <c r="D4001" s="292"/>
      <c r="E4001" s="489"/>
      <c r="F4001" s="489"/>
      <c r="G4001" s="490"/>
      <c r="H4001" s="520"/>
      <c r="I4001" s="523"/>
      <c r="J4001" s="521"/>
      <c r="K4001" s="522"/>
      <c r="M4001" s="301" t="str">
        <f>N4001&amp;AS[[#This Row],[Insurer Code]]&amp;"; "&amp;O4001&amp;AS[[#This Row],[Reporting Year]]&amp;"; "&amp;P4001&amp;AS[[#This Row],[Insurance Category Code]]&amp;"; "&amp;Q4001&amp;AS[[#This Row],[Large Provider Entity Code]]&amp;"; "&amp;R4001&amp;AS[[#This Row],[Age Band Code]]&amp;"; "&amp;S4001&amp;AS[[#This Row],[Sex Code]]</f>
        <v xml:space="preserve">Insurer Code ; Reporting Year ; Insurance Category Code ; Large Provider Entity Code ; Age Band Code ; Sex Code </v>
      </c>
      <c r="N4001" s="297" t="s">
        <v>197</v>
      </c>
      <c r="O4001" s="297" t="s">
        <v>198</v>
      </c>
      <c r="P4001" s="297" t="s">
        <v>199</v>
      </c>
      <c r="Q4001" s="297" t="s">
        <v>200</v>
      </c>
      <c r="R4001" s="297" t="s">
        <v>213</v>
      </c>
      <c r="S4001" s="297" t="s">
        <v>214</v>
      </c>
    </row>
    <row r="4002" spans="1:19" x14ac:dyDescent="0.4">
      <c r="A4002" s="291"/>
      <c r="B4002" s="292"/>
      <c r="C4002" s="312"/>
      <c r="D4002" s="292"/>
      <c r="E4002" s="489"/>
      <c r="F4002" s="489"/>
      <c r="G4002" s="490"/>
      <c r="H4002" s="520"/>
      <c r="I4002" s="523"/>
      <c r="J4002" s="521"/>
      <c r="K4002" s="522"/>
      <c r="M4002" s="301" t="str">
        <f>N4002&amp;AS[[#This Row],[Insurer Code]]&amp;"; "&amp;O4002&amp;AS[[#This Row],[Reporting Year]]&amp;"; "&amp;P4002&amp;AS[[#This Row],[Insurance Category Code]]&amp;"; "&amp;Q4002&amp;AS[[#This Row],[Large Provider Entity Code]]&amp;"; "&amp;R4002&amp;AS[[#This Row],[Age Band Code]]&amp;"; "&amp;S4002&amp;AS[[#This Row],[Sex Code]]</f>
        <v xml:space="preserve">Insurer Code ; Reporting Year ; Insurance Category Code ; Large Provider Entity Code ; Age Band Code ; Sex Code </v>
      </c>
      <c r="N4002" s="297" t="s">
        <v>197</v>
      </c>
      <c r="O4002" s="297" t="s">
        <v>198</v>
      </c>
      <c r="P4002" s="297" t="s">
        <v>199</v>
      </c>
      <c r="Q4002" s="297" t="s">
        <v>200</v>
      </c>
      <c r="R4002" s="297" t="s">
        <v>213</v>
      </c>
      <c r="S4002" s="297" t="s">
        <v>214</v>
      </c>
    </row>
    <row r="4003" spans="1:19" x14ac:dyDescent="0.4">
      <c r="A4003" s="291"/>
      <c r="B4003" s="292"/>
      <c r="C4003" s="312"/>
      <c r="D4003" s="292"/>
      <c r="E4003" s="489"/>
      <c r="F4003" s="489"/>
      <c r="G4003" s="490"/>
      <c r="H4003" s="520"/>
      <c r="I4003" s="523"/>
      <c r="J4003" s="521"/>
      <c r="K4003" s="522"/>
      <c r="M4003" s="301" t="str">
        <f>N4003&amp;AS[[#This Row],[Insurer Code]]&amp;"; "&amp;O4003&amp;AS[[#This Row],[Reporting Year]]&amp;"; "&amp;P4003&amp;AS[[#This Row],[Insurance Category Code]]&amp;"; "&amp;Q4003&amp;AS[[#This Row],[Large Provider Entity Code]]&amp;"; "&amp;R4003&amp;AS[[#This Row],[Age Band Code]]&amp;"; "&amp;S4003&amp;AS[[#This Row],[Sex Code]]</f>
        <v xml:space="preserve">Insurer Code ; Reporting Year ; Insurance Category Code ; Large Provider Entity Code ; Age Band Code ; Sex Code </v>
      </c>
      <c r="N4003" s="297" t="s">
        <v>197</v>
      </c>
      <c r="O4003" s="297" t="s">
        <v>198</v>
      </c>
      <c r="P4003" s="297" t="s">
        <v>199</v>
      </c>
      <c r="Q4003" s="297" t="s">
        <v>200</v>
      </c>
      <c r="R4003" s="297" t="s">
        <v>213</v>
      </c>
      <c r="S4003" s="297" t="s">
        <v>214</v>
      </c>
    </row>
    <row r="4004" spans="1:19" x14ac:dyDescent="0.4">
      <c r="A4004" s="291"/>
      <c r="B4004" s="292"/>
      <c r="C4004" s="312"/>
      <c r="D4004" s="292"/>
      <c r="E4004" s="489"/>
      <c r="F4004" s="489"/>
      <c r="G4004" s="490"/>
      <c r="H4004" s="520"/>
      <c r="I4004" s="523"/>
      <c r="J4004" s="521"/>
      <c r="K4004" s="522"/>
      <c r="M4004" s="301" t="str">
        <f>N4004&amp;AS[[#This Row],[Insurer Code]]&amp;"; "&amp;O4004&amp;AS[[#This Row],[Reporting Year]]&amp;"; "&amp;P4004&amp;AS[[#This Row],[Insurance Category Code]]&amp;"; "&amp;Q4004&amp;AS[[#This Row],[Large Provider Entity Code]]&amp;"; "&amp;R4004&amp;AS[[#This Row],[Age Band Code]]&amp;"; "&amp;S4004&amp;AS[[#This Row],[Sex Code]]</f>
        <v xml:space="preserve">Insurer Code ; Reporting Year ; Insurance Category Code ; Large Provider Entity Code ; Age Band Code ; Sex Code </v>
      </c>
      <c r="N4004" s="297" t="s">
        <v>197</v>
      </c>
      <c r="O4004" s="297" t="s">
        <v>198</v>
      </c>
      <c r="P4004" s="297" t="s">
        <v>199</v>
      </c>
      <c r="Q4004" s="297" t="s">
        <v>200</v>
      </c>
      <c r="R4004" s="297" t="s">
        <v>213</v>
      </c>
      <c r="S4004" s="297" t="s">
        <v>214</v>
      </c>
    </row>
    <row r="4005" spans="1:19" x14ac:dyDescent="0.4">
      <c r="A4005" s="291"/>
      <c r="B4005" s="292"/>
      <c r="C4005" s="312"/>
      <c r="D4005" s="292"/>
      <c r="E4005" s="489"/>
      <c r="F4005" s="489"/>
      <c r="G4005" s="490"/>
      <c r="H4005" s="520"/>
      <c r="I4005" s="523"/>
      <c r="J4005" s="521"/>
      <c r="K4005" s="522"/>
      <c r="M4005" s="301" t="str">
        <f>N4005&amp;AS[[#This Row],[Insurer Code]]&amp;"; "&amp;O4005&amp;AS[[#This Row],[Reporting Year]]&amp;"; "&amp;P4005&amp;AS[[#This Row],[Insurance Category Code]]&amp;"; "&amp;Q4005&amp;AS[[#This Row],[Large Provider Entity Code]]&amp;"; "&amp;R4005&amp;AS[[#This Row],[Age Band Code]]&amp;"; "&amp;S4005&amp;AS[[#This Row],[Sex Code]]</f>
        <v xml:space="preserve">Insurer Code ; Reporting Year ; Insurance Category Code ; Large Provider Entity Code ; Age Band Code ; Sex Code </v>
      </c>
      <c r="N4005" s="297" t="s">
        <v>197</v>
      </c>
      <c r="O4005" s="297" t="s">
        <v>198</v>
      </c>
      <c r="P4005" s="297" t="s">
        <v>199</v>
      </c>
      <c r="Q4005" s="297" t="s">
        <v>200</v>
      </c>
      <c r="R4005" s="297" t="s">
        <v>213</v>
      </c>
      <c r="S4005" s="297" t="s">
        <v>214</v>
      </c>
    </row>
    <row r="4006" spans="1:19" x14ac:dyDescent="0.4">
      <c r="A4006" s="291"/>
      <c r="B4006" s="292"/>
      <c r="C4006" s="312"/>
      <c r="D4006" s="292"/>
      <c r="E4006" s="489"/>
      <c r="F4006" s="489"/>
      <c r="G4006" s="490"/>
      <c r="H4006" s="520"/>
      <c r="I4006" s="523"/>
      <c r="J4006" s="521"/>
      <c r="K4006" s="522"/>
      <c r="M4006" s="301" t="str">
        <f>N4006&amp;AS[[#This Row],[Insurer Code]]&amp;"; "&amp;O4006&amp;AS[[#This Row],[Reporting Year]]&amp;"; "&amp;P4006&amp;AS[[#This Row],[Insurance Category Code]]&amp;"; "&amp;Q4006&amp;AS[[#This Row],[Large Provider Entity Code]]&amp;"; "&amp;R4006&amp;AS[[#This Row],[Age Band Code]]&amp;"; "&amp;S4006&amp;AS[[#This Row],[Sex Code]]</f>
        <v xml:space="preserve">Insurer Code ; Reporting Year ; Insurance Category Code ; Large Provider Entity Code ; Age Band Code ; Sex Code </v>
      </c>
      <c r="N4006" s="297" t="s">
        <v>197</v>
      </c>
      <c r="O4006" s="297" t="s">
        <v>198</v>
      </c>
      <c r="P4006" s="297" t="s">
        <v>199</v>
      </c>
      <c r="Q4006" s="297" t="s">
        <v>200</v>
      </c>
      <c r="R4006" s="297" t="s">
        <v>213</v>
      </c>
      <c r="S4006" s="297" t="s">
        <v>214</v>
      </c>
    </row>
    <row r="4007" spans="1:19" x14ac:dyDescent="0.4">
      <c r="A4007" s="291"/>
      <c r="B4007" s="292"/>
      <c r="C4007" s="312"/>
      <c r="D4007" s="292"/>
      <c r="E4007" s="489"/>
      <c r="F4007" s="489"/>
      <c r="G4007" s="490"/>
      <c r="H4007" s="520"/>
      <c r="I4007" s="523"/>
      <c r="J4007" s="521"/>
      <c r="K4007" s="522"/>
      <c r="M4007" s="301" t="str">
        <f>N4007&amp;AS[[#This Row],[Insurer Code]]&amp;"; "&amp;O4007&amp;AS[[#This Row],[Reporting Year]]&amp;"; "&amp;P4007&amp;AS[[#This Row],[Insurance Category Code]]&amp;"; "&amp;Q4007&amp;AS[[#This Row],[Large Provider Entity Code]]&amp;"; "&amp;R4007&amp;AS[[#This Row],[Age Band Code]]&amp;"; "&amp;S4007&amp;AS[[#This Row],[Sex Code]]</f>
        <v xml:space="preserve">Insurer Code ; Reporting Year ; Insurance Category Code ; Large Provider Entity Code ; Age Band Code ; Sex Code </v>
      </c>
      <c r="N4007" s="297" t="s">
        <v>197</v>
      </c>
      <c r="O4007" s="297" t="s">
        <v>198</v>
      </c>
      <c r="P4007" s="297" t="s">
        <v>199</v>
      </c>
      <c r="Q4007" s="297" t="s">
        <v>200</v>
      </c>
      <c r="R4007" s="297" t="s">
        <v>213</v>
      </c>
      <c r="S4007" s="297" t="s">
        <v>214</v>
      </c>
    </row>
    <row r="4008" spans="1:19" x14ac:dyDescent="0.4">
      <c r="A4008" s="291"/>
      <c r="B4008" s="292"/>
      <c r="C4008" s="312"/>
      <c r="D4008" s="292"/>
      <c r="E4008" s="489"/>
      <c r="F4008" s="489"/>
      <c r="G4008" s="490"/>
      <c r="H4008" s="520"/>
      <c r="I4008" s="523"/>
      <c r="J4008" s="521"/>
      <c r="K4008" s="522"/>
      <c r="M4008" s="301" t="str">
        <f>N4008&amp;AS[[#This Row],[Insurer Code]]&amp;"; "&amp;O4008&amp;AS[[#This Row],[Reporting Year]]&amp;"; "&amp;P4008&amp;AS[[#This Row],[Insurance Category Code]]&amp;"; "&amp;Q4008&amp;AS[[#This Row],[Large Provider Entity Code]]&amp;"; "&amp;R4008&amp;AS[[#This Row],[Age Band Code]]&amp;"; "&amp;S4008&amp;AS[[#This Row],[Sex Code]]</f>
        <v xml:space="preserve">Insurer Code ; Reporting Year ; Insurance Category Code ; Large Provider Entity Code ; Age Band Code ; Sex Code </v>
      </c>
      <c r="N4008" s="297" t="s">
        <v>197</v>
      </c>
      <c r="O4008" s="297" t="s">
        <v>198</v>
      </c>
      <c r="P4008" s="297" t="s">
        <v>199</v>
      </c>
      <c r="Q4008" s="297" t="s">
        <v>200</v>
      </c>
      <c r="R4008" s="297" t="s">
        <v>213</v>
      </c>
      <c r="S4008" s="297" t="s">
        <v>214</v>
      </c>
    </row>
    <row r="4009" spans="1:19" x14ac:dyDescent="0.4">
      <c r="A4009" s="291"/>
      <c r="B4009" s="292"/>
      <c r="C4009" s="312"/>
      <c r="D4009" s="292"/>
      <c r="E4009" s="489"/>
      <c r="F4009" s="489"/>
      <c r="G4009" s="490"/>
      <c r="H4009" s="520"/>
      <c r="I4009" s="523"/>
      <c r="J4009" s="521"/>
      <c r="K4009" s="522"/>
      <c r="M4009" s="301" t="str">
        <f>N4009&amp;AS[[#This Row],[Insurer Code]]&amp;"; "&amp;O4009&amp;AS[[#This Row],[Reporting Year]]&amp;"; "&amp;P4009&amp;AS[[#This Row],[Insurance Category Code]]&amp;"; "&amp;Q4009&amp;AS[[#This Row],[Large Provider Entity Code]]&amp;"; "&amp;R4009&amp;AS[[#This Row],[Age Band Code]]&amp;"; "&amp;S4009&amp;AS[[#This Row],[Sex Code]]</f>
        <v xml:space="preserve">Insurer Code ; Reporting Year ; Insurance Category Code ; Large Provider Entity Code ; Age Band Code ; Sex Code </v>
      </c>
      <c r="N4009" s="297" t="s">
        <v>197</v>
      </c>
      <c r="O4009" s="297" t="s">
        <v>198</v>
      </c>
      <c r="P4009" s="297" t="s">
        <v>199</v>
      </c>
      <c r="Q4009" s="297" t="s">
        <v>200</v>
      </c>
      <c r="R4009" s="297" t="s">
        <v>213</v>
      </c>
      <c r="S4009" s="297" t="s">
        <v>214</v>
      </c>
    </row>
    <row r="4010" spans="1:19" x14ac:dyDescent="0.4">
      <c r="A4010" s="291"/>
      <c r="B4010" s="292"/>
      <c r="C4010" s="312"/>
      <c r="D4010" s="292"/>
      <c r="E4010" s="489"/>
      <c r="F4010" s="489"/>
      <c r="G4010" s="490"/>
      <c r="H4010" s="520"/>
      <c r="I4010" s="523"/>
      <c r="J4010" s="521"/>
      <c r="K4010" s="522"/>
      <c r="M4010" s="301" t="str">
        <f>N4010&amp;AS[[#This Row],[Insurer Code]]&amp;"; "&amp;O4010&amp;AS[[#This Row],[Reporting Year]]&amp;"; "&amp;P4010&amp;AS[[#This Row],[Insurance Category Code]]&amp;"; "&amp;Q4010&amp;AS[[#This Row],[Large Provider Entity Code]]&amp;"; "&amp;R4010&amp;AS[[#This Row],[Age Band Code]]&amp;"; "&amp;S4010&amp;AS[[#This Row],[Sex Code]]</f>
        <v xml:space="preserve">Insurer Code ; Reporting Year ; Insurance Category Code ; Large Provider Entity Code ; Age Band Code ; Sex Code </v>
      </c>
      <c r="N4010" s="297" t="s">
        <v>197</v>
      </c>
      <c r="O4010" s="297" t="s">
        <v>198</v>
      </c>
      <c r="P4010" s="297" t="s">
        <v>199</v>
      </c>
      <c r="Q4010" s="297" t="s">
        <v>200</v>
      </c>
      <c r="R4010" s="297" t="s">
        <v>213</v>
      </c>
      <c r="S4010" s="297" t="s">
        <v>214</v>
      </c>
    </row>
    <row r="4011" spans="1:19" x14ac:dyDescent="0.4">
      <c r="A4011" s="291"/>
      <c r="B4011" s="292"/>
      <c r="C4011" s="312"/>
      <c r="D4011" s="292"/>
      <c r="E4011" s="489"/>
      <c r="F4011" s="489"/>
      <c r="G4011" s="490"/>
      <c r="H4011" s="520"/>
      <c r="I4011" s="523"/>
      <c r="J4011" s="521"/>
      <c r="K4011" s="522"/>
      <c r="M4011" s="301" t="str">
        <f>N4011&amp;AS[[#This Row],[Insurer Code]]&amp;"; "&amp;O4011&amp;AS[[#This Row],[Reporting Year]]&amp;"; "&amp;P4011&amp;AS[[#This Row],[Insurance Category Code]]&amp;"; "&amp;Q4011&amp;AS[[#This Row],[Large Provider Entity Code]]&amp;"; "&amp;R4011&amp;AS[[#This Row],[Age Band Code]]&amp;"; "&amp;S4011&amp;AS[[#This Row],[Sex Code]]</f>
        <v xml:space="preserve">Insurer Code ; Reporting Year ; Insurance Category Code ; Large Provider Entity Code ; Age Band Code ; Sex Code </v>
      </c>
      <c r="N4011" s="297" t="s">
        <v>197</v>
      </c>
      <c r="O4011" s="297" t="s">
        <v>198</v>
      </c>
      <c r="P4011" s="297" t="s">
        <v>199</v>
      </c>
      <c r="Q4011" s="297" t="s">
        <v>200</v>
      </c>
      <c r="R4011" s="297" t="s">
        <v>213</v>
      </c>
      <c r="S4011" s="297" t="s">
        <v>214</v>
      </c>
    </row>
    <row r="4012" spans="1:19" x14ac:dyDescent="0.4">
      <c r="A4012" s="291"/>
      <c r="B4012" s="292"/>
      <c r="C4012" s="312"/>
      <c r="D4012" s="292"/>
      <c r="E4012" s="489"/>
      <c r="F4012" s="489"/>
      <c r="G4012" s="490"/>
      <c r="H4012" s="520"/>
      <c r="I4012" s="523"/>
      <c r="J4012" s="521"/>
      <c r="K4012" s="522"/>
      <c r="M4012" s="301" t="str">
        <f>N4012&amp;AS[[#This Row],[Insurer Code]]&amp;"; "&amp;O4012&amp;AS[[#This Row],[Reporting Year]]&amp;"; "&amp;P4012&amp;AS[[#This Row],[Insurance Category Code]]&amp;"; "&amp;Q4012&amp;AS[[#This Row],[Large Provider Entity Code]]&amp;"; "&amp;R4012&amp;AS[[#This Row],[Age Band Code]]&amp;"; "&amp;S4012&amp;AS[[#This Row],[Sex Code]]</f>
        <v xml:space="preserve">Insurer Code ; Reporting Year ; Insurance Category Code ; Large Provider Entity Code ; Age Band Code ; Sex Code </v>
      </c>
      <c r="N4012" s="297" t="s">
        <v>197</v>
      </c>
      <c r="O4012" s="297" t="s">
        <v>198</v>
      </c>
      <c r="P4012" s="297" t="s">
        <v>199</v>
      </c>
      <c r="Q4012" s="297" t="s">
        <v>200</v>
      </c>
      <c r="R4012" s="297" t="s">
        <v>213</v>
      </c>
      <c r="S4012" s="297" t="s">
        <v>214</v>
      </c>
    </row>
    <row r="4013" spans="1:19" x14ac:dyDescent="0.4">
      <c r="A4013" s="291"/>
      <c r="B4013" s="292"/>
      <c r="C4013" s="312"/>
      <c r="D4013" s="292"/>
      <c r="E4013" s="489"/>
      <c r="F4013" s="489"/>
      <c r="G4013" s="490"/>
      <c r="H4013" s="520"/>
      <c r="I4013" s="523"/>
      <c r="J4013" s="521"/>
      <c r="K4013" s="522"/>
      <c r="M4013" s="301" t="str">
        <f>N4013&amp;AS[[#This Row],[Insurer Code]]&amp;"; "&amp;O4013&amp;AS[[#This Row],[Reporting Year]]&amp;"; "&amp;P4013&amp;AS[[#This Row],[Insurance Category Code]]&amp;"; "&amp;Q4013&amp;AS[[#This Row],[Large Provider Entity Code]]&amp;"; "&amp;R4013&amp;AS[[#This Row],[Age Band Code]]&amp;"; "&amp;S4013&amp;AS[[#This Row],[Sex Code]]</f>
        <v xml:space="preserve">Insurer Code ; Reporting Year ; Insurance Category Code ; Large Provider Entity Code ; Age Band Code ; Sex Code </v>
      </c>
      <c r="N4013" s="297" t="s">
        <v>197</v>
      </c>
      <c r="O4013" s="297" t="s">
        <v>198</v>
      </c>
      <c r="P4013" s="297" t="s">
        <v>199</v>
      </c>
      <c r="Q4013" s="297" t="s">
        <v>200</v>
      </c>
      <c r="R4013" s="297" t="s">
        <v>213</v>
      </c>
      <c r="S4013" s="297" t="s">
        <v>214</v>
      </c>
    </row>
    <row r="4014" spans="1:19" x14ac:dyDescent="0.4">
      <c r="A4014" s="291"/>
      <c r="B4014" s="292"/>
      <c r="C4014" s="312"/>
      <c r="D4014" s="292"/>
      <c r="E4014" s="489"/>
      <c r="F4014" s="489"/>
      <c r="G4014" s="490"/>
      <c r="H4014" s="520"/>
      <c r="I4014" s="523"/>
      <c r="J4014" s="521"/>
      <c r="K4014" s="522"/>
      <c r="M4014" s="301" t="str">
        <f>N4014&amp;AS[[#This Row],[Insurer Code]]&amp;"; "&amp;O4014&amp;AS[[#This Row],[Reporting Year]]&amp;"; "&amp;P4014&amp;AS[[#This Row],[Insurance Category Code]]&amp;"; "&amp;Q4014&amp;AS[[#This Row],[Large Provider Entity Code]]&amp;"; "&amp;R4014&amp;AS[[#This Row],[Age Band Code]]&amp;"; "&amp;S4014&amp;AS[[#This Row],[Sex Code]]</f>
        <v xml:space="preserve">Insurer Code ; Reporting Year ; Insurance Category Code ; Large Provider Entity Code ; Age Band Code ; Sex Code </v>
      </c>
      <c r="N4014" s="297" t="s">
        <v>197</v>
      </c>
      <c r="O4014" s="297" t="s">
        <v>198</v>
      </c>
      <c r="P4014" s="297" t="s">
        <v>199</v>
      </c>
      <c r="Q4014" s="297" t="s">
        <v>200</v>
      </c>
      <c r="R4014" s="297" t="s">
        <v>213</v>
      </c>
      <c r="S4014" s="297" t="s">
        <v>214</v>
      </c>
    </row>
    <row r="4015" spans="1:19" x14ac:dyDescent="0.4">
      <c r="A4015" s="291"/>
      <c r="B4015" s="292"/>
      <c r="C4015" s="312"/>
      <c r="D4015" s="292"/>
      <c r="E4015" s="489"/>
      <c r="F4015" s="489"/>
      <c r="G4015" s="490"/>
      <c r="H4015" s="520"/>
      <c r="I4015" s="523"/>
      <c r="J4015" s="521"/>
      <c r="K4015" s="522"/>
      <c r="M4015" s="301" t="str">
        <f>N4015&amp;AS[[#This Row],[Insurer Code]]&amp;"; "&amp;O4015&amp;AS[[#This Row],[Reporting Year]]&amp;"; "&amp;P4015&amp;AS[[#This Row],[Insurance Category Code]]&amp;"; "&amp;Q4015&amp;AS[[#This Row],[Large Provider Entity Code]]&amp;"; "&amp;R4015&amp;AS[[#This Row],[Age Band Code]]&amp;"; "&amp;S4015&amp;AS[[#This Row],[Sex Code]]</f>
        <v xml:space="preserve">Insurer Code ; Reporting Year ; Insurance Category Code ; Large Provider Entity Code ; Age Band Code ; Sex Code </v>
      </c>
      <c r="N4015" s="297" t="s">
        <v>197</v>
      </c>
      <c r="O4015" s="297" t="s">
        <v>198</v>
      </c>
      <c r="P4015" s="297" t="s">
        <v>199</v>
      </c>
      <c r="Q4015" s="297" t="s">
        <v>200</v>
      </c>
      <c r="R4015" s="297" t="s">
        <v>213</v>
      </c>
      <c r="S4015" s="297" t="s">
        <v>214</v>
      </c>
    </row>
    <row r="4016" spans="1:19" x14ac:dyDescent="0.4">
      <c r="A4016" s="291"/>
      <c r="B4016" s="292"/>
      <c r="C4016" s="312"/>
      <c r="D4016" s="292"/>
      <c r="E4016" s="489"/>
      <c r="F4016" s="489"/>
      <c r="G4016" s="490"/>
      <c r="H4016" s="520"/>
      <c r="I4016" s="523"/>
      <c r="J4016" s="521"/>
      <c r="K4016" s="522"/>
      <c r="M4016" s="301" t="str">
        <f>N4016&amp;AS[[#This Row],[Insurer Code]]&amp;"; "&amp;O4016&amp;AS[[#This Row],[Reporting Year]]&amp;"; "&amp;P4016&amp;AS[[#This Row],[Insurance Category Code]]&amp;"; "&amp;Q4016&amp;AS[[#This Row],[Large Provider Entity Code]]&amp;"; "&amp;R4016&amp;AS[[#This Row],[Age Band Code]]&amp;"; "&amp;S4016&amp;AS[[#This Row],[Sex Code]]</f>
        <v xml:space="preserve">Insurer Code ; Reporting Year ; Insurance Category Code ; Large Provider Entity Code ; Age Band Code ; Sex Code </v>
      </c>
      <c r="N4016" s="297" t="s">
        <v>197</v>
      </c>
      <c r="O4016" s="297" t="s">
        <v>198</v>
      </c>
      <c r="P4016" s="297" t="s">
        <v>199</v>
      </c>
      <c r="Q4016" s="297" t="s">
        <v>200</v>
      </c>
      <c r="R4016" s="297" t="s">
        <v>213</v>
      </c>
      <c r="S4016" s="297" t="s">
        <v>214</v>
      </c>
    </row>
    <row r="4017" spans="1:19" x14ac:dyDescent="0.4">
      <c r="A4017" s="291"/>
      <c r="B4017" s="292"/>
      <c r="C4017" s="312"/>
      <c r="D4017" s="292"/>
      <c r="E4017" s="489"/>
      <c r="F4017" s="489"/>
      <c r="G4017" s="490"/>
      <c r="H4017" s="520"/>
      <c r="I4017" s="523"/>
      <c r="J4017" s="521"/>
      <c r="K4017" s="522"/>
      <c r="M4017" s="301" t="str">
        <f>N4017&amp;AS[[#This Row],[Insurer Code]]&amp;"; "&amp;O4017&amp;AS[[#This Row],[Reporting Year]]&amp;"; "&amp;P4017&amp;AS[[#This Row],[Insurance Category Code]]&amp;"; "&amp;Q4017&amp;AS[[#This Row],[Large Provider Entity Code]]&amp;"; "&amp;R4017&amp;AS[[#This Row],[Age Band Code]]&amp;"; "&amp;S4017&amp;AS[[#This Row],[Sex Code]]</f>
        <v xml:space="preserve">Insurer Code ; Reporting Year ; Insurance Category Code ; Large Provider Entity Code ; Age Band Code ; Sex Code </v>
      </c>
      <c r="N4017" s="297" t="s">
        <v>197</v>
      </c>
      <c r="O4017" s="297" t="s">
        <v>198</v>
      </c>
      <c r="P4017" s="297" t="s">
        <v>199</v>
      </c>
      <c r="Q4017" s="297" t="s">
        <v>200</v>
      </c>
      <c r="R4017" s="297" t="s">
        <v>213</v>
      </c>
      <c r="S4017" s="297" t="s">
        <v>214</v>
      </c>
    </row>
    <row r="4018" spans="1:19" x14ac:dyDescent="0.4">
      <c r="A4018" s="291"/>
      <c r="B4018" s="292"/>
      <c r="C4018" s="312"/>
      <c r="D4018" s="292"/>
      <c r="E4018" s="489"/>
      <c r="F4018" s="489"/>
      <c r="G4018" s="490"/>
      <c r="H4018" s="520"/>
      <c r="I4018" s="523"/>
      <c r="J4018" s="521"/>
      <c r="K4018" s="522"/>
      <c r="M4018" s="301" t="str">
        <f>N4018&amp;AS[[#This Row],[Insurer Code]]&amp;"; "&amp;O4018&amp;AS[[#This Row],[Reporting Year]]&amp;"; "&amp;P4018&amp;AS[[#This Row],[Insurance Category Code]]&amp;"; "&amp;Q4018&amp;AS[[#This Row],[Large Provider Entity Code]]&amp;"; "&amp;R4018&amp;AS[[#This Row],[Age Band Code]]&amp;"; "&amp;S4018&amp;AS[[#This Row],[Sex Code]]</f>
        <v xml:space="preserve">Insurer Code ; Reporting Year ; Insurance Category Code ; Large Provider Entity Code ; Age Band Code ; Sex Code </v>
      </c>
      <c r="N4018" s="297" t="s">
        <v>197</v>
      </c>
      <c r="O4018" s="297" t="s">
        <v>198</v>
      </c>
      <c r="P4018" s="297" t="s">
        <v>199</v>
      </c>
      <c r="Q4018" s="297" t="s">
        <v>200</v>
      </c>
      <c r="R4018" s="297" t="s">
        <v>213</v>
      </c>
      <c r="S4018" s="297" t="s">
        <v>214</v>
      </c>
    </row>
    <row r="4019" spans="1:19" x14ac:dyDescent="0.4">
      <c r="A4019" s="291"/>
      <c r="B4019" s="292"/>
      <c r="C4019" s="312"/>
      <c r="D4019" s="292"/>
      <c r="E4019" s="489"/>
      <c r="F4019" s="489"/>
      <c r="G4019" s="490"/>
      <c r="H4019" s="520"/>
      <c r="I4019" s="523"/>
      <c r="J4019" s="521"/>
      <c r="K4019" s="522"/>
      <c r="M4019" s="301" t="str">
        <f>N4019&amp;AS[[#This Row],[Insurer Code]]&amp;"; "&amp;O4019&amp;AS[[#This Row],[Reporting Year]]&amp;"; "&amp;P4019&amp;AS[[#This Row],[Insurance Category Code]]&amp;"; "&amp;Q4019&amp;AS[[#This Row],[Large Provider Entity Code]]&amp;"; "&amp;R4019&amp;AS[[#This Row],[Age Band Code]]&amp;"; "&amp;S4019&amp;AS[[#This Row],[Sex Code]]</f>
        <v xml:space="preserve">Insurer Code ; Reporting Year ; Insurance Category Code ; Large Provider Entity Code ; Age Band Code ; Sex Code </v>
      </c>
      <c r="N4019" s="297" t="s">
        <v>197</v>
      </c>
      <c r="O4019" s="297" t="s">
        <v>198</v>
      </c>
      <c r="P4019" s="297" t="s">
        <v>199</v>
      </c>
      <c r="Q4019" s="297" t="s">
        <v>200</v>
      </c>
      <c r="R4019" s="297" t="s">
        <v>213</v>
      </c>
      <c r="S4019" s="297" t="s">
        <v>214</v>
      </c>
    </row>
    <row r="4020" spans="1:19" x14ac:dyDescent="0.4">
      <c r="A4020" s="291"/>
      <c r="B4020" s="292"/>
      <c r="C4020" s="312"/>
      <c r="D4020" s="292"/>
      <c r="E4020" s="489"/>
      <c r="F4020" s="489"/>
      <c r="G4020" s="490"/>
      <c r="H4020" s="520"/>
      <c r="I4020" s="523"/>
      <c r="J4020" s="521"/>
      <c r="K4020" s="522"/>
      <c r="M4020" s="301" t="str">
        <f>N4020&amp;AS[[#This Row],[Insurer Code]]&amp;"; "&amp;O4020&amp;AS[[#This Row],[Reporting Year]]&amp;"; "&amp;P4020&amp;AS[[#This Row],[Insurance Category Code]]&amp;"; "&amp;Q4020&amp;AS[[#This Row],[Large Provider Entity Code]]&amp;"; "&amp;R4020&amp;AS[[#This Row],[Age Band Code]]&amp;"; "&amp;S4020&amp;AS[[#This Row],[Sex Code]]</f>
        <v xml:space="preserve">Insurer Code ; Reporting Year ; Insurance Category Code ; Large Provider Entity Code ; Age Band Code ; Sex Code </v>
      </c>
      <c r="N4020" s="297" t="s">
        <v>197</v>
      </c>
      <c r="O4020" s="297" t="s">
        <v>198</v>
      </c>
      <c r="P4020" s="297" t="s">
        <v>199</v>
      </c>
      <c r="Q4020" s="297" t="s">
        <v>200</v>
      </c>
      <c r="R4020" s="297" t="s">
        <v>213</v>
      </c>
      <c r="S4020" s="297" t="s">
        <v>214</v>
      </c>
    </row>
    <row r="4021" spans="1:19" x14ac:dyDescent="0.4">
      <c r="A4021" s="291"/>
      <c r="B4021" s="292"/>
      <c r="C4021" s="312"/>
      <c r="D4021" s="292"/>
      <c r="E4021" s="489"/>
      <c r="F4021" s="489"/>
      <c r="G4021" s="490"/>
      <c r="H4021" s="520"/>
      <c r="I4021" s="523"/>
      <c r="J4021" s="521"/>
      <c r="K4021" s="522"/>
      <c r="M4021" s="301" t="str">
        <f>N4021&amp;AS[[#This Row],[Insurer Code]]&amp;"; "&amp;O4021&amp;AS[[#This Row],[Reporting Year]]&amp;"; "&amp;P4021&amp;AS[[#This Row],[Insurance Category Code]]&amp;"; "&amp;Q4021&amp;AS[[#This Row],[Large Provider Entity Code]]&amp;"; "&amp;R4021&amp;AS[[#This Row],[Age Band Code]]&amp;"; "&amp;S4021&amp;AS[[#This Row],[Sex Code]]</f>
        <v xml:space="preserve">Insurer Code ; Reporting Year ; Insurance Category Code ; Large Provider Entity Code ; Age Band Code ; Sex Code </v>
      </c>
      <c r="N4021" s="297" t="s">
        <v>197</v>
      </c>
      <c r="O4021" s="297" t="s">
        <v>198</v>
      </c>
      <c r="P4021" s="297" t="s">
        <v>199</v>
      </c>
      <c r="Q4021" s="297" t="s">
        <v>200</v>
      </c>
      <c r="R4021" s="297" t="s">
        <v>213</v>
      </c>
      <c r="S4021" s="297" t="s">
        <v>214</v>
      </c>
    </row>
    <row r="4022" spans="1:19" x14ac:dyDescent="0.4">
      <c r="A4022" s="291"/>
      <c r="B4022" s="292"/>
      <c r="C4022" s="312"/>
      <c r="D4022" s="292"/>
      <c r="E4022" s="489"/>
      <c r="F4022" s="489"/>
      <c r="G4022" s="490"/>
      <c r="H4022" s="520"/>
      <c r="I4022" s="523"/>
      <c r="J4022" s="521"/>
      <c r="K4022" s="522"/>
      <c r="M4022" s="301" t="str">
        <f>N4022&amp;AS[[#This Row],[Insurer Code]]&amp;"; "&amp;O4022&amp;AS[[#This Row],[Reporting Year]]&amp;"; "&amp;P4022&amp;AS[[#This Row],[Insurance Category Code]]&amp;"; "&amp;Q4022&amp;AS[[#This Row],[Large Provider Entity Code]]&amp;"; "&amp;R4022&amp;AS[[#This Row],[Age Band Code]]&amp;"; "&amp;S4022&amp;AS[[#This Row],[Sex Code]]</f>
        <v xml:space="preserve">Insurer Code ; Reporting Year ; Insurance Category Code ; Large Provider Entity Code ; Age Band Code ; Sex Code </v>
      </c>
      <c r="N4022" s="297" t="s">
        <v>197</v>
      </c>
      <c r="O4022" s="297" t="s">
        <v>198</v>
      </c>
      <c r="P4022" s="297" t="s">
        <v>199</v>
      </c>
      <c r="Q4022" s="297" t="s">
        <v>200</v>
      </c>
      <c r="R4022" s="297" t="s">
        <v>213</v>
      </c>
      <c r="S4022" s="297" t="s">
        <v>214</v>
      </c>
    </row>
    <row r="4023" spans="1:19" x14ac:dyDescent="0.4">
      <c r="A4023" s="291"/>
      <c r="B4023" s="292"/>
      <c r="C4023" s="312"/>
      <c r="D4023" s="292"/>
      <c r="E4023" s="489"/>
      <c r="F4023" s="489"/>
      <c r="G4023" s="490"/>
      <c r="H4023" s="520"/>
      <c r="I4023" s="523"/>
      <c r="J4023" s="521"/>
      <c r="K4023" s="522"/>
      <c r="M4023" s="301" t="str">
        <f>N4023&amp;AS[[#This Row],[Insurer Code]]&amp;"; "&amp;O4023&amp;AS[[#This Row],[Reporting Year]]&amp;"; "&amp;P4023&amp;AS[[#This Row],[Insurance Category Code]]&amp;"; "&amp;Q4023&amp;AS[[#This Row],[Large Provider Entity Code]]&amp;"; "&amp;R4023&amp;AS[[#This Row],[Age Band Code]]&amp;"; "&amp;S4023&amp;AS[[#This Row],[Sex Code]]</f>
        <v xml:space="preserve">Insurer Code ; Reporting Year ; Insurance Category Code ; Large Provider Entity Code ; Age Band Code ; Sex Code </v>
      </c>
      <c r="N4023" s="297" t="s">
        <v>197</v>
      </c>
      <c r="O4023" s="297" t="s">
        <v>198</v>
      </c>
      <c r="P4023" s="297" t="s">
        <v>199</v>
      </c>
      <c r="Q4023" s="297" t="s">
        <v>200</v>
      </c>
      <c r="R4023" s="297" t="s">
        <v>213</v>
      </c>
      <c r="S4023" s="297" t="s">
        <v>214</v>
      </c>
    </row>
    <row r="4024" spans="1:19" x14ac:dyDescent="0.4">
      <c r="A4024" s="291"/>
      <c r="B4024" s="292"/>
      <c r="C4024" s="312"/>
      <c r="D4024" s="292"/>
      <c r="E4024" s="489"/>
      <c r="F4024" s="489"/>
      <c r="G4024" s="490"/>
      <c r="H4024" s="520"/>
      <c r="I4024" s="523"/>
      <c r="J4024" s="521"/>
      <c r="K4024" s="522"/>
      <c r="M4024" s="301" t="str">
        <f>N4024&amp;AS[[#This Row],[Insurer Code]]&amp;"; "&amp;O4024&amp;AS[[#This Row],[Reporting Year]]&amp;"; "&amp;P4024&amp;AS[[#This Row],[Insurance Category Code]]&amp;"; "&amp;Q4024&amp;AS[[#This Row],[Large Provider Entity Code]]&amp;"; "&amp;R4024&amp;AS[[#This Row],[Age Band Code]]&amp;"; "&amp;S4024&amp;AS[[#This Row],[Sex Code]]</f>
        <v xml:space="preserve">Insurer Code ; Reporting Year ; Insurance Category Code ; Large Provider Entity Code ; Age Band Code ; Sex Code </v>
      </c>
      <c r="N4024" s="297" t="s">
        <v>197</v>
      </c>
      <c r="O4024" s="297" t="s">
        <v>198</v>
      </c>
      <c r="P4024" s="297" t="s">
        <v>199</v>
      </c>
      <c r="Q4024" s="297" t="s">
        <v>200</v>
      </c>
      <c r="R4024" s="297" t="s">
        <v>213</v>
      </c>
      <c r="S4024" s="297" t="s">
        <v>214</v>
      </c>
    </row>
    <row r="4025" spans="1:19" x14ac:dyDescent="0.4">
      <c r="A4025" s="291"/>
      <c r="B4025" s="292"/>
      <c r="C4025" s="312"/>
      <c r="D4025" s="292"/>
      <c r="E4025" s="489"/>
      <c r="F4025" s="489"/>
      <c r="G4025" s="490"/>
      <c r="H4025" s="520"/>
      <c r="I4025" s="523"/>
      <c r="J4025" s="521"/>
      <c r="K4025" s="522"/>
      <c r="M4025" s="301" t="str">
        <f>N4025&amp;AS[[#This Row],[Insurer Code]]&amp;"; "&amp;O4025&amp;AS[[#This Row],[Reporting Year]]&amp;"; "&amp;P4025&amp;AS[[#This Row],[Insurance Category Code]]&amp;"; "&amp;Q4025&amp;AS[[#This Row],[Large Provider Entity Code]]&amp;"; "&amp;R4025&amp;AS[[#This Row],[Age Band Code]]&amp;"; "&amp;S4025&amp;AS[[#This Row],[Sex Code]]</f>
        <v xml:space="preserve">Insurer Code ; Reporting Year ; Insurance Category Code ; Large Provider Entity Code ; Age Band Code ; Sex Code </v>
      </c>
      <c r="N4025" s="297" t="s">
        <v>197</v>
      </c>
      <c r="O4025" s="297" t="s">
        <v>198</v>
      </c>
      <c r="P4025" s="297" t="s">
        <v>199</v>
      </c>
      <c r="Q4025" s="297" t="s">
        <v>200</v>
      </c>
      <c r="R4025" s="297" t="s">
        <v>213</v>
      </c>
      <c r="S4025" s="297" t="s">
        <v>214</v>
      </c>
    </row>
    <row r="4026" spans="1:19" x14ac:dyDescent="0.4">
      <c r="A4026" s="291"/>
      <c r="B4026" s="292"/>
      <c r="C4026" s="312"/>
      <c r="D4026" s="292"/>
      <c r="E4026" s="489"/>
      <c r="F4026" s="489"/>
      <c r="G4026" s="490"/>
      <c r="H4026" s="520"/>
      <c r="I4026" s="523"/>
      <c r="J4026" s="521"/>
      <c r="K4026" s="522"/>
      <c r="M4026" s="301" t="str">
        <f>N4026&amp;AS[[#This Row],[Insurer Code]]&amp;"; "&amp;O4026&amp;AS[[#This Row],[Reporting Year]]&amp;"; "&amp;P4026&amp;AS[[#This Row],[Insurance Category Code]]&amp;"; "&amp;Q4026&amp;AS[[#This Row],[Large Provider Entity Code]]&amp;"; "&amp;R4026&amp;AS[[#This Row],[Age Band Code]]&amp;"; "&amp;S4026&amp;AS[[#This Row],[Sex Code]]</f>
        <v xml:space="preserve">Insurer Code ; Reporting Year ; Insurance Category Code ; Large Provider Entity Code ; Age Band Code ; Sex Code </v>
      </c>
      <c r="N4026" s="297" t="s">
        <v>197</v>
      </c>
      <c r="O4026" s="297" t="s">
        <v>198</v>
      </c>
      <c r="P4026" s="297" t="s">
        <v>199</v>
      </c>
      <c r="Q4026" s="297" t="s">
        <v>200</v>
      </c>
      <c r="R4026" s="297" t="s">
        <v>213</v>
      </c>
      <c r="S4026" s="297" t="s">
        <v>214</v>
      </c>
    </row>
    <row r="4027" spans="1:19" x14ac:dyDescent="0.4">
      <c r="A4027" s="291"/>
      <c r="B4027" s="292"/>
      <c r="C4027" s="312"/>
      <c r="D4027" s="292"/>
      <c r="E4027" s="489"/>
      <c r="F4027" s="489"/>
      <c r="G4027" s="490"/>
      <c r="H4027" s="520"/>
      <c r="I4027" s="523"/>
      <c r="J4027" s="521"/>
      <c r="K4027" s="522"/>
      <c r="M4027" s="301" t="str">
        <f>N4027&amp;AS[[#This Row],[Insurer Code]]&amp;"; "&amp;O4027&amp;AS[[#This Row],[Reporting Year]]&amp;"; "&amp;P4027&amp;AS[[#This Row],[Insurance Category Code]]&amp;"; "&amp;Q4027&amp;AS[[#This Row],[Large Provider Entity Code]]&amp;"; "&amp;R4027&amp;AS[[#This Row],[Age Band Code]]&amp;"; "&amp;S4027&amp;AS[[#This Row],[Sex Code]]</f>
        <v xml:space="preserve">Insurer Code ; Reporting Year ; Insurance Category Code ; Large Provider Entity Code ; Age Band Code ; Sex Code </v>
      </c>
      <c r="N4027" s="297" t="s">
        <v>197</v>
      </c>
      <c r="O4027" s="297" t="s">
        <v>198</v>
      </c>
      <c r="P4027" s="297" t="s">
        <v>199</v>
      </c>
      <c r="Q4027" s="297" t="s">
        <v>200</v>
      </c>
      <c r="R4027" s="297" t="s">
        <v>213</v>
      </c>
      <c r="S4027" s="297" t="s">
        <v>214</v>
      </c>
    </row>
    <row r="4028" spans="1:19" x14ac:dyDescent="0.4">
      <c r="A4028" s="291"/>
      <c r="B4028" s="292"/>
      <c r="C4028" s="312"/>
      <c r="D4028" s="292"/>
      <c r="E4028" s="489"/>
      <c r="F4028" s="489"/>
      <c r="G4028" s="490"/>
      <c r="H4028" s="520"/>
      <c r="I4028" s="523"/>
      <c r="J4028" s="521"/>
      <c r="K4028" s="522"/>
      <c r="M4028" s="301" t="str">
        <f>N4028&amp;AS[[#This Row],[Insurer Code]]&amp;"; "&amp;O4028&amp;AS[[#This Row],[Reporting Year]]&amp;"; "&amp;P4028&amp;AS[[#This Row],[Insurance Category Code]]&amp;"; "&amp;Q4028&amp;AS[[#This Row],[Large Provider Entity Code]]&amp;"; "&amp;R4028&amp;AS[[#This Row],[Age Band Code]]&amp;"; "&amp;S4028&amp;AS[[#This Row],[Sex Code]]</f>
        <v xml:space="preserve">Insurer Code ; Reporting Year ; Insurance Category Code ; Large Provider Entity Code ; Age Band Code ; Sex Code </v>
      </c>
      <c r="N4028" s="297" t="s">
        <v>197</v>
      </c>
      <c r="O4028" s="297" t="s">
        <v>198</v>
      </c>
      <c r="P4028" s="297" t="s">
        <v>199</v>
      </c>
      <c r="Q4028" s="297" t="s">
        <v>200</v>
      </c>
      <c r="R4028" s="297" t="s">
        <v>213</v>
      </c>
      <c r="S4028" s="297" t="s">
        <v>214</v>
      </c>
    </row>
    <row r="4029" spans="1:19" x14ac:dyDescent="0.4">
      <c r="A4029" s="291"/>
      <c r="B4029" s="292"/>
      <c r="C4029" s="312"/>
      <c r="D4029" s="292"/>
      <c r="E4029" s="489"/>
      <c r="F4029" s="489"/>
      <c r="G4029" s="490"/>
      <c r="H4029" s="520"/>
      <c r="I4029" s="523"/>
      <c r="J4029" s="521"/>
      <c r="K4029" s="522"/>
      <c r="M4029" s="301" t="str">
        <f>N4029&amp;AS[[#This Row],[Insurer Code]]&amp;"; "&amp;O4029&amp;AS[[#This Row],[Reporting Year]]&amp;"; "&amp;P4029&amp;AS[[#This Row],[Insurance Category Code]]&amp;"; "&amp;Q4029&amp;AS[[#This Row],[Large Provider Entity Code]]&amp;"; "&amp;R4029&amp;AS[[#This Row],[Age Band Code]]&amp;"; "&amp;S4029&amp;AS[[#This Row],[Sex Code]]</f>
        <v xml:space="preserve">Insurer Code ; Reporting Year ; Insurance Category Code ; Large Provider Entity Code ; Age Band Code ; Sex Code </v>
      </c>
      <c r="N4029" s="297" t="s">
        <v>197</v>
      </c>
      <c r="O4029" s="297" t="s">
        <v>198</v>
      </c>
      <c r="P4029" s="297" t="s">
        <v>199</v>
      </c>
      <c r="Q4029" s="297" t="s">
        <v>200</v>
      </c>
      <c r="R4029" s="297" t="s">
        <v>213</v>
      </c>
      <c r="S4029" s="297" t="s">
        <v>214</v>
      </c>
    </row>
    <row r="4030" spans="1:19" x14ac:dyDescent="0.4">
      <c r="A4030" s="291"/>
      <c r="B4030" s="292"/>
      <c r="C4030" s="312"/>
      <c r="D4030" s="292"/>
      <c r="E4030" s="489"/>
      <c r="F4030" s="489"/>
      <c r="G4030" s="490"/>
      <c r="H4030" s="520"/>
      <c r="I4030" s="523"/>
      <c r="J4030" s="521"/>
      <c r="K4030" s="522"/>
      <c r="M4030" s="301" t="str">
        <f>N4030&amp;AS[[#This Row],[Insurer Code]]&amp;"; "&amp;O4030&amp;AS[[#This Row],[Reporting Year]]&amp;"; "&amp;P4030&amp;AS[[#This Row],[Insurance Category Code]]&amp;"; "&amp;Q4030&amp;AS[[#This Row],[Large Provider Entity Code]]&amp;"; "&amp;R4030&amp;AS[[#This Row],[Age Band Code]]&amp;"; "&amp;S4030&amp;AS[[#This Row],[Sex Code]]</f>
        <v xml:space="preserve">Insurer Code ; Reporting Year ; Insurance Category Code ; Large Provider Entity Code ; Age Band Code ; Sex Code </v>
      </c>
      <c r="N4030" s="297" t="s">
        <v>197</v>
      </c>
      <c r="O4030" s="297" t="s">
        <v>198</v>
      </c>
      <c r="P4030" s="297" t="s">
        <v>199</v>
      </c>
      <c r="Q4030" s="297" t="s">
        <v>200</v>
      </c>
      <c r="R4030" s="297" t="s">
        <v>213</v>
      </c>
      <c r="S4030" s="297" t="s">
        <v>214</v>
      </c>
    </row>
    <row r="4031" spans="1:19" x14ac:dyDescent="0.4">
      <c r="A4031" s="291"/>
      <c r="B4031" s="292"/>
      <c r="C4031" s="312"/>
      <c r="D4031" s="292"/>
      <c r="E4031" s="489"/>
      <c r="F4031" s="489"/>
      <c r="G4031" s="490"/>
      <c r="H4031" s="520"/>
      <c r="I4031" s="523"/>
      <c r="J4031" s="521"/>
      <c r="K4031" s="522"/>
      <c r="M4031" s="301" t="str">
        <f>N4031&amp;AS[[#This Row],[Insurer Code]]&amp;"; "&amp;O4031&amp;AS[[#This Row],[Reporting Year]]&amp;"; "&amp;P4031&amp;AS[[#This Row],[Insurance Category Code]]&amp;"; "&amp;Q4031&amp;AS[[#This Row],[Large Provider Entity Code]]&amp;"; "&amp;R4031&amp;AS[[#This Row],[Age Band Code]]&amp;"; "&amp;S4031&amp;AS[[#This Row],[Sex Code]]</f>
        <v xml:space="preserve">Insurer Code ; Reporting Year ; Insurance Category Code ; Large Provider Entity Code ; Age Band Code ; Sex Code </v>
      </c>
      <c r="N4031" s="297" t="s">
        <v>197</v>
      </c>
      <c r="O4031" s="297" t="s">
        <v>198</v>
      </c>
      <c r="P4031" s="297" t="s">
        <v>199</v>
      </c>
      <c r="Q4031" s="297" t="s">
        <v>200</v>
      </c>
      <c r="R4031" s="297" t="s">
        <v>213</v>
      </c>
      <c r="S4031" s="297" t="s">
        <v>214</v>
      </c>
    </row>
    <row r="4032" spans="1:19" x14ac:dyDescent="0.4">
      <c r="A4032" s="291"/>
      <c r="B4032" s="292"/>
      <c r="C4032" s="312"/>
      <c r="D4032" s="292"/>
      <c r="E4032" s="489"/>
      <c r="F4032" s="489"/>
      <c r="G4032" s="490"/>
      <c r="H4032" s="520"/>
      <c r="I4032" s="523"/>
      <c r="J4032" s="521"/>
      <c r="K4032" s="522"/>
      <c r="M4032" s="301" t="str">
        <f>N4032&amp;AS[[#This Row],[Insurer Code]]&amp;"; "&amp;O4032&amp;AS[[#This Row],[Reporting Year]]&amp;"; "&amp;P4032&amp;AS[[#This Row],[Insurance Category Code]]&amp;"; "&amp;Q4032&amp;AS[[#This Row],[Large Provider Entity Code]]&amp;"; "&amp;R4032&amp;AS[[#This Row],[Age Band Code]]&amp;"; "&amp;S4032&amp;AS[[#This Row],[Sex Code]]</f>
        <v xml:space="preserve">Insurer Code ; Reporting Year ; Insurance Category Code ; Large Provider Entity Code ; Age Band Code ; Sex Code </v>
      </c>
      <c r="N4032" s="297" t="s">
        <v>197</v>
      </c>
      <c r="O4032" s="297" t="s">
        <v>198</v>
      </c>
      <c r="P4032" s="297" t="s">
        <v>199</v>
      </c>
      <c r="Q4032" s="297" t="s">
        <v>200</v>
      </c>
      <c r="R4032" s="297" t="s">
        <v>213</v>
      </c>
      <c r="S4032" s="297" t="s">
        <v>214</v>
      </c>
    </row>
    <row r="4033" spans="1:19" x14ac:dyDescent="0.4">
      <c r="A4033" s="291"/>
      <c r="B4033" s="292"/>
      <c r="C4033" s="312"/>
      <c r="D4033" s="292"/>
      <c r="E4033" s="489"/>
      <c r="F4033" s="489"/>
      <c r="G4033" s="490"/>
      <c r="H4033" s="520"/>
      <c r="I4033" s="523"/>
      <c r="J4033" s="521"/>
      <c r="K4033" s="522"/>
      <c r="M4033" s="301" t="str">
        <f>N4033&amp;AS[[#This Row],[Insurer Code]]&amp;"; "&amp;O4033&amp;AS[[#This Row],[Reporting Year]]&amp;"; "&amp;P4033&amp;AS[[#This Row],[Insurance Category Code]]&amp;"; "&amp;Q4033&amp;AS[[#This Row],[Large Provider Entity Code]]&amp;"; "&amp;R4033&amp;AS[[#This Row],[Age Band Code]]&amp;"; "&amp;S4033&amp;AS[[#This Row],[Sex Code]]</f>
        <v xml:space="preserve">Insurer Code ; Reporting Year ; Insurance Category Code ; Large Provider Entity Code ; Age Band Code ; Sex Code </v>
      </c>
      <c r="N4033" s="297" t="s">
        <v>197</v>
      </c>
      <c r="O4033" s="297" t="s">
        <v>198</v>
      </c>
      <c r="P4033" s="297" t="s">
        <v>199</v>
      </c>
      <c r="Q4033" s="297" t="s">
        <v>200</v>
      </c>
      <c r="R4033" s="297" t="s">
        <v>213</v>
      </c>
      <c r="S4033" s="297" t="s">
        <v>214</v>
      </c>
    </row>
    <row r="4034" spans="1:19" x14ac:dyDescent="0.4">
      <c r="A4034" s="291"/>
      <c r="B4034" s="292"/>
      <c r="C4034" s="312"/>
      <c r="D4034" s="292"/>
      <c r="E4034" s="489"/>
      <c r="F4034" s="489"/>
      <c r="G4034" s="490"/>
      <c r="H4034" s="520"/>
      <c r="I4034" s="523"/>
      <c r="J4034" s="521"/>
      <c r="K4034" s="522"/>
      <c r="M4034" s="301" t="str">
        <f>N4034&amp;AS[[#This Row],[Insurer Code]]&amp;"; "&amp;O4034&amp;AS[[#This Row],[Reporting Year]]&amp;"; "&amp;P4034&amp;AS[[#This Row],[Insurance Category Code]]&amp;"; "&amp;Q4034&amp;AS[[#This Row],[Large Provider Entity Code]]&amp;"; "&amp;R4034&amp;AS[[#This Row],[Age Band Code]]&amp;"; "&amp;S4034&amp;AS[[#This Row],[Sex Code]]</f>
        <v xml:space="preserve">Insurer Code ; Reporting Year ; Insurance Category Code ; Large Provider Entity Code ; Age Band Code ; Sex Code </v>
      </c>
      <c r="N4034" s="297" t="s">
        <v>197</v>
      </c>
      <c r="O4034" s="297" t="s">
        <v>198</v>
      </c>
      <c r="P4034" s="297" t="s">
        <v>199</v>
      </c>
      <c r="Q4034" s="297" t="s">
        <v>200</v>
      </c>
      <c r="R4034" s="297" t="s">
        <v>213</v>
      </c>
      <c r="S4034" s="297" t="s">
        <v>214</v>
      </c>
    </row>
    <row r="4035" spans="1:19" x14ac:dyDescent="0.4">
      <c r="A4035" s="291"/>
      <c r="B4035" s="292"/>
      <c r="C4035" s="312"/>
      <c r="D4035" s="292"/>
      <c r="E4035" s="489"/>
      <c r="F4035" s="489"/>
      <c r="G4035" s="490"/>
      <c r="H4035" s="520"/>
      <c r="I4035" s="523"/>
      <c r="J4035" s="521"/>
      <c r="K4035" s="522"/>
      <c r="M4035" s="301" t="str">
        <f>N4035&amp;AS[[#This Row],[Insurer Code]]&amp;"; "&amp;O4035&amp;AS[[#This Row],[Reporting Year]]&amp;"; "&amp;P4035&amp;AS[[#This Row],[Insurance Category Code]]&amp;"; "&amp;Q4035&amp;AS[[#This Row],[Large Provider Entity Code]]&amp;"; "&amp;R4035&amp;AS[[#This Row],[Age Band Code]]&amp;"; "&amp;S4035&amp;AS[[#This Row],[Sex Code]]</f>
        <v xml:space="preserve">Insurer Code ; Reporting Year ; Insurance Category Code ; Large Provider Entity Code ; Age Band Code ; Sex Code </v>
      </c>
      <c r="N4035" s="297" t="s">
        <v>197</v>
      </c>
      <c r="O4035" s="297" t="s">
        <v>198</v>
      </c>
      <c r="P4035" s="297" t="s">
        <v>199</v>
      </c>
      <c r="Q4035" s="297" t="s">
        <v>200</v>
      </c>
      <c r="R4035" s="297" t="s">
        <v>213</v>
      </c>
      <c r="S4035" s="297" t="s">
        <v>214</v>
      </c>
    </row>
    <row r="4036" spans="1:19" x14ac:dyDescent="0.4">
      <c r="A4036" s="291"/>
      <c r="B4036" s="292"/>
      <c r="C4036" s="312"/>
      <c r="D4036" s="292"/>
      <c r="E4036" s="489"/>
      <c r="F4036" s="489"/>
      <c r="G4036" s="490"/>
      <c r="H4036" s="520"/>
      <c r="I4036" s="523"/>
      <c r="J4036" s="521"/>
      <c r="K4036" s="522"/>
      <c r="M4036" s="301" t="str">
        <f>N4036&amp;AS[[#This Row],[Insurer Code]]&amp;"; "&amp;O4036&amp;AS[[#This Row],[Reporting Year]]&amp;"; "&amp;P4036&amp;AS[[#This Row],[Insurance Category Code]]&amp;"; "&amp;Q4036&amp;AS[[#This Row],[Large Provider Entity Code]]&amp;"; "&amp;R4036&amp;AS[[#This Row],[Age Band Code]]&amp;"; "&amp;S4036&amp;AS[[#This Row],[Sex Code]]</f>
        <v xml:space="preserve">Insurer Code ; Reporting Year ; Insurance Category Code ; Large Provider Entity Code ; Age Band Code ; Sex Code </v>
      </c>
      <c r="N4036" s="297" t="s">
        <v>197</v>
      </c>
      <c r="O4036" s="297" t="s">
        <v>198</v>
      </c>
      <c r="P4036" s="297" t="s">
        <v>199</v>
      </c>
      <c r="Q4036" s="297" t="s">
        <v>200</v>
      </c>
      <c r="R4036" s="297" t="s">
        <v>213</v>
      </c>
      <c r="S4036" s="297" t="s">
        <v>214</v>
      </c>
    </row>
    <row r="4037" spans="1:19" x14ac:dyDescent="0.4">
      <c r="A4037" s="291"/>
      <c r="B4037" s="292"/>
      <c r="C4037" s="312"/>
      <c r="D4037" s="292"/>
      <c r="E4037" s="489"/>
      <c r="F4037" s="489"/>
      <c r="G4037" s="490"/>
      <c r="H4037" s="520"/>
      <c r="I4037" s="523"/>
      <c r="J4037" s="521"/>
      <c r="K4037" s="522"/>
      <c r="M4037" s="301" t="str">
        <f>N4037&amp;AS[[#This Row],[Insurer Code]]&amp;"; "&amp;O4037&amp;AS[[#This Row],[Reporting Year]]&amp;"; "&amp;P4037&amp;AS[[#This Row],[Insurance Category Code]]&amp;"; "&amp;Q4037&amp;AS[[#This Row],[Large Provider Entity Code]]&amp;"; "&amp;R4037&amp;AS[[#This Row],[Age Band Code]]&amp;"; "&amp;S4037&amp;AS[[#This Row],[Sex Code]]</f>
        <v xml:space="preserve">Insurer Code ; Reporting Year ; Insurance Category Code ; Large Provider Entity Code ; Age Band Code ; Sex Code </v>
      </c>
      <c r="N4037" s="297" t="s">
        <v>197</v>
      </c>
      <c r="O4037" s="297" t="s">
        <v>198</v>
      </c>
      <c r="P4037" s="297" t="s">
        <v>199</v>
      </c>
      <c r="Q4037" s="297" t="s">
        <v>200</v>
      </c>
      <c r="R4037" s="297" t="s">
        <v>213</v>
      </c>
      <c r="S4037" s="297" t="s">
        <v>214</v>
      </c>
    </row>
    <row r="4038" spans="1:19" x14ac:dyDescent="0.4">
      <c r="A4038" s="291"/>
      <c r="B4038" s="292"/>
      <c r="C4038" s="312"/>
      <c r="D4038" s="292"/>
      <c r="E4038" s="489"/>
      <c r="F4038" s="489"/>
      <c r="G4038" s="490"/>
      <c r="H4038" s="520"/>
      <c r="I4038" s="523"/>
      <c r="J4038" s="521"/>
      <c r="K4038" s="522"/>
      <c r="M4038" s="301" t="str">
        <f>N4038&amp;AS[[#This Row],[Insurer Code]]&amp;"; "&amp;O4038&amp;AS[[#This Row],[Reporting Year]]&amp;"; "&amp;P4038&amp;AS[[#This Row],[Insurance Category Code]]&amp;"; "&amp;Q4038&amp;AS[[#This Row],[Large Provider Entity Code]]&amp;"; "&amp;R4038&amp;AS[[#This Row],[Age Band Code]]&amp;"; "&amp;S4038&amp;AS[[#This Row],[Sex Code]]</f>
        <v xml:space="preserve">Insurer Code ; Reporting Year ; Insurance Category Code ; Large Provider Entity Code ; Age Band Code ; Sex Code </v>
      </c>
      <c r="N4038" s="297" t="s">
        <v>197</v>
      </c>
      <c r="O4038" s="297" t="s">
        <v>198</v>
      </c>
      <c r="P4038" s="297" t="s">
        <v>199</v>
      </c>
      <c r="Q4038" s="297" t="s">
        <v>200</v>
      </c>
      <c r="R4038" s="297" t="s">
        <v>213</v>
      </c>
      <c r="S4038" s="297" t="s">
        <v>214</v>
      </c>
    </row>
    <row r="4039" spans="1:19" x14ac:dyDescent="0.4">
      <c r="A4039" s="291"/>
      <c r="B4039" s="292"/>
      <c r="C4039" s="312"/>
      <c r="D4039" s="292"/>
      <c r="E4039" s="489"/>
      <c r="F4039" s="489"/>
      <c r="G4039" s="490"/>
      <c r="H4039" s="520"/>
      <c r="I4039" s="523"/>
      <c r="J4039" s="521"/>
      <c r="K4039" s="522"/>
      <c r="M4039" s="301" t="str">
        <f>N4039&amp;AS[[#This Row],[Insurer Code]]&amp;"; "&amp;O4039&amp;AS[[#This Row],[Reporting Year]]&amp;"; "&amp;P4039&amp;AS[[#This Row],[Insurance Category Code]]&amp;"; "&amp;Q4039&amp;AS[[#This Row],[Large Provider Entity Code]]&amp;"; "&amp;R4039&amp;AS[[#This Row],[Age Band Code]]&amp;"; "&amp;S4039&amp;AS[[#This Row],[Sex Code]]</f>
        <v xml:space="preserve">Insurer Code ; Reporting Year ; Insurance Category Code ; Large Provider Entity Code ; Age Band Code ; Sex Code </v>
      </c>
      <c r="N4039" s="297" t="s">
        <v>197</v>
      </c>
      <c r="O4039" s="297" t="s">
        <v>198</v>
      </c>
      <c r="P4039" s="297" t="s">
        <v>199</v>
      </c>
      <c r="Q4039" s="297" t="s">
        <v>200</v>
      </c>
      <c r="R4039" s="297" t="s">
        <v>213</v>
      </c>
      <c r="S4039" s="297" t="s">
        <v>214</v>
      </c>
    </row>
    <row r="4040" spans="1:19" x14ac:dyDescent="0.4">
      <c r="A4040" s="291"/>
      <c r="B4040" s="292"/>
      <c r="C4040" s="312"/>
      <c r="D4040" s="292"/>
      <c r="E4040" s="489"/>
      <c r="F4040" s="489"/>
      <c r="G4040" s="490"/>
      <c r="H4040" s="520"/>
      <c r="I4040" s="523"/>
      <c r="J4040" s="521"/>
      <c r="K4040" s="522"/>
      <c r="M4040" s="301" t="str">
        <f>N4040&amp;AS[[#This Row],[Insurer Code]]&amp;"; "&amp;O4040&amp;AS[[#This Row],[Reporting Year]]&amp;"; "&amp;P4040&amp;AS[[#This Row],[Insurance Category Code]]&amp;"; "&amp;Q4040&amp;AS[[#This Row],[Large Provider Entity Code]]&amp;"; "&amp;R4040&amp;AS[[#This Row],[Age Band Code]]&amp;"; "&amp;S4040&amp;AS[[#This Row],[Sex Code]]</f>
        <v xml:space="preserve">Insurer Code ; Reporting Year ; Insurance Category Code ; Large Provider Entity Code ; Age Band Code ; Sex Code </v>
      </c>
      <c r="N4040" s="297" t="s">
        <v>197</v>
      </c>
      <c r="O4040" s="297" t="s">
        <v>198</v>
      </c>
      <c r="P4040" s="297" t="s">
        <v>199</v>
      </c>
      <c r="Q4040" s="297" t="s">
        <v>200</v>
      </c>
      <c r="R4040" s="297" t="s">
        <v>213</v>
      </c>
      <c r="S4040" s="297" t="s">
        <v>214</v>
      </c>
    </row>
    <row r="4041" spans="1:19" x14ac:dyDescent="0.4">
      <c r="A4041" s="291"/>
      <c r="B4041" s="292"/>
      <c r="C4041" s="312"/>
      <c r="D4041" s="292"/>
      <c r="E4041" s="489"/>
      <c r="F4041" s="489"/>
      <c r="G4041" s="490"/>
      <c r="H4041" s="520"/>
      <c r="I4041" s="523"/>
      <c r="J4041" s="521"/>
      <c r="K4041" s="522"/>
      <c r="M4041" s="301" t="str">
        <f>N4041&amp;AS[[#This Row],[Insurer Code]]&amp;"; "&amp;O4041&amp;AS[[#This Row],[Reporting Year]]&amp;"; "&amp;P4041&amp;AS[[#This Row],[Insurance Category Code]]&amp;"; "&amp;Q4041&amp;AS[[#This Row],[Large Provider Entity Code]]&amp;"; "&amp;R4041&amp;AS[[#This Row],[Age Band Code]]&amp;"; "&amp;S4041&amp;AS[[#This Row],[Sex Code]]</f>
        <v xml:space="preserve">Insurer Code ; Reporting Year ; Insurance Category Code ; Large Provider Entity Code ; Age Band Code ; Sex Code </v>
      </c>
      <c r="N4041" s="297" t="s">
        <v>197</v>
      </c>
      <c r="O4041" s="297" t="s">
        <v>198</v>
      </c>
      <c r="P4041" s="297" t="s">
        <v>199</v>
      </c>
      <c r="Q4041" s="297" t="s">
        <v>200</v>
      </c>
      <c r="R4041" s="297" t="s">
        <v>213</v>
      </c>
      <c r="S4041" s="297" t="s">
        <v>214</v>
      </c>
    </row>
    <row r="4042" spans="1:19" x14ac:dyDescent="0.4">
      <c r="A4042" s="291"/>
      <c r="B4042" s="292"/>
      <c r="C4042" s="312"/>
      <c r="D4042" s="292"/>
      <c r="E4042" s="489"/>
      <c r="F4042" s="489"/>
      <c r="G4042" s="490"/>
      <c r="H4042" s="520"/>
      <c r="I4042" s="523"/>
      <c r="J4042" s="521"/>
      <c r="K4042" s="522"/>
      <c r="M4042" s="301" t="str">
        <f>N4042&amp;AS[[#This Row],[Insurer Code]]&amp;"; "&amp;O4042&amp;AS[[#This Row],[Reporting Year]]&amp;"; "&amp;P4042&amp;AS[[#This Row],[Insurance Category Code]]&amp;"; "&amp;Q4042&amp;AS[[#This Row],[Large Provider Entity Code]]&amp;"; "&amp;R4042&amp;AS[[#This Row],[Age Band Code]]&amp;"; "&amp;S4042&amp;AS[[#This Row],[Sex Code]]</f>
        <v xml:space="preserve">Insurer Code ; Reporting Year ; Insurance Category Code ; Large Provider Entity Code ; Age Band Code ; Sex Code </v>
      </c>
      <c r="N4042" s="297" t="s">
        <v>197</v>
      </c>
      <c r="O4042" s="297" t="s">
        <v>198</v>
      </c>
      <c r="P4042" s="297" t="s">
        <v>199</v>
      </c>
      <c r="Q4042" s="297" t="s">
        <v>200</v>
      </c>
      <c r="R4042" s="297" t="s">
        <v>213</v>
      </c>
      <c r="S4042" s="297" t="s">
        <v>214</v>
      </c>
    </row>
    <row r="4043" spans="1:19" x14ac:dyDescent="0.4">
      <c r="A4043" s="291"/>
      <c r="B4043" s="292"/>
      <c r="C4043" s="312"/>
      <c r="D4043" s="292"/>
      <c r="E4043" s="489"/>
      <c r="F4043" s="489"/>
      <c r="G4043" s="490"/>
      <c r="H4043" s="520"/>
      <c r="I4043" s="523"/>
      <c r="J4043" s="521"/>
      <c r="K4043" s="522"/>
      <c r="M4043" s="301" t="str">
        <f>N4043&amp;AS[[#This Row],[Insurer Code]]&amp;"; "&amp;O4043&amp;AS[[#This Row],[Reporting Year]]&amp;"; "&amp;P4043&amp;AS[[#This Row],[Insurance Category Code]]&amp;"; "&amp;Q4043&amp;AS[[#This Row],[Large Provider Entity Code]]&amp;"; "&amp;R4043&amp;AS[[#This Row],[Age Band Code]]&amp;"; "&amp;S4043&amp;AS[[#This Row],[Sex Code]]</f>
        <v xml:space="preserve">Insurer Code ; Reporting Year ; Insurance Category Code ; Large Provider Entity Code ; Age Band Code ; Sex Code </v>
      </c>
      <c r="N4043" s="297" t="s">
        <v>197</v>
      </c>
      <c r="O4043" s="297" t="s">
        <v>198</v>
      </c>
      <c r="P4043" s="297" t="s">
        <v>199</v>
      </c>
      <c r="Q4043" s="297" t="s">
        <v>200</v>
      </c>
      <c r="R4043" s="297" t="s">
        <v>213</v>
      </c>
      <c r="S4043" s="297" t="s">
        <v>214</v>
      </c>
    </row>
    <row r="4044" spans="1:19" x14ac:dyDescent="0.4">
      <c r="A4044" s="291"/>
      <c r="B4044" s="292"/>
      <c r="C4044" s="312"/>
      <c r="D4044" s="292"/>
      <c r="E4044" s="489"/>
      <c r="F4044" s="489"/>
      <c r="G4044" s="490"/>
      <c r="H4044" s="520"/>
      <c r="I4044" s="523"/>
      <c r="J4044" s="521"/>
      <c r="K4044" s="522"/>
      <c r="M4044" s="301" t="str">
        <f>N4044&amp;AS[[#This Row],[Insurer Code]]&amp;"; "&amp;O4044&amp;AS[[#This Row],[Reporting Year]]&amp;"; "&amp;P4044&amp;AS[[#This Row],[Insurance Category Code]]&amp;"; "&amp;Q4044&amp;AS[[#This Row],[Large Provider Entity Code]]&amp;"; "&amp;R4044&amp;AS[[#This Row],[Age Band Code]]&amp;"; "&amp;S4044&amp;AS[[#This Row],[Sex Code]]</f>
        <v xml:space="preserve">Insurer Code ; Reporting Year ; Insurance Category Code ; Large Provider Entity Code ; Age Band Code ; Sex Code </v>
      </c>
      <c r="N4044" s="297" t="s">
        <v>197</v>
      </c>
      <c r="O4044" s="297" t="s">
        <v>198</v>
      </c>
      <c r="P4044" s="297" t="s">
        <v>199</v>
      </c>
      <c r="Q4044" s="297" t="s">
        <v>200</v>
      </c>
      <c r="R4044" s="297" t="s">
        <v>213</v>
      </c>
      <c r="S4044" s="297" t="s">
        <v>214</v>
      </c>
    </row>
    <row r="4045" spans="1:19" x14ac:dyDescent="0.4">
      <c r="A4045" s="291"/>
      <c r="B4045" s="292"/>
      <c r="C4045" s="312"/>
      <c r="D4045" s="292"/>
      <c r="E4045" s="489"/>
      <c r="F4045" s="489"/>
      <c r="G4045" s="490"/>
      <c r="H4045" s="520"/>
      <c r="I4045" s="523"/>
      <c r="J4045" s="521"/>
      <c r="K4045" s="522"/>
      <c r="M4045" s="301" t="str">
        <f>N4045&amp;AS[[#This Row],[Insurer Code]]&amp;"; "&amp;O4045&amp;AS[[#This Row],[Reporting Year]]&amp;"; "&amp;P4045&amp;AS[[#This Row],[Insurance Category Code]]&amp;"; "&amp;Q4045&amp;AS[[#This Row],[Large Provider Entity Code]]&amp;"; "&amp;R4045&amp;AS[[#This Row],[Age Band Code]]&amp;"; "&amp;S4045&amp;AS[[#This Row],[Sex Code]]</f>
        <v xml:space="preserve">Insurer Code ; Reporting Year ; Insurance Category Code ; Large Provider Entity Code ; Age Band Code ; Sex Code </v>
      </c>
      <c r="N4045" s="297" t="s">
        <v>197</v>
      </c>
      <c r="O4045" s="297" t="s">
        <v>198</v>
      </c>
      <c r="P4045" s="297" t="s">
        <v>199</v>
      </c>
      <c r="Q4045" s="297" t="s">
        <v>200</v>
      </c>
      <c r="R4045" s="297" t="s">
        <v>213</v>
      </c>
      <c r="S4045" s="297" t="s">
        <v>214</v>
      </c>
    </row>
    <row r="4046" spans="1:19" x14ac:dyDescent="0.4">
      <c r="A4046" s="291"/>
      <c r="B4046" s="292"/>
      <c r="C4046" s="312"/>
      <c r="D4046" s="292"/>
      <c r="E4046" s="489"/>
      <c r="F4046" s="489"/>
      <c r="G4046" s="490"/>
      <c r="H4046" s="520"/>
      <c r="I4046" s="523"/>
      <c r="J4046" s="521"/>
      <c r="K4046" s="522"/>
      <c r="M4046" s="301" t="str">
        <f>N4046&amp;AS[[#This Row],[Insurer Code]]&amp;"; "&amp;O4046&amp;AS[[#This Row],[Reporting Year]]&amp;"; "&amp;P4046&amp;AS[[#This Row],[Insurance Category Code]]&amp;"; "&amp;Q4046&amp;AS[[#This Row],[Large Provider Entity Code]]&amp;"; "&amp;R4046&amp;AS[[#This Row],[Age Band Code]]&amp;"; "&amp;S4046&amp;AS[[#This Row],[Sex Code]]</f>
        <v xml:space="preserve">Insurer Code ; Reporting Year ; Insurance Category Code ; Large Provider Entity Code ; Age Band Code ; Sex Code </v>
      </c>
      <c r="N4046" s="297" t="s">
        <v>197</v>
      </c>
      <c r="O4046" s="297" t="s">
        <v>198</v>
      </c>
      <c r="P4046" s="297" t="s">
        <v>199</v>
      </c>
      <c r="Q4046" s="297" t="s">
        <v>200</v>
      </c>
      <c r="R4046" s="297" t="s">
        <v>213</v>
      </c>
      <c r="S4046" s="297" t="s">
        <v>214</v>
      </c>
    </row>
    <row r="4047" spans="1:19" x14ac:dyDescent="0.4">
      <c r="A4047" s="291"/>
      <c r="B4047" s="292"/>
      <c r="C4047" s="312"/>
      <c r="D4047" s="292"/>
      <c r="E4047" s="489"/>
      <c r="F4047" s="489"/>
      <c r="G4047" s="490"/>
      <c r="H4047" s="520"/>
      <c r="I4047" s="523"/>
      <c r="J4047" s="521"/>
      <c r="K4047" s="522"/>
      <c r="M4047" s="301" t="str">
        <f>N4047&amp;AS[[#This Row],[Insurer Code]]&amp;"; "&amp;O4047&amp;AS[[#This Row],[Reporting Year]]&amp;"; "&amp;P4047&amp;AS[[#This Row],[Insurance Category Code]]&amp;"; "&amp;Q4047&amp;AS[[#This Row],[Large Provider Entity Code]]&amp;"; "&amp;R4047&amp;AS[[#This Row],[Age Band Code]]&amp;"; "&amp;S4047&amp;AS[[#This Row],[Sex Code]]</f>
        <v xml:space="preserve">Insurer Code ; Reporting Year ; Insurance Category Code ; Large Provider Entity Code ; Age Band Code ; Sex Code </v>
      </c>
      <c r="N4047" s="297" t="s">
        <v>197</v>
      </c>
      <c r="O4047" s="297" t="s">
        <v>198</v>
      </c>
      <c r="P4047" s="297" t="s">
        <v>199</v>
      </c>
      <c r="Q4047" s="297" t="s">
        <v>200</v>
      </c>
      <c r="R4047" s="297" t="s">
        <v>213</v>
      </c>
      <c r="S4047" s="297" t="s">
        <v>214</v>
      </c>
    </row>
    <row r="4048" spans="1:19" x14ac:dyDescent="0.4">
      <c r="A4048" s="291"/>
      <c r="B4048" s="292"/>
      <c r="C4048" s="312"/>
      <c r="D4048" s="292"/>
      <c r="E4048" s="489"/>
      <c r="F4048" s="489"/>
      <c r="G4048" s="490"/>
      <c r="H4048" s="520"/>
      <c r="I4048" s="523"/>
      <c r="J4048" s="521"/>
      <c r="K4048" s="522"/>
      <c r="M4048" s="301" t="str">
        <f>N4048&amp;AS[[#This Row],[Insurer Code]]&amp;"; "&amp;O4048&amp;AS[[#This Row],[Reporting Year]]&amp;"; "&amp;P4048&amp;AS[[#This Row],[Insurance Category Code]]&amp;"; "&amp;Q4048&amp;AS[[#This Row],[Large Provider Entity Code]]&amp;"; "&amp;R4048&amp;AS[[#This Row],[Age Band Code]]&amp;"; "&amp;S4048&amp;AS[[#This Row],[Sex Code]]</f>
        <v xml:space="preserve">Insurer Code ; Reporting Year ; Insurance Category Code ; Large Provider Entity Code ; Age Band Code ; Sex Code </v>
      </c>
      <c r="N4048" s="297" t="s">
        <v>197</v>
      </c>
      <c r="O4048" s="297" t="s">
        <v>198</v>
      </c>
      <c r="P4048" s="297" t="s">
        <v>199</v>
      </c>
      <c r="Q4048" s="297" t="s">
        <v>200</v>
      </c>
      <c r="R4048" s="297" t="s">
        <v>213</v>
      </c>
      <c r="S4048" s="297" t="s">
        <v>214</v>
      </c>
    </row>
    <row r="4049" spans="1:19" x14ac:dyDescent="0.4">
      <c r="A4049" s="291"/>
      <c r="B4049" s="292"/>
      <c r="C4049" s="312"/>
      <c r="D4049" s="292"/>
      <c r="E4049" s="489"/>
      <c r="F4049" s="489"/>
      <c r="G4049" s="490"/>
      <c r="H4049" s="520"/>
      <c r="I4049" s="523"/>
      <c r="J4049" s="521"/>
      <c r="K4049" s="522"/>
      <c r="M4049" s="301" t="str">
        <f>N4049&amp;AS[[#This Row],[Insurer Code]]&amp;"; "&amp;O4049&amp;AS[[#This Row],[Reporting Year]]&amp;"; "&amp;P4049&amp;AS[[#This Row],[Insurance Category Code]]&amp;"; "&amp;Q4049&amp;AS[[#This Row],[Large Provider Entity Code]]&amp;"; "&amp;R4049&amp;AS[[#This Row],[Age Band Code]]&amp;"; "&amp;S4049&amp;AS[[#This Row],[Sex Code]]</f>
        <v xml:space="preserve">Insurer Code ; Reporting Year ; Insurance Category Code ; Large Provider Entity Code ; Age Band Code ; Sex Code </v>
      </c>
      <c r="N4049" s="297" t="s">
        <v>197</v>
      </c>
      <c r="O4049" s="297" t="s">
        <v>198</v>
      </c>
      <c r="P4049" s="297" t="s">
        <v>199</v>
      </c>
      <c r="Q4049" s="297" t="s">
        <v>200</v>
      </c>
      <c r="R4049" s="297" t="s">
        <v>213</v>
      </c>
      <c r="S4049" s="297" t="s">
        <v>214</v>
      </c>
    </row>
    <row r="4050" spans="1:19" x14ac:dyDescent="0.4">
      <c r="A4050" s="291"/>
      <c r="B4050" s="292"/>
      <c r="C4050" s="312"/>
      <c r="D4050" s="292"/>
      <c r="E4050" s="489"/>
      <c r="F4050" s="489"/>
      <c r="G4050" s="490"/>
      <c r="H4050" s="520"/>
      <c r="I4050" s="523"/>
      <c r="J4050" s="521"/>
      <c r="K4050" s="522"/>
      <c r="M4050" s="301" t="str">
        <f>N4050&amp;AS[[#This Row],[Insurer Code]]&amp;"; "&amp;O4050&amp;AS[[#This Row],[Reporting Year]]&amp;"; "&amp;P4050&amp;AS[[#This Row],[Insurance Category Code]]&amp;"; "&amp;Q4050&amp;AS[[#This Row],[Large Provider Entity Code]]&amp;"; "&amp;R4050&amp;AS[[#This Row],[Age Band Code]]&amp;"; "&amp;S4050&amp;AS[[#This Row],[Sex Code]]</f>
        <v xml:space="preserve">Insurer Code ; Reporting Year ; Insurance Category Code ; Large Provider Entity Code ; Age Band Code ; Sex Code </v>
      </c>
      <c r="N4050" s="297" t="s">
        <v>197</v>
      </c>
      <c r="O4050" s="297" t="s">
        <v>198</v>
      </c>
      <c r="P4050" s="297" t="s">
        <v>199</v>
      </c>
      <c r="Q4050" s="297" t="s">
        <v>200</v>
      </c>
      <c r="R4050" s="297" t="s">
        <v>213</v>
      </c>
      <c r="S4050" s="297" t="s">
        <v>214</v>
      </c>
    </row>
    <row r="4051" spans="1:19" x14ac:dyDescent="0.4">
      <c r="A4051" s="291"/>
      <c r="B4051" s="292"/>
      <c r="C4051" s="312"/>
      <c r="D4051" s="292"/>
      <c r="E4051" s="489"/>
      <c r="F4051" s="489"/>
      <c r="G4051" s="490"/>
      <c r="H4051" s="520"/>
      <c r="I4051" s="523"/>
      <c r="J4051" s="521"/>
      <c r="K4051" s="522"/>
      <c r="M4051" s="301" t="str">
        <f>N4051&amp;AS[[#This Row],[Insurer Code]]&amp;"; "&amp;O4051&amp;AS[[#This Row],[Reporting Year]]&amp;"; "&amp;P4051&amp;AS[[#This Row],[Insurance Category Code]]&amp;"; "&amp;Q4051&amp;AS[[#This Row],[Large Provider Entity Code]]&amp;"; "&amp;R4051&amp;AS[[#This Row],[Age Band Code]]&amp;"; "&amp;S4051&amp;AS[[#This Row],[Sex Code]]</f>
        <v xml:space="preserve">Insurer Code ; Reporting Year ; Insurance Category Code ; Large Provider Entity Code ; Age Band Code ; Sex Code </v>
      </c>
      <c r="N4051" s="297" t="s">
        <v>197</v>
      </c>
      <c r="O4051" s="297" t="s">
        <v>198</v>
      </c>
      <c r="P4051" s="297" t="s">
        <v>199</v>
      </c>
      <c r="Q4051" s="297" t="s">
        <v>200</v>
      </c>
      <c r="R4051" s="297" t="s">
        <v>213</v>
      </c>
      <c r="S4051" s="297" t="s">
        <v>214</v>
      </c>
    </row>
    <row r="4052" spans="1:19" x14ac:dyDescent="0.4">
      <c r="A4052" s="291"/>
      <c r="B4052" s="292"/>
      <c r="C4052" s="312"/>
      <c r="D4052" s="292"/>
      <c r="E4052" s="489"/>
      <c r="F4052" s="489"/>
      <c r="G4052" s="490"/>
      <c r="H4052" s="520"/>
      <c r="I4052" s="523"/>
      <c r="J4052" s="521"/>
      <c r="K4052" s="522"/>
      <c r="M4052" s="301" t="str">
        <f>N4052&amp;AS[[#This Row],[Insurer Code]]&amp;"; "&amp;O4052&amp;AS[[#This Row],[Reporting Year]]&amp;"; "&amp;P4052&amp;AS[[#This Row],[Insurance Category Code]]&amp;"; "&amp;Q4052&amp;AS[[#This Row],[Large Provider Entity Code]]&amp;"; "&amp;R4052&amp;AS[[#This Row],[Age Band Code]]&amp;"; "&amp;S4052&amp;AS[[#This Row],[Sex Code]]</f>
        <v xml:space="preserve">Insurer Code ; Reporting Year ; Insurance Category Code ; Large Provider Entity Code ; Age Band Code ; Sex Code </v>
      </c>
      <c r="N4052" s="297" t="s">
        <v>197</v>
      </c>
      <c r="O4052" s="297" t="s">
        <v>198</v>
      </c>
      <c r="P4052" s="297" t="s">
        <v>199</v>
      </c>
      <c r="Q4052" s="297" t="s">
        <v>200</v>
      </c>
      <c r="R4052" s="297" t="s">
        <v>213</v>
      </c>
      <c r="S4052" s="297" t="s">
        <v>214</v>
      </c>
    </row>
    <row r="4053" spans="1:19" x14ac:dyDescent="0.4">
      <c r="A4053" s="291"/>
      <c r="B4053" s="292"/>
      <c r="C4053" s="312"/>
      <c r="D4053" s="292"/>
      <c r="E4053" s="489"/>
      <c r="F4053" s="489"/>
      <c r="G4053" s="490"/>
      <c r="H4053" s="520"/>
      <c r="I4053" s="523"/>
      <c r="J4053" s="521"/>
      <c r="K4053" s="522"/>
      <c r="M4053" s="301" t="str">
        <f>N4053&amp;AS[[#This Row],[Insurer Code]]&amp;"; "&amp;O4053&amp;AS[[#This Row],[Reporting Year]]&amp;"; "&amp;P4053&amp;AS[[#This Row],[Insurance Category Code]]&amp;"; "&amp;Q4053&amp;AS[[#This Row],[Large Provider Entity Code]]&amp;"; "&amp;R4053&amp;AS[[#This Row],[Age Band Code]]&amp;"; "&amp;S4053&amp;AS[[#This Row],[Sex Code]]</f>
        <v xml:space="preserve">Insurer Code ; Reporting Year ; Insurance Category Code ; Large Provider Entity Code ; Age Band Code ; Sex Code </v>
      </c>
      <c r="N4053" s="297" t="s">
        <v>197</v>
      </c>
      <c r="O4053" s="297" t="s">
        <v>198</v>
      </c>
      <c r="P4053" s="297" t="s">
        <v>199</v>
      </c>
      <c r="Q4053" s="297" t="s">
        <v>200</v>
      </c>
      <c r="R4053" s="297" t="s">
        <v>213</v>
      </c>
      <c r="S4053" s="297" t="s">
        <v>214</v>
      </c>
    </row>
    <row r="4054" spans="1:19" x14ac:dyDescent="0.4">
      <c r="A4054" s="291"/>
      <c r="B4054" s="292"/>
      <c r="C4054" s="312"/>
      <c r="D4054" s="292"/>
      <c r="E4054" s="489"/>
      <c r="F4054" s="489"/>
      <c r="G4054" s="490"/>
      <c r="H4054" s="520"/>
      <c r="I4054" s="523"/>
      <c r="J4054" s="521"/>
      <c r="K4054" s="522"/>
      <c r="M4054" s="301" t="str">
        <f>N4054&amp;AS[[#This Row],[Insurer Code]]&amp;"; "&amp;O4054&amp;AS[[#This Row],[Reporting Year]]&amp;"; "&amp;P4054&amp;AS[[#This Row],[Insurance Category Code]]&amp;"; "&amp;Q4054&amp;AS[[#This Row],[Large Provider Entity Code]]&amp;"; "&amp;R4054&amp;AS[[#This Row],[Age Band Code]]&amp;"; "&amp;S4054&amp;AS[[#This Row],[Sex Code]]</f>
        <v xml:space="preserve">Insurer Code ; Reporting Year ; Insurance Category Code ; Large Provider Entity Code ; Age Band Code ; Sex Code </v>
      </c>
      <c r="N4054" s="297" t="s">
        <v>197</v>
      </c>
      <c r="O4054" s="297" t="s">
        <v>198</v>
      </c>
      <c r="P4054" s="297" t="s">
        <v>199</v>
      </c>
      <c r="Q4054" s="297" t="s">
        <v>200</v>
      </c>
      <c r="R4054" s="297" t="s">
        <v>213</v>
      </c>
      <c r="S4054" s="297" t="s">
        <v>214</v>
      </c>
    </row>
    <row r="4055" spans="1:19" x14ac:dyDescent="0.4">
      <c r="A4055" s="291"/>
      <c r="B4055" s="292"/>
      <c r="C4055" s="312"/>
      <c r="D4055" s="292"/>
      <c r="E4055" s="489"/>
      <c r="F4055" s="489"/>
      <c r="G4055" s="490"/>
      <c r="H4055" s="520"/>
      <c r="I4055" s="523"/>
      <c r="J4055" s="521"/>
      <c r="K4055" s="522"/>
      <c r="M4055" s="301" t="str">
        <f>N4055&amp;AS[[#This Row],[Insurer Code]]&amp;"; "&amp;O4055&amp;AS[[#This Row],[Reporting Year]]&amp;"; "&amp;P4055&amp;AS[[#This Row],[Insurance Category Code]]&amp;"; "&amp;Q4055&amp;AS[[#This Row],[Large Provider Entity Code]]&amp;"; "&amp;R4055&amp;AS[[#This Row],[Age Band Code]]&amp;"; "&amp;S4055&amp;AS[[#This Row],[Sex Code]]</f>
        <v xml:space="preserve">Insurer Code ; Reporting Year ; Insurance Category Code ; Large Provider Entity Code ; Age Band Code ; Sex Code </v>
      </c>
      <c r="N4055" s="297" t="s">
        <v>197</v>
      </c>
      <c r="O4055" s="297" t="s">
        <v>198</v>
      </c>
      <c r="P4055" s="297" t="s">
        <v>199</v>
      </c>
      <c r="Q4055" s="297" t="s">
        <v>200</v>
      </c>
      <c r="R4055" s="297" t="s">
        <v>213</v>
      </c>
      <c r="S4055" s="297" t="s">
        <v>214</v>
      </c>
    </row>
    <row r="4056" spans="1:19" x14ac:dyDescent="0.4">
      <c r="A4056" s="291"/>
      <c r="B4056" s="292"/>
      <c r="C4056" s="312"/>
      <c r="D4056" s="292"/>
      <c r="E4056" s="489"/>
      <c r="F4056" s="489"/>
      <c r="G4056" s="490"/>
      <c r="H4056" s="520"/>
      <c r="I4056" s="523"/>
      <c r="J4056" s="521"/>
      <c r="K4056" s="522"/>
      <c r="M4056" s="301" t="str">
        <f>N4056&amp;AS[[#This Row],[Insurer Code]]&amp;"; "&amp;O4056&amp;AS[[#This Row],[Reporting Year]]&amp;"; "&amp;P4056&amp;AS[[#This Row],[Insurance Category Code]]&amp;"; "&amp;Q4056&amp;AS[[#This Row],[Large Provider Entity Code]]&amp;"; "&amp;R4056&amp;AS[[#This Row],[Age Band Code]]&amp;"; "&amp;S4056&amp;AS[[#This Row],[Sex Code]]</f>
        <v xml:space="preserve">Insurer Code ; Reporting Year ; Insurance Category Code ; Large Provider Entity Code ; Age Band Code ; Sex Code </v>
      </c>
      <c r="N4056" s="297" t="s">
        <v>197</v>
      </c>
      <c r="O4056" s="297" t="s">
        <v>198</v>
      </c>
      <c r="P4056" s="297" t="s">
        <v>199</v>
      </c>
      <c r="Q4056" s="297" t="s">
        <v>200</v>
      </c>
      <c r="R4056" s="297" t="s">
        <v>213</v>
      </c>
      <c r="S4056" s="297" t="s">
        <v>214</v>
      </c>
    </row>
    <row r="4057" spans="1:19" x14ac:dyDescent="0.4">
      <c r="A4057" s="291"/>
      <c r="B4057" s="292"/>
      <c r="C4057" s="312"/>
      <c r="D4057" s="292"/>
      <c r="E4057" s="489"/>
      <c r="F4057" s="489"/>
      <c r="G4057" s="490"/>
      <c r="H4057" s="520"/>
      <c r="I4057" s="523"/>
      <c r="J4057" s="521"/>
      <c r="K4057" s="522"/>
      <c r="M4057" s="301" t="str">
        <f>N4057&amp;AS[[#This Row],[Insurer Code]]&amp;"; "&amp;O4057&amp;AS[[#This Row],[Reporting Year]]&amp;"; "&amp;P4057&amp;AS[[#This Row],[Insurance Category Code]]&amp;"; "&amp;Q4057&amp;AS[[#This Row],[Large Provider Entity Code]]&amp;"; "&amp;R4057&amp;AS[[#This Row],[Age Band Code]]&amp;"; "&amp;S4057&amp;AS[[#This Row],[Sex Code]]</f>
        <v xml:space="preserve">Insurer Code ; Reporting Year ; Insurance Category Code ; Large Provider Entity Code ; Age Band Code ; Sex Code </v>
      </c>
      <c r="N4057" s="297" t="s">
        <v>197</v>
      </c>
      <c r="O4057" s="297" t="s">
        <v>198</v>
      </c>
      <c r="P4057" s="297" t="s">
        <v>199</v>
      </c>
      <c r="Q4057" s="297" t="s">
        <v>200</v>
      </c>
      <c r="R4057" s="297" t="s">
        <v>213</v>
      </c>
      <c r="S4057" s="297" t="s">
        <v>214</v>
      </c>
    </row>
    <row r="4058" spans="1:19" x14ac:dyDescent="0.4">
      <c r="A4058" s="291"/>
      <c r="B4058" s="292"/>
      <c r="C4058" s="312"/>
      <c r="D4058" s="292"/>
      <c r="E4058" s="489"/>
      <c r="F4058" s="489"/>
      <c r="G4058" s="490"/>
      <c r="H4058" s="520"/>
      <c r="I4058" s="523"/>
      <c r="J4058" s="521"/>
      <c r="K4058" s="522"/>
      <c r="M4058" s="301" t="str">
        <f>N4058&amp;AS[[#This Row],[Insurer Code]]&amp;"; "&amp;O4058&amp;AS[[#This Row],[Reporting Year]]&amp;"; "&amp;P4058&amp;AS[[#This Row],[Insurance Category Code]]&amp;"; "&amp;Q4058&amp;AS[[#This Row],[Large Provider Entity Code]]&amp;"; "&amp;R4058&amp;AS[[#This Row],[Age Band Code]]&amp;"; "&amp;S4058&amp;AS[[#This Row],[Sex Code]]</f>
        <v xml:space="preserve">Insurer Code ; Reporting Year ; Insurance Category Code ; Large Provider Entity Code ; Age Band Code ; Sex Code </v>
      </c>
      <c r="N4058" s="297" t="s">
        <v>197</v>
      </c>
      <c r="O4058" s="297" t="s">
        <v>198</v>
      </c>
      <c r="P4058" s="297" t="s">
        <v>199</v>
      </c>
      <c r="Q4058" s="297" t="s">
        <v>200</v>
      </c>
      <c r="R4058" s="297" t="s">
        <v>213</v>
      </c>
      <c r="S4058" s="297" t="s">
        <v>214</v>
      </c>
    </row>
    <row r="4059" spans="1:19" x14ac:dyDescent="0.4">
      <c r="A4059" s="291"/>
      <c r="B4059" s="292"/>
      <c r="C4059" s="312"/>
      <c r="D4059" s="292"/>
      <c r="E4059" s="489"/>
      <c r="F4059" s="489"/>
      <c r="G4059" s="490"/>
      <c r="H4059" s="520"/>
      <c r="I4059" s="523"/>
      <c r="J4059" s="521"/>
      <c r="K4059" s="522"/>
      <c r="M4059" s="301" t="str">
        <f>N4059&amp;AS[[#This Row],[Insurer Code]]&amp;"; "&amp;O4059&amp;AS[[#This Row],[Reporting Year]]&amp;"; "&amp;P4059&amp;AS[[#This Row],[Insurance Category Code]]&amp;"; "&amp;Q4059&amp;AS[[#This Row],[Large Provider Entity Code]]&amp;"; "&amp;R4059&amp;AS[[#This Row],[Age Band Code]]&amp;"; "&amp;S4059&amp;AS[[#This Row],[Sex Code]]</f>
        <v xml:space="preserve">Insurer Code ; Reporting Year ; Insurance Category Code ; Large Provider Entity Code ; Age Band Code ; Sex Code </v>
      </c>
      <c r="N4059" s="297" t="s">
        <v>197</v>
      </c>
      <c r="O4059" s="297" t="s">
        <v>198</v>
      </c>
      <c r="P4059" s="297" t="s">
        <v>199</v>
      </c>
      <c r="Q4059" s="297" t="s">
        <v>200</v>
      </c>
      <c r="R4059" s="297" t="s">
        <v>213</v>
      </c>
      <c r="S4059" s="297" t="s">
        <v>214</v>
      </c>
    </row>
    <row r="4060" spans="1:19" x14ac:dyDescent="0.4">
      <c r="A4060" s="291"/>
      <c r="B4060" s="292"/>
      <c r="C4060" s="312"/>
      <c r="D4060" s="292"/>
      <c r="E4060" s="489"/>
      <c r="F4060" s="489"/>
      <c r="G4060" s="490"/>
      <c r="H4060" s="520"/>
      <c r="I4060" s="523"/>
      <c r="J4060" s="521"/>
      <c r="K4060" s="522"/>
      <c r="M4060" s="301" t="str">
        <f>N4060&amp;AS[[#This Row],[Insurer Code]]&amp;"; "&amp;O4060&amp;AS[[#This Row],[Reporting Year]]&amp;"; "&amp;P4060&amp;AS[[#This Row],[Insurance Category Code]]&amp;"; "&amp;Q4060&amp;AS[[#This Row],[Large Provider Entity Code]]&amp;"; "&amp;R4060&amp;AS[[#This Row],[Age Band Code]]&amp;"; "&amp;S4060&amp;AS[[#This Row],[Sex Code]]</f>
        <v xml:space="preserve">Insurer Code ; Reporting Year ; Insurance Category Code ; Large Provider Entity Code ; Age Band Code ; Sex Code </v>
      </c>
      <c r="N4060" s="297" t="s">
        <v>197</v>
      </c>
      <c r="O4060" s="297" t="s">
        <v>198</v>
      </c>
      <c r="P4060" s="297" t="s">
        <v>199</v>
      </c>
      <c r="Q4060" s="297" t="s">
        <v>200</v>
      </c>
      <c r="R4060" s="297" t="s">
        <v>213</v>
      </c>
      <c r="S4060" s="297" t="s">
        <v>214</v>
      </c>
    </row>
    <row r="4061" spans="1:19" x14ac:dyDescent="0.4">
      <c r="A4061" s="291"/>
      <c r="B4061" s="292"/>
      <c r="C4061" s="312"/>
      <c r="D4061" s="292"/>
      <c r="E4061" s="489"/>
      <c r="F4061" s="489"/>
      <c r="G4061" s="490"/>
      <c r="H4061" s="520"/>
      <c r="I4061" s="523"/>
      <c r="J4061" s="521"/>
      <c r="K4061" s="522"/>
      <c r="M4061" s="301" t="str">
        <f>N4061&amp;AS[[#This Row],[Insurer Code]]&amp;"; "&amp;O4061&amp;AS[[#This Row],[Reporting Year]]&amp;"; "&amp;P4061&amp;AS[[#This Row],[Insurance Category Code]]&amp;"; "&amp;Q4061&amp;AS[[#This Row],[Large Provider Entity Code]]&amp;"; "&amp;R4061&amp;AS[[#This Row],[Age Band Code]]&amp;"; "&amp;S4061&amp;AS[[#This Row],[Sex Code]]</f>
        <v xml:space="preserve">Insurer Code ; Reporting Year ; Insurance Category Code ; Large Provider Entity Code ; Age Band Code ; Sex Code </v>
      </c>
      <c r="N4061" s="297" t="s">
        <v>197</v>
      </c>
      <c r="O4061" s="297" t="s">
        <v>198</v>
      </c>
      <c r="P4061" s="297" t="s">
        <v>199</v>
      </c>
      <c r="Q4061" s="297" t="s">
        <v>200</v>
      </c>
      <c r="R4061" s="297" t="s">
        <v>213</v>
      </c>
      <c r="S4061" s="297" t="s">
        <v>214</v>
      </c>
    </row>
    <row r="4062" spans="1:19" x14ac:dyDescent="0.4">
      <c r="A4062" s="291"/>
      <c r="B4062" s="292"/>
      <c r="C4062" s="312"/>
      <c r="D4062" s="292"/>
      <c r="E4062" s="489"/>
      <c r="F4062" s="489"/>
      <c r="G4062" s="490"/>
      <c r="H4062" s="520"/>
      <c r="I4062" s="523"/>
      <c r="J4062" s="521"/>
      <c r="K4062" s="522"/>
      <c r="M4062" s="301" t="str">
        <f>N4062&amp;AS[[#This Row],[Insurer Code]]&amp;"; "&amp;O4062&amp;AS[[#This Row],[Reporting Year]]&amp;"; "&amp;P4062&amp;AS[[#This Row],[Insurance Category Code]]&amp;"; "&amp;Q4062&amp;AS[[#This Row],[Large Provider Entity Code]]&amp;"; "&amp;R4062&amp;AS[[#This Row],[Age Band Code]]&amp;"; "&amp;S4062&amp;AS[[#This Row],[Sex Code]]</f>
        <v xml:space="preserve">Insurer Code ; Reporting Year ; Insurance Category Code ; Large Provider Entity Code ; Age Band Code ; Sex Code </v>
      </c>
      <c r="N4062" s="297" t="s">
        <v>197</v>
      </c>
      <c r="O4062" s="297" t="s">
        <v>198</v>
      </c>
      <c r="P4062" s="297" t="s">
        <v>199</v>
      </c>
      <c r="Q4062" s="297" t="s">
        <v>200</v>
      </c>
      <c r="R4062" s="297" t="s">
        <v>213</v>
      </c>
      <c r="S4062" s="297" t="s">
        <v>214</v>
      </c>
    </row>
    <row r="4063" spans="1:19" x14ac:dyDescent="0.4">
      <c r="A4063" s="291"/>
      <c r="B4063" s="292"/>
      <c r="C4063" s="312"/>
      <c r="D4063" s="292"/>
      <c r="E4063" s="489"/>
      <c r="F4063" s="489"/>
      <c r="G4063" s="490"/>
      <c r="H4063" s="520"/>
      <c r="I4063" s="523"/>
      <c r="J4063" s="521"/>
      <c r="K4063" s="522"/>
      <c r="M4063" s="301" t="str">
        <f>N4063&amp;AS[[#This Row],[Insurer Code]]&amp;"; "&amp;O4063&amp;AS[[#This Row],[Reporting Year]]&amp;"; "&amp;P4063&amp;AS[[#This Row],[Insurance Category Code]]&amp;"; "&amp;Q4063&amp;AS[[#This Row],[Large Provider Entity Code]]&amp;"; "&amp;R4063&amp;AS[[#This Row],[Age Band Code]]&amp;"; "&amp;S4063&amp;AS[[#This Row],[Sex Code]]</f>
        <v xml:space="preserve">Insurer Code ; Reporting Year ; Insurance Category Code ; Large Provider Entity Code ; Age Band Code ; Sex Code </v>
      </c>
      <c r="N4063" s="297" t="s">
        <v>197</v>
      </c>
      <c r="O4063" s="297" t="s">
        <v>198</v>
      </c>
      <c r="P4063" s="297" t="s">
        <v>199</v>
      </c>
      <c r="Q4063" s="297" t="s">
        <v>200</v>
      </c>
      <c r="R4063" s="297" t="s">
        <v>213</v>
      </c>
      <c r="S4063" s="297" t="s">
        <v>214</v>
      </c>
    </row>
    <row r="4064" spans="1:19" x14ac:dyDescent="0.4">
      <c r="A4064" s="291"/>
      <c r="B4064" s="292"/>
      <c r="C4064" s="312"/>
      <c r="D4064" s="292"/>
      <c r="E4064" s="489"/>
      <c r="F4064" s="489"/>
      <c r="G4064" s="490"/>
      <c r="H4064" s="520"/>
      <c r="I4064" s="523"/>
      <c r="J4064" s="521"/>
      <c r="K4064" s="522"/>
      <c r="M4064" s="301" t="str">
        <f>N4064&amp;AS[[#This Row],[Insurer Code]]&amp;"; "&amp;O4064&amp;AS[[#This Row],[Reporting Year]]&amp;"; "&amp;P4064&amp;AS[[#This Row],[Insurance Category Code]]&amp;"; "&amp;Q4064&amp;AS[[#This Row],[Large Provider Entity Code]]&amp;"; "&amp;R4064&amp;AS[[#This Row],[Age Band Code]]&amp;"; "&amp;S4064&amp;AS[[#This Row],[Sex Code]]</f>
        <v xml:space="preserve">Insurer Code ; Reporting Year ; Insurance Category Code ; Large Provider Entity Code ; Age Band Code ; Sex Code </v>
      </c>
      <c r="N4064" s="297" t="s">
        <v>197</v>
      </c>
      <c r="O4064" s="297" t="s">
        <v>198</v>
      </c>
      <c r="P4064" s="297" t="s">
        <v>199</v>
      </c>
      <c r="Q4064" s="297" t="s">
        <v>200</v>
      </c>
      <c r="R4064" s="297" t="s">
        <v>213</v>
      </c>
      <c r="S4064" s="297" t="s">
        <v>214</v>
      </c>
    </row>
    <row r="4065" spans="1:19" x14ac:dyDescent="0.4">
      <c r="A4065" s="291"/>
      <c r="B4065" s="292"/>
      <c r="C4065" s="312"/>
      <c r="D4065" s="292"/>
      <c r="E4065" s="489"/>
      <c r="F4065" s="489"/>
      <c r="G4065" s="490"/>
      <c r="H4065" s="520"/>
      <c r="I4065" s="523"/>
      <c r="J4065" s="521"/>
      <c r="K4065" s="522"/>
      <c r="M4065" s="301" t="str">
        <f>N4065&amp;AS[[#This Row],[Insurer Code]]&amp;"; "&amp;O4065&amp;AS[[#This Row],[Reporting Year]]&amp;"; "&amp;P4065&amp;AS[[#This Row],[Insurance Category Code]]&amp;"; "&amp;Q4065&amp;AS[[#This Row],[Large Provider Entity Code]]&amp;"; "&amp;R4065&amp;AS[[#This Row],[Age Band Code]]&amp;"; "&amp;S4065&amp;AS[[#This Row],[Sex Code]]</f>
        <v xml:space="preserve">Insurer Code ; Reporting Year ; Insurance Category Code ; Large Provider Entity Code ; Age Band Code ; Sex Code </v>
      </c>
      <c r="N4065" s="297" t="s">
        <v>197</v>
      </c>
      <c r="O4065" s="297" t="s">
        <v>198</v>
      </c>
      <c r="P4065" s="297" t="s">
        <v>199</v>
      </c>
      <c r="Q4065" s="297" t="s">
        <v>200</v>
      </c>
      <c r="R4065" s="297" t="s">
        <v>213</v>
      </c>
      <c r="S4065" s="297" t="s">
        <v>214</v>
      </c>
    </row>
    <row r="4066" spans="1:19" x14ac:dyDescent="0.4">
      <c r="A4066" s="291"/>
      <c r="B4066" s="292"/>
      <c r="C4066" s="312"/>
      <c r="D4066" s="292"/>
      <c r="E4066" s="489"/>
      <c r="F4066" s="489"/>
      <c r="G4066" s="490"/>
      <c r="H4066" s="520"/>
      <c r="I4066" s="523"/>
      <c r="J4066" s="521"/>
      <c r="K4066" s="522"/>
      <c r="M4066" s="301" t="str">
        <f>N4066&amp;AS[[#This Row],[Insurer Code]]&amp;"; "&amp;O4066&amp;AS[[#This Row],[Reporting Year]]&amp;"; "&amp;P4066&amp;AS[[#This Row],[Insurance Category Code]]&amp;"; "&amp;Q4066&amp;AS[[#This Row],[Large Provider Entity Code]]&amp;"; "&amp;R4066&amp;AS[[#This Row],[Age Band Code]]&amp;"; "&amp;S4066&amp;AS[[#This Row],[Sex Code]]</f>
        <v xml:space="preserve">Insurer Code ; Reporting Year ; Insurance Category Code ; Large Provider Entity Code ; Age Band Code ; Sex Code </v>
      </c>
      <c r="N4066" s="297" t="s">
        <v>197</v>
      </c>
      <c r="O4066" s="297" t="s">
        <v>198</v>
      </c>
      <c r="P4066" s="297" t="s">
        <v>199</v>
      </c>
      <c r="Q4066" s="297" t="s">
        <v>200</v>
      </c>
      <c r="R4066" s="297" t="s">
        <v>213</v>
      </c>
      <c r="S4066" s="297" t="s">
        <v>214</v>
      </c>
    </row>
    <row r="4067" spans="1:19" x14ac:dyDescent="0.4">
      <c r="A4067" s="291"/>
      <c r="B4067" s="292"/>
      <c r="C4067" s="312"/>
      <c r="D4067" s="292"/>
      <c r="E4067" s="489"/>
      <c r="F4067" s="489"/>
      <c r="G4067" s="490"/>
      <c r="H4067" s="520"/>
      <c r="I4067" s="523"/>
      <c r="J4067" s="521"/>
      <c r="K4067" s="522"/>
      <c r="M4067" s="301" t="str">
        <f>N4067&amp;AS[[#This Row],[Insurer Code]]&amp;"; "&amp;O4067&amp;AS[[#This Row],[Reporting Year]]&amp;"; "&amp;P4067&amp;AS[[#This Row],[Insurance Category Code]]&amp;"; "&amp;Q4067&amp;AS[[#This Row],[Large Provider Entity Code]]&amp;"; "&amp;R4067&amp;AS[[#This Row],[Age Band Code]]&amp;"; "&amp;S4067&amp;AS[[#This Row],[Sex Code]]</f>
        <v xml:space="preserve">Insurer Code ; Reporting Year ; Insurance Category Code ; Large Provider Entity Code ; Age Band Code ; Sex Code </v>
      </c>
      <c r="N4067" s="297" t="s">
        <v>197</v>
      </c>
      <c r="O4067" s="297" t="s">
        <v>198</v>
      </c>
      <c r="P4067" s="297" t="s">
        <v>199</v>
      </c>
      <c r="Q4067" s="297" t="s">
        <v>200</v>
      </c>
      <c r="R4067" s="297" t="s">
        <v>213</v>
      </c>
      <c r="S4067" s="297" t="s">
        <v>214</v>
      </c>
    </row>
    <row r="4068" spans="1:19" x14ac:dyDescent="0.4">
      <c r="A4068" s="291"/>
      <c r="B4068" s="292"/>
      <c r="C4068" s="312"/>
      <c r="D4068" s="292"/>
      <c r="E4068" s="489"/>
      <c r="F4068" s="489"/>
      <c r="G4068" s="490"/>
      <c r="H4068" s="520"/>
      <c r="I4068" s="523"/>
      <c r="J4068" s="521"/>
      <c r="K4068" s="522"/>
      <c r="M4068" s="301" t="str">
        <f>N4068&amp;AS[[#This Row],[Insurer Code]]&amp;"; "&amp;O4068&amp;AS[[#This Row],[Reporting Year]]&amp;"; "&amp;P4068&amp;AS[[#This Row],[Insurance Category Code]]&amp;"; "&amp;Q4068&amp;AS[[#This Row],[Large Provider Entity Code]]&amp;"; "&amp;R4068&amp;AS[[#This Row],[Age Band Code]]&amp;"; "&amp;S4068&amp;AS[[#This Row],[Sex Code]]</f>
        <v xml:space="preserve">Insurer Code ; Reporting Year ; Insurance Category Code ; Large Provider Entity Code ; Age Band Code ; Sex Code </v>
      </c>
      <c r="N4068" s="297" t="s">
        <v>197</v>
      </c>
      <c r="O4068" s="297" t="s">
        <v>198</v>
      </c>
      <c r="P4068" s="297" t="s">
        <v>199</v>
      </c>
      <c r="Q4068" s="297" t="s">
        <v>200</v>
      </c>
      <c r="R4068" s="297" t="s">
        <v>213</v>
      </c>
      <c r="S4068" s="297" t="s">
        <v>214</v>
      </c>
    </row>
    <row r="4069" spans="1:19" x14ac:dyDescent="0.4">
      <c r="A4069" s="291"/>
      <c r="B4069" s="292"/>
      <c r="C4069" s="312"/>
      <c r="D4069" s="292"/>
      <c r="E4069" s="489"/>
      <c r="F4069" s="489"/>
      <c r="G4069" s="490"/>
      <c r="H4069" s="520"/>
      <c r="I4069" s="523"/>
      <c r="J4069" s="521"/>
      <c r="K4069" s="522"/>
      <c r="M4069" s="301" t="str">
        <f>N4069&amp;AS[[#This Row],[Insurer Code]]&amp;"; "&amp;O4069&amp;AS[[#This Row],[Reporting Year]]&amp;"; "&amp;P4069&amp;AS[[#This Row],[Insurance Category Code]]&amp;"; "&amp;Q4069&amp;AS[[#This Row],[Large Provider Entity Code]]&amp;"; "&amp;R4069&amp;AS[[#This Row],[Age Band Code]]&amp;"; "&amp;S4069&amp;AS[[#This Row],[Sex Code]]</f>
        <v xml:space="preserve">Insurer Code ; Reporting Year ; Insurance Category Code ; Large Provider Entity Code ; Age Band Code ; Sex Code </v>
      </c>
      <c r="N4069" s="297" t="s">
        <v>197</v>
      </c>
      <c r="O4069" s="297" t="s">
        <v>198</v>
      </c>
      <c r="P4069" s="297" t="s">
        <v>199</v>
      </c>
      <c r="Q4069" s="297" t="s">
        <v>200</v>
      </c>
      <c r="R4069" s="297" t="s">
        <v>213</v>
      </c>
      <c r="S4069" s="297" t="s">
        <v>214</v>
      </c>
    </row>
    <row r="4070" spans="1:19" x14ac:dyDescent="0.4">
      <c r="A4070" s="291"/>
      <c r="B4070" s="292"/>
      <c r="C4070" s="312"/>
      <c r="D4070" s="292"/>
      <c r="E4070" s="489"/>
      <c r="F4070" s="489"/>
      <c r="G4070" s="490"/>
      <c r="H4070" s="520"/>
      <c r="I4070" s="523"/>
      <c r="J4070" s="521"/>
      <c r="K4070" s="522"/>
      <c r="M4070" s="301" t="str">
        <f>N4070&amp;AS[[#This Row],[Insurer Code]]&amp;"; "&amp;O4070&amp;AS[[#This Row],[Reporting Year]]&amp;"; "&amp;P4070&amp;AS[[#This Row],[Insurance Category Code]]&amp;"; "&amp;Q4070&amp;AS[[#This Row],[Large Provider Entity Code]]&amp;"; "&amp;R4070&amp;AS[[#This Row],[Age Band Code]]&amp;"; "&amp;S4070&amp;AS[[#This Row],[Sex Code]]</f>
        <v xml:space="preserve">Insurer Code ; Reporting Year ; Insurance Category Code ; Large Provider Entity Code ; Age Band Code ; Sex Code </v>
      </c>
      <c r="N4070" s="297" t="s">
        <v>197</v>
      </c>
      <c r="O4070" s="297" t="s">
        <v>198</v>
      </c>
      <c r="P4070" s="297" t="s">
        <v>199</v>
      </c>
      <c r="Q4070" s="297" t="s">
        <v>200</v>
      </c>
      <c r="R4070" s="297" t="s">
        <v>213</v>
      </c>
      <c r="S4070" s="297" t="s">
        <v>214</v>
      </c>
    </row>
    <row r="4071" spans="1:19" x14ac:dyDescent="0.4">
      <c r="A4071" s="291"/>
      <c r="B4071" s="292"/>
      <c r="C4071" s="312"/>
      <c r="D4071" s="292"/>
      <c r="E4071" s="489"/>
      <c r="F4071" s="489"/>
      <c r="G4071" s="490"/>
      <c r="H4071" s="520"/>
      <c r="I4071" s="523"/>
      <c r="J4071" s="521"/>
      <c r="K4071" s="522"/>
      <c r="M4071" s="301" t="str">
        <f>N4071&amp;AS[[#This Row],[Insurer Code]]&amp;"; "&amp;O4071&amp;AS[[#This Row],[Reporting Year]]&amp;"; "&amp;P4071&amp;AS[[#This Row],[Insurance Category Code]]&amp;"; "&amp;Q4071&amp;AS[[#This Row],[Large Provider Entity Code]]&amp;"; "&amp;R4071&amp;AS[[#This Row],[Age Band Code]]&amp;"; "&amp;S4071&amp;AS[[#This Row],[Sex Code]]</f>
        <v xml:space="preserve">Insurer Code ; Reporting Year ; Insurance Category Code ; Large Provider Entity Code ; Age Band Code ; Sex Code </v>
      </c>
      <c r="N4071" s="297" t="s">
        <v>197</v>
      </c>
      <c r="O4071" s="297" t="s">
        <v>198</v>
      </c>
      <c r="P4071" s="297" t="s">
        <v>199</v>
      </c>
      <c r="Q4071" s="297" t="s">
        <v>200</v>
      </c>
      <c r="R4071" s="297" t="s">
        <v>213</v>
      </c>
      <c r="S4071" s="297" t="s">
        <v>214</v>
      </c>
    </row>
    <row r="4072" spans="1:19" x14ac:dyDescent="0.4">
      <c r="A4072" s="291"/>
      <c r="B4072" s="292"/>
      <c r="C4072" s="312"/>
      <c r="D4072" s="292"/>
      <c r="E4072" s="489"/>
      <c r="F4072" s="489"/>
      <c r="G4072" s="490"/>
      <c r="H4072" s="520"/>
      <c r="I4072" s="523"/>
      <c r="J4072" s="521"/>
      <c r="K4072" s="522"/>
      <c r="M4072" s="301" t="str">
        <f>N4072&amp;AS[[#This Row],[Insurer Code]]&amp;"; "&amp;O4072&amp;AS[[#This Row],[Reporting Year]]&amp;"; "&amp;P4072&amp;AS[[#This Row],[Insurance Category Code]]&amp;"; "&amp;Q4072&amp;AS[[#This Row],[Large Provider Entity Code]]&amp;"; "&amp;R4072&amp;AS[[#This Row],[Age Band Code]]&amp;"; "&amp;S4072&amp;AS[[#This Row],[Sex Code]]</f>
        <v xml:space="preserve">Insurer Code ; Reporting Year ; Insurance Category Code ; Large Provider Entity Code ; Age Band Code ; Sex Code </v>
      </c>
      <c r="N4072" s="297" t="s">
        <v>197</v>
      </c>
      <c r="O4072" s="297" t="s">
        <v>198</v>
      </c>
      <c r="P4072" s="297" t="s">
        <v>199</v>
      </c>
      <c r="Q4072" s="297" t="s">
        <v>200</v>
      </c>
      <c r="R4072" s="297" t="s">
        <v>213</v>
      </c>
      <c r="S4072" s="297" t="s">
        <v>214</v>
      </c>
    </row>
    <row r="4073" spans="1:19" x14ac:dyDescent="0.4">
      <c r="A4073" s="291"/>
      <c r="B4073" s="292"/>
      <c r="C4073" s="312"/>
      <c r="D4073" s="292"/>
      <c r="E4073" s="489"/>
      <c r="F4073" s="489"/>
      <c r="G4073" s="490"/>
      <c r="H4073" s="520"/>
      <c r="I4073" s="523"/>
      <c r="J4073" s="521"/>
      <c r="K4073" s="522"/>
      <c r="M4073" s="301" t="str">
        <f>N4073&amp;AS[[#This Row],[Insurer Code]]&amp;"; "&amp;O4073&amp;AS[[#This Row],[Reporting Year]]&amp;"; "&amp;P4073&amp;AS[[#This Row],[Insurance Category Code]]&amp;"; "&amp;Q4073&amp;AS[[#This Row],[Large Provider Entity Code]]&amp;"; "&amp;R4073&amp;AS[[#This Row],[Age Band Code]]&amp;"; "&amp;S4073&amp;AS[[#This Row],[Sex Code]]</f>
        <v xml:space="preserve">Insurer Code ; Reporting Year ; Insurance Category Code ; Large Provider Entity Code ; Age Band Code ; Sex Code </v>
      </c>
      <c r="N4073" s="297" t="s">
        <v>197</v>
      </c>
      <c r="O4073" s="297" t="s">
        <v>198</v>
      </c>
      <c r="P4073" s="297" t="s">
        <v>199</v>
      </c>
      <c r="Q4073" s="297" t="s">
        <v>200</v>
      </c>
      <c r="R4073" s="297" t="s">
        <v>213</v>
      </c>
      <c r="S4073" s="297" t="s">
        <v>214</v>
      </c>
    </row>
    <row r="4074" spans="1:19" x14ac:dyDescent="0.4">
      <c r="A4074" s="291"/>
      <c r="B4074" s="292"/>
      <c r="C4074" s="312"/>
      <c r="D4074" s="292"/>
      <c r="E4074" s="489"/>
      <c r="F4074" s="489"/>
      <c r="G4074" s="490"/>
      <c r="H4074" s="520"/>
      <c r="I4074" s="523"/>
      <c r="J4074" s="521"/>
      <c r="K4074" s="522"/>
      <c r="M4074" s="301" t="str">
        <f>N4074&amp;AS[[#This Row],[Insurer Code]]&amp;"; "&amp;O4074&amp;AS[[#This Row],[Reporting Year]]&amp;"; "&amp;P4074&amp;AS[[#This Row],[Insurance Category Code]]&amp;"; "&amp;Q4074&amp;AS[[#This Row],[Large Provider Entity Code]]&amp;"; "&amp;R4074&amp;AS[[#This Row],[Age Band Code]]&amp;"; "&amp;S4074&amp;AS[[#This Row],[Sex Code]]</f>
        <v xml:space="preserve">Insurer Code ; Reporting Year ; Insurance Category Code ; Large Provider Entity Code ; Age Band Code ; Sex Code </v>
      </c>
      <c r="N4074" s="297" t="s">
        <v>197</v>
      </c>
      <c r="O4074" s="297" t="s">
        <v>198</v>
      </c>
      <c r="P4074" s="297" t="s">
        <v>199</v>
      </c>
      <c r="Q4074" s="297" t="s">
        <v>200</v>
      </c>
      <c r="R4074" s="297" t="s">
        <v>213</v>
      </c>
      <c r="S4074" s="297" t="s">
        <v>214</v>
      </c>
    </row>
    <row r="4075" spans="1:19" x14ac:dyDescent="0.4">
      <c r="A4075" s="291"/>
      <c r="B4075" s="292"/>
      <c r="C4075" s="312"/>
      <c r="D4075" s="292"/>
      <c r="E4075" s="489"/>
      <c r="F4075" s="489"/>
      <c r="G4075" s="490"/>
      <c r="H4075" s="520"/>
      <c r="I4075" s="523"/>
      <c r="J4075" s="521"/>
      <c r="K4075" s="522"/>
      <c r="M4075" s="301" t="str">
        <f>N4075&amp;AS[[#This Row],[Insurer Code]]&amp;"; "&amp;O4075&amp;AS[[#This Row],[Reporting Year]]&amp;"; "&amp;P4075&amp;AS[[#This Row],[Insurance Category Code]]&amp;"; "&amp;Q4075&amp;AS[[#This Row],[Large Provider Entity Code]]&amp;"; "&amp;R4075&amp;AS[[#This Row],[Age Band Code]]&amp;"; "&amp;S4075&amp;AS[[#This Row],[Sex Code]]</f>
        <v xml:space="preserve">Insurer Code ; Reporting Year ; Insurance Category Code ; Large Provider Entity Code ; Age Band Code ; Sex Code </v>
      </c>
      <c r="N4075" s="297" t="s">
        <v>197</v>
      </c>
      <c r="O4075" s="297" t="s">
        <v>198</v>
      </c>
      <c r="P4075" s="297" t="s">
        <v>199</v>
      </c>
      <c r="Q4075" s="297" t="s">
        <v>200</v>
      </c>
      <c r="R4075" s="297" t="s">
        <v>213</v>
      </c>
      <c r="S4075" s="297" t="s">
        <v>214</v>
      </c>
    </row>
    <row r="4076" spans="1:19" x14ac:dyDescent="0.4">
      <c r="A4076" s="291"/>
      <c r="B4076" s="292"/>
      <c r="C4076" s="312"/>
      <c r="D4076" s="292"/>
      <c r="E4076" s="489"/>
      <c r="F4076" s="489"/>
      <c r="G4076" s="490"/>
      <c r="H4076" s="520"/>
      <c r="I4076" s="523"/>
      <c r="J4076" s="521"/>
      <c r="K4076" s="522"/>
      <c r="M4076" s="301" t="str">
        <f>N4076&amp;AS[[#This Row],[Insurer Code]]&amp;"; "&amp;O4076&amp;AS[[#This Row],[Reporting Year]]&amp;"; "&amp;P4076&amp;AS[[#This Row],[Insurance Category Code]]&amp;"; "&amp;Q4076&amp;AS[[#This Row],[Large Provider Entity Code]]&amp;"; "&amp;R4076&amp;AS[[#This Row],[Age Band Code]]&amp;"; "&amp;S4076&amp;AS[[#This Row],[Sex Code]]</f>
        <v xml:space="preserve">Insurer Code ; Reporting Year ; Insurance Category Code ; Large Provider Entity Code ; Age Band Code ; Sex Code </v>
      </c>
      <c r="N4076" s="297" t="s">
        <v>197</v>
      </c>
      <c r="O4076" s="297" t="s">
        <v>198</v>
      </c>
      <c r="P4076" s="297" t="s">
        <v>199</v>
      </c>
      <c r="Q4076" s="297" t="s">
        <v>200</v>
      </c>
      <c r="R4076" s="297" t="s">
        <v>213</v>
      </c>
      <c r="S4076" s="297" t="s">
        <v>214</v>
      </c>
    </row>
    <row r="4077" spans="1:19" x14ac:dyDescent="0.4">
      <c r="A4077" s="291"/>
      <c r="B4077" s="292"/>
      <c r="C4077" s="312"/>
      <c r="D4077" s="292"/>
      <c r="E4077" s="489"/>
      <c r="F4077" s="489"/>
      <c r="G4077" s="490"/>
      <c r="H4077" s="520"/>
      <c r="I4077" s="523"/>
      <c r="J4077" s="521"/>
      <c r="K4077" s="522"/>
      <c r="M4077" s="301" t="str">
        <f>N4077&amp;AS[[#This Row],[Insurer Code]]&amp;"; "&amp;O4077&amp;AS[[#This Row],[Reporting Year]]&amp;"; "&amp;P4077&amp;AS[[#This Row],[Insurance Category Code]]&amp;"; "&amp;Q4077&amp;AS[[#This Row],[Large Provider Entity Code]]&amp;"; "&amp;R4077&amp;AS[[#This Row],[Age Band Code]]&amp;"; "&amp;S4077&amp;AS[[#This Row],[Sex Code]]</f>
        <v xml:space="preserve">Insurer Code ; Reporting Year ; Insurance Category Code ; Large Provider Entity Code ; Age Band Code ; Sex Code </v>
      </c>
      <c r="N4077" s="297" t="s">
        <v>197</v>
      </c>
      <c r="O4077" s="297" t="s">
        <v>198</v>
      </c>
      <c r="P4077" s="297" t="s">
        <v>199</v>
      </c>
      <c r="Q4077" s="297" t="s">
        <v>200</v>
      </c>
      <c r="R4077" s="297" t="s">
        <v>213</v>
      </c>
      <c r="S4077" s="297" t="s">
        <v>214</v>
      </c>
    </row>
    <row r="4078" spans="1:19" x14ac:dyDescent="0.4">
      <c r="A4078" s="291"/>
      <c r="B4078" s="292"/>
      <c r="C4078" s="312"/>
      <c r="D4078" s="292"/>
      <c r="E4078" s="489"/>
      <c r="F4078" s="489"/>
      <c r="G4078" s="490"/>
      <c r="H4078" s="520"/>
      <c r="I4078" s="523"/>
      <c r="J4078" s="521"/>
      <c r="K4078" s="522"/>
      <c r="M4078" s="301" t="str">
        <f>N4078&amp;AS[[#This Row],[Insurer Code]]&amp;"; "&amp;O4078&amp;AS[[#This Row],[Reporting Year]]&amp;"; "&amp;P4078&amp;AS[[#This Row],[Insurance Category Code]]&amp;"; "&amp;Q4078&amp;AS[[#This Row],[Large Provider Entity Code]]&amp;"; "&amp;R4078&amp;AS[[#This Row],[Age Band Code]]&amp;"; "&amp;S4078&amp;AS[[#This Row],[Sex Code]]</f>
        <v xml:space="preserve">Insurer Code ; Reporting Year ; Insurance Category Code ; Large Provider Entity Code ; Age Band Code ; Sex Code </v>
      </c>
      <c r="N4078" s="297" t="s">
        <v>197</v>
      </c>
      <c r="O4078" s="297" t="s">
        <v>198</v>
      </c>
      <c r="P4078" s="297" t="s">
        <v>199</v>
      </c>
      <c r="Q4078" s="297" t="s">
        <v>200</v>
      </c>
      <c r="R4078" s="297" t="s">
        <v>213</v>
      </c>
      <c r="S4078" s="297" t="s">
        <v>214</v>
      </c>
    </row>
    <row r="4079" spans="1:19" x14ac:dyDescent="0.4">
      <c r="A4079" s="291"/>
      <c r="B4079" s="292"/>
      <c r="C4079" s="312"/>
      <c r="D4079" s="292"/>
      <c r="E4079" s="489"/>
      <c r="F4079" s="489"/>
      <c r="G4079" s="490"/>
      <c r="H4079" s="520"/>
      <c r="I4079" s="523"/>
      <c r="J4079" s="521"/>
      <c r="K4079" s="522"/>
      <c r="M4079" s="301" t="str">
        <f>N4079&amp;AS[[#This Row],[Insurer Code]]&amp;"; "&amp;O4079&amp;AS[[#This Row],[Reporting Year]]&amp;"; "&amp;P4079&amp;AS[[#This Row],[Insurance Category Code]]&amp;"; "&amp;Q4079&amp;AS[[#This Row],[Large Provider Entity Code]]&amp;"; "&amp;R4079&amp;AS[[#This Row],[Age Band Code]]&amp;"; "&amp;S4079&amp;AS[[#This Row],[Sex Code]]</f>
        <v xml:space="preserve">Insurer Code ; Reporting Year ; Insurance Category Code ; Large Provider Entity Code ; Age Band Code ; Sex Code </v>
      </c>
      <c r="N4079" s="297" t="s">
        <v>197</v>
      </c>
      <c r="O4079" s="297" t="s">
        <v>198</v>
      </c>
      <c r="P4079" s="297" t="s">
        <v>199</v>
      </c>
      <c r="Q4079" s="297" t="s">
        <v>200</v>
      </c>
      <c r="R4079" s="297" t="s">
        <v>213</v>
      </c>
      <c r="S4079" s="297" t="s">
        <v>214</v>
      </c>
    </row>
    <row r="4080" spans="1:19" x14ac:dyDescent="0.4">
      <c r="A4080" s="291"/>
      <c r="B4080" s="292"/>
      <c r="C4080" s="312"/>
      <c r="D4080" s="292"/>
      <c r="E4080" s="489"/>
      <c r="F4080" s="489"/>
      <c r="G4080" s="490"/>
      <c r="H4080" s="520"/>
      <c r="I4080" s="523"/>
      <c r="J4080" s="521"/>
      <c r="K4080" s="522"/>
      <c r="M4080" s="301" t="str">
        <f>N4080&amp;AS[[#This Row],[Insurer Code]]&amp;"; "&amp;O4080&amp;AS[[#This Row],[Reporting Year]]&amp;"; "&amp;P4080&amp;AS[[#This Row],[Insurance Category Code]]&amp;"; "&amp;Q4080&amp;AS[[#This Row],[Large Provider Entity Code]]&amp;"; "&amp;R4080&amp;AS[[#This Row],[Age Band Code]]&amp;"; "&amp;S4080&amp;AS[[#This Row],[Sex Code]]</f>
        <v xml:space="preserve">Insurer Code ; Reporting Year ; Insurance Category Code ; Large Provider Entity Code ; Age Band Code ; Sex Code </v>
      </c>
      <c r="N4080" s="297" t="s">
        <v>197</v>
      </c>
      <c r="O4080" s="297" t="s">
        <v>198</v>
      </c>
      <c r="P4080" s="297" t="s">
        <v>199</v>
      </c>
      <c r="Q4080" s="297" t="s">
        <v>200</v>
      </c>
      <c r="R4080" s="297" t="s">
        <v>213</v>
      </c>
      <c r="S4080" s="297" t="s">
        <v>214</v>
      </c>
    </row>
    <row r="4081" spans="1:19" x14ac:dyDescent="0.4">
      <c r="A4081" s="291"/>
      <c r="B4081" s="292"/>
      <c r="C4081" s="312"/>
      <c r="D4081" s="292"/>
      <c r="E4081" s="489"/>
      <c r="F4081" s="489"/>
      <c r="G4081" s="490"/>
      <c r="H4081" s="520"/>
      <c r="I4081" s="523"/>
      <c r="J4081" s="521"/>
      <c r="K4081" s="522"/>
      <c r="M4081" s="301" t="str">
        <f>N4081&amp;AS[[#This Row],[Insurer Code]]&amp;"; "&amp;O4081&amp;AS[[#This Row],[Reporting Year]]&amp;"; "&amp;P4081&amp;AS[[#This Row],[Insurance Category Code]]&amp;"; "&amp;Q4081&amp;AS[[#This Row],[Large Provider Entity Code]]&amp;"; "&amp;R4081&amp;AS[[#This Row],[Age Band Code]]&amp;"; "&amp;S4081&amp;AS[[#This Row],[Sex Code]]</f>
        <v xml:space="preserve">Insurer Code ; Reporting Year ; Insurance Category Code ; Large Provider Entity Code ; Age Band Code ; Sex Code </v>
      </c>
      <c r="N4081" s="297" t="s">
        <v>197</v>
      </c>
      <c r="O4081" s="297" t="s">
        <v>198</v>
      </c>
      <c r="P4081" s="297" t="s">
        <v>199</v>
      </c>
      <c r="Q4081" s="297" t="s">
        <v>200</v>
      </c>
      <c r="R4081" s="297" t="s">
        <v>213</v>
      </c>
      <c r="S4081" s="297" t="s">
        <v>214</v>
      </c>
    </row>
    <row r="4082" spans="1:19" x14ac:dyDescent="0.4">
      <c r="A4082" s="291"/>
      <c r="B4082" s="292"/>
      <c r="C4082" s="312"/>
      <c r="D4082" s="292"/>
      <c r="E4082" s="489"/>
      <c r="F4082" s="489"/>
      <c r="G4082" s="490"/>
      <c r="H4082" s="520"/>
      <c r="I4082" s="523"/>
      <c r="J4082" s="521"/>
      <c r="K4082" s="522"/>
      <c r="M4082" s="301" t="str">
        <f>N4082&amp;AS[[#This Row],[Insurer Code]]&amp;"; "&amp;O4082&amp;AS[[#This Row],[Reporting Year]]&amp;"; "&amp;P4082&amp;AS[[#This Row],[Insurance Category Code]]&amp;"; "&amp;Q4082&amp;AS[[#This Row],[Large Provider Entity Code]]&amp;"; "&amp;R4082&amp;AS[[#This Row],[Age Band Code]]&amp;"; "&amp;S4082&amp;AS[[#This Row],[Sex Code]]</f>
        <v xml:space="preserve">Insurer Code ; Reporting Year ; Insurance Category Code ; Large Provider Entity Code ; Age Band Code ; Sex Code </v>
      </c>
      <c r="N4082" s="297" t="s">
        <v>197</v>
      </c>
      <c r="O4082" s="297" t="s">
        <v>198</v>
      </c>
      <c r="P4082" s="297" t="s">
        <v>199</v>
      </c>
      <c r="Q4082" s="297" t="s">
        <v>200</v>
      </c>
      <c r="R4082" s="297" t="s">
        <v>213</v>
      </c>
      <c r="S4082" s="297" t="s">
        <v>214</v>
      </c>
    </row>
    <row r="4083" spans="1:19" x14ac:dyDescent="0.4">
      <c r="A4083" s="291"/>
      <c r="B4083" s="292"/>
      <c r="C4083" s="312"/>
      <c r="D4083" s="292"/>
      <c r="E4083" s="489"/>
      <c r="F4083" s="489"/>
      <c r="G4083" s="490"/>
      <c r="H4083" s="520"/>
      <c r="I4083" s="523"/>
      <c r="J4083" s="521"/>
      <c r="K4083" s="522"/>
      <c r="M4083" s="301" t="str">
        <f>N4083&amp;AS[[#This Row],[Insurer Code]]&amp;"; "&amp;O4083&amp;AS[[#This Row],[Reporting Year]]&amp;"; "&amp;P4083&amp;AS[[#This Row],[Insurance Category Code]]&amp;"; "&amp;Q4083&amp;AS[[#This Row],[Large Provider Entity Code]]&amp;"; "&amp;R4083&amp;AS[[#This Row],[Age Band Code]]&amp;"; "&amp;S4083&amp;AS[[#This Row],[Sex Code]]</f>
        <v xml:space="preserve">Insurer Code ; Reporting Year ; Insurance Category Code ; Large Provider Entity Code ; Age Band Code ; Sex Code </v>
      </c>
      <c r="N4083" s="297" t="s">
        <v>197</v>
      </c>
      <c r="O4083" s="297" t="s">
        <v>198</v>
      </c>
      <c r="P4083" s="297" t="s">
        <v>199</v>
      </c>
      <c r="Q4083" s="297" t="s">
        <v>200</v>
      </c>
      <c r="R4083" s="297" t="s">
        <v>213</v>
      </c>
      <c r="S4083" s="297" t="s">
        <v>214</v>
      </c>
    </row>
    <row r="4084" spans="1:19" x14ac:dyDescent="0.4">
      <c r="A4084" s="291"/>
      <c r="B4084" s="292"/>
      <c r="C4084" s="312"/>
      <c r="D4084" s="292"/>
      <c r="E4084" s="489"/>
      <c r="F4084" s="489"/>
      <c r="G4084" s="490"/>
      <c r="H4084" s="520"/>
      <c r="I4084" s="523"/>
      <c r="J4084" s="521"/>
      <c r="K4084" s="522"/>
      <c r="M4084" s="301" t="str">
        <f>N4084&amp;AS[[#This Row],[Insurer Code]]&amp;"; "&amp;O4084&amp;AS[[#This Row],[Reporting Year]]&amp;"; "&amp;P4084&amp;AS[[#This Row],[Insurance Category Code]]&amp;"; "&amp;Q4084&amp;AS[[#This Row],[Large Provider Entity Code]]&amp;"; "&amp;R4084&amp;AS[[#This Row],[Age Band Code]]&amp;"; "&amp;S4084&amp;AS[[#This Row],[Sex Code]]</f>
        <v xml:space="preserve">Insurer Code ; Reporting Year ; Insurance Category Code ; Large Provider Entity Code ; Age Band Code ; Sex Code </v>
      </c>
      <c r="N4084" s="297" t="s">
        <v>197</v>
      </c>
      <c r="O4084" s="297" t="s">
        <v>198</v>
      </c>
      <c r="P4084" s="297" t="s">
        <v>199</v>
      </c>
      <c r="Q4084" s="297" t="s">
        <v>200</v>
      </c>
      <c r="R4084" s="297" t="s">
        <v>213</v>
      </c>
      <c r="S4084" s="297" t="s">
        <v>214</v>
      </c>
    </row>
    <row r="4085" spans="1:19" x14ac:dyDescent="0.4">
      <c r="A4085" s="291"/>
      <c r="B4085" s="292"/>
      <c r="C4085" s="312"/>
      <c r="D4085" s="292"/>
      <c r="E4085" s="489"/>
      <c r="F4085" s="489"/>
      <c r="G4085" s="490"/>
      <c r="H4085" s="520"/>
      <c r="I4085" s="523"/>
      <c r="J4085" s="521"/>
      <c r="K4085" s="522"/>
      <c r="M4085" s="301" t="str">
        <f>N4085&amp;AS[[#This Row],[Insurer Code]]&amp;"; "&amp;O4085&amp;AS[[#This Row],[Reporting Year]]&amp;"; "&amp;P4085&amp;AS[[#This Row],[Insurance Category Code]]&amp;"; "&amp;Q4085&amp;AS[[#This Row],[Large Provider Entity Code]]&amp;"; "&amp;R4085&amp;AS[[#This Row],[Age Band Code]]&amp;"; "&amp;S4085&amp;AS[[#This Row],[Sex Code]]</f>
        <v xml:space="preserve">Insurer Code ; Reporting Year ; Insurance Category Code ; Large Provider Entity Code ; Age Band Code ; Sex Code </v>
      </c>
      <c r="N4085" s="297" t="s">
        <v>197</v>
      </c>
      <c r="O4085" s="297" t="s">
        <v>198</v>
      </c>
      <c r="P4085" s="297" t="s">
        <v>199</v>
      </c>
      <c r="Q4085" s="297" t="s">
        <v>200</v>
      </c>
      <c r="R4085" s="297" t="s">
        <v>213</v>
      </c>
      <c r="S4085" s="297" t="s">
        <v>214</v>
      </c>
    </row>
    <row r="4086" spans="1:19" x14ac:dyDescent="0.4">
      <c r="A4086" s="291"/>
      <c r="B4086" s="292"/>
      <c r="C4086" s="312"/>
      <c r="D4086" s="292"/>
      <c r="E4086" s="489"/>
      <c r="F4086" s="489"/>
      <c r="G4086" s="490"/>
      <c r="H4086" s="520"/>
      <c r="I4086" s="523"/>
      <c r="J4086" s="521"/>
      <c r="K4086" s="522"/>
      <c r="M4086" s="301" t="str">
        <f>N4086&amp;AS[[#This Row],[Insurer Code]]&amp;"; "&amp;O4086&amp;AS[[#This Row],[Reporting Year]]&amp;"; "&amp;P4086&amp;AS[[#This Row],[Insurance Category Code]]&amp;"; "&amp;Q4086&amp;AS[[#This Row],[Large Provider Entity Code]]&amp;"; "&amp;R4086&amp;AS[[#This Row],[Age Band Code]]&amp;"; "&amp;S4086&amp;AS[[#This Row],[Sex Code]]</f>
        <v xml:space="preserve">Insurer Code ; Reporting Year ; Insurance Category Code ; Large Provider Entity Code ; Age Band Code ; Sex Code </v>
      </c>
      <c r="N4086" s="297" t="s">
        <v>197</v>
      </c>
      <c r="O4086" s="297" t="s">
        <v>198</v>
      </c>
      <c r="P4086" s="297" t="s">
        <v>199</v>
      </c>
      <c r="Q4086" s="297" t="s">
        <v>200</v>
      </c>
      <c r="R4086" s="297" t="s">
        <v>213</v>
      </c>
      <c r="S4086" s="297" t="s">
        <v>214</v>
      </c>
    </row>
    <row r="4087" spans="1:19" x14ac:dyDescent="0.4">
      <c r="A4087" s="291"/>
      <c r="B4087" s="292"/>
      <c r="C4087" s="312"/>
      <c r="D4087" s="292"/>
      <c r="E4087" s="489"/>
      <c r="F4087" s="489"/>
      <c r="G4087" s="490"/>
      <c r="H4087" s="520"/>
      <c r="I4087" s="523"/>
      <c r="J4087" s="521"/>
      <c r="K4087" s="522"/>
      <c r="M4087" s="301" t="str">
        <f>N4087&amp;AS[[#This Row],[Insurer Code]]&amp;"; "&amp;O4087&amp;AS[[#This Row],[Reporting Year]]&amp;"; "&amp;P4087&amp;AS[[#This Row],[Insurance Category Code]]&amp;"; "&amp;Q4087&amp;AS[[#This Row],[Large Provider Entity Code]]&amp;"; "&amp;R4087&amp;AS[[#This Row],[Age Band Code]]&amp;"; "&amp;S4087&amp;AS[[#This Row],[Sex Code]]</f>
        <v xml:space="preserve">Insurer Code ; Reporting Year ; Insurance Category Code ; Large Provider Entity Code ; Age Band Code ; Sex Code </v>
      </c>
      <c r="N4087" s="297" t="s">
        <v>197</v>
      </c>
      <c r="O4087" s="297" t="s">
        <v>198</v>
      </c>
      <c r="P4087" s="297" t="s">
        <v>199</v>
      </c>
      <c r="Q4087" s="297" t="s">
        <v>200</v>
      </c>
      <c r="R4087" s="297" t="s">
        <v>213</v>
      </c>
      <c r="S4087" s="297" t="s">
        <v>214</v>
      </c>
    </row>
    <row r="4088" spans="1:19" x14ac:dyDescent="0.4">
      <c r="A4088" s="291"/>
      <c r="B4088" s="292"/>
      <c r="C4088" s="312"/>
      <c r="D4088" s="292"/>
      <c r="E4088" s="489"/>
      <c r="F4088" s="489"/>
      <c r="G4088" s="490"/>
      <c r="H4088" s="520"/>
      <c r="I4088" s="523"/>
      <c r="J4088" s="521"/>
      <c r="K4088" s="522"/>
      <c r="M4088" s="301" t="str">
        <f>N4088&amp;AS[[#This Row],[Insurer Code]]&amp;"; "&amp;O4088&amp;AS[[#This Row],[Reporting Year]]&amp;"; "&amp;P4088&amp;AS[[#This Row],[Insurance Category Code]]&amp;"; "&amp;Q4088&amp;AS[[#This Row],[Large Provider Entity Code]]&amp;"; "&amp;R4088&amp;AS[[#This Row],[Age Band Code]]&amp;"; "&amp;S4088&amp;AS[[#This Row],[Sex Code]]</f>
        <v xml:space="preserve">Insurer Code ; Reporting Year ; Insurance Category Code ; Large Provider Entity Code ; Age Band Code ; Sex Code </v>
      </c>
      <c r="N4088" s="297" t="s">
        <v>197</v>
      </c>
      <c r="O4088" s="297" t="s">
        <v>198</v>
      </c>
      <c r="P4088" s="297" t="s">
        <v>199</v>
      </c>
      <c r="Q4088" s="297" t="s">
        <v>200</v>
      </c>
      <c r="R4088" s="297" t="s">
        <v>213</v>
      </c>
      <c r="S4088" s="297" t="s">
        <v>214</v>
      </c>
    </row>
    <row r="4089" spans="1:19" x14ac:dyDescent="0.4">
      <c r="A4089" s="291"/>
      <c r="B4089" s="292"/>
      <c r="C4089" s="312"/>
      <c r="D4089" s="292"/>
      <c r="E4089" s="489"/>
      <c r="F4089" s="489"/>
      <c r="G4089" s="490"/>
      <c r="H4089" s="520"/>
      <c r="I4089" s="523"/>
      <c r="J4089" s="521"/>
      <c r="K4089" s="522"/>
      <c r="M4089" s="301" t="str">
        <f>N4089&amp;AS[[#This Row],[Insurer Code]]&amp;"; "&amp;O4089&amp;AS[[#This Row],[Reporting Year]]&amp;"; "&amp;P4089&amp;AS[[#This Row],[Insurance Category Code]]&amp;"; "&amp;Q4089&amp;AS[[#This Row],[Large Provider Entity Code]]&amp;"; "&amp;R4089&amp;AS[[#This Row],[Age Band Code]]&amp;"; "&amp;S4089&amp;AS[[#This Row],[Sex Code]]</f>
        <v xml:space="preserve">Insurer Code ; Reporting Year ; Insurance Category Code ; Large Provider Entity Code ; Age Band Code ; Sex Code </v>
      </c>
      <c r="N4089" s="297" t="s">
        <v>197</v>
      </c>
      <c r="O4089" s="297" t="s">
        <v>198</v>
      </c>
      <c r="P4089" s="297" t="s">
        <v>199</v>
      </c>
      <c r="Q4089" s="297" t="s">
        <v>200</v>
      </c>
      <c r="R4089" s="297" t="s">
        <v>213</v>
      </c>
      <c r="S4089" s="297" t="s">
        <v>214</v>
      </c>
    </row>
    <row r="4090" spans="1:19" x14ac:dyDescent="0.4">
      <c r="A4090" s="291"/>
      <c r="B4090" s="292"/>
      <c r="C4090" s="312"/>
      <c r="D4090" s="292"/>
      <c r="E4090" s="489"/>
      <c r="F4090" s="489"/>
      <c r="G4090" s="490"/>
      <c r="H4090" s="520"/>
      <c r="I4090" s="523"/>
      <c r="J4090" s="521"/>
      <c r="K4090" s="522"/>
      <c r="M4090" s="301" t="str">
        <f>N4090&amp;AS[[#This Row],[Insurer Code]]&amp;"; "&amp;O4090&amp;AS[[#This Row],[Reporting Year]]&amp;"; "&amp;P4090&amp;AS[[#This Row],[Insurance Category Code]]&amp;"; "&amp;Q4090&amp;AS[[#This Row],[Large Provider Entity Code]]&amp;"; "&amp;R4090&amp;AS[[#This Row],[Age Band Code]]&amp;"; "&amp;S4090&amp;AS[[#This Row],[Sex Code]]</f>
        <v xml:space="preserve">Insurer Code ; Reporting Year ; Insurance Category Code ; Large Provider Entity Code ; Age Band Code ; Sex Code </v>
      </c>
      <c r="N4090" s="297" t="s">
        <v>197</v>
      </c>
      <c r="O4090" s="297" t="s">
        <v>198</v>
      </c>
      <c r="P4090" s="297" t="s">
        <v>199</v>
      </c>
      <c r="Q4090" s="297" t="s">
        <v>200</v>
      </c>
      <c r="R4090" s="297" t="s">
        <v>213</v>
      </c>
      <c r="S4090" s="297" t="s">
        <v>214</v>
      </c>
    </row>
    <row r="4091" spans="1:19" x14ac:dyDescent="0.4">
      <c r="A4091" s="291"/>
      <c r="B4091" s="292"/>
      <c r="C4091" s="312"/>
      <c r="D4091" s="292"/>
      <c r="E4091" s="489"/>
      <c r="F4091" s="489"/>
      <c r="G4091" s="490"/>
      <c r="H4091" s="520"/>
      <c r="I4091" s="523"/>
      <c r="J4091" s="521"/>
      <c r="K4091" s="522"/>
      <c r="M4091" s="301" t="str">
        <f>N4091&amp;AS[[#This Row],[Insurer Code]]&amp;"; "&amp;O4091&amp;AS[[#This Row],[Reporting Year]]&amp;"; "&amp;P4091&amp;AS[[#This Row],[Insurance Category Code]]&amp;"; "&amp;Q4091&amp;AS[[#This Row],[Large Provider Entity Code]]&amp;"; "&amp;R4091&amp;AS[[#This Row],[Age Band Code]]&amp;"; "&amp;S4091&amp;AS[[#This Row],[Sex Code]]</f>
        <v xml:space="preserve">Insurer Code ; Reporting Year ; Insurance Category Code ; Large Provider Entity Code ; Age Band Code ; Sex Code </v>
      </c>
      <c r="N4091" s="297" t="s">
        <v>197</v>
      </c>
      <c r="O4091" s="297" t="s">
        <v>198</v>
      </c>
      <c r="P4091" s="297" t="s">
        <v>199</v>
      </c>
      <c r="Q4091" s="297" t="s">
        <v>200</v>
      </c>
      <c r="R4091" s="297" t="s">
        <v>213</v>
      </c>
      <c r="S4091" s="297" t="s">
        <v>214</v>
      </c>
    </row>
    <row r="4092" spans="1:19" x14ac:dyDescent="0.4">
      <c r="A4092" s="291"/>
      <c r="B4092" s="292"/>
      <c r="C4092" s="312"/>
      <c r="D4092" s="292"/>
      <c r="E4092" s="489"/>
      <c r="F4092" s="489"/>
      <c r="G4092" s="490"/>
      <c r="H4092" s="520"/>
      <c r="I4092" s="523"/>
      <c r="J4092" s="521"/>
      <c r="K4092" s="522"/>
      <c r="M4092" s="301" t="str">
        <f>N4092&amp;AS[[#This Row],[Insurer Code]]&amp;"; "&amp;O4092&amp;AS[[#This Row],[Reporting Year]]&amp;"; "&amp;P4092&amp;AS[[#This Row],[Insurance Category Code]]&amp;"; "&amp;Q4092&amp;AS[[#This Row],[Large Provider Entity Code]]&amp;"; "&amp;R4092&amp;AS[[#This Row],[Age Band Code]]&amp;"; "&amp;S4092&amp;AS[[#This Row],[Sex Code]]</f>
        <v xml:space="preserve">Insurer Code ; Reporting Year ; Insurance Category Code ; Large Provider Entity Code ; Age Band Code ; Sex Code </v>
      </c>
      <c r="N4092" s="297" t="s">
        <v>197</v>
      </c>
      <c r="O4092" s="297" t="s">
        <v>198</v>
      </c>
      <c r="P4092" s="297" t="s">
        <v>199</v>
      </c>
      <c r="Q4092" s="297" t="s">
        <v>200</v>
      </c>
      <c r="R4092" s="297" t="s">
        <v>213</v>
      </c>
      <c r="S4092" s="297" t="s">
        <v>214</v>
      </c>
    </row>
    <row r="4093" spans="1:19" x14ac:dyDescent="0.4">
      <c r="A4093" s="291"/>
      <c r="B4093" s="292"/>
      <c r="C4093" s="312"/>
      <c r="D4093" s="292"/>
      <c r="E4093" s="489"/>
      <c r="F4093" s="489"/>
      <c r="G4093" s="490"/>
      <c r="H4093" s="520"/>
      <c r="I4093" s="523"/>
      <c r="J4093" s="521"/>
      <c r="K4093" s="522"/>
      <c r="M4093" s="301" t="str">
        <f>N4093&amp;AS[[#This Row],[Insurer Code]]&amp;"; "&amp;O4093&amp;AS[[#This Row],[Reporting Year]]&amp;"; "&amp;P4093&amp;AS[[#This Row],[Insurance Category Code]]&amp;"; "&amp;Q4093&amp;AS[[#This Row],[Large Provider Entity Code]]&amp;"; "&amp;R4093&amp;AS[[#This Row],[Age Band Code]]&amp;"; "&amp;S4093&amp;AS[[#This Row],[Sex Code]]</f>
        <v xml:space="preserve">Insurer Code ; Reporting Year ; Insurance Category Code ; Large Provider Entity Code ; Age Band Code ; Sex Code </v>
      </c>
      <c r="N4093" s="297" t="s">
        <v>197</v>
      </c>
      <c r="O4093" s="297" t="s">
        <v>198</v>
      </c>
      <c r="P4093" s="297" t="s">
        <v>199</v>
      </c>
      <c r="Q4093" s="297" t="s">
        <v>200</v>
      </c>
      <c r="R4093" s="297" t="s">
        <v>213</v>
      </c>
      <c r="S4093" s="297" t="s">
        <v>214</v>
      </c>
    </row>
    <row r="4094" spans="1:19" x14ac:dyDescent="0.4">
      <c r="A4094" s="291"/>
      <c r="B4094" s="292"/>
      <c r="C4094" s="312"/>
      <c r="D4094" s="292"/>
      <c r="E4094" s="489"/>
      <c r="F4094" s="489"/>
      <c r="G4094" s="490"/>
      <c r="H4094" s="520"/>
      <c r="I4094" s="523"/>
      <c r="J4094" s="521"/>
      <c r="K4094" s="522"/>
      <c r="M4094" s="301" t="str">
        <f>N4094&amp;AS[[#This Row],[Insurer Code]]&amp;"; "&amp;O4094&amp;AS[[#This Row],[Reporting Year]]&amp;"; "&amp;P4094&amp;AS[[#This Row],[Insurance Category Code]]&amp;"; "&amp;Q4094&amp;AS[[#This Row],[Large Provider Entity Code]]&amp;"; "&amp;R4094&amp;AS[[#This Row],[Age Band Code]]&amp;"; "&amp;S4094&amp;AS[[#This Row],[Sex Code]]</f>
        <v xml:space="preserve">Insurer Code ; Reporting Year ; Insurance Category Code ; Large Provider Entity Code ; Age Band Code ; Sex Code </v>
      </c>
      <c r="N4094" s="297" t="s">
        <v>197</v>
      </c>
      <c r="O4094" s="297" t="s">
        <v>198</v>
      </c>
      <c r="P4094" s="297" t="s">
        <v>199</v>
      </c>
      <c r="Q4094" s="297" t="s">
        <v>200</v>
      </c>
      <c r="R4094" s="297" t="s">
        <v>213</v>
      </c>
      <c r="S4094" s="297" t="s">
        <v>214</v>
      </c>
    </row>
    <row r="4095" spans="1:19" x14ac:dyDescent="0.4">
      <c r="A4095" s="291"/>
      <c r="B4095" s="292"/>
      <c r="C4095" s="312"/>
      <c r="D4095" s="292"/>
      <c r="E4095" s="489"/>
      <c r="F4095" s="489"/>
      <c r="G4095" s="490"/>
      <c r="H4095" s="520"/>
      <c r="I4095" s="523"/>
      <c r="J4095" s="521"/>
      <c r="K4095" s="522"/>
      <c r="M4095" s="301" t="str">
        <f>N4095&amp;AS[[#This Row],[Insurer Code]]&amp;"; "&amp;O4095&amp;AS[[#This Row],[Reporting Year]]&amp;"; "&amp;P4095&amp;AS[[#This Row],[Insurance Category Code]]&amp;"; "&amp;Q4095&amp;AS[[#This Row],[Large Provider Entity Code]]&amp;"; "&amp;R4095&amp;AS[[#This Row],[Age Band Code]]&amp;"; "&amp;S4095&amp;AS[[#This Row],[Sex Code]]</f>
        <v xml:space="preserve">Insurer Code ; Reporting Year ; Insurance Category Code ; Large Provider Entity Code ; Age Band Code ; Sex Code </v>
      </c>
      <c r="N4095" s="297" t="s">
        <v>197</v>
      </c>
      <c r="O4095" s="297" t="s">
        <v>198</v>
      </c>
      <c r="P4095" s="297" t="s">
        <v>199</v>
      </c>
      <c r="Q4095" s="297" t="s">
        <v>200</v>
      </c>
      <c r="R4095" s="297" t="s">
        <v>213</v>
      </c>
      <c r="S4095" s="297" t="s">
        <v>214</v>
      </c>
    </row>
    <row r="4096" spans="1:19" x14ac:dyDescent="0.4">
      <c r="A4096" s="291"/>
      <c r="B4096" s="292"/>
      <c r="C4096" s="312"/>
      <c r="D4096" s="292"/>
      <c r="E4096" s="489"/>
      <c r="F4096" s="489"/>
      <c r="G4096" s="490"/>
      <c r="H4096" s="520"/>
      <c r="I4096" s="523"/>
      <c r="J4096" s="521"/>
      <c r="K4096" s="522"/>
      <c r="M4096" s="301" t="str">
        <f>N4096&amp;AS[[#This Row],[Insurer Code]]&amp;"; "&amp;O4096&amp;AS[[#This Row],[Reporting Year]]&amp;"; "&amp;P4096&amp;AS[[#This Row],[Insurance Category Code]]&amp;"; "&amp;Q4096&amp;AS[[#This Row],[Large Provider Entity Code]]&amp;"; "&amp;R4096&amp;AS[[#This Row],[Age Band Code]]&amp;"; "&amp;S4096&amp;AS[[#This Row],[Sex Code]]</f>
        <v xml:space="preserve">Insurer Code ; Reporting Year ; Insurance Category Code ; Large Provider Entity Code ; Age Band Code ; Sex Code </v>
      </c>
      <c r="N4096" s="297" t="s">
        <v>197</v>
      </c>
      <c r="O4096" s="297" t="s">
        <v>198</v>
      </c>
      <c r="P4096" s="297" t="s">
        <v>199</v>
      </c>
      <c r="Q4096" s="297" t="s">
        <v>200</v>
      </c>
      <c r="R4096" s="297" t="s">
        <v>213</v>
      </c>
      <c r="S4096" s="297" t="s">
        <v>214</v>
      </c>
    </row>
    <row r="4097" spans="1:19" x14ac:dyDescent="0.4">
      <c r="A4097" s="291"/>
      <c r="B4097" s="292"/>
      <c r="C4097" s="312"/>
      <c r="D4097" s="292"/>
      <c r="E4097" s="489"/>
      <c r="F4097" s="489"/>
      <c r="G4097" s="490"/>
      <c r="H4097" s="520"/>
      <c r="I4097" s="523"/>
      <c r="J4097" s="521"/>
      <c r="K4097" s="522"/>
      <c r="M4097" s="301" t="str">
        <f>N4097&amp;AS[[#This Row],[Insurer Code]]&amp;"; "&amp;O4097&amp;AS[[#This Row],[Reporting Year]]&amp;"; "&amp;P4097&amp;AS[[#This Row],[Insurance Category Code]]&amp;"; "&amp;Q4097&amp;AS[[#This Row],[Large Provider Entity Code]]&amp;"; "&amp;R4097&amp;AS[[#This Row],[Age Band Code]]&amp;"; "&amp;S4097&amp;AS[[#This Row],[Sex Code]]</f>
        <v xml:space="preserve">Insurer Code ; Reporting Year ; Insurance Category Code ; Large Provider Entity Code ; Age Band Code ; Sex Code </v>
      </c>
      <c r="N4097" s="297" t="s">
        <v>197</v>
      </c>
      <c r="O4097" s="297" t="s">
        <v>198</v>
      </c>
      <c r="P4097" s="297" t="s">
        <v>199</v>
      </c>
      <c r="Q4097" s="297" t="s">
        <v>200</v>
      </c>
      <c r="R4097" s="297" t="s">
        <v>213</v>
      </c>
      <c r="S4097" s="297" t="s">
        <v>214</v>
      </c>
    </row>
    <row r="4098" spans="1:19" x14ac:dyDescent="0.4">
      <c r="A4098" s="291"/>
      <c r="B4098" s="292"/>
      <c r="C4098" s="312"/>
      <c r="D4098" s="292"/>
      <c r="E4098" s="489"/>
      <c r="F4098" s="489"/>
      <c r="G4098" s="490"/>
      <c r="H4098" s="520"/>
      <c r="I4098" s="523"/>
      <c r="J4098" s="521"/>
      <c r="K4098" s="522"/>
      <c r="M4098" s="301" t="str">
        <f>N4098&amp;AS[[#This Row],[Insurer Code]]&amp;"; "&amp;O4098&amp;AS[[#This Row],[Reporting Year]]&amp;"; "&amp;P4098&amp;AS[[#This Row],[Insurance Category Code]]&amp;"; "&amp;Q4098&amp;AS[[#This Row],[Large Provider Entity Code]]&amp;"; "&amp;R4098&amp;AS[[#This Row],[Age Band Code]]&amp;"; "&amp;S4098&amp;AS[[#This Row],[Sex Code]]</f>
        <v xml:space="preserve">Insurer Code ; Reporting Year ; Insurance Category Code ; Large Provider Entity Code ; Age Band Code ; Sex Code </v>
      </c>
      <c r="N4098" s="297" t="s">
        <v>197</v>
      </c>
      <c r="O4098" s="297" t="s">
        <v>198</v>
      </c>
      <c r="P4098" s="297" t="s">
        <v>199</v>
      </c>
      <c r="Q4098" s="297" t="s">
        <v>200</v>
      </c>
      <c r="R4098" s="297" t="s">
        <v>213</v>
      </c>
      <c r="S4098" s="297" t="s">
        <v>214</v>
      </c>
    </row>
    <row r="4099" spans="1:19" x14ac:dyDescent="0.4">
      <c r="A4099" s="291"/>
      <c r="B4099" s="292"/>
      <c r="C4099" s="312"/>
      <c r="D4099" s="292"/>
      <c r="E4099" s="489"/>
      <c r="F4099" s="489"/>
      <c r="G4099" s="490"/>
      <c r="H4099" s="520"/>
      <c r="I4099" s="523"/>
      <c r="J4099" s="521"/>
      <c r="K4099" s="522"/>
      <c r="M4099" s="301" t="str">
        <f>N4099&amp;AS[[#This Row],[Insurer Code]]&amp;"; "&amp;O4099&amp;AS[[#This Row],[Reporting Year]]&amp;"; "&amp;P4099&amp;AS[[#This Row],[Insurance Category Code]]&amp;"; "&amp;Q4099&amp;AS[[#This Row],[Large Provider Entity Code]]&amp;"; "&amp;R4099&amp;AS[[#This Row],[Age Band Code]]&amp;"; "&amp;S4099&amp;AS[[#This Row],[Sex Code]]</f>
        <v xml:space="preserve">Insurer Code ; Reporting Year ; Insurance Category Code ; Large Provider Entity Code ; Age Band Code ; Sex Code </v>
      </c>
      <c r="N4099" s="297" t="s">
        <v>197</v>
      </c>
      <c r="O4099" s="297" t="s">
        <v>198</v>
      </c>
      <c r="P4099" s="297" t="s">
        <v>199</v>
      </c>
      <c r="Q4099" s="297" t="s">
        <v>200</v>
      </c>
      <c r="R4099" s="297" t="s">
        <v>213</v>
      </c>
      <c r="S4099" s="297" t="s">
        <v>214</v>
      </c>
    </row>
    <row r="4100" spans="1:19" x14ac:dyDescent="0.4">
      <c r="A4100" s="291"/>
      <c r="B4100" s="292"/>
      <c r="C4100" s="312"/>
      <c r="D4100" s="292"/>
      <c r="E4100" s="489"/>
      <c r="F4100" s="489"/>
      <c r="G4100" s="490"/>
      <c r="H4100" s="520"/>
      <c r="I4100" s="523"/>
      <c r="J4100" s="521"/>
      <c r="K4100" s="522"/>
      <c r="M4100" s="301" t="str">
        <f>N4100&amp;AS[[#This Row],[Insurer Code]]&amp;"; "&amp;O4100&amp;AS[[#This Row],[Reporting Year]]&amp;"; "&amp;P4100&amp;AS[[#This Row],[Insurance Category Code]]&amp;"; "&amp;Q4100&amp;AS[[#This Row],[Large Provider Entity Code]]&amp;"; "&amp;R4100&amp;AS[[#This Row],[Age Band Code]]&amp;"; "&amp;S4100&amp;AS[[#This Row],[Sex Code]]</f>
        <v xml:space="preserve">Insurer Code ; Reporting Year ; Insurance Category Code ; Large Provider Entity Code ; Age Band Code ; Sex Code </v>
      </c>
      <c r="N4100" s="297" t="s">
        <v>197</v>
      </c>
      <c r="O4100" s="297" t="s">
        <v>198</v>
      </c>
      <c r="P4100" s="297" t="s">
        <v>199</v>
      </c>
      <c r="Q4100" s="297" t="s">
        <v>200</v>
      </c>
      <c r="R4100" s="297" t="s">
        <v>213</v>
      </c>
      <c r="S4100" s="297" t="s">
        <v>214</v>
      </c>
    </row>
    <row r="4101" spans="1:19" x14ac:dyDescent="0.4">
      <c r="A4101" s="291"/>
      <c r="B4101" s="292"/>
      <c r="C4101" s="312"/>
      <c r="D4101" s="292"/>
      <c r="E4101" s="489"/>
      <c r="F4101" s="489"/>
      <c r="G4101" s="490"/>
      <c r="H4101" s="520"/>
      <c r="I4101" s="523"/>
      <c r="J4101" s="521"/>
      <c r="K4101" s="522"/>
      <c r="M4101" s="301" t="str">
        <f>N4101&amp;AS[[#This Row],[Insurer Code]]&amp;"; "&amp;O4101&amp;AS[[#This Row],[Reporting Year]]&amp;"; "&amp;P4101&amp;AS[[#This Row],[Insurance Category Code]]&amp;"; "&amp;Q4101&amp;AS[[#This Row],[Large Provider Entity Code]]&amp;"; "&amp;R4101&amp;AS[[#This Row],[Age Band Code]]&amp;"; "&amp;S4101&amp;AS[[#This Row],[Sex Code]]</f>
        <v xml:space="preserve">Insurer Code ; Reporting Year ; Insurance Category Code ; Large Provider Entity Code ; Age Band Code ; Sex Code </v>
      </c>
      <c r="N4101" s="297" t="s">
        <v>197</v>
      </c>
      <c r="O4101" s="297" t="s">
        <v>198</v>
      </c>
      <c r="P4101" s="297" t="s">
        <v>199</v>
      </c>
      <c r="Q4101" s="297" t="s">
        <v>200</v>
      </c>
      <c r="R4101" s="297" t="s">
        <v>213</v>
      </c>
      <c r="S4101" s="297" t="s">
        <v>214</v>
      </c>
    </row>
    <row r="4102" spans="1:19" x14ac:dyDescent="0.4">
      <c r="A4102" s="291"/>
      <c r="B4102" s="292"/>
      <c r="C4102" s="312"/>
      <c r="D4102" s="292"/>
      <c r="E4102" s="489"/>
      <c r="F4102" s="489"/>
      <c r="G4102" s="490"/>
      <c r="H4102" s="520"/>
      <c r="I4102" s="523"/>
      <c r="J4102" s="521"/>
      <c r="K4102" s="522"/>
      <c r="M4102" s="301" t="str">
        <f>N4102&amp;AS[[#This Row],[Insurer Code]]&amp;"; "&amp;O4102&amp;AS[[#This Row],[Reporting Year]]&amp;"; "&amp;P4102&amp;AS[[#This Row],[Insurance Category Code]]&amp;"; "&amp;Q4102&amp;AS[[#This Row],[Large Provider Entity Code]]&amp;"; "&amp;R4102&amp;AS[[#This Row],[Age Band Code]]&amp;"; "&amp;S4102&amp;AS[[#This Row],[Sex Code]]</f>
        <v xml:space="preserve">Insurer Code ; Reporting Year ; Insurance Category Code ; Large Provider Entity Code ; Age Band Code ; Sex Code </v>
      </c>
      <c r="N4102" s="297" t="s">
        <v>197</v>
      </c>
      <c r="O4102" s="297" t="s">
        <v>198</v>
      </c>
      <c r="P4102" s="297" t="s">
        <v>199</v>
      </c>
      <c r="Q4102" s="297" t="s">
        <v>200</v>
      </c>
      <c r="R4102" s="297" t="s">
        <v>213</v>
      </c>
      <c r="S4102" s="297" t="s">
        <v>214</v>
      </c>
    </row>
    <row r="4103" spans="1:19" x14ac:dyDescent="0.4">
      <c r="A4103" s="291"/>
      <c r="B4103" s="292"/>
      <c r="C4103" s="312"/>
      <c r="D4103" s="292"/>
      <c r="E4103" s="489"/>
      <c r="F4103" s="489"/>
      <c r="G4103" s="490"/>
      <c r="H4103" s="520"/>
      <c r="I4103" s="523"/>
      <c r="J4103" s="521"/>
      <c r="K4103" s="522"/>
      <c r="M4103" s="301" t="str">
        <f>N4103&amp;AS[[#This Row],[Insurer Code]]&amp;"; "&amp;O4103&amp;AS[[#This Row],[Reporting Year]]&amp;"; "&amp;P4103&amp;AS[[#This Row],[Insurance Category Code]]&amp;"; "&amp;Q4103&amp;AS[[#This Row],[Large Provider Entity Code]]&amp;"; "&amp;R4103&amp;AS[[#This Row],[Age Band Code]]&amp;"; "&amp;S4103&amp;AS[[#This Row],[Sex Code]]</f>
        <v xml:space="preserve">Insurer Code ; Reporting Year ; Insurance Category Code ; Large Provider Entity Code ; Age Band Code ; Sex Code </v>
      </c>
      <c r="N4103" s="297" t="s">
        <v>197</v>
      </c>
      <c r="O4103" s="297" t="s">
        <v>198</v>
      </c>
      <c r="P4103" s="297" t="s">
        <v>199</v>
      </c>
      <c r="Q4103" s="297" t="s">
        <v>200</v>
      </c>
      <c r="R4103" s="297" t="s">
        <v>213</v>
      </c>
      <c r="S4103" s="297" t="s">
        <v>214</v>
      </c>
    </row>
    <row r="4104" spans="1:19" x14ac:dyDescent="0.4">
      <c r="A4104" s="291"/>
      <c r="B4104" s="292"/>
      <c r="C4104" s="312"/>
      <c r="D4104" s="292"/>
      <c r="E4104" s="489"/>
      <c r="F4104" s="489"/>
      <c r="G4104" s="490"/>
      <c r="H4104" s="520"/>
      <c r="I4104" s="523"/>
      <c r="J4104" s="521"/>
      <c r="K4104" s="522"/>
      <c r="M4104" s="301" t="str">
        <f>N4104&amp;AS[[#This Row],[Insurer Code]]&amp;"; "&amp;O4104&amp;AS[[#This Row],[Reporting Year]]&amp;"; "&amp;P4104&amp;AS[[#This Row],[Insurance Category Code]]&amp;"; "&amp;Q4104&amp;AS[[#This Row],[Large Provider Entity Code]]&amp;"; "&amp;R4104&amp;AS[[#This Row],[Age Band Code]]&amp;"; "&amp;S4104&amp;AS[[#This Row],[Sex Code]]</f>
        <v xml:space="preserve">Insurer Code ; Reporting Year ; Insurance Category Code ; Large Provider Entity Code ; Age Band Code ; Sex Code </v>
      </c>
      <c r="N4104" s="297" t="s">
        <v>197</v>
      </c>
      <c r="O4104" s="297" t="s">
        <v>198</v>
      </c>
      <c r="P4104" s="297" t="s">
        <v>199</v>
      </c>
      <c r="Q4104" s="297" t="s">
        <v>200</v>
      </c>
      <c r="R4104" s="297" t="s">
        <v>213</v>
      </c>
      <c r="S4104" s="297" t="s">
        <v>214</v>
      </c>
    </row>
    <row r="4105" spans="1:19" x14ac:dyDescent="0.4">
      <c r="A4105" s="291"/>
      <c r="B4105" s="292"/>
      <c r="C4105" s="312"/>
      <c r="D4105" s="292"/>
      <c r="E4105" s="489"/>
      <c r="F4105" s="489"/>
      <c r="G4105" s="490"/>
      <c r="H4105" s="520"/>
      <c r="I4105" s="523"/>
      <c r="J4105" s="521"/>
      <c r="K4105" s="522"/>
      <c r="M4105" s="301" t="str">
        <f>N4105&amp;AS[[#This Row],[Insurer Code]]&amp;"; "&amp;O4105&amp;AS[[#This Row],[Reporting Year]]&amp;"; "&amp;P4105&amp;AS[[#This Row],[Insurance Category Code]]&amp;"; "&amp;Q4105&amp;AS[[#This Row],[Large Provider Entity Code]]&amp;"; "&amp;R4105&amp;AS[[#This Row],[Age Band Code]]&amp;"; "&amp;S4105&amp;AS[[#This Row],[Sex Code]]</f>
        <v xml:space="preserve">Insurer Code ; Reporting Year ; Insurance Category Code ; Large Provider Entity Code ; Age Band Code ; Sex Code </v>
      </c>
      <c r="N4105" s="297" t="s">
        <v>197</v>
      </c>
      <c r="O4105" s="297" t="s">
        <v>198</v>
      </c>
      <c r="P4105" s="297" t="s">
        <v>199</v>
      </c>
      <c r="Q4105" s="297" t="s">
        <v>200</v>
      </c>
      <c r="R4105" s="297" t="s">
        <v>213</v>
      </c>
      <c r="S4105" s="297" t="s">
        <v>214</v>
      </c>
    </row>
    <row r="4106" spans="1:19" x14ac:dyDescent="0.4">
      <c r="A4106" s="291"/>
      <c r="B4106" s="292"/>
      <c r="C4106" s="312"/>
      <c r="D4106" s="292"/>
      <c r="E4106" s="489"/>
      <c r="F4106" s="489"/>
      <c r="G4106" s="490"/>
      <c r="H4106" s="520"/>
      <c r="I4106" s="523"/>
      <c r="J4106" s="521"/>
      <c r="K4106" s="522"/>
      <c r="M4106" s="301" t="str">
        <f>N4106&amp;AS[[#This Row],[Insurer Code]]&amp;"; "&amp;O4106&amp;AS[[#This Row],[Reporting Year]]&amp;"; "&amp;P4106&amp;AS[[#This Row],[Insurance Category Code]]&amp;"; "&amp;Q4106&amp;AS[[#This Row],[Large Provider Entity Code]]&amp;"; "&amp;R4106&amp;AS[[#This Row],[Age Band Code]]&amp;"; "&amp;S4106&amp;AS[[#This Row],[Sex Code]]</f>
        <v xml:space="preserve">Insurer Code ; Reporting Year ; Insurance Category Code ; Large Provider Entity Code ; Age Band Code ; Sex Code </v>
      </c>
      <c r="N4106" s="297" t="s">
        <v>197</v>
      </c>
      <c r="O4106" s="297" t="s">
        <v>198</v>
      </c>
      <c r="P4106" s="297" t="s">
        <v>199</v>
      </c>
      <c r="Q4106" s="297" t="s">
        <v>200</v>
      </c>
      <c r="R4106" s="297" t="s">
        <v>213</v>
      </c>
      <c r="S4106" s="297" t="s">
        <v>214</v>
      </c>
    </row>
    <row r="4107" spans="1:19" x14ac:dyDescent="0.4">
      <c r="A4107" s="291"/>
      <c r="B4107" s="292"/>
      <c r="C4107" s="312"/>
      <c r="D4107" s="292"/>
      <c r="E4107" s="489"/>
      <c r="F4107" s="489"/>
      <c r="G4107" s="490"/>
      <c r="H4107" s="520"/>
      <c r="I4107" s="523"/>
      <c r="J4107" s="521"/>
      <c r="K4107" s="522"/>
      <c r="M4107" s="301" t="str">
        <f>N4107&amp;AS[[#This Row],[Insurer Code]]&amp;"; "&amp;O4107&amp;AS[[#This Row],[Reporting Year]]&amp;"; "&amp;P4107&amp;AS[[#This Row],[Insurance Category Code]]&amp;"; "&amp;Q4107&amp;AS[[#This Row],[Large Provider Entity Code]]&amp;"; "&amp;R4107&amp;AS[[#This Row],[Age Band Code]]&amp;"; "&amp;S4107&amp;AS[[#This Row],[Sex Code]]</f>
        <v xml:space="preserve">Insurer Code ; Reporting Year ; Insurance Category Code ; Large Provider Entity Code ; Age Band Code ; Sex Code </v>
      </c>
      <c r="N4107" s="297" t="s">
        <v>197</v>
      </c>
      <c r="O4107" s="297" t="s">
        <v>198</v>
      </c>
      <c r="P4107" s="297" t="s">
        <v>199</v>
      </c>
      <c r="Q4107" s="297" t="s">
        <v>200</v>
      </c>
      <c r="R4107" s="297" t="s">
        <v>213</v>
      </c>
      <c r="S4107" s="297" t="s">
        <v>214</v>
      </c>
    </row>
    <row r="4108" spans="1:19" x14ac:dyDescent="0.4">
      <c r="A4108" s="291"/>
      <c r="B4108" s="292"/>
      <c r="C4108" s="312"/>
      <c r="D4108" s="292"/>
      <c r="E4108" s="489"/>
      <c r="F4108" s="489"/>
      <c r="G4108" s="490"/>
      <c r="H4108" s="520"/>
      <c r="I4108" s="523"/>
      <c r="J4108" s="521"/>
      <c r="K4108" s="522"/>
      <c r="M4108" s="301" t="str">
        <f>N4108&amp;AS[[#This Row],[Insurer Code]]&amp;"; "&amp;O4108&amp;AS[[#This Row],[Reporting Year]]&amp;"; "&amp;P4108&amp;AS[[#This Row],[Insurance Category Code]]&amp;"; "&amp;Q4108&amp;AS[[#This Row],[Large Provider Entity Code]]&amp;"; "&amp;R4108&amp;AS[[#This Row],[Age Band Code]]&amp;"; "&amp;S4108&amp;AS[[#This Row],[Sex Code]]</f>
        <v xml:space="preserve">Insurer Code ; Reporting Year ; Insurance Category Code ; Large Provider Entity Code ; Age Band Code ; Sex Code </v>
      </c>
      <c r="N4108" s="297" t="s">
        <v>197</v>
      </c>
      <c r="O4108" s="297" t="s">
        <v>198</v>
      </c>
      <c r="P4108" s="297" t="s">
        <v>199</v>
      </c>
      <c r="Q4108" s="297" t="s">
        <v>200</v>
      </c>
      <c r="R4108" s="297" t="s">
        <v>213</v>
      </c>
      <c r="S4108" s="297" t="s">
        <v>214</v>
      </c>
    </row>
    <row r="4109" spans="1:19" x14ac:dyDescent="0.4">
      <c r="A4109" s="291"/>
      <c r="B4109" s="292"/>
      <c r="C4109" s="312"/>
      <c r="D4109" s="292"/>
      <c r="E4109" s="489"/>
      <c r="F4109" s="489"/>
      <c r="G4109" s="490"/>
      <c r="H4109" s="520"/>
      <c r="I4109" s="523"/>
      <c r="J4109" s="521"/>
      <c r="K4109" s="522"/>
      <c r="M4109" s="301" t="str">
        <f>N4109&amp;AS[[#This Row],[Insurer Code]]&amp;"; "&amp;O4109&amp;AS[[#This Row],[Reporting Year]]&amp;"; "&amp;P4109&amp;AS[[#This Row],[Insurance Category Code]]&amp;"; "&amp;Q4109&amp;AS[[#This Row],[Large Provider Entity Code]]&amp;"; "&amp;R4109&amp;AS[[#This Row],[Age Band Code]]&amp;"; "&amp;S4109&amp;AS[[#This Row],[Sex Code]]</f>
        <v xml:space="preserve">Insurer Code ; Reporting Year ; Insurance Category Code ; Large Provider Entity Code ; Age Band Code ; Sex Code </v>
      </c>
      <c r="N4109" s="297" t="s">
        <v>197</v>
      </c>
      <c r="O4109" s="297" t="s">
        <v>198</v>
      </c>
      <c r="P4109" s="297" t="s">
        <v>199</v>
      </c>
      <c r="Q4109" s="297" t="s">
        <v>200</v>
      </c>
      <c r="R4109" s="297" t="s">
        <v>213</v>
      </c>
      <c r="S4109" s="297" t="s">
        <v>214</v>
      </c>
    </row>
    <row r="4110" spans="1:19" x14ac:dyDescent="0.4">
      <c r="A4110" s="291"/>
      <c r="B4110" s="292"/>
      <c r="C4110" s="312"/>
      <c r="D4110" s="292"/>
      <c r="E4110" s="489"/>
      <c r="F4110" s="489"/>
      <c r="G4110" s="490"/>
      <c r="H4110" s="520"/>
      <c r="I4110" s="523"/>
      <c r="J4110" s="521"/>
      <c r="K4110" s="522"/>
      <c r="M4110" s="301" t="str">
        <f>N4110&amp;AS[[#This Row],[Insurer Code]]&amp;"; "&amp;O4110&amp;AS[[#This Row],[Reporting Year]]&amp;"; "&amp;P4110&amp;AS[[#This Row],[Insurance Category Code]]&amp;"; "&amp;Q4110&amp;AS[[#This Row],[Large Provider Entity Code]]&amp;"; "&amp;R4110&amp;AS[[#This Row],[Age Band Code]]&amp;"; "&amp;S4110&amp;AS[[#This Row],[Sex Code]]</f>
        <v xml:space="preserve">Insurer Code ; Reporting Year ; Insurance Category Code ; Large Provider Entity Code ; Age Band Code ; Sex Code </v>
      </c>
      <c r="N4110" s="297" t="s">
        <v>197</v>
      </c>
      <c r="O4110" s="297" t="s">
        <v>198</v>
      </c>
      <c r="P4110" s="297" t="s">
        <v>199</v>
      </c>
      <c r="Q4110" s="297" t="s">
        <v>200</v>
      </c>
      <c r="R4110" s="297" t="s">
        <v>213</v>
      </c>
      <c r="S4110" s="297" t="s">
        <v>214</v>
      </c>
    </row>
    <row r="4111" spans="1:19" x14ac:dyDescent="0.4">
      <c r="A4111" s="291"/>
      <c r="B4111" s="292"/>
      <c r="C4111" s="312"/>
      <c r="D4111" s="292"/>
      <c r="E4111" s="489"/>
      <c r="F4111" s="489"/>
      <c r="G4111" s="490"/>
      <c r="H4111" s="520"/>
      <c r="I4111" s="523"/>
      <c r="J4111" s="521"/>
      <c r="K4111" s="522"/>
      <c r="M4111" s="301" t="str">
        <f>N4111&amp;AS[[#This Row],[Insurer Code]]&amp;"; "&amp;O4111&amp;AS[[#This Row],[Reporting Year]]&amp;"; "&amp;P4111&amp;AS[[#This Row],[Insurance Category Code]]&amp;"; "&amp;Q4111&amp;AS[[#This Row],[Large Provider Entity Code]]&amp;"; "&amp;R4111&amp;AS[[#This Row],[Age Band Code]]&amp;"; "&amp;S4111&amp;AS[[#This Row],[Sex Code]]</f>
        <v xml:space="preserve">Insurer Code ; Reporting Year ; Insurance Category Code ; Large Provider Entity Code ; Age Band Code ; Sex Code </v>
      </c>
      <c r="N4111" s="297" t="s">
        <v>197</v>
      </c>
      <c r="O4111" s="297" t="s">
        <v>198</v>
      </c>
      <c r="P4111" s="297" t="s">
        <v>199</v>
      </c>
      <c r="Q4111" s="297" t="s">
        <v>200</v>
      </c>
      <c r="R4111" s="297" t="s">
        <v>213</v>
      </c>
      <c r="S4111" s="297" t="s">
        <v>214</v>
      </c>
    </row>
    <row r="4112" spans="1:19" x14ac:dyDescent="0.4">
      <c r="A4112" s="291"/>
      <c r="B4112" s="292"/>
      <c r="C4112" s="312"/>
      <c r="D4112" s="292"/>
      <c r="E4112" s="489"/>
      <c r="F4112" s="489"/>
      <c r="G4112" s="490"/>
      <c r="H4112" s="520"/>
      <c r="I4112" s="523"/>
      <c r="J4112" s="521"/>
      <c r="K4112" s="522"/>
      <c r="M4112" s="301" t="str">
        <f>N4112&amp;AS[[#This Row],[Insurer Code]]&amp;"; "&amp;O4112&amp;AS[[#This Row],[Reporting Year]]&amp;"; "&amp;P4112&amp;AS[[#This Row],[Insurance Category Code]]&amp;"; "&amp;Q4112&amp;AS[[#This Row],[Large Provider Entity Code]]&amp;"; "&amp;R4112&amp;AS[[#This Row],[Age Band Code]]&amp;"; "&amp;S4112&amp;AS[[#This Row],[Sex Code]]</f>
        <v xml:space="preserve">Insurer Code ; Reporting Year ; Insurance Category Code ; Large Provider Entity Code ; Age Band Code ; Sex Code </v>
      </c>
      <c r="N4112" s="297" t="s">
        <v>197</v>
      </c>
      <c r="O4112" s="297" t="s">
        <v>198</v>
      </c>
      <c r="P4112" s="297" t="s">
        <v>199</v>
      </c>
      <c r="Q4112" s="297" t="s">
        <v>200</v>
      </c>
      <c r="R4112" s="297" t="s">
        <v>213</v>
      </c>
      <c r="S4112" s="297" t="s">
        <v>214</v>
      </c>
    </row>
    <row r="4113" spans="1:19" x14ac:dyDescent="0.4">
      <c r="A4113" s="291"/>
      <c r="B4113" s="292"/>
      <c r="C4113" s="312"/>
      <c r="D4113" s="292"/>
      <c r="E4113" s="489"/>
      <c r="F4113" s="489"/>
      <c r="G4113" s="490"/>
      <c r="H4113" s="520"/>
      <c r="I4113" s="523"/>
      <c r="J4113" s="521"/>
      <c r="K4113" s="522"/>
      <c r="M4113" s="301" t="str">
        <f>N4113&amp;AS[[#This Row],[Insurer Code]]&amp;"; "&amp;O4113&amp;AS[[#This Row],[Reporting Year]]&amp;"; "&amp;P4113&amp;AS[[#This Row],[Insurance Category Code]]&amp;"; "&amp;Q4113&amp;AS[[#This Row],[Large Provider Entity Code]]&amp;"; "&amp;R4113&amp;AS[[#This Row],[Age Band Code]]&amp;"; "&amp;S4113&amp;AS[[#This Row],[Sex Code]]</f>
        <v xml:space="preserve">Insurer Code ; Reporting Year ; Insurance Category Code ; Large Provider Entity Code ; Age Band Code ; Sex Code </v>
      </c>
      <c r="N4113" s="297" t="s">
        <v>197</v>
      </c>
      <c r="O4113" s="297" t="s">
        <v>198</v>
      </c>
      <c r="P4113" s="297" t="s">
        <v>199</v>
      </c>
      <c r="Q4113" s="297" t="s">
        <v>200</v>
      </c>
      <c r="R4113" s="297" t="s">
        <v>213</v>
      </c>
      <c r="S4113" s="297" t="s">
        <v>214</v>
      </c>
    </row>
    <row r="4114" spans="1:19" x14ac:dyDescent="0.4">
      <c r="A4114" s="291"/>
      <c r="B4114" s="292"/>
      <c r="C4114" s="312"/>
      <c r="D4114" s="292"/>
      <c r="E4114" s="489"/>
      <c r="F4114" s="489"/>
      <c r="G4114" s="490"/>
      <c r="H4114" s="520"/>
      <c r="I4114" s="523"/>
      <c r="J4114" s="521"/>
      <c r="K4114" s="522"/>
      <c r="M4114" s="301" t="str">
        <f>N4114&amp;AS[[#This Row],[Insurer Code]]&amp;"; "&amp;O4114&amp;AS[[#This Row],[Reporting Year]]&amp;"; "&amp;P4114&amp;AS[[#This Row],[Insurance Category Code]]&amp;"; "&amp;Q4114&amp;AS[[#This Row],[Large Provider Entity Code]]&amp;"; "&amp;R4114&amp;AS[[#This Row],[Age Band Code]]&amp;"; "&amp;S4114&amp;AS[[#This Row],[Sex Code]]</f>
        <v xml:space="preserve">Insurer Code ; Reporting Year ; Insurance Category Code ; Large Provider Entity Code ; Age Band Code ; Sex Code </v>
      </c>
      <c r="N4114" s="297" t="s">
        <v>197</v>
      </c>
      <c r="O4114" s="297" t="s">
        <v>198</v>
      </c>
      <c r="P4114" s="297" t="s">
        <v>199</v>
      </c>
      <c r="Q4114" s="297" t="s">
        <v>200</v>
      </c>
      <c r="R4114" s="297" t="s">
        <v>213</v>
      </c>
      <c r="S4114" s="297" t="s">
        <v>214</v>
      </c>
    </row>
    <row r="4115" spans="1:19" x14ac:dyDescent="0.4">
      <c r="A4115" s="291"/>
      <c r="B4115" s="292"/>
      <c r="C4115" s="312"/>
      <c r="D4115" s="292"/>
      <c r="E4115" s="489"/>
      <c r="F4115" s="489"/>
      <c r="G4115" s="490"/>
      <c r="H4115" s="520"/>
      <c r="I4115" s="523"/>
      <c r="J4115" s="521"/>
      <c r="K4115" s="522"/>
      <c r="M4115" s="301" t="str">
        <f>N4115&amp;AS[[#This Row],[Insurer Code]]&amp;"; "&amp;O4115&amp;AS[[#This Row],[Reporting Year]]&amp;"; "&amp;P4115&amp;AS[[#This Row],[Insurance Category Code]]&amp;"; "&amp;Q4115&amp;AS[[#This Row],[Large Provider Entity Code]]&amp;"; "&amp;R4115&amp;AS[[#This Row],[Age Band Code]]&amp;"; "&amp;S4115&amp;AS[[#This Row],[Sex Code]]</f>
        <v xml:space="preserve">Insurer Code ; Reporting Year ; Insurance Category Code ; Large Provider Entity Code ; Age Band Code ; Sex Code </v>
      </c>
      <c r="N4115" s="297" t="s">
        <v>197</v>
      </c>
      <c r="O4115" s="297" t="s">
        <v>198</v>
      </c>
      <c r="P4115" s="297" t="s">
        <v>199</v>
      </c>
      <c r="Q4115" s="297" t="s">
        <v>200</v>
      </c>
      <c r="R4115" s="297" t="s">
        <v>213</v>
      </c>
      <c r="S4115" s="297" t="s">
        <v>214</v>
      </c>
    </row>
    <row r="4116" spans="1:19" x14ac:dyDescent="0.4">
      <c r="A4116" s="291"/>
      <c r="B4116" s="292"/>
      <c r="C4116" s="312"/>
      <c r="D4116" s="292"/>
      <c r="E4116" s="489"/>
      <c r="F4116" s="489"/>
      <c r="G4116" s="490"/>
      <c r="H4116" s="520"/>
      <c r="I4116" s="523"/>
      <c r="J4116" s="521"/>
      <c r="K4116" s="522"/>
      <c r="M4116" s="301" t="str">
        <f>N4116&amp;AS[[#This Row],[Insurer Code]]&amp;"; "&amp;O4116&amp;AS[[#This Row],[Reporting Year]]&amp;"; "&amp;P4116&amp;AS[[#This Row],[Insurance Category Code]]&amp;"; "&amp;Q4116&amp;AS[[#This Row],[Large Provider Entity Code]]&amp;"; "&amp;R4116&amp;AS[[#This Row],[Age Band Code]]&amp;"; "&amp;S4116&amp;AS[[#This Row],[Sex Code]]</f>
        <v xml:space="preserve">Insurer Code ; Reporting Year ; Insurance Category Code ; Large Provider Entity Code ; Age Band Code ; Sex Code </v>
      </c>
      <c r="N4116" s="297" t="s">
        <v>197</v>
      </c>
      <c r="O4116" s="297" t="s">
        <v>198</v>
      </c>
      <c r="P4116" s="297" t="s">
        <v>199</v>
      </c>
      <c r="Q4116" s="297" t="s">
        <v>200</v>
      </c>
      <c r="R4116" s="297" t="s">
        <v>213</v>
      </c>
      <c r="S4116" s="297" t="s">
        <v>214</v>
      </c>
    </row>
    <row r="4117" spans="1:19" x14ac:dyDescent="0.4">
      <c r="A4117" s="291"/>
      <c r="B4117" s="292"/>
      <c r="C4117" s="312"/>
      <c r="D4117" s="292"/>
      <c r="E4117" s="489"/>
      <c r="F4117" s="489"/>
      <c r="G4117" s="490"/>
      <c r="H4117" s="520"/>
      <c r="I4117" s="523"/>
      <c r="J4117" s="521"/>
      <c r="K4117" s="522"/>
      <c r="M4117" s="301" t="str">
        <f>N4117&amp;AS[[#This Row],[Insurer Code]]&amp;"; "&amp;O4117&amp;AS[[#This Row],[Reporting Year]]&amp;"; "&amp;P4117&amp;AS[[#This Row],[Insurance Category Code]]&amp;"; "&amp;Q4117&amp;AS[[#This Row],[Large Provider Entity Code]]&amp;"; "&amp;R4117&amp;AS[[#This Row],[Age Band Code]]&amp;"; "&amp;S4117&amp;AS[[#This Row],[Sex Code]]</f>
        <v xml:space="preserve">Insurer Code ; Reporting Year ; Insurance Category Code ; Large Provider Entity Code ; Age Band Code ; Sex Code </v>
      </c>
      <c r="N4117" s="297" t="s">
        <v>197</v>
      </c>
      <c r="O4117" s="297" t="s">
        <v>198</v>
      </c>
      <c r="P4117" s="297" t="s">
        <v>199</v>
      </c>
      <c r="Q4117" s="297" t="s">
        <v>200</v>
      </c>
      <c r="R4117" s="297" t="s">
        <v>213</v>
      </c>
      <c r="S4117" s="297" t="s">
        <v>214</v>
      </c>
    </row>
    <row r="4118" spans="1:19" x14ac:dyDescent="0.4">
      <c r="A4118" s="291"/>
      <c r="B4118" s="292"/>
      <c r="C4118" s="312"/>
      <c r="D4118" s="292"/>
      <c r="E4118" s="489"/>
      <c r="F4118" s="489"/>
      <c r="G4118" s="490"/>
      <c r="H4118" s="520"/>
      <c r="I4118" s="523"/>
      <c r="J4118" s="521"/>
      <c r="K4118" s="522"/>
      <c r="M4118" s="301" t="str">
        <f>N4118&amp;AS[[#This Row],[Insurer Code]]&amp;"; "&amp;O4118&amp;AS[[#This Row],[Reporting Year]]&amp;"; "&amp;P4118&amp;AS[[#This Row],[Insurance Category Code]]&amp;"; "&amp;Q4118&amp;AS[[#This Row],[Large Provider Entity Code]]&amp;"; "&amp;R4118&amp;AS[[#This Row],[Age Band Code]]&amp;"; "&amp;S4118&amp;AS[[#This Row],[Sex Code]]</f>
        <v xml:space="preserve">Insurer Code ; Reporting Year ; Insurance Category Code ; Large Provider Entity Code ; Age Band Code ; Sex Code </v>
      </c>
      <c r="N4118" s="297" t="s">
        <v>197</v>
      </c>
      <c r="O4118" s="297" t="s">
        <v>198</v>
      </c>
      <c r="P4118" s="297" t="s">
        <v>199</v>
      </c>
      <c r="Q4118" s="297" t="s">
        <v>200</v>
      </c>
      <c r="R4118" s="297" t="s">
        <v>213</v>
      </c>
      <c r="S4118" s="297" t="s">
        <v>214</v>
      </c>
    </row>
    <row r="4119" spans="1:19" x14ac:dyDescent="0.4">
      <c r="A4119" s="291"/>
      <c r="B4119" s="292"/>
      <c r="C4119" s="312"/>
      <c r="D4119" s="292"/>
      <c r="E4119" s="489"/>
      <c r="F4119" s="489"/>
      <c r="G4119" s="490"/>
      <c r="H4119" s="520"/>
      <c r="I4119" s="523"/>
      <c r="J4119" s="521"/>
      <c r="K4119" s="522"/>
      <c r="M4119" s="301" t="str">
        <f>N4119&amp;AS[[#This Row],[Insurer Code]]&amp;"; "&amp;O4119&amp;AS[[#This Row],[Reporting Year]]&amp;"; "&amp;P4119&amp;AS[[#This Row],[Insurance Category Code]]&amp;"; "&amp;Q4119&amp;AS[[#This Row],[Large Provider Entity Code]]&amp;"; "&amp;R4119&amp;AS[[#This Row],[Age Band Code]]&amp;"; "&amp;S4119&amp;AS[[#This Row],[Sex Code]]</f>
        <v xml:space="preserve">Insurer Code ; Reporting Year ; Insurance Category Code ; Large Provider Entity Code ; Age Band Code ; Sex Code </v>
      </c>
      <c r="N4119" s="297" t="s">
        <v>197</v>
      </c>
      <c r="O4119" s="297" t="s">
        <v>198</v>
      </c>
      <c r="P4119" s="297" t="s">
        <v>199</v>
      </c>
      <c r="Q4119" s="297" t="s">
        <v>200</v>
      </c>
      <c r="R4119" s="297" t="s">
        <v>213</v>
      </c>
      <c r="S4119" s="297" t="s">
        <v>214</v>
      </c>
    </row>
    <row r="4120" spans="1:19" x14ac:dyDescent="0.4">
      <c r="A4120" s="291"/>
      <c r="B4120" s="292"/>
      <c r="C4120" s="312"/>
      <c r="D4120" s="292"/>
      <c r="E4120" s="489"/>
      <c r="F4120" s="489"/>
      <c r="G4120" s="490"/>
      <c r="H4120" s="520"/>
      <c r="I4120" s="523"/>
      <c r="J4120" s="521"/>
      <c r="K4120" s="522"/>
      <c r="M4120" s="301" t="str">
        <f>N4120&amp;AS[[#This Row],[Insurer Code]]&amp;"; "&amp;O4120&amp;AS[[#This Row],[Reporting Year]]&amp;"; "&amp;P4120&amp;AS[[#This Row],[Insurance Category Code]]&amp;"; "&amp;Q4120&amp;AS[[#This Row],[Large Provider Entity Code]]&amp;"; "&amp;R4120&amp;AS[[#This Row],[Age Band Code]]&amp;"; "&amp;S4120&amp;AS[[#This Row],[Sex Code]]</f>
        <v xml:space="preserve">Insurer Code ; Reporting Year ; Insurance Category Code ; Large Provider Entity Code ; Age Band Code ; Sex Code </v>
      </c>
      <c r="N4120" s="297" t="s">
        <v>197</v>
      </c>
      <c r="O4120" s="297" t="s">
        <v>198</v>
      </c>
      <c r="P4120" s="297" t="s">
        <v>199</v>
      </c>
      <c r="Q4120" s="297" t="s">
        <v>200</v>
      </c>
      <c r="R4120" s="297" t="s">
        <v>213</v>
      </c>
      <c r="S4120" s="297" t="s">
        <v>214</v>
      </c>
    </row>
    <row r="4121" spans="1:19" x14ac:dyDescent="0.4">
      <c r="A4121" s="291"/>
      <c r="B4121" s="292"/>
      <c r="C4121" s="312"/>
      <c r="D4121" s="292"/>
      <c r="E4121" s="489"/>
      <c r="F4121" s="489"/>
      <c r="G4121" s="490"/>
      <c r="H4121" s="520"/>
      <c r="I4121" s="523"/>
      <c r="J4121" s="521"/>
      <c r="K4121" s="522"/>
      <c r="M4121" s="301" t="str">
        <f>N4121&amp;AS[[#This Row],[Insurer Code]]&amp;"; "&amp;O4121&amp;AS[[#This Row],[Reporting Year]]&amp;"; "&amp;P4121&amp;AS[[#This Row],[Insurance Category Code]]&amp;"; "&amp;Q4121&amp;AS[[#This Row],[Large Provider Entity Code]]&amp;"; "&amp;R4121&amp;AS[[#This Row],[Age Band Code]]&amp;"; "&amp;S4121&amp;AS[[#This Row],[Sex Code]]</f>
        <v xml:space="preserve">Insurer Code ; Reporting Year ; Insurance Category Code ; Large Provider Entity Code ; Age Band Code ; Sex Code </v>
      </c>
      <c r="N4121" s="297" t="s">
        <v>197</v>
      </c>
      <c r="O4121" s="297" t="s">
        <v>198</v>
      </c>
      <c r="P4121" s="297" t="s">
        <v>199</v>
      </c>
      <c r="Q4121" s="297" t="s">
        <v>200</v>
      </c>
      <c r="R4121" s="297" t="s">
        <v>213</v>
      </c>
      <c r="S4121" s="297" t="s">
        <v>214</v>
      </c>
    </row>
    <row r="4122" spans="1:19" x14ac:dyDescent="0.4">
      <c r="A4122" s="291"/>
      <c r="B4122" s="292"/>
      <c r="C4122" s="312"/>
      <c r="D4122" s="292"/>
      <c r="E4122" s="489"/>
      <c r="F4122" s="489"/>
      <c r="G4122" s="490"/>
      <c r="H4122" s="520"/>
      <c r="I4122" s="523"/>
      <c r="J4122" s="521"/>
      <c r="K4122" s="522"/>
      <c r="M4122" s="301" t="str">
        <f>N4122&amp;AS[[#This Row],[Insurer Code]]&amp;"; "&amp;O4122&amp;AS[[#This Row],[Reporting Year]]&amp;"; "&amp;P4122&amp;AS[[#This Row],[Insurance Category Code]]&amp;"; "&amp;Q4122&amp;AS[[#This Row],[Large Provider Entity Code]]&amp;"; "&amp;R4122&amp;AS[[#This Row],[Age Band Code]]&amp;"; "&amp;S4122&amp;AS[[#This Row],[Sex Code]]</f>
        <v xml:space="preserve">Insurer Code ; Reporting Year ; Insurance Category Code ; Large Provider Entity Code ; Age Band Code ; Sex Code </v>
      </c>
      <c r="N4122" s="297" t="s">
        <v>197</v>
      </c>
      <c r="O4122" s="297" t="s">
        <v>198</v>
      </c>
      <c r="P4122" s="297" t="s">
        <v>199</v>
      </c>
      <c r="Q4122" s="297" t="s">
        <v>200</v>
      </c>
      <c r="R4122" s="297" t="s">
        <v>213</v>
      </c>
      <c r="S4122" s="297" t="s">
        <v>214</v>
      </c>
    </row>
    <row r="4123" spans="1:19" x14ac:dyDescent="0.4">
      <c r="A4123" s="291"/>
      <c r="B4123" s="292"/>
      <c r="C4123" s="312"/>
      <c r="D4123" s="292"/>
      <c r="E4123" s="489"/>
      <c r="F4123" s="489"/>
      <c r="G4123" s="490"/>
      <c r="H4123" s="520"/>
      <c r="I4123" s="523"/>
      <c r="J4123" s="521"/>
      <c r="K4123" s="522"/>
      <c r="M4123" s="301" t="str">
        <f>N4123&amp;AS[[#This Row],[Insurer Code]]&amp;"; "&amp;O4123&amp;AS[[#This Row],[Reporting Year]]&amp;"; "&amp;P4123&amp;AS[[#This Row],[Insurance Category Code]]&amp;"; "&amp;Q4123&amp;AS[[#This Row],[Large Provider Entity Code]]&amp;"; "&amp;R4123&amp;AS[[#This Row],[Age Band Code]]&amp;"; "&amp;S4123&amp;AS[[#This Row],[Sex Code]]</f>
        <v xml:space="preserve">Insurer Code ; Reporting Year ; Insurance Category Code ; Large Provider Entity Code ; Age Band Code ; Sex Code </v>
      </c>
      <c r="N4123" s="297" t="s">
        <v>197</v>
      </c>
      <c r="O4123" s="297" t="s">
        <v>198</v>
      </c>
      <c r="P4123" s="297" t="s">
        <v>199</v>
      </c>
      <c r="Q4123" s="297" t="s">
        <v>200</v>
      </c>
      <c r="R4123" s="297" t="s">
        <v>213</v>
      </c>
      <c r="S4123" s="297" t="s">
        <v>214</v>
      </c>
    </row>
    <row r="4124" spans="1:19" x14ac:dyDescent="0.4">
      <c r="A4124" s="291"/>
      <c r="B4124" s="292"/>
      <c r="C4124" s="312"/>
      <c r="D4124" s="292"/>
      <c r="E4124" s="489"/>
      <c r="F4124" s="489"/>
      <c r="G4124" s="490"/>
      <c r="H4124" s="520"/>
      <c r="I4124" s="523"/>
      <c r="J4124" s="521"/>
      <c r="K4124" s="522"/>
      <c r="M4124" s="301" t="str">
        <f>N4124&amp;AS[[#This Row],[Insurer Code]]&amp;"; "&amp;O4124&amp;AS[[#This Row],[Reporting Year]]&amp;"; "&amp;P4124&amp;AS[[#This Row],[Insurance Category Code]]&amp;"; "&amp;Q4124&amp;AS[[#This Row],[Large Provider Entity Code]]&amp;"; "&amp;R4124&amp;AS[[#This Row],[Age Band Code]]&amp;"; "&amp;S4124&amp;AS[[#This Row],[Sex Code]]</f>
        <v xml:space="preserve">Insurer Code ; Reporting Year ; Insurance Category Code ; Large Provider Entity Code ; Age Band Code ; Sex Code </v>
      </c>
      <c r="N4124" s="297" t="s">
        <v>197</v>
      </c>
      <c r="O4124" s="297" t="s">
        <v>198</v>
      </c>
      <c r="P4124" s="297" t="s">
        <v>199</v>
      </c>
      <c r="Q4124" s="297" t="s">
        <v>200</v>
      </c>
      <c r="R4124" s="297" t="s">
        <v>213</v>
      </c>
      <c r="S4124" s="297" t="s">
        <v>214</v>
      </c>
    </row>
    <row r="4125" spans="1:19" x14ac:dyDescent="0.4">
      <c r="A4125" s="291"/>
      <c r="B4125" s="292"/>
      <c r="C4125" s="312"/>
      <c r="D4125" s="292"/>
      <c r="E4125" s="489"/>
      <c r="F4125" s="489"/>
      <c r="G4125" s="490"/>
      <c r="H4125" s="520"/>
      <c r="I4125" s="523"/>
      <c r="J4125" s="521"/>
      <c r="K4125" s="522"/>
      <c r="M4125" s="301" t="str">
        <f>N4125&amp;AS[[#This Row],[Insurer Code]]&amp;"; "&amp;O4125&amp;AS[[#This Row],[Reporting Year]]&amp;"; "&amp;P4125&amp;AS[[#This Row],[Insurance Category Code]]&amp;"; "&amp;Q4125&amp;AS[[#This Row],[Large Provider Entity Code]]&amp;"; "&amp;R4125&amp;AS[[#This Row],[Age Band Code]]&amp;"; "&amp;S4125&amp;AS[[#This Row],[Sex Code]]</f>
        <v xml:space="preserve">Insurer Code ; Reporting Year ; Insurance Category Code ; Large Provider Entity Code ; Age Band Code ; Sex Code </v>
      </c>
      <c r="N4125" s="297" t="s">
        <v>197</v>
      </c>
      <c r="O4125" s="297" t="s">
        <v>198</v>
      </c>
      <c r="P4125" s="297" t="s">
        <v>199</v>
      </c>
      <c r="Q4125" s="297" t="s">
        <v>200</v>
      </c>
      <c r="R4125" s="297" t="s">
        <v>213</v>
      </c>
      <c r="S4125" s="297" t="s">
        <v>214</v>
      </c>
    </row>
    <row r="4126" spans="1:19" x14ac:dyDescent="0.4">
      <c r="A4126" s="291"/>
      <c r="B4126" s="292"/>
      <c r="C4126" s="312"/>
      <c r="D4126" s="292"/>
      <c r="E4126" s="489"/>
      <c r="F4126" s="489"/>
      <c r="G4126" s="490"/>
      <c r="H4126" s="520"/>
      <c r="I4126" s="523"/>
      <c r="J4126" s="521"/>
      <c r="K4126" s="522"/>
      <c r="M4126" s="301" t="str">
        <f>N4126&amp;AS[[#This Row],[Insurer Code]]&amp;"; "&amp;O4126&amp;AS[[#This Row],[Reporting Year]]&amp;"; "&amp;P4126&amp;AS[[#This Row],[Insurance Category Code]]&amp;"; "&amp;Q4126&amp;AS[[#This Row],[Large Provider Entity Code]]&amp;"; "&amp;R4126&amp;AS[[#This Row],[Age Band Code]]&amp;"; "&amp;S4126&amp;AS[[#This Row],[Sex Code]]</f>
        <v xml:space="preserve">Insurer Code ; Reporting Year ; Insurance Category Code ; Large Provider Entity Code ; Age Band Code ; Sex Code </v>
      </c>
      <c r="N4126" s="297" t="s">
        <v>197</v>
      </c>
      <c r="O4126" s="297" t="s">
        <v>198</v>
      </c>
      <c r="P4126" s="297" t="s">
        <v>199</v>
      </c>
      <c r="Q4126" s="297" t="s">
        <v>200</v>
      </c>
      <c r="R4126" s="297" t="s">
        <v>213</v>
      </c>
      <c r="S4126" s="297" t="s">
        <v>214</v>
      </c>
    </row>
    <row r="4127" spans="1:19" x14ac:dyDescent="0.4">
      <c r="A4127" s="291"/>
      <c r="B4127" s="292"/>
      <c r="C4127" s="312"/>
      <c r="D4127" s="292"/>
      <c r="E4127" s="489"/>
      <c r="F4127" s="489"/>
      <c r="G4127" s="490"/>
      <c r="H4127" s="520"/>
      <c r="I4127" s="523"/>
      <c r="J4127" s="521"/>
      <c r="K4127" s="522"/>
      <c r="M4127" s="301" t="str">
        <f>N4127&amp;AS[[#This Row],[Insurer Code]]&amp;"; "&amp;O4127&amp;AS[[#This Row],[Reporting Year]]&amp;"; "&amp;P4127&amp;AS[[#This Row],[Insurance Category Code]]&amp;"; "&amp;Q4127&amp;AS[[#This Row],[Large Provider Entity Code]]&amp;"; "&amp;R4127&amp;AS[[#This Row],[Age Band Code]]&amp;"; "&amp;S4127&amp;AS[[#This Row],[Sex Code]]</f>
        <v xml:space="preserve">Insurer Code ; Reporting Year ; Insurance Category Code ; Large Provider Entity Code ; Age Band Code ; Sex Code </v>
      </c>
      <c r="N4127" s="297" t="s">
        <v>197</v>
      </c>
      <c r="O4127" s="297" t="s">
        <v>198</v>
      </c>
      <c r="P4127" s="297" t="s">
        <v>199</v>
      </c>
      <c r="Q4127" s="297" t="s">
        <v>200</v>
      </c>
      <c r="R4127" s="297" t="s">
        <v>213</v>
      </c>
      <c r="S4127" s="297" t="s">
        <v>214</v>
      </c>
    </row>
    <row r="4128" spans="1:19" x14ac:dyDescent="0.4">
      <c r="A4128" s="291"/>
      <c r="B4128" s="292"/>
      <c r="C4128" s="312"/>
      <c r="D4128" s="292"/>
      <c r="E4128" s="489"/>
      <c r="F4128" s="489"/>
      <c r="G4128" s="490"/>
      <c r="H4128" s="520"/>
      <c r="I4128" s="523"/>
      <c r="J4128" s="521"/>
      <c r="K4128" s="522"/>
      <c r="M4128" s="301" t="str">
        <f>N4128&amp;AS[[#This Row],[Insurer Code]]&amp;"; "&amp;O4128&amp;AS[[#This Row],[Reporting Year]]&amp;"; "&amp;P4128&amp;AS[[#This Row],[Insurance Category Code]]&amp;"; "&amp;Q4128&amp;AS[[#This Row],[Large Provider Entity Code]]&amp;"; "&amp;R4128&amp;AS[[#This Row],[Age Band Code]]&amp;"; "&amp;S4128&amp;AS[[#This Row],[Sex Code]]</f>
        <v xml:space="preserve">Insurer Code ; Reporting Year ; Insurance Category Code ; Large Provider Entity Code ; Age Band Code ; Sex Code </v>
      </c>
      <c r="N4128" s="297" t="s">
        <v>197</v>
      </c>
      <c r="O4128" s="297" t="s">
        <v>198</v>
      </c>
      <c r="P4128" s="297" t="s">
        <v>199</v>
      </c>
      <c r="Q4128" s="297" t="s">
        <v>200</v>
      </c>
      <c r="R4128" s="297" t="s">
        <v>213</v>
      </c>
      <c r="S4128" s="297" t="s">
        <v>214</v>
      </c>
    </row>
    <row r="4129" spans="1:19" x14ac:dyDescent="0.4">
      <c r="A4129" s="291"/>
      <c r="B4129" s="292"/>
      <c r="C4129" s="312"/>
      <c r="D4129" s="292"/>
      <c r="E4129" s="489"/>
      <c r="F4129" s="489"/>
      <c r="G4129" s="490"/>
      <c r="H4129" s="520"/>
      <c r="I4129" s="523"/>
      <c r="J4129" s="521"/>
      <c r="K4129" s="522"/>
      <c r="M4129" s="301" t="str">
        <f>N4129&amp;AS[[#This Row],[Insurer Code]]&amp;"; "&amp;O4129&amp;AS[[#This Row],[Reporting Year]]&amp;"; "&amp;P4129&amp;AS[[#This Row],[Insurance Category Code]]&amp;"; "&amp;Q4129&amp;AS[[#This Row],[Large Provider Entity Code]]&amp;"; "&amp;R4129&amp;AS[[#This Row],[Age Band Code]]&amp;"; "&amp;S4129&amp;AS[[#This Row],[Sex Code]]</f>
        <v xml:space="preserve">Insurer Code ; Reporting Year ; Insurance Category Code ; Large Provider Entity Code ; Age Band Code ; Sex Code </v>
      </c>
      <c r="N4129" s="297" t="s">
        <v>197</v>
      </c>
      <c r="O4129" s="297" t="s">
        <v>198</v>
      </c>
      <c r="P4129" s="297" t="s">
        <v>199</v>
      </c>
      <c r="Q4129" s="297" t="s">
        <v>200</v>
      </c>
      <c r="R4129" s="297" t="s">
        <v>213</v>
      </c>
      <c r="S4129" s="297" t="s">
        <v>214</v>
      </c>
    </row>
    <row r="4130" spans="1:19" x14ac:dyDescent="0.4">
      <c r="A4130" s="291"/>
      <c r="B4130" s="292"/>
      <c r="C4130" s="312"/>
      <c r="D4130" s="292"/>
      <c r="E4130" s="489"/>
      <c r="F4130" s="489"/>
      <c r="G4130" s="490"/>
      <c r="H4130" s="520"/>
      <c r="I4130" s="523"/>
      <c r="J4130" s="521"/>
      <c r="K4130" s="522"/>
      <c r="M4130" s="301" t="str">
        <f>N4130&amp;AS[[#This Row],[Insurer Code]]&amp;"; "&amp;O4130&amp;AS[[#This Row],[Reporting Year]]&amp;"; "&amp;P4130&amp;AS[[#This Row],[Insurance Category Code]]&amp;"; "&amp;Q4130&amp;AS[[#This Row],[Large Provider Entity Code]]&amp;"; "&amp;R4130&amp;AS[[#This Row],[Age Band Code]]&amp;"; "&amp;S4130&amp;AS[[#This Row],[Sex Code]]</f>
        <v xml:space="preserve">Insurer Code ; Reporting Year ; Insurance Category Code ; Large Provider Entity Code ; Age Band Code ; Sex Code </v>
      </c>
      <c r="N4130" s="297" t="s">
        <v>197</v>
      </c>
      <c r="O4130" s="297" t="s">
        <v>198</v>
      </c>
      <c r="P4130" s="297" t="s">
        <v>199</v>
      </c>
      <c r="Q4130" s="297" t="s">
        <v>200</v>
      </c>
      <c r="R4130" s="297" t="s">
        <v>213</v>
      </c>
      <c r="S4130" s="297" t="s">
        <v>214</v>
      </c>
    </row>
    <row r="4131" spans="1:19" x14ac:dyDescent="0.4">
      <c r="A4131" s="291"/>
      <c r="B4131" s="292"/>
      <c r="C4131" s="312"/>
      <c r="D4131" s="292"/>
      <c r="E4131" s="489"/>
      <c r="F4131" s="489"/>
      <c r="G4131" s="490"/>
      <c r="H4131" s="520"/>
      <c r="I4131" s="523"/>
      <c r="J4131" s="521"/>
      <c r="K4131" s="522"/>
      <c r="M4131" s="301" t="str">
        <f>N4131&amp;AS[[#This Row],[Insurer Code]]&amp;"; "&amp;O4131&amp;AS[[#This Row],[Reporting Year]]&amp;"; "&amp;P4131&amp;AS[[#This Row],[Insurance Category Code]]&amp;"; "&amp;Q4131&amp;AS[[#This Row],[Large Provider Entity Code]]&amp;"; "&amp;R4131&amp;AS[[#This Row],[Age Band Code]]&amp;"; "&amp;S4131&amp;AS[[#This Row],[Sex Code]]</f>
        <v xml:space="preserve">Insurer Code ; Reporting Year ; Insurance Category Code ; Large Provider Entity Code ; Age Band Code ; Sex Code </v>
      </c>
      <c r="N4131" s="297" t="s">
        <v>197</v>
      </c>
      <c r="O4131" s="297" t="s">
        <v>198</v>
      </c>
      <c r="P4131" s="297" t="s">
        <v>199</v>
      </c>
      <c r="Q4131" s="297" t="s">
        <v>200</v>
      </c>
      <c r="R4131" s="297" t="s">
        <v>213</v>
      </c>
      <c r="S4131" s="297" t="s">
        <v>214</v>
      </c>
    </row>
    <row r="4132" spans="1:19" x14ac:dyDescent="0.4">
      <c r="A4132" s="291"/>
      <c r="B4132" s="292"/>
      <c r="C4132" s="312"/>
      <c r="D4132" s="292"/>
      <c r="E4132" s="489"/>
      <c r="F4132" s="489"/>
      <c r="G4132" s="490"/>
      <c r="H4132" s="520"/>
      <c r="I4132" s="523"/>
      <c r="J4132" s="521"/>
      <c r="K4132" s="522"/>
      <c r="M4132" s="301" t="str">
        <f>N4132&amp;AS[[#This Row],[Insurer Code]]&amp;"; "&amp;O4132&amp;AS[[#This Row],[Reporting Year]]&amp;"; "&amp;P4132&amp;AS[[#This Row],[Insurance Category Code]]&amp;"; "&amp;Q4132&amp;AS[[#This Row],[Large Provider Entity Code]]&amp;"; "&amp;R4132&amp;AS[[#This Row],[Age Band Code]]&amp;"; "&amp;S4132&amp;AS[[#This Row],[Sex Code]]</f>
        <v xml:space="preserve">Insurer Code ; Reporting Year ; Insurance Category Code ; Large Provider Entity Code ; Age Band Code ; Sex Code </v>
      </c>
      <c r="N4132" s="297" t="s">
        <v>197</v>
      </c>
      <c r="O4132" s="297" t="s">
        <v>198</v>
      </c>
      <c r="P4132" s="297" t="s">
        <v>199</v>
      </c>
      <c r="Q4132" s="297" t="s">
        <v>200</v>
      </c>
      <c r="R4132" s="297" t="s">
        <v>213</v>
      </c>
      <c r="S4132" s="297" t="s">
        <v>214</v>
      </c>
    </row>
    <row r="4133" spans="1:19" x14ac:dyDescent="0.4">
      <c r="A4133" s="291"/>
      <c r="B4133" s="292"/>
      <c r="C4133" s="312"/>
      <c r="D4133" s="292"/>
      <c r="E4133" s="489"/>
      <c r="F4133" s="489"/>
      <c r="G4133" s="490"/>
      <c r="H4133" s="520"/>
      <c r="I4133" s="523"/>
      <c r="J4133" s="521"/>
      <c r="K4133" s="522"/>
      <c r="M4133" s="301" t="str">
        <f>N4133&amp;AS[[#This Row],[Insurer Code]]&amp;"; "&amp;O4133&amp;AS[[#This Row],[Reporting Year]]&amp;"; "&amp;P4133&amp;AS[[#This Row],[Insurance Category Code]]&amp;"; "&amp;Q4133&amp;AS[[#This Row],[Large Provider Entity Code]]&amp;"; "&amp;R4133&amp;AS[[#This Row],[Age Band Code]]&amp;"; "&amp;S4133&amp;AS[[#This Row],[Sex Code]]</f>
        <v xml:space="preserve">Insurer Code ; Reporting Year ; Insurance Category Code ; Large Provider Entity Code ; Age Band Code ; Sex Code </v>
      </c>
      <c r="N4133" s="297" t="s">
        <v>197</v>
      </c>
      <c r="O4133" s="297" t="s">
        <v>198</v>
      </c>
      <c r="P4133" s="297" t="s">
        <v>199</v>
      </c>
      <c r="Q4133" s="297" t="s">
        <v>200</v>
      </c>
      <c r="R4133" s="297" t="s">
        <v>213</v>
      </c>
      <c r="S4133" s="297" t="s">
        <v>214</v>
      </c>
    </row>
    <row r="4134" spans="1:19" x14ac:dyDescent="0.4">
      <c r="A4134" s="291"/>
      <c r="B4134" s="292"/>
      <c r="C4134" s="312"/>
      <c r="D4134" s="292"/>
      <c r="E4134" s="489"/>
      <c r="F4134" s="489"/>
      <c r="G4134" s="490"/>
      <c r="H4134" s="520"/>
      <c r="I4134" s="523"/>
      <c r="J4134" s="521"/>
      <c r="K4134" s="522"/>
      <c r="M4134" s="301" t="str">
        <f>N4134&amp;AS[[#This Row],[Insurer Code]]&amp;"; "&amp;O4134&amp;AS[[#This Row],[Reporting Year]]&amp;"; "&amp;P4134&amp;AS[[#This Row],[Insurance Category Code]]&amp;"; "&amp;Q4134&amp;AS[[#This Row],[Large Provider Entity Code]]&amp;"; "&amp;R4134&amp;AS[[#This Row],[Age Band Code]]&amp;"; "&amp;S4134&amp;AS[[#This Row],[Sex Code]]</f>
        <v xml:space="preserve">Insurer Code ; Reporting Year ; Insurance Category Code ; Large Provider Entity Code ; Age Band Code ; Sex Code </v>
      </c>
      <c r="N4134" s="297" t="s">
        <v>197</v>
      </c>
      <c r="O4134" s="297" t="s">
        <v>198</v>
      </c>
      <c r="P4134" s="297" t="s">
        <v>199</v>
      </c>
      <c r="Q4134" s="297" t="s">
        <v>200</v>
      </c>
      <c r="R4134" s="297" t="s">
        <v>213</v>
      </c>
      <c r="S4134" s="297" t="s">
        <v>214</v>
      </c>
    </row>
    <row r="4135" spans="1:19" x14ac:dyDescent="0.4">
      <c r="A4135" s="291"/>
      <c r="B4135" s="292"/>
      <c r="C4135" s="312"/>
      <c r="D4135" s="292"/>
      <c r="E4135" s="489"/>
      <c r="F4135" s="489"/>
      <c r="G4135" s="490"/>
      <c r="H4135" s="520"/>
      <c r="I4135" s="523"/>
      <c r="J4135" s="521"/>
      <c r="K4135" s="522"/>
      <c r="M4135" s="301" t="str">
        <f>N4135&amp;AS[[#This Row],[Insurer Code]]&amp;"; "&amp;O4135&amp;AS[[#This Row],[Reporting Year]]&amp;"; "&amp;P4135&amp;AS[[#This Row],[Insurance Category Code]]&amp;"; "&amp;Q4135&amp;AS[[#This Row],[Large Provider Entity Code]]&amp;"; "&amp;R4135&amp;AS[[#This Row],[Age Band Code]]&amp;"; "&amp;S4135&amp;AS[[#This Row],[Sex Code]]</f>
        <v xml:space="preserve">Insurer Code ; Reporting Year ; Insurance Category Code ; Large Provider Entity Code ; Age Band Code ; Sex Code </v>
      </c>
      <c r="N4135" s="297" t="s">
        <v>197</v>
      </c>
      <c r="O4135" s="297" t="s">
        <v>198</v>
      </c>
      <c r="P4135" s="297" t="s">
        <v>199</v>
      </c>
      <c r="Q4135" s="297" t="s">
        <v>200</v>
      </c>
      <c r="R4135" s="297" t="s">
        <v>213</v>
      </c>
      <c r="S4135" s="297" t="s">
        <v>214</v>
      </c>
    </row>
    <row r="4136" spans="1:19" x14ac:dyDescent="0.4">
      <c r="A4136" s="291"/>
      <c r="B4136" s="292"/>
      <c r="C4136" s="312"/>
      <c r="D4136" s="292"/>
      <c r="E4136" s="489"/>
      <c r="F4136" s="489"/>
      <c r="G4136" s="490"/>
      <c r="H4136" s="520"/>
      <c r="I4136" s="523"/>
      <c r="J4136" s="521"/>
      <c r="K4136" s="522"/>
      <c r="M4136" s="301" t="str">
        <f>N4136&amp;AS[[#This Row],[Insurer Code]]&amp;"; "&amp;O4136&amp;AS[[#This Row],[Reporting Year]]&amp;"; "&amp;P4136&amp;AS[[#This Row],[Insurance Category Code]]&amp;"; "&amp;Q4136&amp;AS[[#This Row],[Large Provider Entity Code]]&amp;"; "&amp;R4136&amp;AS[[#This Row],[Age Band Code]]&amp;"; "&amp;S4136&amp;AS[[#This Row],[Sex Code]]</f>
        <v xml:space="preserve">Insurer Code ; Reporting Year ; Insurance Category Code ; Large Provider Entity Code ; Age Band Code ; Sex Code </v>
      </c>
      <c r="N4136" s="297" t="s">
        <v>197</v>
      </c>
      <c r="O4136" s="297" t="s">
        <v>198</v>
      </c>
      <c r="P4136" s="297" t="s">
        <v>199</v>
      </c>
      <c r="Q4136" s="297" t="s">
        <v>200</v>
      </c>
      <c r="R4136" s="297" t="s">
        <v>213</v>
      </c>
      <c r="S4136" s="297" t="s">
        <v>214</v>
      </c>
    </row>
    <row r="4137" spans="1:19" x14ac:dyDescent="0.4">
      <c r="A4137" s="291"/>
      <c r="B4137" s="292"/>
      <c r="C4137" s="312"/>
      <c r="D4137" s="292"/>
      <c r="E4137" s="489"/>
      <c r="F4137" s="489"/>
      <c r="G4137" s="490"/>
      <c r="H4137" s="520"/>
      <c r="I4137" s="523"/>
      <c r="J4137" s="521"/>
      <c r="K4137" s="522"/>
      <c r="M4137" s="301" t="str">
        <f>N4137&amp;AS[[#This Row],[Insurer Code]]&amp;"; "&amp;O4137&amp;AS[[#This Row],[Reporting Year]]&amp;"; "&amp;P4137&amp;AS[[#This Row],[Insurance Category Code]]&amp;"; "&amp;Q4137&amp;AS[[#This Row],[Large Provider Entity Code]]&amp;"; "&amp;R4137&amp;AS[[#This Row],[Age Band Code]]&amp;"; "&amp;S4137&amp;AS[[#This Row],[Sex Code]]</f>
        <v xml:space="preserve">Insurer Code ; Reporting Year ; Insurance Category Code ; Large Provider Entity Code ; Age Band Code ; Sex Code </v>
      </c>
      <c r="N4137" s="297" t="s">
        <v>197</v>
      </c>
      <c r="O4137" s="297" t="s">
        <v>198</v>
      </c>
      <c r="P4137" s="297" t="s">
        <v>199</v>
      </c>
      <c r="Q4137" s="297" t="s">
        <v>200</v>
      </c>
      <c r="R4137" s="297" t="s">
        <v>213</v>
      </c>
      <c r="S4137" s="297" t="s">
        <v>214</v>
      </c>
    </row>
    <row r="4138" spans="1:19" x14ac:dyDescent="0.4">
      <c r="A4138" s="291"/>
      <c r="B4138" s="292"/>
      <c r="C4138" s="312"/>
      <c r="D4138" s="292"/>
      <c r="E4138" s="489"/>
      <c r="F4138" s="489"/>
      <c r="G4138" s="490"/>
      <c r="H4138" s="520"/>
      <c r="I4138" s="523"/>
      <c r="J4138" s="521"/>
      <c r="K4138" s="522"/>
      <c r="M4138" s="301" t="str">
        <f>N4138&amp;AS[[#This Row],[Insurer Code]]&amp;"; "&amp;O4138&amp;AS[[#This Row],[Reporting Year]]&amp;"; "&amp;P4138&amp;AS[[#This Row],[Insurance Category Code]]&amp;"; "&amp;Q4138&amp;AS[[#This Row],[Large Provider Entity Code]]&amp;"; "&amp;R4138&amp;AS[[#This Row],[Age Band Code]]&amp;"; "&amp;S4138&amp;AS[[#This Row],[Sex Code]]</f>
        <v xml:space="preserve">Insurer Code ; Reporting Year ; Insurance Category Code ; Large Provider Entity Code ; Age Band Code ; Sex Code </v>
      </c>
      <c r="N4138" s="297" t="s">
        <v>197</v>
      </c>
      <c r="O4138" s="297" t="s">
        <v>198</v>
      </c>
      <c r="P4138" s="297" t="s">
        <v>199</v>
      </c>
      <c r="Q4138" s="297" t="s">
        <v>200</v>
      </c>
      <c r="R4138" s="297" t="s">
        <v>213</v>
      </c>
      <c r="S4138" s="297" t="s">
        <v>214</v>
      </c>
    </row>
    <row r="4139" spans="1:19" x14ac:dyDescent="0.4">
      <c r="A4139" s="291"/>
      <c r="B4139" s="292"/>
      <c r="C4139" s="312"/>
      <c r="D4139" s="292"/>
      <c r="E4139" s="489"/>
      <c r="F4139" s="489"/>
      <c r="G4139" s="490"/>
      <c r="H4139" s="520"/>
      <c r="I4139" s="523"/>
      <c r="J4139" s="521"/>
      <c r="K4139" s="522"/>
      <c r="M4139" s="301" t="str">
        <f>N4139&amp;AS[[#This Row],[Insurer Code]]&amp;"; "&amp;O4139&amp;AS[[#This Row],[Reporting Year]]&amp;"; "&amp;P4139&amp;AS[[#This Row],[Insurance Category Code]]&amp;"; "&amp;Q4139&amp;AS[[#This Row],[Large Provider Entity Code]]&amp;"; "&amp;R4139&amp;AS[[#This Row],[Age Band Code]]&amp;"; "&amp;S4139&amp;AS[[#This Row],[Sex Code]]</f>
        <v xml:space="preserve">Insurer Code ; Reporting Year ; Insurance Category Code ; Large Provider Entity Code ; Age Band Code ; Sex Code </v>
      </c>
      <c r="N4139" s="297" t="s">
        <v>197</v>
      </c>
      <c r="O4139" s="297" t="s">
        <v>198</v>
      </c>
      <c r="P4139" s="297" t="s">
        <v>199</v>
      </c>
      <c r="Q4139" s="297" t="s">
        <v>200</v>
      </c>
      <c r="R4139" s="297" t="s">
        <v>213</v>
      </c>
      <c r="S4139" s="297" t="s">
        <v>214</v>
      </c>
    </row>
    <row r="4140" spans="1:19" x14ac:dyDescent="0.4">
      <c r="A4140" s="291"/>
      <c r="B4140" s="292"/>
      <c r="C4140" s="312"/>
      <c r="D4140" s="292"/>
      <c r="E4140" s="489"/>
      <c r="F4140" s="489"/>
      <c r="G4140" s="490"/>
      <c r="H4140" s="520"/>
      <c r="I4140" s="523"/>
      <c r="J4140" s="521"/>
      <c r="K4140" s="522"/>
      <c r="M4140" s="301" t="str">
        <f>N4140&amp;AS[[#This Row],[Insurer Code]]&amp;"; "&amp;O4140&amp;AS[[#This Row],[Reporting Year]]&amp;"; "&amp;P4140&amp;AS[[#This Row],[Insurance Category Code]]&amp;"; "&amp;Q4140&amp;AS[[#This Row],[Large Provider Entity Code]]&amp;"; "&amp;R4140&amp;AS[[#This Row],[Age Band Code]]&amp;"; "&amp;S4140&amp;AS[[#This Row],[Sex Code]]</f>
        <v xml:space="preserve">Insurer Code ; Reporting Year ; Insurance Category Code ; Large Provider Entity Code ; Age Band Code ; Sex Code </v>
      </c>
      <c r="N4140" s="297" t="s">
        <v>197</v>
      </c>
      <c r="O4140" s="297" t="s">
        <v>198</v>
      </c>
      <c r="P4140" s="297" t="s">
        <v>199</v>
      </c>
      <c r="Q4140" s="297" t="s">
        <v>200</v>
      </c>
      <c r="R4140" s="297" t="s">
        <v>213</v>
      </c>
      <c r="S4140" s="297" t="s">
        <v>214</v>
      </c>
    </row>
    <row r="4141" spans="1:19" x14ac:dyDescent="0.4">
      <c r="A4141" s="291"/>
      <c r="B4141" s="292"/>
      <c r="C4141" s="312"/>
      <c r="D4141" s="292"/>
      <c r="E4141" s="489"/>
      <c r="F4141" s="489"/>
      <c r="G4141" s="490"/>
      <c r="H4141" s="520"/>
      <c r="I4141" s="523"/>
      <c r="J4141" s="521"/>
      <c r="K4141" s="522"/>
      <c r="M4141" s="301" t="str">
        <f>N4141&amp;AS[[#This Row],[Insurer Code]]&amp;"; "&amp;O4141&amp;AS[[#This Row],[Reporting Year]]&amp;"; "&amp;P4141&amp;AS[[#This Row],[Insurance Category Code]]&amp;"; "&amp;Q4141&amp;AS[[#This Row],[Large Provider Entity Code]]&amp;"; "&amp;R4141&amp;AS[[#This Row],[Age Band Code]]&amp;"; "&amp;S4141&amp;AS[[#This Row],[Sex Code]]</f>
        <v xml:space="preserve">Insurer Code ; Reporting Year ; Insurance Category Code ; Large Provider Entity Code ; Age Band Code ; Sex Code </v>
      </c>
      <c r="N4141" s="297" t="s">
        <v>197</v>
      </c>
      <c r="O4141" s="297" t="s">
        <v>198</v>
      </c>
      <c r="P4141" s="297" t="s">
        <v>199</v>
      </c>
      <c r="Q4141" s="297" t="s">
        <v>200</v>
      </c>
      <c r="R4141" s="297" t="s">
        <v>213</v>
      </c>
      <c r="S4141" s="297" t="s">
        <v>214</v>
      </c>
    </row>
    <row r="4142" spans="1:19" x14ac:dyDescent="0.4">
      <c r="A4142" s="291"/>
      <c r="B4142" s="292"/>
      <c r="C4142" s="312"/>
      <c r="D4142" s="292"/>
      <c r="E4142" s="489"/>
      <c r="F4142" s="489"/>
      <c r="G4142" s="490"/>
      <c r="H4142" s="520"/>
      <c r="I4142" s="523"/>
      <c r="J4142" s="521"/>
      <c r="K4142" s="522"/>
      <c r="M4142" s="301" t="str">
        <f>N4142&amp;AS[[#This Row],[Insurer Code]]&amp;"; "&amp;O4142&amp;AS[[#This Row],[Reporting Year]]&amp;"; "&amp;P4142&amp;AS[[#This Row],[Insurance Category Code]]&amp;"; "&amp;Q4142&amp;AS[[#This Row],[Large Provider Entity Code]]&amp;"; "&amp;R4142&amp;AS[[#This Row],[Age Band Code]]&amp;"; "&amp;S4142&amp;AS[[#This Row],[Sex Code]]</f>
        <v xml:space="preserve">Insurer Code ; Reporting Year ; Insurance Category Code ; Large Provider Entity Code ; Age Band Code ; Sex Code </v>
      </c>
      <c r="N4142" s="297" t="s">
        <v>197</v>
      </c>
      <c r="O4142" s="297" t="s">
        <v>198</v>
      </c>
      <c r="P4142" s="297" t="s">
        <v>199</v>
      </c>
      <c r="Q4142" s="297" t="s">
        <v>200</v>
      </c>
      <c r="R4142" s="297" t="s">
        <v>213</v>
      </c>
      <c r="S4142" s="297" t="s">
        <v>214</v>
      </c>
    </row>
    <row r="4143" spans="1:19" x14ac:dyDescent="0.4">
      <c r="A4143" s="291"/>
      <c r="B4143" s="292"/>
      <c r="C4143" s="312"/>
      <c r="D4143" s="292"/>
      <c r="E4143" s="489"/>
      <c r="F4143" s="489"/>
      <c r="G4143" s="490"/>
      <c r="H4143" s="520"/>
      <c r="I4143" s="523"/>
      <c r="J4143" s="521"/>
      <c r="K4143" s="522"/>
      <c r="M4143" s="301" t="str">
        <f>N4143&amp;AS[[#This Row],[Insurer Code]]&amp;"; "&amp;O4143&amp;AS[[#This Row],[Reporting Year]]&amp;"; "&amp;P4143&amp;AS[[#This Row],[Insurance Category Code]]&amp;"; "&amp;Q4143&amp;AS[[#This Row],[Large Provider Entity Code]]&amp;"; "&amp;R4143&amp;AS[[#This Row],[Age Band Code]]&amp;"; "&amp;S4143&amp;AS[[#This Row],[Sex Code]]</f>
        <v xml:space="preserve">Insurer Code ; Reporting Year ; Insurance Category Code ; Large Provider Entity Code ; Age Band Code ; Sex Code </v>
      </c>
      <c r="N4143" s="297" t="s">
        <v>197</v>
      </c>
      <c r="O4143" s="297" t="s">
        <v>198</v>
      </c>
      <c r="P4143" s="297" t="s">
        <v>199</v>
      </c>
      <c r="Q4143" s="297" t="s">
        <v>200</v>
      </c>
      <c r="R4143" s="297" t="s">
        <v>213</v>
      </c>
      <c r="S4143" s="297" t="s">
        <v>214</v>
      </c>
    </row>
    <row r="4144" spans="1:19" x14ac:dyDescent="0.4">
      <c r="A4144" s="291"/>
      <c r="B4144" s="292"/>
      <c r="C4144" s="312"/>
      <c r="D4144" s="292"/>
      <c r="E4144" s="489"/>
      <c r="F4144" s="489"/>
      <c r="G4144" s="490"/>
      <c r="H4144" s="520"/>
      <c r="I4144" s="523"/>
      <c r="J4144" s="521"/>
      <c r="K4144" s="522"/>
      <c r="M4144" s="301" t="str">
        <f>N4144&amp;AS[[#This Row],[Insurer Code]]&amp;"; "&amp;O4144&amp;AS[[#This Row],[Reporting Year]]&amp;"; "&amp;P4144&amp;AS[[#This Row],[Insurance Category Code]]&amp;"; "&amp;Q4144&amp;AS[[#This Row],[Large Provider Entity Code]]&amp;"; "&amp;R4144&amp;AS[[#This Row],[Age Band Code]]&amp;"; "&amp;S4144&amp;AS[[#This Row],[Sex Code]]</f>
        <v xml:space="preserve">Insurer Code ; Reporting Year ; Insurance Category Code ; Large Provider Entity Code ; Age Band Code ; Sex Code </v>
      </c>
      <c r="N4144" s="297" t="s">
        <v>197</v>
      </c>
      <c r="O4144" s="297" t="s">
        <v>198</v>
      </c>
      <c r="P4144" s="297" t="s">
        <v>199</v>
      </c>
      <c r="Q4144" s="297" t="s">
        <v>200</v>
      </c>
      <c r="R4144" s="297" t="s">
        <v>213</v>
      </c>
      <c r="S4144" s="297" t="s">
        <v>214</v>
      </c>
    </row>
    <row r="4145" spans="1:19" x14ac:dyDescent="0.4">
      <c r="A4145" s="291"/>
      <c r="B4145" s="292"/>
      <c r="C4145" s="312"/>
      <c r="D4145" s="292"/>
      <c r="E4145" s="489"/>
      <c r="F4145" s="489"/>
      <c r="G4145" s="490"/>
      <c r="H4145" s="520"/>
      <c r="I4145" s="523"/>
      <c r="J4145" s="521"/>
      <c r="K4145" s="522"/>
      <c r="M4145" s="301" t="str">
        <f>N4145&amp;AS[[#This Row],[Insurer Code]]&amp;"; "&amp;O4145&amp;AS[[#This Row],[Reporting Year]]&amp;"; "&amp;P4145&amp;AS[[#This Row],[Insurance Category Code]]&amp;"; "&amp;Q4145&amp;AS[[#This Row],[Large Provider Entity Code]]&amp;"; "&amp;R4145&amp;AS[[#This Row],[Age Band Code]]&amp;"; "&amp;S4145&amp;AS[[#This Row],[Sex Code]]</f>
        <v xml:space="preserve">Insurer Code ; Reporting Year ; Insurance Category Code ; Large Provider Entity Code ; Age Band Code ; Sex Code </v>
      </c>
      <c r="N4145" s="297" t="s">
        <v>197</v>
      </c>
      <c r="O4145" s="297" t="s">
        <v>198</v>
      </c>
      <c r="P4145" s="297" t="s">
        <v>199</v>
      </c>
      <c r="Q4145" s="297" t="s">
        <v>200</v>
      </c>
      <c r="R4145" s="297" t="s">
        <v>213</v>
      </c>
      <c r="S4145" s="297" t="s">
        <v>214</v>
      </c>
    </row>
    <row r="4146" spans="1:19" x14ac:dyDescent="0.4">
      <c r="A4146" s="291"/>
      <c r="B4146" s="292"/>
      <c r="C4146" s="312"/>
      <c r="D4146" s="292"/>
      <c r="E4146" s="489"/>
      <c r="F4146" s="489"/>
      <c r="G4146" s="490"/>
      <c r="H4146" s="520"/>
      <c r="I4146" s="523"/>
      <c r="J4146" s="521"/>
      <c r="K4146" s="522"/>
      <c r="M4146" s="301" t="str">
        <f>N4146&amp;AS[[#This Row],[Insurer Code]]&amp;"; "&amp;O4146&amp;AS[[#This Row],[Reporting Year]]&amp;"; "&amp;P4146&amp;AS[[#This Row],[Insurance Category Code]]&amp;"; "&amp;Q4146&amp;AS[[#This Row],[Large Provider Entity Code]]&amp;"; "&amp;R4146&amp;AS[[#This Row],[Age Band Code]]&amp;"; "&amp;S4146&amp;AS[[#This Row],[Sex Code]]</f>
        <v xml:space="preserve">Insurer Code ; Reporting Year ; Insurance Category Code ; Large Provider Entity Code ; Age Band Code ; Sex Code </v>
      </c>
      <c r="N4146" s="297" t="s">
        <v>197</v>
      </c>
      <c r="O4146" s="297" t="s">
        <v>198</v>
      </c>
      <c r="P4146" s="297" t="s">
        <v>199</v>
      </c>
      <c r="Q4146" s="297" t="s">
        <v>200</v>
      </c>
      <c r="R4146" s="297" t="s">
        <v>213</v>
      </c>
      <c r="S4146" s="297" t="s">
        <v>214</v>
      </c>
    </row>
    <row r="4147" spans="1:19" x14ac:dyDescent="0.4">
      <c r="A4147" s="291"/>
      <c r="B4147" s="292"/>
      <c r="C4147" s="312"/>
      <c r="D4147" s="292"/>
      <c r="E4147" s="489"/>
      <c r="F4147" s="489"/>
      <c r="G4147" s="490"/>
      <c r="H4147" s="520"/>
      <c r="I4147" s="523"/>
      <c r="J4147" s="521"/>
      <c r="K4147" s="522"/>
      <c r="M4147" s="301" t="str">
        <f>N4147&amp;AS[[#This Row],[Insurer Code]]&amp;"; "&amp;O4147&amp;AS[[#This Row],[Reporting Year]]&amp;"; "&amp;P4147&amp;AS[[#This Row],[Insurance Category Code]]&amp;"; "&amp;Q4147&amp;AS[[#This Row],[Large Provider Entity Code]]&amp;"; "&amp;R4147&amp;AS[[#This Row],[Age Band Code]]&amp;"; "&amp;S4147&amp;AS[[#This Row],[Sex Code]]</f>
        <v xml:space="preserve">Insurer Code ; Reporting Year ; Insurance Category Code ; Large Provider Entity Code ; Age Band Code ; Sex Code </v>
      </c>
      <c r="N4147" s="297" t="s">
        <v>197</v>
      </c>
      <c r="O4147" s="297" t="s">
        <v>198</v>
      </c>
      <c r="P4147" s="297" t="s">
        <v>199</v>
      </c>
      <c r="Q4147" s="297" t="s">
        <v>200</v>
      </c>
      <c r="R4147" s="297" t="s">
        <v>213</v>
      </c>
      <c r="S4147" s="297" t="s">
        <v>214</v>
      </c>
    </row>
    <row r="4148" spans="1:19" x14ac:dyDescent="0.4">
      <c r="A4148" s="291"/>
      <c r="B4148" s="292"/>
      <c r="C4148" s="312"/>
      <c r="D4148" s="292"/>
      <c r="E4148" s="489"/>
      <c r="F4148" s="489"/>
      <c r="G4148" s="490"/>
      <c r="H4148" s="520"/>
      <c r="I4148" s="523"/>
      <c r="J4148" s="521"/>
      <c r="K4148" s="522"/>
      <c r="M4148" s="301" t="str">
        <f>N4148&amp;AS[[#This Row],[Insurer Code]]&amp;"; "&amp;O4148&amp;AS[[#This Row],[Reporting Year]]&amp;"; "&amp;P4148&amp;AS[[#This Row],[Insurance Category Code]]&amp;"; "&amp;Q4148&amp;AS[[#This Row],[Large Provider Entity Code]]&amp;"; "&amp;R4148&amp;AS[[#This Row],[Age Band Code]]&amp;"; "&amp;S4148&amp;AS[[#This Row],[Sex Code]]</f>
        <v xml:space="preserve">Insurer Code ; Reporting Year ; Insurance Category Code ; Large Provider Entity Code ; Age Band Code ; Sex Code </v>
      </c>
      <c r="N4148" s="297" t="s">
        <v>197</v>
      </c>
      <c r="O4148" s="297" t="s">
        <v>198</v>
      </c>
      <c r="P4148" s="297" t="s">
        <v>199</v>
      </c>
      <c r="Q4148" s="297" t="s">
        <v>200</v>
      </c>
      <c r="R4148" s="297" t="s">
        <v>213</v>
      </c>
      <c r="S4148" s="297" t="s">
        <v>214</v>
      </c>
    </row>
    <row r="4149" spans="1:19" x14ac:dyDescent="0.4">
      <c r="A4149" s="291"/>
      <c r="B4149" s="292"/>
      <c r="C4149" s="312"/>
      <c r="D4149" s="292"/>
      <c r="E4149" s="489"/>
      <c r="F4149" s="489"/>
      <c r="G4149" s="490"/>
      <c r="H4149" s="520"/>
      <c r="I4149" s="523"/>
      <c r="J4149" s="521"/>
      <c r="K4149" s="522"/>
      <c r="M4149" s="301" t="str">
        <f>N4149&amp;AS[[#This Row],[Insurer Code]]&amp;"; "&amp;O4149&amp;AS[[#This Row],[Reporting Year]]&amp;"; "&amp;P4149&amp;AS[[#This Row],[Insurance Category Code]]&amp;"; "&amp;Q4149&amp;AS[[#This Row],[Large Provider Entity Code]]&amp;"; "&amp;R4149&amp;AS[[#This Row],[Age Band Code]]&amp;"; "&amp;S4149&amp;AS[[#This Row],[Sex Code]]</f>
        <v xml:space="preserve">Insurer Code ; Reporting Year ; Insurance Category Code ; Large Provider Entity Code ; Age Band Code ; Sex Code </v>
      </c>
      <c r="N4149" s="297" t="s">
        <v>197</v>
      </c>
      <c r="O4149" s="297" t="s">
        <v>198</v>
      </c>
      <c r="P4149" s="297" t="s">
        <v>199</v>
      </c>
      <c r="Q4149" s="297" t="s">
        <v>200</v>
      </c>
      <c r="R4149" s="297" t="s">
        <v>213</v>
      </c>
      <c r="S4149" s="297" t="s">
        <v>214</v>
      </c>
    </row>
    <row r="4150" spans="1:19" x14ac:dyDescent="0.4">
      <c r="A4150" s="291"/>
      <c r="B4150" s="292"/>
      <c r="C4150" s="312"/>
      <c r="D4150" s="292"/>
      <c r="E4150" s="489"/>
      <c r="F4150" s="489"/>
      <c r="G4150" s="490"/>
      <c r="H4150" s="520"/>
      <c r="I4150" s="523"/>
      <c r="J4150" s="521"/>
      <c r="K4150" s="522"/>
      <c r="M4150" s="301" t="str">
        <f>N4150&amp;AS[[#This Row],[Insurer Code]]&amp;"; "&amp;O4150&amp;AS[[#This Row],[Reporting Year]]&amp;"; "&amp;P4150&amp;AS[[#This Row],[Insurance Category Code]]&amp;"; "&amp;Q4150&amp;AS[[#This Row],[Large Provider Entity Code]]&amp;"; "&amp;R4150&amp;AS[[#This Row],[Age Band Code]]&amp;"; "&amp;S4150&amp;AS[[#This Row],[Sex Code]]</f>
        <v xml:space="preserve">Insurer Code ; Reporting Year ; Insurance Category Code ; Large Provider Entity Code ; Age Band Code ; Sex Code </v>
      </c>
      <c r="N4150" s="297" t="s">
        <v>197</v>
      </c>
      <c r="O4150" s="297" t="s">
        <v>198</v>
      </c>
      <c r="P4150" s="297" t="s">
        <v>199</v>
      </c>
      <c r="Q4150" s="297" t="s">
        <v>200</v>
      </c>
      <c r="R4150" s="297" t="s">
        <v>213</v>
      </c>
      <c r="S4150" s="297" t="s">
        <v>214</v>
      </c>
    </row>
    <row r="4151" spans="1:19" x14ac:dyDescent="0.4">
      <c r="A4151" s="291"/>
      <c r="B4151" s="292"/>
      <c r="C4151" s="312"/>
      <c r="D4151" s="292"/>
      <c r="E4151" s="489"/>
      <c r="F4151" s="489"/>
      <c r="G4151" s="490"/>
      <c r="H4151" s="520"/>
      <c r="I4151" s="523"/>
      <c r="J4151" s="521"/>
      <c r="K4151" s="522"/>
      <c r="M4151" s="301" t="str">
        <f>N4151&amp;AS[[#This Row],[Insurer Code]]&amp;"; "&amp;O4151&amp;AS[[#This Row],[Reporting Year]]&amp;"; "&amp;P4151&amp;AS[[#This Row],[Insurance Category Code]]&amp;"; "&amp;Q4151&amp;AS[[#This Row],[Large Provider Entity Code]]&amp;"; "&amp;R4151&amp;AS[[#This Row],[Age Band Code]]&amp;"; "&amp;S4151&amp;AS[[#This Row],[Sex Code]]</f>
        <v xml:space="preserve">Insurer Code ; Reporting Year ; Insurance Category Code ; Large Provider Entity Code ; Age Band Code ; Sex Code </v>
      </c>
      <c r="N4151" s="297" t="s">
        <v>197</v>
      </c>
      <c r="O4151" s="297" t="s">
        <v>198</v>
      </c>
      <c r="P4151" s="297" t="s">
        <v>199</v>
      </c>
      <c r="Q4151" s="297" t="s">
        <v>200</v>
      </c>
      <c r="R4151" s="297" t="s">
        <v>213</v>
      </c>
      <c r="S4151" s="297" t="s">
        <v>214</v>
      </c>
    </row>
    <row r="4152" spans="1:19" x14ac:dyDescent="0.4">
      <c r="A4152" s="291"/>
      <c r="B4152" s="292"/>
      <c r="C4152" s="312"/>
      <c r="D4152" s="292"/>
      <c r="E4152" s="489"/>
      <c r="F4152" s="489"/>
      <c r="G4152" s="490"/>
      <c r="H4152" s="520"/>
      <c r="I4152" s="523"/>
      <c r="J4152" s="521"/>
      <c r="K4152" s="522"/>
      <c r="M4152" s="301" t="str">
        <f>N4152&amp;AS[[#This Row],[Insurer Code]]&amp;"; "&amp;O4152&amp;AS[[#This Row],[Reporting Year]]&amp;"; "&amp;P4152&amp;AS[[#This Row],[Insurance Category Code]]&amp;"; "&amp;Q4152&amp;AS[[#This Row],[Large Provider Entity Code]]&amp;"; "&amp;R4152&amp;AS[[#This Row],[Age Band Code]]&amp;"; "&amp;S4152&amp;AS[[#This Row],[Sex Code]]</f>
        <v xml:space="preserve">Insurer Code ; Reporting Year ; Insurance Category Code ; Large Provider Entity Code ; Age Band Code ; Sex Code </v>
      </c>
      <c r="N4152" s="297" t="s">
        <v>197</v>
      </c>
      <c r="O4152" s="297" t="s">
        <v>198</v>
      </c>
      <c r="P4152" s="297" t="s">
        <v>199</v>
      </c>
      <c r="Q4152" s="297" t="s">
        <v>200</v>
      </c>
      <c r="R4152" s="297" t="s">
        <v>213</v>
      </c>
      <c r="S4152" s="297" t="s">
        <v>214</v>
      </c>
    </row>
    <row r="4153" spans="1:19" x14ac:dyDescent="0.4">
      <c r="A4153" s="291"/>
      <c r="B4153" s="292"/>
      <c r="C4153" s="312"/>
      <c r="D4153" s="292"/>
      <c r="E4153" s="489"/>
      <c r="F4153" s="489"/>
      <c r="G4153" s="490"/>
      <c r="H4153" s="520"/>
      <c r="I4153" s="523"/>
      <c r="J4153" s="521"/>
      <c r="K4153" s="522"/>
      <c r="M4153" s="301" t="str">
        <f>N4153&amp;AS[[#This Row],[Insurer Code]]&amp;"; "&amp;O4153&amp;AS[[#This Row],[Reporting Year]]&amp;"; "&amp;P4153&amp;AS[[#This Row],[Insurance Category Code]]&amp;"; "&amp;Q4153&amp;AS[[#This Row],[Large Provider Entity Code]]&amp;"; "&amp;R4153&amp;AS[[#This Row],[Age Band Code]]&amp;"; "&amp;S4153&amp;AS[[#This Row],[Sex Code]]</f>
        <v xml:space="preserve">Insurer Code ; Reporting Year ; Insurance Category Code ; Large Provider Entity Code ; Age Band Code ; Sex Code </v>
      </c>
      <c r="N4153" s="297" t="s">
        <v>197</v>
      </c>
      <c r="O4153" s="297" t="s">
        <v>198</v>
      </c>
      <c r="P4153" s="297" t="s">
        <v>199</v>
      </c>
      <c r="Q4153" s="297" t="s">
        <v>200</v>
      </c>
      <c r="R4153" s="297" t="s">
        <v>213</v>
      </c>
      <c r="S4153" s="297" t="s">
        <v>214</v>
      </c>
    </row>
    <row r="4154" spans="1:19" x14ac:dyDescent="0.4">
      <c r="A4154" s="291"/>
      <c r="B4154" s="292"/>
      <c r="C4154" s="312"/>
      <c r="D4154" s="292"/>
      <c r="E4154" s="489"/>
      <c r="F4154" s="489"/>
      <c r="G4154" s="490"/>
      <c r="H4154" s="520"/>
      <c r="I4154" s="523"/>
      <c r="J4154" s="521"/>
      <c r="K4154" s="522"/>
      <c r="M4154" s="301" t="str">
        <f>N4154&amp;AS[[#This Row],[Insurer Code]]&amp;"; "&amp;O4154&amp;AS[[#This Row],[Reporting Year]]&amp;"; "&amp;P4154&amp;AS[[#This Row],[Insurance Category Code]]&amp;"; "&amp;Q4154&amp;AS[[#This Row],[Large Provider Entity Code]]&amp;"; "&amp;R4154&amp;AS[[#This Row],[Age Band Code]]&amp;"; "&amp;S4154&amp;AS[[#This Row],[Sex Code]]</f>
        <v xml:space="preserve">Insurer Code ; Reporting Year ; Insurance Category Code ; Large Provider Entity Code ; Age Band Code ; Sex Code </v>
      </c>
      <c r="N4154" s="297" t="s">
        <v>197</v>
      </c>
      <c r="O4154" s="297" t="s">
        <v>198</v>
      </c>
      <c r="P4154" s="297" t="s">
        <v>199</v>
      </c>
      <c r="Q4154" s="297" t="s">
        <v>200</v>
      </c>
      <c r="R4154" s="297" t="s">
        <v>213</v>
      </c>
      <c r="S4154" s="297" t="s">
        <v>214</v>
      </c>
    </row>
    <row r="4155" spans="1:19" x14ac:dyDescent="0.4">
      <c r="A4155" s="291"/>
      <c r="B4155" s="292"/>
      <c r="C4155" s="312"/>
      <c r="D4155" s="292"/>
      <c r="E4155" s="489"/>
      <c r="F4155" s="489"/>
      <c r="G4155" s="490"/>
      <c r="H4155" s="520"/>
      <c r="I4155" s="523"/>
      <c r="J4155" s="521"/>
      <c r="K4155" s="522"/>
      <c r="M4155" s="301" t="str">
        <f>N4155&amp;AS[[#This Row],[Insurer Code]]&amp;"; "&amp;O4155&amp;AS[[#This Row],[Reporting Year]]&amp;"; "&amp;P4155&amp;AS[[#This Row],[Insurance Category Code]]&amp;"; "&amp;Q4155&amp;AS[[#This Row],[Large Provider Entity Code]]&amp;"; "&amp;R4155&amp;AS[[#This Row],[Age Band Code]]&amp;"; "&amp;S4155&amp;AS[[#This Row],[Sex Code]]</f>
        <v xml:space="preserve">Insurer Code ; Reporting Year ; Insurance Category Code ; Large Provider Entity Code ; Age Band Code ; Sex Code </v>
      </c>
      <c r="N4155" s="297" t="s">
        <v>197</v>
      </c>
      <c r="O4155" s="297" t="s">
        <v>198</v>
      </c>
      <c r="P4155" s="297" t="s">
        <v>199</v>
      </c>
      <c r="Q4155" s="297" t="s">
        <v>200</v>
      </c>
      <c r="R4155" s="297" t="s">
        <v>213</v>
      </c>
      <c r="S4155" s="297" t="s">
        <v>214</v>
      </c>
    </row>
    <row r="4156" spans="1:19" x14ac:dyDescent="0.4">
      <c r="A4156" s="291"/>
      <c r="B4156" s="292"/>
      <c r="C4156" s="312"/>
      <c r="D4156" s="292"/>
      <c r="E4156" s="489"/>
      <c r="F4156" s="489"/>
      <c r="G4156" s="490"/>
      <c r="H4156" s="520"/>
      <c r="I4156" s="523"/>
      <c r="J4156" s="521"/>
      <c r="K4156" s="522"/>
      <c r="M4156" s="301" t="str">
        <f>N4156&amp;AS[[#This Row],[Insurer Code]]&amp;"; "&amp;O4156&amp;AS[[#This Row],[Reporting Year]]&amp;"; "&amp;P4156&amp;AS[[#This Row],[Insurance Category Code]]&amp;"; "&amp;Q4156&amp;AS[[#This Row],[Large Provider Entity Code]]&amp;"; "&amp;R4156&amp;AS[[#This Row],[Age Band Code]]&amp;"; "&amp;S4156&amp;AS[[#This Row],[Sex Code]]</f>
        <v xml:space="preserve">Insurer Code ; Reporting Year ; Insurance Category Code ; Large Provider Entity Code ; Age Band Code ; Sex Code </v>
      </c>
      <c r="N4156" s="297" t="s">
        <v>197</v>
      </c>
      <c r="O4156" s="297" t="s">
        <v>198</v>
      </c>
      <c r="P4156" s="297" t="s">
        <v>199</v>
      </c>
      <c r="Q4156" s="297" t="s">
        <v>200</v>
      </c>
      <c r="R4156" s="297" t="s">
        <v>213</v>
      </c>
      <c r="S4156" s="297" t="s">
        <v>214</v>
      </c>
    </row>
    <row r="4157" spans="1:19" x14ac:dyDescent="0.4">
      <c r="A4157" s="291"/>
      <c r="B4157" s="292"/>
      <c r="C4157" s="312"/>
      <c r="D4157" s="292"/>
      <c r="E4157" s="489"/>
      <c r="F4157" s="489"/>
      <c r="G4157" s="490"/>
      <c r="H4157" s="520"/>
      <c r="I4157" s="523"/>
      <c r="J4157" s="521"/>
      <c r="K4157" s="522"/>
      <c r="M4157" s="301" t="str">
        <f>N4157&amp;AS[[#This Row],[Insurer Code]]&amp;"; "&amp;O4157&amp;AS[[#This Row],[Reporting Year]]&amp;"; "&amp;P4157&amp;AS[[#This Row],[Insurance Category Code]]&amp;"; "&amp;Q4157&amp;AS[[#This Row],[Large Provider Entity Code]]&amp;"; "&amp;R4157&amp;AS[[#This Row],[Age Band Code]]&amp;"; "&amp;S4157&amp;AS[[#This Row],[Sex Code]]</f>
        <v xml:space="preserve">Insurer Code ; Reporting Year ; Insurance Category Code ; Large Provider Entity Code ; Age Band Code ; Sex Code </v>
      </c>
      <c r="N4157" s="297" t="s">
        <v>197</v>
      </c>
      <c r="O4157" s="297" t="s">
        <v>198</v>
      </c>
      <c r="P4157" s="297" t="s">
        <v>199</v>
      </c>
      <c r="Q4157" s="297" t="s">
        <v>200</v>
      </c>
      <c r="R4157" s="297" t="s">
        <v>213</v>
      </c>
      <c r="S4157" s="297" t="s">
        <v>214</v>
      </c>
    </row>
    <row r="4158" spans="1:19" x14ac:dyDescent="0.4">
      <c r="A4158" s="291"/>
      <c r="B4158" s="292"/>
      <c r="C4158" s="312"/>
      <c r="D4158" s="292"/>
      <c r="E4158" s="489"/>
      <c r="F4158" s="489"/>
      <c r="G4158" s="490"/>
      <c r="H4158" s="520"/>
      <c r="I4158" s="523"/>
      <c r="J4158" s="521"/>
      <c r="K4158" s="522"/>
      <c r="M4158" s="301" t="str">
        <f>N4158&amp;AS[[#This Row],[Insurer Code]]&amp;"; "&amp;O4158&amp;AS[[#This Row],[Reporting Year]]&amp;"; "&amp;P4158&amp;AS[[#This Row],[Insurance Category Code]]&amp;"; "&amp;Q4158&amp;AS[[#This Row],[Large Provider Entity Code]]&amp;"; "&amp;R4158&amp;AS[[#This Row],[Age Band Code]]&amp;"; "&amp;S4158&amp;AS[[#This Row],[Sex Code]]</f>
        <v xml:space="preserve">Insurer Code ; Reporting Year ; Insurance Category Code ; Large Provider Entity Code ; Age Band Code ; Sex Code </v>
      </c>
      <c r="N4158" s="297" t="s">
        <v>197</v>
      </c>
      <c r="O4158" s="297" t="s">
        <v>198</v>
      </c>
      <c r="P4158" s="297" t="s">
        <v>199</v>
      </c>
      <c r="Q4158" s="297" t="s">
        <v>200</v>
      </c>
      <c r="R4158" s="297" t="s">
        <v>213</v>
      </c>
      <c r="S4158" s="297" t="s">
        <v>214</v>
      </c>
    </row>
    <row r="4159" spans="1:19" x14ac:dyDescent="0.4">
      <c r="A4159" s="291"/>
      <c r="B4159" s="292"/>
      <c r="C4159" s="312"/>
      <c r="D4159" s="292"/>
      <c r="E4159" s="489"/>
      <c r="F4159" s="489"/>
      <c r="G4159" s="490"/>
      <c r="H4159" s="520"/>
      <c r="I4159" s="523"/>
      <c r="J4159" s="521"/>
      <c r="K4159" s="522"/>
      <c r="M4159" s="301" t="str">
        <f>N4159&amp;AS[[#This Row],[Insurer Code]]&amp;"; "&amp;O4159&amp;AS[[#This Row],[Reporting Year]]&amp;"; "&amp;P4159&amp;AS[[#This Row],[Insurance Category Code]]&amp;"; "&amp;Q4159&amp;AS[[#This Row],[Large Provider Entity Code]]&amp;"; "&amp;R4159&amp;AS[[#This Row],[Age Band Code]]&amp;"; "&amp;S4159&amp;AS[[#This Row],[Sex Code]]</f>
        <v xml:space="preserve">Insurer Code ; Reporting Year ; Insurance Category Code ; Large Provider Entity Code ; Age Band Code ; Sex Code </v>
      </c>
      <c r="N4159" s="297" t="s">
        <v>197</v>
      </c>
      <c r="O4159" s="297" t="s">
        <v>198</v>
      </c>
      <c r="P4159" s="297" t="s">
        <v>199</v>
      </c>
      <c r="Q4159" s="297" t="s">
        <v>200</v>
      </c>
      <c r="R4159" s="297" t="s">
        <v>213</v>
      </c>
      <c r="S4159" s="297" t="s">
        <v>214</v>
      </c>
    </row>
    <row r="4160" spans="1:19" x14ac:dyDescent="0.4">
      <c r="A4160" s="291"/>
      <c r="B4160" s="292"/>
      <c r="C4160" s="312"/>
      <c r="D4160" s="292"/>
      <c r="E4160" s="489"/>
      <c r="F4160" s="489"/>
      <c r="G4160" s="490"/>
      <c r="H4160" s="520"/>
      <c r="I4160" s="523"/>
      <c r="J4160" s="521"/>
      <c r="K4160" s="522"/>
      <c r="M4160" s="301" t="str">
        <f>N4160&amp;AS[[#This Row],[Insurer Code]]&amp;"; "&amp;O4160&amp;AS[[#This Row],[Reporting Year]]&amp;"; "&amp;P4160&amp;AS[[#This Row],[Insurance Category Code]]&amp;"; "&amp;Q4160&amp;AS[[#This Row],[Large Provider Entity Code]]&amp;"; "&amp;R4160&amp;AS[[#This Row],[Age Band Code]]&amp;"; "&amp;S4160&amp;AS[[#This Row],[Sex Code]]</f>
        <v xml:space="preserve">Insurer Code ; Reporting Year ; Insurance Category Code ; Large Provider Entity Code ; Age Band Code ; Sex Code </v>
      </c>
      <c r="N4160" s="297" t="s">
        <v>197</v>
      </c>
      <c r="O4160" s="297" t="s">
        <v>198</v>
      </c>
      <c r="P4160" s="297" t="s">
        <v>199</v>
      </c>
      <c r="Q4160" s="297" t="s">
        <v>200</v>
      </c>
      <c r="R4160" s="297" t="s">
        <v>213</v>
      </c>
      <c r="S4160" s="297" t="s">
        <v>214</v>
      </c>
    </row>
    <row r="4161" spans="1:19" x14ac:dyDescent="0.4">
      <c r="A4161" s="291"/>
      <c r="B4161" s="292"/>
      <c r="C4161" s="312"/>
      <c r="D4161" s="292"/>
      <c r="E4161" s="489"/>
      <c r="F4161" s="489"/>
      <c r="G4161" s="490"/>
      <c r="H4161" s="520"/>
      <c r="I4161" s="523"/>
      <c r="J4161" s="521"/>
      <c r="K4161" s="522"/>
      <c r="M4161" s="301" t="str">
        <f>N4161&amp;AS[[#This Row],[Insurer Code]]&amp;"; "&amp;O4161&amp;AS[[#This Row],[Reporting Year]]&amp;"; "&amp;P4161&amp;AS[[#This Row],[Insurance Category Code]]&amp;"; "&amp;Q4161&amp;AS[[#This Row],[Large Provider Entity Code]]&amp;"; "&amp;R4161&amp;AS[[#This Row],[Age Band Code]]&amp;"; "&amp;S4161&amp;AS[[#This Row],[Sex Code]]</f>
        <v xml:space="preserve">Insurer Code ; Reporting Year ; Insurance Category Code ; Large Provider Entity Code ; Age Band Code ; Sex Code </v>
      </c>
      <c r="N4161" s="297" t="s">
        <v>197</v>
      </c>
      <c r="O4161" s="297" t="s">
        <v>198</v>
      </c>
      <c r="P4161" s="297" t="s">
        <v>199</v>
      </c>
      <c r="Q4161" s="297" t="s">
        <v>200</v>
      </c>
      <c r="R4161" s="297" t="s">
        <v>213</v>
      </c>
      <c r="S4161" s="297" t="s">
        <v>214</v>
      </c>
    </row>
    <row r="4162" spans="1:19" x14ac:dyDescent="0.4">
      <c r="A4162" s="291"/>
      <c r="B4162" s="292"/>
      <c r="C4162" s="312"/>
      <c r="D4162" s="292"/>
      <c r="E4162" s="489"/>
      <c r="F4162" s="489"/>
      <c r="G4162" s="490"/>
      <c r="H4162" s="520"/>
      <c r="I4162" s="523"/>
      <c r="J4162" s="521"/>
      <c r="K4162" s="522"/>
      <c r="M4162" s="301" t="str">
        <f>N4162&amp;AS[[#This Row],[Insurer Code]]&amp;"; "&amp;O4162&amp;AS[[#This Row],[Reporting Year]]&amp;"; "&amp;P4162&amp;AS[[#This Row],[Insurance Category Code]]&amp;"; "&amp;Q4162&amp;AS[[#This Row],[Large Provider Entity Code]]&amp;"; "&amp;R4162&amp;AS[[#This Row],[Age Band Code]]&amp;"; "&amp;S4162&amp;AS[[#This Row],[Sex Code]]</f>
        <v xml:space="preserve">Insurer Code ; Reporting Year ; Insurance Category Code ; Large Provider Entity Code ; Age Band Code ; Sex Code </v>
      </c>
      <c r="N4162" s="297" t="s">
        <v>197</v>
      </c>
      <c r="O4162" s="297" t="s">
        <v>198</v>
      </c>
      <c r="P4162" s="297" t="s">
        <v>199</v>
      </c>
      <c r="Q4162" s="297" t="s">
        <v>200</v>
      </c>
      <c r="R4162" s="297" t="s">
        <v>213</v>
      </c>
      <c r="S4162" s="297" t="s">
        <v>214</v>
      </c>
    </row>
    <row r="4163" spans="1:19" x14ac:dyDescent="0.4">
      <c r="A4163" s="291"/>
      <c r="B4163" s="292"/>
      <c r="C4163" s="312"/>
      <c r="D4163" s="292"/>
      <c r="E4163" s="489"/>
      <c r="F4163" s="489"/>
      <c r="G4163" s="490"/>
      <c r="H4163" s="520"/>
      <c r="I4163" s="523"/>
      <c r="J4163" s="521"/>
      <c r="K4163" s="522"/>
      <c r="M4163" s="301" t="str">
        <f>N4163&amp;AS[[#This Row],[Insurer Code]]&amp;"; "&amp;O4163&amp;AS[[#This Row],[Reporting Year]]&amp;"; "&amp;P4163&amp;AS[[#This Row],[Insurance Category Code]]&amp;"; "&amp;Q4163&amp;AS[[#This Row],[Large Provider Entity Code]]&amp;"; "&amp;R4163&amp;AS[[#This Row],[Age Band Code]]&amp;"; "&amp;S4163&amp;AS[[#This Row],[Sex Code]]</f>
        <v xml:space="preserve">Insurer Code ; Reporting Year ; Insurance Category Code ; Large Provider Entity Code ; Age Band Code ; Sex Code </v>
      </c>
      <c r="N4163" s="297" t="s">
        <v>197</v>
      </c>
      <c r="O4163" s="297" t="s">
        <v>198</v>
      </c>
      <c r="P4163" s="297" t="s">
        <v>199</v>
      </c>
      <c r="Q4163" s="297" t="s">
        <v>200</v>
      </c>
      <c r="R4163" s="297" t="s">
        <v>213</v>
      </c>
      <c r="S4163" s="297" t="s">
        <v>214</v>
      </c>
    </row>
    <row r="4164" spans="1:19" x14ac:dyDescent="0.4">
      <c r="A4164" s="291"/>
      <c r="B4164" s="292"/>
      <c r="C4164" s="312"/>
      <c r="D4164" s="292"/>
      <c r="E4164" s="489"/>
      <c r="F4164" s="489"/>
      <c r="G4164" s="490"/>
      <c r="H4164" s="520"/>
      <c r="I4164" s="523"/>
      <c r="J4164" s="521"/>
      <c r="K4164" s="522"/>
      <c r="M4164" s="301" t="str">
        <f>N4164&amp;AS[[#This Row],[Insurer Code]]&amp;"; "&amp;O4164&amp;AS[[#This Row],[Reporting Year]]&amp;"; "&amp;P4164&amp;AS[[#This Row],[Insurance Category Code]]&amp;"; "&amp;Q4164&amp;AS[[#This Row],[Large Provider Entity Code]]&amp;"; "&amp;R4164&amp;AS[[#This Row],[Age Band Code]]&amp;"; "&amp;S4164&amp;AS[[#This Row],[Sex Code]]</f>
        <v xml:space="preserve">Insurer Code ; Reporting Year ; Insurance Category Code ; Large Provider Entity Code ; Age Band Code ; Sex Code </v>
      </c>
      <c r="N4164" s="297" t="s">
        <v>197</v>
      </c>
      <c r="O4164" s="297" t="s">
        <v>198</v>
      </c>
      <c r="P4164" s="297" t="s">
        <v>199</v>
      </c>
      <c r="Q4164" s="297" t="s">
        <v>200</v>
      </c>
      <c r="R4164" s="297" t="s">
        <v>213</v>
      </c>
      <c r="S4164" s="297" t="s">
        <v>214</v>
      </c>
    </row>
    <row r="4165" spans="1:19" x14ac:dyDescent="0.4">
      <c r="A4165" s="291"/>
      <c r="B4165" s="292"/>
      <c r="C4165" s="312"/>
      <c r="D4165" s="292"/>
      <c r="E4165" s="489"/>
      <c r="F4165" s="489"/>
      <c r="G4165" s="490"/>
      <c r="H4165" s="520"/>
      <c r="I4165" s="523"/>
      <c r="J4165" s="521"/>
      <c r="K4165" s="522"/>
      <c r="M4165" s="301" t="str">
        <f>N4165&amp;AS[[#This Row],[Insurer Code]]&amp;"; "&amp;O4165&amp;AS[[#This Row],[Reporting Year]]&amp;"; "&amp;P4165&amp;AS[[#This Row],[Insurance Category Code]]&amp;"; "&amp;Q4165&amp;AS[[#This Row],[Large Provider Entity Code]]&amp;"; "&amp;R4165&amp;AS[[#This Row],[Age Band Code]]&amp;"; "&amp;S4165&amp;AS[[#This Row],[Sex Code]]</f>
        <v xml:space="preserve">Insurer Code ; Reporting Year ; Insurance Category Code ; Large Provider Entity Code ; Age Band Code ; Sex Code </v>
      </c>
      <c r="N4165" s="297" t="s">
        <v>197</v>
      </c>
      <c r="O4165" s="297" t="s">
        <v>198</v>
      </c>
      <c r="P4165" s="297" t="s">
        <v>199</v>
      </c>
      <c r="Q4165" s="297" t="s">
        <v>200</v>
      </c>
      <c r="R4165" s="297" t="s">
        <v>213</v>
      </c>
      <c r="S4165" s="297" t="s">
        <v>214</v>
      </c>
    </row>
    <row r="4166" spans="1:19" x14ac:dyDescent="0.4">
      <c r="A4166" s="291"/>
      <c r="B4166" s="292"/>
      <c r="C4166" s="312"/>
      <c r="D4166" s="292"/>
      <c r="E4166" s="489"/>
      <c r="F4166" s="489"/>
      <c r="G4166" s="490"/>
      <c r="H4166" s="520"/>
      <c r="I4166" s="523"/>
      <c r="J4166" s="521"/>
      <c r="K4166" s="522"/>
      <c r="M4166" s="301" t="str">
        <f>N4166&amp;AS[[#This Row],[Insurer Code]]&amp;"; "&amp;O4166&amp;AS[[#This Row],[Reporting Year]]&amp;"; "&amp;P4166&amp;AS[[#This Row],[Insurance Category Code]]&amp;"; "&amp;Q4166&amp;AS[[#This Row],[Large Provider Entity Code]]&amp;"; "&amp;R4166&amp;AS[[#This Row],[Age Band Code]]&amp;"; "&amp;S4166&amp;AS[[#This Row],[Sex Code]]</f>
        <v xml:space="preserve">Insurer Code ; Reporting Year ; Insurance Category Code ; Large Provider Entity Code ; Age Band Code ; Sex Code </v>
      </c>
      <c r="N4166" s="297" t="s">
        <v>197</v>
      </c>
      <c r="O4166" s="297" t="s">
        <v>198</v>
      </c>
      <c r="P4166" s="297" t="s">
        <v>199</v>
      </c>
      <c r="Q4166" s="297" t="s">
        <v>200</v>
      </c>
      <c r="R4166" s="297" t="s">
        <v>213</v>
      </c>
      <c r="S4166" s="297" t="s">
        <v>214</v>
      </c>
    </row>
    <row r="4167" spans="1:19" x14ac:dyDescent="0.4">
      <c r="A4167" s="291"/>
      <c r="B4167" s="292"/>
      <c r="C4167" s="312"/>
      <c r="D4167" s="292"/>
      <c r="E4167" s="489"/>
      <c r="F4167" s="489"/>
      <c r="G4167" s="490"/>
      <c r="H4167" s="520"/>
      <c r="I4167" s="523"/>
      <c r="J4167" s="521"/>
      <c r="K4167" s="522"/>
      <c r="M4167" s="301" t="str">
        <f>N4167&amp;AS[[#This Row],[Insurer Code]]&amp;"; "&amp;O4167&amp;AS[[#This Row],[Reporting Year]]&amp;"; "&amp;P4167&amp;AS[[#This Row],[Insurance Category Code]]&amp;"; "&amp;Q4167&amp;AS[[#This Row],[Large Provider Entity Code]]&amp;"; "&amp;R4167&amp;AS[[#This Row],[Age Band Code]]&amp;"; "&amp;S4167&amp;AS[[#This Row],[Sex Code]]</f>
        <v xml:space="preserve">Insurer Code ; Reporting Year ; Insurance Category Code ; Large Provider Entity Code ; Age Band Code ; Sex Code </v>
      </c>
      <c r="N4167" s="297" t="s">
        <v>197</v>
      </c>
      <c r="O4167" s="297" t="s">
        <v>198</v>
      </c>
      <c r="P4167" s="297" t="s">
        <v>199</v>
      </c>
      <c r="Q4167" s="297" t="s">
        <v>200</v>
      </c>
      <c r="R4167" s="297" t="s">
        <v>213</v>
      </c>
      <c r="S4167" s="297" t="s">
        <v>214</v>
      </c>
    </row>
    <row r="4168" spans="1:19" x14ac:dyDescent="0.4">
      <c r="A4168" s="291"/>
      <c r="B4168" s="292"/>
      <c r="C4168" s="312"/>
      <c r="D4168" s="292"/>
      <c r="E4168" s="489"/>
      <c r="F4168" s="489"/>
      <c r="G4168" s="490"/>
      <c r="H4168" s="520"/>
      <c r="I4168" s="523"/>
      <c r="J4168" s="521"/>
      <c r="K4168" s="522"/>
      <c r="M4168" s="301" t="str">
        <f>N4168&amp;AS[[#This Row],[Insurer Code]]&amp;"; "&amp;O4168&amp;AS[[#This Row],[Reporting Year]]&amp;"; "&amp;P4168&amp;AS[[#This Row],[Insurance Category Code]]&amp;"; "&amp;Q4168&amp;AS[[#This Row],[Large Provider Entity Code]]&amp;"; "&amp;R4168&amp;AS[[#This Row],[Age Band Code]]&amp;"; "&amp;S4168&amp;AS[[#This Row],[Sex Code]]</f>
        <v xml:space="preserve">Insurer Code ; Reporting Year ; Insurance Category Code ; Large Provider Entity Code ; Age Band Code ; Sex Code </v>
      </c>
      <c r="N4168" s="297" t="s">
        <v>197</v>
      </c>
      <c r="O4168" s="297" t="s">
        <v>198</v>
      </c>
      <c r="P4168" s="297" t="s">
        <v>199</v>
      </c>
      <c r="Q4168" s="297" t="s">
        <v>200</v>
      </c>
      <c r="R4168" s="297" t="s">
        <v>213</v>
      </c>
      <c r="S4168" s="297" t="s">
        <v>214</v>
      </c>
    </row>
    <row r="4169" spans="1:19" x14ac:dyDescent="0.4">
      <c r="A4169" s="291"/>
      <c r="B4169" s="292"/>
      <c r="C4169" s="312"/>
      <c r="D4169" s="292"/>
      <c r="E4169" s="489"/>
      <c r="F4169" s="489"/>
      <c r="G4169" s="490"/>
      <c r="H4169" s="520"/>
      <c r="I4169" s="523"/>
      <c r="J4169" s="521"/>
      <c r="K4169" s="522"/>
      <c r="M4169" s="301" t="str">
        <f>N4169&amp;AS[[#This Row],[Insurer Code]]&amp;"; "&amp;O4169&amp;AS[[#This Row],[Reporting Year]]&amp;"; "&amp;P4169&amp;AS[[#This Row],[Insurance Category Code]]&amp;"; "&amp;Q4169&amp;AS[[#This Row],[Large Provider Entity Code]]&amp;"; "&amp;R4169&amp;AS[[#This Row],[Age Band Code]]&amp;"; "&amp;S4169&amp;AS[[#This Row],[Sex Code]]</f>
        <v xml:space="preserve">Insurer Code ; Reporting Year ; Insurance Category Code ; Large Provider Entity Code ; Age Band Code ; Sex Code </v>
      </c>
      <c r="N4169" s="297" t="s">
        <v>197</v>
      </c>
      <c r="O4169" s="297" t="s">
        <v>198</v>
      </c>
      <c r="P4169" s="297" t="s">
        <v>199</v>
      </c>
      <c r="Q4169" s="297" t="s">
        <v>200</v>
      </c>
      <c r="R4169" s="297" t="s">
        <v>213</v>
      </c>
      <c r="S4169" s="297" t="s">
        <v>214</v>
      </c>
    </row>
    <row r="4170" spans="1:19" x14ac:dyDescent="0.4">
      <c r="A4170" s="291"/>
      <c r="B4170" s="292"/>
      <c r="C4170" s="312"/>
      <c r="D4170" s="292"/>
      <c r="E4170" s="489"/>
      <c r="F4170" s="489"/>
      <c r="G4170" s="490"/>
      <c r="H4170" s="520"/>
      <c r="I4170" s="523"/>
      <c r="J4170" s="521"/>
      <c r="K4170" s="522"/>
      <c r="M4170" s="301" t="str">
        <f>N4170&amp;AS[[#This Row],[Insurer Code]]&amp;"; "&amp;O4170&amp;AS[[#This Row],[Reporting Year]]&amp;"; "&amp;P4170&amp;AS[[#This Row],[Insurance Category Code]]&amp;"; "&amp;Q4170&amp;AS[[#This Row],[Large Provider Entity Code]]&amp;"; "&amp;R4170&amp;AS[[#This Row],[Age Band Code]]&amp;"; "&amp;S4170&amp;AS[[#This Row],[Sex Code]]</f>
        <v xml:space="preserve">Insurer Code ; Reporting Year ; Insurance Category Code ; Large Provider Entity Code ; Age Band Code ; Sex Code </v>
      </c>
      <c r="N4170" s="297" t="s">
        <v>197</v>
      </c>
      <c r="O4170" s="297" t="s">
        <v>198</v>
      </c>
      <c r="P4170" s="297" t="s">
        <v>199</v>
      </c>
      <c r="Q4170" s="297" t="s">
        <v>200</v>
      </c>
      <c r="R4170" s="297" t="s">
        <v>213</v>
      </c>
      <c r="S4170" s="297" t="s">
        <v>214</v>
      </c>
    </row>
    <row r="4171" spans="1:19" x14ac:dyDescent="0.4">
      <c r="A4171" s="291"/>
      <c r="B4171" s="292"/>
      <c r="C4171" s="312"/>
      <c r="D4171" s="292"/>
      <c r="E4171" s="489"/>
      <c r="F4171" s="489"/>
      <c r="G4171" s="490"/>
      <c r="H4171" s="520"/>
      <c r="I4171" s="523"/>
      <c r="J4171" s="521"/>
      <c r="K4171" s="522"/>
      <c r="M4171" s="301" t="str">
        <f>N4171&amp;AS[[#This Row],[Insurer Code]]&amp;"; "&amp;O4171&amp;AS[[#This Row],[Reporting Year]]&amp;"; "&amp;P4171&amp;AS[[#This Row],[Insurance Category Code]]&amp;"; "&amp;Q4171&amp;AS[[#This Row],[Large Provider Entity Code]]&amp;"; "&amp;R4171&amp;AS[[#This Row],[Age Band Code]]&amp;"; "&amp;S4171&amp;AS[[#This Row],[Sex Code]]</f>
        <v xml:space="preserve">Insurer Code ; Reporting Year ; Insurance Category Code ; Large Provider Entity Code ; Age Band Code ; Sex Code </v>
      </c>
      <c r="N4171" s="297" t="s">
        <v>197</v>
      </c>
      <c r="O4171" s="297" t="s">
        <v>198</v>
      </c>
      <c r="P4171" s="297" t="s">
        <v>199</v>
      </c>
      <c r="Q4171" s="297" t="s">
        <v>200</v>
      </c>
      <c r="R4171" s="297" t="s">
        <v>213</v>
      </c>
      <c r="S4171" s="297" t="s">
        <v>214</v>
      </c>
    </row>
    <row r="4172" spans="1:19" x14ac:dyDescent="0.4">
      <c r="A4172" s="291"/>
      <c r="B4172" s="292"/>
      <c r="C4172" s="312"/>
      <c r="D4172" s="292"/>
      <c r="E4172" s="489"/>
      <c r="F4172" s="489"/>
      <c r="G4172" s="490"/>
      <c r="H4172" s="520"/>
      <c r="I4172" s="523"/>
      <c r="J4172" s="521"/>
      <c r="K4172" s="522"/>
      <c r="M4172" s="301" t="str">
        <f>N4172&amp;AS[[#This Row],[Insurer Code]]&amp;"; "&amp;O4172&amp;AS[[#This Row],[Reporting Year]]&amp;"; "&amp;P4172&amp;AS[[#This Row],[Insurance Category Code]]&amp;"; "&amp;Q4172&amp;AS[[#This Row],[Large Provider Entity Code]]&amp;"; "&amp;R4172&amp;AS[[#This Row],[Age Band Code]]&amp;"; "&amp;S4172&amp;AS[[#This Row],[Sex Code]]</f>
        <v xml:space="preserve">Insurer Code ; Reporting Year ; Insurance Category Code ; Large Provider Entity Code ; Age Band Code ; Sex Code </v>
      </c>
      <c r="N4172" s="297" t="s">
        <v>197</v>
      </c>
      <c r="O4172" s="297" t="s">
        <v>198</v>
      </c>
      <c r="P4172" s="297" t="s">
        <v>199</v>
      </c>
      <c r="Q4172" s="297" t="s">
        <v>200</v>
      </c>
      <c r="R4172" s="297" t="s">
        <v>213</v>
      </c>
      <c r="S4172" s="297" t="s">
        <v>214</v>
      </c>
    </row>
    <row r="4173" spans="1:19" x14ac:dyDescent="0.4">
      <c r="A4173" s="291"/>
      <c r="B4173" s="292"/>
      <c r="C4173" s="312"/>
      <c r="D4173" s="292"/>
      <c r="E4173" s="489"/>
      <c r="F4173" s="489"/>
      <c r="G4173" s="490"/>
      <c r="H4173" s="520"/>
      <c r="I4173" s="523"/>
      <c r="J4173" s="521"/>
      <c r="K4173" s="522"/>
      <c r="M4173" s="301" t="str">
        <f>N4173&amp;AS[[#This Row],[Insurer Code]]&amp;"; "&amp;O4173&amp;AS[[#This Row],[Reporting Year]]&amp;"; "&amp;P4173&amp;AS[[#This Row],[Insurance Category Code]]&amp;"; "&amp;Q4173&amp;AS[[#This Row],[Large Provider Entity Code]]&amp;"; "&amp;R4173&amp;AS[[#This Row],[Age Band Code]]&amp;"; "&amp;S4173&amp;AS[[#This Row],[Sex Code]]</f>
        <v xml:space="preserve">Insurer Code ; Reporting Year ; Insurance Category Code ; Large Provider Entity Code ; Age Band Code ; Sex Code </v>
      </c>
      <c r="N4173" s="297" t="s">
        <v>197</v>
      </c>
      <c r="O4173" s="297" t="s">
        <v>198</v>
      </c>
      <c r="P4173" s="297" t="s">
        <v>199</v>
      </c>
      <c r="Q4173" s="297" t="s">
        <v>200</v>
      </c>
      <c r="R4173" s="297" t="s">
        <v>213</v>
      </c>
      <c r="S4173" s="297" t="s">
        <v>214</v>
      </c>
    </row>
    <row r="4174" spans="1:19" x14ac:dyDescent="0.4">
      <c r="A4174" s="291"/>
      <c r="B4174" s="292"/>
      <c r="C4174" s="312"/>
      <c r="D4174" s="292"/>
      <c r="E4174" s="489"/>
      <c r="F4174" s="489"/>
      <c r="G4174" s="490"/>
      <c r="H4174" s="520"/>
      <c r="I4174" s="523"/>
      <c r="J4174" s="521"/>
      <c r="K4174" s="522"/>
      <c r="M4174" s="301" t="str">
        <f>N4174&amp;AS[[#This Row],[Insurer Code]]&amp;"; "&amp;O4174&amp;AS[[#This Row],[Reporting Year]]&amp;"; "&amp;P4174&amp;AS[[#This Row],[Insurance Category Code]]&amp;"; "&amp;Q4174&amp;AS[[#This Row],[Large Provider Entity Code]]&amp;"; "&amp;R4174&amp;AS[[#This Row],[Age Band Code]]&amp;"; "&amp;S4174&amp;AS[[#This Row],[Sex Code]]</f>
        <v xml:space="preserve">Insurer Code ; Reporting Year ; Insurance Category Code ; Large Provider Entity Code ; Age Band Code ; Sex Code </v>
      </c>
      <c r="N4174" s="297" t="s">
        <v>197</v>
      </c>
      <c r="O4174" s="297" t="s">
        <v>198</v>
      </c>
      <c r="P4174" s="297" t="s">
        <v>199</v>
      </c>
      <c r="Q4174" s="297" t="s">
        <v>200</v>
      </c>
      <c r="R4174" s="297" t="s">
        <v>213</v>
      </c>
      <c r="S4174" s="297" t="s">
        <v>214</v>
      </c>
    </row>
    <row r="4175" spans="1:19" x14ac:dyDescent="0.4">
      <c r="A4175" s="291"/>
      <c r="B4175" s="292"/>
      <c r="C4175" s="312"/>
      <c r="D4175" s="292"/>
      <c r="E4175" s="489"/>
      <c r="F4175" s="489"/>
      <c r="G4175" s="490"/>
      <c r="H4175" s="520"/>
      <c r="I4175" s="523"/>
      <c r="J4175" s="521"/>
      <c r="K4175" s="522"/>
      <c r="M4175" s="301" t="str">
        <f>N4175&amp;AS[[#This Row],[Insurer Code]]&amp;"; "&amp;O4175&amp;AS[[#This Row],[Reporting Year]]&amp;"; "&amp;P4175&amp;AS[[#This Row],[Insurance Category Code]]&amp;"; "&amp;Q4175&amp;AS[[#This Row],[Large Provider Entity Code]]&amp;"; "&amp;R4175&amp;AS[[#This Row],[Age Band Code]]&amp;"; "&amp;S4175&amp;AS[[#This Row],[Sex Code]]</f>
        <v xml:space="preserve">Insurer Code ; Reporting Year ; Insurance Category Code ; Large Provider Entity Code ; Age Band Code ; Sex Code </v>
      </c>
      <c r="N4175" s="297" t="s">
        <v>197</v>
      </c>
      <c r="O4175" s="297" t="s">
        <v>198</v>
      </c>
      <c r="P4175" s="297" t="s">
        <v>199</v>
      </c>
      <c r="Q4175" s="297" t="s">
        <v>200</v>
      </c>
      <c r="R4175" s="297" t="s">
        <v>213</v>
      </c>
      <c r="S4175" s="297" t="s">
        <v>214</v>
      </c>
    </row>
    <row r="4176" spans="1:19" x14ac:dyDescent="0.4">
      <c r="A4176" s="291"/>
      <c r="B4176" s="292"/>
      <c r="C4176" s="312"/>
      <c r="D4176" s="292"/>
      <c r="E4176" s="489"/>
      <c r="F4176" s="489"/>
      <c r="G4176" s="490"/>
      <c r="H4176" s="520"/>
      <c r="I4176" s="523"/>
      <c r="J4176" s="521"/>
      <c r="K4176" s="522"/>
      <c r="M4176" s="301" t="str">
        <f>N4176&amp;AS[[#This Row],[Insurer Code]]&amp;"; "&amp;O4176&amp;AS[[#This Row],[Reporting Year]]&amp;"; "&amp;P4176&amp;AS[[#This Row],[Insurance Category Code]]&amp;"; "&amp;Q4176&amp;AS[[#This Row],[Large Provider Entity Code]]&amp;"; "&amp;R4176&amp;AS[[#This Row],[Age Band Code]]&amp;"; "&amp;S4176&amp;AS[[#This Row],[Sex Code]]</f>
        <v xml:space="preserve">Insurer Code ; Reporting Year ; Insurance Category Code ; Large Provider Entity Code ; Age Band Code ; Sex Code </v>
      </c>
      <c r="N4176" s="297" t="s">
        <v>197</v>
      </c>
      <c r="O4176" s="297" t="s">
        <v>198</v>
      </c>
      <c r="P4176" s="297" t="s">
        <v>199</v>
      </c>
      <c r="Q4176" s="297" t="s">
        <v>200</v>
      </c>
      <c r="R4176" s="297" t="s">
        <v>213</v>
      </c>
      <c r="S4176" s="297" t="s">
        <v>214</v>
      </c>
    </row>
    <row r="4177" spans="1:19" x14ac:dyDescent="0.4">
      <c r="A4177" s="291"/>
      <c r="B4177" s="292"/>
      <c r="C4177" s="312"/>
      <c r="D4177" s="292"/>
      <c r="E4177" s="489"/>
      <c r="F4177" s="489"/>
      <c r="G4177" s="490"/>
      <c r="H4177" s="520"/>
      <c r="I4177" s="523"/>
      <c r="J4177" s="521"/>
      <c r="K4177" s="522"/>
      <c r="M4177" s="301" t="str">
        <f>N4177&amp;AS[[#This Row],[Insurer Code]]&amp;"; "&amp;O4177&amp;AS[[#This Row],[Reporting Year]]&amp;"; "&amp;P4177&amp;AS[[#This Row],[Insurance Category Code]]&amp;"; "&amp;Q4177&amp;AS[[#This Row],[Large Provider Entity Code]]&amp;"; "&amp;R4177&amp;AS[[#This Row],[Age Band Code]]&amp;"; "&amp;S4177&amp;AS[[#This Row],[Sex Code]]</f>
        <v xml:space="preserve">Insurer Code ; Reporting Year ; Insurance Category Code ; Large Provider Entity Code ; Age Band Code ; Sex Code </v>
      </c>
      <c r="N4177" s="297" t="s">
        <v>197</v>
      </c>
      <c r="O4177" s="297" t="s">
        <v>198</v>
      </c>
      <c r="P4177" s="297" t="s">
        <v>199</v>
      </c>
      <c r="Q4177" s="297" t="s">
        <v>200</v>
      </c>
      <c r="R4177" s="297" t="s">
        <v>213</v>
      </c>
      <c r="S4177" s="297" t="s">
        <v>214</v>
      </c>
    </row>
    <row r="4178" spans="1:19" x14ac:dyDescent="0.4">
      <c r="A4178" s="291"/>
      <c r="B4178" s="292"/>
      <c r="C4178" s="312"/>
      <c r="D4178" s="292"/>
      <c r="E4178" s="489"/>
      <c r="F4178" s="489"/>
      <c r="G4178" s="490"/>
      <c r="H4178" s="520"/>
      <c r="I4178" s="523"/>
      <c r="J4178" s="521"/>
      <c r="K4178" s="522"/>
      <c r="M4178" s="301" t="str">
        <f>N4178&amp;AS[[#This Row],[Insurer Code]]&amp;"; "&amp;O4178&amp;AS[[#This Row],[Reporting Year]]&amp;"; "&amp;P4178&amp;AS[[#This Row],[Insurance Category Code]]&amp;"; "&amp;Q4178&amp;AS[[#This Row],[Large Provider Entity Code]]&amp;"; "&amp;R4178&amp;AS[[#This Row],[Age Band Code]]&amp;"; "&amp;S4178&amp;AS[[#This Row],[Sex Code]]</f>
        <v xml:space="preserve">Insurer Code ; Reporting Year ; Insurance Category Code ; Large Provider Entity Code ; Age Band Code ; Sex Code </v>
      </c>
      <c r="N4178" s="297" t="s">
        <v>197</v>
      </c>
      <c r="O4178" s="297" t="s">
        <v>198</v>
      </c>
      <c r="P4178" s="297" t="s">
        <v>199</v>
      </c>
      <c r="Q4178" s="297" t="s">
        <v>200</v>
      </c>
      <c r="R4178" s="297" t="s">
        <v>213</v>
      </c>
      <c r="S4178" s="297" t="s">
        <v>214</v>
      </c>
    </row>
    <row r="4179" spans="1:19" x14ac:dyDescent="0.4">
      <c r="A4179" s="291"/>
      <c r="B4179" s="292"/>
      <c r="C4179" s="312"/>
      <c r="D4179" s="292"/>
      <c r="E4179" s="489"/>
      <c r="F4179" s="489"/>
      <c r="G4179" s="490"/>
      <c r="H4179" s="520"/>
      <c r="I4179" s="523"/>
      <c r="J4179" s="521"/>
      <c r="K4179" s="522"/>
      <c r="M4179" s="301" t="str">
        <f>N4179&amp;AS[[#This Row],[Insurer Code]]&amp;"; "&amp;O4179&amp;AS[[#This Row],[Reporting Year]]&amp;"; "&amp;P4179&amp;AS[[#This Row],[Insurance Category Code]]&amp;"; "&amp;Q4179&amp;AS[[#This Row],[Large Provider Entity Code]]&amp;"; "&amp;R4179&amp;AS[[#This Row],[Age Band Code]]&amp;"; "&amp;S4179&amp;AS[[#This Row],[Sex Code]]</f>
        <v xml:space="preserve">Insurer Code ; Reporting Year ; Insurance Category Code ; Large Provider Entity Code ; Age Band Code ; Sex Code </v>
      </c>
      <c r="N4179" s="297" t="s">
        <v>197</v>
      </c>
      <c r="O4179" s="297" t="s">
        <v>198</v>
      </c>
      <c r="P4179" s="297" t="s">
        <v>199</v>
      </c>
      <c r="Q4179" s="297" t="s">
        <v>200</v>
      </c>
      <c r="R4179" s="297" t="s">
        <v>213</v>
      </c>
      <c r="S4179" s="297" t="s">
        <v>214</v>
      </c>
    </row>
    <row r="4180" spans="1:19" x14ac:dyDescent="0.4">
      <c r="A4180" s="291"/>
      <c r="B4180" s="292"/>
      <c r="C4180" s="312"/>
      <c r="D4180" s="292"/>
      <c r="E4180" s="489"/>
      <c r="F4180" s="489"/>
      <c r="G4180" s="490"/>
      <c r="H4180" s="520"/>
      <c r="I4180" s="523"/>
      <c r="J4180" s="521"/>
      <c r="K4180" s="522"/>
      <c r="M4180" s="301" t="str">
        <f>N4180&amp;AS[[#This Row],[Insurer Code]]&amp;"; "&amp;O4180&amp;AS[[#This Row],[Reporting Year]]&amp;"; "&amp;P4180&amp;AS[[#This Row],[Insurance Category Code]]&amp;"; "&amp;Q4180&amp;AS[[#This Row],[Large Provider Entity Code]]&amp;"; "&amp;R4180&amp;AS[[#This Row],[Age Band Code]]&amp;"; "&amp;S4180&amp;AS[[#This Row],[Sex Code]]</f>
        <v xml:space="preserve">Insurer Code ; Reporting Year ; Insurance Category Code ; Large Provider Entity Code ; Age Band Code ; Sex Code </v>
      </c>
      <c r="N4180" s="297" t="s">
        <v>197</v>
      </c>
      <c r="O4180" s="297" t="s">
        <v>198</v>
      </c>
      <c r="P4180" s="297" t="s">
        <v>199</v>
      </c>
      <c r="Q4180" s="297" t="s">
        <v>200</v>
      </c>
      <c r="R4180" s="297" t="s">
        <v>213</v>
      </c>
      <c r="S4180" s="297" t="s">
        <v>214</v>
      </c>
    </row>
    <row r="4181" spans="1:19" x14ac:dyDescent="0.4">
      <c r="A4181" s="291"/>
      <c r="B4181" s="292"/>
      <c r="C4181" s="312"/>
      <c r="D4181" s="292"/>
      <c r="E4181" s="489"/>
      <c r="F4181" s="489"/>
      <c r="G4181" s="490"/>
      <c r="H4181" s="520"/>
      <c r="I4181" s="523"/>
      <c r="J4181" s="521"/>
      <c r="K4181" s="522"/>
      <c r="M4181" s="301" t="str">
        <f>N4181&amp;AS[[#This Row],[Insurer Code]]&amp;"; "&amp;O4181&amp;AS[[#This Row],[Reporting Year]]&amp;"; "&amp;P4181&amp;AS[[#This Row],[Insurance Category Code]]&amp;"; "&amp;Q4181&amp;AS[[#This Row],[Large Provider Entity Code]]&amp;"; "&amp;R4181&amp;AS[[#This Row],[Age Band Code]]&amp;"; "&amp;S4181&amp;AS[[#This Row],[Sex Code]]</f>
        <v xml:space="preserve">Insurer Code ; Reporting Year ; Insurance Category Code ; Large Provider Entity Code ; Age Band Code ; Sex Code </v>
      </c>
      <c r="N4181" s="297" t="s">
        <v>197</v>
      </c>
      <c r="O4181" s="297" t="s">
        <v>198</v>
      </c>
      <c r="P4181" s="297" t="s">
        <v>199</v>
      </c>
      <c r="Q4181" s="297" t="s">
        <v>200</v>
      </c>
      <c r="R4181" s="297" t="s">
        <v>213</v>
      </c>
      <c r="S4181" s="297" t="s">
        <v>214</v>
      </c>
    </row>
    <row r="4182" spans="1:19" x14ac:dyDescent="0.4">
      <c r="A4182" s="291"/>
      <c r="B4182" s="292"/>
      <c r="C4182" s="312"/>
      <c r="D4182" s="292"/>
      <c r="E4182" s="489"/>
      <c r="F4182" s="489"/>
      <c r="G4182" s="490"/>
      <c r="H4182" s="520"/>
      <c r="I4182" s="523"/>
      <c r="J4182" s="521"/>
      <c r="K4182" s="522"/>
      <c r="M4182" s="301" t="str">
        <f>N4182&amp;AS[[#This Row],[Insurer Code]]&amp;"; "&amp;O4182&amp;AS[[#This Row],[Reporting Year]]&amp;"; "&amp;P4182&amp;AS[[#This Row],[Insurance Category Code]]&amp;"; "&amp;Q4182&amp;AS[[#This Row],[Large Provider Entity Code]]&amp;"; "&amp;R4182&amp;AS[[#This Row],[Age Band Code]]&amp;"; "&amp;S4182&amp;AS[[#This Row],[Sex Code]]</f>
        <v xml:space="preserve">Insurer Code ; Reporting Year ; Insurance Category Code ; Large Provider Entity Code ; Age Band Code ; Sex Code </v>
      </c>
      <c r="N4182" s="297" t="s">
        <v>197</v>
      </c>
      <c r="O4182" s="297" t="s">
        <v>198</v>
      </c>
      <c r="P4182" s="297" t="s">
        <v>199</v>
      </c>
      <c r="Q4182" s="297" t="s">
        <v>200</v>
      </c>
      <c r="R4182" s="297" t="s">
        <v>213</v>
      </c>
      <c r="S4182" s="297" t="s">
        <v>214</v>
      </c>
    </row>
    <row r="4183" spans="1:19" x14ac:dyDescent="0.4">
      <c r="A4183" s="291"/>
      <c r="B4183" s="292"/>
      <c r="C4183" s="312"/>
      <c r="D4183" s="292"/>
      <c r="E4183" s="489"/>
      <c r="F4183" s="489"/>
      <c r="G4183" s="490"/>
      <c r="H4183" s="520"/>
      <c r="I4183" s="523"/>
      <c r="J4183" s="521"/>
      <c r="K4183" s="522"/>
      <c r="M4183" s="301" t="str">
        <f>N4183&amp;AS[[#This Row],[Insurer Code]]&amp;"; "&amp;O4183&amp;AS[[#This Row],[Reporting Year]]&amp;"; "&amp;P4183&amp;AS[[#This Row],[Insurance Category Code]]&amp;"; "&amp;Q4183&amp;AS[[#This Row],[Large Provider Entity Code]]&amp;"; "&amp;R4183&amp;AS[[#This Row],[Age Band Code]]&amp;"; "&amp;S4183&amp;AS[[#This Row],[Sex Code]]</f>
        <v xml:space="preserve">Insurer Code ; Reporting Year ; Insurance Category Code ; Large Provider Entity Code ; Age Band Code ; Sex Code </v>
      </c>
      <c r="N4183" s="297" t="s">
        <v>197</v>
      </c>
      <c r="O4183" s="297" t="s">
        <v>198</v>
      </c>
      <c r="P4183" s="297" t="s">
        <v>199</v>
      </c>
      <c r="Q4183" s="297" t="s">
        <v>200</v>
      </c>
      <c r="R4183" s="297" t="s">
        <v>213</v>
      </c>
      <c r="S4183" s="297" t="s">
        <v>214</v>
      </c>
    </row>
    <row r="4184" spans="1:19" x14ac:dyDescent="0.4">
      <c r="A4184" s="291"/>
      <c r="B4184" s="292"/>
      <c r="C4184" s="312"/>
      <c r="D4184" s="292"/>
      <c r="E4184" s="489"/>
      <c r="F4184" s="489"/>
      <c r="G4184" s="490"/>
      <c r="H4184" s="520"/>
      <c r="I4184" s="523"/>
      <c r="J4184" s="521"/>
      <c r="K4184" s="522"/>
      <c r="M4184" s="301" t="str">
        <f>N4184&amp;AS[[#This Row],[Insurer Code]]&amp;"; "&amp;O4184&amp;AS[[#This Row],[Reporting Year]]&amp;"; "&amp;P4184&amp;AS[[#This Row],[Insurance Category Code]]&amp;"; "&amp;Q4184&amp;AS[[#This Row],[Large Provider Entity Code]]&amp;"; "&amp;R4184&amp;AS[[#This Row],[Age Band Code]]&amp;"; "&amp;S4184&amp;AS[[#This Row],[Sex Code]]</f>
        <v xml:space="preserve">Insurer Code ; Reporting Year ; Insurance Category Code ; Large Provider Entity Code ; Age Band Code ; Sex Code </v>
      </c>
      <c r="N4184" s="297" t="s">
        <v>197</v>
      </c>
      <c r="O4184" s="297" t="s">
        <v>198</v>
      </c>
      <c r="P4184" s="297" t="s">
        <v>199</v>
      </c>
      <c r="Q4184" s="297" t="s">
        <v>200</v>
      </c>
      <c r="R4184" s="297" t="s">
        <v>213</v>
      </c>
      <c r="S4184" s="297" t="s">
        <v>214</v>
      </c>
    </row>
    <row r="4185" spans="1:19" x14ac:dyDescent="0.4">
      <c r="A4185" s="291"/>
      <c r="B4185" s="292"/>
      <c r="C4185" s="312"/>
      <c r="D4185" s="292"/>
      <c r="E4185" s="489"/>
      <c r="F4185" s="489"/>
      <c r="G4185" s="490"/>
      <c r="H4185" s="520"/>
      <c r="I4185" s="523"/>
      <c r="J4185" s="521"/>
      <c r="K4185" s="522"/>
      <c r="M4185" s="301" t="str">
        <f>N4185&amp;AS[[#This Row],[Insurer Code]]&amp;"; "&amp;O4185&amp;AS[[#This Row],[Reporting Year]]&amp;"; "&amp;P4185&amp;AS[[#This Row],[Insurance Category Code]]&amp;"; "&amp;Q4185&amp;AS[[#This Row],[Large Provider Entity Code]]&amp;"; "&amp;R4185&amp;AS[[#This Row],[Age Band Code]]&amp;"; "&amp;S4185&amp;AS[[#This Row],[Sex Code]]</f>
        <v xml:space="preserve">Insurer Code ; Reporting Year ; Insurance Category Code ; Large Provider Entity Code ; Age Band Code ; Sex Code </v>
      </c>
      <c r="N4185" s="297" t="s">
        <v>197</v>
      </c>
      <c r="O4185" s="297" t="s">
        <v>198</v>
      </c>
      <c r="P4185" s="297" t="s">
        <v>199</v>
      </c>
      <c r="Q4185" s="297" t="s">
        <v>200</v>
      </c>
      <c r="R4185" s="297" t="s">
        <v>213</v>
      </c>
      <c r="S4185" s="297" t="s">
        <v>214</v>
      </c>
    </row>
    <row r="4186" spans="1:19" x14ac:dyDescent="0.4">
      <c r="A4186" s="291"/>
      <c r="B4186" s="292"/>
      <c r="C4186" s="312"/>
      <c r="D4186" s="292"/>
      <c r="E4186" s="489"/>
      <c r="F4186" s="489"/>
      <c r="G4186" s="490"/>
      <c r="H4186" s="520"/>
      <c r="I4186" s="523"/>
      <c r="J4186" s="521"/>
      <c r="K4186" s="522"/>
      <c r="M4186" s="301" t="str">
        <f>N4186&amp;AS[[#This Row],[Insurer Code]]&amp;"; "&amp;O4186&amp;AS[[#This Row],[Reporting Year]]&amp;"; "&amp;P4186&amp;AS[[#This Row],[Insurance Category Code]]&amp;"; "&amp;Q4186&amp;AS[[#This Row],[Large Provider Entity Code]]&amp;"; "&amp;R4186&amp;AS[[#This Row],[Age Band Code]]&amp;"; "&amp;S4186&amp;AS[[#This Row],[Sex Code]]</f>
        <v xml:space="preserve">Insurer Code ; Reporting Year ; Insurance Category Code ; Large Provider Entity Code ; Age Band Code ; Sex Code </v>
      </c>
      <c r="N4186" s="297" t="s">
        <v>197</v>
      </c>
      <c r="O4186" s="297" t="s">
        <v>198</v>
      </c>
      <c r="P4186" s="297" t="s">
        <v>199</v>
      </c>
      <c r="Q4186" s="297" t="s">
        <v>200</v>
      </c>
      <c r="R4186" s="297" t="s">
        <v>213</v>
      </c>
      <c r="S4186" s="297" t="s">
        <v>214</v>
      </c>
    </row>
    <row r="4187" spans="1:19" x14ac:dyDescent="0.4">
      <c r="A4187" s="291"/>
      <c r="B4187" s="292"/>
      <c r="C4187" s="312"/>
      <c r="D4187" s="292"/>
      <c r="E4187" s="489"/>
      <c r="F4187" s="489"/>
      <c r="G4187" s="490"/>
      <c r="H4187" s="520"/>
      <c r="I4187" s="523"/>
      <c r="J4187" s="521"/>
      <c r="K4187" s="522"/>
      <c r="M4187" s="301" t="str">
        <f>N4187&amp;AS[[#This Row],[Insurer Code]]&amp;"; "&amp;O4187&amp;AS[[#This Row],[Reporting Year]]&amp;"; "&amp;P4187&amp;AS[[#This Row],[Insurance Category Code]]&amp;"; "&amp;Q4187&amp;AS[[#This Row],[Large Provider Entity Code]]&amp;"; "&amp;R4187&amp;AS[[#This Row],[Age Band Code]]&amp;"; "&amp;S4187&amp;AS[[#This Row],[Sex Code]]</f>
        <v xml:space="preserve">Insurer Code ; Reporting Year ; Insurance Category Code ; Large Provider Entity Code ; Age Band Code ; Sex Code </v>
      </c>
      <c r="N4187" s="297" t="s">
        <v>197</v>
      </c>
      <c r="O4187" s="297" t="s">
        <v>198</v>
      </c>
      <c r="P4187" s="297" t="s">
        <v>199</v>
      </c>
      <c r="Q4187" s="297" t="s">
        <v>200</v>
      </c>
      <c r="R4187" s="297" t="s">
        <v>213</v>
      </c>
      <c r="S4187" s="297" t="s">
        <v>214</v>
      </c>
    </row>
    <row r="4188" spans="1:19" x14ac:dyDescent="0.4">
      <c r="A4188" s="291"/>
      <c r="B4188" s="292"/>
      <c r="C4188" s="312"/>
      <c r="D4188" s="292"/>
      <c r="E4188" s="489"/>
      <c r="F4188" s="489"/>
      <c r="G4188" s="490"/>
      <c r="H4188" s="520"/>
      <c r="I4188" s="523"/>
      <c r="J4188" s="521"/>
      <c r="K4188" s="522"/>
      <c r="M4188" s="301" t="str">
        <f>N4188&amp;AS[[#This Row],[Insurer Code]]&amp;"; "&amp;O4188&amp;AS[[#This Row],[Reporting Year]]&amp;"; "&amp;P4188&amp;AS[[#This Row],[Insurance Category Code]]&amp;"; "&amp;Q4188&amp;AS[[#This Row],[Large Provider Entity Code]]&amp;"; "&amp;R4188&amp;AS[[#This Row],[Age Band Code]]&amp;"; "&amp;S4188&amp;AS[[#This Row],[Sex Code]]</f>
        <v xml:space="preserve">Insurer Code ; Reporting Year ; Insurance Category Code ; Large Provider Entity Code ; Age Band Code ; Sex Code </v>
      </c>
      <c r="N4188" s="297" t="s">
        <v>197</v>
      </c>
      <c r="O4188" s="297" t="s">
        <v>198</v>
      </c>
      <c r="P4188" s="297" t="s">
        <v>199</v>
      </c>
      <c r="Q4188" s="297" t="s">
        <v>200</v>
      </c>
      <c r="R4188" s="297" t="s">
        <v>213</v>
      </c>
      <c r="S4188" s="297" t="s">
        <v>214</v>
      </c>
    </row>
    <row r="4189" spans="1:19" x14ac:dyDescent="0.4">
      <c r="A4189" s="291"/>
      <c r="B4189" s="292"/>
      <c r="C4189" s="312"/>
      <c r="D4189" s="292"/>
      <c r="E4189" s="489"/>
      <c r="F4189" s="489"/>
      <c r="G4189" s="490"/>
      <c r="H4189" s="520"/>
      <c r="I4189" s="523"/>
      <c r="J4189" s="521"/>
      <c r="K4189" s="522"/>
      <c r="M4189" s="301" t="str">
        <f>N4189&amp;AS[[#This Row],[Insurer Code]]&amp;"; "&amp;O4189&amp;AS[[#This Row],[Reporting Year]]&amp;"; "&amp;P4189&amp;AS[[#This Row],[Insurance Category Code]]&amp;"; "&amp;Q4189&amp;AS[[#This Row],[Large Provider Entity Code]]&amp;"; "&amp;R4189&amp;AS[[#This Row],[Age Band Code]]&amp;"; "&amp;S4189&amp;AS[[#This Row],[Sex Code]]</f>
        <v xml:space="preserve">Insurer Code ; Reporting Year ; Insurance Category Code ; Large Provider Entity Code ; Age Band Code ; Sex Code </v>
      </c>
      <c r="N4189" s="297" t="s">
        <v>197</v>
      </c>
      <c r="O4189" s="297" t="s">
        <v>198</v>
      </c>
      <c r="P4189" s="297" t="s">
        <v>199</v>
      </c>
      <c r="Q4189" s="297" t="s">
        <v>200</v>
      </c>
      <c r="R4189" s="297" t="s">
        <v>213</v>
      </c>
      <c r="S4189" s="297" t="s">
        <v>214</v>
      </c>
    </row>
    <row r="4190" spans="1:19" x14ac:dyDescent="0.4">
      <c r="A4190" s="291"/>
      <c r="B4190" s="292"/>
      <c r="C4190" s="312"/>
      <c r="D4190" s="292"/>
      <c r="E4190" s="489"/>
      <c r="F4190" s="489"/>
      <c r="G4190" s="490"/>
      <c r="H4190" s="520"/>
      <c r="I4190" s="523"/>
      <c r="J4190" s="521"/>
      <c r="K4190" s="522"/>
      <c r="M4190" s="301" t="str">
        <f>N4190&amp;AS[[#This Row],[Insurer Code]]&amp;"; "&amp;O4190&amp;AS[[#This Row],[Reporting Year]]&amp;"; "&amp;P4190&amp;AS[[#This Row],[Insurance Category Code]]&amp;"; "&amp;Q4190&amp;AS[[#This Row],[Large Provider Entity Code]]&amp;"; "&amp;R4190&amp;AS[[#This Row],[Age Band Code]]&amp;"; "&amp;S4190&amp;AS[[#This Row],[Sex Code]]</f>
        <v xml:space="preserve">Insurer Code ; Reporting Year ; Insurance Category Code ; Large Provider Entity Code ; Age Band Code ; Sex Code </v>
      </c>
      <c r="N4190" s="297" t="s">
        <v>197</v>
      </c>
      <c r="O4190" s="297" t="s">
        <v>198</v>
      </c>
      <c r="P4190" s="297" t="s">
        <v>199</v>
      </c>
      <c r="Q4190" s="297" t="s">
        <v>200</v>
      </c>
      <c r="R4190" s="297" t="s">
        <v>213</v>
      </c>
      <c r="S4190" s="297" t="s">
        <v>214</v>
      </c>
    </row>
    <row r="4191" spans="1:19" x14ac:dyDescent="0.4">
      <c r="A4191" s="291"/>
      <c r="B4191" s="292"/>
      <c r="C4191" s="312"/>
      <c r="D4191" s="292"/>
      <c r="E4191" s="489"/>
      <c r="F4191" s="489"/>
      <c r="G4191" s="490"/>
      <c r="H4191" s="520"/>
      <c r="I4191" s="523"/>
      <c r="J4191" s="521"/>
      <c r="K4191" s="522"/>
      <c r="M4191" s="301" t="str">
        <f>N4191&amp;AS[[#This Row],[Insurer Code]]&amp;"; "&amp;O4191&amp;AS[[#This Row],[Reporting Year]]&amp;"; "&amp;P4191&amp;AS[[#This Row],[Insurance Category Code]]&amp;"; "&amp;Q4191&amp;AS[[#This Row],[Large Provider Entity Code]]&amp;"; "&amp;R4191&amp;AS[[#This Row],[Age Band Code]]&amp;"; "&amp;S4191&amp;AS[[#This Row],[Sex Code]]</f>
        <v xml:space="preserve">Insurer Code ; Reporting Year ; Insurance Category Code ; Large Provider Entity Code ; Age Band Code ; Sex Code </v>
      </c>
      <c r="N4191" s="297" t="s">
        <v>197</v>
      </c>
      <c r="O4191" s="297" t="s">
        <v>198</v>
      </c>
      <c r="P4191" s="297" t="s">
        <v>199</v>
      </c>
      <c r="Q4191" s="297" t="s">
        <v>200</v>
      </c>
      <c r="R4191" s="297" t="s">
        <v>213</v>
      </c>
      <c r="S4191" s="297" t="s">
        <v>214</v>
      </c>
    </row>
    <row r="4192" spans="1:19" x14ac:dyDescent="0.4">
      <c r="A4192" s="291"/>
      <c r="B4192" s="292"/>
      <c r="C4192" s="312"/>
      <c r="D4192" s="292"/>
      <c r="E4192" s="489"/>
      <c r="F4192" s="489"/>
      <c r="G4192" s="490"/>
      <c r="H4192" s="520"/>
      <c r="I4192" s="523"/>
      <c r="J4192" s="521"/>
      <c r="K4192" s="522"/>
      <c r="M4192" s="301" t="str">
        <f>N4192&amp;AS[[#This Row],[Insurer Code]]&amp;"; "&amp;O4192&amp;AS[[#This Row],[Reporting Year]]&amp;"; "&amp;P4192&amp;AS[[#This Row],[Insurance Category Code]]&amp;"; "&amp;Q4192&amp;AS[[#This Row],[Large Provider Entity Code]]&amp;"; "&amp;R4192&amp;AS[[#This Row],[Age Band Code]]&amp;"; "&amp;S4192&amp;AS[[#This Row],[Sex Code]]</f>
        <v xml:space="preserve">Insurer Code ; Reporting Year ; Insurance Category Code ; Large Provider Entity Code ; Age Band Code ; Sex Code </v>
      </c>
      <c r="N4192" s="297" t="s">
        <v>197</v>
      </c>
      <c r="O4192" s="297" t="s">
        <v>198</v>
      </c>
      <c r="P4192" s="297" t="s">
        <v>199</v>
      </c>
      <c r="Q4192" s="297" t="s">
        <v>200</v>
      </c>
      <c r="R4192" s="297" t="s">
        <v>213</v>
      </c>
      <c r="S4192" s="297" t="s">
        <v>214</v>
      </c>
    </row>
    <row r="4193" spans="1:19" x14ac:dyDescent="0.4">
      <c r="A4193" s="291"/>
      <c r="B4193" s="292"/>
      <c r="C4193" s="312"/>
      <c r="D4193" s="292"/>
      <c r="E4193" s="489"/>
      <c r="F4193" s="489"/>
      <c r="G4193" s="490"/>
      <c r="H4193" s="520"/>
      <c r="I4193" s="523"/>
      <c r="J4193" s="521"/>
      <c r="K4193" s="522"/>
      <c r="M4193" s="301" t="str">
        <f>N4193&amp;AS[[#This Row],[Insurer Code]]&amp;"; "&amp;O4193&amp;AS[[#This Row],[Reporting Year]]&amp;"; "&amp;P4193&amp;AS[[#This Row],[Insurance Category Code]]&amp;"; "&amp;Q4193&amp;AS[[#This Row],[Large Provider Entity Code]]&amp;"; "&amp;R4193&amp;AS[[#This Row],[Age Band Code]]&amp;"; "&amp;S4193&amp;AS[[#This Row],[Sex Code]]</f>
        <v xml:space="preserve">Insurer Code ; Reporting Year ; Insurance Category Code ; Large Provider Entity Code ; Age Band Code ; Sex Code </v>
      </c>
      <c r="N4193" s="297" t="s">
        <v>197</v>
      </c>
      <c r="O4193" s="297" t="s">
        <v>198</v>
      </c>
      <c r="P4193" s="297" t="s">
        <v>199</v>
      </c>
      <c r="Q4193" s="297" t="s">
        <v>200</v>
      </c>
      <c r="R4193" s="297" t="s">
        <v>213</v>
      </c>
      <c r="S4193" s="297" t="s">
        <v>214</v>
      </c>
    </row>
    <row r="4194" spans="1:19" x14ac:dyDescent="0.4">
      <c r="A4194" s="291"/>
      <c r="B4194" s="292"/>
      <c r="C4194" s="312"/>
      <c r="D4194" s="292"/>
      <c r="E4194" s="489"/>
      <c r="F4194" s="489"/>
      <c r="G4194" s="490"/>
      <c r="H4194" s="520"/>
      <c r="I4194" s="523"/>
      <c r="J4194" s="521"/>
      <c r="K4194" s="522"/>
      <c r="M4194" s="301" t="str">
        <f>N4194&amp;AS[[#This Row],[Insurer Code]]&amp;"; "&amp;O4194&amp;AS[[#This Row],[Reporting Year]]&amp;"; "&amp;P4194&amp;AS[[#This Row],[Insurance Category Code]]&amp;"; "&amp;Q4194&amp;AS[[#This Row],[Large Provider Entity Code]]&amp;"; "&amp;R4194&amp;AS[[#This Row],[Age Band Code]]&amp;"; "&amp;S4194&amp;AS[[#This Row],[Sex Code]]</f>
        <v xml:space="preserve">Insurer Code ; Reporting Year ; Insurance Category Code ; Large Provider Entity Code ; Age Band Code ; Sex Code </v>
      </c>
      <c r="N4194" s="297" t="s">
        <v>197</v>
      </c>
      <c r="O4194" s="297" t="s">
        <v>198</v>
      </c>
      <c r="P4194" s="297" t="s">
        <v>199</v>
      </c>
      <c r="Q4194" s="297" t="s">
        <v>200</v>
      </c>
      <c r="R4194" s="297" t="s">
        <v>213</v>
      </c>
      <c r="S4194" s="297" t="s">
        <v>214</v>
      </c>
    </row>
    <row r="4195" spans="1:19" x14ac:dyDescent="0.4">
      <c r="A4195" s="291"/>
      <c r="B4195" s="292"/>
      <c r="C4195" s="312"/>
      <c r="D4195" s="292"/>
      <c r="E4195" s="489"/>
      <c r="F4195" s="489"/>
      <c r="G4195" s="490"/>
      <c r="H4195" s="520"/>
      <c r="I4195" s="523"/>
      <c r="J4195" s="521"/>
      <c r="K4195" s="522"/>
      <c r="M4195" s="301" t="str">
        <f>N4195&amp;AS[[#This Row],[Insurer Code]]&amp;"; "&amp;O4195&amp;AS[[#This Row],[Reporting Year]]&amp;"; "&amp;P4195&amp;AS[[#This Row],[Insurance Category Code]]&amp;"; "&amp;Q4195&amp;AS[[#This Row],[Large Provider Entity Code]]&amp;"; "&amp;R4195&amp;AS[[#This Row],[Age Band Code]]&amp;"; "&amp;S4195&amp;AS[[#This Row],[Sex Code]]</f>
        <v xml:space="preserve">Insurer Code ; Reporting Year ; Insurance Category Code ; Large Provider Entity Code ; Age Band Code ; Sex Code </v>
      </c>
      <c r="N4195" s="297" t="s">
        <v>197</v>
      </c>
      <c r="O4195" s="297" t="s">
        <v>198</v>
      </c>
      <c r="P4195" s="297" t="s">
        <v>199</v>
      </c>
      <c r="Q4195" s="297" t="s">
        <v>200</v>
      </c>
      <c r="R4195" s="297" t="s">
        <v>213</v>
      </c>
      <c r="S4195" s="297" t="s">
        <v>214</v>
      </c>
    </row>
    <row r="4196" spans="1:19" x14ac:dyDescent="0.4">
      <c r="A4196" s="291"/>
      <c r="B4196" s="292"/>
      <c r="C4196" s="312"/>
      <c r="D4196" s="292"/>
      <c r="E4196" s="489"/>
      <c r="F4196" s="489"/>
      <c r="G4196" s="490"/>
      <c r="H4196" s="520"/>
      <c r="I4196" s="523"/>
      <c r="J4196" s="521"/>
      <c r="K4196" s="522"/>
      <c r="M4196" s="301" t="str">
        <f>N4196&amp;AS[[#This Row],[Insurer Code]]&amp;"; "&amp;O4196&amp;AS[[#This Row],[Reporting Year]]&amp;"; "&amp;P4196&amp;AS[[#This Row],[Insurance Category Code]]&amp;"; "&amp;Q4196&amp;AS[[#This Row],[Large Provider Entity Code]]&amp;"; "&amp;R4196&amp;AS[[#This Row],[Age Band Code]]&amp;"; "&amp;S4196&amp;AS[[#This Row],[Sex Code]]</f>
        <v xml:space="preserve">Insurer Code ; Reporting Year ; Insurance Category Code ; Large Provider Entity Code ; Age Band Code ; Sex Code </v>
      </c>
      <c r="N4196" s="297" t="s">
        <v>197</v>
      </c>
      <c r="O4196" s="297" t="s">
        <v>198</v>
      </c>
      <c r="P4196" s="297" t="s">
        <v>199</v>
      </c>
      <c r="Q4196" s="297" t="s">
        <v>200</v>
      </c>
      <c r="R4196" s="297" t="s">
        <v>213</v>
      </c>
      <c r="S4196" s="297" t="s">
        <v>214</v>
      </c>
    </row>
    <row r="4197" spans="1:19" x14ac:dyDescent="0.4">
      <c r="A4197" s="291"/>
      <c r="B4197" s="292"/>
      <c r="C4197" s="312"/>
      <c r="D4197" s="292"/>
      <c r="E4197" s="489"/>
      <c r="F4197" s="489"/>
      <c r="G4197" s="490"/>
      <c r="H4197" s="520"/>
      <c r="I4197" s="523"/>
      <c r="J4197" s="521"/>
      <c r="K4197" s="522"/>
      <c r="M4197" s="301" t="str">
        <f>N4197&amp;AS[[#This Row],[Insurer Code]]&amp;"; "&amp;O4197&amp;AS[[#This Row],[Reporting Year]]&amp;"; "&amp;P4197&amp;AS[[#This Row],[Insurance Category Code]]&amp;"; "&amp;Q4197&amp;AS[[#This Row],[Large Provider Entity Code]]&amp;"; "&amp;R4197&amp;AS[[#This Row],[Age Band Code]]&amp;"; "&amp;S4197&amp;AS[[#This Row],[Sex Code]]</f>
        <v xml:space="preserve">Insurer Code ; Reporting Year ; Insurance Category Code ; Large Provider Entity Code ; Age Band Code ; Sex Code </v>
      </c>
      <c r="N4197" s="297" t="s">
        <v>197</v>
      </c>
      <c r="O4197" s="297" t="s">
        <v>198</v>
      </c>
      <c r="P4197" s="297" t="s">
        <v>199</v>
      </c>
      <c r="Q4197" s="297" t="s">
        <v>200</v>
      </c>
      <c r="R4197" s="297" t="s">
        <v>213</v>
      </c>
      <c r="S4197" s="297" t="s">
        <v>214</v>
      </c>
    </row>
    <row r="4198" spans="1:19" x14ac:dyDescent="0.4">
      <c r="A4198" s="291"/>
      <c r="B4198" s="292"/>
      <c r="C4198" s="312"/>
      <c r="D4198" s="292"/>
      <c r="E4198" s="489"/>
      <c r="F4198" s="489"/>
      <c r="G4198" s="490"/>
      <c r="H4198" s="520"/>
      <c r="I4198" s="523"/>
      <c r="J4198" s="521"/>
      <c r="K4198" s="522"/>
      <c r="M4198" s="301" t="str">
        <f>N4198&amp;AS[[#This Row],[Insurer Code]]&amp;"; "&amp;O4198&amp;AS[[#This Row],[Reporting Year]]&amp;"; "&amp;P4198&amp;AS[[#This Row],[Insurance Category Code]]&amp;"; "&amp;Q4198&amp;AS[[#This Row],[Large Provider Entity Code]]&amp;"; "&amp;R4198&amp;AS[[#This Row],[Age Band Code]]&amp;"; "&amp;S4198&amp;AS[[#This Row],[Sex Code]]</f>
        <v xml:space="preserve">Insurer Code ; Reporting Year ; Insurance Category Code ; Large Provider Entity Code ; Age Band Code ; Sex Code </v>
      </c>
      <c r="N4198" s="297" t="s">
        <v>197</v>
      </c>
      <c r="O4198" s="297" t="s">
        <v>198</v>
      </c>
      <c r="P4198" s="297" t="s">
        <v>199</v>
      </c>
      <c r="Q4198" s="297" t="s">
        <v>200</v>
      </c>
      <c r="R4198" s="297" t="s">
        <v>213</v>
      </c>
      <c r="S4198" s="297" t="s">
        <v>214</v>
      </c>
    </row>
    <row r="4199" spans="1:19" x14ac:dyDescent="0.4">
      <c r="A4199" s="291"/>
      <c r="B4199" s="292"/>
      <c r="C4199" s="312"/>
      <c r="D4199" s="292"/>
      <c r="E4199" s="489"/>
      <c r="F4199" s="489"/>
      <c r="G4199" s="490"/>
      <c r="H4199" s="520"/>
      <c r="I4199" s="523"/>
      <c r="J4199" s="521"/>
      <c r="K4199" s="522"/>
      <c r="M4199" s="301" t="str">
        <f>N4199&amp;AS[[#This Row],[Insurer Code]]&amp;"; "&amp;O4199&amp;AS[[#This Row],[Reporting Year]]&amp;"; "&amp;P4199&amp;AS[[#This Row],[Insurance Category Code]]&amp;"; "&amp;Q4199&amp;AS[[#This Row],[Large Provider Entity Code]]&amp;"; "&amp;R4199&amp;AS[[#This Row],[Age Band Code]]&amp;"; "&amp;S4199&amp;AS[[#This Row],[Sex Code]]</f>
        <v xml:space="preserve">Insurer Code ; Reporting Year ; Insurance Category Code ; Large Provider Entity Code ; Age Band Code ; Sex Code </v>
      </c>
      <c r="N4199" s="297" t="s">
        <v>197</v>
      </c>
      <c r="O4199" s="297" t="s">
        <v>198</v>
      </c>
      <c r="P4199" s="297" t="s">
        <v>199</v>
      </c>
      <c r="Q4199" s="297" t="s">
        <v>200</v>
      </c>
      <c r="R4199" s="297" t="s">
        <v>213</v>
      </c>
      <c r="S4199" s="297" t="s">
        <v>214</v>
      </c>
    </row>
    <row r="4200" spans="1:19" x14ac:dyDescent="0.4">
      <c r="A4200" s="291"/>
      <c r="B4200" s="292"/>
      <c r="C4200" s="312"/>
      <c r="D4200" s="292"/>
      <c r="E4200" s="489"/>
      <c r="F4200" s="489"/>
      <c r="G4200" s="490"/>
      <c r="H4200" s="520"/>
      <c r="I4200" s="523"/>
      <c r="J4200" s="521"/>
      <c r="K4200" s="522"/>
      <c r="M4200" s="301" t="str">
        <f>N4200&amp;AS[[#This Row],[Insurer Code]]&amp;"; "&amp;O4200&amp;AS[[#This Row],[Reporting Year]]&amp;"; "&amp;P4200&amp;AS[[#This Row],[Insurance Category Code]]&amp;"; "&amp;Q4200&amp;AS[[#This Row],[Large Provider Entity Code]]&amp;"; "&amp;R4200&amp;AS[[#This Row],[Age Band Code]]&amp;"; "&amp;S4200&amp;AS[[#This Row],[Sex Code]]</f>
        <v xml:space="preserve">Insurer Code ; Reporting Year ; Insurance Category Code ; Large Provider Entity Code ; Age Band Code ; Sex Code </v>
      </c>
      <c r="N4200" s="297" t="s">
        <v>197</v>
      </c>
      <c r="O4200" s="297" t="s">
        <v>198</v>
      </c>
      <c r="P4200" s="297" t="s">
        <v>199</v>
      </c>
      <c r="Q4200" s="297" t="s">
        <v>200</v>
      </c>
      <c r="R4200" s="297" t="s">
        <v>213</v>
      </c>
      <c r="S4200" s="297" t="s">
        <v>214</v>
      </c>
    </row>
    <row r="4201" spans="1:19" x14ac:dyDescent="0.4">
      <c r="A4201" s="291"/>
      <c r="B4201" s="292"/>
      <c r="C4201" s="312"/>
      <c r="D4201" s="292"/>
      <c r="E4201" s="489"/>
      <c r="F4201" s="489"/>
      <c r="G4201" s="490"/>
      <c r="H4201" s="520"/>
      <c r="I4201" s="523"/>
      <c r="J4201" s="521"/>
      <c r="K4201" s="522"/>
      <c r="M4201" s="301" t="str">
        <f>N4201&amp;AS[[#This Row],[Insurer Code]]&amp;"; "&amp;O4201&amp;AS[[#This Row],[Reporting Year]]&amp;"; "&amp;P4201&amp;AS[[#This Row],[Insurance Category Code]]&amp;"; "&amp;Q4201&amp;AS[[#This Row],[Large Provider Entity Code]]&amp;"; "&amp;R4201&amp;AS[[#This Row],[Age Band Code]]&amp;"; "&amp;S4201&amp;AS[[#This Row],[Sex Code]]</f>
        <v xml:space="preserve">Insurer Code ; Reporting Year ; Insurance Category Code ; Large Provider Entity Code ; Age Band Code ; Sex Code </v>
      </c>
      <c r="N4201" s="297" t="s">
        <v>197</v>
      </c>
      <c r="O4201" s="297" t="s">
        <v>198</v>
      </c>
      <c r="P4201" s="297" t="s">
        <v>199</v>
      </c>
      <c r="Q4201" s="297" t="s">
        <v>200</v>
      </c>
      <c r="R4201" s="297" t="s">
        <v>213</v>
      </c>
      <c r="S4201" s="297" t="s">
        <v>214</v>
      </c>
    </row>
    <row r="4202" spans="1:19" x14ac:dyDescent="0.4">
      <c r="A4202" s="291"/>
      <c r="B4202" s="292"/>
      <c r="C4202" s="312"/>
      <c r="D4202" s="292"/>
      <c r="E4202" s="489"/>
      <c r="F4202" s="489"/>
      <c r="G4202" s="490"/>
      <c r="H4202" s="520"/>
      <c r="I4202" s="523"/>
      <c r="J4202" s="521"/>
      <c r="K4202" s="522"/>
      <c r="M4202" s="301" t="str">
        <f>N4202&amp;AS[[#This Row],[Insurer Code]]&amp;"; "&amp;O4202&amp;AS[[#This Row],[Reporting Year]]&amp;"; "&amp;P4202&amp;AS[[#This Row],[Insurance Category Code]]&amp;"; "&amp;Q4202&amp;AS[[#This Row],[Large Provider Entity Code]]&amp;"; "&amp;R4202&amp;AS[[#This Row],[Age Band Code]]&amp;"; "&amp;S4202&amp;AS[[#This Row],[Sex Code]]</f>
        <v xml:space="preserve">Insurer Code ; Reporting Year ; Insurance Category Code ; Large Provider Entity Code ; Age Band Code ; Sex Code </v>
      </c>
      <c r="N4202" s="297" t="s">
        <v>197</v>
      </c>
      <c r="O4202" s="297" t="s">
        <v>198</v>
      </c>
      <c r="P4202" s="297" t="s">
        <v>199</v>
      </c>
      <c r="Q4202" s="297" t="s">
        <v>200</v>
      </c>
      <c r="R4202" s="297" t="s">
        <v>213</v>
      </c>
      <c r="S4202" s="297" t="s">
        <v>214</v>
      </c>
    </row>
    <row r="4203" spans="1:19" x14ac:dyDescent="0.4">
      <c r="A4203" s="291"/>
      <c r="B4203" s="292"/>
      <c r="C4203" s="312"/>
      <c r="D4203" s="292"/>
      <c r="E4203" s="489"/>
      <c r="F4203" s="489"/>
      <c r="G4203" s="490"/>
      <c r="H4203" s="520"/>
      <c r="I4203" s="523"/>
      <c r="J4203" s="521"/>
      <c r="K4203" s="522"/>
      <c r="M4203" s="301" t="str">
        <f>N4203&amp;AS[[#This Row],[Insurer Code]]&amp;"; "&amp;O4203&amp;AS[[#This Row],[Reporting Year]]&amp;"; "&amp;P4203&amp;AS[[#This Row],[Insurance Category Code]]&amp;"; "&amp;Q4203&amp;AS[[#This Row],[Large Provider Entity Code]]&amp;"; "&amp;R4203&amp;AS[[#This Row],[Age Band Code]]&amp;"; "&amp;S4203&amp;AS[[#This Row],[Sex Code]]</f>
        <v xml:space="preserve">Insurer Code ; Reporting Year ; Insurance Category Code ; Large Provider Entity Code ; Age Band Code ; Sex Code </v>
      </c>
      <c r="N4203" s="297" t="s">
        <v>197</v>
      </c>
      <c r="O4203" s="297" t="s">
        <v>198</v>
      </c>
      <c r="P4203" s="297" t="s">
        <v>199</v>
      </c>
      <c r="Q4203" s="297" t="s">
        <v>200</v>
      </c>
      <c r="R4203" s="297" t="s">
        <v>213</v>
      </c>
      <c r="S4203" s="297" t="s">
        <v>214</v>
      </c>
    </row>
    <row r="4204" spans="1:19" x14ac:dyDescent="0.4">
      <c r="A4204" s="291"/>
      <c r="B4204" s="292"/>
      <c r="C4204" s="312"/>
      <c r="D4204" s="292"/>
      <c r="E4204" s="489"/>
      <c r="F4204" s="489"/>
      <c r="G4204" s="490"/>
      <c r="H4204" s="520"/>
      <c r="I4204" s="523"/>
      <c r="J4204" s="521"/>
      <c r="K4204" s="522"/>
      <c r="M4204" s="301" t="str">
        <f>N4204&amp;AS[[#This Row],[Insurer Code]]&amp;"; "&amp;O4204&amp;AS[[#This Row],[Reporting Year]]&amp;"; "&amp;P4204&amp;AS[[#This Row],[Insurance Category Code]]&amp;"; "&amp;Q4204&amp;AS[[#This Row],[Large Provider Entity Code]]&amp;"; "&amp;R4204&amp;AS[[#This Row],[Age Band Code]]&amp;"; "&amp;S4204&amp;AS[[#This Row],[Sex Code]]</f>
        <v xml:space="preserve">Insurer Code ; Reporting Year ; Insurance Category Code ; Large Provider Entity Code ; Age Band Code ; Sex Code </v>
      </c>
      <c r="N4204" s="297" t="s">
        <v>197</v>
      </c>
      <c r="O4204" s="297" t="s">
        <v>198</v>
      </c>
      <c r="P4204" s="297" t="s">
        <v>199</v>
      </c>
      <c r="Q4204" s="297" t="s">
        <v>200</v>
      </c>
      <c r="R4204" s="297" t="s">
        <v>213</v>
      </c>
      <c r="S4204" s="297" t="s">
        <v>214</v>
      </c>
    </row>
    <row r="4205" spans="1:19" x14ac:dyDescent="0.4">
      <c r="A4205" s="291"/>
      <c r="B4205" s="292"/>
      <c r="C4205" s="312"/>
      <c r="D4205" s="292"/>
      <c r="E4205" s="489"/>
      <c r="F4205" s="489"/>
      <c r="G4205" s="490"/>
      <c r="H4205" s="520"/>
      <c r="I4205" s="523"/>
      <c r="J4205" s="521"/>
      <c r="K4205" s="522"/>
      <c r="M4205" s="301" t="str">
        <f>N4205&amp;AS[[#This Row],[Insurer Code]]&amp;"; "&amp;O4205&amp;AS[[#This Row],[Reporting Year]]&amp;"; "&amp;P4205&amp;AS[[#This Row],[Insurance Category Code]]&amp;"; "&amp;Q4205&amp;AS[[#This Row],[Large Provider Entity Code]]&amp;"; "&amp;R4205&amp;AS[[#This Row],[Age Band Code]]&amp;"; "&amp;S4205&amp;AS[[#This Row],[Sex Code]]</f>
        <v xml:space="preserve">Insurer Code ; Reporting Year ; Insurance Category Code ; Large Provider Entity Code ; Age Band Code ; Sex Code </v>
      </c>
      <c r="N4205" s="297" t="s">
        <v>197</v>
      </c>
      <c r="O4205" s="297" t="s">
        <v>198</v>
      </c>
      <c r="P4205" s="297" t="s">
        <v>199</v>
      </c>
      <c r="Q4205" s="297" t="s">
        <v>200</v>
      </c>
      <c r="R4205" s="297" t="s">
        <v>213</v>
      </c>
      <c r="S4205" s="297" t="s">
        <v>214</v>
      </c>
    </row>
    <row r="4206" spans="1:19" x14ac:dyDescent="0.4">
      <c r="A4206" s="291"/>
      <c r="B4206" s="292"/>
      <c r="C4206" s="312"/>
      <c r="D4206" s="292"/>
      <c r="E4206" s="489"/>
      <c r="F4206" s="489"/>
      <c r="G4206" s="490"/>
      <c r="H4206" s="520"/>
      <c r="I4206" s="523"/>
      <c r="J4206" s="521"/>
      <c r="K4206" s="522"/>
      <c r="M4206" s="301" t="str">
        <f>N4206&amp;AS[[#This Row],[Insurer Code]]&amp;"; "&amp;O4206&amp;AS[[#This Row],[Reporting Year]]&amp;"; "&amp;P4206&amp;AS[[#This Row],[Insurance Category Code]]&amp;"; "&amp;Q4206&amp;AS[[#This Row],[Large Provider Entity Code]]&amp;"; "&amp;R4206&amp;AS[[#This Row],[Age Band Code]]&amp;"; "&amp;S4206&amp;AS[[#This Row],[Sex Code]]</f>
        <v xml:space="preserve">Insurer Code ; Reporting Year ; Insurance Category Code ; Large Provider Entity Code ; Age Band Code ; Sex Code </v>
      </c>
      <c r="N4206" s="297" t="s">
        <v>197</v>
      </c>
      <c r="O4206" s="297" t="s">
        <v>198</v>
      </c>
      <c r="P4206" s="297" t="s">
        <v>199</v>
      </c>
      <c r="Q4206" s="297" t="s">
        <v>200</v>
      </c>
      <c r="R4206" s="297" t="s">
        <v>213</v>
      </c>
      <c r="S4206" s="297" t="s">
        <v>214</v>
      </c>
    </row>
    <row r="4207" spans="1:19" x14ac:dyDescent="0.4">
      <c r="A4207" s="291"/>
      <c r="B4207" s="292"/>
      <c r="C4207" s="312"/>
      <c r="D4207" s="292"/>
      <c r="E4207" s="489"/>
      <c r="F4207" s="489"/>
      <c r="G4207" s="490"/>
      <c r="H4207" s="520"/>
      <c r="I4207" s="523"/>
      <c r="J4207" s="521"/>
      <c r="K4207" s="522"/>
      <c r="M4207" s="301" t="str">
        <f>N4207&amp;AS[[#This Row],[Insurer Code]]&amp;"; "&amp;O4207&amp;AS[[#This Row],[Reporting Year]]&amp;"; "&amp;P4207&amp;AS[[#This Row],[Insurance Category Code]]&amp;"; "&amp;Q4207&amp;AS[[#This Row],[Large Provider Entity Code]]&amp;"; "&amp;R4207&amp;AS[[#This Row],[Age Band Code]]&amp;"; "&amp;S4207&amp;AS[[#This Row],[Sex Code]]</f>
        <v xml:space="preserve">Insurer Code ; Reporting Year ; Insurance Category Code ; Large Provider Entity Code ; Age Band Code ; Sex Code </v>
      </c>
      <c r="N4207" s="297" t="s">
        <v>197</v>
      </c>
      <c r="O4207" s="297" t="s">
        <v>198</v>
      </c>
      <c r="P4207" s="297" t="s">
        <v>199</v>
      </c>
      <c r="Q4207" s="297" t="s">
        <v>200</v>
      </c>
      <c r="R4207" s="297" t="s">
        <v>213</v>
      </c>
      <c r="S4207" s="297" t="s">
        <v>214</v>
      </c>
    </row>
    <row r="4208" spans="1:19" x14ac:dyDescent="0.4">
      <c r="A4208" s="291"/>
      <c r="B4208" s="292"/>
      <c r="C4208" s="312"/>
      <c r="D4208" s="292"/>
      <c r="E4208" s="489"/>
      <c r="F4208" s="489"/>
      <c r="G4208" s="490"/>
      <c r="H4208" s="520"/>
      <c r="I4208" s="523"/>
      <c r="J4208" s="521"/>
      <c r="K4208" s="522"/>
      <c r="M4208" s="301" t="str">
        <f>N4208&amp;AS[[#This Row],[Insurer Code]]&amp;"; "&amp;O4208&amp;AS[[#This Row],[Reporting Year]]&amp;"; "&amp;P4208&amp;AS[[#This Row],[Insurance Category Code]]&amp;"; "&amp;Q4208&amp;AS[[#This Row],[Large Provider Entity Code]]&amp;"; "&amp;R4208&amp;AS[[#This Row],[Age Band Code]]&amp;"; "&amp;S4208&amp;AS[[#This Row],[Sex Code]]</f>
        <v xml:space="preserve">Insurer Code ; Reporting Year ; Insurance Category Code ; Large Provider Entity Code ; Age Band Code ; Sex Code </v>
      </c>
      <c r="N4208" s="297" t="s">
        <v>197</v>
      </c>
      <c r="O4208" s="297" t="s">
        <v>198</v>
      </c>
      <c r="P4208" s="297" t="s">
        <v>199</v>
      </c>
      <c r="Q4208" s="297" t="s">
        <v>200</v>
      </c>
      <c r="R4208" s="297" t="s">
        <v>213</v>
      </c>
      <c r="S4208" s="297" t="s">
        <v>214</v>
      </c>
    </row>
    <row r="4209" spans="1:19" x14ac:dyDescent="0.4">
      <c r="A4209" s="291"/>
      <c r="B4209" s="292"/>
      <c r="C4209" s="312"/>
      <c r="D4209" s="292"/>
      <c r="E4209" s="489"/>
      <c r="F4209" s="489"/>
      <c r="G4209" s="490"/>
      <c r="H4209" s="520"/>
      <c r="I4209" s="523"/>
      <c r="J4209" s="521"/>
      <c r="K4209" s="522"/>
      <c r="M4209" s="301" t="str">
        <f>N4209&amp;AS[[#This Row],[Insurer Code]]&amp;"; "&amp;O4209&amp;AS[[#This Row],[Reporting Year]]&amp;"; "&amp;P4209&amp;AS[[#This Row],[Insurance Category Code]]&amp;"; "&amp;Q4209&amp;AS[[#This Row],[Large Provider Entity Code]]&amp;"; "&amp;R4209&amp;AS[[#This Row],[Age Band Code]]&amp;"; "&amp;S4209&amp;AS[[#This Row],[Sex Code]]</f>
        <v xml:space="preserve">Insurer Code ; Reporting Year ; Insurance Category Code ; Large Provider Entity Code ; Age Band Code ; Sex Code </v>
      </c>
      <c r="N4209" s="297" t="s">
        <v>197</v>
      </c>
      <c r="O4209" s="297" t="s">
        <v>198</v>
      </c>
      <c r="P4209" s="297" t="s">
        <v>199</v>
      </c>
      <c r="Q4209" s="297" t="s">
        <v>200</v>
      </c>
      <c r="R4209" s="297" t="s">
        <v>213</v>
      </c>
      <c r="S4209" s="297" t="s">
        <v>214</v>
      </c>
    </row>
    <row r="4210" spans="1:19" x14ac:dyDescent="0.4">
      <c r="A4210" s="291"/>
      <c r="B4210" s="292"/>
      <c r="C4210" s="312"/>
      <c r="D4210" s="292"/>
      <c r="E4210" s="489"/>
      <c r="F4210" s="489"/>
      <c r="G4210" s="490"/>
      <c r="H4210" s="520"/>
      <c r="I4210" s="523"/>
      <c r="J4210" s="521"/>
      <c r="K4210" s="522"/>
      <c r="M4210" s="301" t="str">
        <f>N4210&amp;AS[[#This Row],[Insurer Code]]&amp;"; "&amp;O4210&amp;AS[[#This Row],[Reporting Year]]&amp;"; "&amp;P4210&amp;AS[[#This Row],[Insurance Category Code]]&amp;"; "&amp;Q4210&amp;AS[[#This Row],[Large Provider Entity Code]]&amp;"; "&amp;R4210&amp;AS[[#This Row],[Age Band Code]]&amp;"; "&amp;S4210&amp;AS[[#This Row],[Sex Code]]</f>
        <v xml:space="preserve">Insurer Code ; Reporting Year ; Insurance Category Code ; Large Provider Entity Code ; Age Band Code ; Sex Code </v>
      </c>
      <c r="N4210" s="297" t="s">
        <v>197</v>
      </c>
      <c r="O4210" s="297" t="s">
        <v>198</v>
      </c>
      <c r="P4210" s="297" t="s">
        <v>199</v>
      </c>
      <c r="Q4210" s="297" t="s">
        <v>200</v>
      </c>
      <c r="R4210" s="297" t="s">
        <v>213</v>
      </c>
      <c r="S4210" s="297" t="s">
        <v>214</v>
      </c>
    </row>
    <row r="4211" spans="1:19" x14ac:dyDescent="0.4">
      <c r="A4211" s="291"/>
      <c r="B4211" s="292"/>
      <c r="C4211" s="312"/>
      <c r="D4211" s="292"/>
      <c r="E4211" s="489"/>
      <c r="F4211" s="489"/>
      <c r="G4211" s="490"/>
      <c r="H4211" s="520"/>
      <c r="I4211" s="523"/>
      <c r="J4211" s="521"/>
      <c r="K4211" s="522"/>
      <c r="M4211" s="301" t="str">
        <f>N4211&amp;AS[[#This Row],[Insurer Code]]&amp;"; "&amp;O4211&amp;AS[[#This Row],[Reporting Year]]&amp;"; "&amp;P4211&amp;AS[[#This Row],[Insurance Category Code]]&amp;"; "&amp;Q4211&amp;AS[[#This Row],[Large Provider Entity Code]]&amp;"; "&amp;R4211&amp;AS[[#This Row],[Age Band Code]]&amp;"; "&amp;S4211&amp;AS[[#This Row],[Sex Code]]</f>
        <v xml:space="preserve">Insurer Code ; Reporting Year ; Insurance Category Code ; Large Provider Entity Code ; Age Band Code ; Sex Code </v>
      </c>
      <c r="N4211" s="297" t="s">
        <v>197</v>
      </c>
      <c r="O4211" s="297" t="s">
        <v>198</v>
      </c>
      <c r="P4211" s="297" t="s">
        <v>199</v>
      </c>
      <c r="Q4211" s="297" t="s">
        <v>200</v>
      </c>
      <c r="R4211" s="297" t="s">
        <v>213</v>
      </c>
      <c r="S4211" s="297" t="s">
        <v>214</v>
      </c>
    </row>
    <row r="4212" spans="1:19" x14ac:dyDescent="0.4">
      <c r="A4212" s="291"/>
      <c r="B4212" s="292"/>
      <c r="C4212" s="312"/>
      <c r="D4212" s="292"/>
      <c r="E4212" s="489"/>
      <c r="F4212" s="489"/>
      <c r="G4212" s="490"/>
      <c r="H4212" s="520"/>
      <c r="I4212" s="523"/>
      <c r="J4212" s="521"/>
      <c r="K4212" s="522"/>
      <c r="M4212" s="301" t="str">
        <f>N4212&amp;AS[[#This Row],[Insurer Code]]&amp;"; "&amp;O4212&amp;AS[[#This Row],[Reporting Year]]&amp;"; "&amp;P4212&amp;AS[[#This Row],[Insurance Category Code]]&amp;"; "&amp;Q4212&amp;AS[[#This Row],[Large Provider Entity Code]]&amp;"; "&amp;R4212&amp;AS[[#This Row],[Age Band Code]]&amp;"; "&amp;S4212&amp;AS[[#This Row],[Sex Code]]</f>
        <v xml:space="preserve">Insurer Code ; Reporting Year ; Insurance Category Code ; Large Provider Entity Code ; Age Band Code ; Sex Code </v>
      </c>
      <c r="N4212" s="297" t="s">
        <v>197</v>
      </c>
      <c r="O4212" s="297" t="s">
        <v>198</v>
      </c>
      <c r="P4212" s="297" t="s">
        <v>199</v>
      </c>
      <c r="Q4212" s="297" t="s">
        <v>200</v>
      </c>
      <c r="R4212" s="297" t="s">
        <v>213</v>
      </c>
      <c r="S4212" s="297" t="s">
        <v>214</v>
      </c>
    </row>
    <row r="4213" spans="1:19" x14ac:dyDescent="0.4">
      <c r="A4213" s="291"/>
      <c r="B4213" s="292"/>
      <c r="C4213" s="312"/>
      <c r="D4213" s="292"/>
      <c r="E4213" s="489"/>
      <c r="F4213" s="489"/>
      <c r="G4213" s="490"/>
      <c r="H4213" s="520"/>
      <c r="I4213" s="523"/>
      <c r="J4213" s="521"/>
      <c r="K4213" s="522"/>
      <c r="M4213" s="301" t="str">
        <f>N4213&amp;AS[[#This Row],[Insurer Code]]&amp;"; "&amp;O4213&amp;AS[[#This Row],[Reporting Year]]&amp;"; "&amp;P4213&amp;AS[[#This Row],[Insurance Category Code]]&amp;"; "&amp;Q4213&amp;AS[[#This Row],[Large Provider Entity Code]]&amp;"; "&amp;R4213&amp;AS[[#This Row],[Age Band Code]]&amp;"; "&amp;S4213&amp;AS[[#This Row],[Sex Code]]</f>
        <v xml:space="preserve">Insurer Code ; Reporting Year ; Insurance Category Code ; Large Provider Entity Code ; Age Band Code ; Sex Code </v>
      </c>
      <c r="N4213" s="297" t="s">
        <v>197</v>
      </c>
      <c r="O4213" s="297" t="s">
        <v>198</v>
      </c>
      <c r="P4213" s="297" t="s">
        <v>199</v>
      </c>
      <c r="Q4213" s="297" t="s">
        <v>200</v>
      </c>
      <c r="R4213" s="297" t="s">
        <v>213</v>
      </c>
      <c r="S4213" s="297" t="s">
        <v>214</v>
      </c>
    </row>
    <row r="4214" spans="1:19" x14ac:dyDescent="0.4">
      <c r="A4214" s="291"/>
      <c r="B4214" s="292"/>
      <c r="C4214" s="312"/>
      <c r="D4214" s="292"/>
      <c r="E4214" s="489"/>
      <c r="F4214" s="489"/>
      <c r="G4214" s="490"/>
      <c r="H4214" s="520"/>
      <c r="I4214" s="523"/>
      <c r="J4214" s="521"/>
      <c r="K4214" s="522"/>
      <c r="M4214" s="301" t="str">
        <f>N4214&amp;AS[[#This Row],[Insurer Code]]&amp;"; "&amp;O4214&amp;AS[[#This Row],[Reporting Year]]&amp;"; "&amp;P4214&amp;AS[[#This Row],[Insurance Category Code]]&amp;"; "&amp;Q4214&amp;AS[[#This Row],[Large Provider Entity Code]]&amp;"; "&amp;R4214&amp;AS[[#This Row],[Age Band Code]]&amp;"; "&amp;S4214&amp;AS[[#This Row],[Sex Code]]</f>
        <v xml:space="preserve">Insurer Code ; Reporting Year ; Insurance Category Code ; Large Provider Entity Code ; Age Band Code ; Sex Code </v>
      </c>
      <c r="N4214" s="297" t="s">
        <v>197</v>
      </c>
      <c r="O4214" s="297" t="s">
        <v>198</v>
      </c>
      <c r="P4214" s="297" t="s">
        <v>199</v>
      </c>
      <c r="Q4214" s="297" t="s">
        <v>200</v>
      </c>
      <c r="R4214" s="297" t="s">
        <v>213</v>
      </c>
      <c r="S4214" s="297" t="s">
        <v>214</v>
      </c>
    </row>
    <row r="4215" spans="1:19" x14ac:dyDescent="0.4">
      <c r="A4215" s="291"/>
      <c r="B4215" s="292"/>
      <c r="C4215" s="312"/>
      <c r="D4215" s="292"/>
      <c r="E4215" s="489"/>
      <c r="F4215" s="489"/>
      <c r="G4215" s="490"/>
      <c r="H4215" s="520"/>
      <c r="I4215" s="523"/>
      <c r="J4215" s="521"/>
      <c r="K4215" s="522"/>
      <c r="M4215" s="301" t="str">
        <f>N4215&amp;AS[[#This Row],[Insurer Code]]&amp;"; "&amp;O4215&amp;AS[[#This Row],[Reporting Year]]&amp;"; "&amp;P4215&amp;AS[[#This Row],[Insurance Category Code]]&amp;"; "&amp;Q4215&amp;AS[[#This Row],[Large Provider Entity Code]]&amp;"; "&amp;R4215&amp;AS[[#This Row],[Age Band Code]]&amp;"; "&amp;S4215&amp;AS[[#This Row],[Sex Code]]</f>
        <v xml:space="preserve">Insurer Code ; Reporting Year ; Insurance Category Code ; Large Provider Entity Code ; Age Band Code ; Sex Code </v>
      </c>
      <c r="N4215" s="297" t="s">
        <v>197</v>
      </c>
      <c r="O4215" s="297" t="s">
        <v>198</v>
      </c>
      <c r="P4215" s="297" t="s">
        <v>199</v>
      </c>
      <c r="Q4215" s="297" t="s">
        <v>200</v>
      </c>
      <c r="R4215" s="297" t="s">
        <v>213</v>
      </c>
      <c r="S4215" s="297" t="s">
        <v>214</v>
      </c>
    </row>
    <row r="4216" spans="1:19" x14ac:dyDescent="0.4">
      <c r="A4216" s="291"/>
      <c r="B4216" s="292"/>
      <c r="C4216" s="312"/>
      <c r="D4216" s="292"/>
      <c r="E4216" s="489"/>
      <c r="F4216" s="489"/>
      <c r="G4216" s="490"/>
      <c r="H4216" s="520"/>
      <c r="I4216" s="523"/>
      <c r="J4216" s="521"/>
      <c r="K4216" s="522"/>
      <c r="M4216" s="301" t="str">
        <f>N4216&amp;AS[[#This Row],[Insurer Code]]&amp;"; "&amp;O4216&amp;AS[[#This Row],[Reporting Year]]&amp;"; "&amp;P4216&amp;AS[[#This Row],[Insurance Category Code]]&amp;"; "&amp;Q4216&amp;AS[[#This Row],[Large Provider Entity Code]]&amp;"; "&amp;R4216&amp;AS[[#This Row],[Age Band Code]]&amp;"; "&amp;S4216&amp;AS[[#This Row],[Sex Code]]</f>
        <v xml:space="preserve">Insurer Code ; Reporting Year ; Insurance Category Code ; Large Provider Entity Code ; Age Band Code ; Sex Code </v>
      </c>
      <c r="N4216" s="297" t="s">
        <v>197</v>
      </c>
      <c r="O4216" s="297" t="s">
        <v>198</v>
      </c>
      <c r="P4216" s="297" t="s">
        <v>199</v>
      </c>
      <c r="Q4216" s="297" t="s">
        <v>200</v>
      </c>
      <c r="R4216" s="297" t="s">
        <v>213</v>
      </c>
      <c r="S4216" s="297" t="s">
        <v>214</v>
      </c>
    </row>
    <row r="4217" spans="1:19" x14ac:dyDescent="0.4">
      <c r="A4217" s="291"/>
      <c r="B4217" s="292"/>
      <c r="C4217" s="312"/>
      <c r="D4217" s="292"/>
      <c r="E4217" s="489"/>
      <c r="F4217" s="489"/>
      <c r="G4217" s="490"/>
      <c r="H4217" s="520"/>
      <c r="I4217" s="523"/>
      <c r="J4217" s="521"/>
      <c r="K4217" s="522"/>
      <c r="M4217" s="301" t="str">
        <f>N4217&amp;AS[[#This Row],[Insurer Code]]&amp;"; "&amp;O4217&amp;AS[[#This Row],[Reporting Year]]&amp;"; "&amp;P4217&amp;AS[[#This Row],[Insurance Category Code]]&amp;"; "&amp;Q4217&amp;AS[[#This Row],[Large Provider Entity Code]]&amp;"; "&amp;R4217&amp;AS[[#This Row],[Age Band Code]]&amp;"; "&amp;S4217&amp;AS[[#This Row],[Sex Code]]</f>
        <v xml:space="preserve">Insurer Code ; Reporting Year ; Insurance Category Code ; Large Provider Entity Code ; Age Band Code ; Sex Code </v>
      </c>
      <c r="N4217" s="297" t="s">
        <v>197</v>
      </c>
      <c r="O4217" s="297" t="s">
        <v>198</v>
      </c>
      <c r="P4217" s="297" t="s">
        <v>199</v>
      </c>
      <c r="Q4217" s="297" t="s">
        <v>200</v>
      </c>
      <c r="R4217" s="297" t="s">
        <v>213</v>
      </c>
      <c r="S4217" s="297" t="s">
        <v>214</v>
      </c>
    </row>
    <row r="4218" spans="1:19" x14ac:dyDescent="0.4">
      <c r="A4218" s="291"/>
      <c r="B4218" s="292"/>
      <c r="C4218" s="312"/>
      <c r="D4218" s="292"/>
      <c r="E4218" s="489"/>
      <c r="F4218" s="489"/>
      <c r="G4218" s="490"/>
      <c r="H4218" s="520"/>
      <c r="I4218" s="523"/>
      <c r="J4218" s="521"/>
      <c r="K4218" s="522"/>
      <c r="M4218" s="301" t="str">
        <f>N4218&amp;AS[[#This Row],[Insurer Code]]&amp;"; "&amp;O4218&amp;AS[[#This Row],[Reporting Year]]&amp;"; "&amp;P4218&amp;AS[[#This Row],[Insurance Category Code]]&amp;"; "&amp;Q4218&amp;AS[[#This Row],[Large Provider Entity Code]]&amp;"; "&amp;R4218&amp;AS[[#This Row],[Age Band Code]]&amp;"; "&amp;S4218&amp;AS[[#This Row],[Sex Code]]</f>
        <v xml:space="preserve">Insurer Code ; Reporting Year ; Insurance Category Code ; Large Provider Entity Code ; Age Band Code ; Sex Code </v>
      </c>
      <c r="N4218" s="297" t="s">
        <v>197</v>
      </c>
      <c r="O4218" s="297" t="s">
        <v>198</v>
      </c>
      <c r="P4218" s="297" t="s">
        <v>199</v>
      </c>
      <c r="Q4218" s="297" t="s">
        <v>200</v>
      </c>
      <c r="R4218" s="297" t="s">
        <v>213</v>
      </c>
      <c r="S4218" s="297" t="s">
        <v>214</v>
      </c>
    </row>
    <row r="4219" spans="1:19" x14ac:dyDescent="0.4">
      <c r="A4219" s="291"/>
      <c r="B4219" s="292"/>
      <c r="C4219" s="312"/>
      <c r="D4219" s="292"/>
      <c r="E4219" s="489"/>
      <c r="F4219" s="489"/>
      <c r="G4219" s="490"/>
      <c r="H4219" s="520"/>
      <c r="I4219" s="523"/>
      <c r="J4219" s="521"/>
      <c r="K4219" s="522"/>
      <c r="M4219" s="301" t="str">
        <f>N4219&amp;AS[[#This Row],[Insurer Code]]&amp;"; "&amp;O4219&amp;AS[[#This Row],[Reporting Year]]&amp;"; "&amp;P4219&amp;AS[[#This Row],[Insurance Category Code]]&amp;"; "&amp;Q4219&amp;AS[[#This Row],[Large Provider Entity Code]]&amp;"; "&amp;R4219&amp;AS[[#This Row],[Age Band Code]]&amp;"; "&amp;S4219&amp;AS[[#This Row],[Sex Code]]</f>
        <v xml:space="preserve">Insurer Code ; Reporting Year ; Insurance Category Code ; Large Provider Entity Code ; Age Band Code ; Sex Code </v>
      </c>
      <c r="N4219" s="297" t="s">
        <v>197</v>
      </c>
      <c r="O4219" s="297" t="s">
        <v>198</v>
      </c>
      <c r="P4219" s="297" t="s">
        <v>199</v>
      </c>
      <c r="Q4219" s="297" t="s">
        <v>200</v>
      </c>
      <c r="R4219" s="297" t="s">
        <v>213</v>
      </c>
      <c r="S4219" s="297" t="s">
        <v>214</v>
      </c>
    </row>
    <row r="4220" spans="1:19" x14ac:dyDescent="0.4">
      <c r="A4220" s="291"/>
      <c r="B4220" s="292"/>
      <c r="C4220" s="312"/>
      <c r="D4220" s="292"/>
      <c r="E4220" s="489"/>
      <c r="F4220" s="489"/>
      <c r="G4220" s="490"/>
      <c r="H4220" s="520"/>
      <c r="I4220" s="523"/>
      <c r="J4220" s="521"/>
      <c r="K4220" s="522"/>
      <c r="M4220" s="301" t="str">
        <f>N4220&amp;AS[[#This Row],[Insurer Code]]&amp;"; "&amp;O4220&amp;AS[[#This Row],[Reporting Year]]&amp;"; "&amp;P4220&amp;AS[[#This Row],[Insurance Category Code]]&amp;"; "&amp;Q4220&amp;AS[[#This Row],[Large Provider Entity Code]]&amp;"; "&amp;R4220&amp;AS[[#This Row],[Age Band Code]]&amp;"; "&amp;S4220&amp;AS[[#This Row],[Sex Code]]</f>
        <v xml:space="preserve">Insurer Code ; Reporting Year ; Insurance Category Code ; Large Provider Entity Code ; Age Band Code ; Sex Code </v>
      </c>
      <c r="N4220" s="297" t="s">
        <v>197</v>
      </c>
      <c r="O4220" s="297" t="s">
        <v>198</v>
      </c>
      <c r="P4220" s="297" t="s">
        <v>199</v>
      </c>
      <c r="Q4220" s="297" t="s">
        <v>200</v>
      </c>
      <c r="R4220" s="297" t="s">
        <v>213</v>
      </c>
      <c r="S4220" s="297" t="s">
        <v>214</v>
      </c>
    </row>
    <row r="4221" spans="1:19" x14ac:dyDescent="0.4">
      <c r="A4221" s="291"/>
      <c r="B4221" s="292"/>
      <c r="C4221" s="312"/>
      <c r="D4221" s="292"/>
      <c r="E4221" s="489"/>
      <c r="F4221" s="489"/>
      <c r="G4221" s="490"/>
      <c r="H4221" s="520"/>
      <c r="I4221" s="523"/>
      <c r="J4221" s="521"/>
      <c r="K4221" s="522"/>
      <c r="M4221" s="301" t="str">
        <f>N4221&amp;AS[[#This Row],[Insurer Code]]&amp;"; "&amp;O4221&amp;AS[[#This Row],[Reporting Year]]&amp;"; "&amp;P4221&amp;AS[[#This Row],[Insurance Category Code]]&amp;"; "&amp;Q4221&amp;AS[[#This Row],[Large Provider Entity Code]]&amp;"; "&amp;R4221&amp;AS[[#This Row],[Age Band Code]]&amp;"; "&amp;S4221&amp;AS[[#This Row],[Sex Code]]</f>
        <v xml:space="preserve">Insurer Code ; Reporting Year ; Insurance Category Code ; Large Provider Entity Code ; Age Band Code ; Sex Code </v>
      </c>
      <c r="N4221" s="297" t="s">
        <v>197</v>
      </c>
      <c r="O4221" s="297" t="s">
        <v>198</v>
      </c>
      <c r="P4221" s="297" t="s">
        <v>199</v>
      </c>
      <c r="Q4221" s="297" t="s">
        <v>200</v>
      </c>
      <c r="R4221" s="297" t="s">
        <v>213</v>
      </c>
      <c r="S4221" s="297" t="s">
        <v>214</v>
      </c>
    </row>
    <row r="4222" spans="1:19" x14ac:dyDescent="0.4">
      <c r="A4222" s="291"/>
      <c r="B4222" s="292"/>
      <c r="C4222" s="312"/>
      <c r="D4222" s="292"/>
      <c r="E4222" s="489"/>
      <c r="F4222" s="489"/>
      <c r="G4222" s="490"/>
      <c r="H4222" s="520"/>
      <c r="I4222" s="523"/>
      <c r="J4222" s="521"/>
      <c r="K4222" s="522"/>
      <c r="M4222" s="301" t="str">
        <f>N4222&amp;AS[[#This Row],[Insurer Code]]&amp;"; "&amp;O4222&amp;AS[[#This Row],[Reporting Year]]&amp;"; "&amp;P4222&amp;AS[[#This Row],[Insurance Category Code]]&amp;"; "&amp;Q4222&amp;AS[[#This Row],[Large Provider Entity Code]]&amp;"; "&amp;R4222&amp;AS[[#This Row],[Age Band Code]]&amp;"; "&amp;S4222&amp;AS[[#This Row],[Sex Code]]</f>
        <v xml:space="preserve">Insurer Code ; Reporting Year ; Insurance Category Code ; Large Provider Entity Code ; Age Band Code ; Sex Code </v>
      </c>
      <c r="N4222" s="297" t="s">
        <v>197</v>
      </c>
      <c r="O4222" s="297" t="s">
        <v>198</v>
      </c>
      <c r="P4222" s="297" t="s">
        <v>199</v>
      </c>
      <c r="Q4222" s="297" t="s">
        <v>200</v>
      </c>
      <c r="R4222" s="297" t="s">
        <v>213</v>
      </c>
      <c r="S4222" s="297" t="s">
        <v>214</v>
      </c>
    </row>
    <row r="4223" spans="1:19" x14ac:dyDescent="0.4">
      <c r="A4223" s="291"/>
      <c r="B4223" s="292"/>
      <c r="C4223" s="312"/>
      <c r="D4223" s="292"/>
      <c r="E4223" s="489"/>
      <c r="F4223" s="489"/>
      <c r="G4223" s="490"/>
      <c r="H4223" s="520"/>
      <c r="I4223" s="523"/>
      <c r="J4223" s="521"/>
      <c r="K4223" s="522"/>
      <c r="M4223" s="301" t="str">
        <f>N4223&amp;AS[[#This Row],[Insurer Code]]&amp;"; "&amp;O4223&amp;AS[[#This Row],[Reporting Year]]&amp;"; "&amp;P4223&amp;AS[[#This Row],[Insurance Category Code]]&amp;"; "&amp;Q4223&amp;AS[[#This Row],[Large Provider Entity Code]]&amp;"; "&amp;R4223&amp;AS[[#This Row],[Age Band Code]]&amp;"; "&amp;S4223&amp;AS[[#This Row],[Sex Code]]</f>
        <v xml:space="preserve">Insurer Code ; Reporting Year ; Insurance Category Code ; Large Provider Entity Code ; Age Band Code ; Sex Code </v>
      </c>
      <c r="N4223" s="297" t="s">
        <v>197</v>
      </c>
      <c r="O4223" s="297" t="s">
        <v>198</v>
      </c>
      <c r="P4223" s="297" t="s">
        <v>199</v>
      </c>
      <c r="Q4223" s="297" t="s">
        <v>200</v>
      </c>
      <c r="R4223" s="297" t="s">
        <v>213</v>
      </c>
      <c r="S4223" s="297" t="s">
        <v>214</v>
      </c>
    </row>
    <row r="4224" spans="1:19" x14ac:dyDescent="0.4">
      <c r="A4224" s="291"/>
      <c r="B4224" s="292"/>
      <c r="C4224" s="312"/>
      <c r="D4224" s="292"/>
      <c r="E4224" s="489"/>
      <c r="F4224" s="489"/>
      <c r="G4224" s="490"/>
      <c r="H4224" s="520"/>
      <c r="I4224" s="523"/>
      <c r="J4224" s="521"/>
      <c r="K4224" s="522"/>
      <c r="M4224" s="301" t="str">
        <f>N4224&amp;AS[[#This Row],[Insurer Code]]&amp;"; "&amp;O4224&amp;AS[[#This Row],[Reporting Year]]&amp;"; "&amp;P4224&amp;AS[[#This Row],[Insurance Category Code]]&amp;"; "&amp;Q4224&amp;AS[[#This Row],[Large Provider Entity Code]]&amp;"; "&amp;R4224&amp;AS[[#This Row],[Age Band Code]]&amp;"; "&amp;S4224&amp;AS[[#This Row],[Sex Code]]</f>
        <v xml:space="preserve">Insurer Code ; Reporting Year ; Insurance Category Code ; Large Provider Entity Code ; Age Band Code ; Sex Code </v>
      </c>
      <c r="N4224" s="297" t="s">
        <v>197</v>
      </c>
      <c r="O4224" s="297" t="s">
        <v>198</v>
      </c>
      <c r="P4224" s="297" t="s">
        <v>199</v>
      </c>
      <c r="Q4224" s="297" t="s">
        <v>200</v>
      </c>
      <c r="R4224" s="297" t="s">
        <v>213</v>
      </c>
      <c r="S4224" s="297" t="s">
        <v>214</v>
      </c>
    </row>
    <row r="4225" spans="1:19" x14ac:dyDescent="0.4">
      <c r="A4225" s="291"/>
      <c r="B4225" s="292"/>
      <c r="C4225" s="312"/>
      <c r="D4225" s="292"/>
      <c r="E4225" s="489"/>
      <c r="F4225" s="489"/>
      <c r="G4225" s="490"/>
      <c r="H4225" s="520"/>
      <c r="I4225" s="523"/>
      <c r="J4225" s="521"/>
      <c r="K4225" s="522"/>
      <c r="M4225" s="301" t="str">
        <f>N4225&amp;AS[[#This Row],[Insurer Code]]&amp;"; "&amp;O4225&amp;AS[[#This Row],[Reporting Year]]&amp;"; "&amp;P4225&amp;AS[[#This Row],[Insurance Category Code]]&amp;"; "&amp;Q4225&amp;AS[[#This Row],[Large Provider Entity Code]]&amp;"; "&amp;R4225&amp;AS[[#This Row],[Age Band Code]]&amp;"; "&amp;S4225&amp;AS[[#This Row],[Sex Code]]</f>
        <v xml:space="preserve">Insurer Code ; Reporting Year ; Insurance Category Code ; Large Provider Entity Code ; Age Band Code ; Sex Code </v>
      </c>
      <c r="N4225" s="297" t="s">
        <v>197</v>
      </c>
      <c r="O4225" s="297" t="s">
        <v>198</v>
      </c>
      <c r="P4225" s="297" t="s">
        <v>199</v>
      </c>
      <c r="Q4225" s="297" t="s">
        <v>200</v>
      </c>
      <c r="R4225" s="297" t="s">
        <v>213</v>
      </c>
      <c r="S4225" s="297" t="s">
        <v>214</v>
      </c>
    </row>
    <row r="4226" spans="1:19" x14ac:dyDescent="0.4">
      <c r="A4226" s="291"/>
      <c r="B4226" s="292"/>
      <c r="C4226" s="312"/>
      <c r="D4226" s="292"/>
      <c r="E4226" s="489"/>
      <c r="F4226" s="489"/>
      <c r="G4226" s="490"/>
      <c r="H4226" s="520"/>
      <c r="I4226" s="523"/>
      <c r="J4226" s="521"/>
      <c r="K4226" s="522"/>
      <c r="M4226" s="301" t="str">
        <f>N4226&amp;AS[[#This Row],[Insurer Code]]&amp;"; "&amp;O4226&amp;AS[[#This Row],[Reporting Year]]&amp;"; "&amp;P4226&amp;AS[[#This Row],[Insurance Category Code]]&amp;"; "&amp;Q4226&amp;AS[[#This Row],[Large Provider Entity Code]]&amp;"; "&amp;R4226&amp;AS[[#This Row],[Age Band Code]]&amp;"; "&amp;S4226&amp;AS[[#This Row],[Sex Code]]</f>
        <v xml:space="preserve">Insurer Code ; Reporting Year ; Insurance Category Code ; Large Provider Entity Code ; Age Band Code ; Sex Code </v>
      </c>
      <c r="N4226" s="297" t="s">
        <v>197</v>
      </c>
      <c r="O4226" s="297" t="s">
        <v>198</v>
      </c>
      <c r="P4226" s="297" t="s">
        <v>199</v>
      </c>
      <c r="Q4226" s="297" t="s">
        <v>200</v>
      </c>
      <c r="R4226" s="297" t="s">
        <v>213</v>
      </c>
      <c r="S4226" s="297" t="s">
        <v>214</v>
      </c>
    </row>
    <row r="4227" spans="1:19" x14ac:dyDescent="0.4">
      <c r="A4227" s="291"/>
      <c r="B4227" s="292"/>
      <c r="C4227" s="312"/>
      <c r="D4227" s="292"/>
      <c r="E4227" s="489"/>
      <c r="F4227" s="489"/>
      <c r="G4227" s="490"/>
      <c r="H4227" s="520"/>
      <c r="I4227" s="523"/>
      <c r="J4227" s="521"/>
      <c r="K4227" s="522"/>
      <c r="M4227" s="301" t="str">
        <f>N4227&amp;AS[[#This Row],[Insurer Code]]&amp;"; "&amp;O4227&amp;AS[[#This Row],[Reporting Year]]&amp;"; "&amp;P4227&amp;AS[[#This Row],[Insurance Category Code]]&amp;"; "&amp;Q4227&amp;AS[[#This Row],[Large Provider Entity Code]]&amp;"; "&amp;R4227&amp;AS[[#This Row],[Age Band Code]]&amp;"; "&amp;S4227&amp;AS[[#This Row],[Sex Code]]</f>
        <v xml:space="preserve">Insurer Code ; Reporting Year ; Insurance Category Code ; Large Provider Entity Code ; Age Band Code ; Sex Code </v>
      </c>
      <c r="N4227" s="297" t="s">
        <v>197</v>
      </c>
      <c r="O4227" s="297" t="s">
        <v>198</v>
      </c>
      <c r="P4227" s="297" t="s">
        <v>199</v>
      </c>
      <c r="Q4227" s="297" t="s">
        <v>200</v>
      </c>
      <c r="R4227" s="297" t="s">
        <v>213</v>
      </c>
      <c r="S4227" s="297" t="s">
        <v>214</v>
      </c>
    </row>
    <row r="4228" spans="1:19" x14ac:dyDescent="0.4">
      <c r="A4228" s="291"/>
      <c r="B4228" s="292"/>
      <c r="C4228" s="312"/>
      <c r="D4228" s="292"/>
      <c r="E4228" s="489"/>
      <c r="F4228" s="489"/>
      <c r="G4228" s="490"/>
      <c r="H4228" s="520"/>
      <c r="I4228" s="523"/>
      <c r="J4228" s="521"/>
      <c r="K4228" s="522"/>
      <c r="M4228" s="301" t="str">
        <f>N4228&amp;AS[[#This Row],[Insurer Code]]&amp;"; "&amp;O4228&amp;AS[[#This Row],[Reporting Year]]&amp;"; "&amp;P4228&amp;AS[[#This Row],[Insurance Category Code]]&amp;"; "&amp;Q4228&amp;AS[[#This Row],[Large Provider Entity Code]]&amp;"; "&amp;R4228&amp;AS[[#This Row],[Age Band Code]]&amp;"; "&amp;S4228&amp;AS[[#This Row],[Sex Code]]</f>
        <v xml:space="preserve">Insurer Code ; Reporting Year ; Insurance Category Code ; Large Provider Entity Code ; Age Band Code ; Sex Code </v>
      </c>
      <c r="N4228" s="297" t="s">
        <v>197</v>
      </c>
      <c r="O4228" s="297" t="s">
        <v>198</v>
      </c>
      <c r="P4228" s="297" t="s">
        <v>199</v>
      </c>
      <c r="Q4228" s="297" t="s">
        <v>200</v>
      </c>
      <c r="R4228" s="297" t="s">
        <v>213</v>
      </c>
      <c r="S4228" s="297" t="s">
        <v>214</v>
      </c>
    </row>
    <row r="4229" spans="1:19" x14ac:dyDescent="0.4">
      <c r="A4229" s="291"/>
      <c r="B4229" s="292"/>
      <c r="C4229" s="312"/>
      <c r="D4229" s="292"/>
      <c r="E4229" s="489"/>
      <c r="F4229" s="489"/>
      <c r="G4229" s="490"/>
      <c r="H4229" s="520"/>
      <c r="I4229" s="523"/>
      <c r="J4229" s="521"/>
      <c r="K4229" s="522"/>
      <c r="M4229" s="301" t="str">
        <f>N4229&amp;AS[[#This Row],[Insurer Code]]&amp;"; "&amp;O4229&amp;AS[[#This Row],[Reporting Year]]&amp;"; "&amp;P4229&amp;AS[[#This Row],[Insurance Category Code]]&amp;"; "&amp;Q4229&amp;AS[[#This Row],[Large Provider Entity Code]]&amp;"; "&amp;R4229&amp;AS[[#This Row],[Age Band Code]]&amp;"; "&amp;S4229&amp;AS[[#This Row],[Sex Code]]</f>
        <v xml:space="preserve">Insurer Code ; Reporting Year ; Insurance Category Code ; Large Provider Entity Code ; Age Band Code ; Sex Code </v>
      </c>
      <c r="N4229" s="297" t="s">
        <v>197</v>
      </c>
      <c r="O4229" s="297" t="s">
        <v>198</v>
      </c>
      <c r="P4229" s="297" t="s">
        <v>199</v>
      </c>
      <c r="Q4229" s="297" t="s">
        <v>200</v>
      </c>
      <c r="R4229" s="297" t="s">
        <v>213</v>
      </c>
      <c r="S4229" s="297" t="s">
        <v>214</v>
      </c>
    </row>
    <row r="4230" spans="1:19" x14ac:dyDescent="0.4">
      <c r="A4230" s="291"/>
      <c r="B4230" s="292"/>
      <c r="C4230" s="312"/>
      <c r="D4230" s="292"/>
      <c r="E4230" s="489"/>
      <c r="F4230" s="489"/>
      <c r="G4230" s="490"/>
      <c r="H4230" s="520"/>
      <c r="I4230" s="523"/>
      <c r="J4230" s="521"/>
      <c r="K4230" s="522"/>
      <c r="M4230" s="301" t="str">
        <f>N4230&amp;AS[[#This Row],[Insurer Code]]&amp;"; "&amp;O4230&amp;AS[[#This Row],[Reporting Year]]&amp;"; "&amp;P4230&amp;AS[[#This Row],[Insurance Category Code]]&amp;"; "&amp;Q4230&amp;AS[[#This Row],[Large Provider Entity Code]]&amp;"; "&amp;R4230&amp;AS[[#This Row],[Age Band Code]]&amp;"; "&amp;S4230&amp;AS[[#This Row],[Sex Code]]</f>
        <v xml:space="preserve">Insurer Code ; Reporting Year ; Insurance Category Code ; Large Provider Entity Code ; Age Band Code ; Sex Code </v>
      </c>
      <c r="N4230" s="297" t="s">
        <v>197</v>
      </c>
      <c r="O4230" s="297" t="s">
        <v>198</v>
      </c>
      <c r="P4230" s="297" t="s">
        <v>199</v>
      </c>
      <c r="Q4230" s="297" t="s">
        <v>200</v>
      </c>
      <c r="R4230" s="297" t="s">
        <v>213</v>
      </c>
      <c r="S4230" s="297" t="s">
        <v>214</v>
      </c>
    </row>
    <row r="4231" spans="1:19" x14ac:dyDescent="0.4">
      <c r="A4231" s="291"/>
      <c r="B4231" s="292"/>
      <c r="C4231" s="312"/>
      <c r="D4231" s="292"/>
      <c r="E4231" s="489"/>
      <c r="F4231" s="489"/>
      <c r="G4231" s="490"/>
      <c r="H4231" s="520"/>
      <c r="I4231" s="523"/>
      <c r="J4231" s="521"/>
      <c r="K4231" s="522"/>
      <c r="M4231" s="301" t="str">
        <f>N4231&amp;AS[[#This Row],[Insurer Code]]&amp;"; "&amp;O4231&amp;AS[[#This Row],[Reporting Year]]&amp;"; "&amp;P4231&amp;AS[[#This Row],[Insurance Category Code]]&amp;"; "&amp;Q4231&amp;AS[[#This Row],[Large Provider Entity Code]]&amp;"; "&amp;R4231&amp;AS[[#This Row],[Age Band Code]]&amp;"; "&amp;S4231&amp;AS[[#This Row],[Sex Code]]</f>
        <v xml:space="preserve">Insurer Code ; Reporting Year ; Insurance Category Code ; Large Provider Entity Code ; Age Band Code ; Sex Code </v>
      </c>
      <c r="N4231" s="297" t="s">
        <v>197</v>
      </c>
      <c r="O4231" s="297" t="s">
        <v>198</v>
      </c>
      <c r="P4231" s="297" t="s">
        <v>199</v>
      </c>
      <c r="Q4231" s="297" t="s">
        <v>200</v>
      </c>
      <c r="R4231" s="297" t="s">
        <v>213</v>
      </c>
      <c r="S4231" s="297" t="s">
        <v>214</v>
      </c>
    </row>
    <row r="4232" spans="1:19" x14ac:dyDescent="0.4">
      <c r="A4232" s="291"/>
      <c r="B4232" s="292"/>
      <c r="C4232" s="312"/>
      <c r="D4232" s="292"/>
      <c r="E4232" s="489"/>
      <c r="F4232" s="489"/>
      <c r="G4232" s="490"/>
      <c r="H4232" s="520"/>
      <c r="I4232" s="523"/>
      <c r="J4232" s="521"/>
      <c r="K4232" s="522"/>
      <c r="M4232" s="301" t="str">
        <f>N4232&amp;AS[[#This Row],[Insurer Code]]&amp;"; "&amp;O4232&amp;AS[[#This Row],[Reporting Year]]&amp;"; "&amp;P4232&amp;AS[[#This Row],[Insurance Category Code]]&amp;"; "&amp;Q4232&amp;AS[[#This Row],[Large Provider Entity Code]]&amp;"; "&amp;R4232&amp;AS[[#This Row],[Age Band Code]]&amp;"; "&amp;S4232&amp;AS[[#This Row],[Sex Code]]</f>
        <v xml:space="preserve">Insurer Code ; Reporting Year ; Insurance Category Code ; Large Provider Entity Code ; Age Band Code ; Sex Code </v>
      </c>
      <c r="N4232" s="297" t="s">
        <v>197</v>
      </c>
      <c r="O4232" s="297" t="s">
        <v>198</v>
      </c>
      <c r="P4232" s="297" t="s">
        <v>199</v>
      </c>
      <c r="Q4232" s="297" t="s">
        <v>200</v>
      </c>
      <c r="R4232" s="297" t="s">
        <v>213</v>
      </c>
      <c r="S4232" s="297" t="s">
        <v>214</v>
      </c>
    </row>
    <row r="4233" spans="1:19" x14ac:dyDescent="0.4">
      <c r="A4233" s="291"/>
      <c r="B4233" s="292"/>
      <c r="C4233" s="312"/>
      <c r="D4233" s="292"/>
      <c r="E4233" s="489"/>
      <c r="F4233" s="489"/>
      <c r="G4233" s="490"/>
      <c r="H4233" s="520"/>
      <c r="I4233" s="523"/>
      <c r="J4233" s="521"/>
      <c r="K4233" s="522"/>
      <c r="M4233" s="301" t="str">
        <f>N4233&amp;AS[[#This Row],[Insurer Code]]&amp;"; "&amp;O4233&amp;AS[[#This Row],[Reporting Year]]&amp;"; "&amp;P4233&amp;AS[[#This Row],[Insurance Category Code]]&amp;"; "&amp;Q4233&amp;AS[[#This Row],[Large Provider Entity Code]]&amp;"; "&amp;R4233&amp;AS[[#This Row],[Age Band Code]]&amp;"; "&amp;S4233&amp;AS[[#This Row],[Sex Code]]</f>
        <v xml:space="preserve">Insurer Code ; Reporting Year ; Insurance Category Code ; Large Provider Entity Code ; Age Band Code ; Sex Code </v>
      </c>
      <c r="N4233" s="297" t="s">
        <v>197</v>
      </c>
      <c r="O4233" s="297" t="s">
        <v>198</v>
      </c>
      <c r="P4233" s="297" t="s">
        <v>199</v>
      </c>
      <c r="Q4233" s="297" t="s">
        <v>200</v>
      </c>
      <c r="R4233" s="297" t="s">
        <v>213</v>
      </c>
      <c r="S4233" s="297" t="s">
        <v>214</v>
      </c>
    </row>
    <row r="4234" spans="1:19" x14ac:dyDescent="0.4">
      <c r="A4234" s="291"/>
      <c r="B4234" s="292"/>
      <c r="C4234" s="312"/>
      <c r="D4234" s="292"/>
      <c r="E4234" s="489"/>
      <c r="F4234" s="489"/>
      <c r="G4234" s="490"/>
      <c r="H4234" s="520"/>
      <c r="I4234" s="523"/>
      <c r="J4234" s="521"/>
      <c r="K4234" s="522"/>
      <c r="M4234" s="301" t="str">
        <f>N4234&amp;AS[[#This Row],[Insurer Code]]&amp;"; "&amp;O4234&amp;AS[[#This Row],[Reporting Year]]&amp;"; "&amp;P4234&amp;AS[[#This Row],[Insurance Category Code]]&amp;"; "&amp;Q4234&amp;AS[[#This Row],[Large Provider Entity Code]]&amp;"; "&amp;R4234&amp;AS[[#This Row],[Age Band Code]]&amp;"; "&amp;S4234&amp;AS[[#This Row],[Sex Code]]</f>
        <v xml:space="preserve">Insurer Code ; Reporting Year ; Insurance Category Code ; Large Provider Entity Code ; Age Band Code ; Sex Code </v>
      </c>
      <c r="N4234" s="297" t="s">
        <v>197</v>
      </c>
      <c r="O4234" s="297" t="s">
        <v>198</v>
      </c>
      <c r="P4234" s="297" t="s">
        <v>199</v>
      </c>
      <c r="Q4234" s="297" t="s">
        <v>200</v>
      </c>
      <c r="R4234" s="297" t="s">
        <v>213</v>
      </c>
      <c r="S4234" s="297" t="s">
        <v>214</v>
      </c>
    </row>
    <row r="4235" spans="1:19" x14ac:dyDescent="0.4">
      <c r="A4235" s="291"/>
      <c r="B4235" s="292"/>
      <c r="C4235" s="312"/>
      <c r="D4235" s="292"/>
      <c r="E4235" s="489"/>
      <c r="F4235" s="489"/>
      <c r="G4235" s="490"/>
      <c r="H4235" s="520"/>
      <c r="I4235" s="523"/>
      <c r="J4235" s="521"/>
      <c r="K4235" s="522"/>
      <c r="M4235" s="301" t="str">
        <f>N4235&amp;AS[[#This Row],[Insurer Code]]&amp;"; "&amp;O4235&amp;AS[[#This Row],[Reporting Year]]&amp;"; "&amp;P4235&amp;AS[[#This Row],[Insurance Category Code]]&amp;"; "&amp;Q4235&amp;AS[[#This Row],[Large Provider Entity Code]]&amp;"; "&amp;R4235&amp;AS[[#This Row],[Age Band Code]]&amp;"; "&amp;S4235&amp;AS[[#This Row],[Sex Code]]</f>
        <v xml:space="preserve">Insurer Code ; Reporting Year ; Insurance Category Code ; Large Provider Entity Code ; Age Band Code ; Sex Code </v>
      </c>
      <c r="N4235" s="297" t="s">
        <v>197</v>
      </c>
      <c r="O4235" s="297" t="s">
        <v>198</v>
      </c>
      <c r="P4235" s="297" t="s">
        <v>199</v>
      </c>
      <c r="Q4235" s="297" t="s">
        <v>200</v>
      </c>
      <c r="R4235" s="297" t="s">
        <v>213</v>
      </c>
      <c r="S4235" s="297" t="s">
        <v>214</v>
      </c>
    </row>
    <row r="4236" spans="1:19" x14ac:dyDescent="0.4">
      <c r="A4236" s="291"/>
      <c r="B4236" s="292"/>
      <c r="C4236" s="312"/>
      <c r="D4236" s="292"/>
      <c r="E4236" s="489"/>
      <c r="F4236" s="489"/>
      <c r="G4236" s="490"/>
      <c r="H4236" s="520"/>
      <c r="I4236" s="523"/>
      <c r="J4236" s="521"/>
      <c r="K4236" s="522"/>
      <c r="M4236" s="301" t="str">
        <f>N4236&amp;AS[[#This Row],[Insurer Code]]&amp;"; "&amp;O4236&amp;AS[[#This Row],[Reporting Year]]&amp;"; "&amp;P4236&amp;AS[[#This Row],[Insurance Category Code]]&amp;"; "&amp;Q4236&amp;AS[[#This Row],[Large Provider Entity Code]]&amp;"; "&amp;R4236&amp;AS[[#This Row],[Age Band Code]]&amp;"; "&amp;S4236&amp;AS[[#This Row],[Sex Code]]</f>
        <v xml:space="preserve">Insurer Code ; Reporting Year ; Insurance Category Code ; Large Provider Entity Code ; Age Band Code ; Sex Code </v>
      </c>
      <c r="N4236" s="297" t="s">
        <v>197</v>
      </c>
      <c r="O4236" s="297" t="s">
        <v>198</v>
      </c>
      <c r="P4236" s="297" t="s">
        <v>199</v>
      </c>
      <c r="Q4236" s="297" t="s">
        <v>200</v>
      </c>
      <c r="R4236" s="297" t="s">
        <v>213</v>
      </c>
      <c r="S4236" s="297" t="s">
        <v>214</v>
      </c>
    </row>
    <row r="4237" spans="1:19" x14ac:dyDescent="0.4">
      <c r="A4237" s="291"/>
      <c r="B4237" s="292"/>
      <c r="C4237" s="312"/>
      <c r="D4237" s="292"/>
      <c r="E4237" s="489"/>
      <c r="F4237" s="489"/>
      <c r="G4237" s="490"/>
      <c r="H4237" s="520"/>
      <c r="I4237" s="523"/>
      <c r="J4237" s="521"/>
      <c r="K4237" s="522"/>
      <c r="M4237" s="301" t="str">
        <f>N4237&amp;AS[[#This Row],[Insurer Code]]&amp;"; "&amp;O4237&amp;AS[[#This Row],[Reporting Year]]&amp;"; "&amp;P4237&amp;AS[[#This Row],[Insurance Category Code]]&amp;"; "&amp;Q4237&amp;AS[[#This Row],[Large Provider Entity Code]]&amp;"; "&amp;R4237&amp;AS[[#This Row],[Age Band Code]]&amp;"; "&amp;S4237&amp;AS[[#This Row],[Sex Code]]</f>
        <v xml:space="preserve">Insurer Code ; Reporting Year ; Insurance Category Code ; Large Provider Entity Code ; Age Band Code ; Sex Code </v>
      </c>
      <c r="N4237" s="297" t="s">
        <v>197</v>
      </c>
      <c r="O4237" s="297" t="s">
        <v>198</v>
      </c>
      <c r="P4237" s="297" t="s">
        <v>199</v>
      </c>
      <c r="Q4237" s="297" t="s">
        <v>200</v>
      </c>
      <c r="R4237" s="297" t="s">
        <v>213</v>
      </c>
      <c r="S4237" s="297" t="s">
        <v>214</v>
      </c>
    </row>
    <row r="4238" spans="1:19" x14ac:dyDescent="0.4">
      <c r="A4238" s="291"/>
      <c r="B4238" s="292"/>
      <c r="C4238" s="312"/>
      <c r="D4238" s="292"/>
      <c r="E4238" s="489"/>
      <c r="F4238" s="489"/>
      <c r="G4238" s="490"/>
      <c r="H4238" s="520"/>
      <c r="I4238" s="523"/>
      <c r="J4238" s="521"/>
      <c r="K4238" s="522"/>
      <c r="M4238" s="301" t="str">
        <f>N4238&amp;AS[[#This Row],[Insurer Code]]&amp;"; "&amp;O4238&amp;AS[[#This Row],[Reporting Year]]&amp;"; "&amp;P4238&amp;AS[[#This Row],[Insurance Category Code]]&amp;"; "&amp;Q4238&amp;AS[[#This Row],[Large Provider Entity Code]]&amp;"; "&amp;R4238&amp;AS[[#This Row],[Age Band Code]]&amp;"; "&amp;S4238&amp;AS[[#This Row],[Sex Code]]</f>
        <v xml:space="preserve">Insurer Code ; Reporting Year ; Insurance Category Code ; Large Provider Entity Code ; Age Band Code ; Sex Code </v>
      </c>
      <c r="N4238" s="297" t="s">
        <v>197</v>
      </c>
      <c r="O4238" s="297" t="s">
        <v>198</v>
      </c>
      <c r="P4238" s="297" t="s">
        <v>199</v>
      </c>
      <c r="Q4238" s="297" t="s">
        <v>200</v>
      </c>
      <c r="R4238" s="297" t="s">
        <v>213</v>
      </c>
      <c r="S4238" s="297" t="s">
        <v>214</v>
      </c>
    </row>
    <row r="4239" spans="1:19" x14ac:dyDescent="0.4">
      <c r="A4239" s="291"/>
      <c r="B4239" s="292"/>
      <c r="C4239" s="312"/>
      <c r="D4239" s="292"/>
      <c r="E4239" s="489"/>
      <c r="F4239" s="489"/>
      <c r="G4239" s="490"/>
      <c r="H4239" s="520"/>
      <c r="I4239" s="523"/>
      <c r="J4239" s="521"/>
      <c r="K4239" s="522"/>
      <c r="M4239" s="301" t="str">
        <f>N4239&amp;AS[[#This Row],[Insurer Code]]&amp;"; "&amp;O4239&amp;AS[[#This Row],[Reporting Year]]&amp;"; "&amp;P4239&amp;AS[[#This Row],[Insurance Category Code]]&amp;"; "&amp;Q4239&amp;AS[[#This Row],[Large Provider Entity Code]]&amp;"; "&amp;R4239&amp;AS[[#This Row],[Age Band Code]]&amp;"; "&amp;S4239&amp;AS[[#This Row],[Sex Code]]</f>
        <v xml:space="preserve">Insurer Code ; Reporting Year ; Insurance Category Code ; Large Provider Entity Code ; Age Band Code ; Sex Code </v>
      </c>
      <c r="N4239" s="297" t="s">
        <v>197</v>
      </c>
      <c r="O4239" s="297" t="s">
        <v>198</v>
      </c>
      <c r="P4239" s="297" t="s">
        <v>199</v>
      </c>
      <c r="Q4239" s="297" t="s">
        <v>200</v>
      </c>
      <c r="R4239" s="297" t="s">
        <v>213</v>
      </c>
      <c r="S4239" s="297" t="s">
        <v>214</v>
      </c>
    </row>
    <row r="4240" spans="1:19" x14ac:dyDescent="0.4">
      <c r="A4240" s="291"/>
      <c r="B4240" s="292"/>
      <c r="C4240" s="312"/>
      <c r="D4240" s="292"/>
      <c r="E4240" s="489"/>
      <c r="F4240" s="489"/>
      <c r="G4240" s="490"/>
      <c r="H4240" s="520"/>
      <c r="I4240" s="523"/>
      <c r="J4240" s="521"/>
      <c r="K4240" s="522"/>
      <c r="M4240" s="301" t="str">
        <f>N4240&amp;AS[[#This Row],[Insurer Code]]&amp;"; "&amp;O4240&amp;AS[[#This Row],[Reporting Year]]&amp;"; "&amp;P4240&amp;AS[[#This Row],[Insurance Category Code]]&amp;"; "&amp;Q4240&amp;AS[[#This Row],[Large Provider Entity Code]]&amp;"; "&amp;R4240&amp;AS[[#This Row],[Age Band Code]]&amp;"; "&amp;S4240&amp;AS[[#This Row],[Sex Code]]</f>
        <v xml:space="preserve">Insurer Code ; Reporting Year ; Insurance Category Code ; Large Provider Entity Code ; Age Band Code ; Sex Code </v>
      </c>
      <c r="N4240" s="297" t="s">
        <v>197</v>
      </c>
      <c r="O4240" s="297" t="s">
        <v>198</v>
      </c>
      <c r="P4240" s="297" t="s">
        <v>199</v>
      </c>
      <c r="Q4240" s="297" t="s">
        <v>200</v>
      </c>
      <c r="R4240" s="297" t="s">
        <v>213</v>
      </c>
      <c r="S4240" s="297" t="s">
        <v>214</v>
      </c>
    </row>
    <row r="4241" spans="1:19" x14ac:dyDescent="0.4">
      <c r="A4241" s="291"/>
      <c r="B4241" s="292"/>
      <c r="C4241" s="312"/>
      <c r="D4241" s="292"/>
      <c r="E4241" s="489"/>
      <c r="F4241" s="489"/>
      <c r="G4241" s="490"/>
      <c r="H4241" s="520"/>
      <c r="I4241" s="523"/>
      <c r="J4241" s="521"/>
      <c r="K4241" s="522"/>
      <c r="M4241" s="301" t="str">
        <f>N4241&amp;AS[[#This Row],[Insurer Code]]&amp;"; "&amp;O4241&amp;AS[[#This Row],[Reporting Year]]&amp;"; "&amp;P4241&amp;AS[[#This Row],[Insurance Category Code]]&amp;"; "&amp;Q4241&amp;AS[[#This Row],[Large Provider Entity Code]]&amp;"; "&amp;R4241&amp;AS[[#This Row],[Age Band Code]]&amp;"; "&amp;S4241&amp;AS[[#This Row],[Sex Code]]</f>
        <v xml:space="preserve">Insurer Code ; Reporting Year ; Insurance Category Code ; Large Provider Entity Code ; Age Band Code ; Sex Code </v>
      </c>
      <c r="N4241" s="297" t="s">
        <v>197</v>
      </c>
      <c r="O4241" s="297" t="s">
        <v>198</v>
      </c>
      <c r="P4241" s="297" t="s">
        <v>199</v>
      </c>
      <c r="Q4241" s="297" t="s">
        <v>200</v>
      </c>
      <c r="R4241" s="297" t="s">
        <v>213</v>
      </c>
      <c r="S4241" s="297" t="s">
        <v>214</v>
      </c>
    </row>
    <row r="4242" spans="1:19" x14ac:dyDescent="0.4">
      <c r="A4242" s="291"/>
      <c r="B4242" s="292"/>
      <c r="C4242" s="312"/>
      <c r="D4242" s="292"/>
      <c r="E4242" s="489"/>
      <c r="F4242" s="489"/>
      <c r="G4242" s="490"/>
      <c r="H4242" s="520"/>
      <c r="I4242" s="523"/>
      <c r="J4242" s="521"/>
      <c r="K4242" s="522"/>
      <c r="M4242" s="301" t="str">
        <f>N4242&amp;AS[[#This Row],[Insurer Code]]&amp;"; "&amp;O4242&amp;AS[[#This Row],[Reporting Year]]&amp;"; "&amp;P4242&amp;AS[[#This Row],[Insurance Category Code]]&amp;"; "&amp;Q4242&amp;AS[[#This Row],[Large Provider Entity Code]]&amp;"; "&amp;R4242&amp;AS[[#This Row],[Age Band Code]]&amp;"; "&amp;S4242&amp;AS[[#This Row],[Sex Code]]</f>
        <v xml:space="preserve">Insurer Code ; Reporting Year ; Insurance Category Code ; Large Provider Entity Code ; Age Band Code ; Sex Code </v>
      </c>
      <c r="N4242" s="297" t="s">
        <v>197</v>
      </c>
      <c r="O4242" s="297" t="s">
        <v>198</v>
      </c>
      <c r="P4242" s="297" t="s">
        <v>199</v>
      </c>
      <c r="Q4242" s="297" t="s">
        <v>200</v>
      </c>
      <c r="R4242" s="297" t="s">
        <v>213</v>
      </c>
      <c r="S4242" s="297" t="s">
        <v>214</v>
      </c>
    </row>
    <row r="4243" spans="1:19" x14ac:dyDescent="0.4">
      <c r="A4243" s="291"/>
      <c r="B4243" s="292"/>
      <c r="C4243" s="312"/>
      <c r="D4243" s="292"/>
      <c r="E4243" s="489"/>
      <c r="F4243" s="489"/>
      <c r="G4243" s="490"/>
      <c r="H4243" s="520"/>
      <c r="I4243" s="523"/>
      <c r="J4243" s="521"/>
      <c r="K4243" s="522"/>
      <c r="M4243" s="301" t="str">
        <f>N4243&amp;AS[[#This Row],[Insurer Code]]&amp;"; "&amp;O4243&amp;AS[[#This Row],[Reporting Year]]&amp;"; "&amp;P4243&amp;AS[[#This Row],[Insurance Category Code]]&amp;"; "&amp;Q4243&amp;AS[[#This Row],[Large Provider Entity Code]]&amp;"; "&amp;R4243&amp;AS[[#This Row],[Age Band Code]]&amp;"; "&amp;S4243&amp;AS[[#This Row],[Sex Code]]</f>
        <v xml:space="preserve">Insurer Code ; Reporting Year ; Insurance Category Code ; Large Provider Entity Code ; Age Band Code ; Sex Code </v>
      </c>
      <c r="N4243" s="297" t="s">
        <v>197</v>
      </c>
      <c r="O4243" s="297" t="s">
        <v>198</v>
      </c>
      <c r="P4243" s="297" t="s">
        <v>199</v>
      </c>
      <c r="Q4243" s="297" t="s">
        <v>200</v>
      </c>
      <c r="R4243" s="297" t="s">
        <v>213</v>
      </c>
      <c r="S4243" s="297" t="s">
        <v>214</v>
      </c>
    </row>
    <row r="4244" spans="1:19" x14ac:dyDescent="0.4">
      <c r="A4244" s="291"/>
      <c r="B4244" s="292"/>
      <c r="C4244" s="312"/>
      <c r="D4244" s="292"/>
      <c r="E4244" s="489"/>
      <c r="F4244" s="489"/>
      <c r="G4244" s="490"/>
      <c r="H4244" s="520"/>
      <c r="I4244" s="523"/>
      <c r="J4244" s="521"/>
      <c r="K4244" s="522"/>
      <c r="M4244" s="301" t="str">
        <f>N4244&amp;AS[[#This Row],[Insurer Code]]&amp;"; "&amp;O4244&amp;AS[[#This Row],[Reporting Year]]&amp;"; "&amp;P4244&amp;AS[[#This Row],[Insurance Category Code]]&amp;"; "&amp;Q4244&amp;AS[[#This Row],[Large Provider Entity Code]]&amp;"; "&amp;R4244&amp;AS[[#This Row],[Age Band Code]]&amp;"; "&amp;S4244&amp;AS[[#This Row],[Sex Code]]</f>
        <v xml:space="preserve">Insurer Code ; Reporting Year ; Insurance Category Code ; Large Provider Entity Code ; Age Band Code ; Sex Code </v>
      </c>
      <c r="N4244" s="297" t="s">
        <v>197</v>
      </c>
      <c r="O4244" s="297" t="s">
        <v>198</v>
      </c>
      <c r="P4244" s="297" t="s">
        <v>199</v>
      </c>
      <c r="Q4244" s="297" t="s">
        <v>200</v>
      </c>
      <c r="R4244" s="297" t="s">
        <v>213</v>
      </c>
      <c r="S4244" s="297" t="s">
        <v>214</v>
      </c>
    </row>
    <row r="4245" spans="1:19" x14ac:dyDescent="0.4">
      <c r="A4245" s="291"/>
      <c r="B4245" s="292"/>
      <c r="C4245" s="312"/>
      <c r="D4245" s="292"/>
      <c r="E4245" s="489"/>
      <c r="F4245" s="489"/>
      <c r="G4245" s="490"/>
      <c r="H4245" s="520"/>
      <c r="I4245" s="523"/>
      <c r="J4245" s="521"/>
      <c r="K4245" s="522"/>
      <c r="M4245" s="301" t="str">
        <f>N4245&amp;AS[[#This Row],[Insurer Code]]&amp;"; "&amp;O4245&amp;AS[[#This Row],[Reporting Year]]&amp;"; "&amp;P4245&amp;AS[[#This Row],[Insurance Category Code]]&amp;"; "&amp;Q4245&amp;AS[[#This Row],[Large Provider Entity Code]]&amp;"; "&amp;R4245&amp;AS[[#This Row],[Age Band Code]]&amp;"; "&amp;S4245&amp;AS[[#This Row],[Sex Code]]</f>
        <v xml:space="preserve">Insurer Code ; Reporting Year ; Insurance Category Code ; Large Provider Entity Code ; Age Band Code ; Sex Code </v>
      </c>
      <c r="N4245" s="297" t="s">
        <v>197</v>
      </c>
      <c r="O4245" s="297" t="s">
        <v>198</v>
      </c>
      <c r="P4245" s="297" t="s">
        <v>199</v>
      </c>
      <c r="Q4245" s="297" t="s">
        <v>200</v>
      </c>
      <c r="R4245" s="297" t="s">
        <v>213</v>
      </c>
      <c r="S4245" s="297" t="s">
        <v>214</v>
      </c>
    </row>
    <row r="4246" spans="1:19" x14ac:dyDescent="0.4">
      <c r="A4246" s="291"/>
      <c r="B4246" s="292"/>
      <c r="C4246" s="312"/>
      <c r="D4246" s="292"/>
      <c r="E4246" s="489"/>
      <c r="F4246" s="489"/>
      <c r="G4246" s="490"/>
      <c r="H4246" s="520"/>
      <c r="I4246" s="523"/>
      <c r="J4246" s="521"/>
      <c r="K4246" s="522"/>
      <c r="M4246" s="301" t="str">
        <f>N4246&amp;AS[[#This Row],[Insurer Code]]&amp;"; "&amp;O4246&amp;AS[[#This Row],[Reporting Year]]&amp;"; "&amp;P4246&amp;AS[[#This Row],[Insurance Category Code]]&amp;"; "&amp;Q4246&amp;AS[[#This Row],[Large Provider Entity Code]]&amp;"; "&amp;R4246&amp;AS[[#This Row],[Age Band Code]]&amp;"; "&amp;S4246&amp;AS[[#This Row],[Sex Code]]</f>
        <v xml:space="preserve">Insurer Code ; Reporting Year ; Insurance Category Code ; Large Provider Entity Code ; Age Band Code ; Sex Code </v>
      </c>
      <c r="N4246" s="297" t="s">
        <v>197</v>
      </c>
      <c r="O4246" s="297" t="s">
        <v>198</v>
      </c>
      <c r="P4246" s="297" t="s">
        <v>199</v>
      </c>
      <c r="Q4246" s="297" t="s">
        <v>200</v>
      </c>
      <c r="R4246" s="297" t="s">
        <v>213</v>
      </c>
      <c r="S4246" s="297" t="s">
        <v>214</v>
      </c>
    </row>
    <row r="4247" spans="1:19" x14ac:dyDescent="0.4">
      <c r="A4247" s="291"/>
      <c r="B4247" s="292"/>
      <c r="C4247" s="312"/>
      <c r="D4247" s="292"/>
      <c r="E4247" s="489"/>
      <c r="F4247" s="489"/>
      <c r="G4247" s="490"/>
      <c r="H4247" s="520"/>
      <c r="I4247" s="523"/>
      <c r="J4247" s="521"/>
      <c r="K4247" s="522"/>
      <c r="M4247" s="301" t="str">
        <f>N4247&amp;AS[[#This Row],[Insurer Code]]&amp;"; "&amp;O4247&amp;AS[[#This Row],[Reporting Year]]&amp;"; "&amp;P4247&amp;AS[[#This Row],[Insurance Category Code]]&amp;"; "&amp;Q4247&amp;AS[[#This Row],[Large Provider Entity Code]]&amp;"; "&amp;R4247&amp;AS[[#This Row],[Age Band Code]]&amp;"; "&amp;S4247&amp;AS[[#This Row],[Sex Code]]</f>
        <v xml:space="preserve">Insurer Code ; Reporting Year ; Insurance Category Code ; Large Provider Entity Code ; Age Band Code ; Sex Code </v>
      </c>
      <c r="N4247" s="297" t="s">
        <v>197</v>
      </c>
      <c r="O4247" s="297" t="s">
        <v>198</v>
      </c>
      <c r="P4247" s="297" t="s">
        <v>199</v>
      </c>
      <c r="Q4247" s="297" t="s">
        <v>200</v>
      </c>
      <c r="R4247" s="297" t="s">
        <v>213</v>
      </c>
      <c r="S4247" s="297" t="s">
        <v>214</v>
      </c>
    </row>
    <row r="4248" spans="1:19" x14ac:dyDescent="0.4">
      <c r="A4248" s="291"/>
      <c r="B4248" s="292"/>
      <c r="C4248" s="312"/>
      <c r="D4248" s="292"/>
      <c r="E4248" s="489"/>
      <c r="F4248" s="489"/>
      <c r="G4248" s="490"/>
      <c r="H4248" s="520"/>
      <c r="I4248" s="523"/>
      <c r="J4248" s="521"/>
      <c r="K4248" s="522"/>
      <c r="M4248" s="301" t="str">
        <f>N4248&amp;AS[[#This Row],[Insurer Code]]&amp;"; "&amp;O4248&amp;AS[[#This Row],[Reporting Year]]&amp;"; "&amp;P4248&amp;AS[[#This Row],[Insurance Category Code]]&amp;"; "&amp;Q4248&amp;AS[[#This Row],[Large Provider Entity Code]]&amp;"; "&amp;R4248&amp;AS[[#This Row],[Age Band Code]]&amp;"; "&amp;S4248&amp;AS[[#This Row],[Sex Code]]</f>
        <v xml:space="preserve">Insurer Code ; Reporting Year ; Insurance Category Code ; Large Provider Entity Code ; Age Band Code ; Sex Code </v>
      </c>
      <c r="N4248" s="297" t="s">
        <v>197</v>
      </c>
      <c r="O4248" s="297" t="s">
        <v>198</v>
      </c>
      <c r="P4248" s="297" t="s">
        <v>199</v>
      </c>
      <c r="Q4248" s="297" t="s">
        <v>200</v>
      </c>
      <c r="R4248" s="297" t="s">
        <v>213</v>
      </c>
      <c r="S4248" s="297" t="s">
        <v>214</v>
      </c>
    </row>
    <row r="4249" spans="1:19" x14ac:dyDescent="0.4">
      <c r="A4249" s="291"/>
      <c r="B4249" s="292"/>
      <c r="C4249" s="312"/>
      <c r="D4249" s="292"/>
      <c r="E4249" s="489"/>
      <c r="F4249" s="489"/>
      <c r="G4249" s="490"/>
      <c r="H4249" s="520"/>
      <c r="I4249" s="523"/>
      <c r="J4249" s="521"/>
      <c r="K4249" s="522"/>
      <c r="M4249" s="301" t="str">
        <f>N4249&amp;AS[[#This Row],[Insurer Code]]&amp;"; "&amp;O4249&amp;AS[[#This Row],[Reporting Year]]&amp;"; "&amp;P4249&amp;AS[[#This Row],[Insurance Category Code]]&amp;"; "&amp;Q4249&amp;AS[[#This Row],[Large Provider Entity Code]]&amp;"; "&amp;R4249&amp;AS[[#This Row],[Age Band Code]]&amp;"; "&amp;S4249&amp;AS[[#This Row],[Sex Code]]</f>
        <v xml:space="preserve">Insurer Code ; Reporting Year ; Insurance Category Code ; Large Provider Entity Code ; Age Band Code ; Sex Code </v>
      </c>
      <c r="N4249" s="297" t="s">
        <v>197</v>
      </c>
      <c r="O4249" s="297" t="s">
        <v>198</v>
      </c>
      <c r="P4249" s="297" t="s">
        <v>199</v>
      </c>
      <c r="Q4249" s="297" t="s">
        <v>200</v>
      </c>
      <c r="R4249" s="297" t="s">
        <v>213</v>
      </c>
      <c r="S4249" s="297" t="s">
        <v>214</v>
      </c>
    </row>
    <row r="4250" spans="1:19" x14ac:dyDescent="0.4">
      <c r="A4250" s="291"/>
      <c r="B4250" s="292"/>
      <c r="C4250" s="312"/>
      <c r="D4250" s="292"/>
      <c r="E4250" s="489"/>
      <c r="F4250" s="489"/>
      <c r="G4250" s="490"/>
      <c r="H4250" s="520"/>
      <c r="I4250" s="523"/>
      <c r="J4250" s="521"/>
      <c r="K4250" s="522"/>
      <c r="M4250" s="301" t="str">
        <f>N4250&amp;AS[[#This Row],[Insurer Code]]&amp;"; "&amp;O4250&amp;AS[[#This Row],[Reporting Year]]&amp;"; "&amp;P4250&amp;AS[[#This Row],[Insurance Category Code]]&amp;"; "&amp;Q4250&amp;AS[[#This Row],[Large Provider Entity Code]]&amp;"; "&amp;R4250&amp;AS[[#This Row],[Age Band Code]]&amp;"; "&amp;S4250&amp;AS[[#This Row],[Sex Code]]</f>
        <v xml:space="preserve">Insurer Code ; Reporting Year ; Insurance Category Code ; Large Provider Entity Code ; Age Band Code ; Sex Code </v>
      </c>
      <c r="N4250" s="297" t="s">
        <v>197</v>
      </c>
      <c r="O4250" s="297" t="s">
        <v>198</v>
      </c>
      <c r="P4250" s="297" t="s">
        <v>199</v>
      </c>
      <c r="Q4250" s="297" t="s">
        <v>200</v>
      </c>
      <c r="R4250" s="297" t="s">
        <v>213</v>
      </c>
      <c r="S4250" s="297" t="s">
        <v>214</v>
      </c>
    </row>
    <row r="4251" spans="1:19" x14ac:dyDescent="0.4">
      <c r="A4251" s="291"/>
      <c r="B4251" s="292"/>
      <c r="C4251" s="312"/>
      <c r="D4251" s="292"/>
      <c r="E4251" s="489"/>
      <c r="F4251" s="489"/>
      <c r="G4251" s="490"/>
      <c r="H4251" s="520"/>
      <c r="I4251" s="523"/>
      <c r="J4251" s="521"/>
      <c r="K4251" s="522"/>
      <c r="M4251" s="301" t="str">
        <f>N4251&amp;AS[[#This Row],[Insurer Code]]&amp;"; "&amp;O4251&amp;AS[[#This Row],[Reporting Year]]&amp;"; "&amp;P4251&amp;AS[[#This Row],[Insurance Category Code]]&amp;"; "&amp;Q4251&amp;AS[[#This Row],[Large Provider Entity Code]]&amp;"; "&amp;R4251&amp;AS[[#This Row],[Age Band Code]]&amp;"; "&amp;S4251&amp;AS[[#This Row],[Sex Code]]</f>
        <v xml:space="preserve">Insurer Code ; Reporting Year ; Insurance Category Code ; Large Provider Entity Code ; Age Band Code ; Sex Code </v>
      </c>
      <c r="N4251" s="297" t="s">
        <v>197</v>
      </c>
      <c r="O4251" s="297" t="s">
        <v>198</v>
      </c>
      <c r="P4251" s="297" t="s">
        <v>199</v>
      </c>
      <c r="Q4251" s="297" t="s">
        <v>200</v>
      </c>
      <c r="R4251" s="297" t="s">
        <v>213</v>
      </c>
      <c r="S4251" s="297" t="s">
        <v>214</v>
      </c>
    </row>
    <row r="4252" spans="1:19" x14ac:dyDescent="0.4">
      <c r="A4252" s="291"/>
      <c r="B4252" s="292"/>
      <c r="C4252" s="312"/>
      <c r="D4252" s="292"/>
      <c r="E4252" s="489"/>
      <c r="F4252" s="489"/>
      <c r="G4252" s="490"/>
      <c r="H4252" s="520"/>
      <c r="I4252" s="523"/>
      <c r="J4252" s="521"/>
      <c r="K4252" s="522"/>
      <c r="M4252" s="301" t="str">
        <f>N4252&amp;AS[[#This Row],[Insurer Code]]&amp;"; "&amp;O4252&amp;AS[[#This Row],[Reporting Year]]&amp;"; "&amp;P4252&amp;AS[[#This Row],[Insurance Category Code]]&amp;"; "&amp;Q4252&amp;AS[[#This Row],[Large Provider Entity Code]]&amp;"; "&amp;R4252&amp;AS[[#This Row],[Age Band Code]]&amp;"; "&amp;S4252&amp;AS[[#This Row],[Sex Code]]</f>
        <v xml:space="preserve">Insurer Code ; Reporting Year ; Insurance Category Code ; Large Provider Entity Code ; Age Band Code ; Sex Code </v>
      </c>
      <c r="N4252" s="297" t="s">
        <v>197</v>
      </c>
      <c r="O4252" s="297" t="s">
        <v>198</v>
      </c>
      <c r="P4252" s="297" t="s">
        <v>199</v>
      </c>
      <c r="Q4252" s="297" t="s">
        <v>200</v>
      </c>
      <c r="R4252" s="297" t="s">
        <v>213</v>
      </c>
      <c r="S4252" s="297" t="s">
        <v>214</v>
      </c>
    </row>
    <row r="4253" spans="1:19" x14ac:dyDescent="0.4">
      <c r="A4253" s="291"/>
      <c r="B4253" s="292"/>
      <c r="C4253" s="312"/>
      <c r="D4253" s="292"/>
      <c r="E4253" s="489"/>
      <c r="F4253" s="489"/>
      <c r="G4253" s="490"/>
      <c r="H4253" s="520"/>
      <c r="I4253" s="523"/>
      <c r="J4253" s="521"/>
      <c r="K4253" s="522"/>
      <c r="M4253" s="301" t="str">
        <f>N4253&amp;AS[[#This Row],[Insurer Code]]&amp;"; "&amp;O4253&amp;AS[[#This Row],[Reporting Year]]&amp;"; "&amp;P4253&amp;AS[[#This Row],[Insurance Category Code]]&amp;"; "&amp;Q4253&amp;AS[[#This Row],[Large Provider Entity Code]]&amp;"; "&amp;R4253&amp;AS[[#This Row],[Age Band Code]]&amp;"; "&amp;S4253&amp;AS[[#This Row],[Sex Code]]</f>
        <v xml:space="preserve">Insurer Code ; Reporting Year ; Insurance Category Code ; Large Provider Entity Code ; Age Band Code ; Sex Code </v>
      </c>
      <c r="N4253" s="297" t="s">
        <v>197</v>
      </c>
      <c r="O4253" s="297" t="s">
        <v>198</v>
      </c>
      <c r="P4253" s="297" t="s">
        <v>199</v>
      </c>
      <c r="Q4253" s="297" t="s">
        <v>200</v>
      </c>
      <c r="R4253" s="297" t="s">
        <v>213</v>
      </c>
      <c r="S4253" s="297" t="s">
        <v>214</v>
      </c>
    </row>
    <row r="4254" spans="1:19" x14ac:dyDescent="0.4">
      <c r="A4254" s="291"/>
      <c r="B4254" s="292"/>
      <c r="C4254" s="312"/>
      <c r="D4254" s="292"/>
      <c r="E4254" s="489"/>
      <c r="F4254" s="489"/>
      <c r="G4254" s="490"/>
      <c r="H4254" s="520"/>
      <c r="I4254" s="523"/>
      <c r="J4254" s="521"/>
      <c r="K4254" s="522"/>
      <c r="M4254" s="301" t="str">
        <f>N4254&amp;AS[[#This Row],[Insurer Code]]&amp;"; "&amp;O4254&amp;AS[[#This Row],[Reporting Year]]&amp;"; "&amp;P4254&amp;AS[[#This Row],[Insurance Category Code]]&amp;"; "&amp;Q4254&amp;AS[[#This Row],[Large Provider Entity Code]]&amp;"; "&amp;R4254&amp;AS[[#This Row],[Age Band Code]]&amp;"; "&amp;S4254&amp;AS[[#This Row],[Sex Code]]</f>
        <v xml:space="preserve">Insurer Code ; Reporting Year ; Insurance Category Code ; Large Provider Entity Code ; Age Band Code ; Sex Code </v>
      </c>
      <c r="N4254" s="297" t="s">
        <v>197</v>
      </c>
      <c r="O4254" s="297" t="s">
        <v>198</v>
      </c>
      <c r="P4254" s="297" t="s">
        <v>199</v>
      </c>
      <c r="Q4254" s="297" t="s">
        <v>200</v>
      </c>
      <c r="R4254" s="297" t="s">
        <v>213</v>
      </c>
      <c r="S4254" s="297" t="s">
        <v>214</v>
      </c>
    </row>
    <row r="4255" spans="1:19" x14ac:dyDescent="0.4">
      <c r="A4255" s="291"/>
      <c r="B4255" s="292"/>
      <c r="C4255" s="312"/>
      <c r="D4255" s="292"/>
      <c r="E4255" s="489"/>
      <c r="F4255" s="489"/>
      <c r="G4255" s="490"/>
      <c r="H4255" s="520"/>
      <c r="I4255" s="523"/>
      <c r="J4255" s="521"/>
      <c r="K4255" s="522"/>
      <c r="M4255" s="301" t="str">
        <f>N4255&amp;AS[[#This Row],[Insurer Code]]&amp;"; "&amp;O4255&amp;AS[[#This Row],[Reporting Year]]&amp;"; "&amp;P4255&amp;AS[[#This Row],[Insurance Category Code]]&amp;"; "&amp;Q4255&amp;AS[[#This Row],[Large Provider Entity Code]]&amp;"; "&amp;R4255&amp;AS[[#This Row],[Age Band Code]]&amp;"; "&amp;S4255&amp;AS[[#This Row],[Sex Code]]</f>
        <v xml:space="preserve">Insurer Code ; Reporting Year ; Insurance Category Code ; Large Provider Entity Code ; Age Band Code ; Sex Code </v>
      </c>
      <c r="N4255" s="297" t="s">
        <v>197</v>
      </c>
      <c r="O4255" s="297" t="s">
        <v>198</v>
      </c>
      <c r="P4255" s="297" t="s">
        <v>199</v>
      </c>
      <c r="Q4255" s="297" t="s">
        <v>200</v>
      </c>
      <c r="R4255" s="297" t="s">
        <v>213</v>
      </c>
      <c r="S4255" s="297" t="s">
        <v>214</v>
      </c>
    </row>
    <row r="4256" spans="1:19" x14ac:dyDescent="0.4">
      <c r="A4256" s="291"/>
      <c r="B4256" s="292"/>
      <c r="C4256" s="312"/>
      <c r="D4256" s="292"/>
      <c r="E4256" s="489"/>
      <c r="F4256" s="489"/>
      <c r="G4256" s="490"/>
      <c r="H4256" s="520"/>
      <c r="I4256" s="523"/>
      <c r="J4256" s="521"/>
      <c r="K4256" s="522"/>
      <c r="M4256" s="301" t="str">
        <f>N4256&amp;AS[[#This Row],[Insurer Code]]&amp;"; "&amp;O4256&amp;AS[[#This Row],[Reporting Year]]&amp;"; "&amp;P4256&amp;AS[[#This Row],[Insurance Category Code]]&amp;"; "&amp;Q4256&amp;AS[[#This Row],[Large Provider Entity Code]]&amp;"; "&amp;R4256&amp;AS[[#This Row],[Age Band Code]]&amp;"; "&amp;S4256&amp;AS[[#This Row],[Sex Code]]</f>
        <v xml:space="preserve">Insurer Code ; Reporting Year ; Insurance Category Code ; Large Provider Entity Code ; Age Band Code ; Sex Code </v>
      </c>
      <c r="N4256" s="297" t="s">
        <v>197</v>
      </c>
      <c r="O4256" s="297" t="s">
        <v>198</v>
      </c>
      <c r="P4256" s="297" t="s">
        <v>199</v>
      </c>
      <c r="Q4256" s="297" t="s">
        <v>200</v>
      </c>
      <c r="R4256" s="297" t="s">
        <v>213</v>
      </c>
      <c r="S4256" s="297" t="s">
        <v>214</v>
      </c>
    </row>
    <row r="4257" spans="1:19" x14ac:dyDescent="0.4">
      <c r="A4257" s="291"/>
      <c r="B4257" s="292"/>
      <c r="C4257" s="312"/>
      <c r="D4257" s="292"/>
      <c r="E4257" s="489"/>
      <c r="F4257" s="489"/>
      <c r="G4257" s="490"/>
      <c r="H4257" s="520"/>
      <c r="I4257" s="523"/>
      <c r="J4257" s="521"/>
      <c r="K4257" s="522"/>
      <c r="M4257" s="301" t="str">
        <f>N4257&amp;AS[[#This Row],[Insurer Code]]&amp;"; "&amp;O4257&amp;AS[[#This Row],[Reporting Year]]&amp;"; "&amp;P4257&amp;AS[[#This Row],[Insurance Category Code]]&amp;"; "&amp;Q4257&amp;AS[[#This Row],[Large Provider Entity Code]]&amp;"; "&amp;R4257&amp;AS[[#This Row],[Age Band Code]]&amp;"; "&amp;S4257&amp;AS[[#This Row],[Sex Code]]</f>
        <v xml:space="preserve">Insurer Code ; Reporting Year ; Insurance Category Code ; Large Provider Entity Code ; Age Band Code ; Sex Code </v>
      </c>
      <c r="N4257" s="297" t="s">
        <v>197</v>
      </c>
      <c r="O4257" s="297" t="s">
        <v>198</v>
      </c>
      <c r="P4257" s="297" t="s">
        <v>199</v>
      </c>
      <c r="Q4257" s="297" t="s">
        <v>200</v>
      </c>
      <c r="R4257" s="297" t="s">
        <v>213</v>
      </c>
      <c r="S4257" s="297" t="s">
        <v>214</v>
      </c>
    </row>
    <row r="4258" spans="1:19" x14ac:dyDescent="0.4">
      <c r="A4258" s="291"/>
      <c r="B4258" s="292"/>
      <c r="C4258" s="312"/>
      <c r="D4258" s="292"/>
      <c r="E4258" s="489"/>
      <c r="F4258" s="489"/>
      <c r="G4258" s="490"/>
      <c r="H4258" s="520"/>
      <c r="I4258" s="523"/>
      <c r="J4258" s="521"/>
      <c r="K4258" s="522"/>
      <c r="M4258" s="301" t="str">
        <f>N4258&amp;AS[[#This Row],[Insurer Code]]&amp;"; "&amp;O4258&amp;AS[[#This Row],[Reporting Year]]&amp;"; "&amp;P4258&amp;AS[[#This Row],[Insurance Category Code]]&amp;"; "&amp;Q4258&amp;AS[[#This Row],[Large Provider Entity Code]]&amp;"; "&amp;R4258&amp;AS[[#This Row],[Age Band Code]]&amp;"; "&amp;S4258&amp;AS[[#This Row],[Sex Code]]</f>
        <v xml:space="preserve">Insurer Code ; Reporting Year ; Insurance Category Code ; Large Provider Entity Code ; Age Band Code ; Sex Code </v>
      </c>
      <c r="N4258" s="297" t="s">
        <v>197</v>
      </c>
      <c r="O4258" s="297" t="s">
        <v>198</v>
      </c>
      <c r="P4258" s="297" t="s">
        <v>199</v>
      </c>
      <c r="Q4258" s="297" t="s">
        <v>200</v>
      </c>
      <c r="R4258" s="297" t="s">
        <v>213</v>
      </c>
      <c r="S4258" s="297" t="s">
        <v>214</v>
      </c>
    </row>
    <row r="4259" spans="1:19" x14ac:dyDescent="0.4">
      <c r="A4259" s="291"/>
      <c r="B4259" s="292"/>
      <c r="C4259" s="312"/>
      <c r="D4259" s="292"/>
      <c r="E4259" s="489"/>
      <c r="F4259" s="489"/>
      <c r="G4259" s="490"/>
      <c r="H4259" s="520"/>
      <c r="I4259" s="523"/>
      <c r="J4259" s="521"/>
      <c r="K4259" s="522"/>
      <c r="M4259" s="301" t="str">
        <f>N4259&amp;AS[[#This Row],[Insurer Code]]&amp;"; "&amp;O4259&amp;AS[[#This Row],[Reporting Year]]&amp;"; "&amp;P4259&amp;AS[[#This Row],[Insurance Category Code]]&amp;"; "&amp;Q4259&amp;AS[[#This Row],[Large Provider Entity Code]]&amp;"; "&amp;R4259&amp;AS[[#This Row],[Age Band Code]]&amp;"; "&amp;S4259&amp;AS[[#This Row],[Sex Code]]</f>
        <v xml:space="preserve">Insurer Code ; Reporting Year ; Insurance Category Code ; Large Provider Entity Code ; Age Band Code ; Sex Code </v>
      </c>
      <c r="N4259" s="297" t="s">
        <v>197</v>
      </c>
      <c r="O4259" s="297" t="s">
        <v>198</v>
      </c>
      <c r="P4259" s="297" t="s">
        <v>199</v>
      </c>
      <c r="Q4259" s="297" t="s">
        <v>200</v>
      </c>
      <c r="R4259" s="297" t="s">
        <v>213</v>
      </c>
      <c r="S4259" s="297" t="s">
        <v>214</v>
      </c>
    </row>
    <row r="4260" spans="1:19" x14ac:dyDescent="0.4">
      <c r="A4260" s="291"/>
      <c r="B4260" s="292"/>
      <c r="C4260" s="312"/>
      <c r="D4260" s="292"/>
      <c r="E4260" s="489"/>
      <c r="F4260" s="489"/>
      <c r="G4260" s="490"/>
      <c r="H4260" s="520"/>
      <c r="I4260" s="523"/>
      <c r="J4260" s="521"/>
      <c r="K4260" s="522"/>
      <c r="M4260" s="301" t="str">
        <f>N4260&amp;AS[[#This Row],[Insurer Code]]&amp;"; "&amp;O4260&amp;AS[[#This Row],[Reporting Year]]&amp;"; "&amp;P4260&amp;AS[[#This Row],[Insurance Category Code]]&amp;"; "&amp;Q4260&amp;AS[[#This Row],[Large Provider Entity Code]]&amp;"; "&amp;R4260&amp;AS[[#This Row],[Age Band Code]]&amp;"; "&amp;S4260&amp;AS[[#This Row],[Sex Code]]</f>
        <v xml:space="preserve">Insurer Code ; Reporting Year ; Insurance Category Code ; Large Provider Entity Code ; Age Band Code ; Sex Code </v>
      </c>
      <c r="N4260" s="297" t="s">
        <v>197</v>
      </c>
      <c r="O4260" s="297" t="s">
        <v>198</v>
      </c>
      <c r="P4260" s="297" t="s">
        <v>199</v>
      </c>
      <c r="Q4260" s="297" t="s">
        <v>200</v>
      </c>
      <c r="R4260" s="297" t="s">
        <v>213</v>
      </c>
      <c r="S4260" s="297" t="s">
        <v>214</v>
      </c>
    </row>
    <row r="4261" spans="1:19" x14ac:dyDescent="0.4">
      <c r="A4261" s="291"/>
      <c r="B4261" s="292"/>
      <c r="C4261" s="312"/>
      <c r="D4261" s="292"/>
      <c r="E4261" s="489"/>
      <c r="F4261" s="489"/>
      <c r="G4261" s="490"/>
      <c r="H4261" s="520"/>
      <c r="I4261" s="523"/>
      <c r="J4261" s="521"/>
      <c r="K4261" s="522"/>
      <c r="M4261" s="301" t="str">
        <f>N4261&amp;AS[[#This Row],[Insurer Code]]&amp;"; "&amp;O4261&amp;AS[[#This Row],[Reporting Year]]&amp;"; "&amp;P4261&amp;AS[[#This Row],[Insurance Category Code]]&amp;"; "&amp;Q4261&amp;AS[[#This Row],[Large Provider Entity Code]]&amp;"; "&amp;R4261&amp;AS[[#This Row],[Age Band Code]]&amp;"; "&amp;S4261&amp;AS[[#This Row],[Sex Code]]</f>
        <v xml:space="preserve">Insurer Code ; Reporting Year ; Insurance Category Code ; Large Provider Entity Code ; Age Band Code ; Sex Code </v>
      </c>
      <c r="N4261" s="297" t="s">
        <v>197</v>
      </c>
      <c r="O4261" s="297" t="s">
        <v>198</v>
      </c>
      <c r="P4261" s="297" t="s">
        <v>199</v>
      </c>
      <c r="Q4261" s="297" t="s">
        <v>200</v>
      </c>
      <c r="R4261" s="297" t="s">
        <v>213</v>
      </c>
      <c r="S4261" s="297" t="s">
        <v>214</v>
      </c>
    </row>
    <row r="4262" spans="1:19" x14ac:dyDescent="0.4">
      <c r="A4262" s="291"/>
      <c r="B4262" s="292"/>
      <c r="C4262" s="312"/>
      <c r="D4262" s="292"/>
      <c r="E4262" s="489"/>
      <c r="F4262" s="489"/>
      <c r="G4262" s="490"/>
      <c r="H4262" s="520"/>
      <c r="I4262" s="523"/>
      <c r="J4262" s="521"/>
      <c r="K4262" s="522"/>
      <c r="M4262" s="301" t="str">
        <f>N4262&amp;AS[[#This Row],[Insurer Code]]&amp;"; "&amp;O4262&amp;AS[[#This Row],[Reporting Year]]&amp;"; "&amp;P4262&amp;AS[[#This Row],[Insurance Category Code]]&amp;"; "&amp;Q4262&amp;AS[[#This Row],[Large Provider Entity Code]]&amp;"; "&amp;R4262&amp;AS[[#This Row],[Age Band Code]]&amp;"; "&amp;S4262&amp;AS[[#This Row],[Sex Code]]</f>
        <v xml:space="preserve">Insurer Code ; Reporting Year ; Insurance Category Code ; Large Provider Entity Code ; Age Band Code ; Sex Code </v>
      </c>
      <c r="N4262" s="297" t="s">
        <v>197</v>
      </c>
      <c r="O4262" s="297" t="s">
        <v>198</v>
      </c>
      <c r="P4262" s="297" t="s">
        <v>199</v>
      </c>
      <c r="Q4262" s="297" t="s">
        <v>200</v>
      </c>
      <c r="R4262" s="297" t="s">
        <v>213</v>
      </c>
      <c r="S4262" s="297" t="s">
        <v>214</v>
      </c>
    </row>
    <row r="4263" spans="1:19" x14ac:dyDescent="0.4">
      <c r="A4263" s="291"/>
      <c r="B4263" s="292"/>
      <c r="C4263" s="312"/>
      <c r="D4263" s="292"/>
      <c r="E4263" s="489"/>
      <c r="F4263" s="489"/>
      <c r="G4263" s="490"/>
      <c r="H4263" s="520"/>
      <c r="I4263" s="523"/>
      <c r="J4263" s="521"/>
      <c r="K4263" s="522"/>
      <c r="M4263" s="301" t="str">
        <f>N4263&amp;AS[[#This Row],[Insurer Code]]&amp;"; "&amp;O4263&amp;AS[[#This Row],[Reporting Year]]&amp;"; "&amp;P4263&amp;AS[[#This Row],[Insurance Category Code]]&amp;"; "&amp;Q4263&amp;AS[[#This Row],[Large Provider Entity Code]]&amp;"; "&amp;R4263&amp;AS[[#This Row],[Age Band Code]]&amp;"; "&amp;S4263&amp;AS[[#This Row],[Sex Code]]</f>
        <v xml:space="preserve">Insurer Code ; Reporting Year ; Insurance Category Code ; Large Provider Entity Code ; Age Band Code ; Sex Code </v>
      </c>
      <c r="N4263" s="297" t="s">
        <v>197</v>
      </c>
      <c r="O4263" s="297" t="s">
        <v>198</v>
      </c>
      <c r="P4263" s="297" t="s">
        <v>199</v>
      </c>
      <c r="Q4263" s="297" t="s">
        <v>200</v>
      </c>
      <c r="R4263" s="297" t="s">
        <v>213</v>
      </c>
      <c r="S4263" s="297" t="s">
        <v>214</v>
      </c>
    </row>
    <row r="4264" spans="1:19" x14ac:dyDescent="0.4">
      <c r="A4264" s="291"/>
      <c r="B4264" s="292"/>
      <c r="C4264" s="312"/>
      <c r="D4264" s="292"/>
      <c r="E4264" s="489"/>
      <c r="F4264" s="489"/>
      <c r="G4264" s="490"/>
      <c r="H4264" s="520"/>
      <c r="I4264" s="523"/>
      <c r="J4264" s="521"/>
      <c r="K4264" s="522"/>
      <c r="M4264" s="301" t="str">
        <f>N4264&amp;AS[[#This Row],[Insurer Code]]&amp;"; "&amp;O4264&amp;AS[[#This Row],[Reporting Year]]&amp;"; "&amp;P4264&amp;AS[[#This Row],[Insurance Category Code]]&amp;"; "&amp;Q4264&amp;AS[[#This Row],[Large Provider Entity Code]]&amp;"; "&amp;R4264&amp;AS[[#This Row],[Age Band Code]]&amp;"; "&amp;S4264&amp;AS[[#This Row],[Sex Code]]</f>
        <v xml:space="preserve">Insurer Code ; Reporting Year ; Insurance Category Code ; Large Provider Entity Code ; Age Band Code ; Sex Code </v>
      </c>
      <c r="N4264" s="297" t="s">
        <v>197</v>
      </c>
      <c r="O4264" s="297" t="s">
        <v>198</v>
      </c>
      <c r="P4264" s="297" t="s">
        <v>199</v>
      </c>
      <c r="Q4264" s="297" t="s">
        <v>200</v>
      </c>
      <c r="R4264" s="297" t="s">
        <v>213</v>
      </c>
      <c r="S4264" s="297" t="s">
        <v>214</v>
      </c>
    </row>
    <row r="4265" spans="1:19" x14ac:dyDescent="0.4">
      <c r="A4265" s="291"/>
      <c r="B4265" s="292"/>
      <c r="C4265" s="312"/>
      <c r="D4265" s="292"/>
      <c r="E4265" s="489"/>
      <c r="F4265" s="489"/>
      <c r="G4265" s="490"/>
      <c r="H4265" s="520"/>
      <c r="I4265" s="523"/>
      <c r="J4265" s="521"/>
      <c r="K4265" s="522"/>
      <c r="M4265" s="301" t="str">
        <f>N4265&amp;AS[[#This Row],[Insurer Code]]&amp;"; "&amp;O4265&amp;AS[[#This Row],[Reporting Year]]&amp;"; "&amp;P4265&amp;AS[[#This Row],[Insurance Category Code]]&amp;"; "&amp;Q4265&amp;AS[[#This Row],[Large Provider Entity Code]]&amp;"; "&amp;R4265&amp;AS[[#This Row],[Age Band Code]]&amp;"; "&amp;S4265&amp;AS[[#This Row],[Sex Code]]</f>
        <v xml:space="preserve">Insurer Code ; Reporting Year ; Insurance Category Code ; Large Provider Entity Code ; Age Band Code ; Sex Code </v>
      </c>
      <c r="N4265" s="297" t="s">
        <v>197</v>
      </c>
      <c r="O4265" s="297" t="s">
        <v>198</v>
      </c>
      <c r="P4265" s="297" t="s">
        <v>199</v>
      </c>
      <c r="Q4265" s="297" t="s">
        <v>200</v>
      </c>
      <c r="R4265" s="297" t="s">
        <v>213</v>
      </c>
      <c r="S4265" s="297" t="s">
        <v>214</v>
      </c>
    </row>
    <row r="4266" spans="1:19" x14ac:dyDescent="0.4">
      <c r="A4266" s="291"/>
      <c r="B4266" s="292"/>
      <c r="C4266" s="312"/>
      <c r="D4266" s="292"/>
      <c r="E4266" s="489"/>
      <c r="F4266" s="489"/>
      <c r="G4266" s="490"/>
      <c r="H4266" s="520"/>
      <c r="I4266" s="523"/>
      <c r="J4266" s="521"/>
      <c r="K4266" s="522"/>
      <c r="M4266" s="301" t="str">
        <f>N4266&amp;AS[[#This Row],[Insurer Code]]&amp;"; "&amp;O4266&amp;AS[[#This Row],[Reporting Year]]&amp;"; "&amp;P4266&amp;AS[[#This Row],[Insurance Category Code]]&amp;"; "&amp;Q4266&amp;AS[[#This Row],[Large Provider Entity Code]]&amp;"; "&amp;R4266&amp;AS[[#This Row],[Age Band Code]]&amp;"; "&amp;S4266&amp;AS[[#This Row],[Sex Code]]</f>
        <v xml:space="preserve">Insurer Code ; Reporting Year ; Insurance Category Code ; Large Provider Entity Code ; Age Band Code ; Sex Code </v>
      </c>
      <c r="N4266" s="297" t="s">
        <v>197</v>
      </c>
      <c r="O4266" s="297" t="s">
        <v>198</v>
      </c>
      <c r="P4266" s="297" t="s">
        <v>199</v>
      </c>
      <c r="Q4266" s="297" t="s">
        <v>200</v>
      </c>
      <c r="R4266" s="297" t="s">
        <v>213</v>
      </c>
      <c r="S4266" s="297" t="s">
        <v>214</v>
      </c>
    </row>
    <row r="4267" spans="1:19" x14ac:dyDescent="0.4">
      <c r="A4267" s="291"/>
      <c r="B4267" s="292"/>
      <c r="C4267" s="312"/>
      <c r="D4267" s="292"/>
      <c r="E4267" s="489"/>
      <c r="F4267" s="489"/>
      <c r="G4267" s="490"/>
      <c r="H4267" s="520"/>
      <c r="I4267" s="523"/>
      <c r="J4267" s="521"/>
      <c r="K4267" s="522"/>
      <c r="M4267" s="301" t="str">
        <f>N4267&amp;AS[[#This Row],[Insurer Code]]&amp;"; "&amp;O4267&amp;AS[[#This Row],[Reporting Year]]&amp;"; "&amp;P4267&amp;AS[[#This Row],[Insurance Category Code]]&amp;"; "&amp;Q4267&amp;AS[[#This Row],[Large Provider Entity Code]]&amp;"; "&amp;R4267&amp;AS[[#This Row],[Age Band Code]]&amp;"; "&amp;S4267&amp;AS[[#This Row],[Sex Code]]</f>
        <v xml:space="preserve">Insurer Code ; Reporting Year ; Insurance Category Code ; Large Provider Entity Code ; Age Band Code ; Sex Code </v>
      </c>
      <c r="N4267" s="297" t="s">
        <v>197</v>
      </c>
      <c r="O4267" s="297" t="s">
        <v>198</v>
      </c>
      <c r="P4267" s="297" t="s">
        <v>199</v>
      </c>
      <c r="Q4267" s="297" t="s">
        <v>200</v>
      </c>
      <c r="R4267" s="297" t="s">
        <v>213</v>
      </c>
      <c r="S4267" s="297" t="s">
        <v>214</v>
      </c>
    </row>
    <row r="4268" spans="1:19" x14ac:dyDescent="0.4">
      <c r="A4268" s="291"/>
      <c r="B4268" s="292"/>
      <c r="C4268" s="312"/>
      <c r="D4268" s="292"/>
      <c r="E4268" s="489"/>
      <c r="F4268" s="489"/>
      <c r="G4268" s="490"/>
      <c r="H4268" s="520"/>
      <c r="I4268" s="523"/>
      <c r="J4268" s="521"/>
      <c r="K4268" s="522"/>
      <c r="M4268" s="301" t="str">
        <f>N4268&amp;AS[[#This Row],[Insurer Code]]&amp;"; "&amp;O4268&amp;AS[[#This Row],[Reporting Year]]&amp;"; "&amp;P4268&amp;AS[[#This Row],[Insurance Category Code]]&amp;"; "&amp;Q4268&amp;AS[[#This Row],[Large Provider Entity Code]]&amp;"; "&amp;R4268&amp;AS[[#This Row],[Age Band Code]]&amp;"; "&amp;S4268&amp;AS[[#This Row],[Sex Code]]</f>
        <v xml:space="preserve">Insurer Code ; Reporting Year ; Insurance Category Code ; Large Provider Entity Code ; Age Band Code ; Sex Code </v>
      </c>
      <c r="N4268" s="297" t="s">
        <v>197</v>
      </c>
      <c r="O4268" s="297" t="s">
        <v>198</v>
      </c>
      <c r="P4268" s="297" t="s">
        <v>199</v>
      </c>
      <c r="Q4268" s="297" t="s">
        <v>200</v>
      </c>
      <c r="R4268" s="297" t="s">
        <v>213</v>
      </c>
      <c r="S4268" s="297" t="s">
        <v>214</v>
      </c>
    </row>
    <row r="4269" spans="1:19" x14ac:dyDescent="0.4">
      <c r="A4269" s="291"/>
      <c r="B4269" s="292"/>
      <c r="C4269" s="312"/>
      <c r="D4269" s="292"/>
      <c r="E4269" s="489"/>
      <c r="F4269" s="489"/>
      <c r="G4269" s="490"/>
      <c r="H4269" s="520"/>
      <c r="I4269" s="523"/>
      <c r="J4269" s="521"/>
      <c r="K4269" s="522"/>
      <c r="M4269" s="301" t="str">
        <f>N4269&amp;AS[[#This Row],[Insurer Code]]&amp;"; "&amp;O4269&amp;AS[[#This Row],[Reporting Year]]&amp;"; "&amp;P4269&amp;AS[[#This Row],[Insurance Category Code]]&amp;"; "&amp;Q4269&amp;AS[[#This Row],[Large Provider Entity Code]]&amp;"; "&amp;R4269&amp;AS[[#This Row],[Age Band Code]]&amp;"; "&amp;S4269&amp;AS[[#This Row],[Sex Code]]</f>
        <v xml:space="preserve">Insurer Code ; Reporting Year ; Insurance Category Code ; Large Provider Entity Code ; Age Band Code ; Sex Code </v>
      </c>
      <c r="N4269" s="297" t="s">
        <v>197</v>
      </c>
      <c r="O4269" s="297" t="s">
        <v>198</v>
      </c>
      <c r="P4269" s="297" t="s">
        <v>199</v>
      </c>
      <c r="Q4269" s="297" t="s">
        <v>200</v>
      </c>
      <c r="R4269" s="297" t="s">
        <v>213</v>
      </c>
      <c r="S4269" s="297" t="s">
        <v>214</v>
      </c>
    </row>
    <row r="4270" spans="1:19" x14ac:dyDescent="0.4">
      <c r="A4270" s="291"/>
      <c r="B4270" s="292"/>
      <c r="C4270" s="312"/>
      <c r="D4270" s="292"/>
      <c r="E4270" s="489"/>
      <c r="F4270" s="489"/>
      <c r="G4270" s="490"/>
      <c r="H4270" s="520"/>
      <c r="I4270" s="523"/>
      <c r="J4270" s="521"/>
      <c r="K4270" s="522"/>
      <c r="M4270" s="301" t="str">
        <f>N4270&amp;AS[[#This Row],[Insurer Code]]&amp;"; "&amp;O4270&amp;AS[[#This Row],[Reporting Year]]&amp;"; "&amp;P4270&amp;AS[[#This Row],[Insurance Category Code]]&amp;"; "&amp;Q4270&amp;AS[[#This Row],[Large Provider Entity Code]]&amp;"; "&amp;R4270&amp;AS[[#This Row],[Age Band Code]]&amp;"; "&amp;S4270&amp;AS[[#This Row],[Sex Code]]</f>
        <v xml:space="preserve">Insurer Code ; Reporting Year ; Insurance Category Code ; Large Provider Entity Code ; Age Band Code ; Sex Code </v>
      </c>
      <c r="N4270" s="297" t="s">
        <v>197</v>
      </c>
      <c r="O4270" s="297" t="s">
        <v>198</v>
      </c>
      <c r="P4270" s="297" t="s">
        <v>199</v>
      </c>
      <c r="Q4270" s="297" t="s">
        <v>200</v>
      </c>
      <c r="R4270" s="297" t="s">
        <v>213</v>
      </c>
      <c r="S4270" s="297" t="s">
        <v>214</v>
      </c>
    </row>
    <row r="4271" spans="1:19" x14ac:dyDescent="0.4">
      <c r="A4271" s="291"/>
      <c r="B4271" s="292"/>
      <c r="C4271" s="312"/>
      <c r="D4271" s="292"/>
      <c r="E4271" s="489"/>
      <c r="F4271" s="489"/>
      <c r="G4271" s="490"/>
      <c r="H4271" s="520"/>
      <c r="I4271" s="523"/>
      <c r="J4271" s="521"/>
      <c r="K4271" s="522"/>
      <c r="M4271" s="301" t="str">
        <f>N4271&amp;AS[[#This Row],[Insurer Code]]&amp;"; "&amp;O4271&amp;AS[[#This Row],[Reporting Year]]&amp;"; "&amp;P4271&amp;AS[[#This Row],[Insurance Category Code]]&amp;"; "&amp;Q4271&amp;AS[[#This Row],[Large Provider Entity Code]]&amp;"; "&amp;R4271&amp;AS[[#This Row],[Age Band Code]]&amp;"; "&amp;S4271&amp;AS[[#This Row],[Sex Code]]</f>
        <v xml:space="preserve">Insurer Code ; Reporting Year ; Insurance Category Code ; Large Provider Entity Code ; Age Band Code ; Sex Code </v>
      </c>
      <c r="N4271" s="297" t="s">
        <v>197</v>
      </c>
      <c r="O4271" s="297" t="s">
        <v>198</v>
      </c>
      <c r="P4271" s="297" t="s">
        <v>199</v>
      </c>
      <c r="Q4271" s="297" t="s">
        <v>200</v>
      </c>
      <c r="R4271" s="297" t="s">
        <v>213</v>
      </c>
      <c r="S4271" s="297" t="s">
        <v>214</v>
      </c>
    </row>
    <row r="4272" spans="1:19" x14ac:dyDescent="0.4">
      <c r="A4272" s="291"/>
      <c r="B4272" s="292"/>
      <c r="C4272" s="312"/>
      <c r="D4272" s="292"/>
      <c r="E4272" s="489"/>
      <c r="F4272" s="489"/>
      <c r="G4272" s="490"/>
      <c r="H4272" s="520"/>
      <c r="I4272" s="523"/>
      <c r="J4272" s="521"/>
      <c r="K4272" s="522"/>
      <c r="M4272" s="301" t="str">
        <f>N4272&amp;AS[[#This Row],[Insurer Code]]&amp;"; "&amp;O4272&amp;AS[[#This Row],[Reporting Year]]&amp;"; "&amp;P4272&amp;AS[[#This Row],[Insurance Category Code]]&amp;"; "&amp;Q4272&amp;AS[[#This Row],[Large Provider Entity Code]]&amp;"; "&amp;R4272&amp;AS[[#This Row],[Age Band Code]]&amp;"; "&amp;S4272&amp;AS[[#This Row],[Sex Code]]</f>
        <v xml:space="preserve">Insurer Code ; Reporting Year ; Insurance Category Code ; Large Provider Entity Code ; Age Band Code ; Sex Code </v>
      </c>
      <c r="N4272" s="297" t="s">
        <v>197</v>
      </c>
      <c r="O4272" s="297" t="s">
        <v>198</v>
      </c>
      <c r="P4272" s="297" t="s">
        <v>199</v>
      </c>
      <c r="Q4272" s="297" t="s">
        <v>200</v>
      </c>
      <c r="R4272" s="297" t="s">
        <v>213</v>
      </c>
      <c r="S4272" s="297" t="s">
        <v>214</v>
      </c>
    </row>
    <row r="4273" spans="1:19" x14ac:dyDescent="0.4">
      <c r="A4273" s="291"/>
      <c r="B4273" s="292"/>
      <c r="C4273" s="312"/>
      <c r="D4273" s="292"/>
      <c r="E4273" s="489"/>
      <c r="F4273" s="489"/>
      <c r="G4273" s="490"/>
      <c r="H4273" s="520"/>
      <c r="I4273" s="523"/>
      <c r="J4273" s="521"/>
      <c r="K4273" s="522"/>
      <c r="M4273" s="301" t="str">
        <f>N4273&amp;AS[[#This Row],[Insurer Code]]&amp;"; "&amp;O4273&amp;AS[[#This Row],[Reporting Year]]&amp;"; "&amp;P4273&amp;AS[[#This Row],[Insurance Category Code]]&amp;"; "&amp;Q4273&amp;AS[[#This Row],[Large Provider Entity Code]]&amp;"; "&amp;R4273&amp;AS[[#This Row],[Age Band Code]]&amp;"; "&amp;S4273&amp;AS[[#This Row],[Sex Code]]</f>
        <v xml:space="preserve">Insurer Code ; Reporting Year ; Insurance Category Code ; Large Provider Entity Code ; Age Band Code ; Sex Code </v>
      </c>
      <c r="N4273" s="297" t="s">
        <v>197</v>
      </c>
      <c r="O4273" s="297" t="s">
        <v>198</v>
      </c>
      <c r="P4273" s="297" t="s">
        <v>199</v>
      </c>
      <c r="Q4273" s="297" t="s">
        <v>200</v>
      </c>
      <c r="R4273" s="297" t="s">
        <v>213</v>
      </c>
      <c r="S4273" s="297" t="s">
        <v>214</v>
      </c>
    </row>
    <row r="4274" spans="1:19" x14ac:dyDescent="0.4">
      <c r="A4274" s="291"/>
      <c r="B4274" s="292"/>
      <c r="C4274" s="312"/>
      <c r="D4274" s="292"/>
      <c r="E4274" s="489"/>
      <c r="F4274" s="489"/>
      <c r="G4274" s="490"/>
      <c r="H4274" s="520"/>
      <c r="I4274" s="523"/>
      <c r="J4274" s="521"/>
      <c r="K4274" s="522"/>
      <c r="M4274" s="301" t="str">
        <f>N4274&amp;AS[[#This Row],[Insurer Code]]&amp;"; "&amp;O4274&amp;AS[[#This Row],[Reporting Year]]&amp;"; "&amp;P4274&amp;AS[[#This Row],[Insurance Category Code]]&amp;"; "&amp;Q4274&amp;AS[[#This Row],[Large Provider Entity Code]]&amp;"; "&amp;R4274&amp;AS[[#This Row],[Age Band Code]]&amp;"; "&amp;S4274&amp;AS[[#This Row],[Sex Code]]</f>
        <v xml:space="preserve">Insurer Code ; Reporting Year ; Insurance Category Code ; Large Provider Entity Code ; Age Band Code ; Sex Code </v>
      </c>
      <c r="N4274" s="297" t="s">
        <v>197</v>
      </c>
      <c r="O4274" s="297" t="s">
        <v>198</v>
      </c>
      <c r="P4274" s="297" t="s">
        <v>199</v>
      </c>
      <c r="Q4274" s="297" t="s">
        <v>200</v>
      </c>
      <c r="R4274" s="297" t="s">
        <v>213</v>
      </c>
      <c r="S4274" s="297" t="s">
        <v>214</v>
      </c>
    </row>
    <row r="4275" spans="1:19" x14ac:dyDescent="0.4">
      <c r="A4275" s="291"/>
      <c r="B4275" s="292"/>
      <c r="C4275" s="312"/>
      <c r="D4275" s="292"/>
      <c r="E4275" s="489"/>
      <c r="F4275" s="489"/>
      <c r="G4275" s="490"/>
      <c r="H4275" s="520"/>
      <c r="I4275" s="523"/>
      <c r="J4275" s="521"/>
      <c r="K4275" s="522"/>
      <c r="M4275" s="301" t="str">
        <f>N4275&amp;AS[[#This Row],[Insurer Code]]&amp;"; "&amp;O4275&amp;AS[[#This Row],[Reporting Year]]&amp;"; "&amp;P4275&amp;AS[[#This Row],[Insurance Category Code]]&amp;"; "&amp;Q4275&amp;AS[[#This Row],[Large Provider Entity Code]]&amp;"; "&amp;R4275&amp;AS[[#This Row],[Age Band Code]]&amp;"; "&amp;S4275&amp;AS[[#This Row],[Sex Code]]</f>
        <v xml:space="preserve">Insurer Code ; Reporting Year ; Insurance Category Code ; Large Provider Entity Code ; Age Band Code ; Sex Code </v>
      </c>
      <c r="N4275" s="297" t="s">
        <v>197</v>
      </c>
      <c r="O4275" s="297" t="s">
        <v>198</v>
      </c>
      <c r="P4275" s="297" t="s">
        <v>199</v>
      </c>
      <c r="Q4275" s="297" t="s">
        <v>200</v>
      </c>
      <c r="R4275" s="297" t="s">
        <v>213</v>
      </c>
      <c r="S4275" s="297" t="s">
        <v>214</v>
      </c>
    </row>
    <row r="4276" spans="1:19" x14ac:dyDescent="0.4">
      <c r="A4276" s="291"/>
      <c r="B4276" s="292"/>
      <c r="C4276" s="312"/>
      <c r="D4276" s="292"/>
      <c r="E4276" s="489"/>
      <c r="F4276" s="489"/>
      <c r="G4276" s="490"/>
      <c r="H4276" s="520"/>
      <c r="I4276" s="523"/>
      <c r="J4276" s="521"/>
      <c r="K4276" s="522"/>
      <c r="M4276" s="301" t="str">
        <f>N4276&amp;AS[[#This Row],[Insurer Code]]&amp;"; "&amp;O4276&amp;AS[[#This Row],[Reporting Year]]&amp;"; "&amp;P4276&amp;AS[[#This Row],[Insurance Category Code]]&amp;"; "&amp;Q4276&amp;AS[[#This Row],[Large Provider Entity Code]]&amp;"; "&amp;R4276&amp;AS[[#This Row],[Age Band Code]]&amp;"; "&amp;S4276&amp;AS[[#This Row],[Sex Code]]</f>
        <v xml:space="preserve">Insurer Code ; Reporting Year ; Insurance Category Code ; Large Provider Entity Code ; Age Band Code ; Sex Code </v>
      </c>
      <c r="N4276" s="297" t="s">
        <v>197</v>
      </c>
      <c r="O4276" s="297" t="s">
        <v>198</v>
      </c>
      <c r="P4276" s="297" t="s">
        <v>199</v>
      </c>
      <c r="Q4276" s="297" t="s">
        <v>200</v>
      </c>
      <c r="R4276" s="297" t="s">
        <v>213</v>
      </c>
      <c r="S4276" s="297" t="s">
        <v>214</v>
      </c>
    </row>
    <row r="4277" spans="1:19" x14ac:dyDescent="0.4">
      <c r="A4277" s="291"/>
      <c r="B4277" s="292"/>
      <c r="C4277" s="312"/>
      <c r="D4277" s="292"/>
      <c r="E4277" s="489"/>
      <c r="F4277" s="489"/>
      <c r="G4277" s="490"/>
      <c r="H4277" s="520"/>
      <c r="I4277" s="523"/>
      <c r="J4277" s="521"/>
      <c r="K4277" s="522"/>
      <c r="M4277" s="301" t="str">
        <f>N4277&amp;AS[[#This Row],[Insurer Code]]&amp;"; "&amp;O4277&amp;AS[[#This Row],[Reporting Year]]&amp;"; "&amp;P4277&amp;AS[[#This Row],[Insurance Category Code]]&amp;"; "&amp;Q4277&amp;AS[[#This Row],[Large Provider Entity Code]]&amp;"; "&amp;R4277&amp;AS[[#This Row],[Age Band Code]]&amp;"; "&amp;S4277&amp;AS[[#This Row],[Sex Code]]</f>
        <v xml:space="preserve">Insurer Code ; Reporting Year ; Insurance Category Code ; Large Provider Entity Code ; Age Band Code ; Sex Code </v>
      </c>
      <c r="N4277" s="297" t="s">
        <v>197</v>
      </c>
      <c r="O4277" s="297" t="s">
        <v>198</v>
      </c>
      <c r="P4277" s="297" t="s">
        <v>199</v>
      </c>
      <c r="Q4277" s="297" t="s">
        <v>200</v>
      </c>
      <c r="R4277" s="297" t="s">
        <v>213</v>
      </c>
      <c r="S4277" s="297" t="s">
        <v>214</v>
      </c>
    </row>
    <row r="4278" spans="1:19" x14ac:dyDescent="0.4">
      <c r="A4278" s="291"/>
      <c r="B4278" s="292"/>
      <c r="C4278" s="312"/>
      <c r="D4278" s="292"/>
      <c r="E4278" s="489"/>
      <c r="F4278" s="489"/>
      <c r="G4278" s="490"/>
      <c r="H4278" s="520"/>
      <c r="I4278" s="523"/>
      <c r="J4278" s="521"/>
      <c r="K4278" s="522"/>
      <c r="M4278" s="301" t="str">
        <f>N4278&amp;AS[[#This Row],[Insurer Code]]&amp;"; "&amp;O4278&amp;AS[[#This Row],[Reporting Year]]&amp;"; "&amp;P4278&amp;AS[[#This Row],[Insurance Category Code]]&amp;"; "&amp;Q4278&amp;AS[[#This Row],[Large Provider Entity Code]]&amp;"; "&amp;R4278&amp;AS[[#This Row],[Age Band Code]]&amp;"; "&amp;S4278&amp;AS[[#This Row],[Sex Code]]</f>
        <v xml:space="preserve">Insurer Code ; Reporting Year ; Insurance Category Code ; Large Provider Entity Code ; Age Band Code ; Sex Code </v>
      </c>
      <c r="N4278" s="297" t="s">
        <v>197</v>
      </c>
      <c r="O4278" s="297" t="s">
        <v>198</v>
      </c>
      <c r="P4278" s="297" t="s">
        <v>199</v>
      </c>
      <c r="Q4278" s="297" t="s">
        <v>200</v>
      </c>
      <c r="R4278" s="297" t="s">
        <v>213</v>
      </c>
      <c r="S4278" s="297" t="s">
        <v>214</v>
      </c>
    </row>
    <row r="4279" spans="1:19" x14ac:dyDescent="0.4">
      <c r="A4279" s="291"/>
      <c r="B4279" s="292"/>
      <c r="C4279" s="312"/>
      <c r="D4279" s="292"/>
      <c r="E4279" s="489"/>
      <c r="F4279" s="489"/>
      <c r="G4279" s="490"/>
      <c r="H4279" s="520"/>
      <c r="I4279" s="523"/>
      <c r="J4279" s="521"/>
      <c r="K4279" s="522"/>
      <c r="M4279" s="301" t="str">
        <f>N4279&amp;AS[[#This Row],[Insurer Code]]&amp;"; "&amp;O4279&amp;AS[[#This Row],[Reporting Year]]&amp;"; "&amp;P4279&amp;AS[[#This Row],[Insurance Category Code]]&amp;"; "&amp;Q4279&amp;AS[[#This Row],[Large Provider Entity Code]]&amp;"; "&amp;R4279&amp;AS[[#This Row],[Age Band Code]]&amp;"; "&amp;S4279&amp;AS[[#This Row],[Sex Code]]</f>
        <v xml:space="preserve">Insurer Code ; Reporting Year ; Insurance Category Code ; Large Provider Entity Code ; Age Band Code ; Sex Code </v>
      </c>
      <c r="N4279" s="297" t="s">
        <v>197</v>
      </c>
      <c r="O4279" s="297" t="s">
        <v>198</v>
      </c>
      <c r="P4279" s="297" t="s">
        <v>199</v>
      </c>
      <c r="Q4279" s="297" t="s">
        <v>200</v>
      </c>
      <c r="R4279" s="297" t="s">
        <v>213</v>
      </c>
      <c r="S4279" s="297" t="s">
        <v>214</v>
      </c>
    </row>
    <row r="4280" spans="1:19" x14ac:dyDescent="0.4">
      <c r="A4280" s="291"/>
      <c r="B4280" s="292"/>
      <c r="C4280" s="312"/>
      <c r="D4280" s="292"/>
      <c r="E4280" s="489"/>
      <c r="F4280" s="489"/>
      <c r="G4280" s="490"/>
      <c r="H4280" s="520"/>
      <c r="I4280" s="523"/>
      <c r="J4280" s="521"/>
      <c r="K4280" s="522"/>
      <c r="M4280" s="301" t="str">
        <f>N4280&amp;AS[[#This Row],[Insurer Code]]&amp;"; "&amp;O4280&amp;AS[[#This Row],[Reporting Year]]&amp;"; "&amp;P4280&amp;AS[[#This Row],[Insurance Category Code]]&amp;"; "&amp;Q4280&amp;AS[[#This Row],[Large Provider Entity Code]]&amp;"; "&amp;R4280&amp;AS[[#This Row],[Age Band Code]]&amp;"; "&amp;S4280&amp;AS[[#This Row],[Sex Code]]</f>
        <v xml:space="preserve">Insurer Code ; Reporting Year ; Insurance Category Code ; Large Provider Entity Code ; Age Band Code ; Sex Code </v>
      </c>
      <c r="N4280" s="297" t="s">
        <v>197</v>
      </c>
      <c r="O4280" s="297" t="s">
        <v>198</v>
      </c>
      <c r="P4280" s="297" t="s">
        <v>199</v>
      </c>
      <c r="Q4280" s="297" t="s">
        <v>200</v>
      </c>
      <c r="R4280" s="297" t="s">
        <v>213</v>
      </c>
      <c r="S4280" s="297" t="s">
        <v>214</v>
      </c>
    </row>
    <row r="4281" spans="1:19" x14ac:dyDescent="0.4">
      <c r="A4281" s="291"/>
      <c r="B4281" s="292"/>
      <c r="C4281" s="312"/>
      <c r="D4281" s="292"/>
      <c r="E4281" s="489"/>
      <c r="F4281" s="489"/>
      <c r="G4281" s="490"/>
      <c r="H4281" s="520"/>
      <c r="I4281" s="523"/>
      <c r="J4281" s="521"/>
      <c r="K4281" s="522"/>
      <c r="M4281" s="301" t="str">
        <f>N4281&amp;AS[[#This Row],[Insurer Code]]&amp;"; "&amp;O4281&amp;AS[[#This Row],[Reporting Year]]&amp;"; "&amp;P4281&amp;AS[[#This Row],[Insurance Category Code]]&amp;"; "&amp;Q4281&amp;AS[[#This Row],[Large Provider Entity Code]]&amp;"; "&amp;R4281&amp;AS[[#This Row],[Age Band Code]]&amp;"; "&amp;S4281&amp;AS[[#This Row],[Sex Code]]</f>
        <v xml:space="preserve">Insurer Code ; Reporting Year ; Insurance Category Code ; Large Provider Entity Code ; Age Band Code ; Sex Code </v>
      </c>
      <c r="N4281" s="297" t="s">
        <v>197</v>
      </c>
      <c r="O4281" s="297" t="s">
        <v>198</v>
      </c>
      <c r="P4281" s="297" t="s">
        <v>199</v>
      </c>
      <c r="Q4281" s="297" t="s">
        <v>200</v>
      </c>
      <c r="R4281" s="297" t="s">
        <v>213</v>
      </c>
      <c r="S4281" s="297" t="s">
        <v>214</v>
      </c>
    </row>
    <row r="4282" spans="1:19" x14ac:dyDescent="0.4">
      <c r="A4282" s="291"/>
      <c r="B4282" s="292"/>
      <c r="C4282" s="312"/>
      <c r="D4282" s="292"/>
      <c r="E4282" s="489"/>
      <c r="F4282" s="489"/>
      <c r="G4282" s="490"/>
      <c r="H4282" s="520"/>
      <c r="I4282" s="523"/>
      <c r="J4282" s="521"/>
      <c r="K4282" s="522"/>
      <c r="M4282" s="301" t="str">
        <f>N4282&amp;AS[[#This Row],[Insurer Code]]&amp;"; "&amp;O4282&amp;AS[[#This Row],[Reporting Year]]&amp;"; "&amp;P4282&amp;AS[[#This Row],[Insurance Category Code]]&amp;"; "&amp;Q4282&amp;AS[[#This Row],[Large Provider Entity Code]]&amp;"; "&amp;R4282&amp;AS[[#This Row],[Age Band Code]]&amp;"; "&amp;S4282&amp;AS[[#This Row],[Sex Code]]</f>
        <v xml:space="preserve">Insurer Code ; Reporting Year ; Insurance Category Code ; Large Provider Entity Code ; Age Band Code ; Sex Code </v>
      </c>
      <c r="N4282" s="297" t="s">
        <v>197</v>
      </c>
      <c r="O4282" s="297" t="s">
        <v>198</v>
      </c>
      <c r="P4282" s="297" t="s">
        <v>199</v>
      </c>
      <c r="Q4282" s="297" t="s">
        <v>200</v>
      </c>
      <c r="R4282" s="297" t="s">
        <v>213</v>
      </c>
      <c r="S4282" s="297" t="s">
        <v>214</v>
      </c>
    </row>
    <row r="4283" spans="1:19" x14ac:dyDescent="0.4">
      <c r="A4283" s="291"/>
      <c r="B4283" s="292"/>
      <c r="C4283" s="312"/>
      <c r="D4283" s="292"/>
      <c r="E4283" s="489"/>
      <c r="F4283" s="489"/>
      <c r="G4283" s="490"/>
      <c r="H4283" s="520"/>
      <c r="I4283" s="523"/>
      <c r="J4283" s="521"/>
      <c r="K4283" s="522"/>
      <c r="M4283" s="301" t="str">
        <f>N4283&amp;AS[[#This Row],[Insurer Code]]&amp;"; "&amp;O4283&amp;AS[[#This Row],[Reporting Year]]&amp;"; "&amp;P4283&amp;AS[[#This Row],[Insurance Category Code]]&amp;"; "&amp;Q4283&amp;AS[[#This Row],[Large Provider Entity Code]]&amp;"; "&amp;R4283&amp;AS[[#This Row],[Age Band Code]]&amp;"; "&amp;S4283&amp;AS[[#This Row],[Sex Code]]</f>
        <v xml:space="preserve">Insurer Code ; Reporting Year ; Insurance Category Code ; Large Provider Entity Code ; Age Band Code ; Sex Code </v>
      </c>
      <c r="N4283" s="297" t="s">
        <v>197</v>
      </c>
      <c r="O4283" s="297" t="s">
        <v>198</v>
      </c>
      <c r="P4283" s="297" t="s">
        <v>199</v>
      </c>
      <c r="Q4283" s="297" t="s">
        <v>200</v>
      </c>
      <c r="R4283" s="297" t="s">
        <v>213</v>
      </c>
      <c r="S4283" s="297" t="s">
        <v>214</v>
      </c>
    </row>
    <row r="4284" spans="1:19" x14ac:dyDescent="0.4">
      <c r="A4284" s="291"/>
      <c r="B4284" s="292"/>
      <c r="C4284" s="312"/>
      <c r="D4284" s="292"/>
      <c r="E4284" s="489"/>
      <c r="F4284" s="489"/>
      <c r="G4284" s="490"/>
      <c r="H4284" s="520"/>
      <c r="I4284" s="523"/>
      <c r="J4284" s="521"/>
      <c r="K4284" s="522"/>
      <c r="M4284" s="301" t="str">
        <f>N4284&amp;AS[[#This Row],[Insurer Code]]&amp;"; "&amp;O4284&amp;AS[[#This Row],[Reporting Year]]&amp;"; "&amp;P4284&amp;AS[[#This Row],[Insurance Category Code]]&amp;"; "&amp;Q4284&amp;AS[[#This Row],[Large Provider Entity Code]]&amp;"; "&amp;R4284&amp;AS[[#This Row],[Age Band Code]]&amp;"; "&amp;S4284&amp;AS[[#This Row],[Sex Code]]</f>
        <v xml:space="preserve">Insurer Code ; Reporting Year ; Insurance Category Code ; Large Provider Entity Code ; Age Band Code ; Sex Code </v>
      </c>
      <c r="N4284" s="297" t="s">
        <v>197</v>
      </c>
      <c r="O4284" s="297" t="s">
        <v>198</v>
      </c>
      <c r="P4284" s="297" t="s">
        <v>199</v>
      </c>
      <c r="Q4284" s="297" t="s">
        <v>200</v>
      </c>
      <c r="R4284" s="297" t="s">
        <v>213</v>
      </c>
      <c r="S4284" s="297" t="s">
        <v>214</v>
      </c>
    </row>
    <row r="4285" spans="1:19" x14ac:dyDescent="0.4">
      <c r="A4285" s="291"/>
      <c r="B4285" s="292"/>
      <c r="C4285" s="312"/>
      <c r="D4285" s="292"/>
      <c r="E4285" s="489"/>
      <c r="F4285" s="489"/>
      <c r="G4285" s="490"/>
      <c r="H4285" s="520"/>
      <c r="I4285" s="523"/>
      <c r="J4285" s="521"/>
      <c r="K4285" s="522"/>
      <c r="M4285" s="301" t="str">
        <f>N4285&amp;AS[[#This Row],[Insurer Code]]&amp;"; "&amp;O4285&amp;AS[[#This Row],[Reporting Year]]&amp;"; "&amp;P4285&amp;AS[[#This Row],[Insurance Category Code]]&amp;"; "&amp;Q4285&amp;AS[[#This Row],[Large Provider Entity Code]]&amp;"; "&amp;R4285&amp;AS[[#This Row],[Age Band Code]]&amp;"; "&amp;S4285&amp;AS[[#This Row],[Sex Code]]</f>
        <v xml:space="preserve">Insurer Code ; Reporting Year ; Insurance Category Code ; Large Provider Entity Code ; Age Band Code ; Sex Code </v>
      </c>
      <c r="N4285" s="297" t="s">
        <v>197</v>
      </c>
      <c r="O4285" s="297" t="s">
        <v>198</v>
      </c>
      <c r="P4285" s="297" t="s">
        <v>199</v>
      </c>
      <c r="Q4285" s="297" t="s">
        <v>200</v>
      </c>
      <c r="R4285" s="297" t="s">
        <v>213</v>
      </c>
      <c r="S4285" s="297" t="s">
        <v>214</v>
      </c>
    </row>
    <row r="4286" spans="1:19" x14ac:dyDescent="0.4">
      <c r="A4286" s="291"/>
      <c r="B4286" s="292"/>
      <c r="C4286" s="312"/>
      <c r="D4286" s="292"/>
      <c r="E4286" s="489"/>
      <c r="F4286" s="489"/>
      <c r="G4286" s="490"/>
      <c r="H4286" s="520"/>
      <c r="I4286" s="523"/>
      <c r="J4286" s="521"/>
      <c r="K4286" s="522"/>
      <c r="M4286" s="301" t="str">
        <f>N4286&amp;AS[[#This Row],[Insurer Code]]&amp;"; "&amp;O4286&amp;AS[[#This Row],[Reporting Year]]&amp;"; "&amp;P4286&amp;AS[[#This Row],[Insurance Category Code]]&amp;"; "&amp;Q4286&amp;AS[[#This Row],[Large Provider Entity Code]]&amp;"; "&amp;R4286&amp;AS[[#This Row],[Age Band Code]]&amp;"; "&amp;S4286&amp;AS[[#This Row],[Sex Code]]</f>
        <v xml:space="preserve">Insurer Code ; Reporting Year ; Insurance Category Code ; Large Provider Entity Code ; Age Band Code ; Sex Code </v>
      </c>
      <c r="N4286" s="297" t="s">
        <v>197</v>
      </c>
      <c r="O4286" s="297" t="s">
        <v>198</v>
      </c>
      <c r="P4286" s="297" t="s">
        <v>199</v>
      </c>
      <c r="Q4286" s="297" t="s">
        <v>200</v>
      </c>
      <c r="R4286" s="297" t="s">
        <v>213</v>
      </c>
      <c r="S4286" s="297" t="s">
        <v>214</v>
      </c>
    </row>
    <row r="4287" spans="1:19" x14ac:dyDescent="0.4">
      <c r="A4287" s="291"/>
      <c r="B4287" s="292"/>
      <c r="C4287" s="312"/>
      <c r="D4287" s="292"/>
      <c r="E4287" s="489"/>
      <c r="F4287" s="489"/>
      <c r="G4287" s="490"/>
      <c r="H4287" s="520"/>
      <c r="I4287" s="523"/>
      <c r="J4287" s="521"/>
      <c r="K4287" s="522"/>
      <c r="M4287" s="301" t="str">
        <f>N4287&amp;AS[[#This Row],[Insurer Code]]&amp;"; "&amp;O4287&amp;AS[[#This Row],[Reporting Year]]&amp;"; "&amp;P4287&amp;AS[[#This Row],[Insurance Category Code]]&amp;"; "&amp;Q4287&amp;AS[[#This Row],[Large Provider Entity Code]]&amp;"; "&amp;R4287&amp;AS[[#This Row],[Age Band Code]]&amp;"; "&amp;S4287&amp;AS[[#This Row],[Sex Code]]</f>
        <v xml:space="preserve">Insurer Code ; Reporting Year ; Insurance Category Code ; Large Provider Entity Code ; Age Band Code ; Sex Code </v>
      </c>
      <c r="N4287" s="297" t="s">
        <v>197</v>
      </c>
      <c r="O4287" s="297" t="s">
        <v>198</v>
      </c>
      <c r="P4287" s="297" t="s">
        <v>199</v>
      </c>
      <c r="Q4287" s="297" t="s">
        <v>200</v>
      </c>
      <c r="R4287" s="297" t="s">
        <v>213</v>
      </c>
      <c r="S4287" s="297" t="s">
        <v>214</v>
      </c>
    </row>
    <row r="4288" spans="1:19" x14ac:dyDescent="0.4">
      <c r="A4288" s="291"/>
      <c r="B4288" s="292"/>
      <c r="C4288" s="312"/>
      <c r="D4288" s="292"/>
      <c r="E4288" s="489"/>
      <c r="F4288" s="489"/>
      <c r="G4288" s="490"/>
      <c r="H4288" s="520"/>
      <c r="I4288" s="523"/>
      <c r="J4288" s="521"/>
      <c r="K4288" s="522"/>
      <c r="M4288" s="301" t="str">
        <f>N4288&amp;AS[[#This Row],[Insurer Code]]&amp;"; "&amp;O4288&amp;AS[[#This Row],[Reporting Year]]&amp;"; "&amp;P4288&amp;AS[[#This Row],[Insurance Category Code]]&amp;"; "&amp;Q4288&amp;AS[[#This Row],[Large Provider Entity Code]]&amp;"; "&amp;R4288&amp;AS[[#This Row],[Age Band Code]]&amp;"; "&amp;S4288&amp;AS[[#This Row],[Sex Code]]</f>
        <v xml:space="preserve">Insurer Code ; Reporting Year ; Insurance Category Code ; Large Provider Entity Code ; Age Band Code ; Sex Code </v>
      </c>
      <c r="N4288" s="297" t="s">
        <v>197</v>
      </c>
      <c r="O4288" s="297" t="s">
        <v>198</v>
      </c>
      <c r="P4288" s="297" t="s">
        <v>199</v>
      </c>
      <c r="Q4288" s="297" t="s">
        <v>200</v>
      </c>
      <c r="R4288" s="297" t="s">
        <v>213</v>
      </c>
      <c r="S4288" s="297" t="s">
        <v>214</v>
      </c>
    </row>
    <row r="4289" spans="1:19" x14ac:dyDescent="0.4">
      <c r="A4289" s="291"/>
      <c r="B4289" s="292"/>
      <c r="C4289" s="312"/>
      <c r="D4289" s="292"/>
      <c r="E4289" s="489"/>
      <c r="F4289" s="489"/>
      <c r="G4289" s="490"/>
      <c r="H4289" s="520"/>
      <c r="I4289" s="523"/>
      <c r="J4289" s="521"/>
      <c r="K4289" s="522"/>
      <c r="M4289" s="301" t="str">
        <f>N4289&amp;AS[[#This Row],[Insurer Code]]&amp;"; "&amp;O4289&amp;AS[[#This Row],[Reporting Year]]&amp;"; "&amp;P4289&amp;AS[[#This Row],[Insurance Category Code]]&amp;"; "&amp;Q4289&amp;AS[[#This Row],[Large Provider Entity Code]]&amp;"; "&amp;R4289&amp;AS[[#This Row],[Age Band Code]]&amp;"; "&amp;S4289&amp;AS[[#This Row],[Sex Code]]</f>
        <v xml:space="preserve">Insurer Code ; Reporting Year ; Insurance Category Code ; Large Provider Entity Code ; Age Band Code ; Sex Code </v>
      </c>
      <c r="N4289" s="297" t="s">
        <v>197</v>
      </c>
      <c r="O4289" s="297" t="s">
        <v>198</v>
      </c>
      <c r="P4289" s="297" t="s">
        <v>199</v>
      </c>
      <c r="Q4289" s="297" t="s">
        <v>200</v>
      </c>
      <c r="R4289" s="297" t="s">
        <v>213</v>
      </c>
      <c r="S4289" s="297" t="s">
        <v>214</v>
      </c>
    </row>
    <row r="4290" spans="1:19" x14ac:dyDescent="0.4">
      <c r="A4290" s="291"/>
      <c r="B4290" s="292"/>
      <c r="C4290" s="312"/>
      <c r="D4290" s="292"/>
      <c r="E4290" s="489"/>
      <c r="F4290" s="489"/>
      <c r="G4290" s="490"/>
      <c r="H4290" s="520"/>
      <c r="I4290" s="523"/>
      <c r="J4290" s="521"/>
      <c r="K4290" s="522"/>
      <c r="M4290" s="301" t="str">
        <f>N4290&amp;AS[[#This Row],[Insurer Code]]&amp;"; "&amp;O4290&amp;AS[[#This Row],[Reporting Year]]&amp;"; "&amp;P4290&amp;AS[[#This Row],[Insurance Category Code]]&amp;"; "&amp;Q4290&amp;AS[[#This Row],[Large Provider Entity Code]]&amp;"; "&amp;R4290&amp;AS[[#This Row],[Age Band Code]]&amp;"; "&amp;S4290&amp;AS[[#This Row],[Sex Code]]</f>
        <v xml:space="preserve">Insurer Code ; Reporting Year ; Insurance Category Code ; Large Provider Entity Code ; Age Band Code ; Sex Code </v>
      </c>
      <c r="N4290" s="297" t="s">
        <v>197</v>
      </c>
      <c r="O4290" s="297" t="s">
        <v>198</v>
      </c>
      <c r="P4290" s="297" t="s">
        <v>199</v>
      </c>
      <c r="Q4290" s="297" t="s">
        <v>200</v>
      </c>
      <c r="R4290" s="297" t="s">
        <v>213</v>
      </c>
      <c r="S4290" s="297" t="s">
        <v>214</v>
      </c>
    </row>
    <row r="4291" spans="1:19" x14ac:dyDescent="0.4">
      <c r="A4291" s="291"/>
      <c r="B4291" s="292"/>
      <c r="C4291" s="312"/>
      <c r="D4291" s="292"/>
      <c r="E4291" s="489"/>
      <c r="F4291" s="489"/>
      <c r="G4291" s="490"/>
      <c r="H4291" s="520"/>
      <c r="I4291" s="523"/>
      <c r="J4291" s="521"/>
      <c r="K4291" s="522"/>
      <c r="M4291" s="301" t="str">
        <f>N4291&amp;AS[[#This Row],[Insurer Code]]&amp;"; "&amp;O4291&amp;AS[[#This Row],[Reporting Year]]&amp;"; "&amp;P4291&amp;AS[[#This Row],[Insurance Category Code]]&amp;"; "&amp;Q4291&amp;AS[[#This Row],[Large Provider Entity Code]]&amp;"; "&amp;R4291&amp;AS[[#This Row],[Age Band Code]]&amp;"; "&amp;S4291&amp;AS[[#This Row],[Sex Code]]</f>
        <v xml:space="preserve">Insurer Code ; Reporting Year ; Insurance Category Code ; Large Provider Entity Code ; Age Band Code ; Sex Code </v>
      </c>
      <c r="N4291" s="297" t="s">
        <v>197</v>
      </c>
      <c r="O4291" s="297" t="s">
        <v>198</v>
      </c>
      <c r="P4291" s="297" t="s">
        <v>199</v>
      </c>
      <c r="Q4291" s="297" t="s">
        <v>200</v>
      </c>
      <c r="R4291" s="297" t="s">
        <v>213</v>
      </c>
      <c r="S4291" s="297" t="s">
        <v>214</v>
      </c>
    </row>
    <row r="4292" spans="1:19" x14ac:dyDescent="0.4">
      <c r="A4292" s="291"/>
      <c r="B4292" s="292"/>
      <c r="C4292" s="312"/>
      <c r="D4292" s="292"/>
      <c r="E4292" s="489"/>
      <c r="F4292" s="489"/>
      <c r="G4292" s="490"/>
      <c r="H4292" s="520"/>
      <c r="I4292" s="523"/>
      <c r="J4292" s="521"/>
      <c r="K4292" s="522"/>
      <c r="M4292" s="301" t="str">
        <f>N4292&amp;AS[[#This Row],[Insurer Code]]&amp;"; "&amp;O4292&amp;AS[[#This Row],[Reporting Year]]&amp;"; "&amp;P4292&amp;AS[[#This Row],[Insurance Category Code]]&amp;"; "&amp;Q4292&amp;AS[[#This Row],[Large Provider Entity Code]]&amp;"; "&amp;R4292&amp;AS[[#This Row],[Age Band Code]]&amp;"; "&amp;S4292&amp;AS[[#This Row],[Sex Code]]</f>
        <v xml:space="preserve">Insurer Code ; Reporting Year ; Insurance Category Code ; Large Provider Entity Code ; Age Band Code ; Sex Code </v>
      </c>
      <c r="N4292" s="297" t="s">
        <v>197</v>
      </c>
      <c r="O4292" s="297" t="s">
        <v>198</v>
      </c>
      <c r="P4292" s="297" t="s">
        <v>199</v>
      </c>
      <c r="Q4292" s="297" t="s">
        <v>200</v>
      </c>
      <c r="R4292" s="297" t="s">
        <v>213</v>
      </c>
      <c r="S4292" s="297" t="s">
        <v>214</v>
      </c>
    </row>
    <row r="4293" spans="1:19" x14ac:dyDescent="0.4">
      <c r="A4293" s="291"/>
      <c r="B4293" s="292"/>
      <c r="C4293" s="312"/>
      <c r="D4293" s="292"/>
      <c r="E4293" s="489"/>
      <c r="F4293" s="489"/>
      <c r="G4293" s="490"/>
      <c r="H4293" s="520"/>
      <c r="I4293" s="523"/>
      <c r="J4293" s="521"/>
      <c r="K4293" s="522"/>
      <c r="M4293" s="301" t="str">
        <f>N4293&amp;AS[[#This Row],[Insurer Code]]&amp;"; "&amp;O4293&amp;AS[[#This Row],[Reporting Year]]&amp;"; "&amp;P4293&amp;AS[[#This Row],[Insurance Category Code]]&amp;"; "&amp;Q4293&amp;AS[[#This Row],[Large Provider Entity Code]]&amp;"; "&amp;R4293&amp;AS[[#This Row],[Age Band Code]]&amp;"; "&amp;S4293&amp;AS[[#This Row],[Sex Code]]</f>
        <v xml:space="preserve">Insurer Code ; Reporting Year ; Insurance Category Code ; Large Provider Entity Code ; Age Band Code ; Sex Code </v>
      </c>
      <c r="N4293" s="297" t="s">
        <v>197</v>
      </c>
      <c r="O4293" s="297" t="s">
        <v>198</v>
      </c>
      <c r="P4293" s="297" t="s">
        <v>199</v>
      </c>
      <c r="Q4293" s="297" t="s">
        <v>200</v>
      </c>
      <c r="R4293" s="297" t="s">
        <v>213</v>
      </c>
      <c r="S4293" s="297" t="s">
        <v>214</v>
      </c>
    </row>
    <row r="4294" spans="1:19" x14ac:dyDescent="0.4">
      <c r="A4294" s="291"/>
      <c r="B4294" s="292"/>
      <c r="C4294" s="312"/>
      <c r="D4294" s="292"/>
      <c r="E4294" s="489"/>
      <c r="F4294" s="489"/>
      <c r="G4294" s="490"/>
      <c r="H4294" s="520"/>
      <c r="I4294" s="523"/>
      <c r="J4294" s="521"/>
      <c r="K4294" s="522"/>
      <c r="M4294" s="301" t="str">
        <f>N4294&amp;AS[[#This Row],[Insurer Code]]&amp;"; "&amp;O4294&amp;AS[[#This Row],[Reporting Year]]&amp;"; "&amp;P4294&amp;AS[[#This Row],[Insurance Category Code]]&amp;"; "&amp;Q4294&amp;AS[[#This Row],[Large Provider Entity Code]]&amp;"; "&amp;R4294&amp;AS[[#This Row],[Age Band Code]]&amp;"; "&amp;S4294&amp;AS[[#This Row],[Sex Code]]</f>
        <v xml:space="preserve">Insurer Code ; Reporting Year ; Insurance Category Code ; Large Provider Entity Code ; Age Band Code ; Sex Code </v>
      </c>
      <c r="N4294" s="297" t="s">
        <v>197</v>
      </c>
      <c r="O4294" s="297" t="s">
        <v>198</v>
      </c>
      <c r="P4294" s="297" t="s">
        <v>199</v>
      </c>
      <c r="Q4294" s="297" t="s">
        <v>200</v>
      </c>
      <c r="R4294" s="297" t="s">
        <v>213</v>
      </c>
      <c r="S4294" s="297" t="s">
        <v>214</v>
      </c>
    </row>
    <row r="4295" spans="1:19" x14ac:dyDescent="0.4">
      <c r="A4295" s="291"/>
      <c r="B4295" s="292"/>
      <c r="C4295" s="312"/>
      <c r="D4295" s="292"/>
      <c r="E4295" s="489"/>
      <c r="F4295" s="489"/>
      <c r="G4295" s="490"/>
      <c r="H4295" s="520"/>
      <c r="I4295" s="523"/>
      <c r="J4295" s="521"/>
      <c r="K4295" s="522"/>
      <c r="M4295" s="301" t="str">
        <f>N4295&amp;AS[[#This Row],[Insurer Code]]&amp;"; "&amp;O4295&amp;AS[[#This Row],[Reporting Year]]&amp;"; "&amp;P4295&amp;AS[[#This Row],[Insurance Category Code]]&amp;"; "&amp;Q4295&amp;AS[[#This Row],[Large Provider Entity Code]]&amp;"; "&amp;R4295&amp;AS[[#This Row],[Age Band Code]]&amp;"; "&amp;S4295&amp;AS[[#This Row],[Sex Code]]</f>
        <v xml:space="preserve">Insurer Code ; Reporting Year ; Insurance Category Code ; Large Provider Entity Code ; Age Band Code ; Sex Code </v>
      </c>
      <c r="N4295" s="297" t="s">
        <v>197</v>
      </c>
      <c r="O4295" s="297" t="s">
        <v>198</v>
      </c>
      <c r="P4295" s="297" t="s">
        <v>199</v>
      </c>
      <c r="Q4295" s="297" t="s">
        <v>200</v>
      </c>
      <c r="R4295" s="297" t="s">
        <v>213</v>
      </c>
      <c r="S4295" s="297" t="s">
        <v>214</v>
      </c>
    </row>
    <row r="4296" spans="1:19" x14ac:dyDescent="0.4">
      <c r="A4296" s="291"/>
      <c r="B4296" s="292"/>
      <c r="C4296" s="312"/>
      <c r="D4296" s="292"/>
      <c r="E4296" s="489"/>
      <c r="F4296" s="489"/>
      <c r="G4296" s="490"/>
      <c r="H4296" s="520"/>
      <c r="I4296" s="523"/>
      <c r="J4296" s="521"/>
      <c r="K4296" s="522"/>
      <c r="M4296" s="301" t="str">
        <f>N4296&amp;AS[[#This Row],[Insurer Code]]&amp;"; "&amp;O4296&amp;AS[[#This Row],[Reporting Year]]&amp;"; "&amp;P4296&amp;AS[[#This Row],[Insurance Category Code]]&amp;"; "&amp;Q4296&amp;AS[[#This Row],[Large Provider Entity Code]]&amp;"; "&amp;R4296&amp;AS[[#This Row],[Age Band Code]]&amp;"; "&amp;S4296&amp;AS[[#This Row],[Sex Code]]</f>
        <v xml:space="preserve">Insurer Code ; Reporting Year ; Insurance Category Code ; Large Provider Entity Code ; Age Band Code ; Sex Code </v>
      </c>
      <c r="N4296" s="297" t="s">
        <v>197</v>
      </c>
      <c r="O4296" s="297" t="s">
        <v>198</v>
      </c>
      <c r="P4296" s="297" t="s">
        <v>199</v>
      </c>
      <c r="Q4296" s="297" t="s">
        <v>200</v>
      </c>
      <c r="R4296" s="297" t="s">
        <v>213</v>
      </c>
      <c r="S4296" s="297" t="s">
        <v>214</v>
      </c>
    </row>
    <row r="4297" spans="1:19" x14ac:dyDescent="0.4">
      <c r="A4297" s="291"/>
      <c r="B4297" s="292"/>
      <c r="C4297" s="312"/>
      <c r="D4297" s="292"/>
      <c r="E4297" s="489"/>
      <c r="F4297" s="489"/>
      <c r="G4297" s="490"/>
      <c r="H4297" s="520"/>
      <c r="I4297" s="523"/>
      <c r="J4297" s="521"/>
      <c r="K4297" s="522"/>
      <c r="M4297" s="301" t="str">
        <f>N4297&amp;AS[[#This Row],[Insurer Code]]&amp;"; "&amp;O4297&amp;AS[[#This Row],[Reporting Year]]&amp;"; "&amp;P4297&amp;AS[[#This Row],[Insurance Category Code]]&amp;"; "&amp;Q4297&amp;AS[[#This Row],[Large Provider Entity Code]]&amp;"; "&amp;R4297&amp;AS[[#This Row],[Age Band Code]]&amp;"; "&amp;S4297&amp;AS[[#This Row],[Sex Code]]</f>
        <v xml:space="preserve">Insurer Code ; Reporting Year ; Insurance Category Code ; Large Provider Entity Code ; Age Band Code ; Sex Code </v>
      </c>
      <c r="N4297" s="297" t="s">
        <v>197</v>
      </c>
      <c r="O4297" s="297" t="s">
        <v>198</v>
      </c>
      <c r="P4297" s="297" t="s">
        <v>199</v>
      </c>
      <c r="Q4297" s="297" t="s">
        <v>200</v>
      </c>
      <c r="R4297" s="297" t="s">
        <v>213</v>
      </c>
      <c r="S4297" s="297" t="s">
        <v>214</v>
      </c>
    </row>
    <row r="4298" spans="1:19" x14ac:dyDescent="0.4">
      <c r="A4298" s="291"/>
      <c r="B4298" s="292"/>
      <c r="C4298" s="312"/>
      <c r="D4298" s="292"/>
      <c r="E4298" s="489"/>
      <c r="F4298" s="489"/>
      <c r="G4298" s="490"/>
      <c r="H4298" s="520"/>
      <c r="I4298" s="523"/>
      <c r="J4298" s="521"/>
      <c r="K4298" s="522"/>
      <c r="M4298" s="301" t="str">
        <f>N4298&amp;AS[[#This Row],[Insurer Code]]&amp;"; "&amp;O4298&amp;AS[[#This Row],[Reporting Year]]&amp;"; "&amp;P4298&amp;AS[[#This Row],[Insurance Category Code]]&amp;"; "&amp;Q4298&amp;AS[[#This Row],[Large Provider Entity Code]]&amp;"; "&amp;R4298&amp;AS[[#This Row],[Age Band Code]]&amp;"; "&amp;S4298&amp;AS[[#This Row],[Sex Code]]</f>
        <v xml:space="preserve">Insurer Code ; Reporting Year ; Insurance Category Code ; Large Provider Entity Code ; Age Band Code ; Sex Code </v>
      </c>
      <c r="N4298" s="297" t="s">
        <v>197</v>
      </c>
      <c r="O4298" s="297" t="s">
        <v>198</v>
      </c>
      <c r="P4298" s="297" t="s">
        <v>199</v>
      </c>
      <c r="Q4298" s="297" t="s">
        <v>200</v>
      </c>
      <c r="R4298" s="297" t="s">
        <v>213</v>
      </c>
      <c r="S4298" s="297" t="s">
        <v>214</v>
      </c>
    </row>
    <row r="4299" spans="1:19" x14ac:dyDescent="0.4">
      <c r="A4299" s="291"/>
      <c r="B4299" s="292"/>
      <c r="C4299" s="312"/>
      <c r="D4299" s="292"/>
      <c r="E4299" s="489"/>
      <c r="F4299" s="489"/>
      <c r="G4299" s="490"/>
      <c r="H4299" s="520"/>
      <c r="I4299" s="523"/>
      <c r="J4299" s="521"/>
      <c r="K4299" s="522"/>
      <c r="M4299" s="301" t="str">
        <f>N4299&amp;AS[[#This Row],[Insurer Code]]&amp;"; "&amp;O4299&amp;AS[[#This Row],[Reporting Year]]&amp;"; "&amp;P4299&amp;AS[[#This Row],[Insurance Category Code]]&amp;"; "&amp;Q4299&amp;AS[[#This Row],[Large Provider Entity Code]]&amp;"; "&amp;R4299&amp;AS[[#This Row],[Age Band Code]]&amp;"; "&amp;S4299&amp;AS[[#This Row],[Sex Code]]</f>
        <v xml:space="preserve">Insurer Code ; Reporting Year ; Insurance Category Code ; Large Provider Entity Code ; Age Band Code ; Sex Code </v>
      </c>
      <c r="N4299" s="297" t="s">
        <v>197</v>
      </c>
      <c r="O4299" s="297" t="s">
        <v>198</v>
      </c>
      <c r="P4299" s="297" t="s">
        <v>199</v>
      </c>
      <c r="Q4299" s="297" t="s">
        <v>200</v>
      </c>
      <c r="R4299" s="297" t="s">
        <v>213</v>
      </c>
      <c r="S4299" s="297" t="s">
        <v>214</v>
      </c>
    </row>
    <row r="4300" spans="1:19" x14ac:dyDescent="0.4">
      <c r="A4300" s="291"/>
      <c r="B4300" s="292"/>
      <c r="C4300" s="312"/>
      <c r="D4300" s="292"/>
      <c r="E4300" s="489"/>
      <c r="F4300" s="489"/>
      <c r="G4300" s="490"/>
      <c r="H4300" s="520"/>
      <c r="I4300" s="523"/>
      <c r="J4300" s="521"/>
      <c r="K4300" s="522"/>
      <c r="M4300" s="301" t="str">
        <f>N4300&amp;AS[[#This Row],[Insurer Code]]&amp;"; "&amp;O4300&amp;AS[[#This Row],[Reporting Year]]&amp;"; "&amp;P4300&amp;AS[[#This Row],[Insurance Category Code]]&amp;"; "&amp;Q4300&amp;AS[[#This Row],[Large Provider Entity Code]]&amp;"; "&amp;R4300&amp;AS[[#This Row],[Age Band Code]]&amp;"; "&amp;S4300&amp;AS[[#This Row],[Sex Code]]</f>
        <v xml:space="preserve">Insurer Code ; Reporting Year ; Insurance Category Code ; Large Provider Entity Code ; Age Band Code ; Sex Code </v>
      </c>
      <c r="N4300" s="297" t="s">
        <v>197</v>
      </c>
      <c r="O4300" s="297" t="s">
        <v>198</v>
      </c>
      <c r="P4300" s="297" t="s">
        <v>199</v>
      </c>
      <c r="Q4300" s="297" t="s">
        <v>200</v>
      </c>
      <c r="R4300" s="297" t="s">
        <v>213</v>
      </c>
      <c r="S4300" s="297" t="s">
        <v>214</v>
      </c>
    </row>
    <row r="4301" spans="1:19" x14ac:dyDescent="0.4">
      <c r="A4301" s="291"/>
      <c r="B4301" s="292"/>
      <c r="C4301" s="312"/>
      <c r="D4301" s="292"/>
      <c r="E4301" s="489"/>
      <c r="F4301" s="489"/>
      <c r="G4301" s="490"/>
      <c r="H4301" s="520"/>
      <c r="I4301" s="523"/>
      <c r="J4301" s="521"/>
      <c r="K4301" s="522"/>
      <c r="M4301" s="301" t="str">
        <f>N4301&amp;AS[[#This Row],[Insurer Code]]&amp;"; "&amp;O4301&amp;AS[[#This Row],[Reporting Year]]&amp;"; "&amp;P4301&amp;AS[[#This Row],[Insurance Category Code]]&amp;"; "&amp;Q4301&amp;AS[[#This Row],[Large Provider Entity Code]]&amp;"; "&amp;R4301&amp;AS[[#This Row],[Age Band Code]]&amp;"; "&amp;S4301&amp;AS[[#This Row],[Sex Code]]</f>
        <v xml:space="preserve">Insurer Code ; Reporting Year ; Insurance Category Code ; Large Provider Entity Code ; Age Band Code ; Sex Code </v>
      </c>
      <c r="N4301" s="297" t="s">
        <v>197</v>
      </c>
      <c r="O4301" s="297" t="s">
        <v>198</v>
      </c>
      <c r="P4301" s="297" t="s">
        <v>199</v>
      </c>
      <c r="Q4301" s="297" t="s">
        <v>200</v>
      </c>
      <c r="R4301" s="297" t="s">
        <v>213</v>
      </c>
      <c r="S4301" s="297" t="s">
        <v>214</v>
      </c>
    </row>
    <row r="4302" spans="1:19" x14ac:dyDescent="0.4">
      <c r="A4302" s="291"/>
      <c r="B4302" s="292"/>
      <c r="C4302" s="312"/>
      <c r="D4302" s="292"/>
      <c r="E4302" s="489"/>
      <c r="F4302" s="489"/>
      <c r="G4302" s="490"/>
      <c r="H4302" s="520"/>
      <c r="I4302" s="523"/>
      <c r="J4302" s="521"/>
      <c r="K4302" s="522"/>
      <c r="M4302" s="301" t="str">
        <f>N4302&amp;AS[[#This Row],[Insurer Code]]&amp;"; "&amp;O4302&amp;AS[[#This Row],[Reporting Year]]&amp;"; "&amp;P4302&amp;AS[[#This Row],[Insurance Category Code]]&amp;"; "&amp;Q4302&amp;AS[[#This Row],[Large Provider Entity Code]]&amp;"; "&amp;R4302&amp;AS[[#This Row],[Age Band Code]]&amp;"; "&amp;S4302&amp;AS[[#This Row],[Sex Code]]</f>
        <v xml:space="preserve">Insurer Code ; Reporting Year ; Insurance Category Code ; Large Provider Entity Code ; Age Band Code ; Sex Code </v>
      </c>
      <c r="N4302" s="297" t="s">
        <v>197</v>
      </c>
      <c r="O4302" s="297" t="s">
        <v>198</v>
      </c>
      <c r="P4302" s="297" t="s">
        <v>199</v>
      </c>
      <c r="Q4302" s="297" t="s">
        <v>200</v>
      </c>
      <c r="R4302" s="297" t="s">
        <v>213</v>
      </c>
      <c r="S4302" s="297" t="s">
        <v>214</v>
      </c>
    </row>
    <row r="4303" spans="1:19" x14ac:dyDescent="0.4">
      <c r="A4303" s="291"/>
      <c r="B4303" s="292"/>
      <c r="C4303" s="312"/>
      <c r="D4303" s="292"/>
      <c r="E4303" s="489"/>
      <c r="F4303" s="489"/>
      <c r="G4303" s="490"/>
      <c r="H4303" s="520"/>
      <c r="I4303" s="523"/>
      <c r="J4303" s="521"/>
      <c r="K4303" s="522"/>
      <c r="M4303" s="301" t="str">
        <f>N4303&amp;AS[[#This Row],[Insurer Code]]&amp;"; "&amp;O4303&amp;AS[[#This Row],[Reporting Year]]&amp;"; "&amp;P4303&amp;AS[[#This Row],[Insurance Category Code]]&amp;"; "&amp;Q4303&amp;AS[[#This Row],[Large Provider Entity Code]]&amp;"; "&amp;R4303&amp;AS[[#This Row],[Age Band Code]]&amp;"; "&amp;S4303&amp;AS[[#This Row],[Sex Code]]</f>
        <v xml:space="preserve">Insurer Code ; Reporting Year ; Insurance Category Code ; Large Provider Entity Code ; Age Band Code ; Sex Code </v>
      </c>
      <c r="N4303" s="297" t="s">
        <v>197</v>
      </c>
      <c r="O4303" s="297" t="s">
        <v>198</v>
      </c>
      <c r="P4303" s="297" t="s">
        <v>199</v>
      </c>
      <c r="Q4303" s="297" t="s">
        <v>200</v>
      </c>
      <c r="R4303" s="297" t="s">
        <v>213</v>
      </c>
      <c r="S4303" s="297" t="s">
        <v>214</v>
      </c>
    </row>
    <row r="4304" spans="1:19" x14ac:dyDescent="0.4">
      <c r="A4304" s="291"/>
      <c r="B4304" s="292"/>
      <c r="C4304" s="312"/>
      <c r="D4304" s="292"/>
      <c r="E4304" s="489"/>
      <c r="F4304" s="489"/>
      <c r="G4304" s="490"/>
      <c r="H4304" s="520"/>
      <c r="I4304" s="523"/>
      <c r="J4304" s="521"/>
      <c r="K4304" s="522"/>
      <c r="M4304" s="301" t="str">
        <f>N4304&amp;AS[[#This Row],[Insurer Code]]&amp;"; "&amp;O4304&amp;AS[[#This Row],[Reporting Year]]&amp;"; "&amp;P4304&amp;AS[[#This Row],[Insurance Category Code]]&amp;"; "&amp;Q4304&amp;AS[[#This Row],[Large Provider Entity Code]]&amp;"; "&amp;R4304&amp;AS[[#This Row],[Age Band Code]]&amp;"; "&amp;S4304&amp;AS[[#This Row],[Sex Code]]</f>
        <v xml:space="preserve">Insurer Code ; Reporting Year ; Insurance Category Code ; Large Provider Entity Code ; Age Band Code ; Sex Code </v>
      </c>
      <c r="N4304" s="297" t="s">
        <v>197</v>
      </c>
      <c r="O4304" s="297" t="s">
        <v>198</v>
      </c>
      <c r="P4304" s="297" t="s">
        <v>199</v>
      </c>
      <c r="Q4304" s="297" t="s">
        <v>200</v>
      </c>
      <c r="R4304" s="297" t="s">
        <v>213</v>
      </c>
      <c r="S4304" s="297" t="s">
        <v>214</v>
      </c>
    </row>
    <row r="4305" spans="1:19" x14ac:dyDescent="0.4">
      <c r="A4305" s="291"/>
      <c r="B4305" s="292"/>
      <c r="C4305" s="312"/>
      <c r="D4305" s="292"/>
      <c r="E4305" s="489"/>
      <c r="F4305" s="489"/>
      <c r="G4305" s="490"/>
      <c r="H4305" s="520"/>
      <c r="I4305" s="523"/>
      <c r="J4305" s="521"/>
      <c r="K4305" s="522"/>
      <c r="M4305" s="301" t="str">
        <f>N4305&amp;AS[[#This Row],[Insurer Code]]&amp;"; "&amp;O4305&amp;AS[[#This Row],[Reporting Year]]&amp;"; "&amp;P4305&amp;AS[[#This Row],[Insurance Category Code]]&amp;"; "&amp;Q4305&amp;AS[[#This Row],[Large Provider Entity Code]]&amp;"; "&amp;R4305&amp;AS[[#This Row],[Age Band Code]]&amp;"; "&amp;S4305&amp;AS[[#This Row],[Sex Code]]</f>
        <v xml:space="preserve">Insurer Code ; Reporting Year ; Insurance Category Code ; Large Provider Entity Code ; Age Band Code ; Sex Code </v>
      </c>
      <c r="N4305" s="297" t="s">
        <v>197</v>
      </c>
      <c r="O4305" s="297" t="s">
        <v>198</v>
      </c>
      <c r="P4305" s="297" t="s">
        <v>199</v>
      </c>
      <c r="Q4305" s="297" t="s">
        <v>200</v>
      </c>
      <c r="R4305" s="297" t="s">
        <v>213</v>
      </c>
      <c r="S4305" s="297" t="s">
        <v>214</v>
      </c>
    </row>
    <row r="4306" spans="1:19" x14ac:dyDescent="0.4">
      <c r="A4306" s="291"/>
      <c r="B4306" s="292"/>
      <c r="C4306" s="312"/>
      <c r="D4306" s="292"/>
      <c r="E4306" s="489"/>
      <c r="F4306" s="489"/>
      <c r="G4306" s="490"/>
      <c r="H4306" s="520"/>
      <c r="I4306" s="523"/>
      <c r="J4306" s="521"/>
      <c r="K4306" s="522"/>
      <c r="M4306" s="301" t="str">
        <f>N4306&amp;AS[[#This Row],[Insurer Code]]&amp;"; "&amp;O4306&amp;AS[[#This Row],[Reporting Year]]&amp;"; "&amp;P4306&amp;AS[[#This Row],[Insurance Category Code]]&amp;"; "&amp;Q4306&amp;AS[[#This Row],[Large Provider Entity Code]]&amp;"; "&amp;R4306&amp;AS[[#This Row],[Age Band Code]]&amp;"; "&amp;S4306&amp;AS[[#This Row],[Sex Code]]</f>
        <v xml:space="preserve">Insurer Code ; Reporting Year ; Insurance Category Code ; Large Provider Entity Code ; Age Band Code ; Sex Code </v>
      </c>
      <c r="N4306" s="297" t="s">
        <v>197</v>
      </c>
      <c r="O4306" s="297" t="s">
        <v>198</v>
      </c>
      <c r="P4306" s="297" t="s">
        <v>199</v>
      </c>
      <c r="Q4306" s="297" t="s">
        <v>200</v>
      </c>
      <c r="R4306" s="297" t="s">
        <v>213</v>
      </c>
      <c r="S4306" s="297" t="s">
        <v>214</v>
      </c>
    </row>
    <row r="4307" spans="1:19" x14ac:dyDescent="0.4">
      <c r="A4307" s="291"/>
      <c r="B4307" s="292"/>
      <c r="C4307" s="312"/>
      <c r="D4307" s="292"/>
      <c r="E4307" s="489"/>
      <c r="F4307" s="489"/>
      <c r="G4307" s="490"/>
      <c r="H4307" s="520"/>
      <c r="I4307" s="523"/>
      <c r="J4307" s="521"/>
      <c r="K4307" s="522"/>
      <c r="M4307" s="301" t="str">
        <f>N4307&amp;AS[[#This Row],[Insurer Code]]&amp;"; "&amp;O4307&amp;AS[[#This Row],[Reporting Year]]&amp;"; "&amp;P4307&amp;AS[[#This Row],[Insurance Category Code]]&amp;"; "&amp;Q4307&amp;AS[[#This Row],[Large Provider Entity Code]]&amp;"; "&amp;R4307&amp;AS[[#This Row],[Age Band Code]]&amp;"; "&amp;S4307&amp;AS[[#This Row],[Sex Code]]</f>
        <v xml:space="preserve">Insurer Code ; Reporting Year ; Insurance Category Code ; Large Provider Entity Code ; Age Band Code ; Sex Code </v>
      </c>
      <c r="N4307" s="297" t="s">
        <v>197</v>
      </c>
      <c r="O4307" s="297" t="s">
        <v>198</v>
      </c>
      <c r="P4307" s="297" t="s">
        <v>199</v>
      </c>
      <c r="Q4307" s="297" t="s">
        <v>200</v>
      </c>
      <c r="R4307" s="297" t="s">
        <v>213</v>
      </c>
      <c r="S4307" s="297" t="s">
        <v>214</v>
      </c>
    </row>
    <row r="4308" spans="1:19" x14ac:dyDescent="0.4">
      <c r="A4308" s="291"/>
      <c r="B4308" s="292"/>
      <c r="C4308" s="312"/>
      <c r="D4308" s="292"/>
      <c r="E4308" s="489"/>
      <c r="F4308" s="489"/>
      <c r="G4308" s="490"/>
      <c r="H4308" s="520"/>
      <c r="I4308" s="523"/>
      <c r="J4308" s="521"/>
      <c r="K4308" s="522"/>
      <c r="M4308" s="301" t="str">
        <f>N4308&amp;AS[[#This Row],[Insurer Code]]&amp;"; "&amp;O4308&amp;AS[[#This Row],[Reporting Year]]&amp;"; "&amp;P4308&amp;AS[[#This Row],[Insurance Category Code]]&amp;"; "&amp;Q4308&amp;AS[[#This Row],[Large Provider Entity Code]]&amp;"; "&amp;R4308&amp;AS[[#This Row],[Age Band Code]]&amp;"; "&amp;S4308&amp;AS[[#This Row],[Sex Code]]</f>
        <v xml:space="preserve">Insurer Code ; Reporting Year ; Insurance Category Code ; Large Provider Entity Code ; Age Band Code ; Sex Code </v>
      </c>
      <c r="N4308" s="297" t="s">
        <v>197</v>
      </c>
      <c r="O4308" s="297" t="s">
        <v>198</v>
      </c>
      <c r="P4308" s="297" t="s">
        <v>199</v>
      </c>
      <c r="Q4308" s="297" t="s">
        <v>200</v>
      </c>
      <c r="R4308" s="297" t="s">
        <v>213</v>
      </c>
      <c r="S4308" s="297" t="s">
        <v>214</v>
      </c>
    </row>
    <row r="4309" spans="1:19" x14ac:dyDescent="0.4">
      <c r="A4309" s="291"/>
      <c r="B4309" s="292"/>
      <c r="C4309" s="312"/>
      <c r="D4309" s="292"/>
      <c r="E4309" s="489"/>
      <c r="F4309" s="489"/>
      <c r="G4309" s="490"/>
      <c r="H4309" s="520"/>
      <c r="I4309" s="523"/>
      <c r="J4309" s="521"/>
      <c r="K4309" s="522"/>
      <c r="M4309" s="301" t="str">
        <f>N4309&amp;AS[[#This Row],[Insurer Code]]&amp;"; "&amp;O4309&amp;AS[[#This Row],[Reporting Year]]&amp;"; "&amp;P4309&amp;AS[[#This Row],[Insurance Category Code]]&amp;"; "&amp;Q4309&amp;AS[[#This Row],[Large Provider Entity Code]]&amp;"; "&amp;R4309&amp;AS[[#This Row],[Age Band Code]]&amp;"; "&amp;S4309&amp;AS[[#This Row],[Sex Code]]</f>
        <v xml:space="preserve">Insurer Code ; Reporting Year ; Insurance Category Code ; Large Provider Entity Code ; Age Band Code ; Sex Code </v>
      </c>
      <c r="N4309" s="297" t="s">
        <v>197</v>
      </c>
      <c r="O4309" s="297" t="s">
        <v>198</v>
      </c>
      <c r="P4309" s="297" t="s">
        <v>199</v>
      </c>
      <c r="Q4309" s="297" t="s">
        <v>200</v>
      </c>
      <c r="R4309" s="297" t="s">
        <v>213</v>
      </c>
      <c r="S4309" s="297" t="s">
        <v>214</v>
      </c>
    </row>
    <row r="4310" spans="1:19" x14ac:dyDescent="0.4">
      <c r="A4310" s="291"/>
      <c r="B4310" s="292"/>
      <c r="C4310" s="312"/>
      <c r="D4310" s="292"/>
      <c r="E4310" s="489"/>
      <c r="F4310" s="489"/>
      <c r="G4310" s="490"/>
      <c r="H4310" s="520"/>
      <c r="I4310" s="523"/>
      <c r="J4310" s="521"/>
      <c r="K4310" s="522"/>
      <c r="M4310" s="301" t="str">
        <f>N4310&amp;AS[[#This Row],[Insurer Code]]&amp;"; "&amp;O4310&amp;AS[[#This Row],[Reporting Year]]&amp;"; "&amp;P4310&amp;AS[[#This Row],[Insurance Category Code]]&amp;"; "&amp;Q4310&amp;AS[[#This Row],[Large Provider Entity Code]]&amp;"; "&amp;R4310&amp;AS[[#This Row],[Age Band Code]]&amp;"; "&amp;S4310&amp;AS[[#This Row],[Sex Code]]</f>
        <v xml:space="preserve">Insurer Code ; Reporting Year ; Insurance Category Code ; Large Provider Entity Code ; Age Band Code ; Sex Code </v>
      </c>
      <c r="N4310" s="297" t="s">
        <v>197</v>
      </c>
      <c r="O4310" s="297" t="s">
        <v>198</v>
      </c>
      <c r="P4310" s="297" t="s">
        <v>199</v>
      </c>
      <c r="Q4310" s="297" t="s">
        <v>200</v>
      </c>
      <c r="R4310" s="297" t="s">
        <v>213</v>
      </c>
      <c r="S4310" s="297" t="s">
        <v>214</v>
      </c>
    </row>
    <row r="4311" spans="1:19" x14ac:dyDescent="0.4">
      <c r="A4311" s="291"/>
      <c r="B4311" s="292"/>
      <c r="C4311" s="312"/>
      <c r="D4311" s="292"/>
      <c r="E4311" s="489"/>
      <c r="F4311" s="489"/>
      <c r="G4311" s="490"/>
      <c r="H4311" s="520"/>
      <c r="I4311" s="523"/>
      <c r="J4311" s="521"/>
      <c r="K4311" s="522"/>
      <c r="M4311" s="301" t="str">
        <f>N4311&amp;AS[[#This Row],[Insurer Code]]&amp;"; "&amp;O4311&amp;AS[[#This Row],[Reporting Year]]&amp;"; "&amp;P4311&amp;AS[[#This Row],[Insurance Category Code]]&amp;"; "&amp;Q4311&amp;AS[[#This Row],[Large Provider Entity Code]]&amp;"; "&amp;R4311&amp;AS[[#This Row],[Age Band Code]]&amp;"; "&amp;S4311&amp;AS[[#This Row],[Sex Code]]</f>
        <v xml:space="preserve">Insurer Code ; Reporting Year ; Insurance Category Code ; Large Provider Entity Code ; Age Band Code ; Sex Code </v>
      </c>
      <c r="N4311" s="297" t="s">
        <v>197</v>
      </c>
      <c r="O4311" s="297" t="s">
        <v>198</v>
      </c>
      <c r="P4311" s="297" t="s">
        <v>199</v>
      </c>
      <c r="Q4311" s="297" t="s">
        <v>200</v>
      </c>
      <c r="R4311" s="297" t="s">
        <v>213</v>
      </c>
      <c r="S4311" s="297" t="s">
        <v>214</v>
      </c>
    </row>
    <row r="4312" spans="1:19" x14ac:dyDescent="0.4">
      <c r="A4312" s="291"/>
      <c r="B4312" s="292"/>
      <c r="C4312" s="312"/>
      <c r="D4312" s="292"/>
      <c r="E4312" s="489"/>
      <c r="F4312" s="489"/>
      <c r="G4312" s="490"/>
      <c r="H4312" s="520"/>
      <c r="I4312" s="523"/>
      <c r="J4312" s="521"/>
      <c r="K4312" s="522"/>
      <c r="M4312" s="301" t="str">
        <f>N4312&amp;AS[[#This Row],[Insurer Code]]&amp;"; "&amp;O4312&amp;AS[[#This Row],[Reporting Year]]&amp;"; "&amp;P4312&amp;AS[[#This Row],[Insurance Category Code]]&amp;"; "&amp;Q4312&amp;AS[[#This Row],[Large Provider Entity Code]]&amp;"; "&amp;R4312&amp;AS[[#This Row],[Age Band Code]]&amp;"; "&amp;S4312&amp;AS[[#This Row],[Sex Code]]</f>
        <v xml:space="preserve">Insurer Code ; Reporting Year ; Insurance Category Code ; Large Provider Entity Code ; Age Band Code ; Sex Code </v>
      </c>
      <c r="N4312" s="297" t="s">
        <v>197</v>
      </c>
      <c r="O4312" s="297" t="s">
        <v>198</v>
      </c>
      <c r="P4312" s="297" t="s">
        <v>199</v>
      </c>
      <c r="Q4312" s="297" t="s">
        <v>200</v>
      </c>
      <c r="R4312" s="297" t="s">
        <v>213</v>
      </c>
      <c r="S4312" s="297" t="s">
        <v>214</v>
      </c>
    </row>
    <row r="4313" spans="1:19" x14ac:dyDescent="0.4">
      <c r="A4313" s="291"/>
      <c r="B4313" s="292"/>
      <c r="C4313" s="312"/>
      <c r="D4313" s="292"/>
      <c r="E4313" s="489"/>
      <c r="F4313" s="489"/>
      <c r="G4313" s="490"/>
      <c r="H4313" s="520"/>
      <c r="I4313" s="523"/>
      <c r="J4313" s="521"/>
      <c r="K4313" s="522"/>
      <c r="M4313" s="301" t="str">
        <f>N4313&amp;AS[[#This Row],[Insurer Code]]&amp;"; "&amp;O4313&amp;AS[[#This Row],[Reporting Year]]&amp;"; "&amp;P4313&amp;AS[[#This Row],[Insurance Category Code]]&amp;"; "&amp;Q4313&amp;AS[[#This Row],[Large Provider Entity Code]]&amp;"; "&amp;R4313&amp;AS[[#This Row],[Age Band Code]]&amp;"; "&amp;S4313&amp;AS[[#This Row],[Sex Code]]</f>
        <v xml:space="preserve">Insurer Code ; Reporting Year ; Insurance Category Code ; Large Provider Entity Code ; Age Band Code ; Sex Code </v>
      </c>
      <c r="N4313" s="297" t="s">
        <v>197</v>
      </c>
      <c r="O4313" s="297" t="s">
        <v>198</v>
      </c>
      <c r="P4313" s="297" t="s">
        <v>199</v>
      </c>
      <c r="Q4313" s="297" t="s">
        <v>200</v>
      </c>
      <c r="R4313" s="297" t="s">
        <v>213</v>
      </c>
      <c r="S4313" s="297" t="s">
        <v>214</v>
      </c>
    </row>
    <row r="4314" spans="1:19" x14ac:dyDescent="0.4">
      <c r="A4314" s="291"/>
      <c r="B4314" s="292"/>
      <c r="C4314" s="312"/>
      <c r="D4314" s="292"/>
      <c r="E4314" s="489"/>
      <c r="F4314" s="489"/>
      <c r="G4314" s="490"/>
      <c r="H4314" s="520"/>
      <c r="I4314" s="523"/>
      <c r="J4314" s="521"/>
      <c r="K4314" s="522"/>
      <c r="M4314" s="301" t="str">
        <f>N4314&amp;AS[[#This Row],[Insurer Code]]&amp;"; "&amp;O4314&amp;AS[[#This Row],[Reporting Year]]&amp;"; "&amp;P4314&amp;AS[[#This Row],[Insurance Category Code]]&amp;"; "&amp;Q4314&amp;AS[[#This Row],[Large Provider Entity Code]]&amp;"; "&amp;R4314&amp;AS[[#This Row],[Age Band Code]]&amp;"; "&amp;S4314&amp;AS[[#This Row],[Sex Code]]</f>
        <v xml:space="preserve">Insurer Code ; Reporting Year ; Insurance Category Code ; Large Provider Entity Code ; Age Band Code ; Sex Code </v>
      </c>
      <c r="N4314" s="297" t="s">
        <v>197</v>
      </c>
      <c r="O4314" s="297" t="s">
        <v>198</v>
      </c>
      <c r="P4314" s="297" t="s">
        <v>199</v>
      </c>
      <c r="Q4314" s="297" t="s">
        <v>200</v>
      </c>
      <c r="R4314" s="297" t="s">
        <v>213</v>
      </c>
      <c r="S4314" s="297" t="s">
        <v>214</v>
      </c>
    </row>
    <row r="4315" spans="1:19" x14ac:dyDescent="0.4">
      <c r="A4315" s="291"/>
      <c r="B4315" s="292"/>
      <c r="C4315" s="312"/>
      <c r="D4315" s="292"/>
      <c r="E4315" s="489"/>
      <c r="F4315" s="489"/>
      <c r="G4315" s="490"/>
      <c r="H4315" s="520"/>
      <c r="I4315" s="523"/>
      <c r="J4315" s="521"/>
      <c r="K4315" s="522"/>
      <c r="M4315" s="301" t="str">
        <f>N4315&amp;AS[[#This Row],[Insurer Code]]&amp;"; "&amp;O4315&amp;AS[[#This Row],[Reporting Year]]&amp;"; "&amp;P4315&amp;AS[[#This Row],[Insurance Category Code]]&amp;"; "&amp;Q4315&amp;AS[[#This Row],[Large Provider Entity Code]]&amp;"; "&amp;R4315&amp;AS[[#This Row],[Age Band Code]]&amp;"; "&amp;S4315&amp;AS[[#This Row],[Sex Code]]</f>
        <v xml:space="preserve">Insurer Code ; Reporting Year ; Insurance Category Code ; Large Provider Entity Code ; Age Band Code ; Sex Code </v>
      </c>
      <c r="N4315" s="297" t="s">
        <v>197</v>
      </c>
      <c r="O4315" s="297" t="s">
        <v>198</v>
      </c>
      <c r="P4315" s="297" t="s">
        <v>199</v>
      </c>
      <c r="Q4315" s="297" t="s">
        <v>200</v>
      </c>
      <c r="R4315" s="297" t="s">
        <v>213</v>
      </c>
      <c r="S4315" s="297" t="s">
        <v>214</v>
      </c>
    </row>
    <row r="4316" spans="1:19" x14ac:dyDescent="0.4">
      <c r="A4316" s="291"/>
      <c r="B4316" s="292"/>
      <c r="C4316" s="312"/>
      <c r="D4316" s="292"/>
      <c r="E4316" s="489"/>
      <c r="F4316" s="489"/>
      <c r="G4316" s="490"/>
      <c r="H4316" s="520"/>
      <c r="I4316" s="523"/>
      <c r="J4316" s="521"/>
      <c r="K4316" s="522"/>
      <c r="M4316" s="301" t="str">
        <f>N4316&amp;AS[[#This Row],[Insurer Code]]&amp;"; "&amp;O4316&amp;AS[[#This Row],[Reporting Year]]&amp;"; "&amp;P4316&amp;AS[[#This Row],[Insurance Category Code]]&amp;"; "&amp;Q4316&amp;AS[[#This Row],[Large Provider Entity Code]]&amp;"; "&amp;R4316&amp;AS[[#This Row],[Age Band Code]]&amp;"; "&amp;S4316&amp;AS[[#This Row],[Sex Code]]</f>
        <v xml:space="preserve">Insurer Code ; Reporting Year ; Insurance Category Code ; Large Provider Entity Code ; Age Band Code ; Sex Code </v>
      </c>
      <c r="N4316" s="297" t="s">
        <v>197</v>
      </c>
      <c r="O4316" s="297" t="s">
        <v>198</v>
      </c>
      <c r="P4316" s="297" t="s">
        <v>199</v>
      </c>
      <c r="Q4316" s="297" t="s">
        <v>200</v>
      </c>
      <c r="R4316" s="297" t="s">
        <v>213</v>
      </c>
      <c r="S4316" s="297" t="s">
        <v>214</v>
      </c>
    </row>
    <row r="4317" spans="1:19" x14ac:dyDescent="0.4">
      <c r="A4317" s="291"/>
      <c r="B4317" s="292"/>
      <c r="C4317" s="312"/>
      <c r="D4317" s="292"/>
      <c r="E4317" s="489"/>
      <c r="F4317" s="489"/>
      <c r="G4317" s="490"/>
      <c r="H4317" s="520"/>
      <c r="I4317" s="523"/>
      <c r="J4317" s="521"/>
      <c r="K4317" s="522"/>
      <c r="M4317" s="301" t="str">
        <f>N4317&amp;AS[[#This Row],[Insurer Code]]&amp;"; "&amp;O4317&amp;AS[[#This Row],[Reporting Year]]&amp;"; "&amp;P4317&amp;AS[[#This Row],[Insurance Category Code]]&amp;"; "&amp;Q4317&amp;AS[[#This Row],[Large Provider Entity Code]]&amp;"; "&amp;R4317&amp;AS[[#This Row],[Age Band Code]]&amp;"; "&amp;S4317&amp;AS[[#This Row],[Sex Code]]</f>
        <v xml:space="preserve">Insurer Code ; Reporting Year ; Insurance Category Code ; Large Provider Entity Code ; Age Band Code ; Sex Code </v>
      </c>
      <c r="N4317" s="297" t="s">
        <v>197</v>
      </c>
      <c r="O4317" s="297" t="s">
        <v>198</v>
      </c>
      <c r="P4317" s="297" t="s">
        <v>199</v>
      </c>
      <c r="Q4317" s="297" t="s">
        <v>200</v>
      </c>
      <c r="R4317" s="297" t="s">
        <v>213</v>
      </c>
      <c r="S4317" s="297" t="s">
        <v>214</v>
      </c>
    </row>
    <row r="4318" spans="1:19" x14ac:dyDescent="0.4">
      <c r="A4318" s="291"/>
      <c r="B4318" s="292"/>
      <c r="C4318" s="312"/>
      <c r="D4318" s="292"/>
      <c r="E4318" s="489"/>
      <c r="F4318" s="489"/>
      <c r="G4318" s="490"/>
      <c r="H4318" s="520"/>
      <c r="I4318" s="523"/>
      <c r="J4318" s="521"/>
      <c r="K4318" s="522"/>
      <c r="M4318" s="301" t="str">
        <f>N4318&amp;AS[[#This Row],[Insurer Code]]&amp;"; "&amp;O4318&amp;AS[[#This Row],[Reporting Year]]&amp;"; "&amp;P4318&amp;AS[[#This Row],[Insurance Category Code]]&amp;"; "&amp;Q4318&amp;AS[[#This Row],[Large Provider Entity Code]]&amp;"; "&amp;R4318&amp;AS[[#This Row],[Age Band Code]]&amp;"; "&amp;S4318&amp;AS[[#This Row],[Sex Code]]</f>
        <v xml:space="preserve">Insurer Code ; Reporting Year ; Insurance Category Code ; Large Provider Entity Code ; Age Band Code ; Sex Code </v>
      </c>
      <c r="N4318" s="297" t="s">
        <v>197</v>
      </c>
      <c r="O4318" s="297" t="s">
        <v>198</v>
      </c>
      <c r="P4318" s="297" t="s">
        <v>199</v>
      </c>
      <c r="Q4318" s="297" t="s">
        <v>200</v>
      </c>
      <c r="R4318" s="297" t="s">
        <v>213</v>
      </c>
      <c r="S4318" s="297" t="s">
        <v>214</v>
      </c>
    </row>
    <row r="4319" spans="1:19" x14ac:dyDescent="0.4">
      <c r="A4319" s="291"/>
      <c r="B4319" s="292"/>
      <c r="C4319" s="312"/>
      <c r="D4319" s="292"/>
      <c r="E4319" s="489"/>
      <c r="F4319" s="489"/>
      <c r="G4319" s="490"/>
      <c r="H4319" s="520"/>
      <c r="I4319" s="523"/>
      <c r="J4319" s="521"/>
      <c r="K4319" s="522"/>
      <c r="M4319" s="301" t="str">
        <f>N4319&amp;AS[[#This Row],[Insurer Code]]&amp;"; "&amp;O4319&amp;AS[[#This Row],[Reporting Year]]&amp;"; "&amp;P4319&amp;AS[[#This Row],[Insurance Category Code]]&amp;"; "&amp;Q4319&amp;AS[[#This Row],[Large Provider Entity Code]]&amp;"; "&amp;R4319&amp;AS[[#This Row],[Age Band Code]]&amp;"; "&amp;S4319&amp;AS[[#This Row],[Sex Code]]</f>
        <v xml:space="preserve">Insurer Code ; Reporting Year ; Insurance Category Code ; Large Provider Entity Code ; Age Band Code ; Sex Code </v>
      </c>
      <c r="N4319" s="297" t="s">
        <v>197</v>
      </c>
      <c r="O4319" s="297" t="s">
        <v>198</v>
      </c>
      <c r="P4319" s="297" t="s">
        <v>199</v>
      </c>
      <c r="Q4319" s="297" t="s">
        <v>200</v>
      </c>
      <c r="R4319" s="297" t="s">
        <v>213</v>
      </c>
      <c r="S4319" s="297" t="s">
        <v>214</v>
      </c>
    </row>
    <row r="4320" spans="1:19" x14ac:dyDescent="0.4">
      <c r="A4320" s="291"/>
      <c r="B4320" s="292"/>
      <c r="C4320" s="312"/>
      <c r="D4320" s="292"/>
      <c r="E4320" s="489"/>
      <c r="F4320" s="489"/>
      <c r="G4320" s="490"/>
      <c r="H4320" s="520"/>
      <c r="I4320" s="523"/>
      <c r="J4320" s="521"/>
      <c r="K4320" s="522"/>
      <c r="M4320" s="301" t="str">
        <f>N4320&amp;AS[[#This Row],[Insurer Code]]&amp;"; "&amp;O4320&amp;AS[[#This Row],[Reporting Year]]&amp;"; "&amp;P4320&amp;AS[[#This Row],[Insurance Category Code]]&amp;"; "&amp;Q4320&amp;AS[[#This Row],[Large Provider Entity Code]]&amp;"; "&amp;R4320&amp;AS[[#This Row],[Age Band Code]]&amp;"; "&amp;S4320&amp;AS[[#This Row],[Sex Code]]</f>
        <v xml:space="preserve">Insurer Code ; Reporting Year ; Insurance Category Code ; Large Provider Entity Code ; Age Band Code ; Sex Code </v>
      </c>
      <c r="N4320" s="297" t="s">
        <v>197</v>
      </c>
      <c r="O4320" s="297" t="s">
        <v>198</v>
      </c>
      <c r="P4320" s="297" t="s">
        <v>199</v>
      </c>
      <c r="Q4320" s="297" t="s">
        <v>200</v>
      </c>
      <c r="R4320" s="297" t="s">
        <v>213</v>
      </c>
      <c r="S4320" s="297" t="s">
        <v>214</v>
      </c>
    </row>
    <row r="4321" spans="1:19" x14ac:dyDescent="0.4">
      <c r="A4321" s="291"/>
      <c r="B4321" s="292"/>
      <c r="C4321" s="312"/>
      <c r="D4321" s="292"/>
      <c r="E4321" s="489"/>
      <c r="F4321" s="489"/>
      <c r="G4321" s="490"/>
      <c r="H4321" s="520"/>
      <c r="I4321" s="523"/>
      <c r="J4321" s="521"/>
      <c r="K4321" s="522"/>
      <c r="M4321" s="301" t="str">
        <f>N4321&amp;AS[[#This Row],[Insurer Code]]&amp;"; "&amp;O4321&amp;AS[[#This Row],[Reporting Year]]&amp;"; "&amp;P4321&amp;AS[[#This Row],[Insurance Category Code]]&amp;"; "&amp;Q4321&amp;AS[[#This Row],[Large Provider Entity Code]]&amp;"; "&amp;R4321&amp;AS[[#This Row],[Age Band Code]]&amp;"; "&amp;S4321&amp;AS[[#This Row],[Sex Code]]</f>
        <v xml:space="preserve">Insurer Code ; Reporting Year ; Insurance Category Code ; Large Provider Entity Code ; Age Band Code ; Sex Code </v>
      </c>
      <c r="N4321" s="297" t="s">
        <v>197</v>
      </c>
      <c r="O4321" s="297" t="s">
        <v>198</v>
      </c>
      <c r="P4321" s="297" t="s">
        <v>199</v>
      </c>
      <c r="Q4321" s="297" t="s">
        <v>200</v>
      </c>
      <c r="R4321" s="297" t="s">
        <v>213</v>
      </c>
      <c r="S4321" s="297" t="s">
        <v>214</v>
      </c>
    </row>
    <row r="4322" spans="1:19" x14ac:dyDescent="0.4">
      <c r="A4322" s="291"/>
      <c r="B4322" s="292"/>
      <c r="C4322" s="312"/>
      <c r="D4322" s="292"/>
      <c r="E4322" s="489"/>
      <c r="F4322" s="489"/>
      <c r="G4322" s="490"/>
      <c r="H4322" s="520"/>
      <c r="I4322" s="523"/>
      <c r="J4322" s="521"/>
      <c r="K4322" s="522"/>
      <c r="M4322" s="301" t="str">
        <f>N4322&amp;AS[[#This Row],[Insurer Code]]&amp;"; "&amp;O4322&amp;AS[[#This Row],[Reporting Year]]&amp;"; "&amp;P4322&amp;AS[[#This Row],[Insurance Category Code]]&amp;"; "&amp;Q4322&amp;AS[[#This Row],[Large Provider Entity Code]]&amp;"; "&amp;R4322&amp;AS[[#This Row],[Age Band Code]]&amp;"; "&amp;S4322&amp;AS[[#This Row],[Sex Code]]</f>
        <v xml:space="preserve">Insurer Code ; Reporting Year ; Insurance Category Code ; Large Provider Entity Code ; Age Band Code ; Sex Code </v>
      </c>
      <c r="N4322" s="297" t="s">
        <v>197</v>
      </c>
      <c r="O4322" s="297" t="s">
        <v>198</v>
      </c>
      <c r="P4322" s="297" t="s">
        <v>199</v>
      </c>
      <c r="Q4322" s="297" t="s">
        <v>200</v>
      </c>
      <c r="R4322" s="297" t="s">
        <v>213</v>
      </c>
      <c r="S4322" s="297" t="s">
        <v>214</v>
      </c>
    </row>
    <row r="4323" spans="1:19" x14ac:dyDescent="0.4">
      <c r="A4323" s="291"/>
      <c r="B4323" s="292"/>
      <c r="C4323" s="312"/>
      <c r="D4323" s="292"/>
      <c r="E4323" s="489"/>
      <c r="F4323" s="489"/>
      <c r="G4323" s="490"/>
      <c r="H4323" s="520"/>
      <c r="I4323" s="523"/>
      <c r="J4323" s="521"/>
      <c r="K4323" s="522"/>
      <c r="M4323" s="301" t="str">
        <f>N4323&amp;AS[[#This Row],[Insurer Code]]&amp;"; "&amp;O4323&amp;AS[[#This Row],[Reporting Year]]&amp;"; "&amp;P4323&amp;AS[[#This Row],[Insurance Category Code]]&amp;"; "&amp;Q4323&amp;AS[[#This Row],[Large Provider Entity Code]]&amp;"; "&amp;R4323&amp;AS[[#This Row],[Age Band Code]]&amp;"; "&amp;S4323&amp;AS[[#This Row],[Sex Code]]</f>
        <v xml:space="preserve">Insurer Code ; Reporting Year ; Insurance Category Code ; Large Provider Entity Code ; Age Band Code ; Sex Code </v>
      </c>
      <c r="N4323" s="297" t="s">
        <v>197</v>
      </c>
      <c r="O4323" s="297" t="s">
        <v>198</v>
      </c>
      <c r="P4323" s="297" t="s">
        <v>199</v>
      </c>
      <c r="Q4323" s="297" t="s">
        <v>200</v>
      </c>
      <c r="R4323" s="297" t="s">
        <v>213</v>
      </c>
      <c r="S4323" s="297" t="s">
        <v>214</v>
      </c>
    </row>
    <row r="4324" spans="1:19" x14ac:dyDescent="0.4">
      <c r="A4324" s="291"/>
      <c r="B4324" s="292"/>
      <c r="C4324" s="312"/>
      <c r="D4324" s="292"/>
      <c r="E4324" s="489"/>
      <c r="F4324" s="489"/>
      <c r="G4324" s="490"/>
      <c r="H4324" s="520"/>
      <c r="I4324" s="523"/>
      <c r="J4324" s="521"/>
      <c r="K4324" s="522"/>
      <c r="M4324" s="301" t="str">
        <f>N4324&amp;AS[[#This Row],[Insurer Code]]&amp;"; "&amp;O4324&amp;AS[[#This Row],[Reporting Year]]&amp;"; "&amp;P4324&amp;AS[[#This Row],[Insurance Category Code]]&amp;"; "&amp;Q4324&amp;AS[[#This Row],[Large Provider Entity Code]]&amp;"; "&amp;R4324&amp;AS[[#This Row],[Age Band Code]]&amp;"; "&amp;S4324&amp;AS[[#This Row],[Sex Code]]</f>
        <v xml:space="preserve">Insurer Code ; Reporting Year ; Insurance Category Code ; Large Provider Entity Code ; Age Band Code ; Sex Code </v>
      </c>
      <c r="N4324" s="297" t="s">
        <v>197</v>
      </c>
      <c r="O4324" s="297" t="s">
        <v>198</v>
      </c>
      <c r="P4324" s="297" t="s">
        <v>199</v>
      </c>
      <c r="Q4324" s="297" t="s">
        <v>200</v>
      </c>
      <c r="R4324" s="297" t="s">
        <v>213</v>
      </c>
      <c r="S4324" s="297" t="s">
        <v>214</v>
      </c>
    </row>
    <row r="4325" spans="1:19" x14ac:dyDescent="0.4">
      <c r="A4325" s="291"/>
      <c r="B4325" s="292"/>
      <c r="C4325" s="312"/>
      <c r="D4325" s="292"/>
      <c r="E4325" s="489"/>
      <c r="F4325" s="489"/>
      <c r="G4325" s="490"/>
      <c r="H4325" s="520"/>
      <c r="I4325" s="523"/>
      <c r="J4325" s="521"/>
      <c r="K4325" s="522"/>
      <c r="M4325" s="301" t="str">
        <f>N4325&amp;AS[[#This Row],[Insurer Code]]&amp;"; "&amp;O4325&amp;AS[[#This Row],[Reporting Year]]&amp;"; "&amp;P4325&amp;AS[[#This Row],[Insurance Category Code]]&amp;"; "&amp;Q4325&amp;AS[[#This Row],[Large Provider Entity Code]]&amp;"; "&amp;R4325&amp;AS[[#This Row],[Age Band Code]]&amp;"; "&amp;S4325&amp;AS[[#This Row],[Sex Code]]</f>
        <v xml:space="preserve">Insurer Code ; Reporting Year ; Insurance Category Code ; Large Provider Entity Code ; Age Band Code ; Sex Code </v>
      </c>
      <c r="N4325" s="297" t="s">
        <v>197</v>
      </c>
      <c r="O4325" s="297" t="s">
        <v>198</v>
      </c>
      <c r="P4325" s="297" t="s">
        <v>199</v>
      </c>
      <c r="Q4325" s="297" t="s">
        <v>200</v>
      </c>
      <c r="R4325" s="297" t="s">
        <v>213</v>
      </c>
      <c r="S4325" s="297" t="s">
        <v>214</v>
      </c>
    </row>
    <row r="4326" spans="1:19" x14ac:dyDescent="0.4">
      <c r="A4326" s="291"/>
      <c r="B4326" s="292"/>
      <c r="C4326" s="312"/>
      <c r="D4326" s="292"/>
      <c r="E4326" s="489"/>
      <c r="F4326" s="489"/>
      <c r="G4326" s="490"/>
      <c r="H4326" s="520"/>
      <c r="I4326" s="523"/>
      <c r="J4326" s="521"/>
      <c r="K4326" s="522"/>
      <c r="M4326" s="301" t="str">
        <f>N4326&amp;AS[[#This Row],[Insurer Code]]&amp;"; "&amp;O4326&amp;AS[[#This Row],[Reporting Year]]&amp;"; "&amp;P4326&amp;AS[[#This Row],[Insurance Category Code]]&amp;"; "&amp;Q4326&amp;AS[[#This Row],[Large Provider Entity Code]]&amp;"; "&amp;R4326&amp;AS[[#This Row],[Age Band Code]]&amp;"; "&amp;S4326&amp;AS[[#This Row],[Sex Code]]</f>
        <v xml:space="preserve">Insurer Code ; Reporting Year ; Insurance Category Code ; Large Provider Entity Code ; Age Band Code ; Sex Code </v>
      </c>
      <c r="N4326" s="297" t="s">
        <v>197</v>
      </c>
      <c r="O4326" s="297" t="s">
        <v>198</v>
      </c>
      <c r="P4326" s="297" t="s">
        <v>199</v>
      </c>
      <c r="Q4326" s="297" t="s">
        <v>200</v>
      </c>
      <c r="R4326" s="297" t="s">
        <v>213</v>
      </c>
      <c r="S4326" s="297" t="s">
        <v>214</v>
      </c>
    </row>
    <row r="4327" spans="1:19" x14ac:dyDescent="0.4">
      <c r="A4327" s="291"/>
      <c r="B4327" s="292"/>
      <c r="C4327" s="312"/>
      <c r="D4327" s="292"/>
      <c r="E4327" s="489"/>
      <c r="F4327" s="489"/>
      <c r="G4327" s="490"/>
      <c r="H4327" s="520"/>
      <c r="I4327" s="523"/>
      <c r="J4327" s="521"/>
      <c r="K4327" s="522"/>
      <c r="M4327" s="301" t="str">
        <f>N4327&amp;AS[[#This Row],[Insurer Code]]&amp;"; "&amp;O4327&amp;AS[[#This Row],[Reporting Year]]&amp;"; "&amp;P4327&amp;AS[[#This Row],[Insurance Category Code]]&amp;"; "&amp;Q4327&amp;AS[[#This Row],[Large Provider Entity Code]]&amp;"; "&amp;R4327&amp;AS[[#This Row],[Age Band Code]]&amp;"; "&amp;S4327&amp;AS[[#This Row],[Sex Code]]</f>
        <v xml:space="preserve">Insurer Code ; Reporting Year ; Insurance Category Code ; Large Provider Entity Code ; Age Band Code ; Sex Code </v>
      </c>
      <c r="N4327" s="297" t="s">
        <v>197</v>
      </c>
      <c r="O4327" s="297" t="s">
        <v>198</v>
      </c>
      <c r="P4327" s="297" t="s">
        <v>199</v>
      </c>
      <c r="Q4327" s="297" t="s">
        <v>200</v>
      </c>
      <c r="R4327" s="297" t="s">
        <v>213</v>
      </c>
      <c r="S4327" s="297" t="s">
        <v>214</v>
      </c>
    </row>
    <row r="4328" spans="1:19" x14ac:dyDescent="0.4">
      <c r="A4328" s="291"/>
      <c r="B4328" s="292"/>
      <c r="C4328" s="312"/>
      <c r="D4328" s="292"/>
      <c r="E4328" s="489"/>
      <c r="F4328" s="489"/>
      <c r="G4328" s="490"/>
      <c r="H4328" s="520"/>
      <c r="I4328" s="523"/>
      <c r="J4328" s="521"/>
      <c r="K4328" s="522"/>
      <c r="M4328" s="301" t="str">
        <f>N4328&amp;AS[[#This Row],[Insurer Code]]&amp;"; "&amp;O4328&amp;AS[[#This Row],[Reporting Year]]&amp;"; "&amp;P4328&amp;AS[[#This Row],[Insurance Category Code]]&amp;"; "&amp;Q4328&amp;AS[[#This Row],[Large Provider Entity Code]]&amp;"; "&amp;R4328&amp;AS[[#This Row],[Age Band Code]]&amp;"; "&amp;S4328&amp;AS[[#This Row],[Sex Code]]</f>
        <v xml:space="preserve">Insurer Code ; Reporting Year ; Insurance Category Code ; Large Provider Entity Code ; Age Band Code ; Sex Code </v>
      </c>
      <c r="N4328" s="297" t="s">
        <v>197</v>
      </c>
      <c r="O4328" s="297" t="s">
        <v>198</v>
      </c>
      <c r="P4328" s="297" t="s">
        <v>199</v>
      </c>
      <c r="Q4328" s="297" t="s">
        <v>200</v>
      </c>
      <c r="R4328" s="297" t="s">
        <v>213</v>
      </c>
      <c r="S4328" s="297" t="s">
        <v>214</v>
      </c>
    </row>
    <row r="4329" spans="1:19" x14ac:dyDescent="0.4">
      <c r="A4329" s="291"/>
      <c r="B4329" s="292"/>
      <c r="C4329" s="312"/>
      <c r="D4329" s="292"/>
      <c r="E4329" s="489"/>
      <c r="F4329" s="489"/>
      <c r="G4329" s="490"/>
      <c r="H4329" s="520"/>
      <c r="I4329" s="523"/>
      <c r="J4329" s="521"/>
      <c r="K4329" s="522"/>
      <c r="M4329" s="301" t="str">
        <f>N4329&amp;AS[[#This Row],[Insurer Code]]&amp;"; "&amp;O4329&amp;AS[[#This Row],[Reporting Year]]&amp;"; "&amp;P4329&amp;AS[[#This Row],[Insurance Category Code]]&amp;"; "&amp;Q4329&amp;AS[[#This Row],[Large Provider Entity Code]]&amp;"; "&amp;R4329&amp;AS[[#This Row],[Age Band Code]]&amp;"; "&amp;S4329&amp;AS[[#This Row],[Sex Code]]</f>
        <v xml:space="preserve">Insurer Code ; Reporting Year ; Insurance Category Code ; Large Provider Entity Code ; Age Band Code ; Sex Code </v>
      </c>
      <c r="N4329" s="297" t="s">
        <v>197</v>
      </c>
      <c r="O4329" s="297" t="s">
        <v>198</v>
      </c>
      <c r="P4329" s="297" t="s">
        <v>199</v>
      </c>
      <c r="Q4329" s="297" t="s">
        <v>200</v>
      </c>
      <c r="R4329" s="297" t="s">
        <v>213</v>
      </c>
      <c r="S4329" s="297" t="s">
        <v>214</v>
      </c>
    </row>
    <row r="4330" spans="1:19" x14ac:dyDescent="0.4">
      <c r="A4330" s="291"/>
      <c r="B4330" s="292"/>
      <c r="C4330" s="312"/>
      <c r="D4330" s="292"/>
      <c r="E4330" s="489"/>
      <c r="F4330" s="489"/>
      <c r="G4330" s="490"/>
      <c r="H4330" s="520"/>
      <c r="I4330" s="523"/>
      <c r="J4330" s="521"/>
      <c r="K4330" s="522"/>
      <c r="M4330" s="301" t="str">
        <f>N4330&amp;AS[[#This Row],[Insurer Code]]&amp;"; "&amp;O4330&amp;AS[[#This Row],[Reporting Year]]&amp;"; "&amp;P4330&amp;AS[[#This Row],[Insurance Category Code]]&amp;"; "&amp;Q4330&amp;AS[[#This Row],[Large Provider Entity Code]]&amp;"; "&amp;R4330&amp;AS[[#This Row],[Age Band Code]]&amp;"; "&amp;S4330&amp;AS[[#This Row],[Sex Code]]</f>
        <v xml:space="preserve">Insurer Code ; Reporting Year ; Insurance Category Code ; Large Provider Entity Code ; Age Band Code ; Sex Code </v>
      </c>
      <c r="N4330" s="297" t="s">
        <v>197</v>
      </c>
      <c r="O4330" s="297" t="s">
        <v>198</v>
      </c>
      <c r="P4330" s="297" t="s">
        <v>199</v>
      </c>
      <c r="Q4330" s="297" t="s">
        <v>200</v>
      </c>
      <c r="R4330" s="297" t="s">
        <v>213</v>
      </c>
      <c r="S4330" s="297" t="s">
        <v>214</v>
      </c>
    </row>
    <row r="4331" spans="1:19" x14ac:dyDescent="0.4">
      <c r="A4331" s="291"/>
      <c r="B4331" s="292"/>
      <c r="C4331" s="312"/>
      <c r="D4331" s="292"/>
      <c r="E4331" s="489"/>
      <c r="F4331" s="489"/>
      <c r="G4331" s="490"/>
      <c r="H4331" s="520"/>
      <c r="I4331" s="523"/>
      <c r="J4331" s="521"/>
      <c r="K4331" s="522"/>
      <c r="M4331" s="301" t="str">
        <f>N4331&amp;AS[[#This Row],[Insurer Code]]&amp;"; "&amp;O4331&amp;AS[[#This Row],[Reporting Year]]&amp;"; "&amp;P4331&amp;AS[[#This Row],[Insurance Category Code]]&amp;"; "&amp;Q4331&amp;AS[[#This Row],[Large Provider Entity Code]]&amp;"; "&amp;R4331&amp;AS[[#This Row],[Age Band Code]]&amp;"; "&amp;S4331&amp;AS[[#This Row],[Sex Code]]</f>
        <v xml:space="preserve">Insurer Code ; Reporting Year ; Insurance Category Code ; Large Provider Entity Code ; Age Band Code ; Sex Code </v>
      </c>
      <c r="N4331" s="297" t="s">
        <v>197</v>
      </c>
      <c r="O4331" s="297" t="s">
        <v>198</v>
      </c>
      <c r="P4331" s="297" t="s">
        <v>199</v>
      </c>
      <c r="Q4331" s="297" t="s">
        <v>200</v>
      </c>
      <c r="R4331" s="297" t="s">
        <v>213</v>
      </c>
      <c r="S4331" s="297" t="s">
        <v>214</v>
      </c>
    </row>
    <row r="4332" spans="1:19" x14ac:dyDescent="0.4">
      <c r="A4332" s="291"/>
      <c r="B4332" s="292"/>
      <c r="C4332" s="312"/>
      <c r="D4332" s="292"/>
      <c r="E4332" s="489"/>
      <c r="F4332" s="489"/>
      <c r="G4332" s="490"/>
      <c r="H4332" s="520"/>
      <c r="I4332" s="523"/>
      <c r="J4332" s="521"/>
      <c r="K4332" s="522"/>
      <c r="M4332" s="301" t="str">
        <f>N4332&amp;AS[[#This Row],[Insurer Code]]&amp;"; "&amp;O4332&amp;AS[[#This Row],[Reporting Year]]&amp;"; "&amp;P4332&amp;AS[[#This Row],[Insurance Category Code]]&amp;"; "&amp;Q4332&amp;AS[[#This Row],[Large Provider Entity Code]]&amp;"; "&amp;R4332&amp;AS[[#This Row],[Age Band Code]]&amp;"; "&amp;S4332&amp;AS[[#This Row],[Sex Code]]</f>
        <v xml:space="preserve">Insurer Code ; Reporting Year ; Insurance Category Code ; Large Provider Entity Code ; Age Band Code ; Sex Code </v>
      </c>
      <c r="N4332" s="297" t="s">
        <v>197</v>
      </c>
      <c r="O4332" s="297" t="s">
        <v>198</v>
      </c>
      <c r="P4332" s="297" t="s">
        <v>199</v>
      </c>
      <c r="Q4332" s="297" t="s">
        <v>200</v>
      </c>
      <c r="R4332" s="297" t="s">
        <v>213</v>
      </c>
      <c r="S4332" s="297" t="s">
        <v>214</v>
      </c>
    </row>
    <row r="4333" spans="1:19" x14ac:dyDescent="0.4">
      <c r="A4333" s="291"/>
      <c r="B4333" s="292"/>
      <c r="C4333" s="312"/>
      <c r="D4333" s="292"/>
      <c r="E4333" s="489"/>
      <c r="F4333" s="489"/>
      <c r="G4333" s="490"/>
      <c r="H4333" s="520"/>
      <c r="I4333" s="523"/>
      <c r="J4333" s="521"/>
      <c r="K4333" s="522"/>
      <c r="M4333" s="301" t="str">
        <f>N4333&amp;AS[[#This Row],[Insurer Code]]&amp;"; "&amp;O4333&amp;AS[[#This Row],[Reporting Year]]&amp;"; "&amp;P4333&amp;AS[[#This Row],[Insurance Category Code]]&amp;"; "&amp;Q4333&amp;AS[[#This Row],[Large Provider Entity Code]]&amp;"; "&amp;R4333&amp;AS[[#This Row],[Age Band Code]]&amp;"; "&amp;S4333&amp;AS[[#This Row],[Sex Code]]</f>
        <v xml:space="preserve">Insurer Code ; Reporting Year ; Insurance Category Code ; Large Provider Entity Code ; Age Band Code ; Sex Code </v>
      </c>
      <c r="N4333" s="297" t="s">
        <v>197</v>
      </c>
      <c r="O4333" s="297" t="s">
        <v>198</v>
      </c>
      <c r="P4333" s="297" t="s">
        <v>199</v>
      </c>
      <c r="Q4333" s="297" t="s">
        <v>200</v>
      </c>
      <c r="R4333" s="297" t="s">
        <v>213</v>
      </c>
      <c r="S4333" s="297" t="s">
        <v>214</v>
      </c>
    </row>
    <row r="4334" spans="1:19" x14ac:dyDescent="0.4">
      <c r="A4334" s="291"/>
      <c r="B4334" s="292"/>
      <c r="C4334" s="312"/>
      <c r="D4334" s="292"/>
      <c r="E4334" s="489"/>
      <c r="F4334" s="489"/>
      <c r="G4334" s="490"/>
      <c r="H4334" s="520"/>
      <c r="I4334" s="523"/>
      <c r="J4334" s="521"/>
      <c r="K4334" s="522"/>
      <c r="M4334" s="301" t="str">
        <f>N4334&amp;AS[[#This Row],[Insurer Code]]&amp;"; "&amp;O4334&amp;AS[[#This Row],[Reporting Year]]&amp;"; "&amp;P4334&amp;AS[[#This Row],[Insurance Category Code]]&amp;"; "&amp;Q4334&amp;AS[[#This Row],[Large Provider Entity Code]]&amp;"; "&amp;R4334&amp;AS[[#This Row],[Age Band Code]]&amp;"; "&amp;S4334&amp;AS[[#This Row],[Sex Code]]</f>
        <v xml:space="preserve">Insurer Code ; Reporting Year ; Insurance Category Code ; Large Provider Entity Code ; Age Band Code ; Sex Code </v>
      </c>
      <c r="N4334" s="297" t="s">
        <v>197</v>
      </c>
      <c r="O4334" s="297" t="s">
        <v>198</v>
      </c>
      <c r="P4334" s="297" t="s">
        <v>199</v>
      </c>
      <c r="Q4334" s="297" t="s">
        <v>200</v>
      </c>
      <c r="R4334" s="297" t="s">
        <v>213</v>
      </c>
      <c r="S4334" s="297" t="s">
        <v>214</v>
      </c>
    </row>
    <row r="4335" spans="1:19" x14ac:dyDescent="0.4">
      <c r="A4335" s="291"/>
      <c r="B4335" s="292"/>
      <c r="C4335" s="312"/>
      <c r="D4335" s="292"/>
      <c r="E4335" s="489"/>
      <c r="F4335" s="489"/>
      <c r="G4335" s="490"/>
      <c r="H4335" s="520"/>
      <c r="I4335" s="523"/>
      <c r="J4335" s="521"/>
      <c r="K4335" s="522"/>
      <c r="M4335" s="301" t="str">
        <f>N4335&amp;AS[[#This Row],[Insurer Code]]&amp;"; "&amp;O4335&amp;AS[[#This Row],[Reporting Year]]&amp;"; "&amp;P4335&amp;AS[[#This Row],[Insurance Category Code]]&amp;"; "&amp;Q4335&amp;AS[[#This Row],[Large Provider Entity Code]]&amp;"; "&amp;R4335&amp;AS[[#This Row],[Age Band Code]]&amp;"; "&amp;S4335&amp;AS[[#This Row],[Sex Code]]</f>
        <v xml:space="preserve">Insurer Code ; Reporting Year ; Insurance Category Code ; Large Provider Entity Code ; Age Band Code ; Sex Code </v>
      </c>
      <c r="N4335" s="297" t="s">
        <v>197</v>
      </c>
      <c r="O4335" s="297" t="s">
        <v>198</v>
      </c>
      <c r="P4335" s="297" t="s">
        <v>199</v>
      </c>
      <c r="Q4335" s="297" t="s">
        <v>200</v>
      </c>
      <c r="R4335" s="297" t="s">
        <v>213</v>
      </c>
      <c r="S4335" s="297" t="s">
        <v>214</v>
      </c>
    </row>
    <row r="4336" spans="1:19" x14ac:dyDescent="0.4">
      <c r="A4336" s="291"/>
      <c r="B4336" s="292"/>
      <c r="C4336" s="312"/>
      <c r="D4336" s="292"/>
      <c r="E4336" s="489"/>
      <c r="F4336" s="489"/>
      <c r="G4336" s="490"/>
      <c r="H4336" s="520"/>
      <c r="I4336" s="523"/>
      <c r="J4336" s="521"/>
      <c r="K4336" s="522"/>
      <c r="M4336" s="301" t="str">
        <f>N4336&amp;AS[[#This Row],[Insurer Code]]&amp;"; "&amp;O4336&amp;AS[[#This Row],[Reporting Year]]&amp;"; "&amp;P4336&amp;AS[[#This Row],[Insurance Category Code]]&amp;"; "&amp;Q4336&amp;AS[[#This Row],[Large Provider Entity Code]]&amp;"; "&amp;R4336&amp;AS[[#This Row],[Age Band Code]]&amp;"; "&amp;S4336&amp;AS[[#This Row],[Sex Code]]</f>
        <v xml:space="preserve">Insurer Code ; Reporting Year ; Insurance Category Code ; Large Provider Entity Code ; Age Band Code ; Sex Code </v>
      </c>
      <c r="N4336" s="297" t="s">
        <v>197</v>
      </c>
      <c r="O4336" s="297" t="s">
        <v>198</v>
      </c>
      <c r="P4336" s="297" t="s">
        <v>199</v>
      </c>
      <c r="Q4336" s="297" t="s">
        <v>200</v>
      </c>
      <c r="R4336" s="297" t="s">
        <v>213</v>
      </c>
      <c r="S4336" s="297" t="s">
        <v>214</v>
      </c>
    </row>
    <row r="4337" spans="1:19" x14ac:dyDescent="0.4">
      <c r="A4337" s="291"/>
      <c r="B4337" s="292"/>
      <c r="C4337" s="312"/>
      <c r="D4337" s="292"/>
      <c r="E4337" s="489"/>
      <c r="F4337" s="489"/>
      <c r="G4337" s="490"/>
      <c r="H4337" s="520"/>
      <c r="I4337" s="523"/>
      <c r="J4337" s="521"/>
      <c r="K4337" s="522"/>
      <c r="M4337" s="301" t="str">
        <f>N4337&amp;AS[[#This Row],[Insurer Code]]&amp;"; "&amp;O4337&amp;AS[[#This Row],[Reporting Year]]&amp;"; "&amp;P4337&amp;AS[[#This Row],[Insurance Category Code]]&amp;"; "&amp;Q4337&amp;AS[[#This Row],[Large Provider Entity Code]]&amp;"; "&amp;R4337&amp;AS[[#This Row],[Age Band Code]]&amp;"; "&amp;S4337&amp;AS[[#This Row],[Sex Code]]</f>
        <v xml:space="preserve">Insurer Code ; Reporting Year ; Insurance Category Code ; Large Provider Entity Code ; Age Band Code ; Sex Code </v>
      </c>
      <c r="N4337" s="297" t="s">
        <v>197</v>
      </c>
      <c r="O4337" s="297" t="s">
        <v>198</v>
      </c>
      <c r="P4337" s="297" t="s">
        <v>199</v>
      </c>
      <c r="Q4337" s="297" t="s">
        <v>200</v>
      </c>
      <c r="R4337" s="297" t="s">
        <v>213</v>
      </c>
      <c r="S4337" s="297" t="s">
        <v>214</v>
      </c>
    </row>
    <row r="4338" spans="1:19" x14ac:dyDescent="0.4">
      <c r="A4338" s="291"/>
      <c r="B4338" s="292"/>
      <c r="C4338" s="312"/>
      <c r="D4338" s="292"/>
      <c r="E4338" s="489"/>
      <c r="F4338" s="489"/>
      <c r="G4338" s="490"/>
      <c r="H4338" s="520"/>
      <c r="I4338" s="523"/>
      <c r="J4338" s="521"/>
      <c r="K4338" s="522"/>
      <c r="M4338" s="301" t="str">
        <f>N4338&amp;AS[[#This Row],[Insurer Code]]&amp;"; "&amp;O4338&amp;AS[[#This Row],[Reporting Year]]&amp;"; "&amp;P4338&amp;AS[[#This Row],[Insurance Category Code]]&amp;"; "&amp;Q4338&amp;AS[[#This Row],[Large Provider Entity Code]]&amp;"; "&amp;R4338&amp;AS[[#This Row],[Age Band Code]]&amp;"; "&amp;S4338&amp;AS[[#This Row],[Sex Code]]</f>
        <v xml:space="preserve">Insurer Code ; Reporting Year ; Insurance Category Code ; Large Provider Entity Code ; Age Band Code ; Sex Code </v>
      </c>
      <c r="N4338" s="297" t="s">
        <v>197</v>
      </c>
      <c r="O4338" s="297" t="s">
        <v>198</v>
      </c>
      <c r="P4338" s="297" t="s">
        <v>199</v>
      </c>
      <c r="Q4338" s="297" t="s">
        <v>200</v>
      </c>
      <c r="R4338" s="297" t="s">
        <v>213</v>
      </c>
      <c r="S4338" s="297" t="s">
        <v>214</v>
      </c>
    </row>
    <row r="4339" spans="1:19" x14ac:dyDescent="0.4">
      <c r="A4339" s="291"/>
      <c r="B4339" s="292"/>
      <c r="C4339" s="312"/>
      <c r="D4339" s="292"/>
      <c r="E4339" s="489"/>
      <c r="F4339" s="489"/>
      <c r="G4339" s="490"/>
      <c r="H4339" s="520"/>
      <c r="I4339" s="523"/>
      <c r="J4339" s="521"/>
      <c r="K4339" s="522"/>
      <c r="M4339" s="301" t="str">
        <f>N4339&amp;AS[[#This Row],[Insurer Code]]&amp;"; "&amp;O4339&amp;AS[[#This Row],[Reporting Year]]&amp;"; "&amp;P4339&amp;AS[[#This Row],[Insurance Category Code]]&amp;"; "&amp;Q4339&amp;AS[[#This Row],[Large Provider Entity Code]]&amp;"; "&amp;R4339&amp;AS[[#This Row],[Age Band Code]]&amp;"; "&amp;S4339&amp;AS[[#This Row],[Sex Code]]</f>
        <v xml:space="preserve">Insurer Code ; Reporting Year ; Insurance Category Code ; Large Provider Entity Code ; Age Band Code ; Sex Code </v>
      </c>
      <c r="N4339" s="297" t="s">
        <v>197</v>
      </c>
      <c r="O4339" s="297" t="s">
        <v>198</v>
      </c>
      <c r="P4339" s="297" t="s">
        <v>199</v>
      </c>
      <c r="Q4339" s="297" t="s">
        <v>200</v>
      </c>
      <c r="R4339" s="297" t="s">
        <v>213</v>
      </c>
      <c r="S4339" s="297" t="s">
        <v>214</v>
      </c>
    </row>
    <row r="4340" spans="1:19" x14ac:dyDescent="0.4">
      <c r="A4340" s="291"/>
      <c r="B4340" s="292"/>
      <c r="C4340" s="312"/>
      <c r="D4340" s="292"/>
      <c r="E4340" s="489"/>
      <c r="F4340" s="489"/>
      <c r="G4340" s="490"/>
      <c r="H4340" s="520"/>
      <c r="I4340" s="523"/>
      <c r="J4340" s="521"/>
      <c r="K4340" s="522"/>
      <c r="M4340" s="301" t="str">
        <f>N4340&amp;AS[[#This Row],[Insurer Code]]&amp;"; "&amp;O4340&amp;AS[[#This Row],[Reporting Year]]&amp;"; "&amp;P4340&amp;AS[[#This Row],[Insurance Category Code]]&amp;"; "&amp;Q4340&amp;AS[[#This Row],[Large Provider Entity Code]]&amp;"; "&amp;R4340&amp;AS[[#This Row],[Age Band Code]]&amp;"; "&amp;S4340&amp;AS[[#This Row],[Sex Code]]</f>
        <v xml:space="preserve">Insurer Code ; Reporting Year ; Insurance Category Code ; Large Provider Entity Code ; Age Band Code ; Sex Code </v>
      </c>
      <c r="N4340" s="297" t="s">
        <v>197</v>
      </c>
      <c r="O4340" s="297" t="s">
        <v>198</v>
      </c>
      <c r="P4340" s="297" t="s">
        <v>199</v>
      </c>
      <c r="Q4340" s="297" t="s">
        <v>200</v>
      </c>
      <c r="R4340" s="297" t="s">
        <v>213</v>
      </c>
      <c r="S4340" s="297" t="s">
        <v>214</v>
      </c>
    </row>
    <row r="4341" spans="1:19" x14ac:dyDescent="0.4">
      <c r="A4341" s="291"/>
      <c r="B4341" s="292"/>
      <c r="C4341" s="312"/>
      <c r="D4341" s="292"/>
      <c r="E4341" s="489"/>
      <c r="F4341" s="489"/>
      <c r="G4341" s="490"/>
      <c r="H4341" s="520"/>
      <c r="I4341" s="523"/>
      <c r="J4341" s="521"/>
      <c r="K4341" s="522"/>
      <c r="M4341" s="301" t="str">
        <f>N4341&amp;AS[[#This Row],[Insurer Code]]&amp;"; "&amp;O4341&amp;AS[[#This Row],[Reporting Year]]&amp;"; "&amp;P4341&amp;AS[[#This Row],[Insurance Category Code]]&amp;"; "&amp;Q4341&amp;AS[[#This Row],[Large Provider Entity Code]]&amp;"; "&amp;R4341&amp;AS[[#This Row],[Age Band Code]]&amp;"; "&amp;S4341&amp;AS[[#This Row],[Sex Code]]</f>
        <v xml:space="preserve">Insurer Code ; Reporting Year ; Insurance Category Code ; Large Provider Entity Code ; Age Band Code ; Sex Code </v>
      </c>
      <c r="N4341" s="297" t="s">
        <v>197</v>
      </c>
      <c r="O4341" s="297" t="s">
        <v>198</v>
      </c>
      <c r="P4341" s="297" t="s">
        <v>199</v>
      </c>
      <c r="Q4341" s="297" t="s">
        <v>200</v>
      </c>
      <c r="R4341" s="297" t="s">
        <v>213</v>
      </c>
      <c r="S4341" s="297" t="s">
        <v>214</v>
      </c>
    </row>
    <row r="4342" spans="1:19" x14ac:dyDescent="0.4">
      <c r="A4342" s="291"/>
      <c r="B4342" s="292"/>
      <c r="C4342" s="312"/>
      <c r="D4342" s="292"/>
      <c r="E4342" s="489"/>
      <c r="F4342" s="489"/>
      <c r="G4342" s="490"/>
      <c r="H4342" s="520"/>
      <c r="I4342" s="523"/>
      <c r="J4342" s="521"/>
      <c r="K4342" s="522"/>
      <c r="M4342" s="301" t="str">
        <f>N4342&amp;AS[[#This Row],[Insurer Code]]&amp;"; "&amp;O4342&amp;AS[[#This Row],[Reporting Year]]&amp;"; "&amp;P4342&amp;AS[[#This Row],[Insurance Category Code]]&amp;"; "&amp;Q4342&amp;AS[[#This Row],[Large Provider Entity Code]]&amp;"; "&amp;R4342&amp;AS[[#This Row],[Age Band Code]]&amp;"; "&amp;S4342&amp;AS[[#This Row],[Sex Code]]</f>
        <v xml:space="preserve">Insurer Code ; Reporting Year ; Insurance Category Code ; Large Provider Entity Code ; Age Band Code ; Sex Code </v>
      </c>
      <c r="N4342" s="297" t="s">
        <v>197</v>
      </c>
      <c r="O4342" s="297" t="s">
        <v>198</v>
      </c>
      <c r="P4342" s="297" t="s">
        <v>199</v>
      </c>
      <c r="Q4342" s="297" t="s">
        <v>200</v>
      </c>
      <c r="R4342" s="297" t="s">
        <v>213</v>
      </c>
      <c r="S4342" s="297" t="s">
        <v>214</v>
      </c>
    </row>
    <row r="4343" spans="1:19" x14ac:dyDescent="0.4">
      <c r="A4343" s="291"/>
      <c r="B4343" s="292"/>
      <c r="C4343" s="312"/>
      <c r="D4343" s="292"/>
      <c r="E4343" s="489"/>
      <c r="F4343" s="489"/>
      <c r="G4343" s="490"/>
      <c r="H4343" s="520"/>
      <c r="I4343" s="523"/>
      <c r="J4343" s="521"/>
      <c r="K4343" s="522"/>
      <c r="M4343" s="301" t="str">
        <f>N4343&amp;AS[[#This Row],[Insurer Code]]&amp;"; "&amp;O4343&amp;AS[[#This Row],[Reporting Year]]&amp;"; "&amp;P4343&amp;AS[[#This Row],[Insurance Category Code]]&amp;"; "&amp;Q4343&amp;AS[[#This Row],[Large Provider Entity Code]]&amp;"; "&amp;R4343&amp;AS[[#This Row],[Age Band Code]]&amp;"; "&amp;S4343&amp;AS[[#This Row],[Sex Code]]</f>
        <v xml:space="preserve">Insurer Code ; Reporting Year ; Insurance Category Code ; Large Provider Entity Code ; Age Band Code ; Sex Code </v>
      </c>
      <c r="N4343" s="297" t="s">
        <v>197</v>
      </c>
      <c r="O4343" s="297" t="s">
        <v>198</v>
      </c>
      <c r="P4343" s="297" t="s">
        <v>199</v>
      </c>
      <c r="Q4343" s="297" t="s">
        <v>200</v>
      </c>
      <c r="R4343" s="297" t="s">
        <v>213</v>
      </c>
      <c r="S4343" s="297" t="s">
        <v>214</v>
      </c>
    </row>
    <row r="4344" spans="1:19" x14ac:dyDescent="0.4">
      <c r="A4344" s="291"/>
      <c r="B4344" s="292"/>
      <c r="C4344" s="312"/>
      <c r="D4344" s="292"/>
      <c r="E4344" s="489"/>
      <c r="F4344" s="489"/>
      <c r="G4344" s="490"/>
      <c r="H4344" s="520"/>
      <c r="I4344" s="523"/>
      <c r="J4344" s="521"/>
      <c r="K4344" s="522"/>
      <c r="M4344" s="301" t="str">
        <f>N4344&amp;AS[[#This Row],[Insurer Code]]&amp;"; "&amp;O4344&amp;AS[[#This Row],[Reporting Year]]&amp;"; "&amp;P4344&amp;AS[[#This Row],[Insurance Category Code]]&amp;"; "&amp;Q4344&amp;AS[[#This Row],[Large Provider Entity Code]]&amp;"; "&amp;R4344&amp;AS[[#This Row],[Age Band Code]]&amp;"; "&amp;S4344&amp;AS[[#This Row],[Sex Code]]</f>
        <v xml:space="preserve">Insurer Code ; Reporting Year ; Insurance Category Code ; Large Provider Entity Code ; Age Band Code ; Sex Code </v>
      </c>
      <c r="N4344" s="297" t="s">
        <v>197</v>
      </c>
      <c r="O4344" s="297" t="s">
        <v>198</v>
      </c>
      <c r="P4344" s="297" t="s">
        <v>199</v>
      </c>
      <c r="Q4344" s="297" t="s">
        <v>200</v>
      </c>
      <c r="R4344" s="297" t="s">
        <v>213</v>
      </c>
      <c r="S4344" s="297" t="s">
        <v>214</v>
      </c>
    </row>
    <row r="4345" spans="1:19" x14ac:dyDescent="0.4">
      <c r="A4345" s="291"/>
      <c r="B4345" s="292"/>
      <c r="C4345" s="312"/>
      <c r="D4345" s="292"/>
      <c r="E4345" s="489"/>
      <c r="F4345" s="489"/>
      <c r="G4345" s="490"/>
      <c r="H4345" s="520"/>
      <c r="I4345" s="523"/>
      <c r="J4345" s="521"/>
      <c r="K4345" s="522"/>
      <c r="M4345" s="301" t="str">
        <f>N4345&amp;AS[[#This Row],[Insurer Code]]&amp;"; "&amp;O4345&amp;AS[[#This Row],[Reporting Year]]&amp;"; "&amp;P4345&amp;AS[[#This Row],[Insurance Category Code]]&amp;"; "&amp;Q4345&amp;AS[[#This Row],[Large Provider Entity Code]]&amp;"; "&amp;R4345&amp;AS[[#This Row],[Age Band Code]]&amp;"; "&amp;S4345&amp;AS[[#This Row],[Sex Code]]</f>
        <v xml:space="preserve">Insurer Code ; Reporting Year ; Insurance Category Code ; Large Provider Entity Code ; Age Band Code ; Sex Code </v>
      </c>
      <c r="N4345" s="297" t="s">
        <v>197</v>
      </c>
      <c r="O4345" s="297" t="s">
        <v>198</v>
      </c>
      <c r="P4345" s="297" t="s">
        <v>199</v>
      </c>
      <c r="Q4345" s="297" t="s">
        <v>200</v>
      </c>
      <c r="R4345" s="297" t="s">
        <v>213</v>
      </c>
      <c r="S4345" s="297" t="s">
        <v>214</v>
      </c>
    </row>
    <row r="4346" spans="1:19" x14ac:dyDescent="0.4">
      <c r="A4346" s="291"/>
      <c r="B4346" s="292"/>
      <c r="C4346" s="312"/>
      <c r="D4346" s="292"/>
      <c r="E4346" s="489"/>
      <c r="F4346" s="489"/>
      <c r="G4346" s="490"/>
      <c r="H4346" s="520"/>
      <c r="I4346" s="523"/>
      <c r="J4346" s="521"/>
      <c r="K4346" s="522"/>
      <c r="M4346" s="301" t="str">
        <f>N4346&amp;AS[[#This Row],[Insurer Code]]&amp;"; "&amp;O4346&amp;AS[[#This Row],[Reporting Year]]&amp;"; "&amp;P4346&amp;AS[[#This Row],[Insurance Category Code]]&amp;"; "&amp;Q4346&amp;AS[[#This Row],[Large Provider Entity Code]]&amp;"; "&amp;R4346&amp;AS[[#This Row],[Age Band Code]]&amp;"; "&amp;S4346&amp;AS[[#This Row],[Sex Code]]</f>
        <v xml:space="preserve">Insurer Code ; Reporting Year ; Insurance Category Code ; Large Provider Entity Code ; Age Band Code ; Sex Code </v>
      </c>
      <c r="N4346" s="297" t="s">
        <v>197</v>
      </c>
      <c r="O4346" s="297" t="s">
        <v>198</v>
      </c>
      <c r="P4346" s="297" t="s">
        <v>199</v>
      </c>
      <c r="Q4346" s="297" t="s">
        <v>200</v>
      </c>
      <c r="R4346" s="297" t="s">
        <v>213</v>
      </c>
      <c r="S4346" s="297" t="s">
        <v>214</v>
      </c>
    </row>
    <row r="4347" spans="1:19" x14ac:dyDescent="0.4">
      <c r="A4347" s="291"/>
      <c r="B4347" s="292"/>
      <c r="C4347" s="312"/>
      <c r="D4347" s="292"/>
      <c r="E4347" s="489"/>
      <c r="F4347" s="489"/>
      <c r="G4347" s="490"/>
      <c r="H4347" s="520"/>
      <c r="I4347" s="523"/>
      <c r="J4347" s="521"/>
      <c r="K4347" s="522"/>
      <c r="M4347" s="301" t="str">
        <f>N4347&amp;AS[[#This Row],[Insurer Code]]&amp;"; "&amp;O4347&amp;AS[[#This Row],[Reporting Year]]&amp;"; "&amp;P4347&amp;AS[[#This Row],[Insurance Category Code]]&amp;"; "&amp;Q4347&amp;AS[[#This Row],[Large Provider Entity Code]]&amp;"; "&amp;R4347&amp;AS[[#This Row],[Age Band Code]]&amp;"; "&amp;S4347&amp;AS[[#This Row],[Sex Code]]</f>
        <v xml:space="preserve">Insurer Code ; Reporting Year ; Insurance Category Code ; Large Provider Entity Code ; Age Band Code ; Sex Code </v>
      </c>
      <c r="N4347" s="297" t="s">
        <v>197</v>
      </c>
      <c r="O4347" s="297" t="s">
        <v>198</v>
      </c>
      <c r="P4347" s="297" t="s">
        <v>199</v>
      </c>
      <c r="Q4347" s="297" t="s">
        <v>200</v>
      </c>
      <c r="R4347" s="297" t="s">
        <v>213</v>
      </c>
      <c r="S4347" s="297" t="s">
        <v>214</v>
      </c>
    </row>
    <row r="4348" spans="1:19" x14ac:dyDescent="0.4">
      <c r="A4348" s="291"/>
      <c r="B4348" s="292"/>
      <c r="C4348" s="312"/>
      <c r="D4348" s="292"/>
      <c r="E4348" s="489"/>
      <c r="F4348" s="489"/>
      <c r="G4348" s="490"/>
      <c r="H4348" s="520"/>
      <c r="I4348" s="523"/>
      <c r="J4348" s="521"/>
      <c r="K4348" s="522"/>
      <c r="M4348" s="301" t="str">
        <f>N4348&amp;AS[[#This Row],[Insurer Code]]&amp;"; "&amp;O4348&amp;AS[[#This Row],[Reporting Year]]&amp;"; "&amp;P4348&amp;AS[[#This Row],[Insurance Category Code]]&amp;"; "&amp;Q4348&amp;AS[[#This Row],[Large Provider Entity Code]]&amp;"; "&amp;R4348&amp;AS[[#This Row],[Age Band Code]]&amp;"; "&amp;S4348&amp;AS[[#This Row],[Sex Code]]</f>
        <v xml:space="preserve">Insurer Code ; Reporting Year ; Insurance Category Code ; Large Provider Entity Code ; Age Band Code ; Sex Code </v>
      </c>
      <c r="N4348" s="297" t="s">
        <v>197</v>
      </c>
      <c r="O4348" s="297" t="s">
        <v>198</v>
      </c>
      <c r="P4348" s="297" t="s">
        <v>199</v>
      </c>
      <c r="Q4348" s="297" t="s">
        <v>200</v>
      </c>
      <c r="R4348" s="297" t="s">
        <v>213</v>
      </c>
      <c r="S4348" s="297" t="s">
        <v>214</v>
      </c>
    </row>
    <row r="4349" spans="1:19" x14ac:dyDescent="0.4">
      <c r="A4349" s="291"/>
      <c r="B4349" s="292"/>
      <c r="C4349" s="312"/>
      <c r="D4349" s="292"/>
      <c r="E4349" s="489"/>
      <c r="F4349" s="489"/>
      <c r="G4349" s="490"/>
      <c r="H4349" s="520"/>
      <c r="I4349" s="523"/>
      <c r="J4349" s="521"/>
      <c r="K4349" s="522"/>
      <c r="M4349" s="301" t="str">
        <f>N4349&amp;AS[[#This Row],[Insurer Code]]&amp;"; "&amp;O4349&amp;AS[[#This Row],[Reporting Year]]&amp;"; "&amp;P4349&amp;AS[[#This Row],[Insurance Category Code]]&amp;"; "&amp;Q4349&amp;AS[[#This Row],[Large Provider Entity Code]]&amp;"; "&amp;R4349&amp;AS[[#This Row],[Age Band Code]]&amp;"; "&amp;S4349&amp;AS[[#This Row],[Sex Code]]</f>
        <v xml:space="preserve">Insurer Code ; Reporting Year ; Insurance Category Code ; Large Provider Entity Code ; Age Band Code ; Sex Code </v>
      </c>
      <c r="N4349" s="297" t="s">
        <v>197</v>
      </c>
      <c r="O4349" s="297" t="s">
        <v>198</v>
      </c>
      <c r="P4349" s="297" t="s">
        <v>199</v>
      </c>
      <c r="Q4349" s="297" t="s">
        <v>200</v>
      </c>
      <c r="R4349" s="297" t="s">
        <v>213</v>
      </c>
      <c r="S4349" s="297" t="s">
        <v>214</v>
      </c>
    </row>
    <row r="4350" spans="1:19" x14ac:dyDescent="0.4">
      <c r="A4350" s="291"/>
      <c r="B4350" s="292"/>
      <c r="C4350" s="312"/>
      <c r="D4350" s="292"/>
      <c r="E4350" s="489"/>
      <c r="F4350" s="489"/>
      <c r="G4350" s="490"/>
      <c r="H4350" s="520"/>
      <c r="I4350" s="523"/>
      <c r="J4350" s="521"/>
      <c r="K4350" s="522"/>
      <c r="M4350" s="301" t="str">
        <f>N4350&amp;AS[[#This Row],[Insurer Code]]&amp;"; "&amp;O4350&amp;AS[[#This Row],[Reporting Year]]&amp;"; "&amp;P4350&amp;AS[[#This Row],[Insurance Category Code]]&amp;"; "&amp;Q4350&amp;AS[[#This Row],[Large Provider Entity Code]]&amp;"; "&amp;R4350&amp;AS[[#This Row],[Age Band Code]]&amp;"; "&amp;S4350&amp;AS[[#This Row],[Sex Code]]</f>
        <v xml:space="preserve">Insurer Code ; Reporting Year ; Insurance Category Code ; Large Provider Entity Code ; Age Band Code ; Sex Code </v>
      </c>
      <c r="N4350" s="297" t="s">
        <v>197</v>
      </c>
      <c r="O4350" s="297" t="s">
        <v>198</v>
      </c>
      <c r="P4350" s="297" t="s">
        <v>199</v>
      </c>
      <c r="Q4350" s="297" t="s">
        <v>200</v>
      </c>
      <c r="R4350" s="297" t="s">
        <v>213</v>
      </c>
      <c r="S4350" s="297" t="s">
        <v>214</v>
      </c>
    </row>
    <row r="4351" spans="1:19" x14ac:dyDescent="0.4">
      <c r="A4351" s="291"/>
      <c r="B4351" s="292"/>
      <c r="C4351" s="312"/>
      <c r="D4351" s="292"/>
      <c r="E4351" s="489"/>
      <c r="F4351" s="489"/>
      <c r="G4351" s="490"/>
      <c r="H4351" s="520"/>
      <c r="I4351" s="523"/>
      <c r="J4351" s="521"/>
      <c r="K4351" s="522"/>
      <c r="M4351" s="301" t="str">
        <f>N4351&amp;AS[[#This Row],[Insurer Code]]&amp;"; "&amp;O4351&amp;AS[[#This Row],[Reporting Year]]&amp;"; "&amp;P4351&amp;AS[[#This Row],[Insurance Category Code]]&amp;"; "&amp;Q4351&amp;AS[[#This Row],[Large Provider Entity Code]]&amp;"; "&amp;R4351&amp;AS[[#This Row],[Age Band Code]]&amp;"; "&amp;S4351&amp;AS[[#This Row],[Sex Code]]</f>
        <v xml:space="preserve">Insurer Code ; Reporting Year ; Insurance Category Code ; Large Provider Entity Code ; Age Band Code ; Sex Code </v>
      </c>
      <c r="N4351" s="297" t="s">
        <v>197</v>
      </c>
      <c r="O4351" s="297" t="s">
        <v>198</v>
      </c>
      <c r="P4351" s="297" t="s">
        <v>199</v>
      </c>
      <c r="Q4351" s="297" t="s">
        <v>200</v>
      </c>
      <c r="R4351" s="297" t="s">
        <v>213</v>
      </c>
      <c r="S4351" s="297" t="s">
        <v>214</v>
      </c>
    </row>
    <row r="4352" spans="1:19" x14ac:dyDescent="0.4">
      <c r="A4352" s="291"/>
      <c r="B4352" s="292"/>
      <c r="C4352" s="312"/>
      <c r="D4352" s="292"/>
      <c r="E4352" s="489"/>
      <c r="F4352" s="489"/>
      <c r="G4352" s="490"/>
      <c r="H4352" s="520"/>
      <c r="I4352" s="523"/>
      <c r="J4352" s="521"/>
      <c r="K4352" s="522"/>
      <c r="M4352" s="301" t="str">
        <f>N4352&amp;AS[[#This Row],[Insurer Code]]&amp;"; "&amp;O4352&amp;AS[[#This Row],[Reporting Year]]&amp;"; "&amp;P4352&amp;AS[[#This Row],[Insurance Category Code]]&amp;"; "&amp;Q4352&amp;AS[[#This Row],[Large Provider Entity Code]]&amp;"; "&amp;R4352&amp;AS[[#This Row],[Age Band Code]]&amp;"; "&amp;S4352&amp;AS[[#This Row],[Sex Code]]</f>
        <v xml:space="preserve">Insurer Code ; Reporting Year ; Insurance Category Code ; Large Provider Entity Code ; Age Band Code ; Sex Code </v>
      </c>
      <c r="N4352" s="297" t="s">
        <v>197</v>
      </c>
      <c r="O4352" s="297" t="s">
        <v>198</v>
      </c>
      <c r="P4352" s="297" t="s">
        <v>199</v>
      </c>
      <c r="Q4352" s="297" t="s">
        <v>200</v>
      </c>
      <c r="R4352" s="297" t="s">
        <v>213</v>
      </c>
      <c r="S4352" s="297" t="s">
        <v>214</v>
      </c>
    </row>
    <row r="4353" spans="1:19" x14ac:dyDescent="0.4">
      <c r="A4353" s="291"/>
      <c r="B4353" s="292"/>
      <c r="C4353" s="312"/>
      <c r="D4353" s="292"/>
      <c r="E4353" s="489"/>
      <c r="F4353" s="489"/>
      <c r="G4353" s="490"/>
      <c r="H4353" s="520"/>
      <c r="I4353" s="523"/>
      <c r="J4353" s="521"/>
      <c r="K4353" s="522"/>
      <c r="M4353" s="301" t="str">
        <f>N4353&amp;AS[[#This Row],[Insurer Code]]&amp;"; "&amp;O4353&amp;AS[[#This Row],[Reporting Year]]&amp;"; "&amp;P4353&amp;AS[[#This Row],[Insurance Category Code]]&amp;"; "&amp;Q4353&amp;AS[[#This Row],[Large Provider Entity Code]]&amp;"; "&amp;R4353&amp;AS[[#This Row],[Age Band Code]]&amp;"; "&amp;S4353&amp;AS[[#This Row],[Sex Code]]</f>
        <v xml:space="preserve">Insurer Code ; Reporting Year ; Insurance Category Code ; Large Provider Entity Code ; Age Band Code ; Sex Code </v>
      </c>
      <c r="N4353" s="297" t="s">
        <v>197</v>
      </c>
      <c r="O4353" s="297" t="s">
        <v>198</v>
      </c>
      <c r="P4353" s="297" t="s">
        <v>199</v>
      </c>
      <c r="Q4353" s="297" t="s">
        <v>200</v>
      </c>
      <c r="R4353" s="297" t="s">
        <v>213</v>
      </c>
      <c r="S4353" s="297" t="s">
        <v>214</v>
      </c>
    </row>
    <row r="4354" spans="1:19" x14ac:dyDescent="0.4">
      <c r="A4354" s="291"/>
      <c r="B4354" s="292"/>
      <c r="C4354" s="312"/>
      <c r="D4354" s="292"/>
      <c r="E4354" s="489"/>
      <c r="F4354" s="489"/>
      <c r="G4354" s="490"/>
      <c r="H4354" s="520"/>
      <c r="I4354" s="523"/>
      <c r="J4354" s="521"/>
      <c r="K4354" s="522"/>
      <c r="M4354" s="301" t="str">
        <f>N4354&amp;AS[[#This Row],[Insurer Code]]&amp;"; "&amp;O4354&amp;AS[[#This Row],[Reporting Year]]&amp;"; "&amp;P4354&amp;AS[[#This Row],[Insurance Category Code]]&amp;"; "&amp;Q4354&amp;AS[[#This Row],[Large Provider Entity Code]]&amp;"; "&amp;R4354&amp;AS[[#This Row],[Age Band Code]]&amp;"; "&amp;S4354&amp;AS[[#This Row],[Sex Code]]</f>
        <v xml:space="preserve">Insurer Code ; Reporting Year ; Insurance Category Code ; Large Provider Entity Code ; Age Band Code ; Sex Code </v>
      </c>
      <c r="N4354" s="297" t="s">
        <v>197</v>
      </c>
      <c r="O4354" s="297" t="s">
        <v>198</v>
      </c>
      <c r="P4354" s="297" t="s">
        <v>199</v>
      </c>
      <c r="Q4354" s="297" t="s">
        <v>200</v>
      </c>
      <c r="R4354" s="297" t="s">
        <v>213</v>
      </c>
      <c r="S4354" s="297" t="s">
        <v>214</v>
      </c>
    </row>
    <row r="4355" spans="1:19" x14ac:dyDescent="0.4">
      <c r="A4355" s="291"/>
      <c r="B4355" s="292"/>
      <c r="C4355" s="312"/>
      <c r="D4355" s="292"/>
      <c r="E4355" s="489"/>
      <c r="F4355" s="489"/>
      <c r="G4355" s="490"/>
      <c r="H4355" s="520"/>
      <c r="I4355" s="523"/>
      <c r="J4355" s="521"/>
      <c r="K4355" s="522"/>
      <c r="M4355" s="301" t="str">
        <f>N4355&amp;AS[[#This Row],[Insurer Code]]&amp;"; "&amp;O4355&amp;AS[[#This Row],[Reporting Year]]&amp;"; "&amp;P4355&amp;AS[[#This Row],[Insurance Category Code]]&amp;"; "&amp;Q4355&amp;AS[[#This Row],[Large Provider Entity Code]]&amp;"; "&amp;R4355&amp;AS[[#This Row],[Age Band Code]]&amp;"; "&amp;S4355&amp;AS[[#This Row],[Sex Code]]</f>
        <v xml:space="preserve">Insurer Code ; Reporting Year ; Insurance Category Code ; Large Provider Entity Code ; Age Band Code ; Sex Code </v>
      </c>
      <c r="N4355" s="297" t="s">
        <v>197</v>
      </c>
      <c r="O4355" s="297" t="s">
        <v>198</v>
      </c>
      <c r="P4355" s="297" t="s">
        <v>199</v>
      </c>
      <c r="Q4355" s="297" t="s">
        <v>200</v>
      </c>
      <c r="R4355" s="297" t="s">
        <v>213</v>
      </c>
      <c r="S4355" s="297" t="s">
        <v>214</v>
      </c>
    </row>
    <row r="4356" spans="1:19" x14ac:dyDescent="0.4">
      <c r="A4356" s="291"/>
      <c r="B4356" s="292"/>
      <c r="C4356" s="312"/>
      <c r="D4356" s="292"/>
      <c r="E4356" s="489"/>
      <c r="F4356" s="489"/>
      <c r="G4356" s="490"/>
      <c r="H4356" s="520"/>
      <c r="I4356" s="523"/>
      <c r="J4356" s="521"/>
      <c r="K4356" s="522"/>
      <c r="M4356" s="301" t="str">
        <f>N4356&amp;AS[[#This Row],[Insurer Code]]&amp;"; "&amp;O4356&amp;AS[[#This Row],[Reporting Year]]&amp;"; "&amp;P4356&amp;AS[[#This Row],[Insurance Category Code]]&amp;"; "&amp;Q4356&amp;AS[[#This Row],[Large Provider Entity Code]]&amp;"; "&amp;R4356&amp;AS[[#This Row],[Age Band Code]]&amp;"; "&amp;S4356&amp;AS[[#This Row],[Sex Code]]</f>
        <v xml:space="preserve">Insurer Code ; Reporting Year ; Insurance Category Code ; Large Provider Entity Code ; Age Band Code ; Sex Code </v>
      </c>
      <c r="N4356" s="297" t="s">
        <v>197</v>
      </c>
      <c r="O4356" s="297" t="s">
        <v>198</v>
      </c>
      <c r="P4356" s="297" t="s">
        <v>199</v>
      </c>
      <c r="Q4356" s="297" t="s">
        <v>200</v>
      </c>
      <c r="R4356" s="297" t="s">
        <v>213</v>
      </c>
      <c r="S4356" s="297" t="s">
        <v>214</v>
      </c>
    </row>
    <row r="4357" spans="1:19" x14ac:dyDescent="0.4">
      <c r="A4357" s="291"/>
      <c r="B4357" s="292"/>
      <c r="C4357" s="312"/>
      <c r="D4357" s="292"/>
      <c r="E4357" s="489"/>
      <c r="F4357" s="489"/>
      <c r="G4357" s="490"/>
      <c r="H4357" s="520"/>
      <c r="I4357" s="523"/>
      <c r="J4357" s="521"/>
      <c r="K4357" s="522"/>
      <c r="M4357" s="301" t="str">
        <f>N4357&amp;AS[[#This Row],[Insurer Code]]&amp;"; "&amp;O4357&amp;AS[[#This Row],[Reporting Year]]&amp;"; "&amp;P4357&amp;AS[[#This Row],[Insurance Category Code]]&amp;"; "&amp;Q4357&amp;AS[[#This Row],[Large Provider Entity Code]]&amp;"; "&amp;R4357&amp;AS[[#This Row],[Age Band Code]]&amp;"; "&amp;S4357&amp;AS[[#This Row],[Sex Code]]</f>
        <v xml:space="preserve">Insurer Code ; Reporting Year ; Insurance Category Code ; Large Provider Entity Code ; Age Band Code ; Sex Code </v>
      </c>
      <c r="N4357" s="297" t="s">
        <v>197</v>
      </c>
      <c r="O4357" s="297" t="s">
        <v>198</v>
      </c>
      <c r="P4357" s="297" t="s">
        <v>199</v>
      </c>
      <c r="Q4357" s="297" t="s">
        <v>200</v>
      </c>
      <c r="R4357" s="297" t="s">
        <v>213</v>
      </c>
      <c r="S4357" s="297" t="s">
        <v>214</v>
      </c>
    </row>
    <row r="4358" spans="1:19" x14ac:dyDescent="0.4">
      <c r="A4358" s="291"/>
      <c r="B4358" s="292"/>
      <c r="C4358" s="312"/>
      <c r="D4358" s="292"/>
      <c r="E4358" s="489"/>
      <c r="F4358" s="489"/>
      <c r="G4358" s="490"/>
      <c r="H4358" s="520"/>
      <c r="I4358" s="523"/>
      <c r="J4358" s="521"/>
      <c r="K4358" s="522"/>
      <c r="M4358" s="301" t="str">
        <f>N4358&amp;AS[[#This Row],[Insurer Code]]&amp;"; "&amp;O4358&amp;AS[[#This Row],[Reporting Year]]&amp;"; "&amp;P4358&amp;AS[[#This Row],[Insurance Category Code]]&amp;"; "&amp;Q4358&amp;AS[[#This Row],[Large Provider Entity Code]]&amp;"; "&amp;R4358&amp;AS[[#This Row],[Age Band Code]]&amp;"; "&amp;S4358&amp;AS[[#This Row],[Sex Code]]</f>
        <v xml:space="preserve">Insurer Code ; Reporting Year ; Insurance Category Code ; Large Provider Entity Code ; Age Band Code ; Sex Code </v>
      </c>
      <c r="N4358" s="297" t="s">
        <v>197</v>
      </c>
      <c r="O4358" s="297" t="s">
        <v>198</v>
      </c>
      <c r="P4358" s="297" t="s">
        <v>199</v>
      </c>
      <c r="Q4358" s="297" t="s">
        <v>200</v>
      </c>
      <c r="R4358" s="297" t="s">
        <v>213</v>
      </c>
      <c r="S4358" s="297" t="s">
        <v>214</v>
      </c>
    </row>
    <row r="4359" spans="1:19" x14ac:dyDescent="0.4">
      <c r="A4359" s="291"/>
      <c r="B4359" s="292"/>
      <c r="C4359" s="312"/>
      <c r="D4359" s="292"/>
      <c r="E4359" s="489"/>
      <c r="F4359" s="489"/>
      <c r="G4359" s="490"/>
      <c r="H4359" s="520"/>
      <c r="I4359" s="523"/>
      <c r="J4359" s="521"/>
      <c r="K4359" s="522"/>
      <c r="M4359" s="301" t="str">
        <f>N4359&amp;AS[[#This Row],[Insurer Code]]&amp;"; "&amp;O4359&amp;AS[[#This Row],[Reporting Year]]&amp;"; "&amp;P4359&amp;AS[[#This Row],[Insurance Category Code]]&amp;"; "&amp;Q4359&amp;AS[[#This Row],[Large Provider Entity Code]]&amp;"; "&amp;R4359&amp;AS[[#This Row],[Age Band Code]]&amp;"; "&amp;S4359&amp;AS[[#This Row],[Sex Code]]</f>
        <v xml:space="preserve">Insurer Code ; Reporting Year ; Insurance Category Code ; Large Provider Entity Code ; Age Band Code ; Sex Code </v>
      </c>
      <c r="N4359" s="297" t="s">
        <v>197</v>
      </c>
      <c r="O4359" s="297" t="s">
        <v>198</v>
      </c>
      <c r="P4359" s="297" t="s">
        <v>199</v>
      </c>
      <c r="Q4359" s="297" t="s">
        <v>200</v>
      </c>
      <c r="R4359" s="297" t="s">
        <v>213</v>
      </c>
      <c r="S4359" s="297" t="s">
        <v>214</v>
      </c>
    </row>
    <row r="4360" spans="1:19" x14ac:dyDescent="0.4">
      <c r="A4360" s="291"/>
      <c r="B4360" s="292"/>
      <c r="C4360" s="312"/>
      <c r="D4360" s="292"/>
      <c r="E4360" s="489"/>
      <c r="F4360" s="489"/>
      <c r="G4360" s="490"/>
      <c r="H4360" s="520"/>
      <c r="I4360" s="523"/>
      <c r="J4360" s="521"/>
      <c r="K4360" s="522"/>
      <c r="M4360" s="301" t="str">
        <f>N4360&amp;AS[[#This Row],[Insurer Code]]&amp;"; "&amp;O4360&amp;AS[[#This Row],[Reporting Year]]&amp;"; "&amp;P4360&amp;AS[[#This Row],[Insurance Category Code]]&amp;"; "&amp;Q4360&amp;AS[[#This Row],[Large Provider Entity Code]]&amp;"; "&amp;R4360&amp;AS[[#This Row],[Age Band Code]]&amp;"; "&amp;S4360&amp;AS[[#This Row],[Sex Code]]</f>
        <v xml:space="preserve">Insurer Code ; Reporting Year ; Insurance Category Code ; Large Provider Entity Code ; Age Band Code ; Sex Code </v>
      </c>
      <c r="N4360" s="297" t="s">
        <v>197</v>
      </c>
      <c r="O4360" s="297" t="s">
        <v>198</v>
      </c>
      <c r="P4360" s="297" t="s">
        <v>199</v>
      </c>
      <c r="Q4360" s="297" t="s">
        <v>200</v>
      </c>
      <c r="R4360" s="297" t="s">
        <v>213</v>
      </c>
      <c r="S4360" s="297" t="s">
        <v>214</v>
      </c>
    </row>
    <row r="4361" spans="1:19" x14ac:dyDescent="0.4">
      <c r="A4361" s="291"/>
      <c r="B4361" s="292"/>
      <c r="C4361" s="312"/>
      <c r="D4361" s="292"/>
      <c r="E4361" s="489"/>
      <c r="F4361" s="489"/>
      <c r="G4361" s="490"/>
      <c r="H4361" s="520"/>
      <c r="I4361" s="523"/>
      <c r="J4361" s="521"/>
      <c r="K4361" s="522"/>
      <c r="M4361" s="301" t="str">
        <f>N4361&amp;AS[[#This Row],[Insurer Code]]&amp;"; "&amp;O4361&amp;AS[[#This Row],[Reporting Year]]&amp;"; "&amp;P4361&amp;AS[[#This Row],[Insurance Category Code]]&amp;"; "&amp;Q4361&amp;AS[[#This Row],[Large Provider Entity Code]]&amp;"; "&amp;R4361&amp;AS[[#This Row],[Age Band Code]]&amp;"; "&amp;S4361&amp;AS[[#This Row],[Sex Code]]</f>
        <v xml:space="preserve">Insurer Code ; Reporting Year ; Insurance Category Code ; Large Provider Entity Code ; Age Band Code ; Sex Code </v>
      </c>
      <c r="N4361" s="297" t="s">
        <v>197</v>
      </c>
      <c r="O4361" s="297" t="s">
        <v>198</v>
      </c>
      <c r="P4361" s="297" t="s">
        <v>199</v>
      </c>
      <c r="Q4361" s="297" t="s">
        <v>200</v>
      </c>
      <c r="R4361" s="297" t="s">
        <v>213</v>
      </c>
      <c r="S4361" s="297" t="s">
        <v>214</v>
      </c>
    </row>
    <row r="4362" spans="1:19" x14ac:dyDescent="0.4">
      <c r="A4362" s="291"/>
      <c r="B4362" s="292"/>
      <c r="C4362" s="312"/>
      <c r="D4362" s="292"/>
      <c r="E4362" s="489"/>
      <c r="F4362" s="489"/>
      <c r="G4362" s="490"/>
      <c r="H4362" s="520"/>
      <c r="I4362" s="523"/>
      <c r="J4362" s="521"/>
      <c r="K4362" s="522"/>
      <c r="M4362" s="301" t="str">
        <f>N4362&amp;AS[[#This Row],[Insurer Code]]&amp;"; "&amp;O4362&amp;AS[[#This Row],[Reporting Year]]&amp;"; "&amp;P4362&amp;AS[[#This Row],[Insurance Category Code]]&amp;"; "&amp;Q4362&amp;AS[[#This Row],[Large Provider Entity Code]]&amp;"; "&amp;R4362&amp;AS[[#This Row],[Age Band Code]]&amp;"; "&amp;S4362&amp;AS[[#This Row],[Sex Code]]</f>
        <v xml:space="preserve">Insurer Code ; Reporting Year ; Insurance Category Code ; Large Provider Entity Code ; Age Band Code ; Sex Code </v>
      </c>
      <c r="N4362" s="297" t="s">
        <v>197</v>
      </c>
      <c r="O4362" s="297" t="s">
        <v>198</v>
      </c>
      <c r="P4362" s="297" t="s">
        <v>199</v>
      </c>
      <c r="Q4362" s="297" t="s">
        <v>200</v>
      </c>
      <c r="R4362" s="297" t="s">
        <v>213</v>
      </c>
      <c r="S4362" s="297" t="s">
        <v>214</v>
      </c>
    </row>
    <row r="4363" spans="1:19" x14ac:dyDescent="0.4">
      <c r="A4363" s="291"/>
      <c r="B4363" s="292"/>
      <c r="C4363" s="312"/>
      <c r="D4363" s="292"/>
      <c r="E4363" s="489"/>
      <c r="F4363" s="489"/>
      <c r="G4363" s="490"/>
      <c r="H4363" s="520"/>
      <c r="I4363" s="523"/>
      <c r="J4363" s="521"/>
      <c r="K4363" s="522"/>
      <c r="M4363" s="301" t="str">
        <f>N4363&amp;AS[[#This Row],[Insurer Code]]&amp;"; "&amp;O4363&amp;AS[[#This Row],[Reporting Year]]&amp;"; "&amp;P4363&amp;AS[[#This Row],[Insurance Category Code]]&amp;"; "&amp;Q4363&amp;AS[[#This Row],[Large Provider Entity Code]]&amp;"; "&amp;R4363&amp;AS[[#This Row],[Age Band Code]]&amp;"; "&amp;S4363&amp;AS[[#This Row],[Sex Code]]</f>
        <v xml:space="preserve">Insurer Code ; Reporting Year ; Insurance Category Code ; Large Provider Entity Code ; Age Band Code ; Sex Code </v>
      </c>
      <c r="N4363" s="297" t="s">
        <v>197</v>
      </c>
      <c r="O4363" s="297" t="s">
        <v>198</v>
      </c>
      <c r="P4363" s="297" t="s">
        <v>199</v>
      </c>
      <c r="Q4363" s="297" t="s">
        <v>200</v>
      </c>
      <c r="R4363" s="297" t="s">
        <v>213</v>
      </c>
      <c r="S4363" s="297" t="s">
        <v>214</v>
      </c>
    </row>
    <row r="4364" spans="1:19" x14ac:dyDescent="0.4">
      <c r="A4364" s="291"/>
      <c r="B4364" s="292"/>
      <c r="C4364" s="312"/>
      <c r="D4364" s="292"/>
      <c r="E4364" s="489"/>
      <c r="F4364" s="489"/>
      <c r="G4364" s="490"/>
      <c r="H4364" s="520"/>
      <c r="I4364" s="523"/>
      <c r="J4364" s="521"/>
      <c r="K4364" s="522"/>
      <c r="M4364" s="301" t="str">
        <f>N4364&amp;AS[[#This Row],[Insurer Code]]&amp;"; "&amp;O4364&amp;AS[[#This Row],[Reporting Year]]&amp;"; "&amp;P4364&amp;AS[[#This Row],[Insurance Category Code]]&amp;"; "&amp;Q4364&amp;AS[[#This Row],[Large Provider Entity Code]]&amp;"; "&amp;R4364&amp;AS[[#This Row],[Age Band Code]]&amp;"; "&amp;S4364&amp;AS[[#This Row],[Sex Code]]</f>
        <v xml:space="preserve">Insurer Code ; Reporting Year ; Insurance Category Code ; Large Provider Entity Code ; Age Band Code ; Sex Code </v>
      </c>
      <c r="N4364" s="297" t="s">
        <v>197</v>
      </c>
      <c r="O4364" s="297" t="s">
        <v>198</v>
      </c>
      <c r="P4364" s="297" t="s">
        <v>199</v>
      </c>
      <c r="Q4364" s="297" t="s">
        <v>200</v>
      </c>
      <c r="R4364" s="297" t="s">
        <v>213</v>
      </c>
      <c r="S4364" s="297" t="s">
        <v>214</v>
      </c>
    </row>
    <row r="4365" spans="1:19" x14ac:dyDescent="0.4">
      <c r="A4365" s="291"/>
      <c r="B4365" s="292"/>
      <c r="C4365" s="312"/>
      <c r="D4365" s="292"/>
      <c r="E4365" s="489"/>
      <c r="F4365" s="489"/>
      <c r="G4365" s="490"/>
      <c r="H4365" s="520"/>
      <c r="I4365" s="523"/>
      <c r="J4365" s="521"/>
      <c r="K4365" s="522"/>
      <c r="M4365" s="301" t="str">
        <f>N4365&amp;AS[[#This Row],[Insurer Code]]&amp;"; "&amp;O4365&amp;AS[[#This Row],[Reporting Year]]&amp;"; "&amp;P4365&amp;AS[[#This Row],[Insurance Category Code]]&amp;"; "&amp;Q4365&amp;AS[[#This Row],[Large Provider Entity Code]]&amp;"; "&amp;R4365&amp;AS[[#This Row],[Age Band Code]]&amp;"; "&amp;S4365&amp;AS[[#This Row],[Sex Code]]</f>
        <v xml:space="preserve">Insurer Code ; Reporting Year ; Insurance Category Code ; Large Provider Entity Code ; Age Band Code ; Sex Code </v>
      </c>
      <c r="N4365" s="297" t="s">
        <v>197</v>
      </c>
      <c r="O4365" s="297" t="s">
        <v>198</v>
      </c>
      <c r="P4365" s="297" t="s">
        <v>199</v>
      </c>
      <c r="Q4365" s="297" t="s">
        <v>200</v>
      </c>
      <c r="R4365" s="297" t="s">
        <v>213</v>
      </c>
      <c r="S4365" s="297" t="s">
        <v>214</v>
      </c>
    </row>
    <row r="4366" spans="1:19" x14ac:dyDescent="0.4">
      <c r="A4366" s="291"/>
      <c r="B4366" s="292"/>
      <c r="C4366" s="312"/>
      <c r="D4366" s="292"/>
      <c r="E4366" s="489"/>
      <c r="F4366" s="489"/>
      <c r="G4366" s="490"/>
      <c r="H4366" s="520"/>
      <c r="I4366" s="523"/>
      <c r="J4366" s="521"/>
      <c r="K4366" s="522"/>
      <c r="M4366" s="301" t="str">
        <f>N4366&amp;AS[[#This Row],[Insurer Code]]&amp;"; "&amp;O4366&amp;AS[[#This Row],[Reporting Year]]&amp;"; "&amp;P4366&amp;AS[[#This Row],[Insurance Category Code]]&amp;"; "&amp;Q4366&amp;AS[[#This Row],[Large Provider Entity Code]]&amp;"; "&amp;R4366&amp;AS[[#This Row],[Age Band Code]]&amp;"; "&amp;S4366&amp;AS[[#This Row],[Sex Code]]</f>
        <v xml:space="preserve">Insurer Code ; Reporting Year ; Insurance Category Code ; Large Provider Entity Code ; Age Band Code ; Sex Code </v>
      </c>
      <c r="N4366" s="297" t="s">
        <v>197</v>
      </c>
      <c r="O4366" s="297" t="s">
        <v>198</v>
      </c>
      <c r="P4366" s="297" t="s">
        <v>199</v>
      </c>
      <c r="Q4366" s="297" t="s">
        <v>200</v>
      </c>
      <c r="R4366" s="297" t="s">
        <v>213</v>
      </c>
      <c r="S4366" s="297" t="s">
        <v>214</v>
      </c>
    </row>
    <row r="4367" spans="1:19" x14ac:dyDescent="0.4">
      <c r="A4367" s="291"/>
      <c r="B4367" s="292"/>
      <c r="C4367" s="312"/>
      <c r="D4367" s="292"/>
      <c r="E4367" s="489"/>
      <c r="F4367" s="489"/>
      <c r="G4367" s="490"/>
      <c r="H4367" s="520"/>
      <c r="I4367" s="523"/>
      <c r="J4367" s="521"/>
      <c r="K4367" s="522"/>
      <c r="M4367" s="301" t="str">
        <f>N4367&amp;AS[[#This Row],[Insurer Code]]&amp;"; "&amp;O4367&amp;AS[[#This Row],[Reporting Year]]&amp;"; "&amp;P4367&amp;AS[[#This Row],[Insurance Category Code]]&amp;"; "&amp;Q4367&amp;AS[[#This Row],[Large Provider Entity Code]]&amp;"; "&amp;R4367&amp;AS[[#This Row],[Age Band Code]]&amp;"; "&amp;S4367&amp;AS[[#This Row],[Sex Code]]</f>
        <v xml:space="preserve">Insurer Code ; Reporting Year ; Insurance Category Code ; Large Provider Entity Code ; Age Band Code ; Sex Code </v>
      </c>
      <c r="N4367" s="297" t="s">
        <v>197</v>
      </c>
      <c r="O4367" s="297" t="s">
        <v>198</v>
      </c>
      <c r="P4367" s="297" t="s">
        <v>199</v>
      </c>
      <c r="Q4367" s="297" t="s">
        <v>200</v>
      </c>
      <c r="R4367" s="297" t="s">
        <v>213</v>
      </c>
      <c r="S4367" s="297" t="s">
        <v>214</v>
      </c>
    </row>
    <row r="4368" spans="1:19" x14ac:dyDescent="0.4">
      <c r="A4368" s="291"/>
      <c r="B4368" s="292"/>
      <c r="C4368" s="312"/>
      <c r="D4368" s="292"/>
      <c r="E4368" s="489"/>
      <c r="F4368" s="489"/>
      <c r="G4368" s="490"/>
      <c r="H4368" s="520"/>
      <c r="I4368" s="523"/>
      <c r="J4368" s="521"/>
      <c r="K4368" s="522"/>
      <c r="M4368" s="301" t="str">
        <f>N4368&amp;AS[[#This Row],[Insurer Code]]&amp;"; "&amp;O4368&amp;AS[[#This Row],[Reporting Year]]&amp;"; "&amp;P4368&amp;AS[[#This Row],[Insurance Category Code]]&amp;"; "&amp;Q4368&amp;AS[[#This Row],[Large Provider Entity Code]]&amp;"; "&amp;R4368&amp;AS[[#This Row],[Age Band Code]]&amp;"; "&amp;S4368&amp;AS[[#This Row],[Sex Code]]</f>
        <v xml:space="preserve">Insurer Code ; Reporting Year ; Insurance Category Code ; Large Provider Entity Code ; Age Band Code ; Sex Code </v>
      </c>
      <c r="N4368" s="297" t="s">
        <v>197</v>
      </c>
      <c r="O4368" s="297" t="s">
        <v>198</v>
      </c>
      <c r="P4368" s="297" t="s">
        <v>199</v>
      </c>
      <c r="Q4368" s="297" t="s">
        <v>200</v>
      </c>
      <c r="R4368" s="297" t="s">
        <v>213</v>
      </c>
      <c r="S4368" s="297" t="s">
        <v>214</v>
      </c>
    </row>
    <row r="4369" spans="1:19" x14ac:dyDescent="0.4">
      <c r="A4369" s="291"/>
      <c r="B4369" s="292"/>
      <c r="C4369" s="312"/>
      <c r="D4369" s="292"/>
      <c r="E4369" s="489"/>
      <c r="F4369" s="489"/>
      <c r="G4369" s="490"/>
      <c r="H4369" s="520"/>
      <c r="I4369" s="523"/>
      <c r="J4369" s="521"/>
      <c r="K4369" s="522"/>
      <c r="M4369" s="301" t="str">
        <f>N4369&amp;AS[[#This Row],[Insurer Code]]&amp;"; "&amp;O4369&amp;AS[[#This Row],[Reporting Year]]&amp;"; "&amp;P4369&amp;AS[[#This Row],[Insurance Category Code]]&amp;"; "&amp;Q4369&amp;AS[[#This Row],[Large Provider Entity Code]]&amp;"; "&amp;R4369&amp;AS[[#This Row],[Age Band Code]]&amp;"; "&amp;S4369&amp;AS[[#This Row],[Sex Code]]</f>
        <v xml:space="preserve">Insurer Code ; Reporting Year ; Insurance Category Code ; Large Provider Entity Code ; Age Band Code ; Sex Code </v>
      </c>
      <c r="N4369" s="297" t="s">
        <v>197</v>
      </c>
      <c r="O4369" s="297" t="s">
        <v>198</v>
      </c>
      <c r="P4369" s="297" t="s">
        <v>199</v>
      </c>
      <c r="Q4369" s="297" t="s">
        <v>200</v>
      </c>
      <c r="R4369" s="297" t="s">
        <v>213</v>
      </c>
      <c r="S4369" s="297" t="s">
        <v>214</v>
      </c>
    </row>
    <row r="4370" spans="1:19" x14ac:dyDescent="0.4">
      <c r="A4370" s="291"/>
      <c r="B4370" s="292"/>
      <c r="C4370" s="312"/>
      <c r="D4370" s="292"/>
      <c r="E4370" s="489"/>
      <c r="F4370" s="489"/>
      <c r="G4370" s="490"/>
      <c r="H4370" s="520"/>
      <c r="I4370" s="523"/>
      <c r="J4370" s="521"/>
      <c r="K4370" s="522"/>
      <c r="M4370" s="301" t="str">
        <f>N4370&amp;AS[[#This Row],[Insurer Code]]&amp;"; "&amp;O4370&amp;AS[[#This Row],[Reporting Year]]&amp;"; "&amp;P4370&amp;AS[[#This Row],[Insurance Category Code]]&amp;"; "&amp;Q4370&amp;AS[[#This Row],[Large Provider Entity Code]]&amp;"; "&amp;R4370&amp;AS[[#This Row],[Age Band Code]]&amp;"; "&amp;S4370&amp;AS[[#This Row],[Sex Code]]</f>
        <v xml:space="preserve">Insurer Code ; Reporting Year ; Insurance Category Code ; Large Provider Entity Code ; Age Band Code ; Sex Code </v>
      </c>
      <c r="N4370" s="297" t="s">
        <v>197</v>
      </c>
      <c r="O4370" s="297" t="s">
        <v>198</v>
      </c>
      <c r="P4370" s="297" t="s">
        <v>199</v>
      </c>
      <c r="Q4370" s="297" t="s">
        <v>200</v>
      </c>
      <c r="R4370" s="297" t="s">
        <v>213</v>
      </c>
      <c r="S4370" s="297" t="s">
        <v>214</v>
      </c>
    </row>
    <row r="4371" spans="1:19" x14ac:dyDescent="0.4">
      <c r="A4371" s="291"/>
      <c r="B4371" s="292"/>
      <c r="C4371" s="312"/>
      <c r="D4371" s="292"/>
      <c r="E4371" s="489"/>
      <c r="F4371" s="489"/>
      <c r="G4371" s="490"/>
      <c r="H4371" s="520"/>
      <c r="I4371" s="523"/>
      <c r="J4371" s="521"/>
      <c r="K4371" s="522"/>
      <c r="M4371" s="301" t="str">
        <f>N4371&amp;AS[[#This Row],[Insurer Code]]&amp;"; "&amp;O4371&amp;AS[[#This Row],[Reporting Year]]&amp;"; "&amp;P4371&amp;AS[[#This Row],[Insurance Category Code]]&amp;"; "&amp;Q4371&amp;AS[[#This Row],[Large Provider Entity Code]]&amp;"; "&amp;R4371&amp;AS[[#This Row],[Age Band Code]]&amp;"; "&amp;S4371&amp;AS[[#This Row],[Sex Code]]</f>
        <v xml:space="preserve">Insurer Code ; Reporting Year ; Insurance Category Code ; Large Provider Entity Code ; Age Band Code ; Sex Code </v>
      </c>
      <c r="N4371" s="297" t="s">
        <v>197</v>
      </c>
      <c r="O4371" s="297" t="s">
        <v>198</v>
      </c>
      <c r="P4371" s="297" t="s">
        <v>199</v>
      </c>
      <c r="Q4371" s="297" t="s">
        <v>200</v>
      </c>
      <c r="R4371" s="297" t="s">
        <v>213</v>
      </c>
      <c r="S4371" s="297" t="s">
        <v>214</v>
      </c>
    </row>
    <row r="4372" spans="1:19" x14ac:dyDescent="0.4">
      <c r="A4372" s="291"/>
      <c r="B4372" s="292"/>
      <c r="C4372" s="312"/>
      <c r="D4372" s="292"/>
      <c r="E4372" s="489"/>
      <c r="F4372" s="489"/>
      <c r="G4372" s="490"/>
      <c r="H4372" s="520"/>
      <c r="I4372" s="523"/>
      <c r="J4372" s="521"/>
      <c r="K4372" s="522"/>
      <c r="M4372" s="301" t="str">
        <f>N4372&amp;AS[[#This Row],[Insurer Code]]&amp;"; "&amp;O4372&amp;AS[[#This Row],[Reporting Year]]&amp;"; "&amp;P4372&amp;AS[[#This Row],[Insurance Category Code]]&amp;"; "&amp;Q4372&amp;AS[[#This Row],[Large Provider Entity Code]]&amp;"; "&amp;R4372&amp;AS[[#This Row],[Age Band Code]]&amp;"; "&amp;S4372&amp;AS[[#This Row],[Sex Code]]</f>
        <v xml:space="preserve">Insurer Code ; Reporting Year ; Insurance Category Code ; Large Provider Entity Code ; Age Band Code ; Sex Code </v>
      </c>
      <c r="N4372" s="297" t="s">
        <v>197</v>
      </c>
      <c r="O4372" s="297" t="s">
        <v>198</v>
      </c>
      <c r="P4372" s="297" t="s">
        <v>199</v>
      </c>
      <c r="Q4372" s="297" t="s">
        <v>200</v>
      </c>
      <c r="R4372" s="297" t="s">
        <v>213</v>
      </c>
      <c r="S4372" s="297" t="s">
        <v>214</v>
      </c>
    </row>
    <row r="4373" spans="1:19" x14ac:dyDescent="0.4">
      <c r="A4373" s="291"/>
      <c r="B4373" s="292"/>
      <c r="C4373" s="312"/>
      <c r="D4373" s="292"/>
      <c r="E4373" s="489"/>
      <c r="F4373" s="489"/>
      <c r="G4373" s="490"/>
      <c r="H4373" s="520"/>
      <c r="I4373" s="523"/>
      <c r="J4373" s="521"/>
      <c r="K4373" s="522"/>
      <c r="M4373" s="301" t="str">
        <f>N4373&amp;AS[[#This Row],[Insurer Code]]&amp;"; "&amp;O4373&amp;AS[[#This Row],[Reporting Year]]&amp;"; "&amp;P4373&amp;AS[[#This Row],[Insurance Category Code]]&amp;"; "&amp;Q4373&amp;AS[[#This Row],[Large Provider Entity Code]]&amp;"; "&amp;R4373&amp;AS[[#This Row],[Age Band Code]]&amp;"; "&amp;S4373&amp;AS[[#This Row],[Sex Code]]</f>
        <v xml:space="preserve">Insurer Code ; Reporting Year ; Insurance Category Code ; Large Provider Entity Code ; Age Band Code ; Sex Code </v>
      </c>
      <c r="N4373" s="297" t="s">
        <v>197</v>
      </c>
      <c r="O4373" s="297" t="s">
        <v>198</v>
      </c>
      <c r="P4373" s="297" t="s">
        <v>199</v>
      </c>
      <c r="Q4373" s="297" t="s">
        <v>200</v>
      </c>
      <c r="R4373" s="297" t="s">
        <v>213</v>
      </c>
      <c r="S4373" s="297" t="s">
        <v>214</v>
      </c>
    </row>
    <row r="4374" spans="1:19" x14ac:dyDescent="0.4">
      <c r="A4374" s="291"/>
      <c r="B4374" s="292"/>
      <c r="C4374" s="312"/>
      <c r="D4374" s="292"/>
      <c r="E4374" s="489"/>
      <c r="F4374" s="489"/>
      <c r="G4374" s="490"/>
      <c r="H4374" s="520"/>
      <c r="I4374" s="523"/>
      <c r="J4374" s="521"/>
      <c r="K4374" s="522"/>
      <c r="M4374" s="301" t="str">
        <f>N4374&amp;AS[[#This Row],[Insurer Code]]&amp;"; "&amp;O4374&amp;AS[[#This Row],[Reporting Year]]&amp;"; "&amp;P4374&amp;AS[[#This Row],[Insurance Category Code]]&amp;"; "&amp;Q4374&amp;AS[[#This Row],[Large Provider Entity Code]]&amp;"; "&amp;R4374&amp;AS[[#This Row],[Age Band Code]]&amp;"; "&amp;S4374&amp;AS[[#This Row],[Sex Code]]</f>
        <v xml:space="preserve">Insurer Code ; Reporting Year ; Insurance Category Code ; Large Provider Entity Code ; Age Band Code ; Sex Code </v>
      </c>
      <c r="N4374" s="297" t="s">
        <v>197</v>
      </c>
      <c r="O4374" s="297" t="s">
        <v>198</v>
      </c>
      <c r="P4374" s="297" t="s">
        <v>199</v>
      </c>
      <c r="Q4374" s="297" t="s">
        <v>200</v>
      </c>
      <c r="R4374" s="297" t="s">
        <v>213</v>
      </c>
      <c r="S4374" s="297" t="s">
        <v>214</v>
      </c>
    </row>
    <row r="4375" spans="1:19" x14ac:dyDescent="0.4">
      <c r="A4375" s="291"/>
      <c r="B4375" s="292"/>
      <c r="C4375" s="312"/>
      <c r="D4375" s="292"/>
      <c r="E4375" s="489"/>
      <c r="F4375" s="489"/>
      <c r="G4375" s="490"/>
      <c r="H4375" s="520"/>
      <c r="I4375" s="523"/>
      <c r="J4375" s="521"/>
      <c r="K4375" s="522"/>
      <c r="M4375" s="301" t="str">
        <f>N4375&amp;AS[[#This Row],[Insurer Code]]&amp;"; "&amp;O4375&amp;AS[[#This Row],[Reporting Year]]&amp;"; "&amp;P4375&amp;AS[[#This Row],[Insurance Category Code]]&amp;"; "&amp;Q4375&amp;AS[[#This Row],[Large Provider Entity Code]]&amp;"; "&amp;R4375&amp;AS[[#This Row],[Age Band Code]]&amp;"; "&amp;S4375&amp;AS[[#This Row],[Sex Code]]</f>
        <v xml:space="preserve">Insurer Code ; Reporting Year ; Insurance Category Code ; Large Provider Entity Code ; Age Band Code ; Sex Code </v>
      </c>
      <c r="N4375" s="297" t="s">
        <v>197</v>
      </c>
      <c r="O4375" s="297" t="s">
        <v>198</v>
      </c>
      <c r="P4375" s="297" t="s">
        <v>199</v>
      </c>
      <c r="Q4375" s="297" t="s">
        <v>200</v>
      </c>
      <c r="R4375" s="297" t="s">
        <v>213</v>
      </c>
      <c r="S4375" s="297" t="s">
        <v>214</v>
      </c>
    </row>
    <row r="4376" spans="1:19" x14ac:dyDescent="0.4">
      <c r="A4376" s="291"/>
      <c r="B4376" s="292"/>
      <c r="C4376" s="312"/>
      <c r="D4376" s="292"/>
      <c r="E4376" s="489"/>
      <c r="F4376" s="489"/>
      <c r="G4376" s="490"/>
      <c r="H4376" s="520"/>
      <c r="I4376" s="523"/>
      <c r="J4376" s="521"/>
      <c r="K4376" s="522"/>
      <c r="M4376" s="301" t="str">
        <f>N4376&amp;AS[[#This Row],[Insurer Code]]&amp;"; "&amp;O4376&amp;AS[[#This Row],[Reporting Year]]&amp;"; "&amp;P4376&amp;AS[[#This Row],[Insurance Category Code]]&amp;"; "&amp;Q4376&amp;AS[[#This Row],[Large Provider Entity Code]]&amp;"; "&amp;R4376&amp;AS[[#This Row],[Age Band Code]]&amp;"; "&amp;S4376&amp;AS[[#This Row],[Sex Code]]</f>
        <v xml:space="preserve">Insurer Code ; Reporting Year ; Insurance Category Code ; Large Provider Entity Code ; Age Band Code ; Sex Code </v>
      </c>
      <c r="N4376" s="297" t="s">
        <v>197</v>
      </c>
      <c r="O4376" s="297" t="s">
        <v>198</v>
      </c>
      <c r="P4376" s="297" t="s">
        <v>199</v>
      </c>
      <c r="Q4376" s="297" t="s">
        <v>200</v>
      </c>
      <c r="R4376" s="297" t="s">
        <v>213</v>
      </c>
      <c r="S4376" s="297" t="s">
        <v>214</v>
      </c>
    </row>
    <row r="4377" spans="1:19" x14ac:dyDescent="0.4">
      <c r="A4377" s="291"/>
      <c r="B4377" s="292"/>
      <c r="C4377" s="312"/>
      <c r="D4377" s="292"/>
      <c r="E4377" s="489"/>
      <c r="F4377" s="489"/>
      <c r="G4377" s="490"/>
      <c r="H4377" s="520"/>
      <c r="I4377" s="523"/>
      <c r="J4377" s="521"/>
      <c r="K4377" s="522"/>
      <c r="M4377" s="301" t="str">
        <f>N4377&amp;AS[[#This Row],[Insurer Code]]&amp;"; "&amp;O4377&amp;AS[[#This Row],[Reporting Year]]&amp;"; "&amp;P4377&amp;AS[[#This Row],[Insurance Category Code]]&amp;"; "&amp;Q4377&amp;AS[[#This Row],[Large Provider Entity Code]]&amp;"; "&amp;R4377&amp;AS[[#This Row],[Age Band Code]]&amp;"; "&amp;S4377&amp;AS[[#This Row],[Sex Code]]</f>
        <v xml:space="preserve">Insurer Code ; Reporting Year ; Insurance Category Code ; Large Provider Entity Code ; Age Band Code ; Sex Code </v>
      </c>
      <c r="N4377" s="297" t="s">
        <v>197</v>
      </c>
      <c r="O4377" s="297" t="s">
        <v>198</v>
      </c>
      <c r="P4377" s="297" t="s">
        <v>199</v>
      </c>
      <c r="Q4377" s="297" t="s">
        <v>200</v>
      </c>
      <c r="R4377" s="297" t="s">
        <v>213</v>
      </c>
      <c r="S4377" s="297" t="s">
        <v>214</v>
      </c>
    </row>
    <row r="4378" spans="1:19" x14ac:dyDescent="0.4">
      <c r="A4378" s="291"/>
      <c r="B4378" s="292"/>
      <c r="C4378" s="312"/>
      <c r="D4378" s="292"/>
      <c r="E4378" s="489"/>
      <c r="F4378" s="489"/>
      <c r="G4378" s="490"/>
      <c r="H4378" s="520"/>
      <c r="I4378" s="523"/>
      <c r="J4378" s="521"/>
      <c r="K4378" s="522"/>
      <c r="M4378" s="301" t="str">
        <f>N4378&amp;AS[[#This Row],[Insurer Code]]&amp;"; "&amp;O4378&amp;AS[[#This Row],[Reporting Year]]&amp;"; "&amp;P4378&amp;AS[[#This Row],[Insurance Category Code]]&amp;"; "&amp;Q4378&amp;AS[[#This Row],[Large Provider Entity Code]]&amp;"; "&amp;R4378&amp;AS[[#This Row],[Age Band Code]]&amp;"; "&amp;S4378&amp;AS[[#This Row],[Sex Code]]</f>
        <v xml:space="preserve">Insurer Code ; Reporting Year ; Insurance Category Code ; Large Provider Entity Code ; Age Band Code ; Sex Code </v>
      </c>
      <c r="N4378" s="297" t="s">
        <v>197</v>
      </c>
      <c r="O4378" s="297" t="s">
        <v>198</v>
      </c>
      <c r="P4378" s="297" t="s">
        <v>199</v>
      </c>
      <c r="Q4378" s="297" t="s">
        <v>200</v>
      </c>
      <c r="R4378" s="297" t="s">
        <v>213</v>
      </c>
      <c r="S4378" s="297" t="s">
        <v>214</v>
      </c>
    </row>
    <row r="4379" spans="1:19" x14ac:dyDescent="0.4">
      <c r="A4379" s="291"/>
      <c r="B4379" s="292"/>
      <c r="C4379" s="312"/>
      <c r="D4379" s="292"/>
      <c r="E4379" s="489"/>
      <c r="F4379" s="489"/>
      <c r="G4379" s="490"/>
      <c r="H4379" s="520"/>
      <c r="I4379" s="523"/>
      <c r="J4379" s="521"/>
      <c r="K4379" s="522"/>
      <c r="M4379" s="301" t="str">
        <f>N4379&amp;AS[[#This Row],[Insurer Code]]&amp;"; "&amp;O4379&amp;AS[[#This Row],[Reporting Year]]&amp;"; "&amp;P4379&amp;AS[[#This Row],[Insurance Category Code]]&amp;"; "&amp;Q4379&amp;AS[[#This Row],[Large Provider Entity Code]]&amp;"; "&amp;R4379&amp;AS[[#This Row],[Age Band Code]]&amp;"; "&amp;S4379&amp;AS[[#This Row],[Sex Code]]</f>
        <v xml:space="preserve">Insurer Code ; Reporting Year ; Insurance Category Code ; Large Provider Entity Code ; Age Band Code ; Sex Code </v>
      </c>
      <c r="N4379" s="297" t="s">
        <v>197</v>
      </c>
      <c r="O4379" s="297" t="s">
        <v>198</v>
      </c>
      <c r="P4379" s="297" t="s">
        <v>199</v>
      </c>
      <c r="Q4379" s="297" t="s">
        <v>200</v>
      </c>
      <c r="R4379" s="297" t="s">
        <v>213</v>
      </c>
      <c r="S4379" s="297" t="s">
        <v>214</v>
      </c>
    </row>
    <row r="4380" spans="1:19" x14ac:dyDescent="0.4">
      <c r="A4380" s="291"/>
      <c r="B4380" s="292"/>
      <c r="C4380" s="312"/>
      <c r="D4380" s="292"/>
      <c r="E4380" s="489"/>
      <c r="F4380" s="489"/>
      <c r="G4380" s="490"/>
      <c r="H4380" s="520"/>
      <c r="I4380" s="523"/>
      <c r="J4380" s="521"/>
      <c r="K4380" s="522"/>
      <c r="M4380" s="301" t="str">
        <f>N4380&amp;AS[[#This Row],[Insurer Code]]&amp;"; "&amp;O4380&amp;AS[[#This Row],[Reporting Year]]&amp;"; "&amp;P4380&amp;AS[[#This Row],[Insurance Category Code]]&amp;"; "&amp;Q4380&amp;AS[[#This Row],[Large Provider Entity Code]]&amp;"; "&amp;R4380&amp;AS[[#This Row],[Age Band Code]]&amp;"; "&amp;S4380&amp;AS[[#This Row],[Sex Code]]</f>
        <v xml:space="preserve">Insurer Code ; Reporting Year ; Insurance Category Code ; Large Provider Entity Code ; Age Band Code ; Sex Code </v>
      </c>
      <c r="N4380" s="297" t="s">
        <v>197</v>
      </c>
      <c r="O4380" s="297" t="s">
        <v>198</v>
      </c>
      <c r="P4380" s="297" t="s">
        <v>199</v>
      </c>
      <c r="Q4380" s="297" t="s">
        <v>200</v>
      </c>
      <c r="R4380" s="297" t="s">
        <v>213</v>
      </c>
      <c r="S4380" s="297" t="s">
        <v>214</v>
      </c>
    </row>
    <row r="4381" spans="1:19" x14ac:dyDescent="0.4">
      <c r="A4381" s="291"/>
      <c r="B4381" s="292"/>
      <c r="C4381" s="312"/>
      <c r="D4381" s="292"/>
      <c r="E4381" s="489"/>
      <c r="F4381" s="489"/>
      <c r="G4381" s="490"/>
      <c r="H4381" s="520"/>
      <c r="I4381" s="523"/>
      <c r="J4381" s="521"/>
      <c r="K4381" s="522"/>
      <c r="M4381" s="301" t="str">
        <f>N4381&amp;AS[[#This Row],[Insurer Code]]&amp;"; "&amp;O4381&amp;AS[[#This Row],[Reporting Year]]&amp;"; "&amp;P4381&amp;AS[[#This Row],[Insurance Category Code]]&amp;"; "&amp;Q4381&amp;AS[[#This Row],[Large Provider Entity Code]]&amp;"; "&amp;R4381&amp;AS[[#This Row],[Age Band Code]]&amp;"; "&amp;S4381&amp;AS[[#This Row],[Sex Code]]</f>
        <v xml:space="preserve">Insurer Code ; Reporting Year ; Insurance Category Code ; Large Provider Entity Code ; Age Band Code ; Sex Code </v>
      </c>
      <c r="N4381" s="297" t="s">
        <v>197</v>
      </c>
      <c r="O4381" s="297" t="s">
        <v>198</v>
      </c>
      <c r="P4381" s="297" t="s">
        <v>199</v>
      </c>
      <c r="Q4381" s="297" t="s">
        <v>200</v>
      </c>
      <c r="R4381" s="297" t="s">
        <v>213</v>
      </c>
      <c r="S4381" s="297" t="s">
        <v>214</v>
      </c>
    </row>
    <row r="4382" spans="1:19" x14ac:dyDescent="0.4">
      <c r="A4382" s="291"/>
      <c r="B4382" s="292"/>
      <c r="C4382" s="312"/>
      <c r="D4382" s="292"/>
      <c r="E4382" s="489"/>
      <c r="F4382" s="489"/>
      <c r="G4382" s="490"/>
      <c r="H4382" s="520"/>
      <c r="I4382" s="523"/>
      <c r="J4382" s="521"/>
      <c r="K4382" s="522"/>
      <c r="M4382" s="301" t="str">
        <f>N4382&amp;AS[[#This Row],[Insurer Code]]&amp;"; "&amp;O4382&amp;AS[[#This Row],[Reporting Year]]&amp;"; "&amp;P4382&amp;AS[[#This Row],[Insurance Category Code]]&amp;"; "&amp;Q4382&amp;AS[[#This Row],[Large Provider Entity Code]]&amp;"; "&amp;R4382&amp;AS[[#This Row],[Age Band Code]]&amp;"; "&amp;S4382&amp;AS[[#This Row],[Sex Code]]</f>
        <v xml:space="preserve">Insurer Code ; Reporting Year ; Insurance Category Code ; Large Provider Entity Code ; Age Band Code ; Sex Code </v>
      </c>
      <c r="N4382" s="297" t="s">
        <v>197</v>
      </c>
      <c r="O4382" s="297" t="s">
        <v>198</v>
      </c>
      <c r="P4382" s="297" t="s">
        <v>199</v>
      </c>
      <c r="Q4382" s="297" t="s">
        <v>200</v>
      </c>
      <c r="R4382" s="297" t="s">
        <v>213</v>
      </c>
      <c r="S4382" s="297" t="s">
        <v>214</v>
      </c>
    </row>
    <row r="4383" spans="1:19" x14ac:dyDescent="0.4">
      <c r="A4383" s="291"/>
      <c r="B4383" s="292"/>
      <c r="C4383" s="312"/>
      <c r="D4383" s="292"/>
      <c r="E4383" s="489"/>
      <c r="F4383" s="489"/>
      <c r="G4383" s="490"/>
      <c r="H4383" s="520"/>
      <c r="I4383" s="523"/>
      <c r="J4383" s="521"/>
      <c r="K4383" s="522"/>
      <c r="M4383" s="301" t="str">
        <f>N4383&amp;AS[[#This Row],[Insurer Code]]&amp;"; "&amp;O4383&amp;AS[[#This Row],[Reporting Year]]&amp;"; "&amp;P4383&amp;AS[[#This Row],[Insurance Category Code]]&amp;"; "&amp;Q4383&amp;AS[[#This Row],[Large Provider Entity Code]]&amp;"; "&amp;R4383&amp;AS[[#This Row],[Age Band Code]]&amp;"; "&amp;S4383&amp;AS[[#This Row],[Sex Code]]</f>
        <v xml:space="preserve">Insurer Code ; Reporting Year ; Insurance Category Code ; Large Provider Entity Code ; Age Band Code ; Sex Code </v>
      </c>
      <c r="N4383" s="297" t="s">
        <v>197</v>
      </c>
      <c r="O4383" s="297" t="s">
        <v>198</v>
      </c>
      <c r="P4383" s="297" t="s">
        <v>199</v>
      </c>
      <c r="Q4383" s="297" t="s">
        <v>200</v>
      </c>
      <c r="R4383" s="297" t="s">
        <v>213</v>
      </c>
      <c r="S4383" s="297" t="s">
        <v>214</v>
      </c>
    </row>
    <row r="4384" spans="1:19" x14ac:dyDescent="0.4">
      <c r="A4384" s="291"/>
      <c r="B4384" s="292"/>
      <c r="C4384" s="312"/>
      <c r="D4384" s="292"/>
      <c r="E4384" s="489"/>
      <c r="F4384" s="489"/>
      <c r="G4384" s="490"/>
      <c r="H4384" s="520"/>
      <c r="I4384" s="523"/>
      <c r="J4384" s="521"/>
      <c r="K4384" s="522"/>
      <c r="M4384" s="301" t="str">
        <f>N4384&amp;AS[[#This Row],[Insurer Code]]&amp;"; "&amp;O4384&amp;AS[[#This Row],[Reporting Year]]&amp;"; "&amp;P4384&amp;AS[[#This Row],[Insurance Category Code]]&amp;"; "&amp;Q4384&amp;AS[[#This Row],[Large Provider Entity Code]]&amp;"; "&amp;R4384&amp;AS[[#This Row],[Age Band Code]]&amp;"; "&amp;S4384&amp;AS[[#This Row],[Sex Code]]</f>
        <v xml:space="preserve">Insurer Code ; Reporting Year ; Insurance Category Code ; Large Provider Entity Code ; Age Band Code ; Sex Code </v>
      </c>
      <c r="N4384" s="297" t="s">
        <v>197</v>
      </c>
      <c r="O4384" s="297" t="s">
        <v>198</v>
      </c>
      <c r="P4384" s="297" t="s">
        <v>199</v>
      </c>
      <c r="Q4384" s="297" t="s">
        <v>200</v>
      </c>
      <c r="R4384" s="297" t="s">
        <v>213</v>
      </c>
      <c r="S4384" s="297" t="s">
        <v>214</v>
      </c>
    </row>
    <row r="4385" spans="1:19" x14ac:dyDescent="0.4">
      <c r="A4385" s="291"/>
      <c r="B4385" s="292"/>
      <c r="C4385" s="312"/>
      <c r="D4385" s="292"/>
      <c r="E4385" s="489"/>
      <c r="F4385" s="489"/>
      <c r="G4385" s="490"/>
      <c r="H4385" s="520"/>
      <c r="I4385" s="523"/>
      <c r="J4385" s="521"/>
      <c r="K4385" s="522"/>
      <c r="M4385" s="301" t="str">
        <f>N4385&amp;AS[[#This Row],[Insurer Code]]&amp;"; "&amp;O4385&amp;AS[[#This Row],[Reporting Year]]&amp;"; "&amp;P4385&amp;AS[[#This Row],[Insurance Category Code]]&amp;"; "&amp;Q4385&amp;AS[[#This Row],[Large Provider Entity Code]]&amp;"; "&amp;R4385&amp;AS[[#This Row],[Age Band Code]]&amp;"; "&amp;S4385&amp;AS[[#This Row],[Sex Code]]</f>
        <v xml:space="preserve">Insurer Code ; Reporting Year ; Insurance Category Code ; Large Provider Entity Code ; Age Band Code ; Sex Code </v>
      </c>
      <c r="N4385" s="297" t="s">
        <v>197</v>
      </c>
      <c r="O4385" s="297" t="s">
        <v>198</v>
      </c>
      <c r="P4385" s="297" t="s">
        <v>199</v>
      </c>
      <c r="Q4385" s="297" t="s">
        <v>200</v>
      </c>
      <c r="R4385" s="297" t="s">
        <v>213</v>
      </c>
      <c r="S4385" s="297" t="s">
        <v>214</v>
      </c>
    </row>
    <row r="4386" spans="1:19" x14ac:dyDescent="0.4">
      <c r="A4386" s="291"/>
      <c r="B4386" s="292"/>
      <c r="C4386" s="312"/>
      <c r="D4386" s="292"/>
      <c r="E4386" s="489"/>
      <c r="F4386" s="489"/>
      <c r="G4386" s="490"/>
      <c r="H4386" s="520"/>
      <c r="I4386" s="523"/>
      <c r="J4386" s="521"/>
      <c r="K4386" s="522"/>
      <c r="M4386" s="301" t="str">
        <f>N4386&amp;AS[[#This Row],[Insurer Code]]&amp;"; "&amp;O4386&amp;AS[[#This Row],[Reporting Year]]&amp;"; "&amp;P4386&amp;AS[[#This Row],[Insurance Category Code]]&amp;"; "&amp;Q4386&amp;AS[[#This Row],[Large Provider Entity Code]]&amp;"; "&amp;R4386&amp;AS[[#This Row],[Age Band Code]]&amp;"; "&amp;S4386&amp;AS[[#This Row],[Sex Code]]</f>
        <v xml:space="preserve">Insurer Code ; Reporting Year ; Insurance Category Code ; Large Provider Entity Code ; Age Band Code ; Sex Code </v>
      </c>
      <c r="N4386" s="297" t="s">
        <v>197</v>
      </c>
      <c r="O4386" s="297" t="s">
        <v>198</v>
      </c>
      <c r="P4386" s="297" t="s">
        <v>199</v>
      </c>
      <c r="Q4386" s="297" t="s">
        <v>200</v>
      </c>
      <c r="R4386" s="297" t="s">
        <v>213</v>
      </c>
      <c r="S4386" s="297" t="s">
        <v>214</v>
      </c>
    </row>
    <row r="4387" spans="1:19" x14ac:dyDescent="0.4">
      <c r="A4387" s="291"/>
      <c r="B4387" s="292"/>
      <c r="C4387" s="312"/>
      <c r="D4387" s="292"/>
      <c r="E4387" s="489"/>
      <c r="F4387" s="489"/>
      <c r="G4387" s="490"/>
      <c r="H4387" s="520"/>
      <c r="I4387" s="523"/>
      <c r="J4387" s="521"/>
      <c r="K4387" s="522"/>
      <c r="M4387" s="301" t="str">
        <f>N4387&amp;AS[[#This Row],[Insurer Code]]&amp;"; "&amp;O4387&amp;AS[[#This Row],[Reporting Year]]&amp;"; "&amp;P4387&amp;AS[[#This Row],[Insurance Category Code]]&amp;"; "&amp;Q4387&amp;AS[[#This Row],[Large Provider Entity Code]]&amp;"; "&amp;R4387&amp;AS[[#This Row],[Age Band Code]]&amp;"; "&amp;S4387&amp;AS[[#This Row],[Sex Code]]</f>
        <v xml:space="preserve">Insurer Code ; Reporting Year ; Insurance Category Code ; Large Provider Entity Code ; Age Band Code ; Sex Code </v>
      </c>
      <c r="N4387" s="297" t="s">
        <v>197</v>
      </c>
      <c r="O4387" s="297" t="s">
        <v>198</v>
      </c>
      <c r="P4387" s="297" t="s">
        <v>199</v>
      </c>
      <c r="Q4387" s="297" t="s">
        <v>200</v>
      </c>
      <c r="R4387" s="297" t="s">
        <v>213</v>
      </c>
      <c r="S4387" s="297" t="s">
        <v>214</v>
      </c>
    </row>
    <row r="4388" spans="1:19" x14ac:dyDescent="0.4">
      <c r="A4388" s="291"/>
      <c r="B4388" s="292"/>
      <c r="C4388" s="312"/>
      <c r="D4388" s="292"/>
      <c r="E4388" s="489"/>
      <c r="F4388" s="489"/>
      <c r="G4388" s="490"/>
      <c r="H4388" s="520"/>
      <c r="I4388" s="523"/>
      <c r="J4388" s="521"/>
      <c r="K4388" s="522"/>
      <c r="M4388" s="301" t="str">
        <f>N4388&amp;AS[[#This Row],[Insurer Code]]&amp;"; "&amp;O4388&amp;AS[[#This Row],[Reporting Year]]&amp;"; "&amp;P4388&amp;AS[[#This Row],[Insurance Category Code]]&amp;"; "&amp;Q4388&amp;AS[[#This Row],[Large Provider Entity Code]]&amp;"; "&amp;R4388&amp;AS[[#This Row],[Age Band Code]]&amp;"; "&amp;S4388&amp;AS[[#This Row],[Sex Code]]</f>
        <v xml:space="preserve">Insurer Code ; Reporting Year ; Insurance Category Code ; Large Provider Entity Code ; Age Band Code ; Sex Code </v>
      </c>
      <c r="N4388" s="297" t="s">
        <v>197</v>
      </c>
      <c r="O4388" s="297" t="s">
        <v>198</v>
      </c>
      <c r="P4388" s="297" t="s">
        <v>199</v>
      </c>
      <c r="Q4388" s="297" t="s">
        <v>200</v>
      </c>
      <c r="R4388" s="297" t="s">
        <v>213</v>
      </c>
      <c r="S4388" s="297" t="s">
        <v>214</v>
      </c>
    </row>
    <row r="4389" spans="1:19" x14ac:dyDescent="0.4">
      <c r="A4389" s="291"/>
      <c r="B4389" s="292"/>
      <c r="C4389" s="312"/>
      <c r="D4389" s="292"/>
      <c r="E4389" s="489"/>
      <c r="F4389" s="489"/>
      <c r="G4389" s="490"/>
      <c r="H4389" s="520"/>
      <c r="I4389" s="523"/>
      <c r="J4389" s="521"/>
      <c r="K4389" s="522"/>
      <c r="M4389" s="301" t="str">
        <f>N4389&amp;AS[[#This Row],[Insurer Code]]&amp;"; "&amp;O4389&amp;AS[[#This Row],[Reporting Year]]&amp;"; "&amp;P4389&amp;AS[[#This Row],[Insurance Category Code]]&amp;"; "&amp;Q4389&amp;AS[[#This Row],[Large Provider Entity Code]]&amp;"; "&amp;R4389&amp;AS[[#This Row],[Age Band Code]]&amp;"; "&amp;S4389&amp;AS[[#This Row],[Sex Code]]</f>
        <v xml:space="preserve">Insurer Code ; Reporting Year ; Insurance Category Code ; Large Provider Entity Code ; Age Band Code ; Sex Code </v>
      </c>
      <c r="N4389" s="297" t="s">
        <v>197</v>
      </c>
      <c r="O4389" s="297" t="s">
        <v>198</v>
      </c>
      <c r="P4389" s="297" t="s">
        <v>199</v>
      </c>
      <c r="Q4389" s="297" t="s">
        <v>200</v>
      </c>
      <c r="R4389" s="297" t="s">
        <v>213</v>
      </c>
      <c r="S4389" s="297" t="s">
        <v>214</v>
      </c>
    </row>
    <row r="4390" spans="1:19" x14ac:dyDescent="0.4">
      <c r="A4390" s="291"/>
      <c r="B4390" s="292"/>
      <c r="C4390" s="312"/>
      <c r="D4390" s="292"/>
      <c r="E4390" s="489"/>
      <c r="F4390" s="489"/>
      <c r="G4390" s="490"/>
      <c r="H4390" s="520"/>
      <c r="I4390" s="523"/>
      <c r="J4390" s="521"/>
      <c r="K4390" s="522"/>
      <c r="M4390" s="301" t="str">
        <f>N4390&amp;AS[[#This Row],[Insurer Code]]&amp;"; "&amp;O4390&amp;AS[[#This Row],[Reporting Year]]&amp;"; "&amp;P4390&amp;AS[[#This Row],[Insurance Category Code]]&amp;"; "&amp;Q4390&amp;AS[[#This Row],[Large Provider Entity Code]]&amp;"; "&amp;R4390&amp;AS[[#This Row],[Age Band Code]]&amp;"; "&amp;S4390&amp;AS[[#This Row],[Sex Code]]</f>
        <v xml:space="preserve">Insurer Code ; Reporting Year ; Insurance Category Code ; Large Provider Entity Code ; Age Band Code ; Sex Code </v>
      </c>
      <c r="N4390" s="297" t="s">
        <v>197</v>
      </c>
      <c r="O4390" s="297" t="s">
        <v>198</v>
      </c>
      <c r="P4390" s="297" t="s">
        <v>199</v>
      </c>
      <c r="Q4390" s="297" t="s">
        <v>200</v>
      </c>
      <c r="R4390" s="297" t="s">
        <v>213</v>
      </c>
      <c r="S4390" s="297" t="s">
        <v>214</v>
      </c>
    </row>
    <row r="4391" spans="1:19" x14ac:dyDescent="0.4">
      <c r="A4391" s="291"/>
      <c r="B4391" s="292"/>
      <c r="C4391" s="312"/>
      <c r="D4391" s="292"/>
      <c r="E4391" s="489"/>
      <c r="F4391" s="489"/>
      <c r="G4391" s="490"/>
      <c r="H4391" s="520"/>
      <c r="I4391" s="523"/>
      <c r="J4391" s="521"/>
      <c r="K4391" s="522"/>
      <c r="M4391" s="301" t="str">
        <f>N4391&amp;AS[[#This Row],[Insurer Code]]&amp;"; "&amp;O4391&amp;AS[[#This Row],[Reporting Year]]&amp;"; "&amp;P4391&amp;AS[[#This Row],[Insurance Category Code]]&amp;"; "&amp;Q4391&amp;AS[[#This Row],[Large Provider Entity Code]]&amp;"; "&amp;R4391&amp;AS[[#This Row],[Age Band Code]]&amp;"; "&amp;S4391&amp;AS[[#This Row],[Sex Code]]</f>
        <v xml:space="preserve">Insurer Code ; Reporting Year ; Insurance Category Code ; Large Provider Entity Code ; Age Band Code ; Sex Code </v>
      </c>
      <c r="N4391" s="297" t="s">
        <v>197</v>
      </c>
      <c r="O4391" s="297" t="s">
        <v>198</v>
      </c>
      <c r="P4391" s="297" t="s">
        <v>199</v>
      </c>
      <c r="Q4391" s="297" t="s">
        <v>200</v>
      </c>
      <c r="R4391" s="297" t="s">
        <v>213</v>
      </c>
      <c r="S4391" s="297" t="s">
        <v>214</v>
      </c>
    </row>
    <row r="4392" spans="1:19" x14ac:dyDescent="0.4">
      <c r="A4392" s="291"/>
      <c r="B4392" s="292"/>
      <c r="C4392" s="312"/>
      <c r="D4392" s="292"/>
      <c r="E4392" s="489"/>
      <c r="F4392" s="489"/>
      <c r="G4392" s="490"/>
      <c r="H4392" s="520"/>
      <c r="I4392" s="523"/>
      <c r="J4392" s="521"/>
      <c r="K4392" s="522"/>
      <c r="M4392" s="301" t="str">
        <f>N4392&amp;AS[[#This Row],[Insurer Code]]&amp;"; "&amp;O4392&amp;AS[[#This Row],[Reporting Year]]&amp;"; "&amp;P4392&amp;AS[[#This Row],[Insurance Category Code]]&amp;"; "&amp;Q4392&amp;AS[[#This Row],[Large Provider Entity Code]]&amp;"; "&amp;R4392&amp;AS[[#This Row],[Age Band Code]]&amp;"; "&amp;S4392&amp;AS[[#This Row],[Sex Code]]</f>
        <v xml:space="preserve">Insurer Code ; Reporting Year ; Insurance Category Code ; Large Provider Entity Code ; Age Band Code ; Sex Code </v>
      </c>
      <c r="N4392" s="297" t="s">
        <v>197</v>
      </c>
      <c r="O4392" s="297" t="s">
        <v>198</v>
      </c>
      <c r="P4392" s="297" t="s">
        <v>199</v>
      </c>
      <c r="Q4392" s="297" t="s">
        <v>200</v>
      </c>
      <c r="R4392" s="297" t="s">
        <v>213</v>
      </c>
      <c r="S4392" s="297" t="s">
        <v>214</v>
      </c>
    </row>
    <row r="4393" spans="1:19" x14ac:dyDescent="0.4">
      <c r="A4393" s="291"/>
      <c r="B4393" s="292"/>
      <c r="C4393" s="312"/>
      <c r="D4393" s="292"/>
      <c r="E4393" s="489"/>
      <c r="F4393" s="489"/>
      <c r="G4393" s="490"/>
      <c r="H4393" s="520"/>
      <c r="I4393" s="523"/>
      <c r="J4393" s="521"/>
      <c r="K4393" s="522"/>
      <c r="M4393" s="301" t="str">
        <f>N4393&amp;AS[[#This Row],[Insurer Code]]&amp;"; "&amp;O4393&amp;AS[[#This Row],[Reporting Year]]&amp;"; "&amp;P4393&amp;AS[[#This Row],[Insurance Category Code]]&amp;"; "&amp;Q4393&amp;AS[[#This Row],[Large Provider Entity Code]]&amp;"; "&amp;R4393&amp;AS[[#This Row],[Age Band Code]]&amp;"; "&amp;S4393&amp;AS[[#This Row],[Sex Code]]</f>
        <v xml:space="preserve">Insurer Code ; Reporting Year ; Insurance Category Code ; Large Provider Entity Code ; Age Band Code ; Sex Code </v>
      </c>
      <c r="N4393" s="297" t="s">
        <v>197</v>
      </c>
      <c r="O4393" s="297" t="s">
        <v>198</v>
      </c>
      <c r="P4393" s="297" t="s">
        <v>199</v>
      </c>
      <c r="Q4393" s="297" t="s">
        <v>200</v>
      </c>
      <c r="R4393" s="297" t="s">
        <v>213</v>
      </c>
      <c r="S4393" s="297" t="s">
        <v>214</v>
      </c>
    </row>
    <row r="4394" spans="1:19" x14ac:dyDescent="0.4">
      <c r="A4394" s="291"/>
      <c r="B4394" s="292"/>
      <c r="C4394" s="312"/>
      <c r="D4394" s="292"/>
      <c r="E4394" s="489"/>
      <c r="F4394" s="489"/>
      <c r="G4394" s="490"/>
      <c r="H4394" s="520"/>
      <c r="I4394" s="523"/>
      <c r="J4394" s="521"/>
      <c r="K4394" s="522"/>
      <c r="M4394" s="301" t="str">
        <f>N4394&amp;AS[[#This Row],[Insurer Code]]&amp;"; "&amp;O4394&amp;AS[[#This Row],[Reporting Year]]&amp;"; "&amp;P4394&amp;AS[[#This Row],[Insurance Category Code]]&amp;"; "&amp;Q4394&amp;AS[[#This Row],[Large Provider Entity Code]]&amp;"; "&amp;R4394&amp;AS[[#This Row],[Age Band Code]]&amp;"; "&amp;S4394&amp;AS[[#This Row],[Sex Code]]</f>
        <v xml:space="preserve">Insurer Code ; Reporting Year ; Insurance Category Code ; Large Provider Entity Code ; Age Band Code ; Sex Code </v>
      </c>
      <c r="N4394" s="297" t="s">
        <v>197</v>
      </c>
      <c r="O4394" s="297" t="s">
        <v>198</v>
      </c>
      <c r="P4394" s="297" t="s">
        <v>199</v>
      </c>
      <c r="Q4394" s="297" t="s">
        <v>200</v>
      </c>
      <c r="R4394" s="297" t="s">
        <v>213</v>
      </c>
      <c r="S4394" s="297" t="s">
        <v>214</v>
      </c>
    </row>
    <row r="4395" spans="1:19" x14ac:dyDescent="0.4">
      <c r="A4395" s="291"/>
      <c r="B4395" s="292"/>
      <c r="C4395" s="312"/>
      <c r="D4395" s="292"/>
      <c r="E4395" s="489"/>
      <c r="F4395" s="489"/>
      <c r="G4395" s="490"/>
      <c r="H4395" s="520"/>
      <c r="I4395" s="523"/>
      <c r="J4395" s="521"/>
      <c r="K4395" s="522"/>
      <c r="M4395" s="301" t="str">
        <f>N4395&amp;AS[[#This Row],[Insurer Code]]&amp;"; "&amp;O4395&amp;AS[[#This Row],[Reporting Year]]&amp;"; "&amp;P4395&amp;AS[[#This Row],[Insurance Category Code]]&amp;"; "&amp;Q4395&amp;AS[[#This Row],[Large Provider Entity Code]]&amp;"; "&amp;R4395&amp;AS[[#This Row],[Age Band Code]]&amp;"; "&amp;S4395&amp;AS[[#This Row],[Sex Code]]</f>
        <v xml:space="preserve">Insurer Code ; Reporting Year ; Insurance Category Code ; Large Provider Entity Code ; Age Band Code ; Sex Code </v>
      </c>
      <c r="N4395" s="297" t="s">
        <v>197</v>
      </c>
      <c r="O4395" s="297" t="s">
        <v>198</v>
      </c>
      <c r="P4395" s="297" t="s">
        <v>199</v>
      </c>
      <c r="Q4395" s="297" t="s">
        <v>200</v>
      </c>
      <c r="R4395" s="297" t="s">
        <v>213</v>
      </c>
      <c r="S4395" s="297" t="s">
        <v>214</v>
      </c>
    </row>
    <row r="4396" spans="1:19" x14ac:dyDescent="0.4">
      <c r="A4396" s="291"/>
      <c r="B4396" s="292"/>
      <c r="C4396" s="312"/>
      <c r="D4396" s="292"/>
      <c r="E4396" s="489"/>
      <c r="F4396" s="489"/>
      <c r="G4396" s="490"/>
      <c r="H4396" s="520"/>
      <c r="I4396" s="523"/>
      <c r="J4396" s="521"/>
      <c r="K4396" s="522"/>
      <c r="M4396" s="301" t="str">
        <f>N4396&amp;AS[[#This Row],[Insurer Code]]&amp;"; "&amp;O4396&amp;AS[[#This Row],[Reporting Year]]&amp;"; "&amp;P4396&amp;AS[[#This Row],[Insurance Category Code]]&amp;"; "&amp;Q4396&amp;AS[[#This Row],[Large Provider Entity Code]]&amp;"; "&amp;R4396&amp;AS[[#This Row],[Age Band Code]]&amp;"; "&amp;S4396&amp;AS[[#This Row],[Sex Code]]</f>
        <v xml:space="preserve">Insurer Code ; Reporting Year ; Insurance Category Code ; Large Provider Entity Code ; Age Band Code ; Sex Code </v>
      </c>
      <c r="N4396" s="297" t="s">
        <v>197</v>
      </c>
      <c r="O4396" s="297" t="s">
        <v>198</v>
      </c>
      <c r="P4396" s="297" t="s">
        <v>199</v>
      </c>
      <c r="Q4396" s="297" t="s">
        <v>200</v>
      </c>
      <c r="R4396" s="297" t="s">
        <v>213</v>
      </c>
      <c r="S4396" s="297" t="s">
        <v>214</v>
      </c>
    </row>
    <row r="4397" spans="1:19" x14ac:dyDescent="0.4">
      <c r="A4397" s="291"/>
      <c r="B4397" s="292"/>
      <c r="C4397" s="312"/>
      <c r="D4397" s="292"/>
      <c r="E4397" s="489"/>
      <c r="F4397" s="489"/>
      <c r="G4397" s="490"/>
      <c r="H4397" s="520"/>
      <c r="I4397" s="523"/>
      <c r="J4397" s="521"/>
      <c r="K4397" s="522"/>
      <c r="M4397" s="301" t="str">
        <f>N4397&amp;AS[[#This Row],[Insurer Code]]&amp;"; "&amp;O4397&amp;AS[[#This Row],[Reporting Year]]&amp;"; "&amp;P4397&amp;AS[[#This Row],[Insurance Category Code]]&amp;"; "&amp;Q4397&amp;AS[[#This Row],[Large Provider Entity Code]]&amp;"; "&amp;R4397&amp;AS[[#This Row],[Age Band Code]]&amp;"; "&amp;S4397&amp;AS[[#This Row],[Sex Code]]</f>
        <v xml:space="preserve">Insurer Code ; Reporting Year ; Insurance Category Code ; Large Provider Entity Code ; Age Band Code ; Sex Code </v>
      </c>
      <c r="N4397" s="297" t="s">
        <v>197</v>
      </c>
      <c r="O4397" s="297" t="s">
        <v>198</v>
      </c>
      <c r="P4397" s="297" t="s">
        <v>199</v>
      </c>
      <c r="Q4397" s="297" t="s">
        <v>200</v>
      </c>
      <c r="R4397" s="297" t="s">
        <v>213</v>
      </c>
      <c r="S4397" s="297" t="s">
        <v>214</v>
      </c>
    </row>
    <row r="4398" spans="1:19" x14ac:dyDescent="0.4">
      <c r="A4398" s="291"/>
      <c r="B4398" s="292"/>
      <c r="C4398" s="312"/>
      <c r="D4398" s="292"/>
      <c r="E4398" s="489"/>
      <c r="F4398" s="489"/>
      <c r="G4398" s="490"/>
      <c r="H4398" s="520"/>
      <c r="I4398" s="523"/>
      <c r="J4398" s="521"/>
      <c r="K4398" s="522"/>
      <c r="M4398" s="301" t="str">
        <f>N4398&amp;AS[[#This Row],[Insurer Code]]&amp;"; "&amp;O4398&amp;AS[[#This Row],[Reporting Year]]&amp;"; "&amp;P4398&amp;AS[[#This Row],[Insurance Category Code]]&amp;"; "&amp;Q4398&amp;AS[[#This Row],[Large Provider Entity Code]]&amp;"; "&amp;R4398&amp;AS[[#This Row],[Age Band Code]]&amp;"; "&amp;S4398&amp;AS[[#This Row],[Sex Code]]</f>
        <v xml:space="preserve">Insurer Code ; Reporting Year ; Insurance Category Code ; Large Provider Entity Code ; Age Band Code ; Sex Code </v>
      </c>
      <c r="N4398" s="297" t="s">
        <v>197</v>
      </c>
      <c r="O4398" s="297" t="s">
        <v>198</v>
      </c>
      <c r="P4398" s="297" t="s">
        <v>199</v>
      </c>
      <c r="Q4398" s="297" t="s">
        <v>200</v>
      </c>
      <c r="R4398" s="297" t="s">
        <v>213</v>
      </c>
      <c r="S4398" s="297" t="s">
        <v>214</v>
      </c>
    </row>
    <row r="4399" spans="1:19" x14ac:dyDescent="0.4">
      <c r="A4399" s="291"/>
      <c r="B4399" s="292"/>
      <c r="C4399" s="312"/>
      <c r="D4399" s="292"/>
      <c r="E4399" s="489"/>
      <c r="F4399" s="489"/>
      <c r="G4399" s="490"/>
      <c r="H4399" s="520"/>
      <c r="I4399" s="523"/>
      <c r="J4399" s="521"/>
      <c r="K4399" s="522"/>
      <c r="M4399" s="301" t="str">
        <f>N4399&amp;AS[[#This Row],[Insurer Code]]&amp;"; "&amp;O4399&amp;AS[[#This Row],[Reporting Year]]&amp;"; "&amp;P4399&amp;AS[[#This Row],[Insurance Category Code]]&amp;"; "&amp;Q4399&amp;AS[[#This Row],[Large Provider Entity Code]]&amp;"; "&amp;R4399&amp;AS[[#This Row],[Age Band Code]]&amp;"; "&amp;S4399&amp;AS[[#This Row],[Sex Code]]</f>
        <v xml:space="preserve">Insurer Code ; Reporting Year ; Insurance Category Code ; Large Provider Entity Code ; Age Band Code ; Sex Code </v>
      </c>
      <c r="N4399" s="297" t="s">
        <v>197</v>
      </c>
      <c r="O4399" s="297" t="s">
        <v>198</v>
      </c>
      <c r="P4399" s="297" t="s">
        <v>199</v>
      </c>
      <c r="Q4399" s="297" t="s">
        <v>200</v>
      </c>
      <c r="R4399" s="297" t="s">
        <v>213</v>
      </c>
      <c r="S4399" s="297" t="s">
        <v>214</v>
      </c>
    </row>
    <row r="4400" spans="1:19" x14ac:dyDescent="0.4">
      <c r="A4400" s="291"/>
      <c r="B4400" s="292"/>
      <c r="C4400" s="312"/>
      <c r="D4400" s="292"/>
      <c r="E4400" s="489"/>
      <c r="F4400" s="489"/>
      <c r="G4400" s="490"/>
      <c r="H4400" s="520"/>
      <c r="I4400" s="523"/>
      <c r="J4400" s="521"/>
      <c r="K4400" s="522"/>
      <c r="M4400" s="301" t="str">
        <f>N4400&amp;AS[[#This Row],[Insurer Code]]&amp;"; "&amp;O4400&amp;AS[[#This Row],[Reporting Year]]&amp;"; "&amp;P4400&amp;AS[[#This Row],[Insurance Category Code]]&amp;"; "&amp;Q4400&amp;AS[[#This Row],[Large Provider Entity Code]]&amp;"; "&amp;R4400&amp;AS[[#This Row],[Age Band Code]]&amp;"; "&amp;S4400&amp;AS[[#This Row],[Sex Code]]</f>
        <v xml:space="preserve">Insurer Code ; Reporting Year ; Insurance Category Code ; Large Provider Entity Code ; Age Band Code ; Sex Code </v>
      </c>
      <c r="N4400" s="297" t="s">
        <v>197</v>
      </c>
      <c r="O4400" s="297" t="s">
        <v>198</v>
      </c>
      <c r="P4400" s="297" t="s">
        <v>199</v>
      </c>
      <c r="Q4400" s="297" t="s">
        <v>200</v>
      </c>
      <c r="R4400" s="297" t="s">
        <v>213</v>
      </c>
      <c r="S4400" s="297" t="s">
        <v>214</v>
      </c>
    </row>
    <row r="4401" spans="1:19" x14ac:dyDescent="0.4">
      <c r="A4401" s="291"/>
      <c r="B4401" s="292"/>
      <c r="C4401" s="312"/>
      <c r="D4401" s="292"/>
      <c r="E4401" s="489"/>
      <c r="F4401" s="489"/>
      <c r="G4401" s="490"/>
      <c r="H4401" s="520"/>
      <c r="I4401" s="523"/>
      <c r="J4401" s="521"/>
      <c r="K4401" s="522"/>
      <c r="M4401" s="301" t="str">
        <f>N4401&amp;AS[[#This Row],[Insurer Code]]&amp;"; "&amp;O4401&amp;AS[[#This Row],[Reporting Year]]&amp;"; "&amp;P4401&amp;AS[[#This Row],[Insurance Category Code]]&amp;"; "&amp;Q4401&amp;AS[[#This Row],[Large Provider Entity Code]]&amp;"; "&amp;R4401&amp;AS[[#This Row],[Age Band Code]]&amp;"; "&amp;S4401&amp;AS[[#This Row],[Sex Code]]</f>
        <v xml:space="preserve">Insurer Code ; Reporting Year ; Insurance Category Code ; Large Provider Entity Code ; Age Band Code ; Sex Code </v>
      </c>
      <c r="N4401" s="297" t="s">
        <v>197</v>
      </c>
      <c r="O4401" s="297" t="s">
        <v>198</v>
      </c>
      <c r="P4401" s="297" t="s">
        <v>199</v>
      </c>
      <c r="Q4401" s="297" t="s">
        <v>200</v>
      </c>
      <c r="R4401" s="297" t="s">
        <v>213</v>
      </c>
      <c r="S4401" s="297" t="s">
        <v>214</v>
      </c>
    </row>
    <row r="4402" spans="1:19" x14ac:dyDescent="0.4">
      <c r="A4402" s="291"/>
      <c r="B4402" s="292"/>
      <c r="C4402" s="312"/>
      <c r="D4402" s="292"/>
      <c r="E4402" s="489"/>
      <c r="F4402" s="489"/>
      <c r="G4402" s="490"/>
      <c r="H4402" s="520"/>
      <c r="I4402" s="523"/>
      <c r="J4402" s="521"/>
      <c r="K4402" s="522"/>
      <c r="M4402" s="301" t="str">
        <f>N4402&amp;AS[[#This Row],[Insurer Code]]&amp;"; "&amp;O4402&amp;AS[[#This Row],[Reporting Year]]&amp;"; "&amp;P4402&amp;AS[[#This Row],[Insurance Category Code]]&amp;"; "&amp;Q4402&amp;AS[[#This Row],[Large Provider Entity Code]]&amp;"; "&amp;R4402&amp;AS[[#This Row],[Age Band Code]]&amp;"; "&amp;S4402&amp;AS[[#This Row],[Sex Code]]</f>
        <v xml:space="preserve">Insurer Code ; Reporting Year ; Insurance Category Code ; Large Provider Entity Code ; Age Band Code ; Sex Code </v>
      </c>
      <c r="N4402" s="297" t="s">
        <v>197</v>
      </c>
      <c r="O4402" s="297" t="s">
        <v>198</v>
      </c>
      <c r="P4402" s="297" t="s">
        <v>199</v>
      </c>
      <c r="Q4402" s="297" t="s">
        <v>200</v>
      </c>
      <c r="R4402" s="297" t="s">
        <v>213</v>
      </c>
      <c r="S4402" s="297" t="s">
        <v>214</v>
      </c>
    </row>
    <row r="4403" spans="1:19" x14ac:dyDescent="0.4">
      <c r="A4403" s="291"/>
      <c r="B4403" s="292"/>
      <c r="C4403" s="312"/>
      <c r="D4403" s="292"/>
      <c r="E4403" s="489"/>
      <c r="F4403" s="489"/>
      <c r="G4403" s="490"/>
      <c r="H4403" s="520"/>
      <c r="I4403" s="523"/>
      <c r="J4403" s="521"/>
      <c r="K4403" s="522"/>
      <c r="M4403" s="301" t="str">
        <f>N4403&amp;AS[[#This Row],[Insurer Code]]&amp;"; "&amp;O4403&amp;AS[[#This Row],[Reporting Year]]&amp;"; "&amp;P4403&amp;AS[[#This Row],[Insurance Category Code]]&amp;"; "&amp;Q4403&amp;AS[[#This Row],[Large Provider Entity Code]]&amp;"; "&amp;R4403&amp;AS[[#This Row],[Age Band Code]]&amp;"; "&amp;S4403&amp;AS[[#This Row],[Sex Code]]</f>
        <v xml:space="preserve">Insurer Code ; Reporting Year ; Insurance Category Code ; Large Provider Entity Code ; Age Band Code ; Sex Code </v>
      </c>
      <c r="N4403" s="297" t="s">
        <v>197</v>
      </c>
      <c r="O4403" s="297" t="s">
        <v>198</v>
      </c>
      <c r="P4403" s="297" t="s">
        <v>199</v>
      </c>
      <c r="Q4403" s="297" t="s">
        <v>200</v>
      </c>
      <c r="R4403" s="297" t="s">
        <v>213</v>
      </c>
      <c r="S4403" s="297" t="s">
        <v>214</v>
      </c>
    </row>
    <row r="4404" spans="1:19" x14ac:dyDescent="0.4">
      <c r="A4404" s="291"/>
      <c r="B4404" s="292"/>
      <c r="C4404" s="312"/>
      <c r="D4404" s="292"/>
      <c r="E4404" s="489"/>
      <c r="F4404" s="489"/>
      <c r="G4404" s="490"/>
      <c r="H4404" s="520"/>
      <c r="I4404" s="523"/>
      <c r="J4404" s="521"/>
      <c r="K4404" s="522"/>
      <c r="M4404" s="301" t="str">
        <f>N4404&amp;AS[[#This Row],[Insurer Code]]&amp;"; "&amp;O4404&amp;AS[[#This Row],[Reporting Year]]&amp;"; "&amp;P4404&amp;AS[[#This Row],[Insurance Category Code]]&amp;"; "&amp;Q4404&amp;AS[[#This Row],[Large Provider Entity Code]]&amp;"; "&amp;R4404&amp;AS[[#This Row],[Age Band Code]]&amp;"; "&amp;S4404&amp;AS[[#This Row],[Sex Code]]</f>
        <v xml:space="preserve">Insurer Code ; Reporting Year ; Insurance Category Code ; Large Provider Entity Code ; Age Band Code ; Sex Code </v>
      </c>
      <c r="N4404" s="297" t="s">
        <v>197</v>
      </c>
      <c r="O4404" s="297" t="s">
        <v>198</v>
      </c>
      <c r="P4404" s="297" t="s">
        <v>199</v>
      </c>
      <c r="Q4404" s="297" t="s">
        <v>200</v>
      </c>
      <c r="R4404" s="297" t="s">
        <v>213</v>
      </c>
      <c r="S4404" s="297" t="s">
        <v>214</v>
      </c>
    </row>
    <row r="4405" spans="1:19" x14ac:dyDescent="0.4">
      <c r="A4405" s="291"/>
      <c r="B4405" s="292"/>
      <c r="C4405" s="312"/>
      <c r="D4405" s="292"/>
      <c r="E4405" s="489"/>
      <c r="F4405" s="489"/>
      <c r="G4405" s="490"/>
      <c r="H4405" s="520"/>
      <c r="I4405" s="523"/>
      <c r="J4405" s="521"/>
      <c r="K4405" s="522"/>
      <c r="M4405" s="301" t="str">
        <f>N4405&amp;AS[[#This Row],[Insurer Code]]&amp;"; "&amp;O4405&amp;AS[[#This Row],[Reporting Year]]&amp;"; "&amp;P4405&amp;AS[[#This Row],[Insurance Category Code]]&amp;"; "&amp;Q4405&amp;AS[[#This Row],[Large Provider Entity Code]]&amp;"; "&amp;R4405&amp;AS[[#This Row],[Age Band Code]]&amp;"; "&amp;S4405&amp;AS[[#This Row],[Sex Code]]</f>
        <v xml:space="preserve">Insurer Code ; Reporting Year ; Insurance Category Code ; Large Provider Entity Code ; Age Band Code ; Sex Code </v>
      </c>
      <c r="N4405" s="297" t="s">
        <v>197</v>
      </c>
      <c r="O4405" s="297" t="s">
        <v>198</v>
      </c>
      <c r="P4405" s="297" t="s">
        <v>199</v>
      </c>
      <c r="Q4405" s="297" t="s">
        <v>200</v>
      </c>
      <c r="R4405" s="297" t="s">
        <v>213</v>
      </c>
      <c r="S4405" s="297" t="s">
        <v>214</v>
      </c>
    </row>
    <row r="4406" spans="1:19" x14ac:dyDescent="0.4">
      <c r="A4406" s="291"/>
      <c r="B4406" s="292"/>
      <c r="C4406" s="312"/>
      <c r="D4406" s="292"/>
      <c r="E4406" s="489"/>
      <c r="F4406" s="489"/>
      <c r="G4406" s="490"/>
      <c r="H4406" s="520"/>
      <c r="I4406" s="523"/>
      <c r="J4406" s="521"/>
      <c r="K4406" s="522"/>
      <c r="M4406" s="301" t="str">
        <f>N4406&amp;AS[[#This Row],[Insurer Code]]&amp;"; "&amp;O4406&amp;AS[[#This Row],[Reporting Year]]&amp;"; "&amp;P4406&amp;AS[[#This Row],[Insurance Category Code]]&amp;"; "&amp;Q4406&amp;AS[[#This Row],[Large Provider Entity Code]]&amp;"; "&amp;R4406&amp;AS[[#This Row],[Age Band Code]]&amp;"; "&amp;S4406&amp;AS[[#This Row],[Sex Code]]</f>
        <v xml:space="preserve">Insurer Code ; Reporting Year ; Insurance Category Code ; Large Provider Entity Code ; Age Band Code ; Sex Code </v>
      </c>
      <c r="N4406" s="297" t="s">
        <v>197</v>
      </c>
      <c r="O4406" s="297" t="s">
        <v>198</v>
      </c>
      <c r="P4406" s="297" t="s">
        <v>199</v>
      </c>
      <c r="Q4406" s="297" t="s">
        <v>200</v>
      </c>
      <c r="R4406" s="297" t="s">
        <v>213</v>
      </c>
      <c r="S4406" s="297" t="s">
        <v>214</v>
      </c>
    </row>
    <row r="4407" spans="1:19" x14ac:dyDescent="0.4">
      <c r="A4407" s="291"/>
      <c r="B4407" s="292"/>
      <c r="C4407" s="312"/>
      <c r="D4407" s="292"/>
      <c r="E4407" s="489"/>
      <c r="F4407" s="489"/>
      <c r="G4407" s="490"/>
      <c r="H4407" s="520"/>
      <c r="I4407" s="523"/>
      <c r="J4407" s="521"/>
      <c r="K4407" s="522"/>
      <c r="M4407" s="301" t="str">
        <f>N4407&amp;AS[[#This Row],[Insurer Code]]&amp;"; "&amp;O4407&amp;AS[[#This Row],[Reporting Year]]&amp;"; "&amp;P4407&amp;AS[[#This Row],[Insurance Category Code]]&amp;"; "&amp;Q4407&amp;AS[[#This Row],[Large Provider Entity Code]]&amp;"; "&amp;R4407&amp;AS[[#This Row],[Age Band Code]]&amp;"; "&amp;S4407&amp;AS[[#This Row],[Sex Code]]</f>
        <v xml:space="preserve">Insurer Code ; Reporting Year ; Insurance Category Code ; Large Provider Entity Code ; Age Band Code ; Sex Code </v>
      </c>
      <c r="N4407" s="297" t="s">
        <v>197</v>
      </c>
      <c r="O4407" s="297" t="s">
        <v>198</v>
      </c>
      <c r="P4407" s="297" t="s">
        <v>199</v>
      </c>
      <c r="Q4407" s="297" t="s">
        <v>200</v>
      </c>
      <c r="R4407" s="297" t="s">
        <v>213</v>
      </c>
      <c r="S4407" s="297" t="s">
        <v>214</v>
      </c>
    </row>
    <row r="4408" spans="1:19" x14ac:dyDescent="0.4">
      <c r="A4408" s="291"/>
      <c r="B4408" s="292"/>
      <c r="C4408" s="312"/>
      <c r="D4408" s="292"/>
      <c r="E4408" s="489"/>
      <c r="F4408" s="489"/>
      <c r="G4408" s="490"/>
      <c r="H4408" s="520"/>
      <c r="I4408" s="523"/>
      <c r="J4408" s="521"/>
      <c r="K4408" s="522"/>
      <c r="M4408" s="301" t="str">
        <f>N4408&amp;AS[[#This Row],[Insurer Code]]&amp;"; "&amp;O4408&amp;AS[[#This Row],[Reporting Year]]&amp;"; "&amp;P4408&amp;AS[[#This Row],[Insurance Category Code]]&amp;"; "&amp;Q4408&amp;AS[[#This Row],[Large Provider Entity Code]]&amp;"; "&amp;R4408&amp;AS[[#This Row],[Age Band Code]]&amp;"; "&amp;S4408&amp;AS[[#This Row],[Sex Code]]</f>
        <v xml:space="preserve">Insurer Code ; Reporting Year ; Insurance Category Code ; Large Provider Entity Code ; Age Band Code ; Sex Code </v>
      </c>
      <c r="N4408" s="297" t="s">
        <v>197</v>
      </c>
      <c r="O4408" s="297" t="s">
        <v>198</v>
      </c>
      <c r="P4408" s="297" t="s">
        <v>199</v>
      </c>
      <c r="Q4408" s="297" t="s">
        <v>200</v>
      </c>
      <c r="R4408" s="297" t="s">
        <v>213</v>
      </c>
      <c r="S4408" s="297" t="s">
        <v>214</v>
      </c>
    </row>
    <row r="4409" spans="1:19" x14ac:dyDescent="0.4">
      <c r="A4409" s="291"/>
      <c r="B4409" s="292"/>
      <c r="C4409" s="312"/>
      <c r="D4409" s="292"/>
      <c r="E4409" s="489"/>
      <c r="F4409" s="489"/>
      <c r="G4409" s="490"/>
      <c r="H4409" s="520"/>
      <c r="I4409" s="523"/>
      <c r="J4409" s="521"/>
      <c r="K4409" s="522"/>
      <c r="M4409" s="301" t="str">
        <f>N4409&amp;AS[[#This Row],[Insurer Code]]&amp;"; "&amp;O4409&amp;AS[[#This Row],[Reporting Year]]&amp;"; "&amp;P4409&amp;AS[[#This Row],[Insurance Category Code]]&amp;"; "&amp;Q4409&amp;AS[[#This Row],[Large Provider Entity Code]]&amp;"; "&amp;R4409&amp;AS[[#This Row],[Age Band Code]]&amp;"; "&amp;S4409&amp;AS[[#This Row],[Sex Code]]</f>
        <v xml:space="preserve">Insurer Code ; Reporting Year ; Insurance Category Code ; Large Provider Entity Code ; Age Band Code ; Sex Code </v>
      </c>
      <c r="N4409" s="297" t="s">
        <v>197</v>
      </c>
      <c r="O4409" s="297" t="s">
        <v>198</v>
      </c>
      <c r="P4409" s="297" t="s">
        <v>199</v>
      </c>
      <c r="Q4409" s="297" t="s">
        <v>200</v>
      </c>
      <c r="R4409" s="297" t="s">
        <v>213</v>
      </c>
      <c r="S4409" s="297" t="s">
        <v>214</v>
      </c>
    </row>
    <row r="4410" spans="1:19" x14ac:dyDescent="0.4">
      <c r="A4410" s="291"/>
      <c r="B4410" s="292"/>
      <c r="C4410" s="312"/>
      <c r="D4410" s="292"/>
      <c r="E4410" s="489"/>
      <c r="F4410" s="489"/>
      <c r="G4410" s="490"/>
      <c r="H4410" s="520"/>
      <c r="I4410" s="523"/>
      <c r="J4410" s="521"/>
      <c r="K4410" s="522"/>
      <c r="M4410" s="301" t="str">
        <f>N4410&amp;AS[[#This Row],[Insurer Code]]&amp;"; "&amp;O4410&amp;AS[[#This Row],[Reporting Year]]&amp;"; "&amp;P4410&amp;AS[[#This Row],[Insurance Category Code]]&amp;"; "&amp;Q4410&amp;AS[[#This Row],[Large Provider Entity Code]]&amp;"; "&amp;R4410&amp;AS[[#This Row],[Age Band Code]]&amp;"; "&amp;S4410&amp;AS[[#This Row],[Sex Code]]</f>
        <v xml:space="preserve">Insurer Code ; Reporting Year ; Insurance Category Code ; Large Provider Entity Code ; Age Band Code ; Sex Code </v>
      </c>
      <c r="N4410" s="297" t="s">
        <v>197</v>
      </c>
      <c r="O4410" s="297" t="s">
        <v>198</v>
      </c>
      <c r="P4410" s="297" t="s">
        <v>199</v>
      </c>
      <c r="Q4410" s="297" t="s">
        <v>200</v>
      </c>
      <c r="R4410" s="297" t="s">
        <v>213</v>
      </c>
      <c r="S4410" s="297" t="s">
        <v>214</v>
      </c>
    </row>
    <row r="4411" spans="1:19" x14ac:dyDescent="0.4">
      <c r="A4411" s="291"/>
      <c r="B4411" s="292"/>
      <c r="C4411" s="312"/>
      <c r="D4411" s="292"/>
      <c r="E4411" s="489"/>
      <c r="F4411" s="489"/>
      <c r="G4411" s="490"/>
      <c r="H4411" s="520"/>
      <c r="I4411" s="523"/>
      <c r="J4411" s="521"/>
      <c r="K4411" s="522"/>
      <c r="M4411" s="301" t="str">
        <f>N4411&amp;AS[[#This Row],[Insurer Code]]&amp;"; "&amp;O4411&amp;AS[[#This Row],[Reporting Year]]&amp;"; "&amp;P4411&amp;AS[[#This Row],[Insurance Category Code]]&amp;"; "&amp;Q4411&amp;AS[[#This Row],[Large Provider Entity Code]]&amp;"; "&amp;R4411&amp;AS[[#This Row],[Age Band Code]]&amp;"; "&amp;S4411&amp;AS[[#This Row],[Sex Code]]</f>
        <v xml:space="preserve">Insurer Code ; Reporting Year ; Insurance Category Code ; Large Provider Entity Code ; Age Band Code ; Sex Code </v>
      </c>
      <c r="N4411" s="297" t="s">
        <v>197</v>
      </c>
      <c r="O4411" s="297" t="s">
        <v>198</v>
      </c>
      <c r="P4411" s="297" t="s">
        <v>199</v>
      </c>
      <c r="Q4411" s="297" t="s">
        <v>200</v>
      </c>
      <c r="R4411" s="297" t="s">
        <v>213</v>
      </c>
      <c r="S4411" s="297" t="s">
        <v>214</v>
      </c>
    </row>
    <row r="4412" spans="1:19" x14ac:dyDescent="0.4">
      <c r="A4412" s="291"/>
      <c r="B4412" s="292"/>
      <c r="C4412" s="312"/>
      <c r="D4412" s="292"/>
      <c r="E4412" s="489"/>
      <c r="F4412" s="489"/>
      <c r="G4412" s="490"/>
      <c r="H4412" s="520"/>
      <c r="I4412" s="523"/>
      <c r="J4412" s="521"/>
      <c r="K4412" s="522"/>
      <c r="M4412" s="301" t="str">
        <f>N4412&amp;AS[[#This Row],[Insurer Code]]&amp;"; "&amp;O4412&amp;AS[[#This Row],[Reporting Year]]&amp;"; "&amp;P4412&amp;AS[[#This Row],[Insurance Category Code]]&amp;"; "&amp;Q4412&amp;AS[[#This Row],[Large Provider Entity Code]]&amp;"; "&amp;R4412&amp;AS[[#This Row],[Age Band Code]]&amp;"; "&amp;S4412&amp;AS[[#This Row],[Sex Code]]</f>
        <v xml:space="preserve">Insurer Code ; Reporting Year ; Insurance Category Code ; Large Provider Entity Code ; Age Band Code ; Sex Code </v>
      </c>
      <c r="N4412" s="297" t="s">
        <v>197</v>
      </c>
      <c r="O4412" s="297" t="s">
        <v>198</v>
      </c>
      <c r="P4412" s="297" t="s">
        <v>199</v>
      </c>
      <c r="Q4412" s="297" t="s">
        <v>200</v>
      </c>
      <c r="R4412" s="297" t="s">
        <v>213</v>
      </c>
      <c r="S4412" s="297" t="s">
        <v>214</v>
      </c>
    </row>
    <row r="4413" spans="1:19" x14ac:dyDescent="0.4">
      <c r="A4413" s="291"/>
      <c r="B4413" s="292"/>
      <c r="C4413" s="312"/>
      <c r="D4413" s="292"/>
      <c r="E4413" s="489"/>
      <c r="F4413" s="489"/>
      <c r="G4413" s="490"/>
      <c r="H4413" s="520"/>
      <c r="I4413" s="523"/>
      <c r="J4413" s="521"/>
      <c r="K4413" s="522"/>
      <c r="M4413" s="301" t="str">
        <f>N4413&amp;AS[[#This Row],[Insurer Code]]&amp;"; "&amp;O4413&amp;AS[[#This Row],[Reporting Year]]&amp;"; "&amp;P4413&amp;AS[[#This Row],[Insurance Category Code]]&amp;"; "&amp;Q4413&amp;AS[[#This Row],[Large Provider Entity Code]]&amp;"; "&amp;R4413&amp;AS[[#This Row],[Age Band Code]]&amp;"; "&amp;S4413&amp;AS[[#This Row],[Sex Code]]</f>
        <v xml:space="preserve">Insurer Code ; Reporting Year ; Insurance Category Code ; Large Provider Entity Code ; Age Band Code ; Sex Code </v>
      </c>
      <c r="N4413" s="297" t="s">
        <v>197</v>
      </c>
      <c r="O4413" s="297" t="s">
        <v>198</v>
      </c>
      <c r="P4413" s="297" t="s">
        <v>199</v>
      </c>
      <c r="Q4413" s="297" t="s">
        <v>200</v>
      </c>
      <c r="R4413" s="297" t="s">
        <v>213</v>
      </c>
      <c r="S4413" s="297" t="s">
        <v>214</v>
      </c>
    </row>
    <row r="4414" spans="1:19" x14ac:dyDescent="0.4">
      <c r="A4414" s="291"/>
      <c r="B4414" s="292"/>
      <c r="C4414" s="312"/>
      <c r="D4414" s="292"/>
      <c r="E4414" s="489"/>
      <c r="F4414" s="489"/>
      <c r="G4414" s="490"/>
      <c r="H4414" s="520"/>
      <c r="I4414" s="523"/>
      <c r="J4414" s="521"/>
      <c r="K4414" s="522"/>
      <c r="M4414" s="301" t="str">
        <f>N4414&amp;AS[[#This Row],[Insurer Code]]&amp;"; "&amp;O4414&amp;AS[[#This Row],[Reporting Year]]&amp;"; "&amp;P4414&amp;AS[[#This Row],[Insurance Category Code]]&amp;"; "&amp;Q4414&amp;AS[[#This Row],[Large Provider Entity Code]]&amp;"; "&amp;R4414&amp;AS[[#This Row],[Age Band Code]]&amp;"; "&amp;S4414&amp;AS[[#This Row],[Sex Code]]</f>
        <v xml:space="preserve">Insurer Code ; Reporting Year ; Insurance Category Code ; Large Provider Entity Code ; Age Band Code ; Sex Code </v>
      </c>
      <c r="N4414" s="297" t="s">
        <v>197</v>
      </c>
      <c r="O4414" s="297" t="s">
        <v>198</v>
      </c>
      <c r="P4414" s="297" t="s">
        <v>199</v>
      </c>
      <c r="Q4414" s="297" t="s">
        <v>200</v>
      </c>
      <c r="R4414" s="297" t="s">
        <v>213</v>
      </c>
      <c r="S4414" s="297" t="s">
        <v>214</v>
      </c>
    </row>
    <row r="4415" spans="1:19" x14ac:dyDescent="0.4">
      <c r="A4415" s="291"/>
      <c r="B4415" s="292"/>
      <c r="C4415" s="312"/>
      <c r="D4415" s="292"/>
      <c r="E4415" s="489"/>
      <c r="F4415" s="489"/>
      <c r="G4415" s="490"/>
      <c r="H4415" s="520"/>
      <c r="I4415" s="523"/>
      <c r="J4415" s="521"/>
      <c r="K4415" s="522"/>
      <c r="M4415" s="301" t="str">
        <f>N4415&amp;AS[[#This Row],[Insurer Code]]&amp;"; "&amp;O4415&amp;AS[[#This Row],[Reporting Year]]&amp;"; "&amp;P4415&amp;AS[[#This Row],[Insurance Category Code]]&amp;"; "&amp;Q4415&amp;AS[[#This Row],[Large Provider Entity Code]]&amp;"; "&amp;R4415&amp;AS[[#This Row],[Age Band Code]]&amp;"; "&amp;S4415&amp;AS[[#This Row],[Sex Code]]</f>
        <v xml:space="preserve">Insurer Code ; Reporting Year ; Insurance Category Code ; Large Provider Entity Code ; Age Band Code ; Sex Code </v>
      </c>
      <c r="N4415" s="297" t="s">
        <v>197</v>
      </c>
      <c r="O4415" s="297" t="s">
        <v>198</v>
      </c>
      <c r="P4415" s="297" t="s">
        <v>199</v>
      </c>
      <c r="Q4415" s="297" t="s">
        <v>200</v>
      </c>
      <c r="R4415" s="297" t="s">
        <v>213</v>
      </c>
      <c r="S4415" s="297" t="s">
        <v>214</v>
      </c>
    </row>
    <row r="4416" spans="1:19" x14ac:dyDescent="0.4">
      <c r="A4416" s="291"/>
      <c r="B4416" s="292"/>
      <c r="C4416" s="312"/>
      <c r="D4416" s="292"/>
      <c r="E4416" s="489"/>
      <c r="F4416" s="489"/>
      <c r="G4416" s="490"/>
      <c r="H4416" s="520"/>
      <c r="I4416" s="523"/>
      <c r="J4416" s="521"/>
      <c r="K4416" s="522"/>
      <c r="M4416" s="301" t="str">
        <f>N4416&amp;AS[[#This Row],[Insurer Code]]&amp;"; "&amp;O4416&amp;AS[[#This Row],[Reporting Year]]&amp;"; "&amp;P4416&amp;AS[[#This Row],[Insurance Category Code]]&amp;"; "&amp;Q4416&amp;AS[[#This Row],[Large Provider Entity Code]]&amp;"; "&amp;R4416&amp;AS[[#This Row],[Age Band Code]]&amp;"; "&amp;S4416&amp;AS[[#This Row],[Sex Code]]</f>
        <v xml:space="preserve">Insurer Code ; Reporting Year ; Insurance Category Code ; Large Provider Entity Code ; Age Band Code ; Sex Code </v>
      </c>
      <c r="N4416" s="297" t="s">
        <v>197</v>
      </c>
      <c r="O4416" s="297" t="s">
        <v>198</v>
      </c>
      <c r="P4416" s="297" t="s">
        <v>199</v>
      </c>
      <c r="Q4416" s="297" t="s">
        <v>200</v>
      </c>
      <c r="R4416" s="297" t="s">
        <v>213</v>
      </c>
      <c r="S4416" s="297" t="s">
        <v>214</v>
      </c>
    </row>
    <row r="4417" spans="1:19" x14ac:dyDescent="0.4">
      <c r="A4417" s="291"/>
      <c r="B4417" s="292"/>
      <c r="C4417" s="312"/>
      <c r="D4417" s="292"/>
      <c r="E4417" s="489"/>
      <c r="F4417" s="489"/>
      <c r="G4417" s="490"/>
      <c r="H4417" s="520"/>
      <c r="I4417" s="523"/>
      <c r="J4417" s="521"/>
      <c r="K4417" s="522"/>
      <c r="M4417" s="301" t="str">
        <f>N4417&amp;AS[[#This Row],[Insurer Code]]&amp;"; "&amp;O4417&amp;AS[[#This Row],[Reporting Year]]&amp;"; "&amp;P4417&amp;AS[[#This Row],[Insurance Category Code]]&amp;"; "&amp;Q4417&amp;AS[[#This Row],[Large Provider Entity Code]]&amp;"; "&amp;R4417&amp;AS[[#This Row],[Age Band Code]]&amp;"; "&amp;S4417&amp;AS[[#This Row],[Sex Code]]</f>
        <v xml:space="preserve">Insurer Code ; Reporting Year ; Insurance Category Code ; Large Provider Entity Code ; Age Band Code ; Sex Code </v>
      </c>
      <c r="N4417" s="297" t="s">
        <v>197</v>
      </c>
      <c r="O4417" s="297" t="s">
        <v>198</v>
      </c>
      <c r="P4417" s="297" t="s">
        <v>199</v>
      </c>
      <c r="Q4417" s="297" t="s">
        <v>200</v>
      </c>
      <c r="R4417" s="297" t="s">
        <v>213</v>
      </c>
      <c r="S4417" s="297" t="s">
        <v>214</v>
      </c>
    </row>
    <row r="4418" spans="1:19" x14ac:dyDescent="0.4">
      <c r="A4418" s="291"/>
      <c r="B4418" s="292"/>
      <c r="C4418" s="312"/>
      <c r="D4418" s="292"/>
      <c r="E4418" s="489"/>
      <c r="F4418" s="489"/>
      <c r="G4418" s="490"/>
      <c r="H4418" s="520"/>
      <c r="I4418" s="523"/>
      <c r="J4418" s="521"/>
      <c r="K4418" s="522"/>
      <c r="M4418" s="301" t="str">
        <f>N4418&amp;AS[[#This Row],[Insurer Code]]&amp;"; "&amp;O4418&amp;AS[[#This Row],[Reporting Year]]&amp;"; "&amp;P4418&amp;AS[[#This Row],[Insurance Category Code]]&amp;"; "&amp;Q4418&amp;AS[[#This Row],[Large Provider Entity Code]]&amp;"; "&amp;R4418&amp;AS[[#This Row],[Age Band Code]]&amp;"; "&amp;S4418&amp;AS[[#This Row],[Sex Code]]</f>
        <v xml:space="preserve">Insurer Code ; Reporting Year ; Insurance Category Code ; Large Provider Entity Code ; Age Band Code ; Sex Code </v>
      </c>
      <c r="N4418" s="297" t="s">
        <v>197</v>
      </c>
      <c r="O4418" s="297" t="s">
        <v>198</v>
      </c>
      <c r="P4418" s="297" t="s">
        <v>199</v>
      </c>
      <c r="Q4418" s="297" t="s">
        <v>200</v>
      </c>
      <c r="R4418" s="297" t="s">
        <v>213</v>
      </c>
      <c r="S4418" s="297" t="s">
        <v>214</v>
      </c>
    </row>
    <row r="4419" spans="1:19" x14ac:dyDescent="0.4">
      <c r="A4419" s="291"/>
      <c r="B4419" s="292"/>
      <c r="C4419" s="312"/>
      <c r="D4419" s="292"/>
      <c r="E4419" s="489"/>
      <c r="F4419" s="489"/>
      <c r="G4419" s="490"/>
      <c r="H4419" s="520"/>
      <c r="I4419" s="523"/>
      <c r="J4419" s="521"/>
      <c r="K4419" s="522"/>
      <c r="M4419" s="301" t="str">
        <f>N4419&amp;AS[[#This Row],[Insurer Code]]&amp;"; "&amp;O4419&amp;AS[[#This Row],[Reporting Year]]&amp;"; "&amp;P4419&amp;AS[[#This Row],[Insurance Category Code]]&amp;"; "&amp;Q4419&amp;AS[[#This Row],[Large Provider Entity Code]]&amp;"; "&amp;R4419&amp;AS[[#This Row],[Age Band Code]]&amp;"; "&amp;S4419&amp;AS[[#This Row],[Sex Code]]</f>
        <v xml:space="preserve">Insurer Code ; Reporting Year ; Insurance Category Code ; Large Provider Entity Code ; Age Band Code ; Sex Code </v>
      </c>
      <c r="N4419" s="297" t="s">
        <v>197</v>
      </c>
      <c r="O4419" s="297" t="s">
        <v>198</v>
      </c>
      <c r="P4419" s="297" t="s">
        <v>199</v>
      </c>
      <c r="Q4419" s="297" t="s">
        <v>200</v>
      </c>
      <c r="R4419" s="297" t="s">
        <v>213</v>
      </c>
      <c r="S4419" s="297" t="s">
        <v>214</v>
      </c>
    </row>
    <row r="4420" spans="1:19" x14ac:dyDescent="0.4">
      <c r="A4420" s="291"/>
      <c r="B4420" s="292"/>
      <c r="C4420" s="312"/>
      <c r="D4420" s="292"/>
      <c r="E4420" s="489"/>
      <c r="F4420" s="489"/>
      <c r="G4420" s="490"/>
      <c r="H4420" s="520"/>
      <c r="I4420" s="523"/>
      <c r="J4420" s="521"/>
      <c r="K4420" s="522"/>
      <c r="M4420" s="301" t="str">
        <f>N4420&amp;AS[[#This Row],[Insurer Code]]&amp;"; "&amp;O4420&amp;AS[[#This Row],[Reporting Year]]&amp;"; "&amp;P4420&amp;AS[[#This Row],[Insurance Category Code]]&amp;"; "&amp;Q4420&amp;AS[[#This Row],[Large Provider Entity Code]]&amp;"; "&amp;R4420&amp;AS[[#This Row],[Age Band Code]]&amp;"; "&amp;S4420&amp;AS[[#This Row],[Sex Code]]</f>
        <v xml:space="preserve">Insurer Code ; Reporting Year ; Insurance Category Code ; Large Provider Entity Code ; Age Band Code ; Sex Code </v>
      </c>
      <c r="N4420" s="297" t="s">
        <v>197</v>
      </c>
      <c r="O4420" s="297" t="s">
        <v>198</v>
      </c>
      <c r="P4420" s="297" t="s">
        <v>199</v>
      </c>
      <c r="Q4420" s="297" t="s">
        <v>200</v>
      </c>
      <c r="R4420" s="297" t="s">
        <v>213</v>
      </c>
      <c r="S4420" s="297" t="s">
        <v>214</v>
      </c>
    </row>
    <row r="4421" spans="1:19" x14ac:dyDescent="0.4">
      <c r="A4421" s="291"/>
      <c r="B4421" s="292"/>
      <c r="C4421" s="312"/>
      <c r="D4421" s="292"/>
      <c r="E4421" s="489"/>
      <c r="F4421" s="489"/>
      <c r="G4421" s="490"/>
      <c r="H4421" s="520"/>
      <c r="I4421" s="523"/>
      <c r="J4421" s="521"/>
      <c r="K4421" s="522"/>
      <c r="M4421" s="301" t="str">
        <f>N4421&amp;AS[[#This Row],[Insurer Code]]&amp;"; "&amp;O4421&amp;AS[[#This Row],[Reporting Year]]&amp;"; "&amp;P4421&amp;AS[[#This Row],[Insurance Category Code]]&amp;"; "&amp;Q4421&amp;AS[[#This Row],[Large Provider Entity Code]]&amp;"; "&amp;R4421&amp;AS[[#This Row],[Age Band Code]]&amp;"; "&amp;S4421&amp;AS[[#This Row],[Sex Code]]</f>
        <v xml:space="preserve">Insurer Code ; Reporting Year ; Insurance Category Code ; Large Provider Entity Code ; Age Band Code ; Sex Code </v>
      </c>
      <c r="N4421" s="297" t="s">
        <v>197</v>
      </c>
      <c r="O4421" s="297" t="s">
        <v>198</v>
      </c>
      <c r="P4421" s="297" t="s">
        <v>199</v>
      </c>
      <c r="Q4421" s="297" t="s">
        <v>200</v>
      </c>
      <c r="R4421" s="297" t="s">
        <v>213</v>
      </c>
      <c r="S4421" s="297" t="s">
        <v>214</v>
      </c>
    </row>
    <row r="4422" spans="1:19" x14ac:dyDescent="0.4">
      <c r="A4422" s="291"/>
      <c r="B4422" s="292"/>
      <c r="C4422" s="312"/>
      <c r="D4422" s="292"/>
      <c r="E4422" s="489"/>
      <c r="F4422" s="489"/>
      <c r="G4422" s="490"/>
      <c r="H4422" s="520"/>
      <c r="I4422" s="523"/>
      <c r="J4422" s="521"/>
      <c r="K4422" s="522"/>
      <c r="M4422" s="301" t="str">
        <f>N4422&amp;AS[[#This Row],[Insurer Code]]&amp;"; "&amp;O4422&amp;AS[[#This Row],[Reporting Year]]&amp;"; "&amp;P4422&amp;AS[[#This Row],[Insurance Category Code]]&amp;"; "&amp;Q4422&amp;AS[[#This Row],[Large Provider Entity Code]]&amp;"; "&amp;R4422&amp;AS[[#This Row],[Age Band Code]]&amp;"; "&amp;S4422&amp;AS[[#This Row],[Sex Code]]</f>
        <v xml:space="preserve">Insurer Code ; Reporting Year ; Insurance Category Code ; Large Provider Entity Code ; Age Band Code ; Sex Code </v>
      </c>
      <c r="N4422" s="297" t="s">
        <v>197</v>
      </c>
      <c r="O4422" s="297" t="s">
        <v>198</v>
      </c>
      <c r="P4422" s="297" t="s">
        <v>199</v>
      </c>
      <c r="Q4422" s="297" t="s">
        <v>200</v>
      </c>
      <c r="R4422" s="297" t="s">
        <v>213</v>
      </c>
      <c r="S4422" s="297" t="s">
        <v>214</v>
      </c>
    </row>
    <row r="4423" spans="1:19" x14ac:dyDescent="0.4">
      <c r="A4423" s="291"/>
      <c r="B4423" s="292"/>
      <c r="C4423" s="312"/>
      <c r="D4423" s="292"/>
      <c r="E4423" s="489"/>
      <c r="F4423" s="489"/>
      <c r="G4423" s="490"/>
      <c r="H4423" s="520"/>
      <c r="I4423" s="523"/>
      <c r="J4423" s="521"/>
      <c r="K4423" s="522"/>
      <c r="M4423" s="301" t="str">
        <f>N4423&amp;AS[[#This Row],[Insurer Code]]&amp;"; "&amp;O4423&amp;AS[[#This Row],[Reporting Year]]&amp;"; "&amp;P4423&amp;AS[[#This Row],[Insurance Category Code]]&amp;"; "&amp;Q4423&amp;AS[[#This Row],[Large Provider Entity Code]]&amp;"; "&amp;R4423&amp;AS[[#This Row],[Age Band Code]]&amp;"; "&amp;S4423&amp;AS[[#This Row],[Sex Code]]</f>
        <v xml:space="preserve">Insurer Code ; Reporting Year ; Insurance Category Code ; Large Provider Entity Code ; Age Band Code ; Sex Code </v>
      </c>
      <c r="N4423" s="297" t="s">
        <v>197</v>
      </c>
      <c r="O4423" s="297" t="s">
        <v>198</v>
      </c>
      <c r="P4423" s="297" t="s">
        <v>199</v>
      </c>
      <c r="Q4423" s="297" t="s">
        <v>200</v>
      </c>
      <c r="R4423" s="297" t="s">
        <v>213</v>
      </c>
      <c r="S4423" s="297" t="s">
        <v>214</v>
      </c>
    </row>
    <row r="4424" spans="1:19" x14ac:dyDescent="0.4">
      <c r="A4424" s="291"/>
      <c r="B4424" s="292"/>
      <c r="C4424" s="312"/>
      <c r="D4424" s="292"/>
      <c r="E4424" s="489"/>
      <c r="F4424" s="489"/>
      <c r="G4424" s="490"/>
      <c r="H4424" s="520"/>
      <c r="I4424" s="523"/>
      <c r="J4424" s="521"/>
      <c r="K4424" s="522"/>
      <c r="M4424" s="301" t="str">
        <f>N4424&amp;AS[[#This Row],[Insurer Code]]&amp;"; "&amp;O4424&amp;AS[[#This Row],[Reporting Year]]&amp;"; "&amp;P4424&amp;AS[[#This Row],[Insurance Category Code]]&amp;"; "&amp;Q4424&amp;AS[[#This Row],[Large Provider Entity Code]]&amp;"; "&amp;R4424&amp;AS[[#This Row],[Age Band Code]]&amp;"; "&amp;S4424&amp;AS[[#This Row],[Sex Code]]</f>
        <v xml:space="preserve">Insurer Code ; Reporting Year ; Insurance Category Code ; Large Provider Entity Code ; Age Band Code ; Sex Code </v>
      </c>
      <c r="N4424" s="297" t="s">
        <v>197</v>
      </c>
      <c r="O4424" s="297" t="s">
        <v>198</v>
      </c>
      <c r="P4424" s="297" t="s">
        <v>199</v>
      </c>
      <c r="Q4424" s="297" t="s">
        <v>200</v>
      </c>
      <c r="R4424" s="297" t="s">
        <v>213</v>
      </c>
      <c r="S4424" s="297" t="s">
        <v>214</v>
      </c>
    </row>
    <row r="4425" spans="1:19" x14ac:dyDescent="0.4">
      <c r="A4425" s="291"/>
      <c r="B4425" s="292"/>
      <c r="C4425" s="312"/>
      <c r="D4425" s="292"/>
      <c r="E4425" s="489"/>
      <c r="F4425" s="489"/>
      <c r="G4425" s="490"/>
      <c r="H4425" s="520"/>
      <c r="I4425" s="523"/>
      <c r="J4425" s="521"/>
      <c r="K4425" s="522"/>
      <c r="M4425" s="301" t="str">
        <f>N4425&amp;AS[[#This Row],[Insurer Code]]&amp;"; "&amp;O4425&amp;AS[[#This Row],[Reporting Year]]&amp;"; "&amp;P4425&amp;AS[[#This Row],[Insurance Category Code]]&amp;"; "&amp;Q4425&amp;AS[[#This Row],[Large Provider Entity Code]]&amp;"; "&amp;R4425&amp;AS[[#This Row],[Age Band Code]]&amp;"; "&amp;S4425&amp;AS[[#This Row],[Sex Code]]</f>
        <v xml:space="preserve">Insurer Code ; Reporting Year ; Insurance Category Code ; Large Provider Entity Code ; Age Band Code ; Sex Code </v>
      </c>
      <c r="N4425" s="297" t="s">
        <v>197</v>
      </c>
      <c r="O4425" s="297" t="s">
        <v>198</v>
      </c>
      <c r="P4425" s="297" t="s">
        <v>199</v>
      </c>
      <c r="Q4425" s="297" t="s">
        <v>200</v>
      </c>
      <c r="R4425" s="297" t="s">
        <v>213</v>
      </c>
      <c r="S4425" s="297" t="s">
        <v>214</v>
      </c>
    </row>
    <row r="4426" spans="1:19" x14ac:dyDescent="0.4">
      <c r="A4426" s="291"/>
      <c r="B4426" s="292"/>
      <c r="C4426" s="312"/>
      <c r="D4426" s="292"/>
      <c r="E4426" s="489"/>
      <c r="F4426" s="489"/>
      <c r="G4426" s="490"/>
      <c r="H4426" s="520"/>
      <c r="I4426" s="523"/>
      <c r="J4426" s="521"/>
      <c r="K4426" s="522"/>
      <c r="M4426" s="301" t="str">
        <f>N4426&amp;AS[[#This Row],[Insurer Code]]&amp;"; "&amp;O4426&amp;AS[[#This Row],[Reporting Year]]&amp;"; "&amp;P4426&amp;AS[[#This Row],[Insurance Category Code]]&amp;"; "&amp;Q4426&amp;AS[[#This Row],[Large Provider Entity Code]]&amp;"; "&amp;R4426&amp;AS[[#This Row],[Age Band Code]]&amp;"; "&amp;S4426&amp;AS[[#This Row],[Sex Code]]</f>
        <v xml:space="preserve">Insurer Code ; Reporting Year ; Insurance Category Code ; Large Provider Entity Code ; Age Band Code ; Sex Code </v>
      </c>
      <c r="N4426" s="297" t="s">
        <v>197</v>
      </c>
      <c r="O4426" s="297" t="s">
        <v>198</v>
      </c>
      <c r="P4426" s="297" t="s">
        <v>199</v>
      </c>
      <c r="Q4426" s="297" t="s">
        <v>200</v>
      </c>
      <c r="R4426" s="297" t="s">
        <v>213</v>
      </c>
      <c r="S4426" s="297" t="s">
        <v>214</v>
      </c>
    </row>
    <row r="4427" spans="1:19" x14ac:dyDescent="0.4">
      <c r="A4427" s="291"/>
      <c r="B4427" s="292"/>
      <c r="C4427" s="312"/>
      <c r="D4427" s="292"/>
      <c r="E4427" s="489"/>
      <c r="F4427" s="489"/>
      <c r="G4427" s="490"/>
      <c r="H4427" s="520"/>
      <c r="I4427" s="523"/>
      <c r="J4427" s="521"/>
      <c r="K4427" s="522"/>
      <c r="M4427" s="301" t="str">
        <f>N4427&amp;AS[[#This Row],[Insurer Code]]&amp;"; "&amp;O4427&amp;AS[[#This Row],[Reporting Year]]&amp;"; "&amp;P4427&amp;AS[[#This Row],[Insurance Category Code]]&amp;"; "&amp;Q4427&amp;AS[[#This Row],[Large Provider Entity Code]]&amp;"; "&amp;R4427&amp;AS[[#This Row],[Age Band Code]]&amp;"; "&amp;S4427&amp;AS[[#This Row],[Sex Code]]</f>
        <v xml:space="preserve">Insurer Code ; Reporting Year ; Insurance Category Code ; Large Provider Entity Code ; Age Band Code ; Sex Code </v>
      </c>
      <c r="N4427" s="297" t="s">
        <v>197</v>
      </c>
      <c r="O4427" s="297" t="s">
        <v>198</v>
      </c>
      <c r="P4427" s="297" t="s">
        <v>199</v>
      </c>
      <c r="Q4427" s="297" t="s">
        <v>200</v>
      </c>
      <c r="R4427" s="297" t="s">
        <v>213</v>
      </c>
      <c r="S4427" s="297" t="s">
        <v>214</v>
      </c>
    </row>
    <row r="4428" spans="1:19" x14ac:dyDescent="0.4">
      <c r="A4428" s="291"/>
      <c r="B4428" s="292"/>
      <c r="C4428" s="312"/>
      <c r="D4428" s="292"/>
      <c r="E4428" s="489"/>
      <c r="F4428" s="489"/>
      <c r="G4428" s="490"/>
      <c r="H4428" s="520"/>
      <c r="I4428" s="523"/>
      <c r="J4428" s="521"/>
      <c r="K4428" s="522"/>
      <c r="M4428" s="301" t="str">
        <f>N4428&amp;AS[[#This Row],[Insurer Code]]&amp;"; "&amp;O4428&amp;AS[[#This Row],[Reporting Year]]&amp;"; "&amp;P4428&amp;AS[[#This Row],[Insurance Category Code]]&amp;"; "&amp;Q4428&amp;AS[[#This Row],[Large Provider Entity Code]]&amp;"; "&amp;R4428&amp;AS[[#This Row],[Age Band Code]]&amp;"; "&amp;S4428&amp;AS[[#This Row],[Sex Code]]</f>
        <v xml:space="preserve">Insurer Code ; Reporting Year ; Insurance Category Code ; Large Provider Entity Code ; Age Band Code ; Sex Code </v>
      </c>
      <c r="N4428" s="297" t="s">
        <v>197</v>
      </c>
      <c r="O4428" s="297" t="s">
        <v>198</v>
      </c>
      <c r="P4428" s="297" t="s">
        <v>199</v>
      </c>
      <c r="Q4428" s="297" t="s">
        <v>200</v>
      </c>
      <c r="R4428" s="297" t="s">
        <v>213</v>
      </c>
      <c r="S4428" s="297" t="s">
        <v>214</v>
      </c>
    </row>
    <row r="4429" spans="1:19" x14ac:dyDescent="0.4">
      <c r="A4429" s="291"/>
      <c r="B4429" s="292"/>
      <c r="C4429" s="312"/>
      <c r="D4429" s="292"/>
      <c r="E4429" s="489"/>
      <c r="F4429" s="489"/>
      <c r="G4429" s="490"/>
      <c r="H4429" s="520"/>
      <c r="I4429" s="523"/>
      <c r="J4429" s="521"/>
      <c r="K4429" s="522"/>
      <c r="M4429" s="301" t="str">
        <f>N4429&amp;AS[[#This Row],[Insurer Code]]&amp;"; "&amp;O4429&amp;AS[[#This Row],[Reporting Year]]&amp;"; "&amp;P4429&amp;AS[[#This Row],[Insurance Category Code]]&amp;"; "&amp;Q4429&amp;AS[[#This Row],[Large Provider Entity Code]]&amp;"; "&amp;R4429&amp;AS[[#This Row],[Age Band Code]]&amp;"; "&amp;S4429&amp;AS[[#This Row],[Sex Code]]</f>
        <v xml:space="preserve">Insurer Code ; Reporting Year ; Insurance Category Code ; Large Provider Entity Code ; Age Band Code ; Sex Code </v>
      </c>
      <c r="N4429" s="297" t="s">
        <v>197</v>
      </c>
      <c r="O4429" s="297" t="s">
        <v>198</v>
      </c>
      <c r="P4429" s="297" t="s">
        <v>199</v>
      </c>
      <c r="Q4429" s="297" t="s">
        <v>200</v>
      </c>
      <c r="R4429" s="297" t="s">
        <v>213</v>
      </c>
      <c r="S4429" s="297" t="s">
        <v>214</v>
      </c>
    </row>
    <row r="4430" spans="1:19" x14ac:dyDescent="0.4">
      <c r="A4430" s="291"/>
      <c r="B4430" s="292"/>
      <c r="C4430" s="312"/>
      <c r="D4430" s="292"/>
      <c r="E4430" s="489"/>
      <c r="F4430" s="489"/>
      <c r="G4430" s="490"/>
      <c r="H4430" s="520"/>
      <c r="I4430" s="523"/>
      <c r="J4430" s="521"/>
      <c r="K4430" s="522"/>
      <c r="M4430" s="301" t="str">
        <f>N4430&amp;AS[[#This Row],[Insurer Code]]&amp;"; "&amp;O4430&amp;AS[[#This Row],[Reporting Year]]&amp;"; "&amp;P4430&amp;AS[[#This Row],[Insurance Category Code]]&amp;"; "&amp;Q4430&amp;AS[[#This Row],[Large Provider Entity Code]]&amp;"; "&amp;R4430&amp;AS[[#This Row],[Age Band Code]]&amp;"; "&amp;S4430&amp;AS[[#This Row],[Sex Code]]</f>
        <v xml:space="preserve">Insurer Code ; Reporting Year ; Insurance Category Code ; Large Provider Entity Code ; Age Band Code ; Sex Code </v>
      </c>
      <c r="N4430" s="297" t="s">
        <v>197</v>
      </c>
      <c r="O4430" s="297" t="s">
        <v>198</v>
      </c>
      <c r="P4430" s="297" t="s">
        <v>199</v>
      </c>
      <c r="Q4430" s="297" t="s">
        <v>200</v>
      </c>
      <c r="R4430" s="297" t="s">
        <v>213</v>
      </c>
      <c r="S4430" s="297" t="s">
        <v>214</v>
      </c>
    </row>
    <row r="4431" spans="1:19" x14ac:dyDescent="0.4">
      <c r="A4431" s="291"/>
      <c r="B4431" s="292"/>
      <c r="C4431" s="312"/>
      <c r="D4431" s="292"/>
      <c r="E4431" s="489"/>
      <c r="F4431" s="489"/>
      <c r="G4431" s="490"/>
      <c r="H4431" s="520"/>
      <c r="I4431" s="523"/>
      <c r="J4431" s="521"/>
      <c r="K4431" s="522"/>
      <c r="M4431" s="301" t="str">
        <f>N4431&amp;AS[[#This Row],[Insurer Code]]&amp;"; "&amp;O4431&amp;AS[[#This Row],[Reporting Year]]&amp;"; "&amp;P4431&amp;AS[[#This Row],[Insurance Category Code]]&amp;"; "&amp;Q4431&amp;AS[[#This Row],[Large Provider Entity Code]]&amp;"; "&amp;R4431&amp;AS[[#This Row],[Age Band Code]]&amp;"; "&amp;S4431&amp;AS[[#This Row],[Sex Code]]</f>
        <v xml:space="preserve">Insurer Code ; Reporting Year ; Insurance Category Code ; Large Provider Entity Code ; Age Band Code ; Sex Code </v>
      </c>
      <c r="N4431" s="297" t="s">
        <v>197</v>
      </c>
      <c r="O4431" s="297" t="s">
        <v>198</v>
      </c>
      <c r="P4431" s="297" t="s">
        <v>199</v>
      </c>
      <c r="Q4431" s="297" t="s">
        <v>200</v>
      </c>
      <c r="R4431" s="297" t="s">
        <v>213</v>
      </c>
      <c r="S4431" s="297" t="s">
        <v>214</v>
      </c>
    </row>
    <row r="4432" spans="1:19" x14ac:dyDescent="0.4">
      <c r="A4432" s="291"/>
      <c r="B4432" s="292"/>
      <c r="C4432" s="312"/>
      <c r="D4432" s="292"/>
      <c r="E4432" s="489"/>
      <c r="F4432" s="489"/>
      <c r="G4432" s="490"/>
      <c r="H4432" s="520"/>
      <c r="I4432" s="523"/>
      <c r="J4432" s="521"/>
      <c r="K4432" s="522"/>
      <c r="M4432" s="301" t="str">
        <f>N4432&amp;AS[[#This Row],[Insurer Code]]&amp;"; "&amp;O4432&amp;AS[[#This Row],[Reporting Year]]&amp;"; "&amp;P4432&amp;AS[[#This Row],[Insurance Category Code]]&amp;"; "&amp;Q4432&amp;AS[[#This Row],[Large Provider Entity Code]]&amp;"; "&amp;R4432&amp;AS[[#This Row],[Age Band Code]]&amp;"; "&amp;S4432&amp;AS[[#This Row],[Sex Code]]</f>
        <v xml:space="preserve">Insurer Code ; Reporting Year ; Insurance Category Code ; Large Provider Entity Code ; Age Band Code ; Sex Code </v>
      </c>
      <c r="N4432" s="297" t="s">
        <v>197</v>
      </c>
      <c r="O4432" s="297" t="s">
        <v>198</v>
      </c>
      <c r="P4432" s="297" t="s">
        <v>199</v>
      </c>
      <c r="Q4432" s="297" t="s">
        <v>200</v>
      </c>
      <c r="R4432" s="297" t="s">
        <v>213</v>
      </c>
      <c r="S4432" s="297" t="s">
        <v>214</v>
      </c>
    </row>
    <row r="4433" spans="1:19" x14ac:dyDescent="0.4">
      <c r="A4433" s="291"/>
      <c r="B4433" s="292"/>
      <c r="C4433" s="312"/>
      <c r="D4433" s="292"/>
      <c r="E4433" s="489"/>
      <c r="F4433" s="489"/>
      <c r="G4433" s="490"/>
      <c r="H4433" s="520"/>
      <c r="I4433" s="523"/>
      <c r="J4433" s="521"/>
      <c r="K4433" s="522"/>
      <c r="M4433" s="301" t="str">
        <f>N4433&amp;AS[[#This Row],[Insurer Code]]&amp;"; "&amp;O4433&amp;AS[[#This Row],[Reporting Year]]&amp;"; "&amp;P4433&amp;AS[[#This Row],[Insurance Category Code]]&amp;"; "&amp;Q4433&amp;AS[[#This Row],[Large Provider Entity Code]]&amp;"; "&amp;R4433&amp;AS[[#This Row],[Age Band Code]]&amp;"; "&amp;S4433&amp;AS[[#This Row],[Sex Code]]</f>
        <v xml:space="preserve">Insurer Code ; Reporting Year ; Insurance Category Code ; Large Provider Entity Code ; Age Band Code ; Sex Code </v>
      </c>
      <c r="N4433" s="297" t="s">
        <v>197</v>
      </c>
      <c r="O4433" s="297" t="s">
        <v>198</v>
      </c>
      <c r="P4433" s="297" t="s">
        <v>199</v>
      </c>
      <c r="Q4433" s="297" t="s">
        <v>200</v>
      </c>
      <c r="R4433" s="297" t="s">
        <v>213</v>
      </c>
      <c r="S4433" s="297" t="s">
        <v>214</v>
      </c>
    </row>
    <row r="4434" spans="1:19" x14ac:dyDescent="0.4">
      <c r="A4434" s="291"/>
      <c r="B4434" s="292"/>
      <c r="C4434" s="312"/>
      <c r="D4434" s="292"/>
      <c r="E4434" s="489"/>
      <c r="F4434" s="489"/>
      <c r="G4434" s="490"/>
      <c r="H4434" s="520"/>
      <c r="I4434" s="523"/>
      <c r="J4434" s="521"/>
      <c r="K4434" s="522"/>
      <c r="M4434" s="301" t="str">
        <f>N4434&amp;AS[[#This Row],[Insurer Code]]&amp;"; "&amp;O4434&amp;AS[[#This Row],[Reporting Year]]&amp;"; "&amp;P4434&amp;AS[[#This Row],[Insurance Category Code]]&amp;"; "&amp;Q4434&amp;AS[[#This Row],[Large Provider Entity Code]]&amp;"; "&amp;R4434&amp;AS[[#This Row],[Age Band Code]]&amp;"; "&amp;S4434&amp;AS[[#This Row],[Sex Code]]</f>
        <v xml:space="preserve">Insurer Code ; Reporting Year ; Insurance Category Code ; Large Provider Entity Code ; Age Band Code ; Sex Code </v>
      </c>
      <c r="N4434" s="297" t="s">
        <v>197</v>
      </c>
      <c r="O4434" s="297" t="s">
        <v>198</v>
      </c>
      <c r="P4434" s="297" t="s">
        <v>199</v>
      </c>
      <c r="Q4434" s="297" t="s">
        <v>200</v>
      </c>
      <c r="R4434" s="297" t="s">
        <v>213</v>
      </c>
      <c r="S4434" s="297" t="s">
        <v>214</v>
      </c>
    </row>
    <row r="4435" spans="1:19" x14ac:dyDescent="0.4">
      <c r="A4435" s="291"/>
      <c r="B4435" s="292"/>
      <c r="C4435" s="312"/>
      <c r="D4435" s="292"/>
      <c r="E4435" s="489"/>
      <c r="F4435" s="489"/>
      <c r="G4435" s="490"/>
      <c r="H4435" s="520"/>
      <c r="I4435" s="523"/>
      <c r="J4435" s="521"/>
      <c r="K4435" s="522"/>
      <c r="M4435" s="301" t="str">
        <f>N4435&amp;AS[[#This Row],[Insurer Code]]&amp;"; "&amp;O4435&amp;AS[[#This Row],[Reporting Year]]&amp;"; "&amp;P4435&amp;AS[[#This Row],[Insurance Category Code]]&amp;"; "&amp;Q4435&amp;AS[[#This Row],[Large Provider Entity Code]]&amp;"; "&amp;R4435&amp;AS[[#This Row],[Age Band Code]]&amp;"; "&amp;S4435&amp;AS[[#This Row],[Sex Code]]</f>
        <v xml:space="preserve">Insurer Code ; Reporting Year ; Insurance Category Code ; Large Provider Entity Code ; Age Band Code ; Sex Code </v>
      </c>
      <c r="N4435" s="297" t="s">
        <v>197</v>
      </c>
      <c r="O4435" s="297" t="s">
        <v>198</v>
      </c>
      <c r="P4435" s="297" t="s">
        <v>199</v>
      </c>
      <c r="Q4435" s="297" t="s">
        <v>200</v>
      </c>
      <c r="R4435" s="297" t="s">
        <v>213</v>
      </c>
      <c r="S4435" s="297" t="s">
        <v>214</v>
      </c>
    </row>
    <row r="4436" spans="1:19" x14ac:dyDescent="0.4">
      <c r="A4436" s="291"/>
      <c r="B4436" s="292"/>
      <c r="C4436" s="312"/>
      <c r="D4436" s="292"/>
      <c r="E4436" s="489"/>
      <c r="F4436" s="489"/>
      <c r="G4436" s="490"/>
      <c r="H4436" s="520"/>
      <c r="I4436" s="523"/>
      <c r="J4436" s="521"/>
      <c r="K4436" s="522"/>
      <c r="M4436" s="301" t="str">
        <f>N4436&amp;AS[[#This Row],[Insurer Code]]&amp;"; "&amp;O4436&amp;AS[[#This Row],[Reporting Year]]&amp;"; "&amp;P4436&amp;AS[[#This Row],[Insurance Category Code]]&amp;"; "&amp;Q4436&amp;AS[[#This Row],[Large Provider Entity Code]]&amp;"; "&amp;R4436&amp;AS[[#This Row],[Age Band Code]]&amp;"; "&amp;S4436&amp;AS[[#This Row],[Sex Code]]</f>
        <v xml:space="preserve">Insurer Code ; Reporting Year ; Insurance Category Code ; Large Provider Entity Code ; Age Band Code ; Sex Code </v>
      </c>
      <c r="N4436" s="297" t="s">
        <v>197</v>
      </c>
      <c r="O4436" s="297" t="s">
        <v>198</v>
      </c>
      <c r="P4436" s="297" t="s">
        <v>199</v>
      </c>
      <c r="Q4436" s="297" t="s">
        <v>200</v>
      </c>
      <c r="R4436" s="297" t="s">
        <v>213</v>
      </c>
      <c r="S4436" s="297" t="s">
        <v>214</v>
      </c>
    </row>
    <row r="4437" spans="1:19" x14ac:dyDescent="0.4">
      <c r="A4437" s="291"/>
      <c r="B4437" s="292"/>
      <c r="C4437" s="312"/>
      <c r="D4437" s="292"/>
      <c r="E4437" s="489"/>
      <c r="F4437" s="489"/>
      <c r="G4437" s="490"/>
      <c r="H4437" s="520"/>
      <c r="I4437" s="523"/>
      <c r="J4437" s="521"/>
      <c r="K4437" s="522"/>
      <c r="M4437" s="301" t="str">
        <f>N4437&amp;AS[[#This Row],[Insurer Code]]&amp;"; "&amp;O4437&amp;AS[[#This Row],[Reporting Year]]&amp;"; "&amp;P4437&amp;AS[[#This Row],[Insurance Category Code]]&amp;"; "&amp;Q4437&amp;AS[[#This Row],[Large Provider Entity Code]]&amp;"; "&amp;R4437&amp;AS[[#This Row],[Age Band Code]]&amp;"; "&amp;S4437&amp;AS[[#This Row],[Sex Code]]</f>
        <v xml:space="preserve">Insurer Code ; Reporting Year ; Insurance Category Code ; Large Provider Entity Code ; Age Band Code ; Sex Code </v>
      </c>
      <c r="N4437" s="297" t="s">
        <v>197</v>
      </c>
      <c r="O4437" s="297" t="s">
        <v>198</v>
      </c>
      <c r="P4437" s="297" t="s">
        <v>199</v>
      </c>
      <c r="Q4437" s="297" t="s">
        <v>200</v>
      </c>
      <c r="R4437" s="297" t="s">
        <v>213</v>
      </c>
      <c r="S4437" s="297" t="s">
        <v>214</v>
      </c>
    </row>
    <row r="4438" spans="1:19" x14ac:dyDescent="0.4">
      <c r="A4438" s="291"/>
      <c r="B4438" s="292"/>
      <c r="C4438" s="312"/>
      <c r="D4438" s="292"/>
      <c r="E4438" s="489"/>
      <c r="F4438" s="489"/>
      <c r="G4438" s="490"/>
      <c r="H4438" s="520"/>
      <c r="I4438" s="523"/>
      <c r="J4438" s="521"/>
      <c r="K4438" s="522"/>
      <c r="M4438" s="301" t="str">
        <f>N4438&amp;AS[[#This Row],[Insurer Code]]&amp;"; "&amp;O4438&amp;AS[[#This Row],[Reporting Year]]&amp;"; "&amp;P4438&amp;AS[[#This Row],[Insurance Category Code]]&amp;"; "&amp;Q4438&amp;AS[[#This Row],[Large Provider Entity Code]]&amp;"; "&amp;R4438&amp;AS[[#This Row],[Age Band Code]]&amp;"; "&amp;S4438&amp;AS[[#This Row],[Sex Code]]</f>
        <v xml:space="preserve">Insurer Code ; Reporting Year ; Insurance Category Code ; Large Provider Entity Code ; Age Band Code ; Sex Code </v>
      </c>
      <c r="N4438" s="297" t="s">
        <v>197</v>
      </c>
      <c r="O4438" s="297" t="s">
        <v>198</v>
      </c>
      <c r="P4438" s="297" t="s">
        <v>199</v>
      </c>
      <c r="Q4438" s="297" t="s">
        <v>200</v>
      </c>
      <c r="R4438" s="297" t="s">
        <v>213</v>
      </c>
      <c r="S4438" s="297" t="s">
        <v>214</v>
      </c>
    </row>
    <row r="4439" spans="1:19" x14ac:dyDescent="0.4">
      <c r="A4439" s="291"/>
      <c r="B4439" s="292"/>
      <c r="C4439" s="312"/>
      <c r="D4439" s="292"/>
      <c r="E4439" s="489"/>
      <c r="F4439" s="489"/>
      <c r="G4439" s="490"/>
      <c r="H4439" s="520"/>
      <c r="I4439" s="523"/>
      <c r="J4439" s="521"/>
      <c r="K4439" s="522"/>
      <c r="M4439" s="301" t="str">
        <f>N4439&amp;AS[[#This Row],[Insurer Code]]&amp;"; "&amp;O4439&amp;AS[[#This Row],[Reporting Year]]&amp;"; "&amp;P4439&amp;AS[[#This Row],[Insurance Category Code]]&amp;"; "&amp;Q4439&amp;AS[[#This Row],[Large Provider Entity Code]]&amp;"; "&amp;R4439&amp;AS[[#This Row],[Age Band Code]]&amp;"; "&amp;S4439&amp;AS[[#This Row],[Sex Code]]</f>
        <v xml:space="preserve">Insurer Code ; Reporting Year ; Insurance Category Code ; Large Provider Entity Code ; Age Band Code ; Sex Code </v>
      </c>
      <c r="N4439" s="297" t="s">
        <v>197</v>
      </c>
      <c r="O4439" s="297" t="s">
        <v>198</v>
      </c>
      <c r="P4439" s="297" t="s">
        <v>199</v>
      </c>
      <c r="Q4439" s="297" t="s">
        <v>200</v>
      </c>
      <c r="R4439" s="297" t="s">
        <v>213</v>
      </c>
      <c r="S4439" s="297" t="s">
        <v>214</v>
      </c>
    </row>
    <row r="4440" spans="1:19" x14ac:dyDescent="0.4">
      <c r="A4440" s="291"/>
      <c r="B4440" s="292"/>
      <c r="C4440" s="312"/>
      <c r="D4440" s="292"/>
      <c r="E4440" s="489"/>
      <c r="F4440" s="489"/>
      <c r="G4440" s="490"/>
      <c r="H4440" s="520"/>
      <c r="I4440" s="523"/>
      <c r="J4440" s="521"/>
      <c r="K4440" s="522"/>
      <c r="M4440" s="301" t="str">
        <f>N4440&amp;AS[[#This Row],[Insurer Code]]&amp;"; "&amp;O4440&amp;AS[[#This Row],[Reporting Year]]&amp;"; "&amp;P4440&amp;AS[[#This Row],[Insurance Category Code]]&amp;"; "&amp;Q4440&amp;AS[[#This Row],[Large Provider Entity Code]]&amp;"; "&amp;R4440&amp;AS[[#This Row],[Age Band Code]]&amp;"; "&amp;S4440&amp;AS[[#This Row],[Sex Code]]</f>
        <v xml:space="preserve">Insurer Code ; Reporting Year ; Insurance Category Code ; Large Provider Entity Code ; Age Band Code ; Sex Code </v>
      </c>
      <c r="N4440" s="297" t="s">
        <v>197</v>
      </c>
      <c r="O4440" s="297" t="s">
        <v>198</v>
      </c>
      <c r="P4440" s="297" t="s">
        <v>199</v>
      </c>
      <c r="Q4440" s="297" t="s">
        <v>200</v>
      </c>
      <c r="R4440" s="297" t="s">
        <v>213</v>
      </c>
      <c r="S4440" s="297" t="s">
        <v>214</v>
      </c>
    </row>
    <row r="4441" spans="1:19" x14ac:dyDescent="0.4">
      <c r="A4441" s="291"/>
      <c r="B4441" s="292"/>
      <c r="C4441" s="312"/>
      <c r="D4441" s="292"/>
      <c r="E4441" s="489"/>
      <c r="F4441" s="489"/>
      <c r="G4441" s="490"/>
      <c r="H4441" s="520"/>
      <c r="I4441" s="523"/>
      <c r="J4441" s="521"/>
      <c r="K4441" s="522"/>
      <c r="M4441" s="301" t="str">
        <f>N4441&amp;AS[[#This Row],[Insurer Code]]&amp;"; "&amp;O4441&amp;AS[[#This Row],[Reporting Year]]&amp;"; "&amp;P4441&amp;AS[[#This Row],[Insurance Category Code]]&amp;"; "&amp;Q4441&amp;AS[[#This Row],[Large Provider Entity Code]]&amp;"; "&amp;R4441&amp;AS[[#This Row],[Age Band Code]]&amp;"; "&amp;S4441&amp;AS[[#This Row],[Sex Code]]</f>
        <v xml:space="preserve">Insurer Code ; Reporting Year ; Insurance Category Code ; Large Provider Entity Code ; Age Band Code ; Sex Code </v>
      </c>
      <c r="N4441" s="297" t="s">
        <v>197</v>
      </c>
      <c r="O4441" s="297" t="s">
        <v>198</v>
      </c>
      <c r="P4441" s="297" t="s">
        <v>199</v>
      </c>
      <c r="Q4441" s="297" t="s">
        <v>200</v>
      </c>
      <c r="R4441" s="297" t="s">
        <v>213</v>
      </c>
      <c r="S4441" s="297" t="s">
        <v>214</v>
      </c>
    </row>
    <row r="4442" spans="1:19" x14ac:dyDescent="0.4">
      <c r="A4442" s="291"/>
      <c r="B4442" s="292"/>
      <c r="C4442" s="312"/>
      <c r="D4442" s="292"/>
      <c r="E4442" s="489"/>
      <c r="F4442" s="489"/>
      <c r="G4442" s="490"/>
      <c r="H4442" s="520"/>
      <c r="I4442" s="523"/>
      <c r="J4442" s="521"/>
      <c r="K4442" s="522"/>
      <c r="M4442" s="301" t="str">
        <f>N4442&amp;AS[[#This Row],[Insurer Code]]&amp;"; "&amp;O4442&amp;AS[[#This Row],[Reporting Year]]&amp;"; "&amp;P4442&amp;AS[[#This Row],[Insurance Category Code]]&amp;"; "&amp;Q4442&amp;AS[[#This Row],[Large Provider Entity Code]]&amp;"; "&amp;R4442&amp;AS[[#This Row],[Age Band Code]]&amp;"; "&amp;S4442&amp;AS[[#This Row],[Sex Code]]</f>
        <v xml:space="preserve">Insurer Code ; Reporting Year ; Insurance Category Code ; Large Provider Entity Code ; Age Band Code ; Sex Code </v>
      </c>
      <c r="N4442" s="297" t="s">
        <v>197</v>
      </c>
      <c r="O4442" s="297" t="s">
        <v>198</v>
      </c>
      <c r="P4442" s="297" t="s">
        <v>199</v>
      </c>
      <c r="Q4442" s="297" t="s">
        <v>200</v>
      </c>
      <c r="R4442" s="297" t="s">
        <v>213</v>
      </c>
      <c r="S4442" s="297" t="s">
        <v>214</v>
      </c>
    </row>
    <row r="4443" spans="1:19" x14ac:dyDescent="0.4">
      <c r="A4443" s="291"/>
      <c r="B4443" s="292"/>
      <c r="C4443" s="312"/>
      <c r="D4443" s="292"/>
      <c r="E4443" s="489"/>
      <c r="F4443" s="489"/>
      <c r="G4443" s="490"/>
      <c r="H4443" s="520"/>
      <c r="I4443" s="523"/>
      <c r="J4443" s="521"/>
      <c r="K4443" s="522"/>
      <c r="M4443" s="301" t="str">
        <f>N4443&amp;AS[[#This Row],[Insurer Code]]&amp;"; "&amp;O4443&amp;AS[[#This Row],[Reporting Year]]&amp;"; "&amp;P4443&amp;AS[[#This Row],[Insurance Category Code]]&amp;"; "&amp;Q4443&amp;AS[[#This Row],[Large Provider Entity Code]]&amp;"; "&amp;R4443&amp;AS[[#This Row],[Age Band Code]]&amp;"; "&amp;S4443&amp;AS[[#This Row],[Sex Code]]</f>
        <v xml:space="preserve">Insurer Code ; Reporting Year ; Insurance Category Code ; Large Provider Entity Code ; Age Band Code ; Sex Code </v>
      </c>
      <c r="N4443" s="297" t="s">
        <v>197</v>
      </c>
      <c r="O4443" s="297" t="s">
        <v>198</v>
      </c>
      <c r="P4443" s="297" t="s">
        <v>199</v>
      </c>
      <c r="Q4443" s="297" t="s">
        <v>200</v>
      </c>
      <c r="R4443" s="297" t="s">
        <v>213</v>
      </c>
      <c r="S4443" s="297" t="s">
        <v>214</v>
      </c>
    </row>
    <row r="4444" spans="1:19" x14ac:dyDescent="0.4">
      <c r="A4444" s="291"/>
      <c r="B4444" s="292"/>
      <c r="C4444" s="312"/>
      <c r="D4444" s="292"/>
      <c r="E4444" s="489"/>
      <c r="F4444" s="489"/>
      <c r="G4444" s="490"/>
      <c r="H4444" s="520"/>
      <c r="I4444" s="523"/>
      <c r="J4444" s="521"/>
      <c r="K4444" s="522"/>
      <c r="M4444" s="301" t="str">
        <f>N4444&amp;AS[[#This Row],[Insurer Code]]&amp;"; "&amp;O4444&amp;AS[[#This Row],[Reporting Year]]&amp;"; "&amp;P4444&amp;AS[[#This Row],[Insurance Category Code]]&amp;"; "&amp;Q4444&amp;AS[[#This Row],[Large Provider Entity Code]]&amp;"; "&amp;R4444&amp;AS[[#This Row],[Age Band Code]]&amp;"; "&amp;S4444&amp;AS[[#This Row],[Sex Code]]</f>
        <v xml:space="preserve">Insurer Code ; Reporting Year ; Insurance Category Code ; Large Provider Entity Code ; Age Band Code ; Sex Code </v>
      </c>
      <c r="N4444" s="297" t="s">
        <v>197</v>
      </c>
      <c r="O4444" s="297" t="s">
        <v>198</v>
      </c>
      <c r="P4444" s="297" t="s">
        <v>199</v>
      </c>
      <c r="Q4444" s="297" t="s">
        <v>200</v>
      </c>
      <c r="R4444" s="297" t="s">
        <v>213</v>
      </c>
      <c r="S4444" s="297" t="s">
        <v>214</v>
      </c>
    </row>
    <row r="4445" spans="1:19" x14ac:dyDescent="0.4">
      <c r="A4445" s="291"/>
      <c r="B4445" s="292"/>
      <c r="C4445" s="312"/>
      <c r="D4445" s="292"/>
      <c r="E4445" s="489"/>
      <c r="F4445" s="489"/>
      <c r="G4445" s="490"/>
      <c r="H4445" s="520"/>
      <c r="I4445" s="523"/>
      <c r="J4445" s="521"/>
      <c r="K4445" s="522"/>
      <c r="M4445" s="301" t="str">
        <f>N4445&amp;AS[[#This Row],[Insurer Code]]&amp;"; "&amp;O4445&amp;AS[[#This Row],[Reporting Year]]&amp;"; "&amp;P4445&amp;AS[[#This Row],[Insurance Category Code]]&amp;"; "&amp;Q4445&amp;AS[[#This Row],[Large Provider Entity Code]]&amp;"; "&amp;R4445&amp;AS[[#This Row],[Age Band Code]]&amp;"; "&amp;S4445&amp;AS[[#This Row],[Sex Code]]</f>
        <v xml:space="preserve">Insurer Code ; Reporting Year ; Insurance Category Code ; Large Provider Entity Code ; Age Band Code ; Sex Code </v>
      </c>
      <c r="N4445" s="297" t="s">
        <v>197</v>
      </c>
      <c r="O4445" s="297" t="s">
        <v>198</v>
      </c>
      <c r="P4445" s="297" t="s">
        <v>199</v>
      </c>
      <c r="Q4445" s="297" t="s">
        <v>200</v>
      </c>
      <c r="R4445" s="297" t="s">
        <v>213</v>
      </c>
      <c r="S4445" s="297" t="s">
        <v>214</v>
      </c>
    </row>
    <row r="4446" spans="1:19" x14ac:dyDescent="0.4">
      <c r="A4446" s="291"/>
      <c r="B4446" s="292"/>
      <c r="C4446" s="312"/>
      <c r="D4446" s="292"/>
      <c r="E4446" s="489"/>
      <c r="F4446" s="489"/>
      <c r="G4446" s="490"/>
      <c r="H4446" s="520"/>
      <c r="I4446" s="523"/>
      <c r="J4446" s="521"/>
      <c r="K4446" s="522"/>
      <c r="M4446" s="301" t="str">
        <f>N4446&amp;AS[[#This Row],[Insurer Code]]&amp;"; "&amp;O4446&amp;AS[[#This Row],[Reporting Year]]&amp;"; "&amp;P4446&amp;AS[[#This Row],[Insurance Category Code]]&amp;"; "&amp;Q4446&amp;AS[[#This Row],[Large Provider Entity Code]]&amp;"; "&amp;R4446&amp;AS[[#This Row],[Age Band Code]]&amp;"; "&amp;S4446&amp;AS[[#This Row],[Sex Code]]</f>
        <v xml:space="preserve">Insurer Code ; Reporting Year ; Insurance Category Code ; Large Provider Entity Code ; Age Band Code ; Sex Code </v>
      </c>
      <c r="N4446" s="297" t="s">
        <v>197</v>
      </c>
      <c r="O4446" s="297" t="s">
        <v>198</v>
      </c>
      <c r="P4446" s="297" t="s">
        <v>199</v>
      </c>
      <c r="Q4446" s="297" t="s">
        <v>200</v>
      </c>
      <c r="R4446" s="297" t="s">
        <v>213</v>
      </c>
      <c r="S4446" s="297" t="s">
        <v>214</v>
      </c>
    </row>
    <row r="4447" spans="1:19" x14ac:dyDescent="0.4">
      <c r="A4447" s="291"/>
      <c r="B4447" s="292"/>
      <c r="C4447" s="312"/>
      <c r="D4447" s="292"/>
      <c r="E4447" s="489"/>
      <c r="F4447" s="489"/>
      <c r="G4447" s="490"/>
      <c r="H4447" s="520"/>
      <c r="I4447" s="523"/>
      <c r="J4447" s="521"/>
      <c r="K4447" s="522"/>
      <c r="M4447" s="301" t="str">
        <f>N4447&amp;AS[[#This Row],[Insurer Code]]&amp;"; "&amp;O4447&amp;AS[[#This Row],[Reporting Year]]&amp;"; "&amp;P4447&amp;AS[[#This Row],[Insurance Category Code]]&amp;"; "&amp;Q4447&amp;AS[[#This Row],[Large Provider Entity Code]]&amp;"; "&amp;R4447&amp;AS[[#This Row],[Age Band Code]]&amp;"; "&amp;S4447&amp;AS[[#This Row],[Sex Code]]</f>
        <v xml:space="preserve">Insurer Code ; Reporting Year ; Insurance Category Code ; Large Provider Entity Code ; Age Band Code ; Sex Code </v>
      </c>
      <c r="N4447" s="297" t="s">
        <v>197</v>
      </c>
      <c r="O4447" s="297" t="s">
        <v>198</v>
      </c>
      <c r="P4447" s="297" t="s">
        <v>199</v>
      </c>
      <c r="Q4447" s="297" t="s">
        <v>200</v>
      </c>
      <c r="R4447" s="297" t="s">
        <v>213</v>
      </c>
      <c r="S4447" s="297" t="s">
        <v>214</v>
      </c>
    </row>
    <row r="4448" spans="1:19" x14ac:dyDescent="0.4">
      <c r="A4448" s="291"/>
      <c r="B4448" s="292"/>
      <c r="C4448" s="312"/>
      <c r="D4448" s="292"/>
      <c r="E4448" s="489"/>
      <c r="F4448" s="489"/>
      <c r="G4448" s="490"/>
      <c r="H4448" s="520"/>
      <c r="I4448" s="523"/>
      <c r="J4448" s="521"/>
      <c r="K4448" s="522"/>
      <c r="M4448" s="301" t="str">
        <f>N4448&amp;AS[[#This Row],[Insurer Code]]&amp;"; "&amp;O4448&amp;AS[[#This Row],[Reporting Year]]&amp;"; "&amp;P4448&amp;AS[[#This Row],[Insurance Category Code]]&amp;"; "&amp;Q4448&amp;AS[[#This Row],[Large Provider Entity Code]]&amp;"; "&amp;R4448&amp;AS[[#This Row],[Age Band Code]]&amp;"; "&amp;S4448&amp;AS[[#This Row],[Sex Code]]</f>
        <v xml:space="preserve">Insurer Code ; Reporting Year ; Insurance Category Code ; Large Provider Entity Code ; Age Band Code ; Sex Code </v>
      </c>
      <c r="N4448" s="297" t="s">
        <v>197</v>
      </c>
      <c r="O4448" s="297" t="s">
        <v>198</v>
      </c>
      <c r="P4448" s="297" t="s">
        <v>199</v>
      </c>
      <c r="Q4448" s="297" t="s">
        <v>200</v>
      </c>
      <c r="R4448" s="297" t="s">
        <v>213</v>
      </c>
      <c r="S4448" s="297" t="s">
        <v>214</v>
      </c>
    </row>
    <row r="4449" spans="1:19" x14ac:dyDescent="0.4">
      <c r="A4449" s="291"/>
      <c r="B4449" s="292"/>
      <c r="C4449" s="312"/>
      <c r="D4449" s="292"/>
      <c r="E4449" s="489"/>
      <c r="F4449" s="489"/>
      <c r="G4449" s="490"/>
      <c r="H4449" s="520"/>
      <c r="I4449" s="523"/>
      <c r="J4449" s="521"/>
      <c r="K4449" s="522"/>
      <c r="M4449" s="301" t="str">
        <f>N4449&amp;AS[[#This Row],[Insurer Code]]&amp;"; "&amp;O4449&amp;AS[[#This Row],[Reporting Year]]&amp;"; "&amp;P4449&amp;AS[[#This Row],[Insurance Category Code]]&amp;"; "&amp;Q4449&amp;AS[[#This Row],[Large Provider Entity Code]]&amp;"; "&amp;R4449&amp;AS[[#This Row],[Age Band Code]]&amp;"; "&amp;S4449&amp;AS[[#This Row],[Sex Code]]</f>
        <v xml:space="preserve">Insurer Code ; Reporting Year ; Insurance Category Code ; Large Provider Entity Code ; Age Band Code ; Sex Code </v>
      </c>
      <c r="N4449" s="297" t="s">
        <v>197</v>
      </c>
      <c r="O4449" s="297" t="s">
        <v>198</v>
      </c>
      <c r="P4449" s="297" t="s">
        <v>199</v>
      </c>
      <c r="Q4449" s="297" t="s">
        <v>200</v>
      </c>
      <c r="R4449" s="297" t="s">
        <v>213</v>
      </c>
      <c r="S4449" s="297" t="s">
        <v>214</v>
      </c>
    </row>
    <row r="4450" spans="1:19" x14ac:dyDescent="0.4">
      <c r="A4450" s="291"/>
      <c r="B4450" s="292"/>
      <c r="C4450" s="312"/>
      <c r="D4450" s="292"/>
      <c r="E4450" s="489"/>
      <c r="F4450" s="489"/>
      <c r="G4450" s="490"/>
      <c r="H4450" s="520"/>
      <c r="I4450" s="523"/>
      <c r="J4450" s="521"/>
      <c r="K4450" s="522"/>
      <c r="M4450" s="301" t="str">
        <f>N4450&amp;AS[[#This Row],[Insurer Code]]&amp;"; "&amp;O4450&amp;AS[[#This Row],[Reporting Year]]&amp;"; "&amp;P4450&amp;AS[[#This Row],[Insurance Category Code]]&amp;"; "&amp;Q4450&amp;AS[[#This Row],[Large Provider Entity Code]]&amp;"; "&amp;R4450&amp;AS[[#This Row],[Age Band Code]]&amp;"; "&amp;S4450&amp;AS[[#This Row],[Sex Code]]</f>
        <v xml:space="preserve">Insurer Code ; Reporting Year ; Insurance Category Code ; Large Provider Entity Code ; Age Band Code ; Sex Code </v>
      </c>
      <c r="N4450" s="297" t="s">
        <v>197</v>
      </c>
      <c r="O4450" s="297" t="s">
        <v>198</v>
      </c>
      <c r="P4450" s="297" t="s">
        <v>199</v>
      </c>
      <c r="Q4450" s="297" t="s">
        <v>200</v>
      </c>
      <c r="R4450" s="297" t="s">
        <v>213</v>
      </c>
      <c r="S4450" s="297" t="s">
        <v>214</v>
      </c>
    </row>
    <row r="4451" spans="1:19" x14ac:dyDescent="0.4">
      <c r="A4451" s="291"/>
      <c r="B4451" s="292"/>
      <c r="C4451" s="312"/>
      <c r="D4451" s="292"/>
      <c r="E4451" s="489"/>
      <c r="F4451" s="489"/>
      <c r="G4451" s="490"/>
      <c r="H4451" s="520"/>
      <c r="I4451" s="523"/>
      <c r="J4451" s="521"/>
      <c r="K4451" s="522"/>
      <c r="M4451" s="301" t="str">
        <f>N4451&amp;AS[[#This Row],[Insurer Code]]&amp;"; "&amp;O4451&amp;AS[[#This Row],[Reporting Year]]&amp;"; "&amp;P4451&amp;AS[[#This Row],[Insurance Category Code]]&amp;"; "&amp;Q4451&amp;AS[[#This Row],[Large Provider Entity Code]]&amp;"; "&amp;R4451&amp;AS[[#This Row],[Age Band Code]]&amp;"; "&amp;S4451&amp;AS[[#This Row],[Sex Code]]</f>
        <v xml:space="preserve">Insurer Code ; Reporting Year ; Insurance Category Code ; Large Provider Entity Code ; Age Band Code ; Sex Code </v>
      </c>
      <c r="N4451" s="297" t="s">
        <v>197</v>
      </c>
      <c r="O4451" s="297" t="s">
        <v>198</v>
      </c>
      <c r="P4451" s="297" t="s">
        <v>199</v>
      </c>
      <c r="Q4451" s="297" t="s">
        <v>200</v>
      </c>
      <c r="R4451" s="297" t="s">
        <v>213</v>
      </c>
      <c r="S4451" s="297" t="s">
        <v>214</v>
      </c>
    </row>
    <row r="4452" spans="1:19" x14ac:dyDescent="0.4">
      <c r="A4452" s="291"/>
      <c r="B4452" s="292"/>
      <c r="C4452" s="312"/>
      <c r="D4452" s="292"/>
      <c r="E4452" s="489"/>
      <c r="F4452" s="489"/>
      <c r="G4452" s="490"/>
      <c r="H4452" s="520"/>
      <c r="I4452" s="523"/>
      <c r="J4452" s="521"/>
      <c r="K4452" s="522"/>
      <c r="M4452" s="301" t="str">
        <f>N4452&amp;AS[[#This Row],[Insurer Code]]&amp;"; "&amp;O4452&amp;AS[[#This Row],[Reporting Year]]&amp;"; "&amp;P4452&amp;AS[[#This Row],[Insurance Category Code]]&amp;"; "&amp;Q4452&amp;AS[[#This Row],[Large Provider Entity Code]]&amp;"; "&amp;R4452&amp;AS[[#This Row],[Age Band Code]]&amp;"; "&amp;S4452&amp;AS[[#This Row],[Sex Code]]</f>
        <v xml:space="preserve">Insurer Code ; Reporting Year ; Insurance Category Code ; Large Provider Entity Code ; Age Band Code ; Sex Code </v>
      </c>
      <c r="N4452" s="297" t="s">
        <v>197</v>
      </c>
      <c r="O4452" s="297" t="s">
        <v>198</v>
      </c>
      <c r="P4452" s="297" t="s">
        <v>199</v>
      </c>
      <c r="Q4452" s="297" t="s">
        <v>200</v>
      </c>
      <c r="R4452" s="297" t="s">
        <v>213</v>
      </c>
      <c r="S4452" s="297" t="s">
        <v>214</v>
      </c>
    </row>
    <row r="4453" spans="1:19" x14ac:dyDescent="0.4">
      <c r="A4453" s="291"/>
      <c r="B4453" s="292"/>
      <c r="C4453" s="312"/>
      <c r="D4453" s="292"/>
      <c r="E4453" s="489"/>
      <c r="F4453" s="489"/>
      <c r="G4453" s="490"/>
      <c r="H4453" s="520"/>
      <c r="I4453" s="523"/>
      <c r="J4453" s="521"/>
      <c r="K4453" s="522"/>
      <c r="M4453" s="301" t="str">
        <f>N4453&amp;AS[[#This Row],[Insurer Code]]&amp;"; "&amp;O4453&amp;AS[[#This Row],[Reporting Year]]&amp;"; "&amp;P4453&amp;AS[[#This Row],[Insurance Category Code]]&amp;"; "&amp;Q4453&amp;AS[[#This Row],[Large Provider Entity Code]]&amp;"; "&amp;R4453&amp;AS[[#This Row],[Age Band Code]]&amp;"; "&amp;S4453&amp;AS[[#This Row],[Sex Code]]</f>
        <v xml:space="preserve">Insurer Code ; Reporting Year ; Insurance Category Code ; Large Provider Entity Code ; Age Band Code ; Sex Code </v>
      </c>
      <c r="N4453" s="297" t="s">
        <v>197</v>
      </c>
      <c r="O4453" s="297" t="s">
        <v>198</v>
      </c>
      <c r="P4453" s="297" t="s">
        <v>199</v>
      </c>
      <c r="Q4453" s="297" t="s">
        <v>200</v>
      </c>
      <c r="R4453" s="297" t="s">
        <v>213</v>
      </c>
      <c r="S4453" s="297" t="s">
        <v>214</v>
      </c>
    </row>
    <row r="4454" spans="1:19" x14ac:dyDescent="0.4">
      <c r="A4454" s="291"/>
      <c r="B4454" s="292"/>
      <c r="C4454" s="312"/>
      <c r="D4454" s="292"/>
      <c r="E4454" s="489"/>
      <c r="F4454" s="489"/>
      <c r="G4454" s="490"/>
      <c r="H4454" s="520"/>
      <c r="I4454" s="523"/>
      <c r="J4454" s="521"/>
      <c r="K4454" s="522"/>
      <c r="M4454" s="301" t="str">
        <f>N4454&amp;AS[[#This Row],[Insurer Code]]&amp;"; "&amp;O4454&amp;AS[[#This Row],[Reporting Year]]&amp;"; "&amp;P4454&amp;AS[[#This Row],[Insurance Category Code]]&amp;"; "&amp;Q4454&amp;AS[[#This Row],[Large Provider Entity Code]]&amp;"; "&amp;R4454&amp;AS[[#This Row],[Age Band Code]]&amp;"; "&amp;S4454&amp;AS[[#This Row],[Sex Code]]</f>
        <v xml:space="preserve">Insurer Code ; Reporting Year ; Insurance Category Code ; Large Provider Entity Code ; Age Band Code ; Sex Code </v>
      </c>
      <c r="N4454" s="297" t="s">
        <v>197</v>
      </c>
      <c r="O4454" s="297" t="s">
        <v>198</v>
      </c>
      <c r="P4454" s="297" t="s">
        <v>199</v>
      </c>
      <c r="Q4454" s="297" t="s">
        <v>200</v>
      </c>
      <c r="R4454" s="297" t="s">
        <v>213</v>
      </c>
      <c r="S4454" s="297" t="s">
        <v>214</v>
      </c>
    </row>
    <row r="4455" spans="1:19" x14ac:dyDescent="0.4">
      <c r="A4455" s="291"/>
      <c r="B4455" s="292"/>
      <c r="C4455" s="312"/>
      <c r="D4455" s="292"/>
      <c r="E4455" s="489"/>
      <c r="F4455" s="489"/>
      <c r="G4455" s="490"/>
      <c r="H4455" s="520"/>
      <c r="I4455" s="523"/>
      <c r="J4455" s="521"/>
      <c r="K4455" s="522"/>
      <c r="M4455" s="301" t="str">
        <f>N4455&amp;AS[[#This Row],[Insurer Code]]&amp;"; "&amp;O4455&amp;AS[[#This Row],[Reporting Year]]&amp;"; "&amp;P4455&amp;AS[[#This Row],[Insurance Category Code]]&amp;"; "&amp;Q4455&amp;AS[[#This Row],[Large Provider Entity Code]]&amp;"; "&amp;R4455&amp;AS[[#This Row],[Age Band Code]]&amp;"; "&amp;S4455&amp;AS[[#This Row],[Sex Code]]</f>
        <v xml:space="preserve">Insurer Code ; Reporting Year ; Insurance Category Code ; Large Provider Entity Code ; Age Band Code ; Sex Code </v>
      </c>
      <c r="N4455" s="297" t="s">
        <v>197</v>
      </c>
      <c r="O4455" s="297" t="s">
        <v>198</v>
      </c>
      <c r="P4455" s="297" t="s">
        <v>199</v>
      </c>
      <c r="Q4455" s="297" t="s">
        <v>200</v>
      </c>
      <c r="R4455" s="297" t="s">
        <v>213</v>
      </c>
      <c r="S4455" s="297" t="s">
        <v>214</v>
      </c>
    </row>
    <row r="4456" spans="1:19" x14ac:dyDescent="0.4">
      <c r="A4456" s="291"/>
      <c r="B4456" s="292"/>
      <c r="C4456" s="312"/>
      <c r="D4456" s="292"/>
      <c r="E4456" s="489"/>
      <c r="F4456" s="489"/>
      <c r="G4456" s="490"/>
      <c r="H4456" s="520"/>
      <c r="I4456" s="523"/>
      <c r="J4456" s="521"/>
      <c r="K4456" s="522"/>
      <c r="M4456" s="301" t="str">
        <f>N4456&amp;AS[[#This Row],[Insurer Code]]&amp;"; "&amp;O4456&amp;AS[[#This Row],[Reporting Year]]&amp;"; "&amp;P4456&amp;AS[[#This Row],[Insurance Category Code]]&amp;"; "&amp;Q4456&amp;AS[[#This Row],[Large Provider Entity Code]]&amp;"; "&amp;R4456&amp;AS[[#This Row],[Age Band Code]]&amp;"; "&amp;S4456&amp;AS[[#This Row],[Sex Code]]</f>
        <v xml:space="preserve">Insurer Code ; Reporting Year ; Insurance Category Code ; Large Provider Entity Code ; Age Band Code ; Sex Code </v>
      </c>
      <c r="N4456" s="297" t="s">
        <v>197</v>
      </c>
      <c r="O4456" s="297" t="s">
        <v>198</v>
      </c>
      <c r="P4456" s="297" t="s">
        <v>199</v>
      </c>
      <c r="Q4456" s="297" t="s">
        <v>200</v>
      </c>
      <c r="R4456" s="297" t="s">
        <v>213</v>
      </c>
      <c r="S4456" s="297" t="s">
        <v>214</v>
      </c>
    </row>
    <row r="4457" spans="1:19" x14ac:dyDescent="0.4">
      <c r="A4457" s="291"/>
      <c r="B4457" s="292"/>
      <c r="C4457" s="312"/>
      <c r="D4457" s="292"/>
      <c r="E4457" s="489"/>
      <c r="F4457" s="489"/>
      <c r="G4457" s="490"/>
      <c r="H4457" s="520"/>
      <c r="I4457" s="523"/>
      <c r="J4457" s="521"/>
      <c r="K4457" s="522"/>
      <c r="M4457" s="301" t="str">
        <f>N4457&amp;AS[[#This Row],[Insurer Code]]&amp;"; "&amp;O4457&amp;AS[[#This Row],[Reporting Year]]&amp;"; "&amp;P4457&amp;AS[[#This Row],[Insurance Category Code]]&amp;"; "&amp;Q4457&amp;AS[[#This Row],[Large Provider Entity Code]]&amp;"; "&amp;R4457&amp;AS[[#This Row],[Age Band Code]]&amp;"; "&amp;S4457&amp;AS[[#This Row],[Sex Code]]</f>
        <v xml:space="preserve">Insurer Code ; Reporting Year ; Insurance Category Code ; Large Provider Entity Code ; Age Band Code ; Sex Code </v>
      </c>
      <c r="N4457" s="297" t="s">
        <v>197</v>
      </c>
      <c r="O4457" s="297" t="s">
        <v>198</v>
      </c>
      <c r="P4457" s="297" t="s">
        <v>199</v>
      </c>
      <c r="Q4457" s="297" t="s">
        <v>200</v>
      </c>
      <c r="R4457" s="297" t="s">
        <v>213</v>
      </c>
      <c r="S4457" s="297" t="s">
        <v>214</v>
      </c>
    </row>
    <row r="4458" spans="1:19" x14ac:dyDescent="0.4">
      <c r="A4458" s="291"/>
      <c r="B4458" s="292"/>
      <c r="C4458" s="312"/>
      <c r="D4458" s="292"/>
      <c r="E4458" s="489"/>
      <c r="F4458" s="489"/>
      <c r="G4458" s="490"/>
      <c r="H4458" s="520"/>
      <c r="I4458" s="523"/>
      <c r="J4458" s="521"/>
      <c r="K4458" s="522"/>
      <c r="M4458" s="301" t="str">
        <f>N4458&amp;AS[[#This Row],[Insurer Code]]&amp;"; "&amp;O4458&amp;AS[[#This Row],[Reporting Year]]&amp;"; "&amp;P4458&amp;AS[[#This Row],[Insurance Category Code]]&amp;"; "&amp;Q4458&amp;AS[[#This Row],[Large Provider Entity Code]]&amp;"; "&amp;R4458&amp;AS[[#This Row],[Age Band Code]]&amp;"; "&amp;S4458&amp;AS[[#This Row],[Sex Code]]</f>
        <v xml:space="preserve">Insurer Code ; Reporting Year ; Insurance Category Code ; Large Provider Entity Code ; Age Band Code ; Sex Code </v>
      </c>
      <c r="N4458" s="297" t="s">
        <v>197</v>
      </c>
      <c r="O4458" s="297" t="s">
        <v>198</v>
      </c>
      <c r="P4458" s="297" t="s">
        <v>199</v>
      </c>
      <c r="Q4458" s="297" t="s">
        <v>200</v>
      </c>
      <c r="R4458" s="297" t="s">
        <v>213</v>
      </c>
      <c r="S4458" s="297" t="s">
        <v>214</v>
      </c>
    </row>
    <row r="4459" spans="1:19" x14ac:dyDescent="0.4">
      <c r="A4459" s="291"/>
      <c r="B4459" s="292"/>
      <c r="C4459" s="312"/>
      <c r="D4459" s="292"/>
      <c r="E4459" s="489"/>
      <c r="F4459" s="489"/>
      <c r="G4459" s="490"/>
      <c r="H4459" s="520"/>
      <c r="I4459" s="523"/>
      <c r="J4459" s="521"/>
      <c r="K4459" s="522"/>
      <c r="M4459" s="301" t="str">
        <f>N4459&amp;AS[[#This Row],[Insurer Code]]&amp;"; "&amp;O4459&amp;AS[[#This Row],[Reporting Year]]&amp;"; "&amp;P4459&amp;AS[[#This Row],[Insurance Category Code]]&amp;"; "&amp;Q4459&amp;AS[[#This Row],[Large Provider Entity Code]]&amp;"; "&amp;R4459&amp;AS[[#This Row],[Age Band Code]]&amp;"; "&amp;S4459&amp;AS[[#This Row],[Sex Code]]</f>
        <v xml:space="preserve">Insurer Code ; Reporting Year ; Insurance Category Code ; Large Provider Entity Code ; Age Band Code ; Sex Code </v>
      </c>
      <c r="N4459" s="297" t="s">
        <v>197</v>
      </c>
      <c r="O4459" s="297" t="s">
        <v>198</v>
      </c>
      <c r="P4459" s="297" t="s">
        <v>199</v>
      </c>
      <c r="Q4459" s="297" t="s">
        <v>200</v>
      </c>
      <c r="R4459" s="297" t="s">
        <v>213</v>
      </c>
      <c r="S4459" s="297" t="s">
        <v>214</v>
      </c>
    </row>
    <row r="4460" spans="1:19" x14ac:dyDescent="0.4">
      <c r="A4460" s="291"/>
      <c r="B4460" s="292"/>
      <c r="C4460" s="312"/>
      <c r="D4460" s="292"/>
      <c r="E4460" s="489"/>
      <c r="F4460" s="489"/>
      <c r="G4460" s="490"/>
      <c r="H4460" s="520"/>
      <c r="I4460" s="523"/>
      <c r="J4460" s="521"/>
      <c r="K4460" s="522"/>
      <c r="M4460" s="301" t="str">
        <f>N4460&amp;AS[[#This Row],[Insurer Code]]&amp;"; "&amp;O4460&amp;AS[[#This Row],[Reporting Year]]&amp;"; "&amp;P4460&amp;AS[[#This Row],[Insurance Category Code]]&amp;"; "&amp;Q4460&amp;AS[[#This Row],[Large Provider Entity Code]]&amp;"; "&amp;R4460&amp;AS[[#This Row],[Age Band Code]]&amp;"; "&amp;S4460&amp;AS[[#This Row],[Sex Code]]</f>
        <v xml:space="preserve">Insurer Code ; Reporting Year ; Insurance Category Code ; Large Provider Entity Code ; Age Band Code ; Sex Code </v>
      </c>
      <c r="N4460" s="297" t="s">
        <v>197</v>
      </c>
      <c r="O4460" s="297" t="s">
        <v>198</v>
      </c>
      <c r="P4460" s="297" t="s">
        <v>199</v>
      </c>
      <c r="Q4460" s="297" t="s">
        <v>200</v>
      </c>
      <c r="R4460" s="297" t="s">
        <v>213</v>
      </c>
      <c r="S4460" s="297" t="s">
        <v>214</v>
      </c>
    </row>
    <row r="4461" spans="1:19" x14ac:dyDescent="0.4">
      <c r="A4461" s="291"/>
      <c r="B4461" s="292"/>
      <c r="C4461" s="312"/>
      <c r="D4461" s="292"/>
      <c r="E4461" s="489"/>
      <c r="F4461" s="489"/>
      <c r="G4461" s="490"/>
      <c r="H4461" s="520"/>
      <c r="I4461" s="523"/>
      <c r="J4461" s="521"/>
      <c r="K4461" s="522"/>
      <c r="M4461" s="301" t="str">
        <f>N4461&amp;AS[[#This Row],[Insurer Code]]&amp;"; "&amp;O4461&amp;AS[[#This Row],[Reporting Year]]&amp;"; "&amp;P4461&amp;AS[[#This Row],[Insurance Category Code]]&amp;"; "&amp;Q4461&amp;AS[[#This Row],[Large Provider Entity Code]]&amp;"; "&amp;R4461&amp;AS[[#This Row],[Age Band Code]]&amp;"; "&amp;S4461&amp;AS[[#This Row],[Sex Code]]</f>
        <v xml:space="preserve">Insurer Code ; Reporting Year ; Insurance Category Code ; Large Provider Entity Code ; Age Band Code ; Sex Code </v>
      </c>
      <c r="N4461" s="297" t="s">
        <v>197</v>
      </c>
      <c r="O4461" s="297" t="s">
        <v>198</v>
      </c>
      <c r="P4461" s="297" t="s">
        <v>199</v>
      </c>
      <c r="Q4461" s="297" t="s">
        <v>200</v>
      </c>
      <c r="R4461" s="297" t="s">
        <v>213</v>
      </c>
      <c r="S4461" s="297" t="s">
        <v>214</v>
      </c>
    </row>
    <row r="4462" spans="1:19" x14ac:dyDescent="0.4">
      <c r="A4462" s="291"/>
      <c r="B4462" s="292"/>
      <c r="C4462" s="312"/>
      <c r="D4462" s="292"/>
      <c r="E4462" s="489"/>
      <c r="F4462" s="489"/>
      <c r="G4462" s="490"/>
      <c r="H4462" s="520"/>
      <c r="I4462" s="523"/>
      <c r="J4462" s="521"/>
      <c r="K4462" s="522"/>
      <c r="M4462" s="301" t="str">
        <f>N4462&amp;AS[[#This Row],[Insurer Code]]&amp;"; "&amp;O4462&amp;AS[[#This Row],[Reporting Year]]&amp;"; "&amp;P4462&amp;AS[[#This Row],[Insurance Category Code]]&amp;"; "&amp;Q4462&amp;AS[[#This Row],[Large Provider Entity Code]]&amp;"; "&amp;R4462&amp;AS[[#This Row],[Age Band Code]]&amp;"; "&amp;S4462&amp;AS[[#This Row],[Sex Code]]</f>
        <v xml:space="preserve">Insurer Code ; Reporting Year ; Insurance Category Code ; Large Provider Entity Code ; Age Band Code ; Sex Code </v>
      </c>
      <c r="N4462" s="297" t="s">
        <v>197</v>
      </c>
      <c r="O4462" s="297" t="s">
        <v>198</v>
      </c>
      <c r="P4462" s="297" t="s">
        <v>199</v>
      </c>
      <c r="Q4462" s="297" t="s">
        <v>200</v>
      </c>
      <c r="R4462" s="297" t="s">
        <v>213</v>
      </c>
      <c r="S4462" s="297" t="s">
        <v>214</v>
      </c>
    </row>
    <row r="4463" spans="1:19" x14ac:dyDescent="0.4">
      <c r="A4463" s="291"/>
      <c r="B4463" s="292"/>
      <c r="C4463" s="312"/>
      <c r="D4463" s="292"/>
      <c r="E4463" s="489"/>
      <c r="F4463" s="489"/>
      <c r="G4463" s="490"/>
      <c r="H4463" s="520"/>
      <c r="I4463" s="523"/>
      <c r="J4463" s="521"/>
      <c r="K4463" s="522"/>
      <c r="M4463" s="301" t="str">
        <f>N4463&amp;AS[[#This Row],[Insurer Code]]&amp;"; "&amp;O4463&amp;AS[[#This Row],[Reporting Year]]&amp;"; "&amp;P4463&amp;AS[[#This Row],[Insurance Category Code]]&amp;"; "&amp;Q4463&amp;AS[[#This Row],[Large Provider Entity Code]]&amp;"; "&amp;R4463&amp;AS[[#This Row],[Age Band Code]]&amp;"; "&amp;S4463&amp;AS[[#This Row],[Sex Code]]</f>
        <v xml:space="preserve">Insurer Code ; Reporting Year ; Insurance Category Code ; Large Provider Entity Code ; Age Band Code ; Sex Code </v>
      </c>
      <c r="N4463" s="297" t="s">
        <v>197</v>
      </c>
      <c r="O4463" s="297" t="s">
        <v>198</v>
      </c>
      <c r="P4463" s="297" t="s">
        <v>199</v>
      </c>
      <c r="Q4463" s="297" t="s">
        <v>200</v>
      </c>
      <c r="R4463" s="297" t="s">
        <v>213</v>
      </c>
      <c r="S4463" s="297" t="s">
        <v>214</v>
      </c>
    </row>
    <row r="4464" spans="1:19" x14ac:dyDescent="0.4">
      <c r="A4464" s="291"/>
      <c r="B4464" s="292"/>
      <c r="C4464" s="312"/>
      <c r="D4464" s="292"/>
      <c r="E4464" s="489"/>
      <c r="F4464" s="489"/>
      <c r="G4464" s="490"/>
      <c r="H4464" s="520"/>
      <c r="I4464" s="523"/>
      <c r="J4464" s="521"/>
      <c r="K4464" s="522"/>
      <c r="M4464" s="301" t="str">
        <f>N4464&amp;AS[[#This Row],[Insurer Code]]&amp;"; "&amp;O4464&amp;AS[[#This Row],[Reporting Year]]&amp;"; "&amp;P4464&amp;AS[[#This Row],[Insurance Category Code]]&amp;"; "&amp;Q4464&amp;AS[[#This Row],[Large Provider Entity Code]]&amp;"; "&amp;R4464&amp;AS[[#This Row],[Age Band Code]]&amp;"; "&amp;S4464&amp;AS[[#This Row],[Sex Code]]</f>
        <v xml:space="preserve">Insurer Code ; Reporting Year ; Insurance Category Code ; Large Provider Entity Code ; Age Band Code ; Sex Code </v>
      </c>
      <c r="N4464" s="297" t="s">
        <v>197</v>
      </c>
      <c r="O4464" s="297" t="s">
        <v>198</v>
      </c>
      <c r="P4464" s="297" t="s">
        <v>199</v>
      </c>
      <c r="Q4464" s="297" t="s">
        <v>200</v>
      </c>
      <c r="R4464" s="297" t="s">
        <v>213</v>
      </c>
      <c r="S4464" s="297" t="s">
        <v>214</v>
      </c>
    </row>
    <row r="4465" spans="1:19" x14ac:dyDescent="0.4">
      <c r="A4465" s="291"/>
      <c r="B4465" s="292"/>
      <c r="C4465" s="312"/>
      <c r="D4465" s="292"/>
      <c r="E4465" s="489"/>
      <c r="F4465" s="489"/>
      <c r="G4465" s="490"/>
      <c r="H4465" s="520"/>
      <c r="I4465" s="523"/>
      <c r="J4465" s="521"/>
      <c r="K4465" s="522"/>
      <c r="M4465" s="301" t="str">
        <f>N4465&amp;AS[[#This Row],[Insurer Code]]&amp;"; "&amp;O4465&amp;AS[[#This Row],[Reporting Year]]&amp;"; "&amp;P4465&amp;AS[[#This Row],[Insurance Category Code]]&amp;"; "&amp;Q4465&amp;AS[[#This Row],[Large Provider Entity Code]]&amp;"; "&amp;R4465&amp;AS[[#This Row],[Age Band Code]]&amp;"; "&amp;S4465&amp;AS[[#This Row],[Sex Code]]</f>
        <v xml:space="preserve">Insurer Code ; Reporting Year ; Insurance Category Code ; Large Provider Entity Code ; Age Band Code ; Sex Code </v>
      </c>
      <c r="N4465" s="297" t="s">
        <v>197</v>
      </c>
      <c r="O4465" s="297" t="s">
        <v>198</v>
      </c>
      <c r="P4465" s="297" t="s">
        <v>199</v>
      </c>
      <c r="Q4465" s="297" t="s">
        <v>200</v>
      </c>
      <c r="R4465" s="297" t="s">
        <v>213</v>
      </c>
      <c r="S4465" s="297" t="s">
        <v>214</v>
      </c>
    </row>
    <row r="4466" spans="1:19" x14ac:dyDescent="0.4">
      <c r="A4466" s="291"/>
      <c r="B4466" s="292"/>
      <c r="C4466" s="312"/>
      <c r="D4466" s="292"/>
      <c r="E4466" s="489"/>
      <c r="F4466" s="489"/>
      <c r="G4466" s="490"/>
      <c r="H4466" s="520"/>
      <c r="I4466" s="523"/>
      <c r="J4466" s="521"/>
      <c r="K4466" s="522"/>
      <c r="M4466" s="301" t="str">
        <f>N4466&amp;AS[[#This Row],[Insurer Code]]&amp;"; "&amp;O4466&amp;AS[[#This Row],[Reporting Year]]&amp;"; "&amp;P4466&amp;AS[[#This Row],[Insurance Category Code]]&amp;"; "&amp;Q4466&amp;AS[[#This Row],[Large Provider Entity Code]]&amp;"; "&amp;R4466&amp;AS[[#This Row],[Age Band Code]]&amp;"; "&amp;S4466&amp;AS[[#This Row],[Sex Code]]</f>
        <v xml:space="preserve">Insurer Code ; Reporting Year ; Insurance Category Code ; Large Provider Entity Code ; Age Band Code ; Sex Code </v>
      </c>
      <c r="N4466" s="297" t="s">
        <v>197</v>
      </c>
      <c r="O4466" s="297" t="s">
        <v>198</v>
      </c>
      <c r="P4466" s="297" t="s">
        <v>199</v>
      </c>
      <c r="Q4466" s="297" t="s">
        <v>200</v>
      </c>
      <c r="R4466" s="297" t="s">
        <v>213</v>
      </c>
      <c r="S4466" s="297" t="s">
        <v>214</v>
      </c>
    </row>
    <row r="4467" spans="1:19" x14ac:dyDescent="0.4">
      <c r="A4467" s="291"/>
      <c r="B4467" s="292"/>
      <c r="C4467" s="312"/>
      <c r="D4467" s="292"/>
      <c r="E4467" s="489"/>
      <c r="F4467" s="489"/>
      <c r="G4467" s="490"/>
      <c r="H4467" s="520"/>
      <c r="I4467" s="523"/>
      <c r="J4467" s="521"/>
      <c r="K4467" s="522"/>
      <c r="M4467" s="301" t="str">
        <f>N4467&amp;AS[[#This Row],[Insurer Code]]&amp;"; "&amp;O4467&amp;AS[[#This Row],[Reporting Year]]&amp;"; "&amp;P4467&amp;AS[[#This Row],[Insurance Category Code]]&amp;"; "&amp;Q4467&amp;AS[[#This Row],[Large Provider Entity Code]]&amp;"; "&amp;R4467&amp;AS[[#This Row],[Age Band Code]]&amp;"; "&amp;S4467&amp;AS[[#This Row],[Sex Code]]</f>
        <v xml:space="preserve">Insurer Code ; Reporting Year ; Insurance Category Code ; Large Provider Entity Code ; Age Band Code ; Sex Code </v>
      </c>
      <c r="N4467" s="297" t="s">
        <v>197</v>
      </c>
      <c r="O4467" s="297" t="s">
        <v>198</v>
      </c>
      <c r="P4467" s="297" t="s">
        <v>199</v>
      </c>
      <c r="Q4467" s="297" t="s">
        <v>200</v>
      </c>
      <c r="R4467" s="297" t="s">
        <v>213</v>
      </c>
      <c r="S4467" s="297" t="s">
        <v>214</v>
      </c>
    </row>
    <row r="4468" spans="1:19" x14ac:dyDescent="0.4">
      <c r="A4468" s="291"/>
      <c r="B4468" s="292"/>
      <c r="C4468" s="312"/>
      <c r="D4468" s="292"/>
      <c r="E4468" s="489"/>
      <c r="F4468" s="489"/>
      <c r="G4468" s="490"/>
      <c r="H4468" s="520"/>
      <c r="I4468" s="523"/>
      <c r="J4468" s="521"/>
      <c r="K4468" s="522"/>
      <c r="M4468" s="301" t="str">
        <f>N4468&amp;AS[[#This Row],[Insurer Code]]&amp;"; "&amp;O4468&amp;AS[[#This Row],[Reporting Year]]&amp;"; "&amp;P4468&amp;AS[[#This Row],[Insurance Category Code]]&amp;"; "&amp;Q4468&amp;AS[[#This Row],[Large Provider Entity Code]]&amp;"; "&amp;R4468&amp;AS[[#This Row],[Age Band Code]]&amp;"; "&amp;S4468&amp;AS[[#This Row],[Sex Code]]</f>
        <v xml:space="preserve">Insurer Code ; Reporting Year ; Insurance Category Code ; Large Provider Entity Code ; Age Band Code ; Sex Code </v>
      </c>
      <c r="N4468" s="297" t="s">
        <v>197</v>
      </c>
      <c r="O4468" s="297" t="s">
        <v>198</v>
      </c>
      <c r="P4468" s="297" t="s">
        <v>199</v>
      </c>
      <c r="Q4468" s="297" t="s">
        <v>200</v>
      </c>
      <c r="R4468" s="297" t="s">
        <v>213</v>
      </c>
      <c r="S4468" s="297" t="s">
        <v>214</v>
      </c>
    </row>
    <row r="4469" spans="1:19" x14ac:dyDescent="0.4">
      <c r="A4469" s="291"/>
      <c r="B4469" s="292"/>
      <c r="C4469" s="312"/>
      <c r="D4469" s="292"/>
      <c r="E4469" s="489"/>
      <c r="F4469" s="489"/>
      <c r="G4469" s="490"/>
      <c r="H4469" s="520"/>
      <c r="I4469" s="523"/>
      <c r="J4469" s="521"/>
      <c r="K4469" s="522"/>
      <c r="M4469" s="301" t="str">
        <f>N4469&amp;AS[[#This Row],[Insurer Code]]&amp;"; "&amp;O4469&amp;AS[[#This Row],[Reporting Year]]&amp;"; "&amp;P4469&amp;AS[[#This Row],[Insurance Category Code]]&amp;"; "&amp;Q4469&amp;AS[[#This Row],[Large Provider Entity Code]]&amp;"; "&amp;R4469&amp;AS[[#This Row],[Age Band Code]]&amp;"; "&amp;S4469&amp;AS[[#This Row],[Sex Code]]</f>
        <v xml:space="preserve">Insurer Code ; Reporting Year ; Insurance Category Code ; Large Provider Entity Code ; Age Band Code ; Sex Code </v>
      </c>
      <c r="N4469" s="297" t="s">
        <v>197</v>
      </c>
      <c r="O4469" s="297" t="s">
        <v>198</v>
      </c>
      <c r="P4469" s="297" t="s">
        <v>199</v>
      </c>
      <c r="Q4469" s="297" t="s">
        <v>200</v>
      </c>
      <c r="R4469" s="297" t="s">
        <v>213</v>
      </c>
      <c r="S4469" s="297" t="s">
        <v>214</v>
      </c>
    </row>
    <row r="4470" spans="1:19" x14ac:dyDescent="0.4">
      <c r="A4470" s="291"/>
      <c r="B4470" s="292"/>
      <c r="C4470" s="312"/>
      <c r="D4470" s="292"/>
      <c r="E4470" s="489"/>
      <c r="F4470" s="489"/>
      <c r="G4470" s="490"/>
      <c r="H4470" s="520"/>
      <c r="I4470" s="523"/>
      <c r="J4470" s="521"/>
      <c r="K4470" s="522"/>
      <c r="M4470" s="301" t="str">
        <f>N4470&amp;AS[[#This Row],[Insurer Code]]&amp;"; "&amp;O4470&amp;AS[[#This Row],[Reporting Year]]&amp;"; "&amp;P4470&amp;AS[[#This Row],[Insurance Category Code]]&amp;"; "&amp;Q4470&amp;AS[[#This Row],[Large Provider Entity Code]]&amp;"; "&amp;R4470&amp;AS[[#This Row],[Age Band Code]]&amp;"; "&amp;S4470&amp;AS[[#This Row],[Sex Code]]</f>
        <v xml:space="preserve">Insurer Code ; Reporting Year ; Insurance Category Code ; Large Provider Entity Code ; Age Band Code ; Sex Code </v>
      </c>
      <c r="N4470" s="297" t="s">
        <v>197</v>
      </c>
      <c r="O4470" s="297" t="s">
        <v>198</v>
      </c>
      <c r="P4470" s="297" t="s">
        <v>199</v>
      </c>
      <c r="Q4470" s="297" t="s">
        <v>200</v>
      </c>
      <c r="R4470" s="297" t="s">
        <v>213</v>
      </c>
      <c r="S4470" s="297" t="s">
        <v>214</v>
      </c>
    </row>
    <row r="4471" spans="1:19" x14ac:dyDescent="0.4">
      <c r="A4471" s="291"/>
      <c r="B4471" s="292"/>
      <c r="C4471" s="312"/>
      <c r="D4471" s="292"/>
      <c r="E4471" s="489"/>
      <c r="F4471" s="489"/>
      <c r="G4471" s="490"/>
      <c r="H4471" s="520"/>
      <c r="I4471" s="523"/>
      <c r="J4471" s="521"/>
      <c r="K4471" s="522"/>
      <c r="M4471" s="301" t="str">
        <f>N4471&amp;AS[[#This Row],[Insurer Code]]&amp;"; "&amp;O4471&amp;AS[[#This Row],[Reporting Year]]&amp;"; "&amp;P4471&amp;AS[[#This Row],[Insurance Category Code]]&amp;"; "&amp;Q4471&amp;AS[[#This Row],[Large Provider Entity Code]]&amp;"; "&amp;R4471&amp;AS[[#This Row],[Age Band Code]]&amp;"; "&amp;S4471&amp;AS[[#This Row],[Sex Code]]</f>
        <v xml:space="preserve">Insurer Code ; Reporting Year ; Insurance Category Code ; Large Provider Entity Code ; Age Band Code ; Sex Code </v>
      </c>
      <c r="N4471" s="297" t="s">
        <v>197</v>
      </c>
      <c r="O4471" s="297" t="s">
        <v>198</v>
      </c>
      <c r="P4471" s="297" t="s">
        <v>199</v>
      </c>
      <c r="Q4471" s="297" t="s">
        <v>200</v>
      </c>
      <c r="R4471" s="297" t="s">
        <v>213</v>
      </c>
      <c r="S4471" s="297" t="s">
        <v>214</v>
      </c>
    </row>
    <row r="4472" spans="1:19" x14ac:dyDescent="0.4">
      <c r="A4472" s="291"/>
      <c r="B4472" s="292"/>
      <c r="C4472" s="312"/>
      <c r="D4472" s="292"/>
      <c r="E4472" s="489"/>
      <c r="F4472" s="489"/>
      <c r="G4472" s="490"/>
      <c r="H4472" s="520"/>
      <c r="I4472" s="523"/>
      <c r="J4472" s="521"/>
      <c r="K4472" s="522"/>
      <c r="M4472" s="301" t="str">
        <f>N4472&amp;AS[[#This Row],[Insurer Code]]&amp;"; "&amp;O4472&amp;AS[[#This Row],[Reporting Year]]&amp;"; "&amp;P4472&amp;AS[[#This Row],[Insurance Category Code]]&amp;"; "&amp;Q4472&amp;AS[[#This Row],[Large Provider Entity Code]]&amp;"; "&amp;R4472&amp;AS[[#This Row],[Age Band Code]]&amp;"; "&amp;S4472&amp;AS[[#This Row],[Sex Code]]</f>
        <v xml:space="preserve">Insurer Code ; Reporting Year ; Insurance Category Code ; Large Provider Entity Code ; Age Band Code ; Sex Code </v>
      </c>
      <c r="N4472" s="297" t="s">
        <v>197</v>
      </c>
      <c r="O4472" s="297" t="s">
        <v>198</v>
      </c>
      <c r="P4472" s="297" t="s">
        <v>199</v>
      </c>
      <c r="Q4472" s="297" t="s">
        <v>200</v>
      </c>
      <c r="R4472" s="297" t="s">
        <v>213</v>
      </c>
      <c r="S4472" s="297" t="s">
        <v>214</v>
      </c>
    </row>
    <row r="4473" spans="1:19" x14ac:dyDescent="0.4">
      <c r="A4473" s="291"/>
      <c r="B4473" s="292"/>
      <c r="C4473" s="312"/>
      <c r="D4473" s="292"/>
      <c r="E4473" s="489"/>
      <c r="F4473" s="489"/>
      <c r="G4473" s="490"/>
      <c r="H4473" s="520"/>
      <c r="I4473" s="523"/>
      <c r="J4473" s="521"/>
      <c r="K4473" s="522"/>
      <c r="M4473" s="301" t="str">
        <f>N4473&amp;AS[[#This Row],[Insurer Code]]&amp;"; "&amp;O4473&amp;AS[[#This Row],[Reporting Year]]&amp;"; "&amp;P4473&amp;AS[[#This Row],[Insurance Category Code]]&amp;"; "&amp;Q4473&amp;AS[[#This Row],[Large Provider Entity Code]]&amp;"; "&amp;R4473&amp;AS[[#This Row],[Age Band Code]]&amp;"; "&amp;S4473&amp;AS[[#This Row],[Sex Code]]</f>
        <v xml:space="preserve">Insurer Code ; Reporting Year ; Insurance Category Code ; Large Provider Entity Code ; Age Band Code ; Sex Code </v>
      </c>
      <c r="N4473" s="297" t="s">
        <v>197</v>
      </c>
      <c r="O4473" s="297" t="s">
        <v>198</v>
      </c>
      <c r="P4473" s="297" t="s">
        <v>199</v>
      </c>
      <c r="Q4473" s="297" t="s">
        <v>200</v>
      </c>
      <c r="R4473" s="297" t="s">
        <v>213</v>
      </c>
      <c r="S4473" s="297" t="s">
        <v>214</v>
      </c>
    </row>
    <row r="4474" spans="1:19" x14ac:dyDescent="0.4">
      <c r="A4474" s="291"/>
      <c r="B4474" s="292"/>
      <c r="C4474" s="312"/>
      <c r="D4474" s="292"/>
      <c r="E4474" s="489"/>
      <c r="F4474" s="489"/>
      <c r="G4474" s="490"/>
      <c r="H4474" s="520"/>
      <c r="I4474" s="523"/>
      <c r="J4474" s="521"/>
      <c r="K4474" s="522"/>
      <c r="M4474" s="301" t="str">
        <f>N4474&amp;AS[[#This Row],[Insurer Code]]&amp;"; "&amp;O4474&amp;AS[[#This Row],[Reporting Year]]&amp;"; "&amp;P4474&amp;AS[[#This Row],[Insurance Category Code]]&amp;"; "&amp;Q4474&amp;AS[[#This Row],[Large Provider Entity Code]]&amp;"; "&amp;R4474&amp;AS[[#This Row],[Age Band Code]]&amp;"; "&amp;S4474&amp;AS[[#This Row],[Sex Code]]</f>
        <v xml:space="preserve">Insurer Code ; Reporting Year ; Insurance Category Code ; Large Provider Entity Code ; Age Band Code ; Sex Code </v>
      </c>
      <c r="N4474" s="297" t="s">
        <v>197</v>
      </c>
      <c r="O4474" s="297" t="s">
        <v>198</v>
      </c>
      <c r="P4474" s="297" t="s">
        <v>199</v>
      </c>
      <c r="Q4474" s="297" t="s">
        <v>200</v>
      </c>
      <c r="R4474" s="297" t="s">
        <v>213</v>
      </c>
      <c r="S4474" s="297" t="s">
        <v>214</v>
      </c>
    </row>
    <row r="4475" spans="1:19" x14ac:dyDescent="0.4">
      <c r="A4475" s="291"/>
      <c r="B4475" s="292"/>
      <c r="C4475" s="312"/>
      <c r="D4475" s="292"/>
      <c r="E4475" s="489"/>
      <c r="F4475" s="489"/>
      <c r="G4475" s="490"/>
      <c r="H4475" s="520"/>
      <c r="I4475" s="523"/>
      <c r="J4475" s="521"/>
      <c r="K4475" s="522"/>
      <c r="M4475" s="301" t="str">
        <f>N4475&amp;AS[[#This Row],[Insurer Code]]&amp;"; "&amp;O4475&amp;AS[[#This Row],[Reporting Year]]&amp;"; "&amp;P4475&amp;AS[[#This Row],[Insurance Category Code]]&amp;"; "&amp;Q4475&amp;AS[[#This Row],[Large Provider Entity Code]]&amp;"; "&amp;R4475&amp;AS[[#This Row],[Age Band Code]]&amp;"; "&amp;S4475&amp;AS[[#This Row],[Sex Code]]</f>
        <v xml:space="preserve">Insurer Code ; Reporting Year ; Insurance Category Code ; Large Provider Entity Code ; Age Band Code ; Sex Code </v>
      </c>
      <c r="N4475" s="297" t="s">
        <v>197</v>
      </c>
      <c r="O4475" s="297" t="s">
        <v>198</v>
      </c>
      <c r="P4475" s="297" t="s">
        <v>199</v>
      </c>
      <c r="Q4475" s="297" t="s">
        <v>200</v>
      </c>
      <c r="R4475" s="297" t="s">
        <v>213</v>
      </c>
      <c r="S4475" s="297" t="s">
        <v>214</v>
      </c>
    </row>
    <row r="4476" spans="1:19" x14ac:dyDescent="0.4">
      <c r="A4476" s="291"/>
      <c r="B4476" s="292"/>
      <c r="C4476" s="312"/>
      <c r="D4476" s="292"/>
      <c r="E4476" s="489"/>
      <c r="F4476" s="489"/>
      <c r="G4476" s="490"/>
      <c r="H4476" s="520"/>
      <c r="I4476" s="523"/>
      <c r="J4476" s="521"/>
      <c r="K4476" s="522"/>
      <c r="M4476" s="301" t="str">
        <f>N4476&amp;AS[[#This Row],[Insurer Code]]&amp;"; "&amp;O4476&amp;AS[[#This Row],[Reporting Year]]&amp;"; "&amp;P4476&amp;AS[[#This Row],[Insurance Category Code]]&amp;"; "&amp;Q4476&amp;AS[[#This Row],[Large Provider Entity Code]]&amp;"; "&amp;R4476&amp;AS[[#This Row],[Age Band Code]]&amp;"; "&amp;S4476&amp;AS[[#This Row],[Sex Code]]</f>
        <v xml:space="preserve">Insurer Code ; Reporting Year ; Insurance Category Code ; Large Provider Entity Code ; Age Band Code ; Sex Code </v>
      </c>
      <c r="N4476" s="297" t="s">
        <v>197</v>
      </c>
      <c r="O4476" s="297" t="s">
        <v>198</v>
      </c>
      <c r="P4476" s="297" t="s">
        <v>199</v>
      </c>
      <c r="Q4476" s="297" t="s">
        <v>200</v>
      </c>
      <c r="R4476" s="297" t="s">
        <v>213</v>
      </c>
      <c r="S4476" s="297" t="s">
        <v>214</v>
      </c>
    </row>
    <row r="4477" spans="1:19" x14ac:dyDescent="0.4">
      <c r="A4477" s="291"/>
      <c r="B4477" s="292"/>
      <c r="C4477" s="312"/>
      <c r="D4477" s="292"/>
      <c r="E4477" s="489"/>
      <c r="F4477" s="489"/>
      <c r="G4477" s="490"/>
      <c r="H4477" s="520"/>
      <c r="I4477" s="523"/>
      <c r="J4477" s="521"/>
      <c r="K4477" s="522"/>
      <c r="M4477" s="301" t="str">
        <f>N4477&amp;AS[[#This Row],[Insurer Code]]&amp;"; "&amp;O4477&amp;AS[[#This Row],[Reporting Year]]&amp;"; "&amp;P4477&amp;AS[[#This Row],[Insurance Category Code]]&amp;"; "&amp;Q4477&amp;AS[[#This Row],[Large Provider Entity Code]]&amp;"; "&amp;R4477&amp;AS[[#This Row],[Age Band Code]]&amp;"; "&amp;S4477&amp;AS[[#This Row],[Sex Code]]</f>
        <v xml:space="preserve">Insurer Code ; Reporting Year ; Insurance Category Code ; Large Provider Entity Code ; Age Band Code ; Sex Code </v>
      </c>
      <c r="N4477" s="297" t="s">
        <v>197</v>
      </c>
      <c r="O4477" s="297" t="s">
        <v>198</v>
      </c>
      <c r="P4477" s="297" t="s">
        <v>199</v>
      </c>
      <c r="Q4477" s="297" t="s">
        <v>200</v>
      </c>
      <c r="R4477" s="297" t="s">
        <v>213</v>
      </c>
      <c r="S4477" s="297" t="s">
        <v>214</v>
      </c>
    </row>
    <row r="4478" spans="1:19" x14ac:dyDescent="0.4">
      <c r="A4478" s="291"/>
      <c r="B4478" s="292"/>
      <c r="C4478" s="312"/>
      <c r="D4478" s="292"/>
      <c r="E4478" s="489"/>
      <c r="F4478" s="489"/>
      <c r="G4478" s="490"/>
      <c r="H4478" s="520"/>
      <c r="I4478" s="523"/>
      <c r="J4478" s="521"/>
      <c r="K4478" s="522"/>
      <c r="M4478" s="301" t="str">
        <f>N4478&amp;AS[[#This Row],[Insurer Code]]&amp;"; "&amp;O4478&amp;AS[[#This Row],[Reporting Year]]&amp;"; "&amp;P4478&amp;AS[[#This Row],[Insurance Category Code]]&amp;"; "&amp;Q4478&amp;AS[[#This Row],[Large Provider Entity Code]]&amp;"; "&amp;R4478&amp;AS[[#This Row],[Age Band Code]]&amp;"; "&amp;S4478&amp;AS[[#This Row],[Sex Code]]</f>
        <v xml:space="preserve">Insurer Code ; Reporting Year ; Insurance Category Code ; Large Provider Entity Code ; Age Band Code ; Sex Code </v>
      </c>
      <c r="N4478" s="297" t="s">
        <v>197</v>
      </c>
      <c r="O4478" s="297" t="s">
        <v>198</v>
      </c>
      <c r="P4478" s="297" t="s">
        <v>199</v>
      </c>
      <c r="Q4478" s="297" t="s">
        <v>200</v>
      </c>
      <c r="R4478" s="297" t="s">
        <v>213</v>
      </c>
      <c r="S4478" s="297" t="s">
        <v>214</v>
      </c>
    </row>
    <row r="4479" spans="1:19" x14ac:dyDescent="0.4">
      <c r="A4479" s="291"/>
      <c r="B4479" s="292"/>
      <c r="C4479" s="312"/>
      <c r="D4479" s="292"/>
      <c r="E4479" s="489"/>
      <c r="F4479" s="489"/>
      <c r="G4479" s="490"/>
      <c r="H4479" s="520"/>
      <c r="I4479" s="523"/>
      <c r="J4479" s="521"/>
      <c r="K4479" s="522"/>
      <c r="M4479" s="301" t="str">
        <f>N4479&amp;AS[[#This Row],[Insurer Code]]&amp;"; "&amp;O4479&amp;AS[[#This Row],[Reporting Year]]&amp;"; "&amp;P4479&amp;AS[[#This Row],[Insurance Category Code]]&amp;"; "&amp;Q4479&amp;AS[[#This Row],[Large Provider Entity Code]]&amp;"; "&amp;R4479&amp;AS[[#This Row],[Age Band Code]]&amp;"; "&amp;S4479&amp;AS[[#This Row],[Sex Code]]</f>
        <v xml:space="preserve">Insurer Code ; Reporting Year ; Insurance Category Code ; Large Provider Entity Code ; Age Band Code ; Sex Code </v>
      </c>
      <c r="N4479" s="297" t="s">
        <v>197</v>
      </c>
      <c r="O4479" s="297" t="s">
        <v>198</v>
      </c>
      <c r="P4479" s="297" t="s">
        <v>199</v>
      </c>
      <c r="Q4479" s="297" t="s">
        <v>200</v>
      </c>
      <c r="R4479" s="297" t="s">
        <v>213</v>
      </c>
      <c r="S4479" s="297" t="s">
        <v>214</v>
      </c>
    </row>
    <row r="4480" spans="1:19" x14ac:dyDescent="0.4">
      <c r="A4480" s="291"/>
      <c r="B4480" s="292"/>
      <c r="C4480" s="312"/>
      <c r="D4480" s="292"/>
      <c r="E4480" s="489"/>
      <c r="F4480" s="489"/>
      <c r="G4480" s="490"/>
      <c r="H4480" s="520"/>
      <c r="I4480" s="523"/>
      <c r="J4480" s="521"/>
      <c r="K4480" s="522"/>
      <c r="M4480" s="301" t="str">
        <f>N4480&amp;AS[[#This Row],[Insurer Code]]&amp;"; "&amp;O4480&amp;AS[[#This Row],[Reporting Year]]&amp;"; "&amp;P4480&amp;AS[[#This Row],[Insurance Category Code]]&amp;"; "&amp;Q4480&amp;AS[[#This Row],[Large Provider Entity Code]]&amp;"; "&amp;R4480&amp;AS[[#This Row],[Age Band Code]]&amp;"; "&amp;S4480&amp;AS[[#This Row],[Sex Code]]</f>
        <v xml:space="preserve">Insurer Code ; Reporting Year ; Insurance Category Code ; Large Provider Entity Code ; Age Band Code ; Sex Code </v>
      </c>
      <c r="N4480" s="297" t="s">
        <v>197</v>
      </c>
      <c r="O4480" s="297" t="s">
        <v>198</v>
      </c>
      <c r="P4480" s="297" t="s">
        <v>199</v>
      </c>
      <c r="Q4480" s="297" t="s">
        <v>200</v>
      </c>
      <c r="R4480" s="297" t="s">
        <v>213</v>
      </c>
      <c r="S4480" s="297" t="s">
        <v>214</v>
      </c>
    </row>
    <row r="4481" spans="1:19" x14ac:dyDescent="0.4">
      <c r="A4481" s="291"/>
      <c r="B4481" s="292"/>
      <c r="C4481" s="312"/>
      <c r="D4481" s="292"/>
      <c r="E4481" s="489"/>
      <c r="F4481" s="489"/>
      <c r="G4481" s="490"/>
      <c r="H4481" s="520"/>
      <c r="I4481" s="523"/>
      <c r="J4481" s="521"/>
      <c r="K4481" s="522"/>
      <c r="M4481" s="301" t="str">
        <f>N4481&amp;AS[[#This Row],[Insurer Code]]&amp;"; "&amp;O4481&amp;AS[[#This Row],[Reporting Year]]&amp;"; "&amp;P4481&amp;AS[[#This Row],[Insurance Category Code]]&amp;"; "&amp;Q4481&amp;AS[[#This Row],[Large Provider Entity Code]]&amp;"; "&amp;R4481&amp;AS[[#This Row],[Age Band Code]]&amp;"; "&amp;S4481&amp;AS[[#This Row],[Sex Code]]</f>
        <v xml:space="preserve">Insurer Code ; Reporting Year ; Insurance Category Code ; Large Provider Entity Code ; Age Band Code ; Sex Code </v>
      </c>
      <c r="N4481" s="297" t="s">
        <v>197</v>
      </c>
      <c r="O4481" s="297" t="s">
        <v>198</v>
      </c>
      <c r="P4481" s="297" t="s">
        <v>199</v>
      </c>
      <c r="Q4481" s="297" t="s">
        <v>200</v>
      </c>
      <c r="R4481" s="297" t="s">
        <v>213</v>
      </c>
      <c r="S4481" s="297" t="s">
        <v>214</v>
      </c>
    </row>
    <row r="4482" spans="1:19" x14ac:dyDescent="0.4">
      <c r="A4482" s="291"/>
      <c r="B4482" s="292"/>
      <c r="C4482" s="312"/>
      <c r="D4482" s="292"/>
      <c r="E4482" s="489"/>
      <c r="F4482" s="489"/>
      <c r="G4482" s="490"/>
      <c r="H4482" s="520"/>
      <c r="I4482" s="523"/>
      <c r="J4482" s="521"/>
      <c r="K4482" s="522"/>
      <c r="M4482" s="301" t="str">
        <f>N4482&amp;AS[[#This Row],[Insurer Code]]&amp;"; "&amp;O4482&amp;AS[[#This Row],[Reporting Year]]&amp;"; "&amp;P4482&amp;AS[[#This Row],[Insurance Category Code]]&amp;"; "&amp;Q4482&amp;AS[[#This Row],[Large Provider Entity Code]]&amp;"; "&amp;R4482&amp;AS[[#This Row],[Age Band Code]]&amp;"; "&amp;S4482&amp;AS[[#This Row],[Sex Code]]</f>
        <v xml:space="preserve">Insurer Code ; Reporting Year ; Insurance Category Code ; Large Provider Entity Code ; Age Band Code ; Sex Code </v>
      </c>
      <c r="N4482" s="297" t="s">
        <v>197</v>
      </c>
      <c r="O4482" s="297" t="s">
        <v>198</v>
      </c>
      <c r="P4482" s="297" t="s">
        <v>199</v>
      </c>
      <c r="Q4482" s="297" t="s">
        <v>200</v>
      </c>
      <c r="R4482" s="297" t="s">
        <v>213</v>
      </c>
      <c r="S4482" s="297" t="s">
        <v>214</v>
      </c>
    </row>
    <row r="4483" spans="1:19" x14ac:dyDescent="0.4">
      <c r="A4483" s="291"/>
      <c r="B4483" s="292"/>
      <c r="C4483" s="312"/>
      <c r="D4483" s="292"/>
      <c r="E4483" s="489"/>
      <c r="F4483" s="489"/>
      <c r="G4483" s="490"/>
      <c r="H4483" s="520"/>
      <c r="I4483" s="523"/>
      <c r="J4483" s="521"/>
      <c r="K4483" s="522"/>
      <c r="M4483" s="301" t="str">
        <f>N4483&amp;AS[[#This Row],[Insurer Code]]&amp;"; "&amp;O4483&amp;AS[[#This Row],[Reporting Year]]&amp;"; "&amp;P4483&amp;AS[[#This Row],[Insurance Category Code]]&amp;"; "&amp;Q4483&amp;AS[[#This Row],[Large Provider Entity Code]]&amp;"; "&amp;R4483&amp;AS[[#This Row],[Age Band Code]]&amp;"; "&amp;S4483&amp;AS[[#This Row],[Sex Code]]</f>
        <v xml:space="preserve">Insurer Code ; Reporting Year ; Insurance Category Code ; Large Provider Entity Code ; Age Band Code ; Sex Code </v>
      </c>
      <c r="N4483" s="297" t="s">
        <v>197</v>
      </c>
      <c r="O4483" s="297" t="s">
        <v>198</v>
      </c>
      <c r="P4483" s="297" t="s">
        <v>199</v>
      </c>
      <c r="Q4483" s="297" t="s">
        <v>200</v>
      </c>
      <c r="R4483" s="297" t="s">
        <v>213</v>
      </c>
      <c r="S4483" s="297" t="s">
        <v>214</v>
      </c>
    </row>
    <row r="4484" spans="1:19" x14ac:dyDescent="0.4">
      <c r="A4484" s="291"/>
      <c r="B4484" s="292"/>
      <c r="C4484" s="312"/>
      <c r="D4484" s="292"/>
      <c r="E4484" s="489"/>
      <c r="F4484" s="489"/>
      <c r="G4484" s="490"/>
      <c r="H4484" s="520"/>
      <c r="I4484" s="523"/>
      <c r="J4484" s="521"/>
      <c r="K4484" s="522"/>
      <c r="M4484" s="301" t="str">
        <f>N4484&amp;AS[[#This Row],[Insurer Code]]&amp;"; "&amp;O4484&amp;AS[[#This Row],[Reporting Year]]&amp;"; "&amp;P4484&amp;AS[[#This Row],[Insurance Category Code]]&amp;"; "&amp;Q4484&amp;AS[[#This Row],[Large Provider Entity Code]]&amp;"; "&amp;R4484&amp;AS[[#This Row],[Age Band Code]]&amp;"; "&amp;S4484&amp;AS[[#This Row],[Sex Code]]</f>
        <v xml:space="preserve">Insurer Code ; Reporting Year ; Insurance Category Code ; Large Provider Entity Code ; Age Band Code ; Sex Code </v>
      </c>
      <c r="N4484" s="297" t="s">
        <v>197</v>
      </c>
      <c r="O4484" s="297" t="s">
        <v>198</v>
      </c>
      <c r="P4484" s="297" t="s">
        <v>199</v>
      </c>
      <c r="Q4484" s="297" t="s">
        <v>200</v>
      </c>
      <c r="R4484" s="297" t="s">
        <v>213</v>
      </c>
      <c r="S4484" s="297" t="s">
        <v>214</v>
      </c>
    </row>
    <row r="4485" spans="1:19" x14ac:dyDescent="0.4">
      <c r="A4485" s="291"/>
      <c r="B4485" s="292"/>
      <c r="C4485" s="312"/>
      <c r="D4485" s="292"/>
      <c r="E4485" s="489"/>
      <c r="F4485" s="489"/>
      <c r="G4485" s="490"/>
      <c r="H4485" s="520"/>
      <c r="I4485" s="523"/>
      <c r="J4485" s="521"/>
      <c r="K4485" s="522"/>
      <c r="M4485" s="301" t="str">
        <f>N4485&amp;AS[[#This Row],[Insurer Code]]&amp;"; "&amp;O4485&amp;AS[[#This Row],[Reporting Year]]&amp;"; "&amp;P4485&amp;AS[[#This Row],[Insurance Category Code]]&amp;"; "&amp;Q4485&amp;AS[[#This Row],[Large Provider Entity Code]]&amp;"; "&amp;R4485&amp;AS[[#This Row],[Age Band Code]]&amp;"; "&amp;S4485&amp;AS[[#This Row],[Sex Code]]</f>
        <v xml:space="preserve">Insurer Code ; Reporting Year ; Insurance Category Code ; Large Provider Entity Code ; Age Band Code ; Sex Code </v>
      </c>
      <c r="N4485" s="297" t="s">
        <v>197</v>
      </c>
      <c r="O4485" s="297" t="s">
        <v>198</v>
      </c>
      <c r="P4485" s="297" t="s">
        <v>199</v>
      </c>
      <c r="Q4485" s="297" t="s">
        <v>200</v>
      </c>
      <c r="R4485" s="297" t="s">
        <v>213</v>
      </c>
      <c r="S4485" s="297" t="s">
        <v>214</v>
      </c>
    </row>
    <row r="4486" spans="1:19" x14ac:dyDescent="0.4">
      <c r="A4486" s="291"/>
      <c r="B4486" s="292"/>
      <c r="C4486" s="312"/>
      <c r="D4486" s="292"/>
      <c r="E4486" s="489"/>
      <c r="F4486" s="489"/>
      <c r="G4486" s="490"/>
      <c r="H4486" s="520"/>
      <c r="I4486" s="523"/>
      <c r="J4486" s="521"/>
      <c r="K4486" s="522"/>
      <c r="M4486" s="301" t="str">
        <f>N4486&amp;AS[[#This Row],[Insurer Code]]&amp;"; "&amp;O4486&amp;AS[[#This Row],[Reporting Year]]&amp;"; "&amp;P4486&amp;AS[[#This Row],[Insurance Category Code]]&amp;"; "&amp;Q4486&amp;AS[[#This Row],[Large Provider Entity Code]]&amp;"; "&amp;R4486&amp;AS[[#This Row],[Age Band Code]]&amp;"; "&amp;S4486&amp;AS[[#This Row],[Sex Code]]</f>
        <v xml:space="preserve">Insurer Code ; Reporting Year ; Insurance Category Code ; Large Provider Entity Code ; Age Band Code ; Sex Code </v>
      </c>
      <c r="N4486" s="297" t="s">
        <v>197</v>
      </c>
      <c r="O4486" s="297" t="s">
        <v>198</v>
      </c>
      <c r="P4486" s="297" t="s">
        <v>199</v>
      </c>
      <c r="Q4486" s="297" t="s">
        <v>200</v>
      </c>
      <c r="R4486" s="297" t="s">
        <v>213</v>
      </c>
      <c r="S4486" s="297" t="s">
        <v>214</v>
      </c>
    </row>
    <row r="4487" spans="1:19" x14ac:dyDescent="0.4">
      <c r="A4487" s="291"/>
      <c r="B4487" s="292"/>
      <c r="C4487" s="312"/>
      <c r="D4487" s="292"/>
      <c r="E4487" s="489"/>
      <c r="F4487" s="489"/>
      <c r="G4487" s="490"/>
      <c r="H4487" s="520"/>
      <c r="I4487" s="523"/>
      <c r="J4487" s="521"/>
      <c r="K4487" s="522"/>
      <c r="M4487" s="301" t="str">
        <f>N4487&amp;AS[[#This Row],[Insurer Code]]&amp;"; "&amp;O4487&amp;AS[[#This Row],[Reporting Year]]&amp;"; "&amp;P4487&amp;AS[[#This Row],[Insurance Category Code]]&amp;"; "&amp;Q4487&amp;AS[[#This Row],[Large Provider Entity Code]]&amp;"; "&amp;R4487&amp;AS[[#This Row],[Age Band Code]]&amp;"; "&amp;S4487&amp;AS[[#This Row],[Sex Code]]</f>
        <v xml:space="preserve">Insurer Code ; Reporting Year ; Insurance Category Code ; Large Provider Entity Code ; Age Band Code ; Sex Code </v>
      </c>
      <c r="N4487" s="297" t="s">
        <v>197</v>
      </c>
      <c r="O4487" s="297" t="s">
        <v>198</v>
      </c>
      <c r="P4487" s="297" t="s">
        <v>199</v>
      </c>
      <c r="Q4487" s="297" t="s">
        <v>200</v>
      </c>
      <c r="R4487" s="297" t="s">
        <v>213</v>
      </c>
      <c r="S4487" s="297" t="s">
        <v>214</v>
      </c>
    </row>
    <row r="4488" spans="1:19" x14ac:dyDescent="0.4">
      <c r="A4488" s="291"/>
      <c r="B4488" s="292"/>
      <c r="C4488" s="312"/>
      <c r="D4488" s="292"/>
      <c r="E4488" s="489"/>
      <c r="F4488" s="489"/>
      <c r="G4488" s="490"/>
      <c r="H4488" s="520"/>
      <c r="I4488" s="523"/>
      <c r="J4488" s="521"/>
      <c r="K4488" s="522"/>
      <c r="M4488" s="301" t="str">
        <f>N4488&amp;AS[[#This Row],[Insurer Code]]&amp;"; "&amp;O4488&amp;AS[[#This Row],[Reporting Year]]&amp;"; "&amp;P4488&amp;AS[[#This Row],[Insurance Category Code]]&amp;"; "&amp;Q4488&amp;AS[[#This Row],[Large Provider Entity Code]]&amp;"; "&amp;R4488&amp;AS[[#This Row],[Age Band Code]]&amp;"; "&amp;S4488&amp;AS[[#This Row],[Sex Code]]</f>
        <v xml:space="preserve">Insurer Code ; Reporting Year ; Insurance Category Code ; Large Provider Entity Code ; Age Band Code ; Sex Code </v>
      </c>
      <c r="N4488" s="297" t="s">
        <v>197</v>
      </c>
      <c r="O4488" s="297" t="s">
        <v>198</v>
      </c>
      <c r="P4488" s="297" t="s">
        <v>199</v>
      </c>
      <c r="Q4488" s="297" t="s">
        <v>200</v>
      </c>
      <c r="R4488" s="297" t="s">
        <v>213</v>
      </c>
      <c r="S4488" s="297" t="s">
        <v>214</v>
      </c>
    </row>
    <row r="4489" spans="1:19" x14ac:dyDescent="0.4">
      <c r="A4489" s="291"/>
      <c r="B4489" s="292"/>
      <c r="C4489" s="312"/>
      <c r="D4489" s="292"/>
      <c r="E4489" s="489"/>
      <c r="F4489" s="489"/>
      <c r="G4489" s="490"/>
      <c r="H4489" s="520"/>
      <c r="I4489" s="523"/>
      <c r="J4489" s="521"/>
      <c r="K4489" s="522"/>
      <c r="M4489" s="301" t="str">
        <f>N4489&amp;AS[[#This Row],[Insurer Code]]&amp;"; "&amp;O4489&amp;AS[[#This Row],[Reporting Year]]&amp;"; "&amp;P4489&amp;AS[[#This Row],[Insurance Category Code]]&amp;"; "&amp;Q4489&amp;AS[[#This Row],[Large Provider Entity Code]]&amp;"; "&amp;R4489&amp;AS[[#This Row],[Age Band Code]]&amp;"; "&amp;S4489&amp;AS[[#This Row],[Sex Code]]</f>
        <v xml:space="preserve">Insurer Code ; Reporting Year ; Insurance Category Code ; Large Provider Entity Code ; Age Band Code ; Sex Code </v>
      </c>
      <c r="N4489" s="297" t="s">
        <v>197</v>
      </c>
      <c r="O4489" s="297" t="s">
        <v>198</v>
      </c>
      <c r="P4489" s="297" t="s">
        <v>199</v>
      </c>
      <c r="Q4489" s="297" t="s">
        <v>200</v>
      </c>
      <c r="R4489" s="297" t="s">
        <v>213</v>
      </c>
      <c r="S4489" s="297" t="s">
        <v>214</v>
      </c>
    </row>
    <row r="4490" spans="1:19" x14ac:dyDescent="0.4">
      <c r="A4490" s="291"/>
      <c r="B4490" s="292"/>
      <c r="C4490" s="312"/>
      <c r="D4490" s="292"/>
      <c r="E4490" s="489"/>
      <c r="F4490" s="489"/>
      <c r="G4490" s="490"/>
      <c r="H4490" s="520"/>
      <c r="I4490" s="523"/>
      <c r="J4490" s="521"/>
      <c r="K4490" s="522"/>
      <c r="M4490" s="301" t="str">
        <f>N4490&amp;AS[[#This Row],[Insurer Code]]&amp;"; "&amp;O4490&amp;AS[[#This Row],[Reporting Year]]&amp;"; "&amp;P4490&amp;AS[[#This Row],[Insurance Category Code]]&amp;"; "&amp;Q4490&amp;AS[[#This Row],[Large Provider Entity Code]]&amp;"; "&amp;R4490&amp;AS[[#This Row],[Age Band Code]]&amp;"; "&amp;S4490&amp;AS[[#This Row],[Sex Code]]</f>
        <v xml:space="preserve">Insurer Code ; Reporting Year ; Insurance Category Code ; Large Provider Entity Code ; Age Band Code ; Sex Code </v>
      </c>
      <c r="N4490" s="297" t="s">
        <v>197</v>
      </c>
      <c r="O4490" s="297" t="s">
        <v>198</v>
      </c>
      <c r="P4490" s="297" t="s">
        <v>199</v>
      </c>
      <c r="Q4490" s="297" t="s">
        <v>200</v>
      </c>
      <c r="R4490" s="297" t="s">
        <v>213</v>
      </c>
      <c r="S4490" s="297" t="s">
        <v>214</v>
      </c>
    </row>
    <row r="4491" spans="1:19" x14ac:dyDescent="0.4">
      <c r="A4491" s="291"/>
      <c r="B4491" s="292"/>
      <c r="C4491" s="312"/>
      <c r="D4491" s="292"/>
      <c r="E4491" s="489"/>
      <c r="F4491" s="489"/>
      <c r="G4491" s="490"/>
      <c r="H4491" s="520"/>
      <c r="I4491" s="523"/>
      <c r="J4491" s="521"/>
      <c r="K4491" s="522"/>
      <c r="M4491" s="301" t="str">
        <f>N4491&amp;AS[[#This Row],[Insurer Code]]&amp;"; "&amp;O4491&amp;AS[[#This Row],[Reporting Year]]&amp;"; "&amp;P4491&amp;AS[[#This Row],[Insurance Category Code]]&amp;"; "&amp;Q4491&amp;AS[[#This Row],[Large Provider Entity Code]]&amp;"; "&amp;R4491&amp;AS[[#This Row],[Age Band Code]]&amp;"; "&amp;S4491&amp;AS[[#This Row],[Sex Code]]</f>
        <v xml:space="preserve">Insurer Code ; Reporting Year ; Insurance Category Code ; Large Provider Entity Code ; Age Band Code ; Sex Code </v>
      </c>
      <c r="N4491" s="297" t="s">
        <v>197</v>
      </c>
      <c r="O4491" s="297" t="s">
        <v>198</v>
      </c>
      <c r="P4491" s="297" t="s">
        <v>199</v>
      </c>
      <c r="Q4491" s="297" t="s">
        <v>200</v>
      </c>
      <c r="R4491" s="297" t="s">
        <v>213</v>
      </c>
      <c r="S4491" s="297" t="s">
        <v>214</v>
      </c>
    </row>
    <row r="4492" spans="1:19" x14ac:dyDescent="0.4">
      <c r="A4492" s="291"/>
      <c r="B4492" s="292"/>
      <c r="C4492" s="312"/>
      <c r="D4492" s="292"/>
      <c r="E4492" s="489"/>
      <c r="F4492" s="489"/>
      <c r="G4492" s="490"/>
      <c r="H4492" s="520"/>
      <c r="I4492" s="523"/>
      <c r="J4492" s="521"/>
      <c r="K4492" s="522"/>
      <c r="M4492" s="301" t="str">
        <f>N4492&amp;AS[[#This Row],[Insurer Code]]&amp;"; "&amp;O4492&amp;AS[[#This Row],[Reporting Year]]&amp;"; "&amp;P4492&amp;AS[[#This Row],[Insurance Category Code]]&amp;"; "&amp;Q4492&amp;AS[[#This Row],[Large Provider Entity Code]]&amp;"; "&amp;R4492&amp;AS[[#This Row],[Age Band Code]]&amp;"; "&amp;S4492&amp;AS[[#This Row],[Sex Code]]</f>
        <v xml:space="preserve">Insurer Code ; Reporting Year ; Insurance Category Code ; Large Provider Entity Code ; Age Band Code ; Sex Code </v>
      </c>
      <c r="N4492" s="297" t="s">
        <v>197</v>
      </c>
      <c r="O4492" s="297" t="s">
        <v>198</v>
      </c>
      <c r="P4492" s="297" t="s">
        <v>199</v>
      </c>
      <c r="Q4492" s="297" t="s">
        <v>200</v>
      </c>
      <c r="R4492" s="297" t="s">
        <v>213</v>
      </c>
      <c r="S4492" s="297" t="s">
        <v>214</v>
      </c>
    </row>
    <row r="4493" spans="1:19" x14ac:dyDescent="0.4">
      <c r="A4493" s="291"/>
      <c r="B4493" s="292"/>
      <c r="C4493" s="312"/>
      <c r="D4493" s="292"/>
      <c r="E4493" s="489"/>
      <c r="F4493" s="489"/>
      <c r="G4493" s="490"/>
      <c r="H4493" s="520"/>
      <c r="I4493" s="523"/>
      <c r="J4493" s="521"/>
      <c r="K4493" s="522"/>
      <c r="M4493" s="301" t="str">
        <f>N4493&amp;AS[[#This Row],[Insurer Code]]&amp;"; "&amp;O4493&amp;AS[[#This Row],[Reporting Year]]&amp;"; "&amp;P4493&amp;AS[[#This Row],[Insurance Category Code]]&amp;"; "&amp;Q4493&amp;AS[[#This Row],[Large Provider Entity Code]]&amp;"; "&amp;R4493&amp;AS[[#This Row],[Age Band Code]]&amp;"; "&amp;S4493&amp;AS[[#This Row],[Sex Code]]</f>
        <v xml:space="preserve">Insurer Code ; Reporting Year ; Insurance Category Code ; Large Provider Entity Code ; Age Band Code ; Sex Code </v>
      </c>
      <c r="N4493" s="297" t="s">
        <v>197</v>
      </c>
      <c r="O4493" s="297" t="s">
        <v>198</v>
      </c>
      <c r="P4493" s="297" t="s">
        <v>199</v>
      </c>
      <c r="Q4493" s="297" t="s">
        <v>200</v>
      </c>
      <c r="R4493" s="297" t="s">
        <v>213</v>
      </c>
      <c r="S4493" s="297" t="s">
        <v>214</v>
      </c>
    </row>
    <row r="4494" spans="1:19" x14ac:dyDescent="0.4">
      <c r="A4494" s="291"/>
      <c r="B4494" s="292"/>
      <c r="C4494" s="312"/>
      <c r="D4494" s="292"/>
      <c r="E4494" s="489"/>
      <c r="F4494" s="489"/>
      <c r="G4494" s="490"/>
      <c r="H4494" s="520"/>
      <c r="I4494" s="523"/>
      <c r="J4494" s="521"/>
      <c r="K4494" s="522"/>
      <c r="M4494" s="301" t="str">
        <f>N4494&amp;AS[[#This Row],[Insurer Code]]&amp;"; "&amp;O4494&amp;AS[[#This Row],[Reporting Year]]&amp;"; "&amp;P4494&amp;AS[[#This Row],[Insurance Category Code]]&amp;"; "&amp;Q4494&amp;AS[[#This Row],[Large Provider Entity Code]]&amp;"; "&amp;R4494&amp;AS[[#This Row],[Age Band Code]]&amp;"; "&amp;S4494&amp;AS[[#This Row],[Sex Code]]</f>
        <v xml:space="preserve">Insurer Code ; Reporting Year ; Insurance Category Code ; Large Provider Entity Code ; Age Band Code ; Sex Code </v>
      </c>
      <c r="N4494" s="297" t="s">
        <v>197</v>
      </c>
      <c r="O4494" s="297" t="s">
        <v>198</v>
      </c>
      <c r="P4494" s="297" t="s">
        <v>199</v>
      </c>
      <c r="Q4494" s="297" t="s">
        <v>200</v>
      </c>
      <c r="R4494" s="297" t="s">
        <v>213</v>
      </c>
      <c r="S4494" s="297" t="s">
        <v>214</v>
      </c>
    </row>
    <row r="4495" spans="1:19" x14ac:dyDescent="0.4">
      <c r="A4495" s="291"/>
      <c r="B4495" s="292"/>
      <c r="C4495" s="312"/>
      <c r="D4495" s="292"/>
      <c r="E4495" s="489"/>
      <c r="F4495" s="489"/>
      <c r="G4495" s="490"/>
      <c r="H4495" s="520"/>
      <c r="I4495" s="523"/>
      <c r="J4495" s="521"/>
      <c r="K4495" s="522"/>
      <c r="M4495" s="301" t="str">
        <f>N4495&amp;AS[[#This Row],[Insurer Code]]&amp;"; "&amp;O4495&amp;AS[[#This Row],[Reporting Year]]&amp;"; "&amp;P4495&amp;AS[[#This Row],[Insurance Category Code]]&amp;"; "&amp;Q4495&amp;AS[[#This Row],[Large Provider Entity Code]]&amp;"; "&amp;R4495&amp;AS[[#This Row],[Age Band Code]]&amp;"; "&amp;S4495&amp;AS[[#This Row],[Sex Code]]</f>
        <v xml:space="preserve">Insurer Code ; Reporting Year ; Insurance Category Code ; Large Provider Entity Code ; Age Band Code ; Sex Code </v>
      </c>
      <c r="N4495" s="297" t="s">
        <v>197</v>
      </c>
      <c r="O4495" s="297" t="s">
        <v>198</v>
      </c>
      <c r="P4495" s="297" t="s">
        <v>199</v>
      </c>
      <c r="Q4495" s="297" t="s">
        <v>200</v>
      </c>
      <c r="R4495" s="297" t="s">
        <v>213</v>
      </c>
      <c r="S4495" s="297" t="s">
        <v>214</v>
      </c>
    </row>
    <row r="4496" spans="1:19" x14ac:dyDescent="0.4">
      <c r="A4496" s="291"/>
      <c r="B4496" s="292"/>
      <c r="C4496" s="312"/>
      <c r="D4496" s="292"/>
      <c r="E4496" s="489"/>
      <c r="F4496" s="489"/>
      <c r="G4496" s="490"/>
      <c r="H4496" s="520"/>
      <c r="I4496" s="523"/>
      <c r="J4496" s="521"/>
      <c r="K4496" s="522"/>
      <c r="M4496" s="301" t="str">
        <f>N4496&amp;AS[[#This Row],[Insurer Code]]&amp;"; "&amp;O4496&amp;AS[[#This Row],[Reporting Year]]&amp;"; "&amp;P4496&amp;AS[[#This Row],[Insurance Category Code]]&amp;"; "&amp;Q4496&amp;AS[[#This Row],[Large Provider Entity Code]]&amp;"; "&amp;R4496&amp;AS[[#This Row],[Age Band Code]]&amp;"; "&amp;S4496&amp;AS[[#This Row],[Sex Code]]</f>
        <v xml:space="preserve">Insurer Code ; Reporting Year ; Insurance Category Code ; Large Provider Entity Code ; Age Band Code ; Sex Code </v>
      </c>
      <c r="N4496" s="297" t="s">
        <v>197</v>
      </c>
      <c r="O4496" s="297" t="s">
        <v>198</v>
      </c>
      <c r="P4496" s="297" t="s">
        <v>199</v>
      </c>
      <c r="Q4496" s="297" t="s">
        <v>200</v>
      </c>
      <c r="R4496" s="297" t="s">
        <v>213</v>
      </c>
      <c r="S4496" s="297" t="s">
        <v>214</v>
      </c>
    </row>
    <row r="4497" spans="1:19" x14ac:dyDescent="0.4">
      <c r="A4497" s="291"/>
      <c r="B4497" s="292"/>
      <c r="C4497" s="312"/>
      <c r="D4497" s="292"/>
      <c r="E4497" s="489"/>
      <c r="F4497" s="489"/>
      <c r="G4497" s="490"/>
      <c r="H4497" s="520"/>
      <c r="I4497" s="523"/>
      <c r="J4497" s="521"/>
      <c r="K4497" s="522"/>
      <c r="M4497" s="301" t="str">
        <f>N4497&amp;AS[[#This Row],[Insurer Code]]&amp;"; "&amp;O4497&amp;AS[[#This Row],[Reporting Year]]&amp;"; "&amp;P4497&amp;AS[[#This Row],[Insurance Category Code]]&amp;"; "&amp;Q4497&amp;AS[[#This Row],[Large Provider Entity Code]]&amp;"; "&amp;R4497&amp;AS[[#This Row],[Age Band Code]]&amp;"; "&amp;S4497&amp;AS[[#This Row],[Sex Code]]</f>
        <v xml:space="preserve">Insurer Code ; Reporting Year ; Insurance Category Code ; Large Provider Entity Code ; Age Band Code ; Sex Code </v>
      </c>
      <c r="N4497" s="297" t="s">
        <v>197</v>
      </c>
      <c r="O4497" s="297" t="s">
        <v>198</v>
      </c>
      <c r="P4497" s="297" t="s">
        <v>199</v>
      </c>
      <c r="Q4497" s="297" t="s">
        <v>200</v>
      </c>
      <c r="R4497" s="297" t="s">
        <v>213</v>
      </c>
      <c r="S4497" s="297" t="s">
        <v>214</v>
      </c>
    </row>
    <row r="4498" spans="1:19" x14ac:dyDescent="0.4">
      <c r="A4498" s="291"/>
      <c r="B4498" s="292"/>
      <c r="C4498" s="312"/>
      <c r="D4498" s="292"/>
      <c r="E4498" s="489"/>
      <c r="F4498" s="489"/>
      <c r="G4498" s="490"/>
      <c r="H4498" s="520"/>
      <c r="I4498" s="523"/>
      <c r="J4498" s="521"/>
      <c r="K4498" s="522"/>
      <c r="M4498" s="301" t="str">
        <f>N4498&amp;AS[[#This Row],[Insurer Code]]&amp;"; "&amp;O4498&amp;AS[[#This Row],[Reporting Year]]&amp;"; "&amp;P4498&amp;AS[[#This Row],[Insurance Category Code]]&amp;"; "&amp;Q4498&amp;AS[[#This Row],[Large Provider Entity Code]]&amp;"; "&amp;R4498&amp;AS[[#This Row],[Age Band Code]]&amp;"; "&amp;S4498&amp;AS[[#This Row],[Sex Code]]</f>
        <v xml:space="preserve">Insurer Code ; Reporting Year ; Insurance Category Code ; Large Provider Entity Code ; Age Band Code ; Sex Code </v>
      </c>
      <c r="N4498" s="297" t="s">
        <v>197</v>
      </c>
      <c r="O4498" s="297" t="s">
        <v>198</v>
      </c>
      <c r="P4498" s="297" t="s">
        <v>199</v>
      </c>
      <c r="Q4498" s="297" t="s">
        <v>200</v>
      </c>
      <c r="R4498" s="297" t="s">
        <v>213</v>
      </c>
      <c r="S4498" s="297" t="s">
        <v>214</v>
      </c>
    </row>
    <row r="4499" spans="1:19" x14ac:dyDescent="0.4">
      <c r="A4499" s="291"/>
      <c r="B4499" s="292"/>
      <c r="C4499" s="312"/>
      <c r="D4499" s="292"/>
      <c r="E4499" s="489"/>
      <c r="F4499" s="489"/>
      <c r="G4499" s="490"/>
      <c r="H4499" s="520"/>
      <c r="I4499" s="523"/>
      <c r="J4499" s="521"/>
      <c r="K4499" s="522"/>
      <c r="M4499" s="301" t="str">
        <f>N4499&amp;AS[[#This Row],[Insurer Code]]&amp;"; "&amp;O4499&amp;AS[[#This Row],[Reporting Year]]&amp;"; "&amp;P4499&amp;AS[[#This Row],[Insurance Category Code]]&amp;"; "&amp;Q4499&amp;AS[[#This Row],[Large Provider Entity Code]]&amp;"; "&amp;R4499&amp;AS[[#This Row],[Age Band Code]]&amp;"; "&amp;S4499&amp;AS[[#This Row],[Sex Code]]</f>
        <v xml:space="preserve">Insurer Code ; Reporting Year ; Insurance Category Code ; Large Provider Entity Code ; Age Band Code ; Sex Code </v>
      </c>
      <c r="N4499" s="297" t="s">
        <v>197</v>
      </c>
      <c r="O4499" s="297" t="s">
        <v>198</v>
      </c>
      <c r="P4499" s="297" t="s">
        <v>199</v>
      </c>
      <c r="Q4499" s="297" t="s">
        <v>200</v>
      </c>
      <c r="R4499" s="297" t="s">
        <v>213</v>
      </c>
      <c r="S4499" s="297" t="s">
        <v>214</v>
      </c>
    </row>
    <row r="4500" spans="1:19" x14ac:dyDescent="0.4">
      <c r="A4500" s="291"/>
      <c r="B4500" s="292"/>
      <c r="C4500" s="312"/>
      <c r="D4500" s="292"/>
      <c r="E4500" s="489"/>
      <c r="F4500" s="489"/>
      <c r="G4500" s="490"/>
      <c r="H4500" s="520"/>
      <c r="I4500" s="523"/>
      <c r="J4500" s="521"/>
      <c r="K4500" s="522"/>
      <c r="M4500" s="301" t="str">
        <f>N4500&amp;AS[[#This Row],[Insurer Code]]&amp;"; "&amp;O4500&amp;AS[[#This Row],[Reporting Year]]&amp;"; "&amp;P4500&amp;AS[[#This Row],[Insurance Category Code]]&amp;"; "&amp;Q4500&amp;AS[[#This Row],[Large Provider Entity Code]]&amp;"; "&amp;R4500&amp;AS[[#This Row],[Age Band Code]]&amp;"; "&amp;S4500&amp;AS[[#This Row],[Sex Code]]</f>
        <v xml:space="preserve">Insurer Code ; Reporting Year ; Insurance Category Code ; Large Provider Entity Code ; Age Band Code ; Sex Code </v>
      </c>
      <c r="N4500" s="297" t="s">
        <v>197</v>
      </c>
      <c r="O4500" s="297" t="s">
        <v>198</v>
      </c>
      <c r="P4500" s="297" t="s">
        <v>199</v>
      </c>
      <c r="Q4500" s="297" t="s">
        <v>200</v>
      </c>
      <c r="R4500" s="297" t="s">
        <v>213</v>
      </c>
      <c r="S4500" s="297" t="s">
        <v>214</v>
      </c>
    </row>
    <row r="4501" spans="1:19" x14ac:dyDescent="0.4">
      <c r="A4501" s="291"/>
      <c r="B4501" s="292"/>
      <c r="C4501" s="312"/>
      <c r="D4501" s="292"/>
      <c r="E4501" s="489"/>
      <c r="F4501" s="489"/>
      <c r="G4501" s="490"/>
      <c r="H4501" s="520"/>
      <c r="I4501" s="523"/>
      <c r="J4501" s="521"/>
      <c r="K4501" s="522"/>
      <c r="M4501" s="301" t="str">
        <f>N4501&amp;AS[[#This Row],[Insurer Code]]&amp;"; "&amp;O4501&amp;AS[[#This Row],[Reporting Year]]&amp;"; "&amp;P4501&amp;AS[[#This Row],[Insurance Category Code]]&amp;"; "&amp;Q4501&amp;AS[[#This Row],[Large Provider Entity Code]]&amp;"; "&amp;R4501&amp;AS[[#This Row],[Age Band Code]]&amp;"; "&amp;S4501&amp;AS[[#This Row],[Sex Code]]</f>
        <v xml:space="preserve">Insurer Code ; Reporting Year ; Insurance Category Code ; Large Provider Entity Code ; Age Band Code ; Sex Code </v>
      </c>
      <c r="N4501" s="297" t="s">
        <v>197</v>
      </c>
      <c r="O4501" s="297" t="s">
        <v>198</v>
      </c>
      <c r="P4501" s="297" t="s">
        <v>199</v>
      </c>
      <c r="Q4501" s="297" t="s">
        <v>200</v>
      </c>
      <c r="R4501" s="297" t="s">
        <v>213</v>
      </c>
      <c r="S4501" s="297" t="s">
        <v>214</v>
      </c>
    </row>
    <row r="4502" spans="1:19" x14ac:dyDescent="0.4">
      <c r="A4502" s="291"/>
      <c r="B4502" s="292"/>
      <c r="C4502" s="312"/>
      <c r="D4502" s="292"/>
      <c r="E4502" s="489"/>
      <c r="F4502" s="489"/>
      <c r="G4502" s="490"/>
      <c r="H4502" s="520"/>
      <c r="I4502" s="523"/>
      <c r="J4502" s="521"/>
      <c r="K4502" s="522"/>
      <c r="M4502" s="301" t="str">
        <f>N4502&amp;AS[[#This Row],[Insurer Code]]&amp;"; "&amp;O4502&amp;AS[[#This Row],[Reporting Year]]&amp;"; "&amp;P4502&amp;AS[[#This Row],[Insurance Category Code]]&amp;"; "&amp;Q4502&amp;AS[[#This Row],[Large Provider Entity Code]]&amp;"; "&amp;R4502&amp;AS[[#This Row],[Age Band Code]]&amp;"; "&amp;S4502&amp;AS[[#This Row],[Sex Code]]</f>
        <v xml:space="preserve">Insurer Code ; Reporting Year ; Insurance Category Code ; Large Provider Entity Code ; Age Band Code ; Sex Code </v>
      </c>
      <c r="N4502" s="297" t="s">
        <v>197</v>
      </c>
      <c r="O4502" s="297" t="s">
        <v>198</v>
      </c>
      <c r="P4502" s="297" t="s">
        <v>199</v>
      </c>
      <c r="Q4502" s="297" t="s">
        <v>200</v>
      </c>
      <c r="R4502" s="297" t="s">
        <v>213</v>
      </c>
      <c r="S4502" s="297" t="s">
        <v>214</v>
      </c>
    </row>
    <row r="4503" spans="1:19" x14ac:dyDescent="0.4">
      <c r="A4503" s="291"/>
      <c r="B4503" s="292"/>
      <c r="C4503" s="312"/>
      <c r="D4503" s="292"/>
      <c r="E4503" s="489"/>
      <c r="F4503" s="489"/>
      <c r="G4503" s="490"/>
      <c r="H4503" s="520"/>
      <c r="I4503" s="523"/>
      <c r="J4503" s="521"/>
      <c r="K4503" s="522"/>
      <c r="M4503" s="301" t="str">
        <f>N4503&amp;AS[[#This Row],[Insurer Code]]&amp;"; "&amp;O4503&amp;AS[[#This Row],[Reporting Year]]&amp;"; "&amp;P4503&amp;AS[[#This Row],[Insurance Category Code]]&amp;"; "&amp;Q4503&amp;AS[[#This Row],[Large Provider Entity Code]]&amp;"; "&amp;R4503&amp;AS[[#This Row],[Age Band Code]]&amp;"; "&amp;S4503&amp;AS[[#This Row],[Sex Code]]</f>
        <v xml:space="preserve">Insurer Code ; Reporting Year ; Insurance Category Code ; Large Provider Entity Code ; Age Band Code ; Sex Code </v>
      </c>
      <c r="N4503" s="297" t="s">
        <v>197</v>
      </c>
      <c r="O4503" s="297" t="s">
        <v>198</v>
      </c>
      <c r="P4503" s="297" t="s">
        <v>199</v>
      </c>
      <c r="Q4503" s="297" t="s">
        <v>200</v>
      </c>
      <c r="R4503" s="297" t="s">
        <v>213</v>
      </c>
      <c r="S4503" s="297" t="s">
        <v>214</v>
      </c>
    </row>
    <row r="4504" spans="1:19" x14ac:dyDescent="0.4">
      <c r="A4504" s="291"/>
      <c r="B4504" s="292"/>
      <c r="C4504" s="312"/>
      <c r="D4504" s="292"/>
      <c r="E4504" s="489"/>
      <c r="F4504" s="489"/>
      <c r="G4504" s="490"/>
      <c r="H4504" s="520"/>
      <c r="I4504" s="523"/>
      <c r="J4504" s="521"/>
      <c r="K4504" s="522"/>
      <c r="M4504" s="301" t="str">
        <f>N4504&amp;AS[[#This Row],[Insurer Code]]&amp;"; "&amp;O4504&amp;AS[[#This Row],[Reporting Year]]&amp;"; "&amp;P4504&amp;AS[[#This Row],[Insurance Category Code]]&amp;"; "&amp;Q4504&amp;AS[[#This Row],[Large Provider Entity Code]]&amp;"; "&amp;R4504&amp;AS[[#This Row],[Age Band Code]]&amp;"; "&amp;S4504&amp;AS[[#This Row],[Sex Code]]</f>
        <v xml:space="preserve">Insurer Code ; Reporting Year ; Insurance Category Code ; Large Provider Entity Code ; Age Band Code ; Sex Code </v>
      </c>
      <c r="N4504" s="297" t="s">
        <v>197</v>
      </c>
      <c r="O4504" s="297" t="s">
        <v>198</v>
      </c>
      <c r="P4504" s="297" t="s">
        <v>199</v>
      </c>
      <c r="Q4504" s="297" t="s">
        <v>200</v>
      </c>
      <c r="R4504" s="297" t="s">
        <v>213</v>
      </c>
      <c r="S4504" s="297" t="s">
        <v>214</v>
      </c>
    </row>
    <row r="4505" spans="1:19" x14ac:dyDescent="0.4">
      <c r="A4505" s="291"/>
      <c r="B4505" s="292"/>
      <c r="C4505" s="312"/>
      <c r="D4505" s="292"/>
      <c r="E4505" s="489"/>
      <c r="F4505" s="489"/>
      <c r="G4505" s="490"/>
      <c r="H4505" s="520"/>
      <c r="I4505" s="523"/>
      <c r="J4505" s="521"/>
      <c r="K4505" s="522"/>
      <c r="M4505" s="301" t="str">
        <f>N4505&amp;AS[[#This Row],[Insurer Code]]&amp;"; "&amp;O4505&amp;AS[[#This Row],[Reporting Year]]&amp;"; "&amp;P4505&amp;AS[[#This Row],[Insurance Category Code]]&amp;"; "&amp;Q4505&amp;AS[[#This Row],[Large Provider Entity Code]]&amp;"; "&amp;R4505&amp;AS[[#This Row],[Age Band Code]]&amp;"; "&amp;S4505&amp;AS[[#This Row],[Sex Code]]</f>
        <v xml:space="preserve">Insurer Code ; Reporting Year ; Insurance Category Code ; Large Provider Entity Code ; Age Band Code ; Sex Code </v>
      </c>
      <c r="N4505" s="297" t="s">
        <v>197</v>
      </c>
      <c r="O4505" s="297" t="s">
        <v>198</v>
      </c>
      <c r="P4505" s="297" t="s">
        <v>199</v>
      </c>
      <c r="Q4505" s="297" t="s">
        <v>200</v>
      </c>
      <c r="R4505" s="297" t="s">
        <v>213</v>
      </c>
      <c r="S4505" s="297" t="s">
        <v>214</v>
      </c>
    </row>
    <row r="4506" spans="1:19" x14ac:dyDescent="0.4">
      <c r="A4506" s="291"/>
      <c r="B4506" s="292"/>
      <c r="C4506" s="312"/>
      <c r="D4506" s="292"/>
      <c r="E4506" s="489"/>
      <c r="F4506" s="489"/>
      <c r="G4506" s="490"/>
      <c r="H4506" s="520"/>
      <c r="I4506" s="523"/>
      <c r="J4506" s="521"/>
      <c r="K4506" s="522"/>
      <c r="M4506" s="301" t="str">
        <f>N4506&amp;AS[[#This Row],[Insurer Code]]&amp;"; "&amp;O4506&amp;AS[[#This Row],[Reporting Year]]&amp;"; "&amp;P4506&amp;AS[[#This Row],[Insurance Category Code]]&amp;"; "&amp;Q4506&amp;AS[[#This Row],[Large Provider Entity Code]]&amp;"; "&amp;R4506&amp;AS[[#This Row],[Age Band Code]]&amp;"; "&amp;S4506&amp;AS[[#This Row],[Sex Code]]</f>
        <v xml:space="preserve">Insurer Code ; Reporting Year ; Insurance Category Code ; Large Provider Entity Code ; Age Band Code ; Sex Code </v>
      </c>
      <c r="N4506" s="297" t="s">
        <v>197</v>
      </c>
      <c r="O4506" s="297" t="s">
        <v>198</v>
      </c>
      <c r="P4506" s="297" t="s">
        <v>199</v>
      </c>
      <c r="Q4506" s="297" t="s">
        <v>200</v>
      </c>
      <c r="R4506" s="297" t="s">
        <v>213</v>
      </c>
      <c r="S4506" s="297" t="s">
        <v>214</v>
      </c>
    </row>
    <row r="4507" spans="1:19" x14ac:dyDescent="0.4">
      <c r="A4507" s="291"/>
      <c r="B4507" s="292"/>
      <c r="C4507" s="312"/>
      <c r="D4507" s="292"/>
      <c r="E4507" s="489"/>
      <c r="F4507" s="489"/>
      <c r="G4507" s="490"/>
      <c r="H4507" s="520"/>
      <c r="I4507" s="523"/>
      <c r="J4507" s="521"/>
      <c r="K4507" s="522"/>
      <c r="M4507" s="301" t="str">
        <f>N4507&amp;AS[[#This Row],[Insurer Code]]&amp;"; "&amp;O4507&amp;AS[[#This Row],[Reporting Year]]&amp;"; "&amp;P4507&amp;AS[[#This Row],[Insurance Category Code]]&amp;"; "&amp;Q4507&amp;AS[[#This Row],[Large Provider Entity Code]]&amp;"; "&amp;R4507&amp;AS[[#This Row],[Age Band Code]]&amp;"; "&amp;S4507&amp;AS[[#This Row],[Sex Code]]</f>
        <v xml:space="preserve">Insurer Code ; Reporting Year ; Insurance Category Code ; Large Provider Entity Code ; Age Band Code ; Sex Code </v>
      </c>
      <c r="N4507" s="297" t="s">
        <v>197</v>
      </c>
      <c r="O4507" s="297" t="s">
        <v>198</v>
      </c>
      <c r="P4507" s="297" t="s">
        <v>199</v>
      </c>
      <c r="Q4507" s="297" t="s">
        <v>200</v>
      </c>
      <c r="R4507" s="297" t="s">
        <v>213</v>
      </c>
      <c r="S4507" s="297" t="s">
        <v>214</v>
      </c>
    </row>
    <row r="4508" spans="1:19" x14ac:dyDescent="0.4">
      <c r="A4508" s="291"/>
      <c r="B4508" s="292"/>
      <c r="C4508" s="312"/>
      <c r="D4508" s="292"/>
      <c r="E4508" s="489"/>
      <c r="F4508" s="489"/>
      <c r="G4508" s="490"/>
      <c r="H4508" s="520"/>
      <c r="I4508" s="523"/>
      <c r="J4508" s="521"/>
      <c r="K4508" s="522"/>
      <c r="M4508" s="301" t="str">
        <f>N4508&amp;AS[[#This Row],[Insurer Code]]&amp;"; "&amp;O4508&amp;AS[[#This Row],[Reporting Year]]&amp;"; "&amp;P4508&amp;AS[[#This Row],[Insurance Category Code]]&amp;"; "&amp;Q4508&amp;AS[[#This Row],[Large Provider Entity Code]]&amp;"; "&amp;R4508&amp;AS[[#This Row],[Age Band Code]]&amp;"; "&amp;S4508&amp;AS[[#This Row],[Sex Code]]</f>
        <v xml:space="preserve">Insurer Code ; Reporting Year ; Insurance Category Code ; Large Provider Entity Code ; Age Band Code ; Sex Code </v>
      </c>
      <c r="N4508" s="297" t="s">
        <v>197</v>
      </c>
      <c r="O4508" s="297" t="s">
        <v>198</v>
      </c>
      <c r="P4508" s="297" t="s">
        <v>199</v>
      </c>
      <c r="Q4508" s="297" t="s">
        <v>200</v>
      </c>
      <c r="R4508" s="297" t="s">
        <v>213</v>
      </c>
      <c r="S4508" s="297" t="s">
        <v>214</v>
      </c>
    </row>
    <row r="4509" spans="1:19" x14ac:dyDescent="0.4">
      <c r="A4509" s="291"/>
      <c r="B4509" s="292"/>
      <c r="C4509" s="312"/>
      <c r="D4509" s="292"/>
      <c r="E4509" s="489"/>
      <c r="F4509" s="489"/>
      <c r="G4509" s="490"/>
      <c r="H4509" s="520"/>
      <c r="I4509" s="523"/>
      <c r="J4509" s="521"/>
      <c r="K4509" s="522"/>
      <c r="M4509" s="301" t="str">
        <f>N4509&amp;AS[[#This Row],[Insurer Code]]&amp;"; "&amp;O4509&amp;AS[[#This Row],[Reporting Year]]&amp;"; "&amp;P4509&amp;AS[[#This Row],[Insurance Category Code]]&amp;"; "&amp;Q4509&amp;AS[[#This Row],[Large Provider Entity Code]]&amp;"; "&amp;R4509&amp;AS[[#This Row],[Age Band Code]]&amp;"; "&amp;S4509&amp;AS[[#This Row],[Sex Code]]</f>
        <v xml:space="preserve">Insurer Code ; Reporting Year ; Insurance Category Code ; Large Provider Entity Code ; Age Band Code ; Sex Code </v>
      </c>
      <c r="N4509" s="297" t="s">
        <v>197</v>
      </c>
      <c r="O4509" s="297" t="s">
        <v>198</v>
      </c>
      <c r="P4509" s="297" t="s">
        <v>199</v>
      </c>
      <c r="Q4509" s="297" t="s">
        <v>200</v>
      </c>
      <c r="R4509" s="297" t="s">
        <v>213</v>
      </c>
      <c r="S4509" s="297" t="s">
        <v>214</v>
      </c>
    </row>
    <row r="4510" spans="1:19" x14ac:dyDescent="0.4">
      <c r="A4510" s="291"/>
      <c r="B4510" s="292"/>
      <c r="C4510" s="312"/>
      <c r="D4510" s="292"/>
      <c r="E4510" s="489"/>
      <c r="F4510" s="489"/>
      <c r="G4510" s="490"/>
      <c r="H4510" s="520"/>
      <c r="I4510" s="523"/>
      <c r="J4510" s="521"/>
      <c r="K4510" s="522"/>
      <c r="M4510" s="301" t="str">
        <f>N4510&amp;AS[[#This Row],[Insurer Code]]&amp;"; "&amp;O4510&amp;AS[[#This Row],[Reporting Year]]&amp;"; "&amp;P4510&amp;AS[[#This Row],[Insurance Category Code]]&amp;"; "&amp;Q4510&amp;AS[[#This Row],[Large Provider Entity Code]]&amp;"; "&amp;R4510&amp;AS[[#This Row],[Age Band Code]]&amp;"; "&amp;S4510&amp;AS[[#This Row],[Sex Code]]</f>
        <v xml:space="preserve">Insurer Code ; Reporting Year ; Insurance Category Code ; Large Provider Entity Code ; Age Band Code ; Sex Code </v>
      </c>
      <c r="N4510" s="297" t="s">
        <v>197</v>
      </c>
      <c r="O4510" s="297" t="s">
        <v>198</v>
      </c>
      <c r="P4510" s="297" t="s">
        <v>199</v>
      </c>
      <c r="Q4510" s="297" t="s">
        <v>200</v>
      </c>
      <c r="R4510" s="297" t="s">
        <v>213</v>
      </c>
      <c r="S4510" s="297" t="s">
        <v>214</v>
      </c>
    </row>
    <row r="4511" spans="1:19" x14ac:dyDescent="0.4">
      <c r="A4511" s="291"/>
      <c r="B4511" s="292"/>
      <c r="C4511" s="312"/>
      <c r="D4511" s="292"/>
      <c r="E4511" s="489"/>
      <c r="F4511" s="489"/>
      <c r="G4511" s="490"/>
      <c r="H4511" s="520"/>
      <c r="I4511" s="523"/>
      <c r="J4511" s="521"/>
      <c r="K4511" s="522"/>
      <c r="M4511" s="301" t="str">
        <f>N4511&amp;AS[[#This Row],[Insurer Code]]&amp;"; "&amp;O4511&amp;AS[[#This Row],[Reporting Year]]&amp;"; "&amp;P4511&amp;AS[[#This Row],[Insurance Category Code]]&amp;"; "&amp;Q4511&amp;AS[[#This Row],[Large Provider Entity Code]]&amp;"; "&amp;R4511&amp;AS[[#This Row],[Age Band Code]]&amp;"; "&amp;S4511&amp;AS[[#This Row],[Sex Code]]</f>
        <v xml:space="preserve">Insurer Code ; Reporting Year ; Insurance Category Code ; Large Provider Entity Code ; Age Band Code ; Sex Code </v>
      </c>
      <c r="N4511" s="297" t="s">
        <v>197</v>
      </c>
      <c r="O4511" s="297" t="s">
        <v>198</v>
      </c>
      <c r="P4511" s="297" t="s">
        <v>199</v>
      </c>
      <c r="Q4511" s="297" t="s">
        <v>200</v>
      </c>
      <c r="R4511" s="297" t="s">
        <v>213</v>
      </c>
      <c r="S4511" s="297" t="s">
        <v>214</v>
      </c>
    </row>
    <row r="4512" spans="1:19" x14ac:dyDescent="0.4">
      <c r="A4512" s="291"/>
      <c r="B4512" s="292"/>
      <c r="C4512" s="312"/>
      <c r="D4512" s="292"/>
      <c r="E4512" s="489"/>
      <c r="F4512" s="489"/>
      <c r="G4512" s="490"/>
      <c r="H4512" s="520"/>
      <c r="I4512" s="523"/>
      <c r="J4512" s="521"/>
      <c r="K4512" s="522"/>
      <c r="M4512" s="301" t="str">
        <f>N4512&amp;AS[[#This Row],[Insurer Code]]&amp;"; "&amp;O4512&amp;AS[[#This Row],[Reporting Year]]&amp;"; "&amp;P4512&amp;AS[[#This Row],[Insurance Category Code]]&amp;"; "&amp;Q4512&amp;AS[[#This Row],[Large Provider Entity Code]]&amp;"; "&amp;R4512&amp;AS[[#This Row],[Age Band Code]]&amp;"; "&amp;S4512&amp;AS[[#This Row],[Sex Code]]</f>
        <v xml:space="preserve">Insurer Code ; Reporting Year ; Insurance Category Code ; Large Provider Entity Code ; Age Band Code ; Sex Code </v>
      </c>
      <c r="N4512" s="297" t="s">
        <v>197</v>
      </c>
      <c r="O4512" s="297" t="s">
        <v>198</v>
      </c>
      <c r="P4512" s="297" t="s">
        <v>199</v>
      </c>
      <c r="Q4512" s="297" t="s">
        <v>200</v>
      </c>
      <c r="R4512" s="297" t="s">
        <v>213</v>
      </c>
      <c r="S4512" s="297" t="s">
        <v>214</v>
      </c>
    </row>
    <row r="4513" spans="1:19" x14ac:dyDescent="0.4">
      <c r="A4513" s="291"/>
      <c r="B4513" s="292"/>
      <c r="C4513" s="312"/>
      <c r="D4513" s="292"/>
      <c r="E4513" s="489"/>
      <c r="F4513" s="489"/>
      <c r="G4513" s="490"/>
      <c r="H4513" s="520"/>
      <c r="I4513" s="523"/>
      <c r="J4513" s="521"/>
      <c r="K4513" s="522"/>
      <c r="M4513" s="301" t="str">
        <f>N4513&amp;AS[[#This Row],[Insurer Code]]&amp;"; "&amp;O4513&amp;AS[[#This Row],[Reporting Year]]&amp;"; "&amp;P4513&amp;AS[[#This Row],[Insurance Category Code]]&amp;"; "&amp;Q4513&amp;AS[[#This Row],[Large Provider Entity Code]]&amp;"; "&amp;R4513&amp;AS[[#This Row],[Age Band Code]]&amp;"; "&amp;S4513&amp;AS[[#This Row],[Sex Code]]</f>
        <v xml:space="preserve">Insurer Code ; Reporting Year ; Insurance Category Code ; Large Provider Entity Code ; Age Band Code ; Sex Code </v>
      </c>
      <c r="N4513" s="297" t="s">
        <v>197</v>
      </c>
      <c r="O4513" s="297" t="s">
        <v>198</v>
      </c>
      <c r="P4513" s="297" t="s">
        <v>199</v>
      </c>
      <c r="Q4513" s="297" t="s">
        <v>200</v>
      </c>
      <c r="R4513" s="297" t="s">
        <v>213</v>
      </c>
      <c r="S4513" s="297" t="s">
        <v>214</v>
      </c>
    </row>
    <row r="4514" spans="1:19" x14ac:dyDescent="0.4">
      <c r="A4514" s="291"/>
      <c r="B4514" s="292"/>
      <c r="C4514" s="312"/>
      <c r="D4514" s="292"/>
      <c r="E4514" s="489"/>
      <c r="F4514" s="489"/>
      <c r="G4514" s="490"/>
      <c r="H4514" s="520"/>
      <c r="I4514" s="523"/>
      <c r="J4514" s="521"/>
      <c r="K4514" s="522"/>
      <c r="M4514" s="301" t="str">
        <f>N4514&amp;AS[[#This Row],[Insurer Code]]&amp;"; "&amp;O4514&amp;AS[[#This Row],[Reporting Year]]&amp;"; "&amp;P4514&amp;AS[[#This Row],[Insurance Category Code]]&amp;"; "&amp;Q4514&amp;AS[[#This Row],[Large Provider Entity Code]]&amp;"; "&amp;R4514&amp;AS[[#This Row],[Age Band Code]]&amp;"; "&amp;S4514&amp;AS[[#This Row],[Sex Code]]</f>
        <v xml:space="preserve">Insurer Code ; Reporting Year ; Insurance Category Code ; Large Provider Entity Code ; Age Band Code ; Sex Code </v>
      </c>
      <c r="N4514" s="297" t="s">
        <v>197</v>
      </c>
      <c r="O4514" s="297" t="s">
        <v>198</v>
      </c>
      <c r="P4514" s="297" t="s">
        <v>199</v>
      </c>
      <c r="Q4514" s="297" t="s">
        <v>200</v>
      </c>
      <c r="R4514" s="297" t="s">
        <v>213</v>
      </c>
      <c r="S4514" s="297" t="s">
        <v>214</v>
      </c>
    </row>
    <row r="4515" spans="1:19" x14ac:dyDescent="0.4">
      <c r="A4515" s="291"/>
      <c r="B4515" s="292"/>
      <c r="C4515" s="312"/>
      <c r="D4515" s="292"/>
      <c r="E4515" s="489"/>
      <c r="F4515" s="489"/>
      <c r="G4515" s="490"/>
      <c r="H4515" s="520"/>
      <c r="I4515" s="523"/>
      <c r="J4515" s="521"/>
      <c r="K4515" s="522"/>
      <c r="M4515" s="301" t="str">
        <f>N4515&amp;AS[[#This Row],[Insurer Code]]&amp;"; "&amp;O4515&amp;AS[[#This Row],[Reporting Year]]&amp;"; "&amp;P4515&amp;AS[[#This Row],[Insurance Category Code]]&amp;"; "&amp;Q4515&amp;AS[[#This Row],[Large Provider Entity Code]]&amp;"; "&amp;R4515&amp;AS[[#This Row],[Age Band Code]]&amp;"; "&amp;S4515&amp;AS[[#This Row],[Sex Code]]</f>
        <v xml:space="preserve">Insurer Code ; Reporting Year ; Insurance Category Code ; Large Provider Entity Code ; Age Band Code ; Sex Code </v>
      </c>
      <c r="N4515" s="297" t="s">
        <v>197</v>
      </c>
      <c r="O4515" s="297" t="s">
        <v>198</v>
      </c>
      <c r="P4515" s="297" t="s">
        <v>199</v>
      </c>
      <c r="Q4515" s="297" t="s">
        <v>200</v>
      </c>
      <c r="R4515" s="297" t="s">
        <v>213</v>
      </c>
      <c r="S4515" s="297" t="s">
        <v>214</v>
      </c>
    </row>
    <row r="4516" spans="1:19" x14ac:dyDescent="0.4">
      <c r="A4516" s="291"/>
      <c r="B4516" s="292"/>
      <c r="C4516" s="312"/>
      <c r="D4516" s="292"/>
      <c r="E4516" s="489"/>
      <c r="F4516" s="489"/>
      <c r="G4516" s="490"/>
      <c r="H4516" s="520"/>
      <c r="I4516" s="523"/>
      <c r="J4516" s="521"/>
      <c r="K4516" s="522"/>
      <c r="M4516" s="301" t="str">
        <f>N4516&amp;AS[[#This Row],[Insurer Code]]&amp;"; "&amp;O4516&amp;AS[[#This Row],[Reporting Year]]&amp;"; "&amp;P4516&amp;AS[[#This Row],[Insurance Category Code]]&amp;"; "&amp;Q4516&amp;AS[[#This Row],[Large Provider Entity Code]]&amp;"; "&amp;R4516&amp;AS[[#This Row],[Age Band Code]]&amp;"; "&amp;S4516&amp;AS[[#This Row],[Sex Code]]</f>
        <v xml:space="preserve">Insurer Code ; Reporting Year ; Insurance Category Code ; Large Provider Entity Code ; Age Band Code ; Sex Code </v>
      </c>
      <c r="N4516" s="297" t="s">
        <v>197</v>
      </c>
      <c r="O4516" s="297" t="s">
        <v>198</v>
      </c>
      <c r="P4516" s="297" t="s">
        <v>199</v>
      </c>
      <c r="Q4516" s="297" t="s">
        <v>200</v>
      </c>
      <c r="R4516" s="297" t="s">
        <v>213</v>
      </c>
      <c r="S4516" s="297" t="s">
        <v>214</v>
      </c>
    </row>
    <row r="4517" spans="1:19" x14ac:dyDescent="0.4">
      <c r="A4517" s="291"/>
      <c r="B4517" s="292"/>
      <c r="C4517" s="312"/>
      <c r="D4517" s="292"/>
      <c r="E4517" s="489"/>
      <c r="F4517" s="489"/>
      <c r="G4517" s="490"/>
      <c r="H4517" s="520"/>
      <c r="I4517" s="523"/>
      <c r="J4517" s="521"/>
      <c r="K4517" s="522"/>
      <c r="M4517" s="301" t="str">
        <f>N4517&amp;AS[[#This Row],[Insurer Code]]&amp;"; "&amp;O4517&amp;AS[[#This Row],[Reporting Year]]&amp;"; "&amp;P4517&amp;AS[[#This Row],[Insurance Category Code]]&amp;"; "&amp;Q4517&amp;AS[[#This Row],[Large Provider Entity Code]]&amp;"; "&amp;R4517&amp;AS[[#This Row],[Age Band Code]]&amp;"; "&amp;S4517&amp;AS[[#This Row],[Sex Code]]</f>
        <v xml:space="preserve">Insurer Code ; Reporting Year ; Insurance Category Code ; Large Provider Entity Code ; Age Band Code ; Sex Code </v>
      </c>
      <c r="N4517" s="297" t="s">
        <v>197</v>
      </c>
      <c r="O4517" s="297" t="s">
        <v>198</v>
      </c>
      <c r="P4517" s="297" t="s">
        <v>199</v>
      </c>
      <c r="Q4517" s="297" t="s">
        <v>200</v>
      </c>
      <c r="R4517" s="297" t="s">
        <v>213</v>
      </c>
      <c r="S4517" s="297" t="s">
        <v>214</v>
      </c>
    </row>
    <row r="4518" spans="1:19" x14ac:dyDescent="0.4">
      <c r="A4518" s="291"/>
      <c r="B4518" s="292"/>
      <c r="C4518" s="312"/>
      <c r="D4518" s="292"/>
      <c r="E4518" s="489"/>
      <c r="F4518" s="489"/>
      <c r="G4518" s="490"/>
      <c r="H4518" s="520"/>
      <c r="I4518" s="523"/>
      <c r="J4518" s="521"/>
      <c r="K4518" s="522"/>
      <c r="M4518" s="301" t="str">
        <f>N4518&amp;AS[[#This Row],[Insurer Code]]&amp;"; "&amp;O4518&amp;AS[[#This Row],[Reporting Year]]&amp;"; "&amp;P4518&amp;AS[[#This Row],[Insurance Category Code]]&amp;"; "&amp;Q4518&amp;AS[[#This Row],[Large Provider Entity Code]]&amp;"; "&amp;R4518&amp;AS[[#This Row],[Age Band Code]]&amp;"; "&amp;S4518&amp;AS[[#This Row],[Sex Code]]</f>
        <v xml:space="preserve">Insurer Code ; Reporting Year ; Insurance Category Code ; Large Provider Entity Code ; Age Band Code ; Sex Code </v>
      </c>
      <c r="N4518" s="297" t="s">
        <v>197</v>
      </c>
      <c r="O4518" s="297" t="s">
        <v>198</v>
      </c>
      <c r="P4518" s="297" t="s">
        <v>199</v>
      </c>
      <c r="Q4518" s="297" t="s">
        <v>200</v>
      </c>
      <c r="R4518" s="297" t="s">
        <v>213</v>
      </c>
      <c r="S4518" s="297" t="s">
        <v>214</v>
      </c>
    </row>
    <row r="4519" spans="1:19" x14ac:dyDescent="0.4">
      <c r="A4519" s="291"/>
      <c r="B4519" s="292"/>
      <c r="C4519" s="312"/>
      <c r="D4519" s="292"/>
      <c r="E4519" s="489"/>
      <c r="F4519" s="489"/>
      <c r="G4519" s="490"/>
      <c r="H4519" s="520"/>
      <c r="I4519" s="523"/>
      <c r="J4519" s="521"/>
      <c r="K4519" s="522"/>
      <c r="M4519" s="301" t="str">
        <f>N4519&amp;AS[[#This Row],[Insurer Code]]&amp;"; "&amp;O4519&amp;AS[[#This Row],[Reporting Year]]&amp;"; "&amp;P4519&amp;AS[[#This Row],[Insurance Category Code]]&amp;"; "&amp;Q4519&amp;AS[[#This Row],[Large Provider Entity Code]]&amp;"; "&amp;R4519&amp;AS[[#This Row],[Age Band Code]]&amp;"; "&amp;S4519&amp;AS[[#This Row],[Sex Code]]</f>
        <v xml:space="preserve">Insurer Code ; Reporting Year ; Insurance Category Code ; Large Provider Entity Code ; Age Band Code ; Sex Code </v>
      </c>
      <c r="N4519" s="297" t="s">
        <v>197</v>
      </c>
      <c r="O4519" s="297" t="s">
        <v>198</v>
      </c>
      <c r="P4519" s="297" t="s">
        <v>199</v>
      </c>
      <c r="Q4519" s="297" t="s">
        <v>200</v>
      </c>
      <c r="R4519" s="297" t="s">
        <v>213</v>
      </c>
      <c r="S4519" s="297" t="s">
        <v>214</v>
      </c>
    </row>
    <row r="4520" spans="1:19" x14ac:dyDescent="0.4">
      <c r="A4520" s="291"/>
      <c r="B4520" s="292"/>
      <c r="C4520" s="312"/>
      <c r="D4520" s="292"/>
      <c r="E4520" s="489"/>
      <c r="F4520" s="489"/>
      <c r="G4520" s="490"/>
      <c r="H4520" s="520"/>
      <c r="I4520" s="523"/>
      <c r="J4520" s="521"/>
      <c r="K4520" s="522"/>
      <c r="M4520" s="301" t="str">
        <f>N4520&amp;AS[[#This Row],[Insurer Code]]&amp;"; "&amp;O4520&amp;AS[[#This Row],[Reporting Year]]&amp;"; "&amp;P4520&amp;AS[[#This Row],[Insurance Category Code]]&amp;"; "&amp;Q4520&amp;AS[[#This Row],[Large Provider Entity Code]]&amp;"; "&amp;R4520&amp;AS[[#This Row],[Age Band Code]]&amp;"; "&amp;S4520&amp;AS[[#This Row],[Sex Code]]</f>
        <v xml:space="preserve">Insurer Code ; Reporting Year ; Insurance Category Code ; Large Provider Entity Code ; Age Band Code ; Sex Code </v>
      </c>
      <c r="N4520" s="297" t="s">
        <v>197</v>
      </c>
      <c r="O4520" s="297" t="s">
        <v>198</v>
      </c>
      <c r="P4520" s="297" t="s">
        <v>199</v>
      </c>
      <c r="Q4520" s="297" t="s">
        <v>200</v>
      </c>
      <c r="R4520" s="297" t="s">
        <v>213</v>
      </c>
      <c r="S4520" s="297" t="s">
        <v>214</v>
      </c>
    </row>
    <row r="4521" spans="1:19" x14ac:dyDescent="0.4">
      <c r="A4521" s="291"/>
      <c r="B4521" s="292"/>
      <c r="C4521" s="312"/>
      <c r="D4521" s="292"/>
      <c r="E4521" s="489"/>
      <c r="F4521" s="489"/>
      <c r="G4521" s="490"/>
      <c r="H4521" s="520"/>
      <c r="I4521" s="523"/>
      <c r="J4521" s="521"/>
      <c r="K4521" s="522"/>
      <c r="M4521" s="301" t="str">
        <f>N4521&amp;AS[[#This Row],[Insurer Code]]&amp;"; "&amp;O4521&amp;AS[[#This Row],[Reporting Year]]&amp;"; "&amp;P4521&amp;AS[[#This Row],[Insurance Category Code]]&amp;"; "&amp;Q4521&amp;AS[[#This Row],[Large Provider Entity Code]]&amp;"; "&amp;R4521&amp;AS[[#This Row],[Age Band Code]]&amp;"; "&amp;S4521&amp;AS[[#This Row],[Sex Code]]</f>
        <v xml:space="preserve">Insurer Code ; Reporting Year ; Insurance Category Code ; Large Provider Entity Code ; Age Band Code ; Sex Code </v>
      </c>
      <c r="N4521" s="297" t="s">
        <v>197</v>
      </c>
      <c r="O4521" s="297" t="s">
        <v>198</v>
      </c>
      <c r="P4521" s="297" t="s">
        <v>199</v>
      </c>
      <c r="Q4521" s="297" t="s">
        <v>200</v>
      </c>
      <c r="R4521" s="297" t="s">
        <v>213</v>
      </c>
      <c r="S4521" s="297" t="s">
        <v>214</v>
      </c>
    </row>
    <row r="4522" spans="1:19" x14ac:dyDescent="0.4">
      <c r="A4522" s="291"/>
      <c r="B4522" s="292"/>
      <c r="C4522" s="312"/>
      <c r="D4522" s="292"/>
      <c r="E4522" s="489"/>
      <c r="F4522" s="489"/>
      <c r="G4522" s="490"/>
      <c r="H4522" s="520"/>
      <c r="I4522" s="523"/>
      <c r="J4522" s="521"/>
      <c r="K4522" s="522"/>
      <c r="M4522" s="301" t="str">
        <f>N4522&amp;AS[[#This Row],[Insurer Code]]&amp;"; "&amp;O4522&amp;AS[[#This Row],[Reporting Year]]&amp;"; "&amp;P4522&amp;AS[[#This Row],[Insurance Category Code]]&amp;"; "&amp;Q4522&amp;AS[[#This Row],[Large Provider Entity Code]]&amp;"; "&amp;R4522&amp;AS[[#This Row],[Age Band Code]]&amp;"; "&amp;S4522&amp;AS[[#This Row],[Sex Code]]</f>
        <v xml:space="preserve">Insurer Code ; Reporting Year ; Insurance Category Code ; Large Provider Entity Code ; Age Band Code ; Sex Code </v>
      </c>
      <c r="N4522" s="297" t="s">
        <v>197</v>
      </c>
      <c r="O4522" s="297" t="s">
        <v>198</v>
      </c>
      <c r="P4522" s="297" t="s">
        <v>199</v>
      </c>
      <c r="Q4522" s="297" t="s">
        <v>200</v>
      </c>
      <c r="R4522" s="297" t="s">
        <v>213</v>
      </c>
      <c r="S4522" s="297" t="s">
        <v>214</v>
      </c>
    </row>
    <row r="4523" spans="1:19" x14ac:dyDescent="0.4">
      <c r="A4523" s="291"/>
      <c r="B4523" s="292"/>
      <c r="C4523" s="312"/>
      <c r="D4523" s="292"/>
      <c r="E4523" s="489"/>
      <c r="F4523" s="489"/>
      <c r="G4523" s="490"/>
      <c r="H4523" s="520"/>
      <c r="I4523" s="523"/>
      <c r="J4523" s="521"/>
      <c r="K4523" s="522"/>
      <c r="M4523" s="301" t="str">
        <f>N4523&amp;AS[[#This Row],[Insurer Code]]&amp;"; "&amp;O4523&amp;AS[[#This Row],[Reporting Year]]&amp;"; "&amp;P4523&amp;AS[[#This Row],[Insurance Category Code]]&amp;"; "&amp;Q4523&amp;AS[[#This Row],[Large Provider Entity Code]]&amp;"; "&amp;R4523&amp;AS[[#This Row],[Age Band Code]]&amp;"; "&amp;S4523&amp;AS[[#This Row],[Sex Code]]</f>
        <v xml:space="preserve">Insurer Code ; Reporting Year ; Insurance Category Code ; Large Provider Entity Code ; Age Band Code ; Sex Code </v>
      </c>
      <c r="N4523" s="297" t="s">
        <v>197</v>
      </c>
      <c r="O4523" s="297" t="s">
        <v>198</v>
      </c>
      <c r="P4523" s="297" t="s">
        <v>199</v>
      </c>
      <c r="Q4523" s="297" t="s">
        <v>200</v>
      </c>
      <c r="R4523" s="297" t="s">
        <v>213</v>
      </c>
      <c r="S4523" s="297" t="s">
        <v>214</v>
      </c>
    </row>
    <row r="4524" spans="1:19" x14ac:dyDescent="0.4">
      <c r="A4524" s="291"/>
      <c r="B4524" s="292"/>
      <c r="C4524" s="312"/>
      <c r="D4524" s="292"/>
      <c r="E4524" s="489"/>
      <c r="F4524" s="489"/>
      <c r="G4524" s="490"/>
      <c r="H4524" s="520"/>
      <c r="I4524" s="523"/>
      <c r="J4524" s="521"/>
      <c r="K4524" s="522"/>
      <c r="M4524" s="301" t="str">
        <f>N4524&amp;AS[[#This Row],[Insurer Code]]&amp;"; "&amp;O4524&amp;AS[[#This Row],[Reporting Year]]&amp;"; "&amp;P4524&amp;AS[[#This Row],[Insurance Category Code]]&amp;"; "&amp;Q4524&amp;AS[[#This Row],[Large Provider Entity Code]]&amp;"; "&amp;R4524&amp;AS[[#This Row],[Age Band Code]]&amp;"; "&amp;S4524&amp;AS[[#This Row],[Sex Code]]</f>
        <v xml:space="preserve">Insurer Code ; Reporting Year ; Insurance Category Code ; Large Provider Entity Code ; Age Band Code ; Sex Code </v>
      </c>
      <c r="N4524" s="297" t="s">
        <v>197</v>
      </c>
      <c r="O4524" s="297" t="s">
        <v>198</v>
      </c>
      <c r="P4524" s="297" t="s">
        <v>199</v>
      </c>
      <c r="Q4524" s="297" t="s">
        <v>200</v>
      </c>
      <c r="R4524" s="297" t="s">
        <v>213</v>
      </c>
      <c r="S4524" s="297" t="s">
        <v>214</v>
      </c>
    </row>
    <row r="4525" spans="1:19" x14ac:dyDescent="0.4">
      <c r="A4525" s="291"/>
      <c r="B4525" s="292"/>
      <c r="C4525" s="312"/>
      <c r="D4525" s="292"/>
      <c r="E4525" s="489"/>
      <c r="F4525" s="489"/>
      <c r="G4525" s="490"/>
      <c r="H4525" s="520"/>
      <c r="I4525" s="523"/>
      <c r="J4525" s="521"/>
      <c r="K4525" s="522"/>
      <c r="M4525" s="301" t="str">
        <f>N4525&amp;AS[[#This Row],[Insurer Code]]&amp;"; "&amp;O4525&amp;AS[[#This Row],[Reporting Year]]&amp;"; "&amp;P4525&amp;AS[[#This Row],[Insurance Category Code]]&amp;"; "&amp;Q4525&amp;AS[[#This Row],[Large Provider Entity Code]]&amp;"; "&amp;R4525&amp;AS[[#This Row],[Age Band Code]]&amp;"; "&amp;S4525&amp;AS[[#This Row],[Sex Code]]</f>
        <v xml:space="preserve">Insurer Code ; Reporting Year ; Insurance Category Code ; Large Provider Entity Code ; Age Band Code ; Sex Code </v>
      </c>
      <c r="N4525" s="297" t="s">
        <v>197</v>
      </c>
      <c r="O4525" s="297" t="s">
        <v>198</v>
      </c>
      <c r="P4525" s="297" t="s">
        <v>199</v>
      </c>
      <c r="Q4525" s="297" t="s">
        <v>200</v>
      </c>
      <c r="R4525" s="297" t="s">
        <v>213</v>
      </c>
      <c r="S4525" s="297" t="s">
        <v>214</v>
      </c>
    </row>
    <row r="4526" spans="1:19" x14ac:dyDescent="0.4">
      <c r="A4526" s="291"/>
      <c r="B4526" s="292"/>
      <c r="C4526" s="312"/>
      <c r="D4526" s="292"/>
      <c r="E4526" s="489"/>
      <c r="F4526" s="489"/>
      <c r="G4526" s="490"/>
      <c r="H4526" s="520"/>
      <c r="I4526" s="523"/>
      <c r="J4526" s="521"/>
      <c r="K4526" s="522"/>
      <c r="M4526" s="301" t="str">
        <f>N4526&amp;AS[[#This Row],[Insurer Code]]&amp;"; "&amp;O4526&amp;AS[[#This Row],[Reporting Year]]&amp;"; "&amp;P4526&amp;AS[[#This Row],[Insurance Category Code]]&amp;"; "&amp;Q4526&amp;AS[[#This Row],[Large Provider Entity Code]]&amp;"; "&amp;R4526&amp;AS[[#This Row],[Age Band Code]]&amp;"; "&amp;S4526&amp;AS[[#This Row],[Sex Code]]</f>
        <v xml:space="preserve">Insurer Code ; Reporting Year ; Insurance Category Code ; Large Provider Entity Code ; Age Band Code ; Sex Code </v>
      </c>
      <c r="N4526" s="297" t="s">
        <v>197</v>
      </c>
      <c r="O4526" s="297" t="s">
        <v>198</v>
      </c>
      <c r="P4526" s="297" t="s">
        <v>199</v>
      </c>
      <c r="Q4526" s="297" t="s">
        <v>200</v>
      </c>
      <c r="R4526" s="297" t="s">
        <v>213</v>
      </c>
      <c r="S4526" s="297" t="s">
        <v>214</v>
      </c>
    </row>
    <row r="4527" spans="1:19" x14ac:dyDescent="0.4">
      <c r="A4527" s="291"/>
      <c r="B4527" s="292"/>
      <c r="C4527" s="312"/>
      <c r="D4527" s="292"/>
      <c r="E4527" s="489"/>
      <c r="F4527" s="489"/>
      <c r="G4527" s="490"/>
      <c r="H4527" s="520"/>
      <c r="I4527" s="523"/>
      <c r="J4527" s="521"/>
      <c r="K4527" s="522"/>
      <c r="M4527" s="301" t="str">
        <f>N4527&amp;AS[[#This Row],[Insurer Code]]&amp;"; "&amp;O4527&amp;AS[[#This Row],[Reporting Year]]&amp;"; "&amp;P4527&amp;AS[[#This Row],[Insurance Category Code]]&amp;"; "&amp;Q4527&amp;AS[[#This Row],[Large Provider Entity Code]]&amp;"; "&amp;R4527&amp;AS[[#This Row],[Age Band Code]]&amp;"; "&amp;S4527&amp;AS[[#This Row],[Sex Code]]</f>
        <v xml:space="preserve">Insurer Code ; Reporting Year ; Insurance Category Code ; Large Provider Entity Code ; Age Band Code ; Sex Code </v>
      </c>
      <c r="N4527" s="297" t="s">
        <v>197</v>
      </c>
      <c r="O4527" s="297" t="s">
        <v>198</v>
      </c>
      <c r="P4527" s="297" t="s">
        <v>199</v>
      </c>
      <c r="Q4527" s="297" t="s">
        <v>200</v>
      </c>
      <c r="R4527" s="297" t="s">
        <v>213</v>
      </c>
      <c r="S4527" s="297" t="s">
        <v>214</v>
      </c>
    </row>
    <row r="4528" spans="1:19" x14ac:dyDescent="0.4">
      <c r="A4528" s="291"/>
      <c r="B4528" s="292"/>
      <c r="C4528" s="312"/>
      <c r="D4528" s="292"/>
      <c r="E4528" s="489"/>
      <c r="F4528" s="489"/>
      <c r="G4528" s="490"/>
      <c r="H4528" s="520"/>
      <c r="I4528" s="523"/>
      <c r="J4528" s="521"/>
      <c r="K4528" s="522"/>
      <c r="M4528" s="301" t="str">
        <f>N4528&amp;AS[[#This Row],[Insurer Code]]&amp;"; "&amp;O4528&amp;AS[[#This Row],[Reporting Year]]&amp;"; "&amp;P4528&amp;AS[[#This Row],[Insurance Category Code]]&amp;"; "&amp;Q4528&amp;AS[[#This Row],[Large Provider Entity Code]]&amp;"; "&amp;R4528&amp;AS[[#This Row],[Age Band Code]]&amp;"; "&amp;S4528&amp;AS[[#This Row],[Sex Code]]</f>
        <v xml:space="preserve">Insurer Code ; Reporting Year ; Insurance Category Code ; Large Provider Entity Code ; Age Band Code ; Sex Code </v>
      </c>
      <c r="N4528" s="297" t="s">
        <v>197</v>
      </c>
      <c r="O4528" s="297" t="s">
        <v>198</v>
      </c>
      <c r="P4528" s="297" t="s">
        <v>199</v>
      </c>
      <c r="Q4528" s="297" t="s">
        <v>200</v>
      </c>
      <c r="R4528" s="297" t="s">
        <v>213</v>
      </c>
      <c r="S4528" s="297" t="s">
        <v>214</v>
      </c>
    </row>
    <row r="4529" spans="1:19" x14ac:dyDescent="0.4">
      <c r="A4529" s="291"/>
      <c r="B4529" s="292"/>
      <c r="C4529" s="312"/>
      <c r="D4529" s="292"/>
      <c r="E4529" s="489"/>
      <c r="F4529" s="489"/>
      <c r="G4529" s="490"/>
      <c r="H4529" s="520"/>
      <c r="I4529" s="523"/>
      <c r="J4529" s="521"/>
      <c r="K4529" s="522"/>
      <c r="M4529" s="301" t="str">
        <f>N4529&amp;AS[[#This Row],[Insurer Code]]&amp;"; "&amp;O4529&amp;AS[[#This Row],[Reporting Year]]&amp;"; "&amp;P4529&amp;AS[[#This Row],[Insurance Category Code]]&amp;"; "&amp;Q4529&amp;AS[[#This Row],[Large Provider Entity Code]]&amp;"; "&amp;R4529&amp;AS[[#This Row],[Age Band Code]]&amp;"; "&amp;S4529&amp;AS[[#This Row],[Sex Code]]</f>
        <v xml:space="preserve">Insurer Code ; Reporting Year ; Insurance Category Code ; Large Provider Entity Code ; Age Band Code ; Sex Code </v>
      </c>
      <c r="N4529" s="297" t="s">
        <v>197</v>
      </c>
      <c r="O4529" s="297" t="s">
        <v>198</v>
      </c>
      <c r="P4529" s="297" t="s">
        <v>199</v>
      </c>
      <c r="Q4529" s="297" t="s">
        <v>200</v>
      </c>
      <c r="R4529" s="297" t="s">
        <v>213</v>
      </c>
      <c r="S4529" s="297" t="s">
        <v>214</v>
      </c>
    </row>
    <row r="4530" spans="1:19" x14ac:dyDescent="0.4">
      <c r="A4530" s="291"/>
      <c r="B4530" s="292"/>
      <c r="C4530" s="312"/>
      <c r="D4530" s="292"/>
      <c r="E4530" s="489"/>
      <c r="F4530" s="489"/>
      <c r="G4530" s="490"/>
      <c r="H4530" s="520"/>
      <c r="I4530" s="523"/>
      <c r="J4530" s="521"/>
      <c r="K4530" s="522"/>
      <c r="M4530" s="301" t="str">
        <f>N4530&amp;AS[[#This Row],[Insurer Code]]&amp;"; "&amp;O4530&amp;AS[[#This Row],[Reporting Year]]&amp;"; "&amp;P4530&amp;AS[[#This Row],[Insurance Category Code]]&amp;"; "&amp;Q4530&amp;AS[[#This Row],[Large Provider Entity Code]]&amp;"; "&amp;R4530&amp;AS[[#This Row],[Age Band Code]]&amp;"; "&amp;S4530&amp;AS[[#This Row],[Sex Code]]</f>
        <v xml:space="preserve">Insurer Code ; Reporting Year ; Insurance Category Code ; Large Provider Entity Code ; Age Band Code ; Sex Code </v>
      </c>
      <c r="N4530" s="297" t="s">
        <v>197</v>
      </c>
      <c r="O4530" s="297" t="s">
        <v>198</v>
      </c>
      <c r="P4530" s="297" t="s">
        <v>199</v>
      </c>
      <c r="Q4530" s="297" t="s">
        <v>200</v>
      </c>
      <c r="R4530" s="297" t="s">
        <v>213</v>
      </c>
      <c r="S4530" s="297" t="s">
        <v>214</v>
      </c>
    </row>
    <row r="4531" spans="1:19" x14ac:dyDescent="0.4">
      <c r="A4531" s="291"/>
      <c r="B4531" s="292"/>
      <c r="C4531" s="312"/>
      <c r="D4531" s="292"/>
      <c r="E4531" s="489"/>
      <c r="F4531" s="489"/>
      <c r="G4531" s="490"/>
      <c r="H4531" s="520"/>
      <c r="I4531" s="523"/>
      <c r="J4531" s="521"/>
      <c r="K4531" s="522"/>
      <c r="M4531" s="301" t="str">
        <f>N4531&amp;AS[[#This Row],[Insurer Code]]&amp;"; "&amp;O4531&amp;AS[[#This Row],[Reporting Year]]&amp;"; "&amp;P4531&amp;AS[[#This Row],[Insurance Category Code]]&amp;"; "&amp;Q4531&amp;AS[[#This Row],[Large Provider Entity Code]]&amp;"; "&amp;R4531&amp;AS[[#This Row],[Age Band Code]]&amp;"; "&amp;S4531&amp;AS[[#This Row],[Sex Code]]</f>
        <v xml:space="preserve">Insurer Code ; Reporting Year ; Insurance Category Code ; Large Provider Entity Code ; Age Band Code ; Sex Code </v>
      </c>
      <c r="N4531" s="297" t="s">
        <v>197</v>
      </c>
      <c r="O4531" s="297" t="s">
        <v>198</v>
      </c>
      <c r="P4531" s="297" t="s">
        <v>199</v>
      </c>
      <c r="Q4531" s="297" t="s">
        <v>200</v>
      </c>
      <c r="R4531" s="297" t="s">
        <v>213</v>
      </c>
      <c r="S4531" s="297" t="s">
        <v>214</v>
      </c>
    </row>
    <row r="4532" spans="1:19" x14ac:dyDescent="0.4">
      <c r="A4532" s="291"/>
      <c r="B4532" s="292"/>
      <c r="C4532" s="312"/>
      <c r="D4532" s="292"/>
      <c r="E4532" s="489"/>
      <c r="F4532" s="489"/>
      <c r="G4532" s="490"/>
      <c r="H4532" s="520"/>
      <c r="I4532" s="523"/>
      <c r="J4532" s="521"/>
      <c r="K4532" s="522"/>
      <c r="M4532" s="301" t="str">
        <f>N4532&amp;AS[[#This Row],[Insurer Code]]&amp;"; "&amp;O4532&amp;AS[[#This Row],[Reporting Year]]&amp;"; "&amp;P4532&amp;AS[[#This Row],[Insurance Category Code]]&amp;"; "&amp;Q4532&amp;AS[[#This Row],[Large Provider Entity Code]]&amp;"; "&amp;R4532&amp;AS[[#This Row],[Age Band Code]]&amp;"; "&amp;S4532&amp;AS[[#This Row],[Sex Code]]</f>
        <v xml:space="preserve">Insurer Code ; Reporting Year ; Insurance Category Code ; Large Provider Entity Code ; Age Band Code ; Sex Code </v>
      </c>
      <c r="N4532" s="297" t="s">
        <v>197</v>
      </c>
      <c r="O4532" s="297" t="s">
        <v>198</v>
      </c>
      <c r="P4532" s="297" t="s">
        <v>199</v>
      </c>
      <c r="Q4532" s="297" t="s">
        <v>200</v>
      </c>
      <c r="R4532" s="297" t="s">
        <v>213</v>
      </c>
      <c r="S4532" s="297" t="s">
        <v>214</v>
      </c>
    </row>
    <row r="4533" spans="1:19" x14ac:dyDescent="0.4">
      <c r="A4533" s="291"/>
      <c r="B4533" s="292"/>
      <c r="C4533" s="312"/>
      <c r="D4533" s="292"/>
      <c r="E4533" s="489"/>
      <c r="F4533" s="489"/>
      <c r="G4533" s="490"/>
      <c r="H4533" s="520"/>
      <c r="I4533" s="523"/>
      <c r="J4533" s="521"/>
      <c r="K4533" s="522"/>
      <c r="M4533" s="301" t="str">
        <f>N4533&amp;AS[[#This Row],[Insurer Code]]&amp;"; "&amp;O4533&amp;AS[[#This Row],[Reporting Year]]&amp;"; "&amp;P4533&amp;AS[[#This Row],[Insurance Category Code]]&amp;"; "&amp;Q4533&amp;AS[[#This Row],[Large Provider Entity Code]]&amp;"; "&amp;R4533&amp;AS[[#This Row],[Age Band Code]]&amp;"; "&amp;S4533&amp;AS[[#This Row],[Sex Code]]</f>
        <v xml:space="preserve">Insurer Code ; Reporting Year ; Insurance Category Code ; Large Provider Entity Code ; Age Band Code ; Sex Code </v>
      </c>
      <c r="N4533" s="297" t="s">
        <v>197</v>
      </c>
      <c r="O4533" s="297" t="s">
        <v>198</v>
      </c>
      <c r="P4533" s="297" t="s">
        <v>199</v>
      </c>
      <c r="Q4533" s="297" t="s">
        <v>200</v>
      </c>
      <c r="R4533" s="297" t="s">
        <v>213</v>
      </c>
      <c r="S4533" s="297" t="s">
        <v>214</v>
      </c>
    </row>
    <row r="4534" spans="1:19" x14ac:dyDescent="0.4">
      <c r="A4534" s="291"/>
      <c r="B4534" s="292"/>
      <c r="C4534" s="312"/>
      <c r="D4534" s="292"/>
      <c r="E4534" s="489"/>
      <c r="F4534" s="489"/>
      <c r="G4534" s="490"/>
      <c r="H4534" s="520"/>
      <c r="I4534" s="523"/>
      <c r="J4534" s="521"/>
      <c r="K4534" s="522"/>
      <c r="M4534" s="301" t="str">
        <f>N4534&amp;AS[[#This Row],[Insurer Code]]&amp;"; "&amp;O4534&amp;AS[[#This Row],[Reporting Year]]&amp;"; "&amp;P4534&amp;AS[[#This Row],[Insurance Category Code]]&amp;"; "&amp;Q4534&amp;AS[[#This Row],[Large Provider Entity Code]]&amp;"; "&amp;R4534&amp;AS[[#This Row],[Age Band Code]]&amp;"; "&amp;S4534&amp;AS[[#This Row],[Sex Code]]</f>
        <v xml:space="preserve">Insurer Code ; Reporting Year ; Insurance Category Code ; Large Provider Entity Code ; Age Band Code ; Sex Code </v>
      </c>
      <c r="N4534" s="297" t="s">
        <v>197</v>
      </c>
      <c r="O4534" s="297" t="s">
        <v>198</v>
      </c>
      <c r="P4534" s="297" t="s">
        <v>199</v>
      </c>
      <c r="Q4534" s="297" t="s">
        <v>200</v>
      </c>
      <c r="R4534" s="297" t="s">
        <v>213</v>
      </c>
      <c r="S4534" s="297" t="s">
        <v>214</v>
      </c>
    </row>
    <row r="4535" spans="1:19" x14ac:dyDescent="0.4">
      <c r="A4535" s="291"/>
      <c r="B4535" s="292"/>
      <c r="C4535" s="312"/>
      <c r="D4535" s="292"/>
      <c r="E4535" s="489"/>
      <c r="F4535" s="489"/>
      <c r="G4535" s="490"/>
      <c r="H4535" s="520"/>
      <c r="I4535" s="523"/>
      <c r="J4535" s="521"/>
      <c r="K4535" s="522"/>
      <c r="M4535" s="301" t="str">
        <f>N4535&amp;AS[[#This Row],[Insurer Code]]&amp;"; "&amp;O4535&amp;AS[[#This Row],[Reporting Year]]&amp;"; "&amp;P4535&amp;AS[[#This Row],[Insurance Category Code]]&amp;"; "&amp;Q4535&amp;AS[[#This Row],[Large Provider Entity Code]]&amp;"; "&amp;R4535&amp;AS[[#This Row],[Age Band Code]]&amp;"; "&amp;S4535&amp;AS[[#This Row],[Sex Code]]</f>
        <v xml:space="preserve">Insurer Code ; Reporting Year ; Insurance Category Code ; Large Provider Entity Code ; Age Band Code ; Sex Code </v>
      </c>
      <c r="N4535" s="297" t="s">
        <v>197</v>
      </c>
      <c r="O4535" s="297" t="s">
        <v>198</v>
      </c>
      <c r="P4535" s="297" t="s">
        <v>199</v>
      </c>
      <c r="Q4535" s="297" t="s">
        <v>200</v>
      </c>
      <c r="R4535" s="297" t="s">
        <v>213</v>
      </c>
      <c r="S4535" s="297" t="s">
        <v>214</v>
      </c>
    </row>
    <row r="4536" spans="1:19" x14ac:dyDescent="0.4">
      <c r="A4536" s="291"/>
      <c r="B4536" s="292"/>
      <c r="C4536" s="312"/>
      <c r="D4536" s="292"/>
      <c r="E4536" s="489"/>
      <c r="F4536" s="489"/>
      <c r="G4536" s="490"/>
      <c r="H4536" s="520"/>
      <c r="I4536" s="523"/>
      <c r="J4536" s="521"/>
      <c r="K4536" s="522"/>
      <c r="M4536" s="301" t="str">
        <f>N4536&amp;AS[[#This Row],[Insurer Code]]&amp;"; "&amp;O4536&amp;AS[[#This Row],[Reporting Year]]&amp;"; "&amp;P4536&amp;AS[[#This Row],[Insurance Category Code]]&amp;"; "&amp;Q4536&amp;AS[[#This Row],[Large Provider Entity Code]]&amp;"; "&amp;R4536&amp;AS[[#This Row],[Age Band Code]]&amp;"; "&amp;S4536&amp;AS[[#This Row],[Sex Code]]</f>
        <v xml:space="preserve">Insurer Code ; Reporting Year ; Insurance Category Code ; Large Provider Entity Code ; Age Band Code ; Sex Code </v>
      </c>
      <c r="N4536" s="297" t="s">
        <v>197</v>
      </c>
      <c r="O4536" s="297" t="s">
        <v>198</v>
      </c>
      <c r="P4536" s="297" t="s">
        <v>199</v>
      </c>
      <c r="Q4536" s="297" t="s">
        <v>200</v>
      </c>
      <c r="R4536" s="297" t="s">
        <v>213</v>
      </c>
      <c r="S4536" s="297" t="s">
        <v>214</v>
      </c>
    </row>
    <row r="4537" spans="1:19" x14ac:dyDescent="0.4">
      <c r="A4537" s="291"/>
      <c r="B4537" s="292"/>
      <c r="C4537" s="312"/>
      <c r="D4537" s="292"/>
      <c r="E4537" s="489"/>
      <c r="F4537" s="489"/>
      <c r="G4537" s="490"/>
      <c r="H4537" s="520"/>
      <c r="I4537" s="523"/>
      <c r="J4537" s="521"/>
      <c r="K4537" s="522"/>
      <c r="M4537" s="301" t="str">
        <f>N4537&amp;AS[[#This Row],[Insurer Code]]&amp;"; "&amp;O4537&amp;AS[[#This Row],[Reporting Year]]&amp;"; "&amp;P4537&amp;AS[[#This Row],[Insurance Category Code]]&amp;"; "&amp;Q4537&amp;AS[[#This Row],[Large Provider Entity Code]]&amp;"; "&amp;R4537&amp;AS[[#This Row],[Age Band Code]]&amp;"; "&amp;S4537&amp;AS[[#This Row],[Sex Code]]</f>
        <v xml:space="preserve">Insurer Code ; Reporting Year ; Insurance Category Code ; Large Provider Entity Code ; Age Band Code ; Sex Code </v>
      </c>
      <c r="N4537" s="297" t="s">
        <v>197</v>
      </c>
      <c r="O4537" s="297" t="s">
        <v>198</v>
      </c>
      <c r="P4537" s="297" t="s">
        <v>199</v>
      </c>
      <c r="Q4537" s="297" t="s">
        <v>200</v>
      </c>
      <c r="R4537" s="297" t="s">
        <v>213</v>
      </c>
      <c r="S4537" s="297" t="s">
        <v>214</v>
      </c>
    </row>
    <row r="4538" spans="1:19" x14ac:dyDescent="0.4">
      <c r="A4538" s="291"/>
      <c r="B4538" s="292"/>
      <c r="C4538" s="312"/>
      <c r="D4538" s="292"/>
      <c r="E4538" s="489"/>
      <c r="F4538" s="489"/>
      <c r="G4538" s="490"/>
      <c r="H4538" s="520"/>
      <c r="I4538" s="523"/>
      <c r="J4538" s="521"/>
      <c r="K4538" s="522"/>
      <c r="M4538" s="301" t="str">
        <f>N4538&amp;AS[[#This Row],[Insurer Code]]&amp;"; "&amp;O4538&amp;AS[[#This Row],[Reporting Year]]&amp;"; "&amp;P4538&amp;AS[[#This Row],[Insurance Category Code]]&amp;"; "&amp;Q4538&amp;AS[[#This Row],[Large Provider Entity Code]]&amp;"; "&amp;R4538&amp;AS[[#This Row],[Age Band Code]]&amp;"; "&amp;S4538&amp;AS[[#This Row],[Sex Code]]</f>
        <v xml:space="preserve">Insurer Code ; Reporting Year ; Insurance Category Code ; Large Provider Entity Code ; Age Band Code ; Sex Code </v>
      </c>
      <c r="N4538" s="297" t="s">
        <v>197</v>
      </c>
      <c r="O4538" s="297" t="s">
        <v>198</v>
      </c>
      <c r="P4538" s="297" t="s">
        <v>199</v>
      </c>
      <c r="Q4538" s="297" t="s">
        <v>200</v>
      </c>
      <c r="R4538" s="297" t="s">
        <v>213</v>
      </c>
      <c r="S4538" s="297" t="s">
        <v>214</v>
      </c>
    </row>
    <row r="4539" spans="1:19" x14ac:dyDescent="0.4">
      <c r="A4539" s="291"/>
      <c r="B4539" s="292"/>
      <c r="C4539" s="312"/>
      <c r="D4539" s="292"/>
      <c r="E4539" s="489"/>
      <c r="F4539" s="489"/>
      <c r="G4539" s="490"/>
      <c r="H4539" s="520"/>
      <c r="I4539" s="523"/>
      <c r="J4539" s="521"/>
      <c r="K4539" s="522"/>
      <c r="M4539" s="301" t="str">
        <f>N4539&amp;AS[[#This Row],[Insurer Code]]&amp;"; "&amp;O4539&amp;AS[[#This Row],[Reporting Year]]&amp;"; "&amp;P4539&amp;AS[[#This Row],[Insurance Category Code]]&amp;"; "&amp;Q4539&amp;AS[[#This Row],[Large Provider Entity Code]]&amp;"; "&amp;R4539&amp;AS[[#This Row],[Age Band Code]]&amp;"; "&amp;S4539&amp;AS[[#This Row],[Sex Code]]</f>
        <v xml:space="preserve">Insurer Code ; Reporting Year ; Insurance Category Code ; Large Provider Entity Code ; Age Band Code ; Sex Code </v>
      </c>
      <c r="N4539" s="297" t="s">
        <v>197</v>
      </c>
      <c r="O4539" s="297" t="s">
        <v>198</v>
      </c>
      <c r="P4539" s="297" t="s">
        <v>199</v>
      </c>
      <c r="Q4539" s="297" t="s">
        <v>200</v>
      </c>
      <c r="R4539" s="297" t="s">
        <v>213</v>
      </c>
      <c r="S4539" s="297" t="s">
        <v>214</v>
      </c>
    </row>
    <row r="4540" spans="1:19" x14ac:dyDescent="0.4">
      <c r="A4540" s="291"/>
      <c r="B4540" s="292"/>
      <c r="C4540" s="312"/>
      <c r="D4540" s="292"/>
      <c r="E4540" s="489"/>
      <c r="F4540" s="489"/>
      <c r="G4540" s="490"/>
      <c r="H4540" s="520"/>
      <c r="I4540" s="523"/>
      <c r="J4540" s="521"/>
      <c r="K4540" s="522"/>
      <c r="M4540" s="301" t="str">
        <f>N4540&amp;AS[[#This Row],[Insurer Code]]&amp;"; "&amp;O4540&amp;AS[[#This Row],[Reporting Year]]&amp;"; "&amp;P4540&amp;AS[[#This Row],[Insurance Category Code]]&amp;"; "&amp;Q4540&amp;AS[[#This Row],[Large Provider Entity Code]]&amp;"; "&amp;R4540&amp;AS[[#This Row],[Age Band Code]]&amp;"; "&amp;S4540&amp;AS[[#This Row],[Sex Code]]</f>
        <v xml:space="preserve">Insurer Code ; Reporting Year ; Insurance Category Code ; Large Provider Entity Code ; Age Band Code ; Sex Code </v>
      </c>
      <c r="N4540" s="297" t="s">
        <v>197</v>
      </c>
      <c r="O4540" s="297" t="s">
        <v>198</v>
      </c>
      <c r="P4540" s="297" t="s">
        <v>199</v>
      </c>
      <c r="Q4540" s="297" t="s">
        <v>200</v>
      </c>
      <c r="R4540" s="297" t="s">
        <v>213</v>
      </c>
      <c r="S4540" s="297" t="s">
        <v>214</v>
      </c>
    </row>
    <row r="4541" spans="1:19" x14ac:dyDescent="0.4">
      <c r="A4541" s="291"/>
      <c r="B4541" s="292"/>
      <c r="C4541" s="312"/>
      <c r="D4541" s="292"/>
      <c r="E4541" s="489"/>
      <c r="F4541" s="489"/>
      <c r="G4541" s="490"/>
      <c r="H4541" s="520"/>
      <c r="I4541" s="523"/>
      <c r="J4541" s="521"/>
      <c r="K4541" s="522"/>
      <c r="M4541" s="301" t="str">
        <f>N4541&amp;AS[[#This Row],[Insurer Code]]&amp;"; "&amp;O4541&amp;AS[[#This Row],[Reporting Year]]&amp;"; "&amp;P4541&amp;AS[[#This Row],[Insurance Category Code]]&amp;"; "&amp;Q4541&amp;AS[[#This Row],[Large Provider Entity Code]]&amp;"; "&amp;R4541&amp;AS[[#This Row],[Age Band Code]]&amp;"; "&amp;S4541&amp;AS[[#This Row],[Sex Code]]</f>
        <v xml:space="preserve">Insurer Code ; Reporting Year ; Insurance Category Code ; Large Provider Entity Code ; Age Band Code ; Sex Code </v>
      </c>
      <c r="N4541" s="297" t="s">
        <v>197</v>
      </c>
      <c r="O4541" s="297" t="s">
        <v>198</v>
      </c>
      <c r="P4541" s="297" t="s">
        <v>199</v>
      </c>
      <c r="Q4541" s="297" t="s">
        <v>200</v>
      </c>
      <c r="R4541" s="297" t="s">
        <v>213</v>
      </c>
      <c r="S4541" s="297" t="s">
        <v>214</v>
      </c>
    </row>
    <row r="4542" spans="1:19" x14ac:dyDescent="0.4">
      <c r="A4542" s="291"/>
      <c r="B4542" s="292"/>
      <c r="C4542" s="312"/>
      <c r="D4542" s="292"/>
      <c r="E4542" s="489"/>
      <c r="F4542" s="489"/>
      <c r="G4542" s="490"/>
      <c r="H4542" s="520"/>
      <c r="I4542" s="523"/>
      <c r="J4542" s="521"/>
      <c r="K4542" s="522"/>
      <c r="M4542" s="301" t="str">
        <f>N4542&amp;AS[[#This Row],[Insurer Code]]&amp;"; "&amp;O4542&amp;AS[[#This Row],[Reporting Year]]&amp;"; "&amp;P4542&amp;AS[[#This Row],[Insurance Category Code]]&amp;"; "&amp;Q4542&amp;AS[[#This Row],[Large Provider Entity Code]]&amp;"; "&amp;R4542&amp;AS[[#This Row],[Age Band Code]]&amp;"; "&amp;S4542&amp;AS[[#This Row],[Sex Code]]</f>
        <v xml:space="preserve">Insurer Code ; Reporting Year ; Insurance Category Code ; Large Provider Entity Code ; Age Band Code ; Sex Code </v>
      </c>
      <c r="N4542" s="297" t="s">
        <v>197</v>
      </c>
      <c r="O4542" s="297" t="s">
        <v>198</v>
      </c>
      <c r="P4542" s="297" t="s">
        <v>199</v>
      </c>
      <c r="Q4542" s="297" t="s">
        <v>200</v>
      </c>
      <c r="R4542" s="297" t="s">
        <v>213</v>
      </c>
      <c r="S4542" s="297" t="s">
        <v>214</v>
      </c>
    </row>
    <row r="4543" spans="1:19" x14ac:dyDescent="0.4">
      <c r="A4543" s="291"/>
      <c r="B4543" s="292"/>
      <c r="C4543" s="312"/>
      <c r="D4543" s="292"/>
      <c r="E4543" s="489"/>
      <c r="F4543" s="489"/>
      <c r="G4543" s="490"/>
      <c r="H4543" s="520"/>
      <c r="I4543" s="523"/>
      <c r="J4543" s="521"/>
      <c r="K4543" s="522"/>
      <c r="M4543" s="301" t="str">
        <f>N4543&amp;AS[[#This Row],[Insurer Code]]&amp;"; "&amp;O4543&amp;AS[[#This Row],[Reporting Year]]&amp;"; "&amp;P4543&amp;AS[[#This Row],[Insurance Category Code]]&amp;"; "&amp;Q4543&amp;AS[[#This Row],[Large Provider Entity Code]]&amp;"; "&amp;R4543&amp;AS[[#This Row],[Age Band Code]]&amp;"; "&amp;S4543&amp;AS[[#This Row],[Sex Code]]</f>
        <v xml:space="preserve">Insurer Code ; Reporting Year ; Insurance Category Code ; Large Provider Entity Code ; Age Band Code ; Sex Code </v>
      </c>
      <c r="N4543" s="297" t="s">
        <v>197</v>
      </c>
      <c r="O4543" s="297" t="s">
        <v>198</v>
      </c>
      <c r="P4543" s="297" t="s">
        <v>199</v>
      </c>
      <c r="Q4543" s="297" t="s">
        <v>200</v>
      </c>
      <c r="R4543" s="297" t="s">
        <v>213</v>
      </c>
      <c r="S4543" s="297" t="s">
        <v>214</v>
      </c>
    </row>
    <row r="4544" spans="1:19" x14ac:dyDescent="0.4">
      <c r="A4544" s="291"/>
      <c r="B4544" s="292"/>
      <c r="C4544" s="312"/>
      <c r="D4544" s="292"/>
      <c r="E4544" s="489"/>
      <c r="F4544" s="489"/>
      <c r="G4544" s="490"/>
      <c r="H4544" s="520"/>
      <c r="I4544" s="523"/>
      <c r="J4544" s="521"/>
      <c r="K4544" s="522"/>
      <c r="M4544" s="301" t="str">
        <f>N4544&amp;AS[[#This Row],[Insurer Code]]&amp;"; "&amp;O4544&amp;AS[[#This Row],[Reporting Year]]&amp;"; "&amp;P4544&amp;AS[[#This Row],[Insurance Category Code]]&amp;"; "&amp;Q4544&amp;AS[[#This Row],[Large Provider Entity Code]]&amp;"; "&amp;R4544&amp;AS[[#This Row],[Age Band Code]]&amp;"; "&amp;S4544&amp;AS[[#This Row],[Sex Code]]</f>
        <v xml:space="preserve">Insurer Code ; Reporting Year ; Insurance Category Code ; Large Provider Entity Code ; Age Band Code ; Sex Code </v>
      </c>
      <c r="N4544" s="297" t="s">
        <v>197</v>
      </c>
      <c r="O4544" s="297" t="s">
        <v>198</v>
      </c>
      <c r="P4544" s="297" t="s">
        <v>199</v>
      </c>
      <c r="Q4544" s="297" t="s">
        <v>200</v>
      </c>
      <c r="R4544" s="297" t="s">
        <v>213</v>
      </c>
      <c r="S4544" s="297" t="s">
        <v>214</v>
      </c>
    </row>
    <row r="4545" spans="1:19" x14ac:dyDescent="0.4">
      <c r="A4545" s="291"/>
      <c r="B4545" s="292"/>
      <c r="C4545" s="312"/>
      <c r="D4545" s="292"/>
      <c r="E4545" s="489"/>
      <c r="F4545" s="489"/>
      <c r="G4545" s="490"/>
      <c r="H4545" s="520"/>
      <c r="I4545" s="523"/>
      <c r="J4545" s="521"/>
      <c r="K4545" s="522"/>
      <c r="M4545" s="301" t="str">
        <f>N4545&amp;AS[[#This Row],[Insurer Code]]&amp;"; "&amp;O4545&amp;AS[[#This Row],[Reporting Year]]&amp;"; "&amp;P4545&amp;AS[[#This Row],[Insurance Category Code]]&amp;"; "&amp;Q4545&amp;AS[[#This Row],[Large Provider Entity Code]]&amp;"; "&amp;R4545&amp;AS[[#This Row],[Age Band Code]]&amp;"; "&amp;S4545&amp;AS[[#This Row],[Sex Code]]</f>
        <v xml:space="preserve">Insurer Code ; Reporting Year ; Insurance Category Code ; Large Provider Entity Code ; Age Band Code ; Sex Code </v>
      </c>
      <c r="N4545" s="297" t="s">
        <v>197</v>
      </c>
      <c r="O4545" s="297" t="s">
        <v>198</v>
      </c>
      <c r="P4545" s="297" t="s">
        <v>199</v>
      </c>
      <c r="Q4545" s="297" t="s">
        <v>200</v>
      </c>
      <c r="R4545" s="297" t="s">
        <v>213</v>
      </c>
      <c r="S4545" s="297" t="s">
        <v>214</v>
      </c>
    </row>
    <row r="4546" spans="1:19" x14ac:dyDescent="0.4">
      <c r="A4546" s="291"/>
      <c r="B4546" s="292"/>
      <c r="C4546" s="312"/>
      <c r="D4546" s="292"/>
      <c r="E4546" s="489"/>
      <c r="F4546" s="489"/>
      <c r="G4546" s="490"/>
      <c r="H4546" s="520"/>
      <c r="I4546" s="523"/>
      <c r="J4546" s="521"/>
      <c r="K4546" s="522"/>
      <c r="M4546" s="301" t="str">
        <f>N4546&amp;AS[[#This Row],[Insurer Code]]&amp;"; "&amp;O4546&amp;AS[[#This Row],[Reporting Year]]&amp;"; "&amp;P4546&amp;AS[[#This Row],[Insurance Category Code]]&amp;"; "&amp;Q4546&amp;AS[[#This Row],[Large Provider Entity Code]]&amp;"; "&amp;R4546&amp;AS[[#This Row],[Age Band Code]]&amp;"; "&amp;S4546&amp;AS[[#This Row],[Sex Code]]</f>
        <v xml:space="preserve">Insurer Code ; Reporting Year ; Insurance Category Code ; Large Provider Entity Code ; Age Band Code ; Sex Code </v>
      </c>
      <c r="N4546" s="297" t="s">
        <v>197</v>
      </c>
      <c r="O4546" s="297" t="s">
        <v>198</v>
      </c>
      <c r="P4546" s="297" t="s">
        <v>199</v>
      </c>
      <c r="Q4546" s="297" t="s">
        <v>200</v>
      </c>
      <c r="R4546" s="297" t="s">
        <v>213</v>
      </c>
      <c r="S4546" s="297" t="s">
        <v>214</v>
      </c>
    </row>
    <row r="4547" spans="1:19" x14ac:dyDescent="0.4">
      <c r="A4547" s="291"/>
      <c r="B4547" s="292"/>
      <c r="C4547" s="312"/>
      <c r="D4547" s="292"/>
      <c r="E4547" s="489"/>
      <c r="F4547" s="489"/>
      <c r="G4547" s="490"/>
      <c r="H4547" s="520"/>
      <c r="I4547" s="523"/>
      <c r="J4547" s="521"/>
      <c r="K4547" s="522"/>
      <c r="M4547" s="301" t="str">
        <f>N4547&amp;AS[[#This Row],[Insurer Code]]&amp;"; "&amp;O4547&amp;AS[[#This Row],[Reporting Year]]&amp;"; "&amp;P4547&amp;AS[[#This Row],[Insurance Category Code]]&amp;"; "&amp;Q4547&amp;AS[[#This Row],[Large Provider Entity Code]]&amp;"; "&amp;R4547&amp;AS[[#This Row],[Age Band Code]]&amp;"; "&amp;S4547&amp;AS[[#This Row],[Sex Code]]</f>
        <v xml:space="preserve">Insurer Code ; Reporting Year ; Insurance Category Code ; Large Provider Entity Code ; Age Band Code ; Sex Code </v>
      </c>
      <c r="N4547" s="297" t="s">
        <v>197</v>
      </c>
      <c r="O4547" s="297" t="s">
        <v>198</v>
      </c>
      <c r="P4547" s="297" t="s">
        <v>199</v>
      </c>
      <c r="Q4547" s="297" t="s">
        <v>200</v>
      </c>
      <c r="R4547" s="297" t="s">
        <v>213</v>
      </c>
      <c r="S4547" s="297" t="s">
        <v>214</v>
      </c>
    </row>
    <row r="4548" spans="1:19" x14ac:dyDescent="0.4">
      <c r="A4548" s="291"/>
      <c r="B4548" s="292"/>
      <c r="C4548" s="312"/>
      <c r="D4548" s="292"/>
      <c r="E4548" s="489"/>
      <c r="F4548" s="489"/>
      <c r="G4548" s="490"/>
      <c r="H4548" s="520"/>
      <c r="I4548" s="523"/>
      <c r="J4548" s="521"/>
      <c r="K4548" s="522"/>
      <c r="M4548" s="301" t="str">
        <f>N4548&amp;AS[[#This Row],[Insurer Code]]&amp;"; "&amp;O4548&amp;AS[[#This Row],[Reporting Year]]&amp;"; "&amp;P4548&amp;AS[[#This Row],[Insurance Category Code]]&amp;"; "&amp;Q4548&amp;AS[[#This Row],[Large Provider Entity Code]]&amp;"; "&amp;R4548&amp;AS[[#This Row],[Age Band Code]]&amp;"; "&amp;S4548&amp;AS[[#This Row],[Sex Code]]</f>
        <v xml:space="preserve">Insurer Code ; Reporting Year ; Insurance Category Code ; Large Provider Entity Code ; Age Band Code ; Sex Code </v>
      </c>
      <c r="N4548" s="297" t="s">
        <v>197</v>
      </c>
      <c r="O4548" s="297" t="s">
        <v>198</v>
      </c>
      <c r="P4548" s="297" t="s">
        <v>199</v>
      </c>
      <c r="Q4548" s="297" t="s">
        <v>200</v>
      </c>
      <c r="R4548" s="297" t="s">
        <v>213</v>
      </c>
      <c r="S4548" s="297" t="s">
        <v>214</v>
      </c>
    </row>
    <row r="4549" spans="1:19" x14ac:dyDescent="0.4">
      <c r="A4549" s="291"/>
      <c r="B4549" s="292"/>
      <c r="C4549" s="312"/>
      <c r="D4549" s="292"/>
      <c r="E4549" s="489"/>
      <c r="F4549" s="489"/>
      <c r="G4549" s="490"/>
      <c r="H4549" s="520"/>
      <c r="I4549" s="523"/>
      <c r="J4549" s="521"/>
      <c r="K4549" s="522"/>
      <c r="M4549" s="301" t="str">
        <f>N4549&amp;AS[[#This Row],[Insurer Code]]&amp;"; "&amp;O4549&amp;AS[[#This Row],[Reporting Year]]&amp;"; "&amp;P4549&amp;AS[[#This Row],[Insurance Category Code]]&amp;"; "&amp;Q4549&amp;AS[[#This Row],[Large Provider Entity Code]]&amp;"; "&amp;R4549&amp;AS[[#This Row],[Age Band Code]]&amp;"; "&amp;S4549&amp;AS[[#This Row],[Sex Code]]</f>
        <v xml:space="preserve">Insurer Code ; Reporting Year ; Insurance Category Code ; Large Provider Entity Code ; Age Band Code ; Sex Code </v>
      </c>
      <c r="N4549" s="297" t="s">
        <v>197</v>
      </c>
      <c r="O4549" s="297" t="s">
        <v>198</v>
      </c>
      <c r="P4549" s="297" t="s">
        <v>199</v>
      </c>
      <c r="Q4549" s="297" t="s">
        <v>200</v>
      </c>
      <c r="R4549" s="297" t="s">
        <v>213</v>
      </c>
      <c r="S4549" s="297" t="s">
        <v>214</v>
      </c>
    </row>
    <row r="4550" spans="1:19" x14ac:dyDescent="0.4">
      <c r="A4550" s="291"/>
      <c r="B4550" s="292"/>
      <c r="C4550" s="312"/>
      <c r="D4550" s="292"/>
      <c r="E4550" s="489"/>
      <c r="F4550" s="489"/>
      <c r="G4550" s="490"/>
      <c r="H4550" s="520"/>
      <c r="I4550" s="523"/>
      <c r="J4550" s="521"/>
      <c r="K4550" s="522"/>
      <c r="M4550" s="301" t="str">
        <f>N4550&amp;AS[[#This Row],[Insurer Code]]&amp;"; "&amp;O4550&amp;AS[[#This Row],[Reporting Year]]&amp;"; "&amp;P4550&amp;AS[[#This Row],[Insurance Category Code]]&amp;"; "&amp;Q4550&amp;AS[[#This Row],[Large Provider Entity Code]]&amp;"; "&amp;R4550&amp;AS[[#This Row],[Age Band Code]]&amp;"; "&amp;S4550&amp;AS[[#This Row],[Sex Code]]</f>
        <v xml:space="preserve">Insurer Code ; Reporting Year ; Insurance Category Code ; Large Provider Entity Code ; Age Band Code ; Sex Code </v>
      </c>
      <c r="N4550" s="297" t="s">
        <v>197</v>
      </c>
      <c r="O4550" s="297" t="s">
        <v>198</v>
      </c>
      <c r="P4550" s="297" t="s">
        <v>199</v>
      </c>
      <c r="Q4550" s="297" t="s">
        <v>200</v>
      </c>
      <c r="R4550" s="297" t="s">
        <v>213</v>
      </c>
      <c r="S4550" s="297" t="s">
        <v>214</v>
      </c>
    </row>
    <row r="4551" spans="1:19" x14ac:dyDescent="0.4">
      <c r="A4551" s="291"/>
      <c r="B4551" s="292"/>
      <c r="C4551" s="312"/>
      <c r="D4551" s="292"/>
      <c r="E4551" s="489"/>
      <c r="F4551" s="489"/>
      <c r="G4551" s="490"/>
      <c r="H4551" s="520"/>
      <c r="I4551" s="523"/>
      <c r="J4551" s="521"/>
      <c r="K4551" s="522"/>
      <c r="M4551" s="301" t="str">
        <f>N4551&amp;AS[[#This Row],[Insurer Code]]&amp;"; "&amp;O4551&amp;AS[[#This Row],[Reporting Year]]&amp;"; "&amp;P4551&amp;AS[[#This Row],[Insurance Category Code]]&amp;"; "&amp;Q4551&amp;AS[[#This Row],[Large Provider Entity Code]]&amp;"; "&amp;R4551&amp;AS[[#This Row],[Age Band Code]]&amp;"; "&amp;S4551&amp;AS[[#This Row],[Sex Code]]</f>
        <v xml:space="preserve">Insurer Code ; Reporting Year ; Insurance Category Code ; Large Provider Entity Code ; Age Band Code ; Sex Code </v>
      </c>
      <c r="N4551" s="297" t="s">
        <v>197</v>
      </c>
      <c r="O4551" s="297" t="s">
        <v>198</v>
      </c>
      <c r="P4551" s="297" t="s">
        <v>199</v>
      </c>
      <c r="Q4551" s="297" t="s">
        <v>200</v>
      </c>
      <c r="R4551" s="297" t="s">
        <v>213</v>
      </c>
      <c r="S4551" s="297" t="s">
        <v>214</v>
      </c>
    </row>
    <row r="4552" spans="1:19" x14ac:dyDescent="0.4">
      <c r="A4552" s="291"/>
      <c r="B4552" s="292"/>
      <c r="C4552" s="312"/>
      <c r="D4552" s="292"/>
      <c r="E4552" s="489"/>
      <c r="F4552" s="489"/>
      <c r="G4552" s="490"/>
      <c r="H4552" s="520"/>
      <c r="I4552" s="523"/>
      <c r="J4552" s="521"/>
      <c r="K4552" s="522"/>
      <c r="M4552" s="301" t="str">
        <f>N4552&amp;AS[[#This Row],[Insurer Code]]&amp;"; "&amp;O4552&amp;AS[[#This Row],[Reporting Year]]&amp;"; "&amp;P4552&amp;AS[[#This Row],[Insurance Category Code]]&amp;"; "&amp;Q4552&amp;AS[[#This Row],[Large Provider Entity Code]]&amp;"; "&amp;R4552&amp;AS[[#This Row],[Age Band Code]]&amp;"; "&amp;S4552&amp;AS[[#This Row],[Sex Code]]</f>
        <v xml:space="preserve">Insurer Code ; Reporting Year ; Insurance Category Code ; Large Provider Entity Code ; Age Band Code ; Sex Code </v>
      </c>
      <c r="N4552" s="297" t="s">
        <v>197</v>
      </c>
      <c r="O4552" s="297" t="s">
        <v>198</v>
      </c>
      <c r="P4552" s="297" t="s">
        <v>199</v>
      </c>
      <c r="Q4552" s="297" t="s">
        <v>200</v>
      </c>
      <c r="R4552" s="297" t="s">
        <v>213</v>
      </c>
      <c r="S4552" s="297" t="s">
        <v>214</v>
      </c>
    </row>
    <row r="4553" spans="1:19" x14ac:dyDescent="0.4">
      <c r="A4553" s="291"/>
      <c r="B4553" s="292"/>
      <c r="C4553" s="312"/>
      <c r="D4553" s="292"/>
      <c r="E4553" s="489"/>
      <c r="F4553" s="489"/>
      <c r="G4553" s="490"/>
      <c r="H4553" s="520"/>
      <c r="I4553" s="523"/>
      <c r="J4553" s="521"/>
      <c r="K4553" s="522"/>
      <c r="M4553" s="301" t="str">
        <f>N4553&amp;AS[[#This Row],[Insurer Code]]&amp;"; "&amp;O4553&amp;AS[[#This Row],[Reporting Year]]&amp;"; "&amp;P4553&amp;AS[[#This Row],[Insurance Category Code]]&amp;"; "&amp;Q4553&amp;AS[[#This Row],[Large Provider Entity Code]]&amp;"; "&amp;R4553&amp;AS[[#This Row],[Age Band Code]]&amp;"; "&amp;S4553&amp;AS[[#This Row],[Sex Code]]</f>
        <v xml:space="preserve">Insurer Code ; Reporting Year ; Insurance Category Code ; Large Provider Entity Code ; Age Band Code ; Sex Code </v>
      </c>
      <c r="N4553" s="297" t="s">
        <v>197</v>
      </c>
      <c r="O4553" s="297" t="s">
        <v>198</v>
      </c>
      <c r="P4553" s="297" t="s">
        <v>199</v>
      </c>
      <c r="Q4553" s="297" t="s">
        <v>200</v>
      </c>
      <c r="R4553" s="297" t="s">
        <v>213</v>
      </c>
      <c r="S4553" s="297" t="s">
        <v>214</v>
      </c>
    </row>
    <row r="4554" spans="1:19" x14ac:dyDescent="0.4">
      <c r="A4554" s="291"/>
      <c r="B4554" s="292"/>
      <c r="C4554" s="312"/>
      <c r="D4554" s="292"/>
      <c r="E4554" s="489"/>
      <c r="F4554" s="489"/>
      <c r="G4554" s="490"/>
      <c r="H4554" s="520"/>
      <c r="I4554" s="523"/>
      <c r="J4554" s="521"/>
      <c r="K4554" s="522"/>
      <c r="M4554" s="301" t="str">
        <f>N4554&amp;AS[[#This Row],[Insurer Code]]&amp;"; "&amp;O4554&amp;AS[[#This Row],[Reporting Year]]&amp;"; "&amp;P4554&amp;AS[[#This Row],[Insurance Category Code]]&amp;"; "&amp;Q4554&amp;AS[[#This Row],[Large Provider Entity Code]]&amp;"; "&amp;R4554&amp;AS[[#This Row],[Age Band Code]]&amp;"; "&amp;S4554&amp;AS[[#This Row],[Sex Code]]</f>
        <v xml:space="preserve">Insurer Code ; Reporting Year ; Insurance Category Code ; Large Provider Entity Code ; Age Band Code ; Sex Code </v>
      </c>
      <c r="N4554" s="297" t="s">
        <v>197</v>
      </c>
      <c r="O4554" s="297" t="s">
        <v>198</v>
      </c>
      <c r="P4554" s="297" t="s">
        <v>199</v>
      </c>
      <c r="Q4554" s="297" t="s">
        <v>200</v>
      </c>
      <c r="R4554" s="297" t="s">
        <v>213</v>
      </c>
      <c r="S4554" s="297" t="s">
        <v>214</v>
      </c>
    </row>
    <row r="4555" spans="1:19" x14ac:dyDescent="0.4">
      <c r="A4555" s="291"/>
      <c r="B4555" s="292"/>
      <c r="C4555" s="312"/>
      <c r="D4555" s="292"/>
      <c r="E4555" s="489"/>
      <c r="F4555" s="489"/>
      <c r="G4555" s="490"/>
      <c r="H4555" s="520"/>
      <c r="I4555" s="523"/>
      <c r="J4555" s="521"/>
      <c r="K4555" s="522"/>
      <c r="M4555" s="301" t="str">
        <f>N4555&amp;AS[[#This Row],[Insurer Code]]&amp;"; "&amp;O4555&amp;AS[[#This Row],[Reporting Year]]&amp;"; "&amp;P4555&amp;AS[[#This Row],[Insurance Category Code]]&amp;"; "&amp;Q4555&amp;AS[[#This Row],[Large Provider Entity Code]]&amp;"; "&amp;R4555&amp;AS[[#This Row],[Age Band Code]]&amp;"; "&amp;S4555&amp;AS[[#This Row],[Sex Code]]</f>
        <v xml:space="preserve">Insurer Code ; Reporting Year ; Insurance Category Code ; Large Provider Entity Code ; Age Band Code ; Sex Code </v>
      </c>
      <c r="N4555" s="297" t="s">
        <v>197</v>
      </c>
      <c r="O4555" s="297" t="s">
        <v>198</v>
      </c>
      <c r="P4555" s="297" t="s">
        <v>199</v>
      </c>
      <c r="Q4555" s="297" t="s">
        <v>200</v>
      </c>
      <c r="R4555" s="297" t="s">
        <v>213</v>
      </c>
      <c r="S4555" s="297" t="s">
        <v>214</v>
      </c>
    </row>
    <row r="4556" spans="1:19" x14ac:dyDescent="0.4">
      <c r="A4556" s="291"/>
      <c r="B4556" s="292"/>
      <c r="C4556" s="312"/>
      <c r="D4556" s="292"/>
      <c r="E4556" s="489"/>
      <c r="F4556" s="489"/>
      <c r="G4556" s="490"/>
      <c r="H4556" s="520"/>
      <c r="I4556" s="523"/>
      <c r="J4556" s="521"/>
      <c r="K4556" s="522"/>
      <c r="M4556" s="301" t="str">
        <f>N4556&amp;AS[[#This Row],[Insurer Code]]&amp;"; "&amp;O4556&amp;AS[[#This Row],[Reporting Year]]&amp;"; "&amp;P4556&amp;AS[[#This Row],[Insurance Category Code]]&amp;"; "&amp;Q4556&amp;AS[[#This Row],[Large Provider Entity Code]]&amp;"; "&amp;R4556&amp;AS[[#This Row],[Age Band Code]]&amp;"; "&amp;S4556&amp;AS[[#This Row],[Sex Code]]</f>
        <v xml:space="preserve">Insurer Code ; Reporting Year ; Insurance Category Code ; Large Provider Entity Code ; Age Band Code ; Sex Code </v>
      </c>
      <c r="N4556" s="297" t="s">
        <v>197</v>
      </c>
      <c r="O4556" s="297" t="s">
        <v>198</v>
      </c>
      <c r="P4556" s="297" t="s">
        <v>199</v>
      </c>
      <c r="Q4556" s="297" t="s">
        <v>200</v>
      </c>
      <c r="R4556" s="297" t="s">
        <v>213</v>
      </c>
      <c r="S4556" s="297" t="s">
        <v>214</v>
      </c>
    </row>
    <row r="4557" spans="1:19" x14ac:dyDescent="0.4">
      <c r="A4557" s="291"/>
      <c r="B4557" s="292"/>
      <c r="C4557" s="312"/>
      <c r="D4557" s="292"/>
      <c r="E4557" s="489"/>
      <c r="F4557" s="489"/>
      <c r="G4557" s="490"/>
      <c r="H4557" s="520"/>
      <c r="I4557" s="523"/>
      <c r="J4557" s="521"/>
      <c r="K4557" s="522"/>
      <c r="M4557" s="301" t="str">
        <f>N4557&amp;AS[[#This Row],[Insurer Code]]&amp;"; "&amp;O4557&amp;AS[[#This Row],[Reporting Year]]&amp;"; "&amp;P4557&amp;AS[[#This Row],[Insurance Category Code]]&amp;"; "&amp;Q4557&amp;AS[[#This Row],[Large Provider Entity Code]]&amp;"; "&amp;R4557&amp;AS[[#This Row],[Age Band Code]]&amp;"; "&amp;S4557&amp;AS[[#This Row],[Sex Code]]</f>
        <v xml:space="preserve">Insurer Code ; Reporting Year ; Insurance Category Code ; Large Provider Entity Code ; Age Band Code ; Sex Code </v>
      </c>
      <c r="N4557" s="297" t="s">
        <v>197</v>
      </c>
      <c r="O4557" s="297" t="s">
        <v>198</v>
      </c>
      <c r="P4557" s="297" t="s">
        <v>199</v>
      </c>
      <c r="Q4557" s="297" t="s">
        <v>200</v>
      </c>
      <c r="R4557" s="297" t="s">
        <v>213</v>
      </c>
      <c r="S4557" s="297" t="s">
        <v>214</v>
      </c>
    </row>
    <row r="4558" spans="1:19" x14ac:dyDescent="0.4">
      <c r="A4558" s="291"/>
      <c r="B4558" s="292"/>
      <c r="C4558" s="312"/>
      <c r="D4558" s="292"/>
      <c r="E4558" s="489"/>
      <c r="F4558" s="489"/>
      <c r="G4558" s="490"/>
      <c r="H4558" s="520"/>
      <c r="I4558" s="523"/>
      <c r="J4558" s="521"/>
      <c r="K4558" s="522"/>
      <c r="M4558" s="301" t="str">
        <f>N4558&amp;AS[[#This Row],[Insurer Code]]&amp;"; "&amp;O4558&amp;AS[[#This Row],[Reporting Year]]&amp;"; "&amp;P4558&amp;AS[[#This Row],[Insurance Category Code]]&amp;"; "&amp;Q4558&amp;AS[[#This Row],[Large Provider Entity Code]]&amp;"; "&amp;R4558&amp;AS[[#This Row],[Age Band Code]]&amp;"; "&amp;S4558&amp;AS[[#This Row],[Sex Code]]</f>
        <v xml:space="preserve">Insurer Code ; Reporting Year ; Insurance Category Code ; Large Provider Entity Code ; Age Band Code ; Sex Code </v>
      </c>
      <c r="N4558" s="297" t="s">
        <v>197</v>
      </c>
      <c r="O4558" s="297" t="s">
        <v>198</v>
      </c>
      <c r="P4558" s="297" t="s">
        <v>199</v>
      </c>
      <c r="Q4558" s="297" t="s">
        <v>200</v>
      </c>
      <c r="R4558" s="297" t="s">
        <v>213</v>
      </c>
      <c r="S4558" s="297" t="s">
        <v>214</v>
      </c>
    </row>
    <row r="4559" spans="1:19" x14ac:dyDescent="0.4">
      <c r="A4559" s="291"/>
      <c r="B4559" s="292"/>
      <c r="C4559" s="312"/>
      <c r="D4559" s="292"/>
      <c r="E4559" s="489"/>
      <c r="F4559" s="489"/>
      <c r="G4559" s="490"/>
      <c r="H4559" s="520"/>
      <c r="I4559" s="523"/>
      <c r="J4559" s="521"/>
      <c r="K4559" s="522"/>
      <c r="M4559" s="301" t="str">
        <f>N4559&amp;AS[[#This Row],[Insurer Code]]&amp;"; "&amp;O4559&amp;AS[[#This Row],[Reporting Year]]&amp;"; "&amp;P4559&amp;AS[[#This Row],[Insurance Category Code]]&amp;"; "&amp;Q4559&amp;AS[[#This Row],[Large Provider Entity Code]]&amp;"; "&amp;R4559&amp;AS[[#This Row],[Age Band Code]]&amp;"; "&amp;S4559&amp;AS[[#This Row],[Sex Code]]</f>
        <v xml:space="preserve">Insurer Code ; Reporting Year ; Insurance Category Code ; Large Provider Entity Code ; Age Band Code ; Sex Code </v>
      </c>
      <c r="N4559" s="297" t="s">
        <v>197</v>
      </c>
      <c r="O4559" s="297" t="s">
        <v>198</v>
      </c>
      <c r="P4559" s="297" t="s">
        <v>199</v>
      </c>
      <c r="Q4559" s="297" t="s">
        <v>200</v>
      </c>
      <c r="R4559" s="297" t="s">
        <v>213</v>
      </c>
      <c r="S4559" s="297" t="s">
        <v>214</v>
      </c>
    </row>
    <row r="4560" spans="1:19" x14ac:dyDescent="0.4">
      <c r="A4560" s="291"/>
      <c r="B4560" s="292"/>
      <c r="C4560" s="312"/>
      <c r="D4560" s="292"/>
      <c r="E4560" s="489"/>
      <c r="F4560" s="489"/>
      <c r="G4560" s="490"/>
      <c r="H4560" s="520"/>
      <c r="I4560" s="523"/>
      <c r="J4560" s="521"/>
      <c r="K4560" s="522"/>
      <c r="M4560" s="301" t="str">
        <f>N4560&amp;AS[[#This Row],[Insurer Code]]&amp;"; "&amp;O4560&amp;AS[[#This Row],[Reporting Year]]&amp;"; "&amp;P4560&amp;AS[[#This Row],[Insurance Category Code]]&amp;"; "&amp;Q4560&amp;AS[[#This Row],[Large Provider Entity Code]]&amp;"; "&amp;R4560&amp;AS[[#This Row],[Age Band Code]]&amp;"; "&amp;S4560&amp;AS[[#This Row],[Sex Code]]</f>
        <v xml:space="preserve">Insurer Code ; Reporting Year ; Insurance Category Code ; Large Provider Entity Code ; Age Band Code ; Sex Code </v>
      </c>
      <c r="N4560" s="297" t="s">
        <v>197</v>
      </c>
      <c r="O4560" s="297" t="s">
        <v>198</v>
      </c>
      <c r="P4560" s="297" t="s">
        <v>199</v>
      </c>
      <c r="Q4560" s="297" t="s">
        <v>200</v>
      </c>
      <c r="R4560" s="297" t="s">
        <v>213</v>
      </c>
      <c r="S4560" s="297" t="s">
        <v>214</v>
      </c>
    </row>
    <row r="4561" spans="1:19" x14ac:dyDescent="0.4">
      <c r="A4561" s="291"/>
      <c r="B4561" s="292"/>
      <c r="C4561" s="312"/>
      <c r="D4561" s="292"/>
      <c r="E4561" s="489"/>
      <c r="F4561" s="489"/>
      <c r="G4561" s="490"/>
      <c r="H4561" s="520"/>
      <c r="I4561" s="523"/>
      <c r="J4561" s="521"/>
      <c r="K4561" s="522"/>
      <c r="M4561" s="301" t="str">
        <f>N4561&amp;AS[[#This Row],[Insurer Code]]&amp;"; "&amp;O4561&amp;AS[[#This Row],[Reporting Year]]&amp;"; "&amp;P4561&amp;AS[[#This Row],[Insurance Category Code]]&amp;"; "&amp;Q4561&amp;AS[[#This Row],[Large Provider Entity Code]]&amp;"; "&amp;R4561&amp;AS[[#This Row],[Age Band Code]]&amp;"; "&amp;S4561&amp;AS[[#This Row],[Sex Code]]</f>
        <v xml:space="preserve">Insurer Code ; Reporting Year ; Insurance Category Code ; Large Provider Entity Code ; Age Band Code ; Sex Code </v>
      </c>
      <c r="N4561" s="297" t="s">
        <v>197</v>
      </c>
      <c r="O4561" s="297" t="s">
        <v>198</v>
      </c>
      <c r="P4561" s="297" t="s">
        <v>199</v>
      </c>
      <c r="Q4561" s="297" t="s">
        <v>200</v>
      </c>
      <c r="R4561" s="297" t="s">
        <v>213</v>
      </c>
      <c r="S4561" s="297" t="s">
        <v>214</v>
      </c>
    </row>
    <row r="4562" spans="1:19" x14ac:dyDescent="0.4">
      <c r="A4562" s="291"/>
      <c r="B4562" s="292"/>
      <c r="C4562" s="312"/>
      <c r="D4562" s="292"/>
      <c r="E4562" s="489"/>
      <c r="F4562" s="489"/>
      <c r="G4562" s="490"/>
      <c r="H4562" s="520"/>
      <c r="I4562" s="523"/>
      <c r="J4562" s="521"/>
      <c r="K4562" s="522"/>
      <c r="M4562" s="301" t="str">
        <f>N4562&amp;AS[[#This Row],[Insurer Code]]&amp;"; "&amp;O4562&amp;AS[[#This Row],[Reporting Year]]&amp;"; "&amp;P4562&amp;AS[[#This Row],[Insurance Category Code]]&amp;"; "&amp;Q4562&amp;AS[[#This Row],[Large Provider Entity Code]]&amp;"; "&amp;R4562&amp;AS[[#This Row],[Age Band Code]]&amp;"; "&amp;S4562&amp;AS[[#This Row],[Sex Code]]</f>
        <v xml:space="preserve">Insurer Code ; Reporting Year ; Insurance Category Code ; Large Provider Entity Code ; Age Band Code ; Sex Code </v>
      </c>
      <c r="N4562" s="297" t="s">
        <v>197</v>
      </c>
      <c r="O4562" s="297" t="s">
        <v>198</v>
      </c>
      <c r="P4562" s="297" t="s">
        <v>199</v>
      </c>
      <c r="Q4562" s="297" t="s">
        <v>200</v>
      </c>
      <c r="R4562" s="297" t="s">
        <v>213</v>
      </c>
      <c r="S4562" s="297" t="s">
        <v>214</v>
      </c>
    </row>
    <row r="4563" spans="1:19" x14ac:dyDescent="0.4">
      <c r="A4563" s="291"/>
      <c r="B4563" s="292"/>
      <c r="C4563" s="312"/>
      <c r="D4563" s="292"/>
      <c r="E4563" s="489"/>
      <c r="F4563" s="489"/>
      <c r="G4563" s="490"/>
      <c r="H4563" s="520"/>
      <c r="I4563" s="523"/>
      <c r="J4563" s="521"/>
      <c r="K4563" s="522"/>
      <c r="M4563" s="301" t="str">
        <f>N4563&amp;AS[[#This Row],[Insurer Code]]&amp;"; "&amp;O4563&amp;AS[[#This Row],[Reporting Year]]&amp;"; "&amp;P4563&amp;AS[[#This Row],[Insurance Category Code]]&amp;"; "&amp;Q4563&amp;AS[[#This Row],[Large Provider Entity Code]]&amp;"; "&amp;R4563&amp;AS[[#This Row],[Age Band Code]]&amp;"; "&amp;S4563&amp;AS[[#This Row],[Sex Code]]</f>
        <v xml:space="preserve">Insurer Code ; Reporting Year ; Insurance Category Code ; Large Provider Entity Code ; Age Band Code ; Sex Code </v>
      </c>
      <c r="N4563" s="297" t="s">
        <v>197</v>
      </c>
      <c r="O4563" s="297" t="s">
        <v>198</v>
      </c>
      <c r="P4563" s="297" t="s">
        <v>199</v>
      </c>
      <c r="Q4563" s="297" t="s">
        <v>200</v>
      </c>
      <c r="R4563" s="297" t="s">
        <v>213</v>
      </c>
      <c r="S4563" s="297" t="s">
        <v>214</v>
      </c>
    </row>
    <row r="4564" spans="1:19" x14ac:dyDescent="0.4">
      <c r="A4564" s="291"/>
      <c r="B4564" s="292"/>
      <c r="C4564" s="312"/>
      <c r="D4564" s="292"/>
      <c r="E4564" s="489"/>
      <c r="F4564" s="489"/>
      <c r="G4564" s="490"/>
      <c r="H4564" s="520"/>
      <c r="I4564" s="523"/>
      <c r="J4564" s="521"/>
      <c r="K4564" s="522"/>
      <c r="M4564" s="301" t="str">
        <f>N4564&amp;AS[[#This Row],[Insurer Code]]&amp;"; "&amp;O4564&amp;AS[[#This Row],[Reporting Year]]&amp;"; "&amp;P4564&amp;AS[[#This Row],[Insurance Category Code]]&amp;"; "&amp;Q4564&amp;AS[[#This Row],[Large Provider Entity Code]]&amp;"; "&amp;R4564&amp;AS[[#This Row],[Age Band Code]]&amp;"; "&amp;S4564&amp;AS[[#This Row],[Sex Code]]</f>
        <v xml:space="preserve">Insurer Code ; Reporting Year ; Insurance Category Code ; Large Provider Entity Code ; Age Band Code ; Sex Code </v>
      </c>
      <c r="N4564" s="297" t="s">
        <v>197</v>
      </c>
      <c r="O4564" s="297" t="s">
        <v>198</v>
      </c>
      <c r="P4564" s="297" t="s">
        <v>199</v>
      </c>
      <c r="Q4564" s="297" t="s">
        <v>200</v>
      </c>
      <c r="R4564" s="297" t="s">
        <v>213</v>
      </c>
      <c r="S4564" s="297" t="s">
        <v>214</v>
      </c>
    </row>
    <row r="4565" spans="1:19" x14ac:dyDescent="0.4">
      <c r="A4565" s="291"/>
      <c r="B4565" s="292"/>
      <c r="C4565" s="312"/>
      <c r="D4565" s="292"/>
      <c r="E4565" s="489"/>
      <c r="F4565" s="489"/>
      <c r="G4565" s="490"/>
      <c r="H4565" s="520"/>
      <c r="I4565" s="523"/>
      <c r="J4565" s="521"/>
      <c r="K4565" s="522"/>
      <c r="M4565" s="301" t="str">
        <f>N4565&amp;AS[[#This Row],[Insurer Code]]&amp;"; "&amp;O4565&amp;AS[[#This Row],[Reporting Year]]&amp;"; "&amp;P4565&amp;AS[[#This Row],[Insurance Category Code]]&amp;"; "&amp;Q4565&amp;AS[[#This Row],[Large Provider Entity Code]]&amp;"; "&amp;R4565&amp;AS[[#This Row],[Age Band Code]]&amp;"; "&amp;S4565&amp;AS[[#This Row],[Sex Code]]</f>
        <v xml:space="preserve">Insurer Code ; Reporting Year ; Insurance Category Code ; Large Provider Entity Code ; Age Band Code ; Sex Code </v>
      </c>
      <c r="N4565" s="297" t="s">
        <v>197</v>
      </c>
      <c r="O4565" s="297" t="s">
        <v>198</v>
      </c>
      <c r="P4565" s="297" t="s">
        <v>199</v>
      </c>
      <c r="Q4565" s="297" t="s">
        <v>200</v>
      </c>
      <c r="R4565" s="297" t="s">
        <v>213</v>
      </c>
      <c r="S4565" s="297" t="s">
        <v>214</v>
      </c>
    </row>
    <row r="4566" spans="1:19" x14ac:dyDescent="0.4">
      <c r="A4566" s="291"/>
      <c r="B4566" s="292"/>
      <c r="C4566" s="312"/>
      <c r="D4566" s="292"/>
      <c r="E4566" s="489"/>
      <c r="F4566" s="489"/>
      <c r="G4566" s="490"/>
      <c r="H4566" s="520"/>
      <c r="I4566" s="523"/>
      <c r="J4566" s="521"/>
      <c r="K4566" s="522"/>
      <c r="M4566" s="301" t="str">
        <f>N4566&amp;AS[[#This Row],[Insurer Code]]&amp;"; "&amp;O4566&amp;AS[[#This Row],[Reporting Year]]&amp;"; "&amp;P4566&amp;AS[[#This Row],[Insurance Category Code]]&amp;"; "&amp;Q4566&amp;AS[[#This Row],[Large Provider Entity Code]]&amp;"; "&amp;R4566&amp;AS[[#This Row],[Age Band Code]]&amp;"; "&amp;S4566&amp;AS[[#This Row],[Sex Code]]</f>
        <v xml:space="preserve">Insurer Code ; Reporting Year ; Insurance Category Code ; Large Provider Entity Code ; Age Band Code ; Sex Code </v>
      </c>
      <c r="N4566" s="297" t="s">
        <v>197</v>
      </c>
      <c r="O4566" s="297" t="s">
        <v>198</v>
      </c>
      <c r="P4566" s="297" t="s">
        <v>199</v>
      </c>
      <c r="Q4566" s="297" t="s">
        <v>200</v>
      </c>
      <c r="R4566" s="297" t="s">
        <v>213</v>
      </c>
      <c r="S4566" s="297" t="s">
        <v>214</v>
      </c>
    </row>
    <row r="4567" spans="1:19" x14ac:dyDescent="0.4">
      <c r="A4567" s="291"/>
      <c r="B4567" s="292"/>
      <c r="C4567" s="312"/>
      <c r="D4567" s="292"/>
      <c r="E4567" s="489"/>
      <c r="F4567" s="489"/>
      <c r="G4567" s="490"/>
      <c r="H4567" s="520"/>
      <c r="I4567" s="523"/>
      <c r="J4567" s="521"/>
      <c r="K4567" s="522"/>
      <c r="M4567" s="301" t="str">
        <f>N4567&amp;AS[[#This Row],[Insurer Code]]&amp;"; "&amp;O4567&amp;AS[[#This Row],[Reporting Year]]&amp;"; "&amp;P4567&amp;AS[[#This Row],[Insurance Category Code]]&amp;"; "&amp;Q4567&amp;AS[[#This Row],[Large Provider Entity Code]]&amp;"; "&amp;R4567&amp;AS[[#This Row],[Age Band Code]]&amp;"; "&amp;S4567&amp;AS[[#This Row],[Sex Code]]</f>
        <v xml:space="preserve">Insurer Code ; Reporting Year ; Insurance Category Code ; Large Provider Entity Code ; Age Band Code ; Sex Code </v>
      </c>
      <c r="N4567" s="297" t="s">
        <v>197</v>
      </c>
      <c r="O4567" s="297" t="s">
        <v>198</v>
      </c>
      <c r="P4567" s="297" t="s">
        <v>199</v>
      </c>
      <c r="Q4567" s="297" t="s">
        <v>200</v>
      </c>
      <c r="R4567" s="297" t="s">
        <v>213</v>
      </c>
      <c r="S4567" s="297" t="s">
        <v>214</v>
      </c>
    </row>
    <row r="4568" spans="1:19" x14ac:dyDescent="0.4">
      <c r="A4568" s="291"/>
      <c r="B4568" s="292"/>
      <c r="C4568" s="312"/>
      <c r="D4568" s="292"/>
      <c r="E4568" s="489"/>
      <c r="F4568" s="489"/>
      <c r="G4568" s="490"/>
      <c r="H4568" s="520"/>
      <c r="I4568" s="523"/>
      <c r="J4568" s="521"/>
      <c r="K4568" s="522"/>
      <c r="M4568" s="301" t="str">
        <f>N4568&amp;AS[[#This Row],[Insurer Code]]&amp;"; "&amp;O4568&amp;AS[[#This Row],[Reporting Year]]&amp;"; "&amp;P4568&amp;AS[[#This Row],[Insurance Category Code]]&amp;"; "&amp;Q4568&amp;AS[[#This Row],[Large Provider Entity Code]]&amp;"; "&amp;R4568&amp;AS[[#This Row],[Age Band Code]]&amp;"; "&amp;S4568&amp;AS[[#This Row],[Sex Code]]</f>
        <v xml:space="preserve">Insurer Code ; Reporting Year ; Insurance Category Code ; Large Provider Entity Code ; Age Band Code ; Sex Code </v>
      </c>
      <c r="N4568" s="297" t="s">
        <v>197</v>
      </c>
      <c r="O4568" s="297" t="s">
        <v>198</v>
      </c>
      <c r="P4568" s="297" t="s">
        <v>199</v>
      </c>
      <c r="Q4568" s="297" t="s">
        <v>200</v>
      </c>
      <c r="R4568" s="297" t="s">
        <v>213</v>
      </c>
      <c r="S4568" s="297" t="s">
        <v>214</v>
      </c>
    </row>
    <row r="4569" spans="1:19" x14ac:dyDescent="0.4">
      <c r="A4569" s="291"/>
      <c r="B4569" s="292"/>
      <c r="C4569" s="312"/>
      <c r="D4569" s="292"/>
      <c r="E4569" s="489"/>
      <c r="F4569" s="489"/>
      <c r="G4569" s="490"/>
      <c r="H4569" s="520"/>
      <c r="I4569" s="523"/>
      <c r="J4569" s="521"/>
      <c r="K4569" s="522"/>
      <c r="M4569" s="301" t="str">
        <f>N4569&amp;AS[[#This Row],[Insurer Code]]&amp;"; "&amp;O4569&amp;AS[[#This Row],[Reporting Year]]&amp;"; "&amp;P4569&amp;AS[[#This Row],[Insurance Category Code]]&amp;"; "&amp;Q4569&amp;AS[[#This Row],[Large Provider Entity Code]]&amp;"; "&amp;R4569&amp;AS[[#This Row],[Age Band Code]]&amp;"; "&amp;S4569&amp;AS[[#This Row],[Sex Code]]</f>
        <v xml:space="preserve">Insurer Code ; Reporting Year ; Insurance Category Code ; Large Provider Entity Code ; Age Band Code ; Sex Code </v>
      </c>
      <c r="N4569" s="297" t="s">
        <v>197</v>
      </c>
      <c r="O4569" s="297" t="s">
        <v>198</v>
      </c>
      <c r="P4569" s="297" t="s">
        <v>199</v>
      </c>
      <c r="Q4569" s="297" t="s">
        <v>200</v>
      </c>
      <c r="R4569" s="297" t="s">
        <v>213</v>
      </c>
      <c r="S4569" s="297" t="s">
        <v>214</v>
      </c>
    </row>
    <row r="4570" spans="1:19" x14ac:dyDescent="0.4">
      <c r="A4570" s="291"/>
      <c r="B4570" s="292"/>
      <c r="C4570" s="312"/>
      <c r="D4570" s="292"/>
      <c r="E4570" s="489"/>
      <c r="F4570" s="489"/>
      <c r="G4570" s="490"/>
      <c r="H4570" s="520"/>
      <c r="I4570" s="523"/>
      <c r="J4570" s="521"/>
      <c r="K4570" s="522"/>
      <c r="M4570" s="301" t="str">
        <f>N4570&amp;AS[[#This Row],[Insurer Code]]&amp;"; "&amp;O4570&amp;AS[[#This Row],[Reporting Year]]&amp;"; "&amp;P4570&amp;AS[[#This Row],[Insurance Category Code]]&amp;"; "&amp;Q4570&amp;AS[[#This Row],[Large Provider Entity Code]]&amp;"; "&amp;R4570&amp;AS[[#This Row],[Age Band Code]]&amp;"; "&amp;S4570&amp;AS[[#This Row],[Sex Code]]</f>
        <v xml:space="preserve">Insurer Code ; Reporting Year ; Insurance Category Code ; Large Provider Entity Code ; Age Band Code ; Sex Code </v>
      </c>
      <c r="N4570" s="297" t="s">
        <v>197</v>
      </c>
      <c r="O4570" s="297" t="s">
        <v>198</v>
      </c>
      <c r="P4570" s="297" t="s">
        <v>199</v>
      </c>
      <c r="Q4570" s="297" t="s">
        <v>200</v>
      </c>
      <c r="R4570" s="297" t="s">
        <v>213</v>
      </c>
      <c r="S4570" s="297" t="s">
        <v>214</v>
      </c>
    </row>
    <row r="4571" spans="1:19" x14ac:dyDescent="0.4">
      <c r="A4571" s="291"/>
      <c r="B4571" s="292"/>
      <c r="C4571" s="312"/>
      <c r="D4571" s="292"/>
      <c r="E4571" s="489"/>
      <c r="F4571" s="489"/>
      <c r="G4571" s="490"/>
      <c r="H4571" s="520"/>
      <c r="I4571" s="523"/>
      <c r="J4571" s="521"/>
      <c r="K4571" s="522"/>
      <c r="M4571" s="301" t="str">
        <f>N4571&amp;AS[[#This Row],[Insurer Code]]&amp;"; "&amp;O4571&amp;AS[[#This Row],[Reporting Year]]&amp;"; "&amp;P4571&amp;AS[[#This Row],[Insurance Category Code]]&amp;"; "&amp;Q4571&amp;AS[[#This Row],[Large Provider Entity Code]]&amp;"; "&amp;R4571&amp;AS[[#This Row],[Age Band Code]]&amp;"; "&amp;S4571&amp;AS[[#This Row],[Sex Code]]</f>
        <v xml:space="preserve">Insurer Code ; Reporting Year ; Insurance Category Code ; Large Provider Entity Code ; Age Band Code ; Sex Code </v>
      </c>
      <c r="N4571" s="297" t="s">
        <v>197</v>
      </c>
      <c r="O4571" s="297" t="s">
        <v>198</v>
      </c>
      <c r="P4571" s="297" t="s">
        <v>199</v>
      </c>
      <c r="Q4571" s="297" t="s">
        <v>200</v>
      </c>
      <c r="R4571" s="297" t="s">
        <v>213</v>
      </c>
      <c r="S4571" s="297" t="s">
        <v>214</v>
      </c>
    </row>
    <row r="4572" spans="1:19" x14ac:dyDescent="0.4">
      <c r="A4572" s="291"/>
      <c r="B4572" s="292"/>
      <c r="C4572" s="312"/>
      <c r="D4572" s="292"/>
      <c r="E4572" s="489"/>
      <c r="F4572" s="489"/>
      <c r="G4572" s="490"/>
      <c r="H4572" s="520"/>
      <c r="I4572" s="523"/>
      <c r="J4572" s="521"/>
      <c r="K4572" s="522"/>
      <c r="M4572" s="301" t="str">
        <f>N4572&amp;AS[[#This Row],[Insurer Code]]&amp;"; "&amp;O4572&amp;AS[[#This Row],[Reporting Year]]&amp;"; "&amp;P4572&amp;AS[[#This Row],[Insurance Category Code]]&amp;"; "&amp;Q4572&amp;AS[[#This Row],[Large Provider Entity Code]]&amp;"; "&amp;R4572&amp;AS[[#This Row],[Age Band Code]]&amp;"; "&amp;S4572&amp;AS[[#This Row],[Sex Code]]</f>
        <v xml:space="preserve">Insurer Code ; Reporting Year ; Insurance Category Code ; Large Provider Entity Code ; Age Band Code ; Sex Code </v>
      </c>
      <c r="N4572" s="297" t="s">
        <v>197</v>
      </c>
      <c r="O4572" s="297" t="s">
        <v>198</v>
      </c>
      <c r="P4572" s="297" t="s">
        <v>199</v>
      </c>
      <c r="Q4572" s="297" t="s">
        <v>200</v>
      </c>
      <c r="R4572" s="297" t="s">
        <v>213</v>
      </c>
      <c r="S4572" s="297" t="s">
        <v>214</v>
      </c>
    </row>
    <row r="4573" spans="1:19" x14ac:dyDescent="0.4">
      <c r="A4573" s="291"/>
      <c r="B4573" s="292"/>
      <c r="C4573" s="312"/>
      <c r="D4573" s="292"/>
      <c r="E4573" s="489"/>
      <c r="F4573" s="489"/>
      <c r="G4573" s="490"/>
      <c r="H4573" s="520"/>
      <c r="I4573" s="523"/>
      <c r="J4573" s="521"/>
      <c r="K4573" s="522"/>
      <c r="M4573" s="301" t="str">
        <f>N4573&amp;AS[[#This Row],[Insurer Code]]&amp;"; "&amp;O4573&amp;AS[[#This Row],[Reporting Year]]&amp;"; "&amp;P4573&amp;AS[[#This Row],[Insurance Category Code]]&amp;"; "&amp;Q4573&amp;AS[[#This Row],[Large Provider Entity Code]]&amp;"; "&amp;R4573&amp;AS[[#This Row],[Age Band Code]]&amp;"; "&amp;S4573&amp;AS[[#This Row],[Sex Code]]</f>
        <v xml:space="preserve">Insurer Code ; Reporting Year ; Insurance Category Code ; Large Provider Entity Code ; Age Band Code ; Sex Code </v>
      </c>
      <c r="N4573" s="297" t="s">
        <v>197</v>
      </c>
      <c r="O4573" s="297" t="s">
        <v>198</v>
      </c>
      <c r="P4573" s="297" t="s">
        <v>199</v>
      </c>
      <c r="Q4573" s="297" t="s">
        <v>200</v>
      </c>
      <c r="R4573" s="297" t="s">
        <v>213</v>
      </c>
      <c r="S4573" s="297" t="s">
        <v>214</v>
      </c>
    </row>
    <row r="4574" spans="1:19" x14ac:dyDescent="0.4">
      <c r="A4574" s="291"/>
      <c r="B4574" s="292"/>
      <c r="C4574" s="312"/>
      <c r="D4574" s="292"/>
      <c r="E4574" s="489"/>
      <c r="F4574" s="489"/>
      <c r="G4574" s="490"/>
      <c r="H4574" s="520"/>
      <c r="I4574" s="523"/>
      <c r="J4574" s="521"/>
      <c r="K4574" s="522"/>
      <c r="M4574" s="301" t="str">
        <f>N4574&amp;AS[[#This Row],[Insurer Code]]&amp;"; "&amp;O4574&amp;AS[[#This Row],[Reporting Year]]&amp;"; "&amp;P4574&amp;AS[[#This Row],[Insurance Category Code]]&amp;"; "&amp;Q4574&amp;AS[[#This Row],[Large Provider Entity Code]]&amp;"; "&amp;R4574&amp;AS[[#This Row],[Age Band Code]]&amp;"; "&amp;S4574&amp;AS[[#This Row],[Sex Code]]</f>
        <v xml:space="preserve">Insurer Code ; Reporting Year ; Insurance Category Code ; Large Provider Entity Code ; Age Band Code ; Sex Code </v>
      </c>
      <c r="N4574" s="297" t="s">
        <v>197</v>
      </c>
      <c r="O4574" s="297" t="s">
        <v>198</v>
      </c>
      <c r="P4574" s="297" t="s">
        <v>199</v>
      </c>
      <c r="Q4574" s="297" t="s">
        <v>200</v>
      </c>
      <c r="R4574" s="297" t="s">
        <v>213</v>
      </c>
      <c r="S4574" s="297" t="s">
        <v>214</v>
      </c>
    </row>
    <row r="4575" spans="1:19" x14ac:dyDescent="0.4">
      <c r="A4575" s="291"/>
      <c r="B4575" s="292"/>
      <c r="C4575" s="312"/>
      <c r="D4575" s="292"/>
      <c r="E4575" s="489"/>
      <c r="F4575" s="489"/>
      <c r="G4575" s="490"/>
      <c r="H4575" s="520"/>
      <c r="I4575" s="523"/>
      <c r="J4575" s="521"/>
      <c r="K4575" s="522"/>
      <c r="M4575" s="301" t="str">
        <f>N4575&amp;AS[[#This Row],[Insurer Code]]&amp;"; "&amp;O4575&amp;AS[[#This Row],[Reporting Year]]&amp;"; "&amp;P4575&amp;AS[[#This Row],[Insurance Category Code]]&amp;"; "&amp;Q4575&amp;AS[[#This Row],[Large Provider Entity Code]]&amp;"; "&amp;R4575&amp;AS[[#This Row],[Age Band Code]]&amp;"; "&amp;S4575&amp;AS[[#This Row],[Sex Code]]</f>
        <v xml:space="preserve">Insurer Code ; Reporting Year ; Insurance Category Code ; Large Provider Entity Code ; Age Band Code ; Sex Code </v>
      </c>
      <c r="N4575" s="297" t="s">
        <v>197</v>
      </c>
      <c r="O4575" s="297" t="s">
        <v>198</v>
      </c>
      <c r="P4575" s="297" t="s">
        <v>199</v>
      </c>
      <c r="Q4575" s="297" t="s">
        <v>200</v>
      </c>
      <c r="R4575" s="297" t="s">
        <v>213</v>
      </c>
      <c r="S4575" s="297" t="s">
        <v>214</v>
      </c>
    </row>
    <row r="4576" spans="1:19" x14ac:dyDescent="0.4">
      <c r="A4576" s="291"/>
      <c r="B4576" s="292"/>
      <c r="C4576" s="312"/>
      <c r="D4576" s="292"/>
      <c r="E4576" s="489"/>
      <c r="F4576" s="489"/>
      <c r="G4576" s="490"/>
      <c r="H4576" s="520"/>
      <c r="I4576" s="523"/>
      <c r="J4576" s="521"/>
      <c r="K4576" s="522"/>
      <c r="M4576" s="301" t="str">
        <f>N4576&amp;AS[[#This Row],[Insurer Code]]&amp;"; "&amp;O4576&amp;AS[[#This Row],[Reporting Year]]&amp;"; "&amp;P4576&amp;AS[[#This Row],[Insurance Category Code]]&amp;"; "&amp;Q4576&amp;AS[[#This Row],[Large Provider Entity Code]]&amp;"; "&amp;R4576&amp;AS[[#This Row],[Age Band Code]]&amp;"; "&amp;S4576&amp;AS[[#This Row],[Sex Code]]</f>
        <v xml:space="preserve">Insurer Code ; Reporting Year ; Insurance Category Code ; Large Provider Entity Code ; Age Band Code ; Sex Code </v>
      </c>
      <c r="N4576" s="297" t="s">
        <v>197</v>
      </c>
      <c r="O4576" s="297" t="s">
        <v>198</v>
      </c>
      <c r="P4576" s="297" t="s">
        <v>199</v>
      </c>
      <c r="Q4576" s="297" t="s">
        <v>200</v>
      </c>
      <c r="R4576" s="297" t="s">
        <v>213</v>
      </c>
      <c r="S4576" s="297" t="s">
        <v>214</v>
      </c>
    </row>
    <row r="4577" spans="1:19" x14ac:dyDescent="0.4">
      <c r="A4577" s="291"/>
      <c r="B4577" s="292"/>
      <c r="C4577" s="312"/>
      <c r="D4577" s="292"/>
      <c r="E4577" s="489"/>
      <c r="F4577" s="489"/>
      <c r="G4577" s="490"/>
      <c r="H4577" s="520"/>
      <c r="I4577" s="523"/>
      <c r="J4577" s="521"/>
      <c r="K4577" s="522"/>
      <c r="M4577" s="301" t="str">
        <f>N4577&amp;AS[[#This Row],[Insurer Code]]&amp;"; "&amp;O4577&amp;AS[[#This Row],[Reporting Year]]&amp;"; "&amp;P4577&amp;AS[[#This Row],[Insurance Category Code]]&amp;"; "&amp;Q4577&amp;AS[[#This Row],[Large Provider Entity Code]]&amp;"; "&amp;R4577&amp;AS[[#This Row],[Age Band Code]]&amp;"; "&amp;S4577&amp;AS[[#This Row],[Sex Code]]</f>
        <v xml:space="preserve">Insurer Code ; Reporting Year ; Insurance Category Code ; Large Provider Entity Code ; Age Band Code ; Sex Code </v>
      </c>
      <c r="N4577" s="297" t="s">
        <v>197</v>
      </c>
      <c r="O4577" s="297" t="s">
        <v>198</v>
      </c>
      <c r="P4577" s="297" t="s">
        <v>199</v>
      </c>
      <c r="Q4577" s="297" t="s">
        <v>200</v>
      </c>
      <c r="R4577" s="297" t="s">
        <v>213</v>
      </c>
      <c r="S4577" s="297" t="s">
        <v>214</v>
      </c>
    </row>
    <row r="4578" spans="1:19" x14ac:dyDescent="0.4">
      <c r="A4578" s="291"/>
      <c r="B4578" s="292"/>
      <c r="C4578" s="312"/>
      <c r="D4578" s="292"/>
      <c r="E4578" s="489"/>
      <c r="F4578" s="489"/>
      <c r="G4578" s="490"/>
      <c r="H4578" s="520"/>
      <c r="I4578" s="523"/>
      <c r="J4578" s="521"/>
      <c r="K4578" s="522"/>
      <c r="M4578" s="301" t="str">
        <f>N4578&amp;AS[[#This Row],[Insurer Code]]&amp;"; "&amp;O4578&amp;AS[[#This Row],[Reporting Year]]&amp;"; "&amp;P4578&amp;AS[[#This Row],[Insurance Category Code]]&amp;"; "&amp;Q4578&amp;AS[[#This Row],[Large Provider Entity Code]]&amp;"; "&amp;R4578&amp;AS[[#This Row],[Age Band Code]]&amp;"; "&amp;S4578&amp;AS[[#This Row],[Sex Code]]</f>
        <v xml:space="preserve">Insurer Code ; Reporting Year ; Insurance Category Code ; Large Provider Entity Code ; Age Band Code ; Sex Code </v>
      </c>
      <c r="N4578" s="297" t="s">
        <v>197</v>
      </c>
      <c r="O4578" s="297" t="s">
        <v>198</v>
      </c>
      <c r="P4578" s="297" t="s">
        <v>199</v>
      </c>
      <c r="Q4578" s="297" t="s">
        <v>200</v>
      </c>
      <c r="R4578" s="297" t="s">
        <v>213</v>
      </c>
      <c r="S4578" s="297" t="s">
        <v>214</v>
      </c>
    </row>
    <row r="4579" spans="1:19" x14ac:dyDescent="0.4">
      <c r="A4579" s="291"/>
      <c r="B4579" s="292"/>
      <c r="C4579" s="312"/>
      <c r="D4579" s="292"/>
      <c r="E4579" s="489"/>
      <c r="F4579" s="489"/>
      <c r="G4579" s="490"/>
      <c r="H4579" s="520"/>
      <c r="I4579" s="523"/>
      <c r="J4579" s="521"/>
      <c r="K4579" s="522"/>
      <c r="M4579" s="301" t="str">
        <f>N4579&amp;AS[[#This Row],[Insurer Code]]&amp;"; "&amp;O4579&amp;AS[[#This Row],[Reporting Year]]&amp;"; "&amp;P4579&amp;AS[[#This Row],[Insurance Category Code]]&amp;"; "&amp;Q4579&amp;AS[[#This Row],[Large Provider Entity Code]]&amp;"; "&amp;R4579&amp;AS[[#This Row],[Age Band Code]]&amp;"; "&amp;S4579&amp;AS[[#This Row],[Sex Code]]</f>
        <v xml:space="preserve">Insurer Code ; Reporting Year ; Insurance Category Code ; Large Provider Entity Code ; Age Band Code ; Sex Code </v>
      </c>
      <c r="N4579" s="297" t="s">
        <v>197</v>
      </c>
      <c r="O4579" s="297" t="s">
        <v>198</v>
      </c>
      <c r="P4579" s="297" t="s">
        <v>199</v>
      </c>
      <c r="Q4579" s="297" t="s">
        <v>200</v>
      </c>
      <c r="R4579" s="297" t="s">
        <v>213</v>
      </c>
      <c r="S4579" s="297" t="s">
        <v>214</v>
      </c>
    </row>
    <row r="4580" spans="1:19" x14ac:dyDescent="0.4">
      <c r="A4580" s="291"/>
      <c r="B4580" s="292"/>
      <c r="C4580" s="312"/>
      <c r="D4580" s="292"/>
      <c r="E4580" s="489"/>
      <c r="F4580" s="489"/>
      <c r="G4580" s="490"/>
      <c r="H4580" s="520"/>
      <c r="I4580" s="523"/>
      <c r="J4580" s="521"/>
      <c r="K4580" s="522"/>
      <c r="M4580" s="301" t="str">
        <f>N4580&amp;AS[[#This Row],[Insurer Code]]&amp;"; "&amp;O4580&amp;AS[[#This Row],[Reporting Year]]&amp;"; "&amp;P4580&amp;AS[[#This Row],[Insurance Category Code]]&amp;"; "&amp;Q4580&amp;AS[[#This Row],[Large Provider Entity Code]]&amp;"; "&amp;R4580&amp;AS[[#This Row],[Age Band Code]]&amp;"; "&amp;S4580&amp;AS[[#This Row],[Sex Code]]</f>
        <v xml:space="preserve">Insurer Code ; Reporting Year ; Insurance Category Code ; Large Provider Entity Code ; Age Band Code ; Sex Code </v>
      </c>
      <c r="N4580" s="297" t="s">
        <v>197</v>
      </c>
      <c r="O4580" s="297" t="s">
        <v>198</v>
      </c>
      <c r="P4580" s="297" t="s">
        <v>199</v>
      </c>
      <c r="Q4580" s="297" t="s">
        <v>200</v>
      </c>
      <c r="R4580" s="297" t="s">
        <v>213</v>
      </c>
      <c r="S4580" s="297" t="s">
        <v>214</v>
      </c>
    </row>
    <row r="4581" spans="1:19" x14ac:dyDescent="0.4">
      <c r="A4581" s="291"/>
      <c r="B4581" s="292"/>
      <c r="C4581" s="312"/>
      <c r="D4581" s="292"/>
      <c r="E4581" s="489"/>
      <c r="F4581" s="489"/>
      <c r="G4581" s="490"/>
      <c r="H4581" s="520"/>
      <c r="I4581" s="523"/>
      <c r="J4581" s="521"/>
      <c r="K4581" s="522"/>
      <c r="M4581" s="301" t="str">
        <f>N4581&amp;AS[[#This Row],[Insurer Code]]&amp;"; "&amp;O4581&amp;AS[[#This Row],[Reporting Year]]&amp;"; "&amp;P4581&amp;AS[[#This Row],[Insurance Category Code]]&amp;"; "&amp;Q4581&amp;AS[[#This Row],[Large Provider Entity Code]]&amp;"; "&amp;R4581&amp;AS[[#This Row],[Age Band Code]]&amp;"; "&amp;S4581&amp;AS[[#This Row],[Sex Code]]</f>
        <v xml:space="preserve">Insurer Code ; Reporting Year ; Insurance Category Code ; Large Provider Entity Code ; Age Band Code ; Sex Code </v>
      </c>
      <c r="N4581" s="297" t="s">
        <v>197</v>
      </c>
      <c r="O4581" s="297" t="s">
        <v>198</v>
      </c>
      <c r="P4581" s="297" t="s">
        <v>199</v>
      </c>
      <c r="Q4581" s="297" t="s">
        <v>200</v>
      </c>
      <c r="R4581" s="297" t="s">
        <v>213</v>
      </c>
      <c r="S4581" s="297" t="s">
        <v>214</v>
      </c>
    </row>
    <row r="4582" spans="1:19" x14ac:dyDescent="0.4">
      <c r="A4582" s="291"/>
      <c r="B4582" s="292"/>
      <c r="C4582" s="312"/>
      <c r="D4582" s="292"/>
      <c r="E4582" s="489"/>
      <c r="F4582" s="489"/>
      <c r="G4582" s="490"/>
      <c r="H4582" s="520"/>
      <c r="I4582" s="523"/>
      <c r="J4582" s="521"/>
      <c r="K4582" s="522"/>
      <c r="M4582" s="301" t="str">
        <f>N4582&amp;AS[[#This Row],[Insurer Code]]&amp;"; "&amp;O4582&amp;AS[[#This Row],[Reporting Year]]&amp;"; "&amp;P4582&amp;AS[[#This Row],[Insurance Category Code]]&amp;"; "&amp;Q4582&amp;AS[[#This Row],[Large Provider Entity Code]]&amp;"; "&amp;R4582&amp;AS[[#This Row],[Age Band Code]]&amp;"; "&amp;S4582&amp;AS[[#This Row],[Sex Code]]</f>
        <v xml:space="preserve">Insurer Code ; Reporting Year ; Insurance Category Code ; Large Provider Entity Code ; Age Band Code ; Sex Code </v>
      </c>
      <c r="N4582" s="297" t="s">
        <v>197</v>
      </c>
      <c r="O4582" s="297" t="s">
        <v>198</v>
      </c>
      <c r="P4582" s="297" t="s">
        <v>199</v>
      </c>
      <c r="Q4582" s="297" t="s">
        <v>200</v>
      </c>
      <c r="R4582" s="297" t="s">
        <v>213</v>
      </c>
      <c r="S4582" s="297" t="s">
        <v>214</v>
      </c>
    </row>
    <row r="4583" spans="1:19" x14ac:dyDescent="0.4">
      <c r="A4583" s="291"/>
      <c r="B4583" s="292"/>
      <c r="C4583" s="312"/>
      <c r="D4583" s="292"/>
      <c r="E4583" s="489"/>
      <c r="F4583" s="489"/>
      <c r="G4583" s="490"/>
      <c r="H4583" s="520"/>
      <c r="I4583" s="523"/>
      <c r="J4583" s="521"/>
      <c r="K4583" s="522"/>
      <c r="M4583" s="301" t="str">
        <f>N4583&amp;AS[[#This Row],[Insurer Code]]&amp;"; "&amp;O4583&amp;AS[[#This Row],[Reporting Year]]&amp;"; "&amp;P4583&amp;AS[[#This Row],[Insurance Category Code]]&amp;"; "&amp;Q4583&amp;AS[[#This Row],[Large Provider Entity Code]]&amp;"; "&amp;R4583&amp;AS[[#This Row],[Age Band Code]]&amp;"; "&amp;S4583&amp;AS[[#This Row],[Sex Code]]</f>
        <v xml:space="preserve">Insurer Code ; Reporting Year ; Insurance Category Code ; Large Provider Entity Code ; Age Band Code ; Sex Code </v>
      </c>
      <c r="N4583" s="297" t="s">
        <v>197</v>
      </c>
      <c r="O4583" s="297" t="s">
        <v>198</v>
      </c>
      <c r="P4583" s="297" t="s">
        <v>199</v>
      </c>
      <c r="Q4583" s="297" t="s">
        <v>200</v>
      </c>
      <c r="R4583" s="297" t="s">
        <v>213</v>
      </c>
      <c r="S4583" s="297" t="s">
        <v>214</v>
      </c>
    </row>
    <row r="4584" spans="1:19" x14ac:dyDescent="0.4">
      <c r="A4584" s="291"/>
      <c r="B4584" s="292"/>
      <c r="C4584" s="312"/>
      <c r="D4584" s="292"/>
      <c r="E4584" s="489"/>
      <c r="F4584" s="489"/>
      <c r="G4584" s="490"/>
      <c r="H4584" s="520"/>
      <c r="I4584" s="523"/>
      <c r="J4584" s="521"/>
      <c r="K4584" s="522"/>
      <c r="M4584" s="301" t="str">
        <f>N4584&amp;AS[[#This Row],[Insurer Code]]&amp;"; "&amp;O4584&amp;AS[[#This Row],[Reporting Year]]&amp;"; "&amp;P4584&amp;AS[[#This Row],[Insurance Category Code]]&amp;"; "&amp;Q4584&amp;AS[[#This Row],[Large Provider Entity Code]]&amp;"; "&amp;R4584&amp;AS[[#This Row],[Age Band Code]]&amp;"; "&amp;S4584&amp;AS[[#This Row],[Sex Code]]</f>
        <v xml:space="preserve">Insurer Code ; Reporting Year ; Insurance Category Code ; Large Provider Entity Code ; Age Band Code ; Sex Code </v>
      </c>
      <c r="N4584" s="297" t="s">
        <v>197</v>
      </c>
      <c r="O4584" s="297" t="s">
        <v>198</v>
      </c>
      <c r="P4584" s="297" t="s">
        <v>199</v>
      </c>
      <c r="Q4584" s="297" t="s">
        <v>200</v>
      </c>
      <c r="R4584" s="297" t="s">
        <v>213</v>
      </c>
      <c r="S4584" s="297" t="s">
        <v>214</v>
      </c>
    </row>
    <row r="4585" spans="1:19" x14ac:dyDescent="0.4">
      <c r="A4585" s="291"/>
      <c r="B4585" s="292"/>
      <c r="C4585" s="312"/>
      <c r="D4585" s="292"/>
      <c r="E4585" s="489"/>
      <c r="F4585" s="489"/>
      <c r="G4585" s="490"/>
      <c r="H4585" s="520"/>
      <c r="I4585" s="523"/>
      <c r="J4585" s="521"/>
      <c r="K4585" s="522"/>
      <c r="M4585" s="301" t="str">
        <f>N4585&amp;AS[[#This Row],[Insurer Code]]&amp;"; "&amp;O4585&amp;AS[[#This Row],[Reporting Year]]&amp;"; "&amp;P4585&amp;AS[[#This Row],[Insurance Category Code]]&amp;"; "&amp;Q4585&amp;AS[[#This Row],[Large Provider Entity Code]]&amp;"; "&amp;R4585&amp;AS[[#This Row],[Age Band Code]]&amp;"; "&amp;S4585&amp;AS[[#This Row],[Sex Code]]</f>
        <v xml:space="preserve">Insurer Code ; Reporting Year ; Insurance Category Code ; Large Provider Entity Code ; Age Band Code ; Sex Code </v>
      </c>
      <c r="N4585" s="297" t="s">
        <v>197</v>
      </c>
      <c r="O4585" s="297" t="s">
        <v>198</v>
      </c>
      <c r="P4585" s="297" t="s">
        <v>199</v>
      </c>
      <c r="Q4585" s="297" t="s">
        <v>200</v>
      </c>
      <c r="R4585" s="297" t="s">
        <v>213</v>
      </c>
      <c r="S4585" s="297" t="s">
        <v>214</v>
      </c>
    </row>
    <row r="4586" spans="1:19" x14ac:dyDescent="0.4">
      <c r="A4586" s="291"/>
      <c r="B4586" s="292"/>
      <c r="C4586" s="312"/>
      <c r="D4586" s="292"/>
      <c r="E4586" s="489"/>
      <c r="F4586" s="489"/>
      <c r="G4586" s="490"/>
      <c r="H4586" s="520"/>
      <c r="I4586" s="523"/>
      <c r="J4586" s="521"/>
      <c r="K4586" s="522"/>
      <c r="M4586" s="301" t="str">
        <f>N4586&amp;AS[[#This Row],[Insurer Code]]&amp;"; "&amp;O4586&amp;AS[[#This Row],[Reporting Year]]&amp;"; "&amp;P4586&amp;AS[[#This Row],[Insurance Category Code]]&amp;"; "&amp;Q4586&amp;AS[[#This Row],[Large Provider Entity Code]]&amp;"; "&amp;R4586&amp;AS[[#This Row],[Age Band Code]]&amp;"; "&amp;S4586&amp;AS[[#This Row],[Sex Code]]</f>
        <v xml:space="preserve">Insurer Code ; Reporting Year ; Insurance Category Code ; Large Provider Entity Code ; Age Band Code ; Sex Code </v>
      </c>
      <c r="N4586" s="297" t="s">
        <v>197</v>
      </c>
      <c r="O4586" s="297" t="s">
        <v>198</v>
      </c>
      <c r="P4586" s="297" t="s">
        <v>199</v>
      </c>
      <c r="Q4586" s="297" t="s">
        <v>200</v>
      </c>
      <c r="R4586" s="297" t="s">
        <v>213</v>
      </c>
      <c r="S4586" s="297" t="s">
        <v>214</v>
      </c>
    </row>
    <row r="4587" spans="1:19" x14ac:dyDescent="0.4">
      <c r="A4587" s="291"/>
      <c r="B4587" s="292"/>
      <c r="C4587" s="312"/>
      <c r="D4587" s="292"/>
      <c r="E4587" s="489"/>
      <c r="F4587" s="489"/>
      <c r="G4587" s="490"/>
      <c r="H4587" s="520"/>
      <c r="I4587" s="523"/>
      <c r="J4587" s="521"/>
      <c r="K4587" s="522"/>
      <c r="M4587" s="301" t="str">
        <f>N4587&amp;AS[[#This Row],[Insurer Code]]&amp;"; "&amp;O4587&amp;AS[[#This Row],[Reporting Year]]&amp;"; "&amp;P4587&amp;AS[[#This Row],[Insurance Category Code]]&amp;"; "&amp;Q4587&amp;AS[[#This Row],[Large Provider Entity Code]]&amp;"; "&amp;R4587&amp;AS[[#This Row],[Age Band Code]]&amp;"; "&amp;S4587&amp;AS[[#This Row],[Sex Code]]</f>
        <v xml:space="preserve">Insurer Code ; Reporting Year ; Insurance Category Code ; Large Provider Entity Code ; Age Band Code ; Sex Code </v>
      </c>
      <c r="N4587" s="297" t="s">
        <v>197</v>
      </c>
      <c r="O4587" s="297" t="s">
        <v>198</v>
      </c>
      <c r="P4587" s="297" t="s">
        <v>199</v>
      </c>
      <c r="Q4587" s="297" t="s">
        <v>200</v>
      </c>
      <c r="R4587" s="297" t="s">
        <v>213</v>
      </c>
      <c r="S4587" s="297" t="s">
        <v>214</v>
      </c>
    </row>
    <row r="4588" spans="1:19" x14ac:dyDescent="0.4">
      <c r="A4588" s="291"/>
      <c r="B4588" s="292"/>
      <c r="C4588" s="312"/>
      <c r="D4588" s="292"/>
      <c r="E4588" s="489"/>
      <c r="F4588" s="489"/>
      <c r="G4588" s="490"/>
      <c r="H4588" s="520"/>
      <c r="I4588" s="523"/>
      <c r="J4588" s="521"/>
      <c r="K4588" s="522"/>
      <c r="M4588" s="301" t="str">
        <f>N4588&amp;AS[[#This Row],[Insurer Code]]&amp;"; "&amp;O4588&amp;AS[[#This Row],[Reporting Year]]&amp;"; "&amp;P4588&amp;AS[[#This Row],[Insurance Category Code]]&amp;"; "&amp;Q4588&amp;AS[[#This Row],[Large Provider Entity Code]]&amp;"; "&amp;R4588&amp;AS[[#This Row],[Age Band Code]]&amp;"; "&amp;S4588&amp;AS[[#This Row],[Sex Code]]</f>
        <v xml:space="preserve">Insurer Code ; Reporting Year ; Insurance Category Code ; Large Provider Entity Code ; Age Band Code ; Sex Code </v>
      </c>
      <c r="N4588" s="297" t="s">
        <v>197</v>
      </c>
      <c r="O4588" s="297" t="s">
        <v>198</v>
      </c>
      <c r="P4588" s="297" t="s">
        <v>199</v>
      </c>
      <c r="Q4588" s="297" t="s">
        <v>200</v>
      </c>
      <c r="R4588" s="297" t="s">
        <v>213</v>
      </c>
      <c r="S4588" s="297" t="s">
        <v>214</v>
      </c>
    </row>
    <row r="4589" spans="1:19" x14ac:dyDescent="0.4">
      <c r="A4589" s="291"/>
      <c r="B4589" s="292"/>
      <c r="C4589" s="312"/>
      <c r="D4589" s="292"/>
      <c r="E4589" s="489"/>
      <c r="F4589" s="489"/>
      <c r="G4589" s="490"/>
      <c r="H4589" s="520"/>
      <c r="I4589" s="523"/>
      <c r="J4589" s="521"/>
      <c r="K4589" s="522"/>
      <c r="M4589" s="301" t="str">
        <f>N4589&amp;AS[[#This Row],[Insurer Code]]&amp;"; "&amp;O4589&amp;AS[[#This Row],[Reporting Year]]&amp;"; "&amp;P4589&amp;AS[[#This Row],[Insurance Category Code]]&amp;"; "&amp;Q4589&amp;AS[[#This Row],[Large Provider Entity Code]]&amp;"; "&amp;R4589&amp;AS[[#This Row],[Age Band Code]]&amp;"; "&amp;S4589&amp;AS[[#This Row],[Sex Code]]</f>
        <v xml:space="preserve">Insurer Code ; Reporting Year ; Insurance Category Code ; Large Provider Entity Code ; Age Band Code ; Sex Code </v>
      </c>
      <c r="N4589" s="297" t="s">
        <v>197</v>
      </c>
      <c r="O4589" s="297" t="s">
        <v>198</v>
      </c>
      <c r="P4589" s="297" t="s">
        <v>199</v>
      </c>
      <c r="Q4589" s="297" t="s">
        <v>200</v>
      </c>
      <c r="R4589" s="297" t="s">
        <v>213</v>
      </c>
      <c r="S4589" s="297" t="s">
        <v>214</v>
      </c>
    </row>
    <row r="4590" spans="1:19" x14ac:dyDescent="0.4">
      <c r="A4590" s="291"/>
      <c r="B4590" s="292"/>
      <c r="C4590" s="312"/>
      <c r="D4590" s="292"/>
      <c r="E4590" s="489"/>
      <c r="F4590" s="489"/>
      <c r="G4590" s="490"/>
      <c r="H4590" s="520"/>
      <c r="I4590" s="523"/>
      <c r="J4590" s="521"/>
      <c r="K4590" s="522"/>
      <c r="M4590" s="301" t="str">
        <f>N4590&amp;AS[[#This Row],[Insurer Code]]&amp;"; "&amp;O4590&amp;AS[[#This Row],[Reporting Year]]&amp;"; "&amp;P4590&amp;AS[[#This Row],[Insurance Category Code]]&amp;"; "&amp;Q4590&amp;AS[[#This Row],[Large Provider Entity Code]]&amp;"; "&amp;R4590&amp;AS[[#This Row],[Age Band Code]]&amp;"; "&amp;S4590&amp;AS[[#This Row],[Sex Code]]</f>
        <v xml:space="preserve">Insurer Code ; Reporting Year ; Insurance Category Code ; Large Provider Entity Code ; Age Band Code ; Sex Code </v>
      </c>
      <c r="N4590" s="297" t="s">
        <v>197</v>
      </c>
      <c r="O4590" s="297" t="s">
        <v>198</v>
      </c>
      <c r="P4590" s="297" t="s">
        <v>199</v>
      </c>
      <c r="Q4590" s="297" t="s">
        <v>200</v>
      </c>
      <c r="R4590" s="297" t="s">
        <v>213</v>
      </c>
      <c r="S4590" s="297" t="s">
        <v>214</v>
      </c>
    </row>
    <row r="4591" spans="1:19" x14ac:dyDescent="0.4">
      <c r="A4591" s="291"/>
      <c r="B4591" s="292"/>
      <c r="C4591" s="312"/>
      <c r="D4591" s="292"/>
      <c r="E4591" s="489"/>
      <c r="F4591" s="489"/>
      <c r="G4591" s="490"/>
      <c r="H4591" s="520"/>
      <c r="I4591" s="523"/>
      <c r="J4591" s="521"/>
      <c r="K4591" s="522"/>
      <c r="M4591" s="301" t="str">
        <f>N4591&amp;AS[[#This Row],[Insurer Code]]&amp;"; "&amp;O4591&amp;AS[[#This Row],[Reporting Year]]&amp;"; "&amp;P4591&amp;AS[[#This Row],[Insurance Category Code]]&amp;"; "&amp;Q4591&amp;AS[[#This Row],[Large Provider Entity Code]]&amp;"; "&amp;R4591&amp;AS[[#This Row],[Age Band Code]]&amp;"; "&amp;S4591&amp;AS[[#This Row],[Sex Code]]</f>
        <v xml:space="preserve">Insurer Code ; Reporting Year ; Insurance Category Code ; Large Provider Entity Code ; Age Band Code ; Sex Code </v>
      </c>
      <c r="N4591" s="297" t="s">
        <v>197</v>
      </c>
      <c r="O4591" s="297" t="s">
        <v>198</v>
      </c>
      <c r="P4591" s="297" t="s">
        <v>199</v>
      </c>
      <c r="Q4591" s="297" t="s">
        <v>200</v>
      </c>
      <c r="R4591" s="297" t="s">
        <v>213</v>
      </c>
      <c r="S4591" s="297" t="s">
        <v>214</v>
      </c>
    </row>
    <row r="4592" spans="1:19" x14ac:dyDescent="0.4">
      <c r="A4592" s="291"/>
      <c r="B4592" s="292"/>
      <c r="C4592" s="312"/>
      <c r="D4592" s="292"/>
      <c r="E4592" s="489"/>
      <c r="F4592" s="489"/>
      <c r="G4592" s="490"/>
      <c r="H4592" s="520"/>
      <c r="I4592" s="523"/>
      <c r="J4592" s="521"/>
      <c r="K4592" s="522"/>
      <c r="M4592" s="301" t="str">
        <f>N4592&amp;AS[[#This Row],[Insurer Code]]&amp;"; "&amp;O4592&amp;AS[[#This Row],[Reporting Year]]&amp;"; "&amp;P4592&amp;AS[[#This Row],[Insurance Category Code]]&amp;"; "&amp;Q4592&amp;AS[[#This Row],[Large Provider Entity Code]]&amp;"; "&amp;R4592&amp;AS[[#This Row],[Age Band Code]]&amp;"; "&amp;S4592&amp;AS[[#This Row],[Sex Code]]</f>
        <v xml:space="preserve">Insurer Code ; Reporting Year ; Insurance Category Code ; Large Provider Entity Code ; Age Band Code ; Sex Code </v>
      </c>
      <c r="N4592" s="297" t="s">
        <v>197</v>
      </c>
      <c r="O4592" s="297" t="s">
        <v>198</v>
      </c>
      <c r="P4592" s="297" t="s">
        <v>199</v>
      </c>
      <c r="Q4592" s="297" t="s">
        <v>200</v>
      </c>
      <c r="R4592" s="297" t="s">
        <v>213</v>
      </c>
      <c r="S4592" s="297" t="s">
        <v>214</v>
      </c>
    </row>
    <row r="4593" spans="1:19" x14ac:dyDescent="0.4">
      <c r="A4593" s="291"/>
      <c r="B4593" s="292"/>
      <c r="C4593" s="312"/>
      <c r="D4593" s="292"/>
      <c r="E4593" s="489"/>
      <c r="F4593" s="489"/>
      <c r="G4593" s="490"/>
      <c r="H4593" s="520"/>
      <c r="I4593" s="523"/>
      <c r="J4593" s="521"/>
      <c r="K4593" s="522"/>
      <c r="M4593" s="301" t="str">
        <f>N4593&amp;AS[[#This Row],[Insurer Code]]&amp;"; "&amp;O4593&amp;AS[[#This Row],[Reporting Year]]&amp;"; "&amp;P4593&amp;AS[[#This Row],[Insurance Category Code]]&amp;"; "&amp;Q4593&amp;AS[[#This Row],[Large Provider Entity Code]]&amp;"; "&amp;R4593&amp;AS[[#This Row],[Age Band Code]]&amp;"; "&amp;S4593&amp;AS[[#This Row],[Sex Code]]</f>
        <v xml:space="preserve">Insurer Code ; Reporting Year ; Insurance Category Code ; Large Provider Entity Code ; Age Band Code ; Sex Code </v>
      </c>
      <c r="N4593" s="297" t="s">
        <v>197</v>
      </c>
      <c r="O4593" s="297" t="s">
        <v>198</v>
      </c>
      <c r="P4593" s="297" t="s">
        <v>199</v>
      </c>
      <c r="Q4593" s="297" t="s">
        <v>200</v>
      </c>
      <c r="R4593" s="297" t="s">
        <v>213</v>
      </c>
      <c r="S4593" s="297" t="s">
        <v>214</v>
      </c>
    </row>
    <row r="4594" spans="1:19" x14ac:dyDescent="0.4">
      <c r="A4594" s="291"/>
      <c r="B4594" s="292"/>
      <c r="C4594" s="312"/>
      <c r="D4594" s="292"/>
      <c r="E4594" s="489"/>
      <c r="F4594" s="489"/>
      <c r="G4594" s="490"/>
      <c r="H4594" s="520"/>
      <c r="I4594" s="523"/>
      <c r="J4594" s="521"/>
      <c r="K4594" s="522"/>
      <c r="M4594" s="301" t="str">
        <f>N4594&amp;AS[[#This Row],[Insurer Code]]&amp;"; "&amp;O4594&amp;AS[[#This Row],[Reporting Year]]&amp;"; "&amp;P4594&amp;AS[[#This Row],[Insurance Category Code]]&amp;"; "&amp;Q4594&amp;AS[[#This Row],[Large Provider Entity Code]]&amp;"; "&amp;R4594&amp;AS[[#This Row],[Age Band Code]]&amp;"; "&amp;S4594&amp;AS[[#This Row],[Sex Code]]</f>
        <v xml:space="preserve">Insurer Code ; Reporting Year ; Insurance Category Code ; Large Provider Entity Code ; Age Band Code ; Sex Code </v>
      </c>
      <c r="N4594" s="297" t="s">
        <v>197</v>
      </c>
      <c r="O4594" s="297" t="s">
        <v>198</v>
      </c>
      <c r="P4594" s="297" t="s">
        <v>199</v>
      </c>
      <c r="Q4594" s="297" t="s">
        <v>200</v>
      </c>
      <c r="R4594" s="297" t="s">
        <v>213</v>
      </c>
      <c r="S4594" s="297" t="s">
        <v>214</v>
      </c>
    </row>
    <row r="4595" spans="1:19" x14ac:dyDescent="0.4">
      <c r="A4595" s="291"/>
      <c r="B4595" s="292"/>
      <c r="C4595" s="312"/>
      <c r="D4595" s="292"/>
      <c r="E4595" s="489"/>
      <c r="F4595" s="489"/>
      <c r="G4595" s="490"/>
      <c r="H4595" s="520"/>
      <c r="I4595" s="523"/>
      <c r="J4595" s="521"/>
      <c r="K4595" s="522"/>
      <c r="M4595" s="301" t="str">
        <f>N4595&amp;AS[[#This Row],[Insurer Code]]&amp;"; "&amp;O4595&amp;AS[[#This Row],[Reporting Year]]&amp;"; "&amp;P4595&amp;AS[[#This Row],[Insurance Category Code]]&amp;"; "&amp;Q4595&amp;AS[[#This Row],[Large Provider Entity Code]]&amp;"; "&amp;R4595&amp;AS[[#This Row],[Age Band Code]]&amp;"; "&amp;S4595&amp;AS[[#This Row],[Sex Code]]</f>
        <v xml:space="preserve">Insurer Code ; Reporting Year ; Insurance Category Code ; Large Provider Entity Code ; Age Band Code ; Sex Code </v>
      </c>
      <c r="N4595" s="297" t="s">
        <v>197</v>
      </c>
      <c r="O4595" s="297" t="s">
        <v>198</v>
      </c>
      <c r="P4595" s="297" t="s">
        <v>199</v>
      </c>
      <c r="Q4595" s="297" t="s">
        <v>200</v>
      </c>
      <c r="R4595" s="297" t="s">
        <v>213</v>
      </c>
      <c r="S4595" s="297" t="s">
        <v>214</v>
      </c>
    </row>
    <row r="4596" spans="1:19" x14ac:dyDescent="0.4">
      <c r="A4596" s="291"/>
      <c r="B4596" s="292"/>
      <c r="C4596" s="312"/>
      <c r="D4596" s="292"/>
      <c r="E4596" s="489"/>
      <c r="F4596" s="489"/>
      <c r="G4596" s="490"/>
      <c r="H4596" s="520"/>
      <c r="I4596" s="523"/>
      <c r="J4596" s="521"/>
      <c r="K4596" s="522"/>
      <c r="M4596" s="301" t="str">
        <f>N4596&amp;AS[[#This Row],[Insurer Code]]&amp;"; "&amp;O4596&amp;AS[[#This Row],[Reporting Year]]&amp;"; "&amp;P4596&amp;AS[[#This Row],[Insurance Category Code]]&amp;"; "&amp;Q4596&amp;AS[[#This Row],[Large Provider Entity Code]]&amp;"; "&amp;R4596&amp;AS[[#This Row],[Age Band Code]]&amp;"; "&amp;S4596&amp;AS[[#This Row],[Sex Code]]</f>
        <v xml:space="preserve">Insurer Code ; Reporting Year ; Insurance Category Code ; Large Provider Entity Code ; Age Band Code ; Sex Code </v>
      </c>
      <c r="N4596" s="297" t="s">
        <v>197</v>
      </c>
      <c r="O4596" s="297" t="s">
        <v>198</v>
      </c>
      <c r="P4596" s="297" t="s">
        <v>199</v>
      </c>
      <c r="Q4596" s="297" t="s">
        <v>200</v>
      </c>
      <c r="R4596" s="297" t="s">
        <v>213</v>
      </c>
      <c r="S4596" s="297" t="s">
        <v>214</v>
      </c>
    </row>
    <row r="4597" spans="1:19" x14ac:dyDescent="0.4">
      <c r="A4597" s="291"/>
      <c r="B4597" s="292"/>
      <c r="C4597" s="312"/>
      <c r="D4597" s="292"/>
      <c r="E4597" s="489"/>
      <c r="F4597" s="489"/>
      <c r="G4597" s="490"/>
      <c r="H4597" s="520"/>
      <c r="I4597" s="523"/>
      <c r="J4597" s="521"/>
      <c r="K4597" s="522"/>
      <c r="M4597" s="301" t="str">
        <f>N4597&amp;AS[[#This Row],[Insurer Code]]&amp;"; "&amp;O4597&amp;AS[[#This Row],[Reporting Year]]&amp;"; "&amp;P4597&amp;AS[[#This Row],[Insurance Category Code]]&amp;"; "&amp;Q4597&amp;AS[[#This Row],[Large Provider Entity Code]]&amp;"; "&amp;R4597&amp;AS[[#This Row],[Age Band Code]]&amp;"; "&amp;S4597&amp;AS[[#This Row],[Sex Code]]</f>
        <v xml:space="preserve">Insurer Code ; Reporting Year ; Insurance Category Code ; Large Provider Entity Code ; Age Band Code ; Sex Code </v>
      </c>
      <c r="N4597" s="297" t="s">
        <v>197</v>
      </c>
      <c r="O4597" s="297" t="s">
        <v>198</v>
      </c>
      <c r="P4597" s="297" t="s">
        <v>199</v>
      </c>
      <c r="Q4597" s="297" t="s">
        <v>200</v>
      </c>
      <c r="R4597" s="297" t="s">
        <v>213</v>
      </c>
      <c r="S4597" s="297" t="s">
        <v>214</v>
      </c>
    </row>
    <row r="4598" spans="1:19" x14ac:dyDescent="0.4">
      <c r="A4598" s="291"/>
      <c r="B4598" s="292"/>
      <c r="C4598" s="312"/>
      <c r="D4598" s="292"/>
      <c r="E4598" s="489"/>
      <c r="F4598" s="489"/>
      <c r="G4598" s="490"/>
      <c r="H4598" s="520"/>
      <c r="I4598" s="523"/>
      <c r="J4598" s="521"/>
      <c r="K4598" s="522"/>
      <c r="M4598" s="301" t="str">
        <f>N4598&amp;AS[[#This Row],[Insurer Code]]&amp;"; "&amp;O4598&amp;AS[[#This Row],[Reporting Year]]&amp;"; "&amp;P4598&amp;AS[[#This Row],[Insurance Category Code]]&amp;"; "&amp;Q4598&amp;AS[[#This Row],[Large Provider Entity Code]]&amp;"; "&amp;R4598&amp;AS[[#This Row],[Age Band Code]]&amp;"; "&amp;S4598&amp;AS[[#This Row],[Sex Code]]</f>
        <v xml:space="preserve">Insurer Code ; Reporting Year ; Insurance Category Code ; Large Provider Entity Code ; Age Band Code ; Sex Code </v>
      </c>
      <c r="N4598" s="297" t="s">
        <v>197</v>
      </c>
      <c r="O4598" s="297" t="s">
        <v>198</v>
      </c>
      <c r="P4598" s="297" t="s">
        <v>199</v>
      </c>
      <c r="Q4598" s="297" t="s">
        <v>200</v>
      </c>
      <c r="R4598" s="297" t="s">
        <v>213</v>
      </c>
      <c r="S4598" s="297" t="s">
        <v>214</v>
      </c>
    </row>
    <row r="4599" spans="1:19" x14ac:dyDescent="0.4">
      <c r="A4599" s="291"/>
      <c r="B4599" s="292"/>
      <c r="C4599" s="312"/>
      <c r="D4599" s="292"/>
      <c r="E4599" s="489"/>
      <c r="F4599" s="489"/>
      <c r="G4599" s="490"/>
      <c r="H4599" s="520"/>
      <c r="I4599" s="523"/>
      <c r="J4599" s="521"/>
      <c r="K4599" s="522"/>
      <c r="M4599" s="301" t="str">
        <f>N4599&amp;AS[[#This Row],[Insurer Code]]&amp;"; "&amp;O4599&amp;AS[[#This Row],[Reporting Year]]&amp;"; "&amp;P4599&amp;AS[[#This Row],[Insurance Category Code]]&amp;"; "&amp;Q4599&amp;AS[[#This Row],[Large Provider Entity Code]]&amp;"; "&amp;R4599&amp;AS[[#This Row],[Age Band Code]]&amp;"; "&amp;S4599&amp;AS[[#This Row],[Sex Code]]</f>
        <v xml:space="preserve">Insurer Code ; Reporting Year ; Insurance Category Code ; Large Provider Entity Code ; Age Band Code ; Sex Code </v>
      </c>
      <c r="N4599" s="297" t="s">
        <v>197</v>
      </c>
      <c r="O4599" s="297" t="s">
        <v>198</v>
      </c>
      <c r="P4599" s="297" t="s">
        <v>199</v>
      </c>
      <c r="Q4599" s="297" t="s">
        <v>200</v>
      </c>
      <c r="R4599" s="297" t="s">
        <v>213</v>
      </c>
      <c r="S4599" s="297" t="s">
        <v>214</v>
      </c>
    </row>
    <row r="4600" spans="1:19" x14ac:dyDescent="0.4">
      <c r="A4600" s="291"/>
      <c r="B4600" s="292"/>
      <c r="C4600" s="312"/>
      <c r="D4600" s="292"/>
      <c r="E4600" s="489"/>
      <c r="F4600" s="489"/>
      <c r="G4600" s="490"/>
      <c r="H4600" s="520"/>
      <c r="I4600" s="523"/>
      <c r="J4600" s="521"/>
      <c r="K4600" s="522"/>
      <c r="M4600" s="301" t="str">
        <f>N4600&amp;AS[[#This Row],[Insurer Code]]&amp;"; "&amp;O4600&amp;AS[[#This Row],[Reporting Year]]&amp;"; "&amp;P4600&amp;AS[[#This Row],[Insurance Category Code]]&amp;"; "&amp;Q4600&amp;AS[[#This Row],[Large Provider Entity Code]]&amp;"; "&amp;R4600&amp;AS[[#This Row],[Age Band Code]]&amp;"; "&amp;S4600&amp;AS[[#This Row],[Sex Code]]</f>
        <v xml:space="preserve">Insurer Code ; Reporting Year ; Insurance Category Code ; Large Provider Entity Code ; Age Band Code ; Sex Code </v>
      </c>
      <c r="N4600" s="297" t="s">
        <v>197</v>
      </c>
      <c r="O4600" s="297" t="s">
        <v>198</v>
      </c>
      <c r="P4600" s="297" t="s">
        <v>199</v>
      </c>
      <c r="Q4600" s="297" t="s">
        <v>200</v>
      </c>
      <c r="R4600" s="297" t="s">
        <v>213</v>
      </c>
      <c r="S4600" s="297" t="s">
        <v>214</v>
      </c>
    </row>
    <row r="4601" spans="1:19" x14ac:dyDescent="0.4">
      <c r="A4601" s="291"/>
      <c r="B4601" s="292"/>
      <c r="C4601" s="312"/>
      <c r="D4601" s="292"/>
      <c r="E4601" s="489"/>
      <c r="F4601" s="489"/>
      <c r="G4601" s="490"/>
      <c r="H4601" s="520"/>
      <c r="I4601" s="523"/>
      <c r="J4601" s="521"/>
      <c r="K4601" s="522"/>
      <c r="M4601" s="301" t="str">
        <f>N4601&amp;AS[[#This Row],[Insurer Code]]&amp;"; "&amp;O4601&amp;AS[[#This Row],[Reporting Year]]&amp;"; "&amp;P4601&amp;AS[[#This Row],[Insurance Category Code]]&amp;"; "&amp;Q4601&amp;AS[[#This Row],[Large Provider Entity Code]]&amp;"; "&amp;R4601&amp;AS[[#This Row],[Age Band Code]]&amp;"; "&amp;S4601&amp;AS[[#This Row],[Sex Code]]</f>
        <v xml:space="preserve">Insurer Code ; Reporting Year ; Insurance Category Code ; Large Provider Entity Code ; Age Band Code ; Sex Code </v>
      </c>
      <c r="N4601" s="297" t="s">
        <v>197</v>
      </c>
      <c r="O4601" s="297" t="s">
        <v>198</v>
      </c>
      <c r="P4601" s="297" t="s">
        <v>199</v>
      </c>
      <c r="Q4601" s="297" t="s">
        <v>200</v>
      </c>
      <c r="R4601" s="297" t="s">
        <v>213</v>
      </c>
      <c r="S4601" s="297" t="s">
        <v>214</v>
      </c>
    </row>
    <row r="4602" spans="1:19" x14ac:dyDescent="0.4">
      <c r="A4602" s="291"/>
      <c r="B4602" s="292"/>
      <c r="C4602" s="312"/>
      <c r="D4602" s="292"/>
      <c r="E4602" s="489"/>
      <c r="F4602" s="489"/>
      <c r="G4602" s="490"/>
      <c r="H4602" s="520"/>
      <c r="I4602" s="523"/>
      <c r="J4602" s="521"/>
      <c r="K4602" s="522"/>
      <c r="M4602" s="301" t="str">
        <f>N4602&amp;AS[[#This Row],[Insurer Code]]&amp;"; "&amp;O4602&amp;AS[[#This Row],[Reporting Year]]&amp;"; "&amp;P4602&amp;AS[[#This Row],[Insurance Category Code]]&amp;"; "&amp;Q4602&amp;AS[[#This Row],[Large Provider Entity Code]]&amp;"; "&amp;R4602&amp;AS[[#This Row],[Age Band Code]]&amp;"; "&amp;S4602&amp;AS[[#This Row],[Sex Code]]</f>
        <v xml:space="preserve">Insurer Code ; Reporting Year ; Insurance Category Code ; Large Provider Entity Code ; Age Band Code ; Sex Code </v>
      </c>
      <c r="N4602" s="297" t="s">
        <v>197</v>
      </c>
      <c r="O4602" s="297" t="s">
        <v>198</v>
      </c>
      <c r="P4602" s="297" t="s">
        <v>199</v>
      </c>
      <c r="Q4602" s="297" t="s">
        <v>200</v>
      </c>
      <c r="R4602" s="297" t="s">
        <v>213</v>
      </c>
      <c r="S4602" s="297" t="s">
        <v>214</v>
      </c>
    </row>
    <row r="4603" spans="1:19" x14ac:dyDescent="0.4">
      <c r="A4603" s="291"/>
      <c r="B4603" s="292"/>
      <c r="C4603" s="312"/>
      <c r="D4603" s="292"/>
      <c r="E4603" s="489"/>
      <c r="F4603" s="489"/>
      <c r="G4603" s="490"/>
      <c r="H4603" s="520"/>
      <c r="I4603" s="523"/>
      <c r="J4603" s="521"/>
      <c r="K4603" s="522"/>
      <c r="M4603" s="301" t="str">
        <f>N4603&amp;AS[[#This Row],[Insurer Code]]&amp;"; "&amp;O4603&amp;AS[[#This Row],[Reporting Year]]&amp;"; "&amp;P4603&amp;AS[[#This Row],[Insurance Category Code]]&amp;"; "&amp;Q4603&amp;AS[[#This Row],[Large Provider Entity Code]]&amp;"; "&amp;R4603&amp;AS[[#This Row],[Age Band Code]]&amp;"; "&amp;S4603&amp;AS[[#This Row],[Sex Code]]</f>
        <v xml:space="preserve">Insurer Code ; Reporting Year ; Insurance Category Code ; Large Provider Entity Code ; Age Band Code ; Sex Code </v>
      </c>
      <c r="N4603" s="297" t="s">
        <v>197</v>
      </c>
      <c r="O4603" s="297" t="s">
        <v>198</v>
      </c>
      <c r="P4603" s="297" t="s">
        <v>199</v>
      </c>
      <c r="Q4603" s="297" t="s">
        <v>200</v>
      </c>
      <c r="R4603" s="297" t="s">
        <v>213</v>
      </c>
      <c r="S4603" s="297" t="s">
        <v>214</v>
      </c>
    </row>
    <row r="4604" spans="1:19" x14ac:dyDescent="0.4">
      <c r="A4604" s="291"/>
      <c r="B4604" s="292"/>
      <c r="C4604" s="312"/>
      <c r="D4604" s="292"/>
      <c r="E4604" s="489"/>
      <c r="F4604" s="489"/>
      <c r="G4604" s="490"/>
      <c r="H4604" s="520"/>
      <c r="I4604" s="523"/>
      <c r="J4604" s="521"/>
      <c r="K4604" s="522"/>
      <c r="M4604" s="301" t="str">
        <f>N4604&amp;AS[[#This Row],[Insurer Code]]&amp;"; "&amp;O4604&amp;AS[[#This Row],[Reporting Year]]&amp;"; "&amp;P4604&amp;AS[[#This Row],[Insurance Category Code]]&amp;"; "&amp;Q4604&amp;AS[[#This Row],[Large Provider Entity Code]]&amp;"; "&amp;R4604&amp;AS[[#This Row],[Age Band Code]]&amp;"; "&amp;S4604&amp;AS[[#This Row],[Sex Code]]</f>
        <v xml:space="preserve">Insurer Code ; Reporting Year ; Insurance Category Code ; Large Provider Entity Code ; Age Band Code ; Sex Code </v>
      </c>
      <c r="N4604" s="297" t="s">
        <v>197</v>
      </c>
      <c r="O4604" s="297" t="s">
        <v>198</v>
      </c>
      <c r="P4604" s="297" t="s">
        <v>199</v>
      </c>
      <c r="Q4604" s="297" t="s">
        <v>200</v>
      </c>
      <c r="R4604" s="297" t="s">
        <v>213</v>
      </c>
      <c r="S4604" s="297" t="s">
        <v>214</v>
      </c>
    </row>
    <row r="4605" spans="1:19" x14ac:dyDescent="0.4">
      <c r="A4605" s="291"/>
      <c r="B4605" s="292"/>
      <c r="C4605" s="312"/>
      <c r="D4605" s="292"/>
      <c r="E4605" s="489"/>
      <c r="F4605" s="489"/>
      <c r="G4605" s="490"/>
      <c r="H4605" s="520"/>
      <c r="I4605" s="523"/>
      <c r="J4605" s="521"/>
      <c r="K4605" s="522"/>
      <c r="M4605" s="301" t="str">
        <f>N4605&amp;AS[[#This Row],[Insurer Code]]&amp;"; "&amp;O4605&amp;AS[[#This Row],[Reporting Year]]&amp;"; "&amp;P4605&amp;AS[[#This Row],[Insurance Category Code]]&amp;"; "&amp;Q4605&amp;AS[[#This Row],[Large Provider Entity Code]]&amp;"; "&amp;R4605&amp;AS[[#This Row],[Age Band Code]]&amp;"; "&amp;S4605&amp;AS[[#This Row],[Sex Code]]</f>
        <v xml:space="preserve">Insurer Code ; Reporting Year ; Insurance Category Code ; Large Provider Entity Code ; Age Band Code ; Sex Code </v>
      </c>
      <c r="N4605" s="297" t="s">
        <v>197</v>
      </c>
      <c r="O4605" s="297" t="s">
        <v>198</v>
      </c>
      <c r="P4605" s="297" t="s">
        <v>199</v>
      </c>
      <c r="Q4605" s="297" t="s">
        <v>200</v>
      </c>
      <c r="R4605" s="297" t="s">
        <v>213</v>
      </c>
      <c r="S4605" s="297" t="s">
        <v>214</v>
      </c>
    </row>
    <row r="4606" spans="1:19" x14ac:dyDescent="0.4">
      <c r="A4606" s="291"/>
      <c r="B4606" s="292"/>
      <c r="C4606" s="312"/>
      <c r="D4606" s="292"/>
      <c r="E4606" s="489"/>
      <c r="F4606" s="489"/>
      <c r="G4606" s="490"/>
      <c r="H4606" s="520"/>
      <c r="I4606" s="523"/>
      <c r="J4606" s="521"/>
      <c r="K4606" s="522"/>
      <c r="M4606" s="301" t="str">
        <f>N4606&amp;AS[[#This Row],[Insurer Code]]&amp;"; "&amp;O4606&amp;AS[[#This Row],[Reporting Year]]&amp;"; "&amp;P4606&amp;AS[[#This Row],[Insurance Category Code]]&amp;"; "&amp;Q4606&amp;AS[[#This Row],[Large Provider Entity Code]]&amp;"; "&amp;R4606&amp;AS[[#This Row],[Age Band Code]]&amp;"; "&amp;S4606&amp;AS[[#This Row],[Sex Code]]</f>
        <v xml:space="preserve">Insurer Code ; Reporting Year ; Insurance Category Code ; Large Provider Entity Code ; Age Band Code ; Sex Code </v>
      </c>
      <c r="N4606" s="297" t="s">
        <v>197</v>
      </c>
      <c r="O4606" s="297" t="s">
        <v>198</v>
      </c>
      <c r="P4606" s="297" t="s">
        <v>199</v>
      </c>
      <c r="Q4606" s="297" t="s">
        <v>200</v>
      </c>
      <c r="R4606" s="297" t="s">
        <v>213</v>
      </c>
      <c r="S4606" s="297" t="s">
        <v>214</v>
      </c>
    </row>
    <row r="4607" spans="1:19" x14ac:dyDescent="0.4">
      <c r="A4607" s="291"/>
      <c r="B4607" s="292"/>
      <c r="C4607" s="312"/>
      <c r="D4607" s="292"/>
      <c r="E4607" s="489"/>
      <c r="F4607" s="489"/>
      <c r="G4607" s="490"/>
      <c r="H4607" s="520"/>
      <c r="I4607" s="523"/>
      <c r="J4607" s="521"/>
      <c r="K4607" s="522"/>
      <c r="M4607" s="301" t="str">
        <f>N4607&amp;AS[[#This Row],[Insurer Code]]&amp;"; "&amp;O4607&amp;AS[[#This Row],[Reporting Year]]&amp;"; "&amp;P4607&amp;AS[[#This Row],[Insurance Category Code]]&amp;"; "&amp;Q4607&amp;AS[[#This Row],[Large Provider Entity Code]]&amp;"; "&amp;R4607&amp;AS[[#This Row],[Age Band Code]]&amp;"; "&amp;S4607&amp;AS[[#This Row],[Sex Code]]</f>
        <v xml:space="preserve">Insurer Code ; Reporting Year ; Insurance Category Code ; Large Provider Entity Code ; Age Band Code ; Sex Code </v>
      </c>
      <c r="N4607" s="297" t="s">
        <v>197</v>
      </c>
      <c r="O4607" s="297" t="s">
        <v>198</v>
      </c>
      <c r="P4607" s="297" t="s">
        <v>199</v>
      </c>
      <c r="Q4607" s="297" t="s">
        <v>200</v>
      </c>
      <c r="R4607" s="297" t="s">
        <v>213</v>
      </c>
      <c r="S4607" s="297" t="s">
        <v>214</v>
      </c>
    </row>
    <row r="4608" spans="1:19" x14ac:dyDescent="0.4">
      <c r="A4608" s="291"/>
      <c r="B4608" s="292"/>
      <c r="C4608" s="312"/>
      <c r="D4608" s="292"/>
      <c r="E4608" s="489"/>
      <c r="F4608" s="489"/>
      <c r="G4608" s="490"/>
      <c r="H4608" s="520"/>
      <c r="I4608" s="523"/>
      <c r="J4608" s="521"/>
      <c r="K4608" s="522"/>
      <c r="M4608" s="301" t="str">
        <f>N4608&amp;AS[[#This Row],[Insurer Code]]&amp;"; "&amp;O4608&amp;AS[[#This Row],[Reporting Year]]&amp;"; "&amp;P4608&amp;AS[[#This Row],[Insurance Category Code]]&amp;"; "&amp;Q4608&amp;AS[[#This Row],[Large Provider Entity Code]]&amp;"; "&amp;R4608&amp;AS[[#This Row],[Age Band Code]]&amp;"; "&amp;S4608&amp;AS[[#This Row],[Sex Code]]</f>
        <v xml:space="preserve">Insurer Code ; Reporting Year ; Insurance Category Code ; Large Provider Entity Code ; Age Band Code ; Sex Code </v>
      </c>
      <c r="N4608" s="297" t="s">
        <v>197</v>
      </c>
      <c r="O4608" s="297" t="s">
        <v>198</v>
      </c>
      <c r="P4608" s="297" t="s">
        <v>199</v>
      </c>
      <c r="Q4608" s="297" t="s">
        <v>200</v>
      </c>
      <c r="R4608" s="297" t="s">
        <v>213</v>
      </c>
      <c r="S4608" s="297" t="s">
        <v>214</v>
      </c>
    </row>
    <row r="4609" spans="1:19" x14ac:dyDescent="0.4">
      <c r="A4609" s="291"/>
      <c r="B4609" s="292"/>
      <c r="C4609" s="312"/>
      <c r="D4609" s="292"/>
      <c r="E4609" s="489"/>
      <c r="F4609" s="489"/>
      <c r="G4609" s="490"/>
      <c r="H4609" s="520"/>
      <c r="I4609" s="523"/>
      <c r="J4609" s="521"/>
      <c r="K4609" s="522"/>
      <c r="M4609" s="301" t="str">
        <f>N4609&amp;AS[[#This Row],[Insurer Code]]&amp;"; "&amp;O4609&amp;AS[[#This Row],[Reporting Year]]&amp;"; "&amp;P4609&amp;AS[[#This Row],[Insurance Category Code]]&amp;"; "&amp;Q4609&amp;AS[[#This Row],[Large Provider Entity Code]]&amp;"; "&amp;R4609&amp;AS[[#This Row],[Age Band Code]]&amp;"; "&amp;S4609&amp;AS[[#This Row],[Sex Code]]</f>
        <v xml:space="preserve">Insurer Code ; Reporting Year ; Insurance Category Code ; Large Provider Entity Code ; Age Band Code ; Sex Code </v>
      </c>
      <c r="N4609" s="297" t="s">
        <v>197</v>
      </c>
      <c r="O4609" s="297" t="s">
        <v>198</v>
      </c>
      <c r="P4609" s="297" t="s">
        <v>199</v>
      </c>
      <c r="Q4609" s="297" t="s">
        <v>200</v>
      </c>
      <c r="R4609" s="297" t="s">
        <v>213</v>
      </c>
      <c r="S4609" s="297" t="s">
        <v>214</v>
      </c>
    </row>
    <row r="4610" spans="1:19" x14ac:dyDescent="0.4">
      <c r="A4610" s="291"/>
      <c r="B4610" s="292"/>
      <c r="C4610" s="312"/>
      <c r="D4610" s="292"/>
      <c r="E4610" s="489"/>
      <c r="F4610" s="489"/>
      <c r="G4610" s="490"/>
      <c r="H4610" s="520"/>
      <c r="I4610" s="523"/>
      <c r="J4610" s="521"/>
      <c r="K4610" s="522"/>
      <c r="M4610" s="301" t="str">
        <f>N4610&amp;AS[[#This Row],[Insurer Code]]&amp;"; "&amp;O4610&amp;AS[[#This Row],[Reporting Year]]&amp;"; "&amp;P4610&amp;AS[[#This Row],[Insurance Category Code]]&amp;"; "&amp;Q4610&amp;AS[[#This Row],[Large Provider Entity Code]]&amp;"; "&amp;R4610&amp;AS[[#This Row],[Age Band Code]]&amp;"; "&amp;S4610&amp;AS[[#This Row],[Sex Code]]</f>
        <v xml:space="preserve">Insurer Code ; Reporting Year ; Insurance Category Code ; Large Provider Entity Code ; Age Band Code ; Sex Code </v>
      </c>
      <c r="N4610" s="297" t="s">
        <v>197</v>
      </c>
      <c r="O4610" s="297" t="s">
        <v>198</v>
      </c>
      <c r="P4610" s="297" t="s">
        <v>199</v>
      </c>
      <c r="Q4610" s="297" t="s">
        <v>200</v>
      </c>
      <c r="R4610" s="297" t="s">
        <v>213</v>
      </c>
      <c r="S4610" s="297" t="s">
        <v>214</v>
      </c>
    </row>
    <row r="4611" spans="1:19" x14ac:dyDescent="0.4">
      <c r="A4611" s="291"/>
      <c r="B4611" s="292"/>
      <c r="C4611" s="312"/>
      <c r="D4611" s="292"/>
      <c r="E4611" s="489"/>
      <c r="F4611" s="489"/>
      <c r="G4611" s="490"/>
      <c r="H4611" s="520"/>
      <c r="I4611" s="523"/>
      <c r="J4611" s="521"/>
      <c r="K4611" s="522"/>
      <c r="M4611" s="301" t="str">
        <f>N4611&amp;AS[[#This Row],[Insurer Code]]&amp;"; "&amp;O4611&amp;AS[[#This Row],[Reporting Year]]&amp;"; "&amp;P4611&amp;AS[[#This Row],[Insurance Category Code]]&amp;"; "&amp;Q4611&amp;AS[[#This Row],[Large Provider Entity Code]]&amp;"; "&amp;R4611&amp;AS[[#This Row],[Age Band Code]]&amp;"; "&amp;S4611&amp;AS[[#This Row],[Sex Code]]</f>
        <v xml:space="preserve">Insurer Code ; Reporting Year ; Insurance Category Code ; Large Provider Entity Code ; Age Band Code ; Sex Code </v>
      </c>
      <c r="N4611" s="297" t="s">
        <v>197</v>
      </c>
      <c r="O4611" s="297" t="s">
        <v>198</v>
      </c>
      <c r="P4611" s="297" t="s">
        <v>199</v>
      </c>
      <c r="Q4611" s="297" t="s">
        <v>200</v>
      </c>
      <c r="R4611" s="297" t="s">
        <v>213</v>
      </c>
      <c r="S4611" s="297" t="s">
        <v>214</v>
      </c>
    </row>
    <row r="4612" spans="1:19" x14ac:dyDescent="0.4">
      <c r="A4612" s="291"/>
      <c r="B4612" s="292"/>
      <c r="C4612" s="312"/>
      <c r="D4612" s="292"/>
      <c r="E4612" s="489"/>
      <c r="F4612" s="489"/>
      <c r="G4612" s="490"/>
      <c r="H4612" s="520"/>
      <c r="I4612" s="523"/>
      <c r="J4612" s="521"/>
      <c r="K4612" s="522"/>
      <c r="M4612" s="301" t="str">
        <f>N4612&amp;AS[[#This Row],[Insurer Code]]&amp;"; "&amp;O4612&amp;AS[[#This Row],[Reporting Year]]&amp;"; "&amp;P4612&amp;AS[[#This Row],[Insurance Category Code]]&amp;"; "&amp;Q4612&amp;AS[[#This Row],[Large Provider Entity Code]]&amp;"; "&amp;R4612&amp;AS[[#This Row],[Age Band Code]]&amp;"; "&amp;S4612&amp;AS[[#This Row],[Sex Code]]</f>
        <v xml:space="preserve">Insurer Code ; Reporting Year ; Insurance Category Code ; Large Provider Entity Code ; Age Band Code ; Sex Code </v>
      </c>
      <c r="N4612" s="297" t="s">
        <v>197</v>
      </c>
      <c r="O4612" s="297" t="s">
        <v>198</v>
      </c>
      <c r="P4612" s="297" t="s">
        <v>199</v>
      </c>
      <c r="Q4612" s="297" t="s">
        <v>200</v>
      </c>
      <c r="R4612" s="297" t="s">
        <v>213</v>
      </c>
      <c r="S4612" s="297" t="s">
        <v>214</v>
      </c>
    </row>
    <row r="4613" spans="1:19" x14ac:dyDescent="0.4">
      <c r="A4613" s="291"/>
      <c r="B4613" s="292"/>
      <c r="C4613" s="312"/>
      <c r="D4613" s="292"/>
      <c r="E4613" s="489"/>
      <c r="F4613" s="489"/>
      <c r="G4613" s="490"/>
      <c r="H4613" s="520"/>
      <c r="I4613" s="523"/>
      <c r="J4613" s="521"/>
      <c r="K4613" s="522"/>
      <c r="M4613" s="301" t="str">
        <f>N4613&amp;AS[[#This Row],[Insurer Code]]&amp;"; "&amp;O4613&amp;AS[[#This Row],[Reporting Year]]&amp;"; "&amp;P4613&amp;AS[[#This Row],[Insurance Category Code]]&amp;"; "&amp;Q4613&amp;AS[[#This Row],[Large Provider Entity Code]]&amp;"; "&amp;R4613&amp;AS[[#This Row],[Age Band Code]]&amp;"; "&amp;S4613&amp;AS[[#This Row],[Sex Code]]</f>
        <v xml:space="preserve">Insurer Code ; Reporting Year ; Insurance Category Code ; Large Provider Entity Code ; Age Band Code ; Sex Code </v>
      </c>
      <c r="N4613" s="297" t="s">
        <v>197</v>
      </c>
      <c r="O4613" s="297" t="s">
        <v>198</v>
      </c>
      <c r="P4613" s="297" t="s">
        <v>199</v>
      </c>
      <c r="Q4613" s="297" t="s">
        <v>200</v>
      </c>
      <c r="R4613" s="297" t="s">
        <v>213</v>
      </c>
      <c r="S4613" s="297" t="s">
        <v>214</v>
      </c>
    </row>
    <row r="4614" spans="1:19" x14ac:dyDescent="0.4">
      <c r="A4614" s="291"/>
      <c r="B4614" s="292"/>
      <c r="C4614" s="312"/>
      <c r="D4614" s="292"/>
      <c r="E4614" s="489"/>
      <c r="F4614" s="489"/>
      <c r="G4614" s="490"/>
      <c r="H4614" s="520"/>
      <c r="I4614" s="523"/>
      <c r="J4614" s="521"/>
      <c r="K4614" s="522"/>
      <c r="M4614" s="301" t="str">
        <f>N4614&amp;AS[[#This Row],[Insurer Code]]&amp;"; "&amp;O4614&amp;AS[[#This Row],[Reporting Year]]&amp;"; "&amp;P4614&amp;AS[[#This Row],[Insurance Category Code]]&amp;"; "&amp;Q4614&amp;AS[[#This Row],[Large Provider Entity Code]]&amp;"; "&amp;R4614&amp;AS[[#This Row],[Age Band Code]]&amp;"; "&amp;S4614&amp;AS[[#This Row],[Sex Code]]</f>
        <v xml:space="preserve">Insurer Code ; Reporting Year ; Insurance Category Code ; Large Provider Entity Code ; Age Band Code ; Sex Code </v>
      </c>
      <c r="N4614" s="297" t="s">
        <v>197</v>
      </c>
      <c r="O4614" s="297" t="s">
        <v>198</v>
      </c>
      <c r="P4614" s="297" t="s">
        <v>199</v>
      </c>
      <c r="Q4614" s="297" t="s">
        <v>200</v>
      </c>
      <c r="R4614" s="297" t="s">
        <v>213</v>
      </c>
      <c r="S4614" s="297" t="s">
        <v>214</v>
      </c>
    </row>
    <row r="4615" spans="1:19" x14ac:dyDescent="0.4">
      <c r="A4615" s="291"/>
      <c r="B4615" s="292"/>
      <c r="C4615" s="312"/>
      <c r="D4615" s="292"/>
      <c r="E4615" s="489"/>
      <c r="F4615" s="489"/>
      <c r="G4615" s="490"/>
      <c r="H4615" s="520"/>
      <c r="I4615" s="523"/>
      <c r="J4615" s="521"/>
      <c r="K4615" s="522"/>
      <c r="M4615" s="301" t="str">
        <f>N4615&amp;AS[[#This Row],[Insurer Code]]&amp;"; "&amp;O4615&amp;AS[[#This Row],[Reporting Year]]&amp;"; "&amp;P4615&amp;AS[[#This Row],[Insurance Category Code]]&amp;"; "&amp;Q4615&amp;AS[[#This Row],[Large Provider Entity Code]]&amp;"; "&amp;R4615&amp;AS[[#This Row],[Age Band Code]]&amp;"; "&amp;S4615&amp;AS[[#This Row],[Sex Code]]</f>
        <v xml:space="preserve">Insurer Code ; Reporting Year ; Insurance Category Code ; Large Provider Entity Code ; Age Band Code ; Sex Code </v>
      </c>
      <c r="N4615" s="297" t="s">
        <v>197</v>
      </c>
      <c r="O4615" s="297" t="s">
        <v>198</v>
      </c>
      <c r="P4615" s="297" t="s">
        <v>199</v>
      </c>
      <c r="Q4615" s="297" t="s">
        <v>200</v>
      </c>
      <c r="R4615" s="297" t="s">
        <v>213</v>
      </c>
      <c r="S4615" s="297" t="s">
        <v>214</v>
      </c>
    </row>
    <row r="4616" spans="1:19" x14ac:dyDescent="0.4">
      <c r="A4616" s="291"/>
      <c r="B4616" s="292"/>
      <c r="C4616" s="312"/>
      <c r="D4616" s="292"/>
      <c r="E4616" s="489"/>
      <c r="F4616" s="489"/>
      <c r="G4616" s="490"/>
      <c r="H4616" s="520"/>
      <c r="I4616" s="523"/>
      <c r="J4616" s="521"/>
      <c r="K4616" s="522"/>
      <c r="M4616" s="301" t="str">
        <f>N4616&amp;AS[[#This Row],[Insurer Code]]&amp;"; "&amp;O4616&amp;AS[[#This Row],[Reporting Year]]&amp;"; "&amp;P4616&amp;AS[[#This Row],[Insurance Category Code]]&amp;"; "&amp;Q4616&amp;AS[[#This Row],[Large Provider Entity Code]]&amp;"; "&amp;R4616&amp;AS[[#This Row],[Age Band Code]]&amp;"; "&amp;S4616&amp;AS[[#This Row],[Sex Code]]</f>
        <v xml:space="preserve">Insurer Code ; Reporting Year ; Insurance Category Code ; Large Provider Entity Code ; Age Band Code ; Sex Code </v>
      </c>
      <c r="N4616" s="297" t="s">
        <v>197</v>
      </c>
      <c r="O4616" s="297" t="s">
        <v>198</v>
      </c>
      <c r="P4616" s="297" t="s">
        <v>199</v>
      </c>
      <c r="Q4616" s="297" t="s">
        <v>200</v>
      </c>
      <c r="R4616" s="297" t="s">
        <v>213</v>
      </c>
      <c r="S4616" s="297" t="s">
        <v>214</v>
      </c>
    </row>
    <row r="4617" spans="1:19" x14ac:dyDescent="0.4">
      <c r="A4617" s="291"/>
      <c r="B4617" s="292"/>
      <c r="C4617" s="312"/>
      <c r="D4617" s="292"/>
      <c r="E4617" s="489"/>
      <c r="F4617" s="489"/>
      <c r="G4617" s="490"/>
      <c r="H4617" s="520"/>
      <c r="I4617" s="523"/>
      <c r="J4617" s="521"/>
      <c r="K4617" s="522"/>
      <c r="M4617" s="301" t="str">
        <f>N4617&amp;AS[[#This Row],[Insurer Code]]&amp;"; "&amp;O4617&amp;AS[[#This Row],[Reporting Year]]&amp;"; "&amp;P4617&amp;AS[[#This Row],[Insurance Category Code]]&amp;"; "&amp;Q4617&amp;AS[[#This Row],[Large Provider Entity Code]]&amp;"; "&amp;R4617&amp;AS[[#This Row],[Age Band Code]]&amp;"; "&amp;S4617&amp;AS[[#This Row],[Sex Code]]</f>
        <v xml:space="preserve">Insurer Code ; Reporting Year ; Insurance Category Code ; Large Provider Entity Code ; Age Band Code ; Sex Code </v>
      </c>
      <c r="N4617" s="297" t="s">
        <v>197</v>
      </c>
      <c r="O4617" s="297" t="s">
        <v>198</v>
      </c>
      <c r="P4617" s="297" t="s">
        <v>199</v>
      </c>
      <c r="Q4617" s="297" t="s">
        <v>200</v>
      </c>
      <c r="R4617" s="297" t="s">
        <v>213</v>
      </c>
      <c r="S4617" s="297" t="s">
        <v>214</v>
      </c>
    </row>
    <row r="4618" spans="1:19" x14ac:dyDescent="0.4">
      <c r="A4618" s="291"/>
      <c r="B4618" s="292"/>
      <c r="C4618" s="312"/>
      <c r="D4618" s="292"/>
      <c r="E4618" s="489"/>
      <c r="F4618" s="489"/>
      <c r="G4618" s="490"/>
      <c r="H4618" s="520"/>
      <c r="I4618" s="523"/>
      <c r="J4618" s="521"/>
      <c r="K4618" s="522"/>
      <c r="M4618" s="301" t="str">
        <f>N4618&amp;AS[[#This Row],[Insurer Code]]&amp;"; "&amp;O4618&amp;AS[[#This Row],[Reporting Year]]&amp;"; "&amp;P4618&amp;AS[[#This Row],[Insurance Category Code]]&amp;"; "&amp;Q4618&amp;AS[[#This Row],[Large Provider Entity Code]]&amp;"; "&amp;R4618&amp;AS[[#This Row],[Age Band Code]]&amp;"; "&amp;S4618&amp;AS[[#This Row],[Sex Code]]</f>
        <v xml:space="preserve">Insurer Code ; Reporting Year ; Insurance Category Code ; Large Provider Entity Code ; Age Band Code ; Sex Code </v>
      </c>
      <c r="N4618" s="297" t="s">
        <v>197</v>
      </c>
      <c r="O4618" s="297" t="s">
        <v>198</v>
      </c>
      <c r="P4618" s="297" t="s">
        <v>199</v>
      </c>
      <c r="Q4618" s="297" t="s">
        <v>200</v>
      </c>
      <c r="R4618" s="297" t="s">
        <v>213</v>
      </c>
      <c r="S4618" s="297" t="s">
        <v>214</v>
      </c>
    </row>
    <row r="4619" spans="1:19" x14ac:dyDescent="0.4">
      <c r="A4619" s="291"/>
      <c r="B4619" s="292"/>
      <c r="C4619" s="312"/>
      <c r="D4619" s="292"/>
      <c r="E4619" s="489"/>
      <c r="F4619" s="489"/>
      <c r="G4619" s="490"/>
      <c r="H4619" s="520"/>
      <c r="I4619" s="523"/>
      <c r="J4619" s="521"/>
      <c r="K4619" s="522"/>
      <c r="M4619" s="301" t="str">
        <f>N4619&amp;AS[[#This Row],[Insurer Code]]&amp;"; "&amp;O4619&amp;AS[[#This Row],[Reporting Year]]&amp;"; "&amp;P4619&amp;AS[[#This Row],[Insurance Category Code]]&amp;"; "&amp;Q4619&amp;AS[[#This Row],[Large Provider Entity Code]]&amp;"; "&amp;R4619&amp;AS[[#This Row],[Age Band Code]]&amp;"; "&amp;S4619&amp;AS[[#This Row],[Sex Code]]</f>
        <v xml:space="preserve">Insurer Code ; Reporting Year ; Insurance Category Code ; Large Provider Entity Code ; Age Band Code ; Sex Code </v>
      </c>
      <c r="N4619" s="297" t="s">
        <v>197</v>
      </c>
      <c r="O4619" s="297" t="s">
        <v>198</v>
      </c>
      <c r="P4619" s="297" t="s">
        <v>199</v>
      </c>
      <c r="Q4619" s="297" t="s">
        <v>200</v>
      </c>
      <c r="R4619" s="297" t="s">
        <v>213</v>
      </c>
      <c r="S4619" s="297" t="s">
        <v>214</v>
      </c>
    </row>
    <row r="4620" spans="1:19" x14ac:dyDescent="0.4">
      <c r="A4620" s="291"/>
      <c r="B4620" s="292"/>
      <c r="C4620" s="312"/>
      <c r="D4620" s="292"/>
      <c r="E4620" s="489"/>
      <c r="F4620" s="489"/>
      <c r="G4620" s="490"/>
      <c r="H4620" s="520"/>
      <c r="I4620" s="523"/>
      <c r="J4620" s="521"/>
      <c r="K4620" s="522"/>
      <c r="M4620" s="301" t="str">
        <f>N4620&amp;AS[[#This Row],[Insurer Code]]&amp;"; "&amp;O4620&amp;AS[[#This Row],[Reporting Year]]&amp;"; "&amp;P4620&amp;AS[[#This Row],[Insurance Category Code]]&amp;"; "&amp;Q4620&amp;AS[[#This Row],[Large Provider Entity Code]]&amp;"; "&amp;R4620&amp;AS[[#This Row],[Age Band Code]]&amp;"; "&amp;S4620&amp;AS[[#This Row],[Sex Code]]</f>
        <v xml:space="preserve">Insurer Code ; Reporting Year ; Insurance Category Code ; Large Provider Entity Code ; Age Band Code ; Sex Code </v>
      </c>
      <c r="N4620" s="297" t="s">
        <v>197</v>
      </c>
      <c r="O4620" s="297" t="s">
        <v>198</v>
      </c>
      <c r="P4620" s="297" t="s">
        <v>199</v>
      </c>
      <c r="Q4620" s="297" t="s">
        <v>200</v>
      </c>
      <c r="R4620" s="297" t="s">
        <v>213</v>
      </c>
      <c r="S4620" s="297" t="s">
        <v>214</v>
      </c>
    </row>
    <row r="4621" spans="1:19" x14ac:dyDescent="0.4">
      <c r="A4621" s="291"/>
      <c r="B4621" s="292"/>
      <c r="C4621" s="312"/>
      <c r="D4621" s="292"/>
      <c r="E4621" s="489"/>
      <c r="F4621" s="489"/>
      <c r="G4621" s="490"/>
      <c r="H4621" s="520"/>
      <c r="I4621" s="523"/>
      <c r="J4621" s="521"/>
      <c r="K4621" s="522"/>
      <c r="M4621" s="301" t="str">
        <f>N4621&amp;AS[[#This Row],[Insurer Code]]&amp;"; "&amp;O4621&amp;AS[[#This Row],[Reporting Year]]&amp;"; "&amp;P4621&amp;AS[[#This Row],[Insurance Category Code]]&amp;"; "&amp;Q4621&amp;AS[[#This Row],[Large Provider Entity Code]]&amp;"; "&amp;R4621&amp;AS[[#This Row],[Age Band Code]]&amp;"; "&amp;S4621&amp;AS[[#This Row],[Sex Code]]</f>
        <v xml:space="preserve">Insurer Code ; Reporting Year ; Insurance Category Code ; Large Provider Entity Code ; Age Band Code ; Sex Code </v>
      </c>
      <c r="N4621" s="297" t="s">
        <v>197</v>
      </c>
      <c r="O4621" s="297" t="s">
        <v>198</v>
      </c>
      <c r="P4621" s="297" t="s">
        <v>199</v>
      </c>
      <c r="Q4621" s="297" t="s">
        <v>200</v>
      </c>
      <c r="R4621" s="297" t="s">
        <v>213</v>
      </c>
      <c r="S4621" s="297" t="s">
        <v>214</v>
      </c>
    </row>
    <row r="4622" spans="1:19" x14ac:dyDescent="0.4">
      <c r="A4622" s="291"/>
      <c r="B4622" s="292"/>
      <c r="C4622" s="312"/>
      <c r="D4622" s="292"/>
      <c r="E4622" s="489"/>
      <c r="F4622" s="489"/>
      <c r="G4622" s="490"/>
      <c r="H4622" s="520"/>
      <c r="I4622" s="523"/>
      <c r="J4622" s="521"/>
      <c r="K4622" s="522"/>
      <c r="M4622" s="301" t="str">
        <f>N4622&amp;AS[[#This Row],[Insurer Code]]&amp;"; "&amp;O4622&amp;AS[[#This Row],[Reporting Year]]&amp;"; "&amp;P4622&amp;AS[[#This Row],[Insurance Category Code]]&amp;"; "&amp;Q4622&amp;AS[[#This Row],[Large Provider Entity Code]]&amp;"; "&amp;R4622&amp;AS[[#This Row],[Age Band Code]]&amp;"; "&amp;S4622&amp;AS[[#This Row],[Sex Code]]</f>
        <v xml:space="preserve">Insurer Code ; Reporting Year ; Insurance Category Code ; Large Provider Entity Code ; Age Band Code ; Sex Code </v>
      </c>
      <c r="N4622" s="297" t="s">
        <v>197</v>
      </c>
      <c r="O4622" s="297" t="s">
        <v>198</v>
      </c>
      <c r="P4622" s="297" t="s">
        <v>199</v>
      </c>
      <c r="Q4622" s="297" t="s">
        <v>200</v>
      </c>
      <c r="R4622" s="297" t="s">
        <v>213</v>
      </c>
      <c r="S4622" s="297" t="s">
        <v>214</v>
      </c>
    </row>
    <row r="4623" spans="1:19" x14ac:dyDescent="0.4">
      <c r="A4623" s="291"/>
      <c r="B4623" s="292"/>
      <c r="C4623" s="312"/>
      <c r="D4623" s="292"/>
      <c r="E4623" s="489"/>
      <c r="F4623" s="489"/>
      <c r="G4623" s="490"/>
      <c r="H4623" s="520"/>
      <c r="I4623" s="523"/>
      <c r="J4623" s="521"/>
      <c r="K4623" s="522"/>
      <c r="M4623" s="301" t="str">
        <f>N4623&amp;AS[[#This Row],[Insurer Code]]&amp;"; "&amp;O4623&amp;AS[[#This Row],[Reporting Year]]&amp;"; "&amp;P4623&amp;AS[[#This Row],[Insurance Category Code]]&amp;"; "&amp;Q4623&amp;AS[[#This Row],[Large Provider Entity Code]]&amp;"; "&amp;R4623&amp;AS[[#This Row],[Age Band Code]]&amp;"; "&amp;S4623&amp;AS[[#This Row],[Sex Code]]</f>
        <v xml:space="preserve">Insurer Code ; Reporting Year ; Insurance Category Code ; Large Provider Entity Code ; Age Band Code ; Sex Code </v>
      </c>
      <c r="N4623" s="297" t="s">
        <v>197</v>
      </c>
      <c r="O4623" s="297" t="s">
        <v>198</v>
      </c>
      <c r="P4623" s="297" t="s">
        <v>199</v>
      </c>
      <c r="Q4623" s="297" t="s">
        <v>200</v>
      </c>
      <c r="R4623" s="297" t="s">
        <v>213</v>
      </c>
      <c r="S4623" s="297" t="s">
        <v>214</v>
      </c>
    </row>
    <row r="4624" spans="1:19" x14ac:dyDescent="0.4">
      <c r="A4624" s="291"/>
      <c r="B4624" s="292"/>
      <c r="C4624" s="312"/>
      <c r="D4624" s="292"/>
      <c r="E4624" s="489"/>
      <c r="F4624" s="489"/>
      <c r="G4624" s="490"/>
      <c r="H4624" s="520"/>
      <c r="I4624" s="523"/>
      <c r="J4624" s="521"/>
      <c r="K4624" s="522"/>
      <c r="M4624" s="301" t="str">
        <f>N4624&amp;AS[[#This Row],[Insurer Code]]&amp;"; "&amp;O4624&amp;AS[[#This Row],[Reporting Year]]&amp;"; "&amp;P4624&amp;AS[[#This Row],[Insurance Category Code]]&amp;"; "&amp;Q4624&amp;AS[[#This Row],[Large Provider Entity Code]]&amp;"; "&amp;R4624&amp;AS[[#This Row],[Age Band Code]]&amp;"; "&amp;S4624&amp;AS[[#This Row],[Sex Code]]</f>
        <v xml:space="preserve">Insurer Code ; Reporting Year ; Insurance Category Code ; Large Provider Entity Code ; Age Band Code ; Sex Code </v>
      </c>
      <c r="N4624" s="297" t="s">
        <v>197</v>
      </c>
      <c r="O4624" s="297" t="s">
        <v>198</v>
      </c>
      <c r="P4624" s="297" t="s">
        <v>199</v>
      </c>
      <c r="Q4624" s="297" t="s">
        <v>200</v>
      </c>
      <c r="R4624" s="297" t="s">
        <v>213</v>
      </c>
      <c r="S4624" s="297" t="s">
        <v>214</v>
      </c>
    </row>
    <row r="4625" spans="1:19" x14ac:dyDescent="0.4">
      <c r="A4625" s="291"/>
      <c r="B4625" s="292"/>
      <c r="C4625" s="312"/>
      <c r="D4625" s="292"/>
      <c r="E4625" s="489"/>
      <c r="F4625" s="489"/>
      <c r="G4625" s="490"/>
      <c r="H4625" s="520"/>
      <c r="I4625" s="523"/>
      <c r="J4625" s="521"/>
      <c r="K4625" s="522"/>
      <c r="M4625" s="301" t="str">
        <f>N4625&amp;AS[[#This Row],[Insurer Code]]&amp;"; "&amp;O4625&amp;AS[[#This Row],[Reporting Year]]&amp;"; "&amp;P4625&amp;AS[[#This Row],[Insurance Category Code]]&amp;"; "&amp;Q4625&amp;AS[[#This Row],[Large Provider Entity Code]]&amp;"; "&amp;R4625&amp;AS[[#This Row],[Age Band Code]]&amp;"; "&amp;S4625&amp;AS[[#This Row],[Sex Code]]</f>
        <v xml:space="preserve">Insurer Code ; Reporting Year ; Insurance Category Code ; Large Provider Entity Code ; Age Band Code ; Sex Code </v>
      </c>
      <c r="N4625" s="297" t="s">
        <v>197</v>
      </c>
      <c r="O4625" s="297" t="s">
        <v>198</v>
      </c>
      <c r="P4625" s="297" t="s">
        <v>199</v>
      </c>
      <c r="Q4625" s="297" t="s">
        <v>200</v>
      </c>
      <c r="R4625" s="297" t="s">
        <v>213</v>
      </c>
      <c r="S4625" s="297" t="s">
        <v>214</v>
      </c>
    </row>
    <row r="4626" spans="1:19" x14ac:dyDescent="0.4">
      <c r="A4626" s="291"/>
      <c r="B4626" s="292"/>
      <c r="C4626" s="312"/>
      <c r="D4626" s="292"/>
      <c r="E4626" s="489"/>
      <c r="F4626" s="489"/>
      <c r="G4626" s="490"/>
      <c r="H4626" s="520"/>
      <c r="I4626" s="523"/>
      <c r="J4626" s="521"/>
      <c r="K4626" s="522"/>
      <c r="M4626" s="301" t="str">
        <f>N4626&amp;AS[[#This Row],[Insurer Code]]&amp;"; "&amp;O4626&amp;AS[[#This Row],[Reporting Year]]&amp;"; "&amp;P4626&amp;AS[[#This Row],[Insurance Category Code]]&amp;"; "&amp;Q4626&amp;AS[[#This Row],[Large Provider Entity Code]]&amp;"; "&amp;R4626&amp;AS[[#This Row],[Age Band Code]]&amp;"; "&amp;S4626&amp;AS[[#This Row],[Sex Code]]</f>
        <v xml:space="preserve">Insurer Code ; Reporting Year ; Insurance Category Code ; Large Provider Entity Code ; Age Band Code ; Sex Code </v>
      </c>
      <c r="N4626" s="297" t="s">
        <v>197</v>
      </c>
      <c r="O4626" s="297" t="s">
        <v>198</v>
      </c>
      <c r="P4626" s="297" t="s">
        <v>199</v>
      </c>
      <c r="Q4626" s="297" t="s">
        <v>200</v>
      </c>
      <c r="R4626" s="297" t="s">
        <v>213</v>
      </c>
      <c r="S4626" s="297" t="s">
        <v>214</v>
      </c>
    </row>
    <row r="4627" spans="1:19" x14ac:dyDescent="0.4">
      <c r="A4627" s="291"/>
      <c r="B4627" s="292"/>
      <c r="C4627" s="312"/>
      <c r="D4627" s="292"/>
      <c r="E4627" s="489"/>
      <c r="F4627" s="489"/>
      <c r="G4627" s="490"/>
      <c r="H4627" s="520"/>
      <c r="I4627" s="523"/>
      <c r="J4627" s="521"/>
      <c r="K4627" s="522"/>
      <c r="M4627" s="301" t="str">
        <f>N4627&amp;AS[[#This Row],[Insurer Code]]&amp;"; "&amp;O4627&amp;AS[[#This Row],[Reporting Year]]&amp;"; "&amp;P4627&amp;AS[[#This Row],[Insurance Category Code]]&amp;"; "&amp;Q4627&amp;AS[[#This Row],[Large Provider Entity Code]]&amp;"; "&amp;R4627&amp;AS[[#This Row],[Age Band Code]]&amp;"; "&amp;S4627&amp;AS[[#This Row],[Sex Code]]</f>
        <v xml:space="preserve">Insurer Code ; Reporting Year ; Insurance Category Code ; Large Provider Entity Code ; Age Band Code ; Sex Code </v>
      </c>
      <c r="N4627" s="297" t="s">
        <v>197</v>
      </c>
      <c r="O4627" s="297" t="s">
        <v>198</v>
      </c>
      <c r="P4627" s="297" t="s">
        <v>199</v>
      </c>
      <c r="Q4627" s="297" t="s">
        <v>200</v>
      </c>
      <c r="R4627" s="297" t="s">
        <v>213</v>
      </c>
      <c r="S4627" s="297" t="s">
        <v>214</v>
      </c>
    </row>
    <row r="4628" spans="1:19" x14ac:dyDescent="0.4">
      <c r="A4628" s="291"/>
      <c r="B4628" s="292"/>
      <c r="C4628" s="312"/>
      <c r="D4628" s="292"/>
      <c r="E4628" s="489"/>
      <c r="F4628" s="489"/>
      <c r="G4628" s="490"/>
      <c r="H4628" s="520"/>
      <c r="I4628" s="523"/>
      <c r="J4628" s="521"/>
      <c r="K4628" s="522"/>
      <c r="M4628" s="301" t="str">
        <f>N4628&amp;AS[[#This Row],[Insurer Code]]&amp;"; "&amp;O4628&amp;AS[[#This Row],[Reporting Year]]&amp;"; "&amp;P4628&amp;AS[[#This Row],[Insurance Category Code]]&amp;"; "&amp;Q4628&amp;AS[[#This Row],[Large Provider Entity Code]]&amp;"; "&amp;R4628&amp;AS[[#This Row],[Age Band Code]]&amp;"; "&amp;S4628&amp;AS[[#This Row],[Sex Code]]</f>
        <v xml:space="preserve">Insurer Code ; Reporting Year ; Insurance Category Code ; Large Provider Entity Code ; Age Band Code ; Sex Code </v>
      </c>
      <c r="N4628" s="297" t="s">
        <v>197</v>
      </c>
      <c r="O4628" s="297" t="s">
        <v>198</v>
      </c>
      <c r="P4628" s="297" t="s">
        <v>199</v>
      </c>
      <c r="Q4628" s="297" t="s">
        <v>200</v>
      </c>
      <c r="R4628" s="297" t="s">
        <v>213</v>
      </c>
      <c r="S4628" s="297" t="s">
        <v>214</v>
      </c>
    </row>
    <row r="4629" spans="1:19" x14ac:dyDescent="0.4">
      <c r="A4629" s="291"/>
      <c r="B4629" s="292"/>
      <c r="C4629" s="312"/>
      <c r="D4629" s="292"/>
      <c r="E4629" s="489"/>
      <c r="F4629" s="489"/>
      <c r="G4629" s="490"/>
      <c r="H4629" s="520"/>
      <c r="I4629" s="523"/>
      <c r="J4629" s="521"/>
      <c r="K4629" s="522"/>
      <c r="M4629" s="301" t="str">
        <f>N4629&amp;AS[[#This Row],[Insurer Code]]&amp;"; "&amp;O4629&amp;AS[[#This Row],[Reporting Year]]&amp;"; "&amp;P4629&amp;AS[[#This Row],[Insurance Category Code]]&amp;"; "&amp;Q4629&amp;AS[[#This Row],[Large Provider Entity Code]]&amp;"; "&amp;R4629&amp;AS[[#This Row],[Age Band Code]]&amp;"; "&amp;S4629&amp;AS[[#This Row],[Sex Code]]</f>
        <v xml:space="preserve">Insurer Code ; Reporting Year ; Insurance Category Code ; Large Provider Entity Code ; Age Band Code ; Sex Code </v>
      </c>
      <c r="N4629" s="297" t="s">
        <v>197</v>
      </c>
      <c r="O4629" s="297" t="s">
        <v>198</v>
      </c>
      <c r="P4629" s="297" t="s">
        <v>199</v>
      </c>
      <c r="Q4629" s="297" t="s">
        <v>200</v>
      </c>
      <c r="R4629" s="297" t="s">
        <v>213</v>
      </c>
      <c r="S4629" s="297" t="s">
        <v>214</v>
      </c>
    </row>
    <row r="4630" spans="1:19" x14ac:dyDescent="0.4">
      <c r="A4630" s="291"/>
      <c r="B4630" s="292"/>
      <c r="C4630" s="312"/>
      <c r="D4630" s="292"/>
      <c r="E4630" s="489"/>
      <c r="F4630" s="489"/>
      <c r="G4630" s="490"/>
      <c r="H4630" s="520"/>
      <c r="I4630" s="523"/>
      <c r="J4630" s="521"/>
      <c r="K4630" s="522"/>
      <c r="M4630" s="301" t="str">
        <f>N4630&amp;AS[[#This Row],[Insurer Code]]&amp;"; "&amp;O4630&amp;AS[[#This Row],[Reporting Year]]&amp;"; "&amp;P4630&amp;AS[[#This Row],[Insurance Category Code]]&amp;"; "&amp;Q4630&amp;AS[[#This Row],[Large Provider Entity Code]]&amp;"; "&amp;R4630&amp;AS[[#This Row],[Age Band Code]]&amp;"; "&amp;S4630&amp;AS[[#This Row],[Sex Code]]</f>
        <v xml:space="preserve">Insurer Code ; Reporting Year ; Insurance Category Code ; Large Provider Entity Code ; Age Band Code ; Sex Code </v>
      </c>
      <c r="N4630" s="297" t="s">
        <v>197</v>
      </c>
      <c r="O4630" s="297" t="s">
        <v>198</v>
      </c>
      <c r="P4630" s="297" t="s">
        <v>199</v>
      </c>
      <c r="Q4630" s="297" t="s">
        <v>200</v>
      </c>
      <c r="R4630" s="297" t="s">
        <v>213</v>
      </c>
      <c r="S4630" s="297" t="s">
        <v>214</v>
      </c>
    </row>
    <row r="4631" spans="1:19" x14ac:dyDescent="0.4">
      <c r="A4631" s="291"/>
      <c r="B4631" s="292"/>
      <c r="C4631" s="312"/>
      <c r="D4631" s="292"/>
      <c r="E4631" s="489"/>
      <c r="F4631" s="489"/>
      <c r="G4631" s="490"/>
      <c r="H4631" s="520"/>
      <c r="I4631" s="523"/>
      <c r="J4631" s="521"/>
      <c r="K4631" s="522"/>
      <c r="M4631" s="301" t="str">
        <f>N4631&amp;AS[[#This Row],[Insurer Code]]&amp;"; "&amp;O4631&amp;AS[[#This Row],[Reporting Year]]&amp;"; "&amp;P4631&amp;AS[[#This Row],[Insurance Category Code]]&amp;"; "&amp;Q4631&amp;AS[[#This Row],[Large Provider Entity Code]]&amp;"; "&amp;R4631&amp;AS[[#This Row],[Age Band Code]]&amp;"; "&amp;S4631&amp;AS[[#This Row],[Sex Code]]</f>
        <v xml:space="preserve">Insurer Code ; Reporting Year ; Insurance Category Code ; Large Provider Entity Code ; Age Band Code ; Sex Code </v>
      </c>
      <c r="N4631" s="297" t="s">
        <v>197</v>
      </c>
      <c r="O4631" s="297" t="s">
        <v>198</v>
      </c>
      <c r="P4631" s="297" t="s">
        <v>199</v>
      </c>
      <c r="Q4631" s="297" t="s">
        <v>200</v>
      </c>
      <c r="R4631" s="297" t="s">
        <v>213</v>
      </c>
      <c r="S4631" s="297" t="s">
        <v>214</v>
      </c>
    </row>
    <row r="4632" spans="1:19" x14ac:dyDescent="0.4">
      <c r="A4632" s="291"/>
      <c r="B4632" s="292"/>
      <c r="C4632" s="312"/>
      <c r="D4632" s="292"/>
      <c r="E4632" s="489"/>
      <c r="F4632" s="489"/>
      <c r="G4632" s="490"/>
      <c r="H4632" s="520"/>
      <c r="I4632" s="523"/>
      <c r="J4632" s="521"/>
      <c r="K4632" s="522"/>
      <c r="M4632" s="301" t="str">
        <f>N4632&amp;AS[[#This Row],[Insurer Code]]&amp;"; "&amp;O4632&amp;AS[[#This Row],[Reporting Year]]&amp;"; "&amp;P4632&amp;AS[[#This Row],[Insurance Category Code]]&amp;"; "&amp;Q4632&amp;AS[[#This Row],[Large Provider Entity Code]]&amp;"; "&amp;R4632&amp;AS[[#This Row],[Age Band Code]]&amp;"; "&amp;S4632&amp;AS[[#This Row],[Sex Code]]</f>
        <v xml:space="preserve">Insurer Code ; Reporting Year ; Insurance Category Code ; Large Provider Entity Code ; Age Band Code ; Sex Code </v>
      </c>
      <c r="N4632" s="297" t="s">
        <v>197</v>
      </c>
      <c r="O4632" s="297" t="s">
        <v>198</v>
      </c>
      <c r="P4632" s="297" t="s">
        <v>199</v>
      </c>
      <c r="Q4632" s="297" t="s">
        <v>200</v>
      </c>
      <c r="R4632" s="297" t="s">
        <v>213</v>
      </c>
      <c r="S4632" s="297" t="s">
        <v>214</v>
      </c>
    </row>
    <row r="4633" spans="1:19" x14ac:dyDescent="0.4">
      <c r="A4633" s="291"/>
      <c r="B4633" s="292"/>
      <c r="C4633" s="312"/>
      <c r="D4633" s="292"/>
      <c r="E4633" s="489"/>
      <c r="F4633" s="489"/>
      <c r="G4633" s="490"/>
      <c r="H4633" s="520"/>
      <c r="I4633" s="523"/>
      <c r="J4633" s="521"/>
      <c r="K4633" s="522"/>
      <c r="M4633" s="301" t="str">
        <f>N4633&amp;AS[[#This Row],[Insurer Code]]&amp;"; "&amp;O4633&amp;AS[[#This Row],[Reporting Year]]&amp;"; "&amp;P4633&amp;AS[[#This Row],[Insurance Category Code]]&amp;"; "&amp;Q4633&amp;AS[[#This Row],[Large Provider Entity Code]]&amp;"; "&amp;R4633&amp;AS[[#This Row],[Age Band Code]]&amp;"; "&amp;S4633&amp;AS[[#This Row],[Sex Code]]</f>
        <v xml:space="preserve">Insurer Code ; Reporting Year ; Insurance Category Code ; Large Provider Entity Code ; Age Band Code ; Sex Code </v>
      </c>
      <c r="N4633" s="297" t="s">
        <v>197</v>
      </c>
      <c r="O4633" s="297" t="s">
        <v>198</v>
      </c>
      <c r="P4633" s="297" t="s">
        <v>199</v>
      </c>
      <c r="Q4633" s="297" t="s">
        <v>200</v>
      </c>
      <c r="R4633" s="297" t="s">
        <v>213</v>
      </c>
      <c r="S4633" s="297" t="s">
        <v>214</v>
      </c>
    </row>
    <row r="4634" spans="1:19" x14ac:dyDescent="0.4">
      <c r="A4634" s="291"/>
      <c r="B4634" s="292"/>
      <c r="C4634" s="312"/>
      <c r="D4634" s="292"/>
      <c r="E4634" s="489"/>
      <c r="F4634" s="489"/>
      <c r="G4634" s="490"/>
      <c r="H4634" s="520"/>
      <c r="I4634" s="523"/>
      <c r="J4634" s="521"/>
      <c r="K4634" s="522"/>
      <c r="M4634" s="301" t="str">
        <f>N4634&amp;AS[[#This Row],[Insurer Code]]&amp;"; "&amp;O4634&amp;AS[[#This Row],[Reporting Year]]&amp;"; "&amp;P4634&amp;AS[[#This Row],[Insurance Category Code]]&amp;"; "&amp;Q4634&amp;AS[[#This Row],[Large Provider Entity Code]]&amp;"; "&amp;R4634&amp;AS[[#This Row],[Age Band Code]]&amp;"; "&amp;S4634&amp;AS[[#This Row],[Sex Code]]</f>
        <v xml:space="preserve">Insurer Code ; Reporting Year ; Insurance Category Code ; Large Provider Entity Code ; Age Band Code ; Sex Code </v>
      </c>
      <c r="N4634" s="297" t="s">
        <v>197</v>
      </c>
      <c r="O4634" s="297" t="s">
        <v>198</v>
      </c>
      <c r="P4634" s="297" t="s">
        <v>199</v>
      </c>
      <c r="Q4634" s="297" t="s">
        <v>200</v>
      </c>
      <c r="R4634" s="297" t="s">
        <v>213</v>
      </c>
      <c r="S4634" s="297" t="s">
        <v>214</v>
      </c>
    </row>
    <row r="4635" spans="1:19" x14ac:dyDescent="0.4">
      <c r="A4635" s="291"/>
      <c r="B4635" s="292"/>
      <c r="C4635" s="312"/>
      <c r="D4635" s="292"/>
      <c r="E4635" s="489"/>
      <c r="F4635" s="489"/>
      <c r="G4635" s="490"/>
      <c r="H4635" s="520"/>
      <c r="I4635" s="523"/>
      <c r="J4635" s="521"/>
      <c r="K4635" s="522"/>
      <c r="M4635" s="301" t="str">
        <f>N4635&amp;AS[[#This Row],[Insurer Code]]&amp;"; "&amp;O4635&amp;AS[[#This Row],[Reporting Year]]&amp;"; "&amp;P4635&amp;AS[[#This Row],[Insurance Category Code]]&amp;"; "&amp;Q4635&amp;AS[[#This Row],[Large Provider Entity Code]]&amp;"; "&amp;R4635&amp;AS[[#This Row],[Age Band Code]]&amp;"; "&amp;S4635&amp;AS[[#This Row],[Sex Code]]</f>
        <v xml:space="preserve">Insurer Code ; Reporting Year ; Insurance Category Code ; Large Provider Entity Code ; Age Band Code ; Sex Code </v>
      </c>
      <c r="N4635" s="297" t="s">
        <v>197</v>
      </c>
      <c r="O4635" s="297" t="s">
        <v>198</v>
      </c>
      <c r="P4635" s="297" t="s">
        <v>199</v>
      </c>
      <c r="Q4635" s="297" t="s">
        <v>200</v>
      </c>
      <c r="R4635" s="297" t="s">
        <v>213</v>
      </c>
      <c r="S4635" s="297" t="s">
        <v>214</v>
      </c>
    </row>
    <row r="4636" spans="1:19" x14ac:dyDescent="0.4">
      <c r="A4636" s="291"/>
      <c r="B4636" s="292"/>
      <c r="C4636" s="312"/>
      <c r="D4636" s="292"/>
      <c r="E4636" s="489"/>
      <c r="F4636" s="489"/>
      <c r="G4636" s="490"/>
      <c r="H4636" s="520"/>
      <c r="I4636" s="523"/>
      <c r="J4636" s="521"/>
      <c r="K4636" s="522"/>
      <c r="M4636" s="301" t="str">
        <f>N4636&amp;AS[[#This Row],[Insurer Code]]&amp;"; "&amp;O4636&amp;AS[[#This Row],[Reporting Year]]&amp;"; "&amp;P4636&amp;AS[[#This Row],[Insurance Category Code]]&amp;"; "&amp;Q4636&amp;AS[[#This Row],[Large Provider Entity Code]]&amp;"; "&amp;R4636&amp;AS[[#This Row],[Age Band Code]]&amp;"; "&amp;S4636&amp;AS[[#This Row],[Sex Code]]</f>
        <v xml:space="preserve">Insurer Code ; Reporting Year ; Insurance Category Code ; Large Provider Entity Code ; Age Band Code ; Sex Code </v>
      </c>
      <c r="N4636" s="297" t="s">
        <v>197</v>
      </c>
      <c r="O4636" s="297" t="s">
        <v>198</v>
      </c>
      <c r="P4636" s="297" t="s">
        <v>199</v>
      </c>
      <c r="Q4636" s="297" t="s">
        <v>200</v>
      </c>
      <c r="R4636" s="297" t="s">
        <v>213</v>
      </c>
      <c r="S4636" s="297" t="s">
        <v>214</v>
      </c>
    </row>
    <row r="4637" spans="1:19" x14ac:dyDescent="0.4">
      <c r="A4637" s="291"/>
      <c r="B4637" s="292"/>
      <c r="C4637" s="312"/>
      <c r="D4637" s="292"/>
      <c r="E4637" s="489"/>
      <c r="F4637" s="489"/>
      <c r="G4637" s="490"/>
      <c r="H4637" s="520"/>
      <c r="I4637" s="523"/>
      <c r="J4637" s="521"/>
      <c r="K4637" s="522"/>
      <c r="M4637" s="301" t="str">
        <f>N4637&amp;AS[[#This Row],[Insurer Code]]&amp;"; "&amp;O4637&amp;AS[[#This Row],[Reporting Year]]&amp;"; "&amp;P4637&amp;AS[[#This Row],[Insurance Category Code]]&amp;"; "&amp;Q4637&amp;AS[[#This Row],[Large Provider Entity Code]]&amp;"; "&amp;R4637&amp;AS[[#This Row],[Age Band Code]]&amp;"; "&amp;S4637&amp;AS[[#This Row],[Sex Code]]</f>
        <v xml:space="preserve">Insurer Code ; Reporting Year ; Insurance Category Code ; Large Provider Entity Code ; Age Band Code ; Sex Code </v>
      </c>
      <c r="N4637" s="297" t="s">
        <v>197</v>
      </c>
      <c r="O4637" s="297" t="s">
        <v>198</v>
      </c>
      <c r="P4637" s="297" t="s">
        <v>199</v>
      </c>
      <c r="Q4637" s="297" t="s">
        <v>200</v>
      </c>
      <c r="R4637" s="297" t="s">
        <v>213</v>
      </c>
      <c r="S4637" s="297" t="s">
        <v>214</v>
      </c>
    </row>
    <row r="4638" spans="1:19" x14ac:dyDescent="0.4">
      <c r="A4638" s="291"/>
      <c r="B4638" s="292"/>
      <c r="C4638" s="312"/>
      <c r="D4638" s="292"/>
      <c r="E4638" s="489"/>
      <c r="F4638" s="489"/>
      <c r="G4638" s="490"/>
      <c r="H4638" s="520"/>
      <c r="I4638" s="523"/>
      <c r="J4638" s="521"/>
      <c r="K4638" s="522"/>
      <c r="M4638" s="301" t="str">
        <f>N4638&amp;AS[[#This Row],[Insurer Code]]&amp;"; "&amp;O4638&amp;AS[[#This Row],[Reporting Year]]&amp;"; "&amp;P4638&amp;AS[[#This Row],[Insurance Category Code]]&amp;"; "&amp;Q4638&amp;AS[[#This Row],[Large Provider Entity Code]]&amp;"; "&amp;R4638&amp;AS[[#This Row],[Age Band Code]]&amp;"; "&amp;S4638&amp;AS[[#This Row],[Sex Code]]</f>
        <v xml:space="preserve">Insurer Code ; Reporting Year ; Insurance Category Code ; Large Provider Entity Code ; Age Band Code ; Sex Code </v>
      </c>
      <c r="N4638" s="297" t="s">
        <v>197</v>
      </c>
      <c r="O4638" s="297" t="s">
        <v>198</v>
      </c>
      <c r="P4638" s="297" t="s">
        <v>199</v>
      </c>
      <c r="Q4638" s="297" t="s">
        <v>200</v>
      </c>
      <c r="R4638" s="297" t="s">
        <v>213</v>
      </c>
      <c r="S4638" s="297" t="s">
        <v>214</v>
      </c>
    </row>
    <row r="4639" spans="1:19" x14ac:dyDescent="0.4">
      <c r="A4639" s="291"/>
      <c r="B4639" s="292"/>
      <c r="C4639" s="312"/>
      <c r="D4639" s="292"/>
      <c r="E4639" s="489"/>
      <c r="F4639" s="489"/>
      <c r="G4639" s="490"/>
      <c r="H4639" s="520"/>
      <c r="I4639" s="523"/>
      <c r="J4639" s="521"/>
      <c r="K4639" s="522"/>
      <c r="M4639" s="301" t="str">
        <f>N4639&amp;AS[[#This Row],[Insurer Code]]&amp;"; "&amp;O4639&amp;AS[[#This Row],[Reporting Year]]&amp;"; "&amp;P4639&amp;AS[[#This Row],[Insurance Category Code]]&amp;"; "&amp;Q4639&amp;AS[[#This Row],[Large Provider Entity Code]]&amp;"; "&amp;R4639&amp;AS[[#This Row],[Age Band Code]]&amp;"; "&amp;S4639&amp;AS[[#This Row],[Sex Code]]</f>
        <v xml:space="preserve">Insurer Code ; Reporting Year ; Insurance Category Code ; Large Provider Entity Code ; Age Band Code ; Sex Code </v>
      </c>
      <c r="N4639" s="297" t="s">
        <v>197</v>
      </c>
      <c r="O4639" s="297" t="s">
        <v>198</v>
      </c>
      <c r="P4639" s="297" t="s">
        <v>199</v>
      </c>
      <c r="Q4639" s="297" t="s">
        <v>200</v>
      </c>
      <c r="R4639" s="297" t="s">
        <v>213</v>
      </c>
      <c r="S4639" s="297" t="s">
        <v>214</v>
      </c>
    </row>
    <row r="4640" spans="1:19" x14ac:dyDescent="0.4">
      <c r="A4640" s="291"/>
      <c r="B4640" s="292"/>
      <c r="C4640" s="312"/>
      <c r="D4640" s="292"/>
      <c r="E4640" s="489"/>
      <c r="F4640" s="489"/>
      <c r="G4640" s="490"/>
      <c r="H4640" s="520"/>
      <c r="I4640" s="523"/>
      <c r="J4640" s="521"/>
      <c r="K4640" s="522"/>
      <c r="M4640" s="301" t="str">
        <f>N4640&amp;AS[[#This Row],[Insurer Code]]&amp;"; "&amp;O4640&amp;AS[[#This Row],[Reporting Year]]&amp;"; "&amp;P4640&amp;AS[[#This Row],[Insurance Category Code]]&amp;"; "&amp;Q4640&amp;AS[[#This Row],[Large Provider Entity Code]]&amp;"; "&amp;R4640&amp;AS[[#This Row],[Age Band Code]]&amp;"; "&amp;S4640&amp;AS[[#This Row],[Sex Code]]</f>
        <v xml:space="preserve">Insurer Code ; Reporting Year ; Insurance Category Code ; Large Provider Entity Code ; Age Band Code ; Sex Code </v>
      </c>
      <c r="N4640" s="297" t="s">
        <v>197</v>
      </c>
      <c r="O4640" s="297" t="s">
        <v>198</v>
      </c>
      <c r="P4640" s="297" t="s">
        <v>199</v>
      </c>
      <c r="Q4640" s="297" t="s">
        <v>200</v>
      </c>
      <c r="R4640" s="297" t="s">
        <v>213</v>
      </c>
      <c r="S4640" s="297" t="s">
        <v>214</v>
      </c>
    </row>
    <row r="4641" spans="1:19" x14ac:dyDescent="0.4">
      <c r="A4641" s="291"/>
      <c r="B4641" s="292"/>
      <c r="C4641" s="312"/>
      <c r="D4641" s="292"/>
      <c r="E4641" s="489"/>
      <c r="F4641" s="489"/>
      <c r="G4641" s="490"/>
      <c r="H4641" s="520"/>
      <c r="I4641" s="523"/>
      <c r="J4641" s="521"/>
      <c r="K4641" s="522"/>
      <c r="M4641" s="301" t="str">
        <f>N4641&amp;AS[[#This Row],[Insurer Code]]&amp;"; "&amp;O4641&amp;AS[[#This Row],[Reporting Year]]&amp;"; "&amp;P4641&amp;AS[[#This Row],[Insurance Category Code]]&amp;"; "&amp;Q4641&amp;AS[[#This Row],[Large Provider Entity Code]]&amp;"; "&amp;R4641&amp;AS[[#This Row],[Age Band Code]]&amp;"; "&amp;S4641&amp;AS[[#This Row],[Sex Code]]</f>
        <v xml:space="preserve">Insurer Code ; Reporting Year ; Insurance Category Code ; Large Provider Entity Code ; Age Band Code ; Sex Code </v>
      </c>
      <c r="N4641" s="297" t="s">
        <v>197</v>
      </c>
      <c r="O4641" s="297" t="s">
        <v>198</v>
      </c>
      <c r="P4641" s="297" t="s">
        <v>199</v>
      </c>
      <c r="Q4641" s="297" t="s">
        <v>200</v>
      </c>
      <c r="R4641" s="297" t="s">
        <v>213</v>
      </c>
      <c r="S4641" s="297" t="s">
        <v>214</v>
      </c>
    </row>
    <row r="4642" spans="1:19" x14ac:dyDescent="0.4">
      <c r="A4642" s="291"/>
      <c r="B4642" s="292"/>
      <c r="C4642" s="312"/>
      <c r="D4642" s="292"/>
      <c r="E4642" s="489"/>
      <c r="F4642" s="489"/>
      <c r="G4642" s="490"/>
      <c r="H4642" s="520"/>
      <c r="I4642" s="523"/>
      <c r="J4642" s="521"/>
      <c r="K4642" s="522"/>
      <c r="M4642" s="301" t="str">
        <f>N4642&amp;AS[[#This Row],[Insurer Code]]&amp;"; "&amp;O4642&amp;AS[[#This Row],[Reporting Year]]&amp;"; "&amp;P4642&amp;AS[[#This Row],[Insurance Category Code]]&amp;"; "&amp;Q4642&amp;AS[[#This Row],[Large Provider Entity Code]]&amp;"; "&amp;R4642&amp;AS[[#This Row],[Age Band Code]]&amp;"; "&amp;S4642&amp;AS[[#This Row],[Sex Code]]</f>
        <v xml:space="preserve">Insurer Code ; Reporting Year ; Insurance Category Code ; Large Provider Entity Code ; Age Band Code ; Sex Code </v>
      </c>
      <c r="N4642" s="297" t="s">
        <v>197</v>
      </c>
      <c r="O4642" s="297" t="s">
        <v>198</v>
      </c>
      <c r="P4642" s="297" t="s">
        <v>199</v>
      </c>
      <c r="Q4642" s="297" t="s">
        <v>200</v>
      </c>
      <c r="R4642" s="297" t="s">
        <v>213</v>
      </c>
      <c r="S4642" s="297" t="s">
        <v>214</v>
      </c>
    </row>
    <row r="4643" spans="1:19" x14ac:dyDescent="0.4">
      <c r="A4643" s="291"/>
      <c r="B4643" s="292"/>
      <c r="C4643" s="312"/>
      <c r="D4643" s="292"/>
      <c r="E4643" s="489"/>
      <c r="F4643" s="489"/>
      <c r="G4643" s="490"/>
      <c r="H4643" s="520"/>
      <c r="I4643" s="523"/>
      <c r="J4643" s="521"/>
      <c r="K4643" s="522"/>
      <c r="M4643" s="301" t="str">
        <f>N4643&amp;AS[[#This Row],[Insurer Code]]&amp;"; "&amp;O4643&amp;AS[[#This Row],[Reporting Year]]&amp;"; "&amp;P4643&amp;AS[[#This Row],[Insurance Category Code]]&amp;"; "&amp;Q4643&amp;AS[[#This Row],[Large Provider Entity Code]]&amp;"; "&amp;R4643&amp;AS[[#This Row],[Age Band Code]]&amp;"; "&amp;S4643&amp;AS[[#This Row],[Sex Code]]</f>
        <v xml:space="preserve">Insurer Code ; Reporting Year ; Insurance Category Code ; Large Provider Entity Code ; Age Band Code ; Sex Code </v>
      </c>
      <c r="N4643" s="297" t="s">
        <v>197</v>
      </c>
      <c r="O4643" s="297" t="s">
        <v>198</v>
      </c>
      <c r="P4643" s="297" t="s">
        <v>199</v>
      </c>
      <c r="Q4643" s="297" t="s">
        <v>200</v>
      </c>
      <c r="R4643" s="297" t="s">
        <v>213</v>
      </c>
      <c r="S4643" s="297" t="s">
        <v>214</v>
      </c>
    </row>
    <row r="4644" spans="1:19" x14ac:dyDescent="0.4">
      <c r="A4644" s="291"/>
      <c r="B4644" s="292"/>
      <c r="C4644" s="312"/>
      <c r="D4644" s="292"/>
      <c r="E4644" s="489"/>
      <c r="F4644" s="489"/>
      <c r="G4644" s="490"/>
      <c r="H4644" s="520"/>
      <c r="I4644" s="523"/>
      <c r="J4644" s="521"/>
      <c r="K4644" s="522"/>
      <c r="M4644" s="301" t="str">
        <f>N4644&amp;AS[[#This Row],[Insurer Code]]&amp;"; "&amp;O4644&amp;AS[[#This Row],[Reporting Year]]&amp;"; "&amp;P4644&amp;AS[[#This Row],[Insurance Category Code]]&amp;"; "&amp;Q4644&amp;AS[[#This Row],[Large Provider Entity Code]]&amp;"; "&amp;R4644&amp;AS[[#This Row],[Age Band Code]]&amp;"; "&amp;S4644&amp;AS[[#This Row],[Sex Code]]</f>
        <v xml:space="preserve">Insurer Code ; Reporting Year ; Insurance Category Code ; Large Provider Entity Code ; Age Band Code ; Sex Code </v>
      </c>
      <c r="N4644" s="297" t="s">
        <v>197</v>
      </c>
      <c r="O4644" s="297" t="s">
        <v>198</v>
      </c>
      <c r="P4644" s="297" t="s">
        <v>199</v>
      </c>
      <c r="Q4644" s="297" t="s">
        <v>200</v>
      </c>
      <c r="R4644" s="297" t="s">
        <v>213</v>
      </c>
      <c r="S4644" s="297" t="s">
        <v>214</v>
      </c>
    </row>
    <row r="4645" spans="1:19" x14ac:dyDescent="0.4">
      <c r="A4645" s="291"/>
      <c r="B4645" s="292"/>
      <c r="C4645" s="312"/>
      <c r="D4645" s="292"/>
      <c r="E4645" s="489"/>
      <c r="F4645" s="489"/>
      <c r="G4645" s="490"/>
      <c r="H4645" s="520"/>
      <c r="I4645" s="523"/>
      <c r="J4645" s="521"/>
      <c r="K4645" s="522"/>
      <c r="M4645" s="301" t="str">
        <f>N4645&amp;AS[[#This Row],[Insurer Code]]&amp;"; "&amp;O4645&amp;AS[[#This Row],[Reporting Year]]&amp;"; "&amp;P4645&amp;AS[[#This Row],[Insurance Category Code]]&amp;"; "&amp;Q4645&amp;AS[[#This Row],[Large Provider Entity Code]]&amp;"; "&amp;R4645&amp;AS[[#This Row],[Age Band Code]]&amp;"; "&amp;S4645&amp;AS[[#This Row],[Sex Code]]</f>
        <v xml:space="preserve">Insurer Code ; Reporting Year ; Insurance Category Code ; Large Provider Entity Code ; Age Band Code ; Sex Code </v>
      </c>
      <c r="N4645" s="297" t="s">
        <v>197</v>
      </c>
      <c r="O4645" s="297" t="s">
        <v>198</v>
      </c>
      <c r="P4645" s="297" t="s">
        <v>199</v>
      </c>
      <c r="Q4645" s="297" t="s">
        <v>200</v>
      </c>
      <c r="R4645" s="297" t="s">
        <v>213</v>
      </c>
      <c r="S4645" s="297" t="s">
        <v>214</v>
      </c>
    </row>
    <row r="4646" spans="1:19" x14ac:dyDescent="0.4">
      <c r="A4646" s="291"/>
      <c r="B4646" s="292"/>
      <c r="C4646" s="312"/>
      <c r="D4646" s="292"/>
      <c r="E4646" s="489"/>
      <c r="F4646" s="489"/>
      <c r="G4646" s="490"/>
      <c r="H4646" s="520"/>
      <c r="I4646" s="523"/>
      <c r="J4646" s="521"/>
      <c r="K4646" s="522"/>
      <c r="M4646" s="301" t="str">
        <f>N4646&amp;AS[[#This Row],[Insurer Code]]&amp;"; "&amp;O4646&amp;AS[[#This Row],[Reporting Year]]&amp;"; "&amp;P4646&amp;AS[[#This Row],[Insurance Category Code]]&amp;"; "&amp;Q4646&amp;AS[[#This Row],[Large Provider Entity Code]]&amp;"; "&amp;R4646&amp;AS[[#This Row],[Age Band Code]]&amp;"; "&amp;S4646&amp;AS[[#This Row],[Sex Code]]</f>
        <v xml:space="preserve">Insurer Code ; Reporting Year ; Insurance Category Code ; Large Provider Entity Code ; Age Band Code ; Sex Code </v>
      </c>
      <c r="N4646" s="297" t="s">
        <v>197</v>
      </c>
      <c r="O4646" s="297" t="s">
        <v>198</v>
      </c>
      <c r="P4646" s="297" t="s">
        <v>199</v>
      </c>
      <c r="Q4646" s="297" t="s">
        <v>200</v>
      </c>
      <c r="R4646" s="297" t="s">
        <v>213</v>
      </c>
      <c r="S4646" s="297" t="s">
        <v>214</v>
      </c>
    </row>
    <row r="4647" spans="1:19" x14ac:dyDescent="0.4">
      <c r="A4647" s="291"/>
      <c r="B4647" s="292"/>
      <c r="C4647" s="312"/>
      <c r="D4647" s="292"/>
      <c r="E4647" s="489"/>
      <c r="F4647" s="489"/>
      <c r="G4647" s="490"/>
      <c r="H4647" s="520"/>
      <c r="I4647" s="523"/>
      <c r="J4647" s="521"/>
      <c r="K4647" s="522"/>
      <c r="M4647" s="301" t="str">
        <f>N4647&amp;AS[[#This Row],[Insurer Code]]&amp;"; "&amp;O4647&amp;AS[[#This Row],[Reporting Year]]&amp;"; "&amp;P4647&amp;AS[[#This Row],[Insurance Category Code]]&amp;"; "&amp;Q4647&amp;AS[[#This Row],[Large Provider Entity Code]]&amp;"; "&amp;R4647&amp;AS[[#This Row],[Age Band Code]]&amp;"; "&amp;S4647&amp;AS[[#This Row],[Sex Code]]</f>
        <v xml:space="preserve">Insurer Code ; Reporting Year ; Insurance Category Code ; Large Provider Entity Code ; Age Band Code ; Sex Code </v>
      </c>
      <c r="N4647" s="297" t="s">
        <v>197</v>
      </c>
      <c r="O4647" s="297" t="s">
        <v>198</v>
      </c>
      <c r="P4647" s="297" t="s">
        <v>199</v>
      </c>
      <c r="Q4647" s="297" t="s">
        <v>200</v>
      </c>
      <c r="R4647" s="297" t="s">
        <v>213</v>
      </c>
      <c r="S4647" s="297" t="s">
        <v>214</v>
      </c>
    </row>
    <row r="4648" spans="1:19" x14ac:dyDescent="0.4">
      <c r="A4648" s="291"/>
      <c r="B4648" s="292"/>
      <c r="C4648" s="312"/>
      <c r="D4648" s="292"/>
      <c r="E4648" s="489"/>
      <c r="F4648" s="489"/>
      <c r="G4648" s="490"/>
      <c r="H4648" s="520"/>
      <c r="I4648" s="523"/>
      <c r="J4648" s="521"/>
      <c r="K4648" s="522"/>
      <c r="M4648" s="301" t="str">
        <f>N4648&amp;AS[[#This Row],[Insurer Code]]&amp;"; "&amp;O4648&amp;AS[[#This Row],[Reporting Year]]&amp;"; "&amp;P4648&amp;AS[[#This Row],[Insurance Category Code]]&amp;"; "&amp;Q4648&amp;AS[[#This Row],[Large Provider Entity Code]]&amp;"; "&amp;R4648&amp;AS[[#This Row],[Age Band Code]]&amp;"; "&amp;S4648&amp;AS[[#This Row],[Sex Code]]</f>
        <v xml:space="preserve">Insurer Code ; Reporting Year ; Insurance Category Code ; Large Provider Entity Code ; Age Band Code ; Sex Code </v>
      </c>
      <c r="N4648" s="297" t="s">
        <v>197</v>
      </c>
      <c r="O4648" s="297" t="s">
        <v>198</v>
      </c>
      <c r="P4648" s="297" t="s">
        <v>199</v>
      </c>
      <c r="Q4648" s="297" t="s">
        <v>200</v>
      </c>
      <c r="R4648" s="297" t="s">
        <v>213</v>
      </c>
      <c r="S4648" s="297" t="s">
        <v>214</v>
      </c>
    </row>
    <row r="4649" spans="1:19" x14ac:dyDescent="0.4">
      <c r="A4649" s="291"/>
      <c r="B4649" s="292"/>
      <c r="C4649" s="312"/>
      <c r="D4649" s="292"/>
      <c r="E4649" s="489"/>
      <c r="F4649" s="489"/>
      <c r="G4649" s="490"/>
      <c r="H4649" s="520"/>
      <c r="I4649" s="523"/>
      <c r="J4649" s="521"/>
      <c r="K4649" s="522"/>
      <c r="M4649" s="301" t="str">
        <f>N4649&amp;AS[[#This Row],[Insurer Code]]&amp;"; "&amp;O4649&amp;AS[[#This Row],[Reporting Year]]&amp;"; "&amp;P4649&amp;AS[[#This Row],[Insurance Category Code]]&amp;"; "&amp;Q4649&amp;AS[[#This Row],[Large Provider Entity Code]]&amp;"; "&amp;R4649&amp;AS[[#This Row],[Age Band Code]]&amp;"; "&amp;S4649&amp;AS[[#This Row],[Sex Code]]</f>
        <v xml:space="preserve">Insurer Code ; Reporting Year ; Insurance Category Code ; Large Provider Entity Code ; Age Band Code ; Sex Code </v>
      </c>
      <c r="N4649" s="297" t="s">
        <v>197</v>
      </c>
      <c r="O4649" s="297" t="s">
        <v>198</v>
      </c>
      <c r="P4649" s="297" t="s">
        <v>199</v>
      </c>
      <c r="Q4649" s="297" t="s">
        <v>200</v>
      </c>
      <c r="R4649" s="297" t="s">
        <v>213</v>
      </c>
      <c r="S4649" s="297" t="s">
        <v>214</v>
      </c>
    </row>
    <row r="4650" spans="1:19" x14ac:dyDescent="0.4">
      <c r="A4650" s="291"/>
      <c r="B4650" s="292"/>
      <c r="C4650" s="312"/>
      <c r="D4650" s="292"/>
      <c r="E4650" s="489"/>
      <c r="F4650" s="489"/>
      <c r="G4650" s="490"/>
      <c r="H4650" s="520"/>
      <c r="I4650" s="523"/>
      <c r="J4650" s="521"/>
      <c r="K4650" s="522"/>
      <c r="M4650" s="301" t="str">
        <f>N4650&amp;AS[[#This Row],[Insurer Code]]&amp;"; "&amp;O4650&amp;AS[[#This Row],[Reporting Year]]&amp;"; "&amp;P4650&amp;AS[[#This Row],[Insurance Category Code]]&amp;"; "&amp;Q4650&amp;AS[[#This Row],[Large Provider Entity Code]]&amp;"; "&amp;R4650&amp;AS[[#This Row],[Age Band Code]]&amp;"; "&amp;S4650&amp;AS[[#This Row],[Sex Code]]</f>
        <v xml:space="preserve">Insurer Code ; Reporting Year ; Insurance Category Code ; Large Provider Entity Code ; Age Band Code ; Sex Code </v>
      </c>
      <c r="N4650" s="297" t="s">
        <v>197</v>
      </c>
      <c r="O4650" s="297" t="s">
        <v>198</v>
      </c>
      <c r="P4650" s="297" t="s">
        <v>199</v>
      </c>
      <c r="Q4650" s="297" t="s">
        <v>200</v>
      </c>
      <c r="R4650" s="297" t="s">
        <v>213</v>
      </c>
      <c r="S4650" s="297" t="s">
        <v>214</v>
      </c>
    </row>
    <row r="4651" spans="1:19" x14ac:dyDescent="0.4">
      <c r="A4651" s="291"/>
      <c r="B4651" s="292"/>
      <c r="C4651" s="312"/>
      <c r="D4651" s="292"/>
      <c r="E4651" s="489"/>
      <c r="F4651" s="489"/>
      <c r="G4651" s="490"/>
      <c r="H4651" s="520"/>
      <c r="I4651" s="523"/>
      <c r="J4651" s="521"/>
      <c r="K4651" s="522"/>
      <c r="M4651" s="301" t="str">
        <f>N4651&amp;AS[[#This Row],[Insurer Code]]&amp;"; "&amp;O4651&amp;AS[[#This Row],[Reporting Year]]&amp;"; "&amp;P4651&amp;AS[[#This Row],[Insurance Category Code]]&amp;"; "&amp;Q4651&amp;AS[[#This Row],[Large Provider Entity Code]]&amp;"; "&amp;R4651&amp;AS[[#This Row],[Age Band Code]]&amp;"; "&amp;S4651&amp;AS[[#This Row],[Sex Code]]</f>
        <v xml:space="preserve">Insurer Code ; Reporting Year ; Insurance Category Code ; Large Provider Entity Code ; Age Band Code ; Sex Code </v>
      </c>
      <c r="N4651" s="297" t="s">
        <v>197</v>
      </c>
      <c r="O4651" s="297" t="s">
        <v>198</v>
      </c>
      <c r="P4651" s="297" t="s">
        <v>199</v>
      </c>
      <c r="Q4651" s="297" t="s">
        <v>200</v>
      </c>
      <c r="R4651" s="297" t="s">
        <v>213</v>
      </c>
      <c r="S4651" s="297" t="s">
        <v>214</v>
      </c>
    </row>
    <row r="4652" spans="1:19" x14ac:dyDescent="0.4">
      <c r="A4652" s="291"/>
      <c r="B4652" s="292"/>
      <c r="C4652" s="312"/>
      <c r="D4652" s="292"/>
      <c r="E4652" s="489"/>
      <c r="F4652" s="489"/>
      <c r="G4652" s="490"/>
      <c r="H4652" s="520"/>
      <c r="I4652" s="523"/>
      <c r="J4652" s="521"/>
      <c r="K4652" s="522"/>
      <c r="M4652" s="301" t="str">
        <f>N4652&amp;AS[[#This Row],[Insurer Code]]&amp;"; "&amp;O4652&amp;AS[[#This Row],[Reporting Year]]&amp;"; "&amp;P4652&amp;AS[[#This Row],[Insurance Category Code]]&amp;"; "&amp;Q4652&amp;AS[[#This Row],[Large Provider Entity Code]]&amp;"; "&amp;R4652&amp;AS[[#This Row],[Age Band Code]]&amp;"; "&amp;S4652&amp;AS[[#This Row],[Sex Code]]</f>
        <v xml:space="preserve">Insurer Code ; Reporting Year ; Insurance Category Code ; Large Provider Entity Code ; Age Band Code ; Sex Code </v>
      </c>
      <c r="N4652" s="297" t="s">
        <v>197</v>
      </c>
      <c r="O4652" s="297" t="s">
        <v>198</v>
      </c>
      <c r="P4652" s="297" t="s">
        <v>199</v>
      </c>
      <c r="Q4652" s="297" t="s">
        <v>200</v>
      </c>
      <c r="R4652" s="297" t="s">
        <v>213</v>
      </c>
      <c r="S4652" s="297" t="s">
        <v>214</v>
      </c>
    </row>
    <row r="4653" spans="1:19" x14ac:dyDescent="0.4">
      <c r="A4653" s="291"/>
      <c r="B4653" s="292"/>
      <c r="C4653" s="312"/>
      <c r="D4653" s="292"/>
      <c r="E4653" s="489"/>
      <c r="F4653" s="489"/>
      <c r="G4653" s="490"/>
      <c r="H4653" s="520"/>
      <c r="I4653" s="523"/>
      <c r="J4653" s="521"/>
      <c r="K4653" s="522"/>
      <c r="M4653" s="301" t="str">
        <f>N4653&amp;AS[[#This Row],[Insurer Code]]&amp;"; "&amp;O4653&amp;AS[[#This Row],[Reporting Year]]&amp;"; "&amp;P4653&amp;AS[[#This Row],[Insurance Category Code]]&amp;"; "&amp;Q4653&amp;AS[[#This Row],[Large Provider Entity Code]]&amp;"; "&amp;R4653&amp;AS[[#This Row],[Age Band Code]]&amp;"; "&amp;S4653&amp;AS[[#This Row],[Sex Code]]</f>
        <v xml:space="preserve">Insurer Code ; Reporting Year ; Insurance Category Code ; Large Provider Entity Code ; Age Band Code ; Sex Code </v>
      </c>
      <c r="N4653" s="297" t="s">
        <v>197</v>
      </c>
      <c r="O4653" s="297" t="s">
        <v>198</v>
      </c>
      <c r="P4653" s="297" t="s">
        <v>199</v>
      </c>
      <c r="Q4653" s="297" t="s">
        <v>200</v>
      </c>
      <c r="R4653" s="297" t="s">
        <v>213</v>
      </c>
      <c r="S4653" s="297" t="s">
        <v>214</v>
      </c>
    </row>
    <row r="4654" spans="1:19" x14ac:dyDescent="0.4">
      <c r="A4654" s="291"/>
      <c r="B4654" s="292"/>
      <c r="C4654" s="312"/>
      <c r="D4654" s="292"/>
      <c r="E4654" s="489"/>
      <c r="F4654" s="489"/>
      <c r="G4654" s="490"/>
      <c r="H4654" s="520"/>
      <c r="I4654" s="523"/>
      <c r="J4654" s="521"/>
      <c r="K4654" s="522"/>
      <c r="M4654" s="301" t="str">
        <f>N4654&amp;AS[[#This Row],[Insurer Code]]&amp;"; "&amp;O4654&amp;AS[[#This Row],[Reporting Year]]&amp;"; "&amp;P4654&amp;AS[[#This Row],[Insurance Category Code]]&amp;"; "&amp;Q4654&amp;AS[[#This Row],[Large Provider Entity Code]]&amp;"; "&amp;R4654&amp;AS[[#This Row],[Age Band Code]]&amp;"; "&amp;S4654&amp;AS[[#This Row],[Sex Code]]</f>
        <v xml:space="preserve">Insurer Code ; Reporting Year ; Insurance Category Code ; Large Provider Entity Code ; Age Band Code ; Sex Code </v>
      </c>
      <c r="N4654" s="297" t="s">
        <v>197</v>
      </c>
      <c r="O4654" s="297" t="s">
        <v>198</v>
      </c>
      <c r="P4654" s="297" t="s">
        <v>199</v>
      </c>
      <c r="Q4654" s="297" t="s">
        <v>200</v>
      </c>
      <c r="R4654" s="297" t="s">
        <v>213</v>
      </c>
      <c r="S4654" s="297" t="s">
        <v>214</v>
      </c>
    </row>
    <row r="4655" spans="1:19" x14ac:dyDescent="0.4">
      <c r="A4655" s="291"/>
      <c r="B4655" s="292"/>
      <c r="C4655" s="312"/>
      <c r="D4655" s="292"/>
      <c r="E4655" s="489"/>
      <c r="F4655" s="489"/>
      <c r="G4655" s="490"/>
      <c r="H4655" s="520"/>
      <c r="I4655" s="523"/>
      <c r="J4655" s="521"/>
      <c r="K4655" s="522"/>
      <c r="M4655" s="301" t="str">
        <f>N4655&amp;AS[[#This Row],[Insurer Code]]&amp;"; "&amp;O4655&amp;AS[[#This Row],[Reporting Year]]&amp;"; "&amp;P4655&amp;AS[[#This Row],[Insurance Category Code]]&amp;"; "&amp;Q4655&amp;AS[[#This Row],[Large Provider Entity Code]]&amp;"; "&amp;R4655&amp;AS[[#This Row],[Age Band Code]]&amp;"; "&amp;S4655&amp;AS[[#This Row],[Sex Code]]</f>
        <v xml:space="preserve">Insurer Code ; Reporting Year ; Insurance Category Code ; Large Provider Entity Code ; Age Band Code ; Sex Code </v>
      </c>
      <c r="N4655" s="297" t="s">
        <v>197</v>
      </c>
      <c r="O4655" s="297" t="s">
        <v>198</v>
      </c>
      <c r="P4655" s="297" t="s">
        <v>199</v>
      </c>
      <c r="Q4655" s="297" t="s">
        <v>200</v>
      </c>
      <c r="R4655" s="297" t="s">
        <v>213</v>
      </c>
      <c r="S4655" s="297" t="s">
        <v>214</v>
      </c>
    </row>
    <row r="4656" spans="1:19" x14ac:dyDescent="0.4">
      <c r="A4656" s="291"/>
      <c r="B4656" s="292"/>
      <c r="C4656" s="312"/>
      <c r="D4656" s="292"/>
      <c r="E4656" s="489"/>
      <c r="F4656" s="489"/>
      <c r="G4656" s="490"/>
      <c r="H4656" s="520"/>
      <c r="I4656" s="523"/>
      <c r="J4656" s="521"/>
      <c r="K4656" s="522"/>
      <c r="M4656" s="301" t="str">
        <f>N4656&amp;AS[[#This Row],[Insurer Code]]&amp;"; "&amp;O4656&amp;AS[[#This Row],[Reporting Year]]&amp;"; "&amp;P4656&amp;AS[[#This Row],[Insurance Category Code]]&amp;"; "&amp;Q4656&amp;AS[[#This Row],[Large Provider Entity Code]]&amp;"; "&amp;R4656&amp;AS[[#This Row],[Age Band Code]]&amp;"; "&amp;S4656&amp;AS[[#This Row],[Sex Code]]</f>
        <v xml:space="preserve">Insurer Code ; Reporting Year ; Insurance Category Code ; Large Provider Entity Code ; Age Band Code ; Sex Code </v>
      </c>
      <c r="N4656" s="297" t="s">
        <v>197</v>
      </c>
      <c r="O4656" s="297" t="s">
        <v>198</v>
      </c>
      <c r="P4656" s="297" t="s">
        <v>199</v>
      </c>
      <c r="Q4656" s="297" t="s">
        <v>200</v>
      </c>
      <c r="R4656" s="297" t="s">
        <v>213</v>
      </c>
      <c r="S4656" s="297" t="s">
        <v>214</v>
      </c>
    </row>
    <row r="4657" spans="1:19" x14ac:dyDescent="0.4">
      <c r="A4657" s="291"/>
      <c r="B4657" s="292"/>
      <c r="C4657" s="312"/>
      <c r="D4657" s="292"/>
      <c r="E4657" s="489"/>
      <c r="F4657" s="489"/>
      <c r="G4657" s="490"/>
      <c r="H4657" s="520"/>
      <c r="I4657" s="523"/>
      <c r="J4657" s="521"/>
      <c r="K4657" s="522"/>
      <c r="M4657" s="301" t="str">
        <f>N4657&amp;AS[[#This Row],[Insurer Code]]&amp;"; "&amp;O4657&amp;AS[[#This Row],[Reporting Year]]&amp;"; "&amp;P4657&amp;AS[[#This Row],[Insurance Category Code]]&amp;"; "&amp;Q4657&amp;AS[[#This Row],[Large Provider Entity Code]]&amp;"; "&amp;R4657&amp;AS[[#This Row],[Age Band Code]]&amp;"; "&amp;S4657&amp;AS[[#This Row],[Sex Code]]</f>
        <v xml:space="preserve">Insurer Code ; Reporting Year ; Insurance Category Code ; Large Provider Entity Code ; Age Band Code ; Sex Code </v>
      </c>
      <c r="N4657" s="297" t="s">
        <v>197</v>
      </c>
      <c r="O4657" s="297" t="s">
        <v>198</v>
      </c>
      <c r="P4657" s="297" t="s">
        <v>199</v>
      </c>
      <c r="Q4657" s="297" t="s">
        <v>200</v>
      </c>
      <c r="R4657" s="297" t="s">
        <v>213</v>
      </c>
      <c r="S4657" s="297" t="s">
        <v>214</v>
      </c>
    </row>
    <row r="4658" spans="1:19" x14ac:dyDescent="0.4">
      <c r="A4658" s="291"/>
      <c r="B4658" s="292"/>
      <c r="C4658" s="312"/>
      <c r="D4658" s="292"/>
      <c r="E4658" s="489"/>
      <c r="F4658" s="489"/>
      <c r="G4658" s="490"/>
      <c r="H4658" s="520"/>
      <c r="I4658" s="523"/>
      <c r="J4658" s="521"/>
      <c r="K4658" s="522"/>
      <c r="M4658" s="301" t="str">
        <f>N4658&amp;AS[[#This Row],[Insurer Code]]&amp;"; "&amp;O4658&amp;AS[[#This Row],[Reporting Year]]&amp;"; "&amp;P4658&amp;AS[[#This Row],[Insurance Category Code]]&amp;"; "&amp;Q4658&amp;AS[[#This Row],[Large Provider Entity Code]]&amp;"; "&amp;R4658&amp;AS[[#This Row],[Age Band Code]]&amp;"; "&amp;S4658&amp;AS[[#This Row],[Sex Code]]</f>
        <v xml:space="preserve">Insurer Code ; Reporting Year ; Insurance Category Code ; Large Provider Entity Code ; Age Band Code ; Sex Code </v>
      </c>
      <c r="N4658" s="297" t="s">
        <v>197</v>
      </c>
      <c r="O4658" s="297" t="s">
        <v>198</v>
      </c>
      <c r="P4658" s="297" t="s">
        <v>199</v>
      </c>
      <c r="Q4658" s="297" t="s">
        <v>200</v>
      </c>
      <c r="R4658" s="297" t="s">
        <v>213</v>
      </c>
      <c r="S4658" s="297" t="s">
        <v>214</v>
      </c>
    </row>
    <row r="4659" spans="1:19" x14ac:dyDescent="0.4">
      <c r="A4659" s="291"/>
      <c r="B4659" s="292"/>
      <c r="C4659" s="312"/>
      <c r="D4659" s="292"/>
      <c r="E4659" s="489"/>
      <c r="F4659" s="489"/>
      <c r="G4659" s="490"/>
      <c r="H4659" s="520"/>
      <c r="I4659" s="523"/>
      <c r="J4659" s="521"/>
      <c r="K4659" s="522"/>
      <c r="M4659" s="301" t="str">
        <f>N4659&amp;AS[[#This Row],[Insurer Code]]&amp;"; "&amp;O4659&amp;AS[[#This Row],[Reporting Year]]&amp;"; "&amp;P4659&amp;AS[[#This Row],[Insurance Category Code]]&amp;"; "&amp;Q4659&amp;AS[[#This Row],[Large Provider Entity Code]]&amp;"; "&amp;R4659&amp;AS[[#This Row],[Age Band Code]]&amp;"; "&amp;S4659&amp;AS[[#This Row],[Sex Code]]</f>
        <v xml:space="preserve">Insurer Code ; Reporting Year ; Insurance Category Code ; Large Provider Entity Code ; Age Band Code ; Sex Code </v>
      </c>
      <c r="N4659" s="297" t="s">
        <v>197</v>
      </c>
      <c r="O4659" s="297" t="s">
        <v>198</v>
      </c>
      <c r="P4659" s="297" t="s">
        <v>199</v>
      </c>
      <c r="Q4659" s="297" t="s">
        <v>200</v>
      </c>
      <c r="R4659" s="297" t="s">
        <v>213</v>
      </c>
      <c r="S4659" s="297" t="s">
        <v>214</v>
      </c>
    </row>
    <row r="4660" spans="1:19" x14ac:dyDescent="0.4">
      <c r="A4660" s="291"/>
      <c r="B4660" s="292"/>
      <c r="C4660" s="312"/>
      <c r="D4660" s="292"/>
      <c r="E4660" s="489"/>
      <c r="F4660" s="489"/>
      <c r="G4660" s="490"/>
      <c r="H4660" s="520"/>
      <c r="I4660" s="523"/>
      <c r="J4660" s="521"/>
      <c r="K4660" s="522"/>
      <c r="M4660" s="301" t="str">
        <f>N4660&amp;AS[[#This Row],[Insurer Code]]&amp;"; "&amp;O4660&amp;AS[[#This Row],[Reporting Year]]&amp;"; "&amp;P4660&amp;AS[[#This Row],[Insurance Category Code]]&amp;"; "&amp;Q4660&amp;AS[[#This Row],[Large Provider Entity Code]]&amp;"; "&amp;R4660&amp;AS[[#This Row],[Age Band Code]]&amp;"; "&amp;S4660&amp;AS[[#This Row],[Sex Code]]</f>
        <v xml:space="preserve">Insurer Code ; Reporting Year ; Insurance Category Code ; Large Provider Entity Code ; Age Band Code ; Sex Code </v>
      </c>
      <c r="N4660" s="297" t="s">
        <v>197</v>
      </c>
      <c r="O4660" s="297" t="s">
        <v>198</v>
      </c>
      <c r="P4660" s="297" t="s">
        <v>199</v>
      </c>
      <c r="Q4660" s="297" t="s">
        <v>200</v>
      </c>
      <c r="R4660" s="297" t="s">
        <v>213</v>
      </c>
      <c r="S4660" s="297" t="s">
        <v>214</v>
      </c>
    </row>
    <row r="4661" spans="1:19" x14ac:dyDescent="0.4">
      <c r="A4661" s="291"/>
      <c r="B4661" s="292"/>
      <c r="C4661" s="312"/>
      <c r="D4661" s="292"/>
      <c r="E4661" s="489"/>
      <c r="F4661" s="489"/>
      <c r="G4661" s="490"/>
      <c r="H4661" s="520"/>
      <c r="I4661" s="523"/>
      <c r="J4661" s="521"/>
      <c r="K4661" s="522"/>
      <c r="M4661" s="301" t="str">
        <f>N4661&amp;AS[[#This Row],[Insurer Code]]&amp;"; "&amp;O4661&amp;AS[[#This Row],[Reporting Year]]&amp;"; "&amp;P4661&amp;AS[[#This Row],[Insurance Category Code]]&amp;"; "&amp;Q4661&amp;AS[[#This Row],[Large Provider Entity Code]]&amp;"; "&amp;R4661&amp;AS[[#This Row],[Age Band Code]]&amp;"; "&amp;S4661&amp;AS[[#This Row],[Sex Code]]</f>
        <v xml:space="preserve">Insurer Code ; Reporting Year ; Insurance Category Code ; Large Provider Entity Code ; Age Band Code ; Sex Code </v>
      </c>
      <c r="N4661" s="297" t="s">
        <v>197</v>
      </c>
      <c r="O4661" s="297" t="s">
        <v>198</v>
      </c>
      <c r="P4661" s="297" t="s">
        <v>199</v>
      </c>
      <c r="Q4661" s="297" t="s">
        <v>200</v>
      </c>
      <c r="R4661" s="297" t="s">
        <v>213</v>
      </c>
      <c r="S4661" s="297" t="s">
        <v>214</v>
      </c>
    </row>
    <row r="4662" spans="1:19" x14ac:dyDescent="0.4">
      <c r="A4662" s="291"/>
      <c r="B4662" s="292"/>
      <c r="C4662" s="312"/>
      <c r="D4662" s="292"/>
      <c r="E4662" s="489"/>
      <c r="F4662" s="489"/>
      <c r="G4662" s="490"/>
      <c r="H4662" s="520"/>
      <c r="I4662" s="523"/>
      <c r="J4662" s="521"/>
      <c r="K4662" s="522"/>
      <c r="M4662" s="301" t="str">
        <f>N4662&amp;AS[[#This Row],[Insurer Code]]&amp;"; "&amp;O4662&amp;AS[[#This Row],[Reporting Year]]&amp;"; "&amp;P4662&amp;AS[[#This Row],[Insurance Category Code]]&amp;"; "&amp;Q4662&amp;AS[[#This Row],[Large Provider Entity Code]]&amp;"; "&amp;R4662&amp;AS[[#This Row],[Age Band Code]]&amp;"; "&amp;S4662&amp;AS[[#This Row],[Sex Code]]</f>
        <v xml:space="preserve">Insurer Code ; Reporting Year ; Insurance Category Code ; Large Provider Entity Code ; Age Band Code ; Sex Code </v>
      </c>
      <c r="N4662" s="297" t="s">
        <v>197</v>
      </c>
      <c r="O4662" s="297" t="s">
        <v>198</v>
      </c>
      <c r="P4662" s="297" t="s">
        <v>199</v>
      </c>
      <c r="Q4662" s="297" t="s">
        <v>200</v>
      </c>
      <c r="R4662" s="297" t="s">
        <v>213</v>
      </c>
      <c r="S4662" s="297" t="s">
        <v>214</v>
      </c>
    </row>
    <row r="4663" spans="1:19" x14ac:dyDescent="0.4">
      <c r="A4663" s="291"/>
      <c r="B4663" s="292"/>
      <c r="C4663" s="312"/>
      <c r="D4663" s="292"/>
      <c r="E4663" s="489"/>
      <c r="F4663" s="489"/>
      <c r="G4663" s="490"/>
      <c r="H4663" s="520"/>
      <c r="I4663" s="523"/>
      <c r="J4663" s="521"/>
      <c r="K4663" s="522"/>
      <c r="M4663" s="301" t="str">
        <f>N4663&amp;AS[[#This Row],[Insurer Code]]&amp;"; "&amp;O4663&amp;AS[[#This Row],[Reporting Year]]&amp;"; "&amp;P4663&amp;AS[[#This Row],[Insurance Category Code]]&amp;"; "&amp;Q4663&amp;AS[[#This Row],[Large Provider Entity Code]]&amp;"; "&amp;R4663&amp;AS[[#This Row],[Age Band Code]]&amp;"; "&amp;S4663&amp;AS[[#This Row],[Sex Code]]</f>
        <v xml:space="preserve">Insurer Code ; Reporting Year ; Insurance Category Code ; Large Provider Entity Code ; Age Band Code ; Sex Code </v>
      </c>
      <c r="N4663" s="297" t="s">
        <v>197</v>
      </c>
      <c r="O4663" s="297" t="s">
        <v>198</v>
      </c>
      <c r="P4663" s="297" t="s">
        <v>199</v>
      </c>
      <c r="Q4663" s="297" t="s">
        <v>200</v>
      </c>
      <c r="R4663" s="297" t="s">
        <v>213</v>
      </c>
      <c r="S4663" s="297" t="s">
        <v>214</v>
      </c>
    </row>
    <row r="4664" spans="1:19" x14ac:dyDescent="0.4">
      <c r="A4664" s="291"/>
      <c r="B4664" s="292"/>
      <c r="C4664" s="312"/>
      <c r="D4664" s="292"/>
      <c r="E4664" s="489"/>
      <c r="F4664" s="489"/>
      <c r="G4664" s="490"/>
      <c r="H4664" s="520"/>
      <c r="I4664" s="523"/>
      <c r="J4664" s="521"/>
      <c r="K4664" s="522"/>
      <c r="M4664" s="301" t="str">
        <f>N4664&amp;AS[[#This Row],[Insurer Code]]&amp;"; "&amp;O4664&amp;AS[[#This Row],[Reporting Year]]&amp;"; "&amp;P4664&amp;AS[[#This Row],[Insurance Category Code]]&amp;"; "&amp;Q4664&amp;AS[[#This Row],[Large Provider Entity Code]]&amp;"; "&amp;R4664&amp;AS[[#This Row],[Age Band Code]]&amp;"; "&amp;S4664&amp;AS[[#This Row],[Sex Code]]</f>
        <v xml:space="preserve">Insurer Code ; Reporting Year ; Insurance Category Code ; Large Provider Entity Code ; Age Band Code ; Sex Code </v>
      </c>
      <c r="N4664" s="297" t="s">
        <v>197</v>
      </c>
      <c r="O4664" s="297" t="s">
        <v>198</v>
      </c>
      <c r="P4664" s="297" t="s">
        <v>199</v>
      </c>
      <c r="Q4664" s="297" t="s">
        <v>200</v>
      </c>
      <c r="R4664" s="297" t="s">
        <v>213</v>
      </c>
      <c r="S4664" s="297" t="s">
        <v>214</v>
      </c>
    </row>
    <row r="4665" spans="1:19" x14ac:dyDescent="0.4">
      <c r="A4665" s="291"/>
      <c r="B4665" s="292"/>
      <c r="C4665" s="312"/>
      <c r="D4665" s="292"/>
      <c r="E4665" s="489"/>
      <c r="F4665" s="489"/>
      <c r="G4665" s="490"/>
      <c r="H4665" s="520"/>
      <c r="I4665" s="523"/>
      <c r="J4665" s="521"/>
      <c r="K4665" s="522"/>
      <c r="M4665" s="301" t="str">
        <f>N4665&amp;AS[[#This Row],[Insurer Code]]&amp;"; "&amp;O4665&amp;AS[[#This Row],[Reporting Year]]&amp;"; "&amp;P4665&amp;AS[[#This Row],[Insurance Category Code]]&amp;"; "&amp;Q4665&amp;AS[[#This Row],[Large Provider Entity Code]]&amp;"; "&amp;R4665&amp;AS[[#This Row],[Age Band Code]]&amp;"; "&amp;S4665&amp;AS[[#This Row],[Sex Code]]</f>
        <v xml:space="preserve">Insurer Code ; Reporting Year ; Insurance Category Code ; Large Provider Entity Code ; Age Band Code ; Sex Code </v>
      </c>
      <c r="N4665" s="297" t="s">
        <v>197</v>
      </c>
      <c r="O4665" s="297" t="s">
        <v>198</v>
      </c>
      <c r="P4665" s="297" t="s">
        <v>199</v>
      </c>
      <c r="Q4665" s="297" t="s">
        <v>200</v>
      </c>
      <c r="R4665" s="297" t="s">
        <v>213</v>
      </c>
      <c r="S4665" s="297" t="s">
        <v>214</v>
      </c>
    </row>
    <row r="4666" spans="1:19" x14ac:dyDescent="0.4">
      <c r="A4666" s="291"/>
      <c r="B4666" s="292"/>
      <c r="C4666" s="312"/>
      <c r="D4666" s="292"/>
      <c r="E4666" s="489"/>
      <c r="F4666" s="489"/>
      <c r="G4666" s="490"/>
      <c r="H4666" s="520"/>
      <c r="I4666" s="523"/>
      <c r="J4666" s="521"/>
      <c r="K4666" s="522"/>
      <c r="M4666" s="301" t="str">
        <f>N4666&amp;AS[[#This Row],[Insurer Code]]&amp;"; "&amp;O4666&amp;AS[[#This Row],[Reporting Year]]&amp;"; "&amp;P4666&amp;AS[[#This Row],[Insurance Category Code]]&amp;"; "&amp;Q4666&amp;AS[[#This Row],[Large Provider Entity Code]]&amp;"; "&amp;R4666&amp;AS[[#This Row],[Age Band Code]]&amp;"; "&amp;S4666&amp;AS[[#This Row],[Sex Code]]</f>
        <v xml:space="preserve">Insurer Code ; Reporting Year ; Insurance Category Code ; Large Provider Entity Code ; Age Band Code ; Sex Code </v>
      </c>
      <c r="N4666" s="297" t="s">
        <v>197</v>
      </c>
      <c r="O4666" s="297" t="s">
        <v>198</v>
      </c>
      <c r="P4666" s="297" t="s">
        <v>199</v>
      </c>
      <c r="Q4666" s="297" t="s">
        <v>200</v>
      </c>
      <c r="R4666" s="297" t="s">
        <v>213</v>
      </c>
      <c r="S4666" s="297" t="s">
        <v>214</v>
      </c>
    </row>
    <row r="4667" spans="1:19" x14ac:dyDescent="0.4">
      <c r="A4667" s="291"/>
      <c r="B4667" s="292"/>
      <c r="C4667" s="312"/>
      <c r="D4667" s="292"/>
      <c r="E4667" s="489"/>
      <c r="F4667" s="489"/>
      <c r="G4667" s="490"/>
      <c r="H4667" s="520"/>
      <c r="I4667" s="523"/>
      <c r="J4667" s="521"/>
      <c r="K4667" s="522"/>
      <c r="M4667" s="301" t="str">
        <f>N4667&amp;AS[[#This Row],[Insurer Code]]&amp;"; "&amp;O4667&amp;AS[[#This Row],[Reporting Year]]&amp;"; "&amp;P4667&amp;AS[[#This Row],[Insurance Category Code]]&amp;"; "&amp;Q4667&amp;AS[[#This Row],[Large Provider Entity Code]]&amp;"; "&amp;R4667&amp;AS[[#This Row],[Age Band Code]]&amp;"; "&amp;S4667&amp;AS[[#This Row],[Sex Code]]</f>
        <v xml:space="preserve">Insurer Code ; Reporting Year ; Insurance Category Code ; Large Provider Entity Code ; Age Band Code ; Sex Code </v>
      </c>
      <c r="N4667" s="297" t="s">
        <v>197</v>
      </c>
      <c r="O4667" s="297" t="s">
        <v>198</v>
      </c>
      <c r="P4667" s="297" t="s">
        <v>199</v>
      </c>
      <c r="Q4667" s="297" t="s">
        <v>200</v>
      </c>
      <c r="R4667" s="297" t="s">
        <v>213</v>
      </c>
      <c r="S4667" s="297" t="s">
        <v>214</v>
      </c>
    </row>
    <row r="4668" spans="1:19" x14ac:dyDescent="0.4">
      <c r="A4668" s="291"/>
      <c r="B4668" s="292"/>
      <c r="C4668" s="312"/>
      <c r="D4668" s="292"/>
      <c r="E4668" s="489"/>
      <c r="F4668" s="489"/>
      <c r="G4668" s="490"/>
      <c r="H4668" s="520"/>
      <c r="I4668" s="523"/>
      <c r="J4668" s="521"/>
      <c r="K4668" s="522"/>
      <c r="M4668" s="301" t="str">
        <f>N4668&amp;AS[[#This Row],[Insurer Code]]&amp;"; "&amp;O4668&amp;AS[[#This Row],[Reporting Year]]&amp;"; "&amp;P4668&amp;AS[[#This Row],[Insurance Category Code]]&amp;"; "&amp;Q4668&amp;AS[[#This Row],[Large Provider Entity Code]]&amp;"; "&amp;R4668&amp;AS[[#This Row],[Age Band Code]]&amp;"; "&amp;S4668&amp;AS[[#This Row],[Sex Code]]</f>
        <v xml:space="preserve">Insurer Code ; Reporting Year ; Insurance Category Code ; Large Provider Entity Code ; Age Band Code ; Sex Code </v>
      </c>
      <c r="N4668" s="297" t="s">
        <v>197</v>
      </c>
      <c r="O4668" s="297" t="s">
        <v>198</v>
      </c>
      <c r="P4668" s="297" t="s">
        <v>199</v>
      </c>
      <c r="Q4668" s="297" t="s">
        <v>200</v>
      </c>
      <c r="R4668" s="297" t="s">
        <v>213</v>
      </c>
      <c r="S4668" s="297" t="s">
        <v>214</v>
      </c>
    </row>
    <row r="4669" spans="1:19" x14ac:dyDescent="0.4">
      <c r="A4669" s="291"/>
      <c r="B4669" s="292"/>
      <c r="C4669" s="312"/>
      <c r="D4669" s="292"/>
      <c r="E4669" s="489"/>
      <c r="F4669" s="489"/>
      <c r="G4669" s="490"/>
      <c r="H4669" s="520"/>
      <c r="I4669" s="523"/>
      <c r="J4669" s="521"/>
      <c r="K4669" s="522"/>
      <c r="M4669" s="301" t="str">
        <f>N4669&amp;AS[[#This Row],[Insurer Code]]&amp;"; "&amp;O4669&amp;AS[[#This Row],[Reporting Year]]&amp;"; "&amp;P4669&amp;AS[[#This Row],[Insurance Category Code]]&amp;"; "&amp;Q4669&amp;AS[[#This Row],[Large Provider Entity Code]]&amp;"; "&amp;R4669&amp;AS[[#This Row],[Age Band Code]]&amp;"; "&amp;S4669&amp;AS[[#This Row],[Sex Code]]</f>
        <v xml:space="preserve">Insurer Code ; Reporting Year ; Insurance Category Code ; Large Provider Entity Code ; Age Band Code ; Sex Code </v>
      </c>
      <c r="N4669" s="297" t="s">
        <v>197</v>
      </c>
      <c r="O4669" s="297" t="s">
        <v>198</v>
      </c>
      <c r="P4669" s="297" t="s">
        <v>199</v>
      </c>
      <c r="Q4669" s="297" t="s">
        <v>200</v>
      </c>
      <c r="R4669" s="297" t="s">
        <v>213</v>
      </c>
      <c r="S4669" s="297" t="s">
        <v>214</v>
      </c>
    </row>
    <row r="4670" spans="1:19" x14ac:dyDescent="0.4">
      <c r="A4670" s="291"/>
      <c r="B4670" s="292"/>
      <c r="C4670" s="312"/>
      <c r="D4670" s="292"/>
      <c r="E4670" s="489"/>
      <c r="F4670" s="489"/>
      <c r="G4670" s="490"/>
      <c r="H4670" s="520"/>
      <c r="I4670" s="523"/>
      <c r="J4670" s="521"/>
      <c r="K4670" s="522"/>
      <c r="M4670" s="301" t="str">
        <f>N4670&amp;AS[[#This Row],[Insurer Code]]&amp;"; "&amp;O4670&amp;AS[[#This Row],[Reporting Year]]&amp;"; "&amp;P4670&amp;AS[[#This Row],[Insurance Category Code]]&amp;"; "&amp;Q4670&amp;AS[[#This Row],[Large Provider Entity Code]]&amp;"; "&amp;R4670&amp;AS[[#This Row],[Age Band Code]]&amp;"; "&amp;S4670&amp;AS[[#This Row],[Sex Code]]</f>
        <v xml:space="preserve">Insurer Code ; Reporting Year ; Insurance Category Code ; Large Provider Entity Code ; Age Band Code ; Sex Code </v>
      </c>
      <c r="N4670" s="297" t="s">
        <v>197</v>
      </c>
      <c r="O4670" s="297" t="s">
        <v>198</v>
      </c>
      <c r="P4670" s="297" t="s">
        <v>199</v>
      </c>
      <c r="Q4670" s="297" t="s">
        <v>200</v>
      </c>
      <c r="R4670" s="297" t="s">
        <v>213</v>
      </c>
      <c r="S4670" s="297" t="s">
        <v>214</v>
      </c>
    </row>
    <row r="4671" spans="1:19" x14ac:dyDescent="0.4">
      <c r="A4671" s="291"/>
      <c r="B4671" s="292"/>
      <c r="C4671" s="312"/>
      <c r="D4671" s="292"/>
      <c r="E4671" s="489"/>
      <c r="F4671" s="489"/>
      <c r="G4671" s="490"/>
      <c r="H4671" s="520"/>
      <c r="I4671" s="523"/>
      <c r="J4671" s="521"/>
      <c r="K4671" s="522"/>
      <c r="M4671" s="301" t="str">
        <f>N4671&amp;AS[[#This Row],[Insurer Code]]&amp;"; "&amp;O4671&amp;AS[[#This Row],[Reporting Year]]&amp;"; "&amp;P4671&amp;AS[[#This Row],[Insurance Category Code]]&amp;"; "&amp;Q4671&amp;AS[[#This Row],[Large Provider Entity Code]]&amp;"; "&amp;R4671&amp;AS[[#This Row],[Age Band Code]]&amp;"; "&amp;S4671&amp;AS[[#This Row],[Sex Code]]</f>
        <v xml:space="preserve">Insurer Code ; Reporting Year ; Insurance Category Code ; Large Provider Entity Code ; Age Band Code ; Sex Code </v>
      </c>
      <c r="N4671" s="297" t="s">
        <v>197</v>
      </c>
      <c r="O4671" s="297" t="s">
        <v>198</v>
      </c>
      <c r="P4671" s="297" t="s">
        <v>199</v>
      </c>
      <c r="Q4671" s="297" t="s">
        <v>200</v>
      </c>
      <c r="R4671" s="297" t="s">
        <v>213</v>
      </c>
      <c r="S4671" s="297" t="s">
        <v>214</v>
      </c>
    </row>
    <row r="4672" spans="1:19" x14ac:dyDescent="0.4">
      <c r="A4672" s="291"/>
      <c r="B4672" s="292"/>
      <c r="C4672" s="312"/>
      <c r="D4672" s="292"/>
      <c r="E4672" s="489"/>
      <c r="F4672" s="489"/>
      <c r="G4672" s="490"/>
      <c r="H4672" s="520"/>
      <c r="I4672" s="523"/>
      <c r="J4672" s="521"/>
      <c r="K4672" s="522"/>
      <c r="M4672" s="301" t="str">
        <f>N4672&amp;AS[[#This Row],[Insurer Code]]&amp;"; "&amp;O4672&amp;AS[[#This Row],[Reporting Year]]&amp;"; "&amp;P4672&amp;AS[[#This Row],[Insurance Category Code]]&amp;"; "&amp;Q4672&amp;AS[[#This Row],[Large Provider Entity Code]]&amp;"; "&amp;R4672&amp;AS[[#This Row],[Age Band Code]]&amp;"; "&amp;S4672&amp;AS[[#This Row],[Sex Code]]</f>
        <v xml:space="preserve">Insurer Code ; Reporting Year ; Insurance Category Code ; Large Provider Entity Code ; Age Band Code ; Sex Code </v>
      </c>
      <c r="N4672" s="297" t="s">
        <v>197</v>
      </c>
      <c r="O4672" s="297" t="s">
        <v>198</v>
      </c>
      <c r="P4672" s="297" t="s">
        <v>199</v>
      </c>
      <c r="Q4672" s="297" t="s">
        <v>200</v>
      </c>
      <c r="R4672" s="297" t="s">
        <v>213</v>
      </c>
      <c r="S4672" s="297" t="s">
        <v>214</v>
      </c>
    </row>
    <row r="4673" spans="1:19" x14ac:dyDescent="0.4">
      <c r="A4673" s="291"/>
      <c r="B4673" s="292"/>
      <c r="C4673" s="312"/>
      <c r="D4673" s="292"/>
      <c r="E4673" s="489"/>
      <c r="F4673" s="489"/>
      <c r="G4673" s="490"/>
      <c r="H4673" s="520"/>
      <c r="I4673" s="523"/>
      <c r="J4673" s="521"/>
      <c r="K4673" s="522"/>
      <c r="M4673" s="301" t="str">
        <f>N4673&amp;AS[[#This Row],[Insurer Code]]&amp;"; "&amp;O4673&amp;AS[[#This Row],[Reporting Year]]&amp;"; "&amp;P4673&amp;AS[[#This Row],[Insurance Category Code]]&amp;"; "&amp;Q4673&amp;AS[[#This Row],[Large Provider Entity Code]]&amp;"; "&amp;R4673&amp;AS[[#This Row],[Age Band Code]]&amp;"; "&amp;S4673&amp;AS[[#This Row],[Sex Code]]</f>
        <v xml:space="preserve">Insurer Code ; Reporting Year ; Insurance Category Code ; Large Provider Entity Code ; Age Band Code ; Sex Code </v>
      </c>
      <c r="N4673" s="297" t="s">
        <v>197</v>
      </c>
      <c r="O4673" s="297" t="s">
        <v>198</v>
      </c>
      <c r="P4673" s="297" t="s">
        <v>199</v>
      </c>
      <c r="Q4673" s="297" t="s">
        <v>200</v>
      </c>
      <c r="R4673" s="297" t="s">
        <v>213</v>
      </c>
      <c r="S4673" s="297" t="s">
        <v>214</v>
      </c>
    </row>
    <row r="4674" spans="1:19" x14ac:dyDescent="0.4">
      <c r="A4674" s="291"/>
      <c r="B4674" s="292"/>
      <c r="C4674" s="312"/>
      <c r="D4674" s="292"/>
      <c r="E4674" s="489"/>
      <c r="F4674" s="489"/>
      <c r="G4674" s="490"/>
      <c r="H4674" s="520"/>
      <c r="I4674" s="523"/>
      <c r="J4674" s="521"/>
      <c r="K4674" s="522"/>
      <c r="M4674" s="301" t="str">
        <f>N4674&amp;AS[[#This Row],[Insurer Code]]&amp;"; "&amp;O4674&amp;AS[[#This Row],[Reporting Year]]&amp;"; "&amp;P4674&amp;AS[[#This Row],[Insurance Category Code]]&amp;"; "&amp;Q4674&amp;AS[[#This Row],[Large Provider Entity Code]]&amp;"; "&amp;R4674&amp;AS[[#This Row],[Age Band Code]]&amp;"; "&amp;S4674&amp;AS[[#This Row],[Sex Code]]</f>
        <v xml:space="preserve">Insurer Code ; Reporting Year ; Insurance Category Code ; Large Provider Entity Code ; Age Band Code ; Sex Code </v>
      </c>
      <c r="N4674" s="297" t="s">
        <v>197</v>
      </c>
      <c r="O4674" s="297" t="s">
        <v>198</v>
      </c>
      <c r="P4674" s="297" t="s">
        <v>199</v>
      </c>
      <c r="Q4674" s="297" t="s">
        <v>200</v>
      </c>
      <c r="R4674" s="297" t="s">
        <v>213</v>
      </c>
      <c r="S4674" s="297" t="s">
        <v>214</v>
      </c>
    </row>
    <row r="4675" spans="1:19" x14ac:dyDescent="0.4">
      <c r="A4675" s="291"/>
      <c r="B4675" s="292"/>
      <c r="C4675" s="312"/>
      <c r="D4675" s="292"/>
      <c r="E4675" s="489"/>
      <c r="F4675" s="489"/>
      <c r="G4675" s="490"/>
      <c r="H4675" s="520"/>
      <c r="I4675" s="523"/>
      <c r="J4675" s="521"/>
      <c r="K4675" s="522"/>
      <c r="M4675" s="301" t="str">
        <f>N4675&amp;AS[[#This Row],[Insurer Code]]&amp;"; "&amp;O4675&amp;AS[[#This Row],[Reporting Year]]&amp;"; "&amp;P4675&amp;AS[[#This Row],[Insurance Category Code]]&amp;"; "&amp;Q4675&amp;AS[[#This Row],[Large Provider Entity Code]]&amp;"; "&amp;R4675&amp;AS[[#This Row],[Age Band Code]]&amp;"; "&amp;S4675&amp;AS[[#This Row],[Sex Code]]</f>
        <v xml:space="preserve">Insurer Code ; Reporting Year ; Insurance Category Code ; Large Provider Entity Code ; Age Band Code ; Sex Code </v>
      </c>
      <c r="N4675" s="297" t="s">
        <v>197</v>
      </c>
      <c r="O4675" s="297" t="s">
        <v>198</v>
      </c>
      <c r="P4675" s="297" t="s">
        <v>199</v>
      </c>
      <c r="Q4675" s="297" t="s">
        <v>200</v>
      </c>
      <c r="R4675" s="297" t="s">
        <v>213</v>
      </c>
      <c r="S4675" s="297" t="s">
        <v>214</v>
      </c>
    </row>
    <row r="4676" spans="1:19" x14ac:dyDescent="0.4">
      <c r="A4676" s="291"/>
      <c r="B4676" s="292"/>
      <c r="C4676" s="312"/>
      <c r="D4676" s="292"/>
      <c r="E4676" s="489"/>
      <c r="F4676" s="489"/>
      <c r="G4676" s="490"/>
      <c r="H4676" s="520"/>
      <c r="I4676" s="523"/>
      <c r="J4676" s="521"/>
      <c r="K4676" s="522"/>
      <c r="M4676" s="301" t="str">
        <f>N4676&amp;AS[[#This Row],[Insurer Code]]&amp;"; "&amp;O4676&amp;AS[[#This Row],[Reporting Year]]&amp;"; "&amp;P4676&amp;AS[[#This Row],[Insurance Category Code]]&amp;"; "&amp;Q4676&amp;AS[[#This Row],[Large Provider Entity Code]]&amp;"; "&amp;R4676&amp;AS[[#This Row],[Age Band Code]]&amp;"; "&amp;S4676&amp;AS[[#This Row],[Sex Code]]</f>
        <v xml:space="preserve">Insurer Code ; Reporting Year ; Insurance Category Code ; Large Provider Entity Code ; Age Band Code ; Sex Code </v>
      </c>
      <c r="N4676" s="297" t="s">
        <v>197</v>
      </c>
      <c r="O4676" s="297" t="s">
        <v>198</v>
      </c>
      <c r="P4676" s="297" t="s">
        <v>199</v>
      </c>
      <c r="Q4676" s="297" t="s">
        <v>200</v>
      </c>
      <c r="R4676" s="297" t="s">
        <v>213</v>
      </c>
      <c r="S4676" s="297" t="s">
        <v>214</v>
      </c>
    </row>
    <row r="4677" spans="1:19" x14ac:dyDescent="0.4">
      <c r="A4677" s="291"/>
      <c r="B4677" s="292"/>
      <c r="C4677" s="312"/>
      <c r="D4677" s="292"/>
      <c r="E4677" s="489"/>
      <c r="F4677" s="489"/>
      <c r="G4677" s="490"/>
      <c r="H4677" s="520"/>
      <c r="I4677" s="523"/>
      <c r="J4677" s="521"/>
      <c r="K4677" s="522"/>
      <c r="M4677" s="301" t="str">
        <f>N4677&amp;AS[[#This Row],[Insurer Code]]&amp;"; "&amp;O4677&amp;AS[[#This Row],[Reporting Year]]&amp;"; "&amp;P4677&amp;AS[[#This Row],[Insurance Category Code]]&amp;"; "&amp;Q4677&amp;AS[[#This Row],[Large Provider Entity Code]]&amp;"; "&amp;R4677&amp;AS[[#This Row],[Age Band Code]]&amp;"; "&amp;S4677&amp;AS[[#This Row],[Sex Code]]</f>
        <v xml:space="preserve">Insurer Code ; Reporting Year ; Insurance Category Code ; Large Provider Entity Code ; Age Band Code ; Sex Code </v>
      </c>
      <c r="N4677" s="297" t="s">
        <v>197</v>
      </c>
      <c r="O4677" s="297" t="s">
        <v>198</v>
      </c>
      <c r="P4677" s="297" t="s">
        <v>199</v>
      </c>
      <c r="Q4677" s="297" t="s">
        <v>200</v>
      </c>
      <c r="R4677" s="297" t="s">
        <v>213</v>
      </c>
      <c r="S4677" s="297" t="s">
        <v>214</v>
      </c>
    </row>
    <row r="4678" spans="1:19" x14ac:dyDescent="0.4">
      <c r="A4678" s="291"/>
      <c r="B4678" s="292"/>
      <c r="C4678" s="312"/>
      <c r="D4678" s="292"/>
      <c r="E4678" s="489"/>
      <c r="F4678" s="489"/>
      <c r="G4678" s="490"/>
      <c r="H4678" s="520"/>
      <c r="I4678" s="523"/>
      <c r="J4678" s="521"/>
      <c r="K4678" s="522"/>
      <c r="M4678" s="301" t="str">
        <f>N4678&amp;AS[[#This Row],[Insurer Code]]&amp;"; "&amp;O4678&amp;AS[[#This Row],[Reporting Year]]&amp;"; "&amp;P4678&amp;AS[[#This Row],[Insurance Category Code]]&amp;"; "&amp;Q4678&amp;AS[[#This Row],[Large Provider Entity Code]]&amp;"; "&amp;R4678&amp;AS[[#This Row],[Age Band Code]]&amp;"; "&amp;S4678&amp;AS[[#This Row],[Sex Code]]</f>
        <v xml:space="preserve">Insurer Code ; Reporting Year ; Insurance Category Code ; Large Provider Entity Code ; Age Band Code ; Sex Code </v>
      </c>
      <c r="N4678" s="297" t="s">
        <v>197</v>
      </c>
      <c r="O4678" s="297" t="s">
        <v>198</v>
      </c>
      <c r="P4678" s="297" t="s">
        <v>199</v>
      </c>
      <c r="Q4678" s="297" t="s">
        <v>200</v>
      </c>
      <c r="R4678" s="297" t="s">
        <v>213</v>
      </c>
      <c r="S4678" s="297" t="s">
        <v>214</v>
      </c>
    </row>
    <row r="4679" spans="1:19" x14ac:dyDescent="0.4">
      <c r="A4679" s="291"/>
      <c r="B4679" s="292"/>
      <c r="C4679" s="312"/>
      <c r="D4679" s="292"/>
      <c r="E4679" s="489"/>
      <c r="F4679" s="489"/>
      <c r="G4679" s="490"/>
      <c r="H4679" s="520"/>
      <c r="I4679" s="523"/>
      <c r="J4679" s="521"/>
      <c r="K4679" s="522"/>
      <c r="M4679" s="301" t="str">
        <f>N4679&amp;AS[[#This Row],[Insurer Code]]&amp;"; "&amp;O4679&amp;AS[[#This Row],[Reporting Year]]&amp;"; "&amp;P4679&amp;AS[[#This Row],[Insurance Category Code]]&amp;"; "&amp;Q4679&amp;AS[[#This Row],[Large Provider Entity Code]]&amp;"; "&amp;R4679&amp;AS[[#This Row],[Age Band Code]]&amp;"; "&amp;S4679&amp;AS[[#This Row],[Sex Code]]</f>
        <v xml:space="preserve">Insurer Code ; Reporting Year ; Insurance Category Code ; Large Provider Entity Code ; Age Band Code ; Sex Code </v>
      </c>
      <c r="N4679" s="297" t="s">
        <v>197</v>
      </c>
      <c r="O4679" s="297" t="s">
        <v>198</v>
      </c>
      <c r="P4679" s="297" t="s">
        <v>199</v>
      </c>
      <c r="Q4679" s="297" t="s">
        <v>200</v>
      </c>
      <c r="R4679" s="297" t="s">
        <v>213</v>
      </c>
      <c r="S4679" s="297" t="s">
        <v>214</v>
      </c>
    </row>
    <row r="4680" spans="1:19" x14ac:dyDescent="0.4">
      <c r="A4680" s="291"/>
      <c r="B4680" s="292"/>
      <c r="C4680" s="312"/>
      <c r="D4680" s="292"/>
      <c r="E4680" s="489"/>
      <c r="F4680" s="489"/>
      <c r="G4680" s="490"/>
      <c r="H4680" s="520"/>
      <c r="I4680" s="523"/>
      <c r="J4680" s="521"/>
      <c r="K4680" s="522"/>
      <c r="M4680" s="301" t="str">
        <f>N4680&amp;AS[[#This Row],[Insurer Code]]&amp;"; "&amp;O4680&amp;AS[[#This Row],[Reporting Year]]&amp;"; "&amp;P4680&amp;AS[[#This Row],[Insurance Category Code]]&amp;"; "&amp;Q4680&amp;AS[[#This Row],[Large Provider Entity Code]]&amp;"; "&amp;R4680&amp;AS[[#This Row],[Age Band Code]]&amp;"; "&amp;S4680&amp;AS[[#This Row],[Sex Code]]</f>
        <v xml:space="preserve">Insurer Code ; Reporting Year ; Insurance Category Code ; Large Provider Entity Code ; Age Band Code ; Sex Code </v>
      </c>
      <c r="N4680" s="297" t="s">
        <v>197</v>
      </c>
      <c r="O4680" s="297" t="s">
        <v>198</v>
      </c>
      <c r="P4680" s="297" t="s">
        <v>199</v>
      </c>
      <c r="Q4680" s="297" t="s">
        <v>200</v>
      </c>
      <c r="R4680" s="297" t="s">
        <v>213</v>
      </c>
      <c r="S4680" s="297" t="s">
        <v>214</v>
      </c>
    </row>
    <row r="4681" spans="1:19" x14ac:dyDescent="0.4">
      <c r="A4681" s="291"/>
      <c r="B4681" s="292"/>
      <c r="C4681" s="312"/>
      <c r="D4681" s="292"/>
      <c r="E4681" s="489"/>
      <c r="F4681" s="489"/>
      <c r="G4681" s="490"/>
      <c r="H4681" s="520"/>
      <c r="I4681" s="523"/>
      <c r="J4681" s="521"/>
      <c r="K4681" s="522"/>
      <c r="M4681" s="301" t="str">
        <f>N4681&amp;AS[[#This Row],[Insurer Code]]&amp;"; "&amp;O4681&amp;AS[[#This Row],[Reporting Year]]&amp;"; "&amp;P4681&amp;AS[[#This Row],[Insurance Category Code]]&amp;"; "&amp;Q4681&amp;AS[[#This Row],[Large Provider Entity Code]]&amp;"; "&amp;R4681&amp;AS[[#This Row],[Age Band Code]]&amp;"; "&amp;S4681&amp;AS[[#This Row],[Sex Code]]</f>
        <v xml:space="preserve">Insurer Code ; Reporting Year ; Insurance Category Code ; Large Provider Entity Code ; Age Band Code ; Sex Code </v>
      </c>
      <c r="N4681" s="297" t="s">
        <v>197</v>
      </c>
      <c r="O4681" s="297" t="s">
        <v>198</v>
      </c>
      <c r="P4681" s="297" t="s">
        <v>199</v>
      </c>
      <c r="Q4681" s="297" t="s">
        <v>200</v>
      </c>
      <c r="R4681" s="297" t="s">
        <v>213</v>
      </c>
      <c r="S4681" s="297" t="s">
        <v>214</v>
      </c>
    </row>
    <row r="4682" spans="1:19" x14ac:dyDescent="0.4">
      <c r="A4682" s="291"/>
      <c r="B4682" s="292"/>
      <c r="C4682" s="312"/>
      <c r="D4682" s="292"/>
      <c r="E4682" s="489"/>
      <c r="F4682" s="489"/>
      <c r="G4682" s="490"/>
      <c r="H4682" s="520"/>
      <c r="I4682" s="523"/>
      <c r="J4682" s="521"/>
      <c r="K4682" s="522"/>
      <c r="M4682" s="301" t="str">
        <f>N4682&amp;AS[[#This Row],[Insurer Code]]&amp;"; "&amp;O4682&amp;AS[[#This Row],[Reporting Year]]&amp;"; "&amp;P4682&amp;AS[[#This Row],[Insurance Category Code]]&amp;"; "&amp;Q4682&amp;AS[[#This Row],[Large Provider Entity Code]]&amp;"; "&amp;R4682&amp;AS[[#This Row],[Age Band Code]]&amp;"; "&amp;S4682&amp;AS[[#This Row],[Sex Code]]</f>
        <v xml:space="preserve">Insurer Code ; Reporting Year ; Insurance Category Code ; Large Provider Entity Code ; Age Band Code ; Sex Code </v>
      </c>
      <c r="N4682" s="297" t="s">
        <v>197</v>
      </c>
      <c r="O4682" s="297" t="s">
        <v>198</v>
      </c>
      <c r="P4682" s="297" t="s">
        <v>199</v>
      </c>
      <c r="Q4682" s="297" t="s">
        <v>200</v>
      </c>
      <c r="R4682" s="297" t="s">
        <v>213</v>
      </c>
      <c r="S4682" s="297" t="s">
        <v>214</v>
      </c>
    </row>
    <row r="4683" spans="1:19" x14ac:dyDescent="0.4">
      <c r="A4683" s="291"/>
      <c r="B4683" s="292"/>
      <c r="C4683" s="312"/>
      <c r="D4683" s="292"/>
      <c r="E4683" s="489"/>
      <c r="F4683" s="489"/>
      <c r="G4683" s="490"/>
      <c r="H4683" s="520"/>
      <c r="I4683" s="523"/>
      <c r="J4683" s="521"/>
      <c r="K4683" s="522"/>
      <c r="M4683" s="301" t="str">
        <f>N4683&amp;AS[[#This Row],[Insurer Code]]&amp;"; "&amp;O4683&amp;AS[[#This Row],[Reporting Year]]&amp;"; "&amp;P4683&amp;AS[[#This Row],[Insurance Category Code]]&amp;"; "&amp;Q4683&amp;AS[[#This Row],[Large Provider Entity Code]]&amp;"; "&amp;R4683&amp;AS[[#This Row],[Age Band Code]]&amp;"; "&amp;S4683&amp;AS[[#This Row],[Sex Code]]</f>
        <v xml:space="preserve">Insurer Code ; Reporting Year ; Insurance Category Code ; Large Provider Entity Code ; Age Band Code ; Sex Code </v>
      </c>
      <c r="N4683" s="297" t="s">
        <v>197</v>
      </c>
      <c r="O4683" s="297" t="s">
        <v>198</v>
      </c>
      <c r="P4683" s="297" t="s">
        <v>199</v>
      </c>
      <c r="Q4683" s="297" t="s">
        <v>200</v>
      </c>
      <c r="R4683" s="297" t="s">
        <v>213</v>
      </c>
      <c r="S4683" s="297" t="s">
        <v>214</v>
      </c>
    </row>
    <row r="4684" spans="1:19" x14ac:dyDescent="0.4">
      <c r="A4684" s="291"/>
      <c r="B4684" s="292"/>
      <c r="C4684" s="312"/>
      <c r="D4684" s="292"/>
      <c r="E4684" s="489"/>
      <c r="F4684" s="489"/>
      <c r="G4684" s="490"/>
      <c r="H4684" s="520"/>
      <c r="I4684" s="523"/>
      <c r="J4684" s="521"/>
      <c r="K4684" s="522"/>
      <c r="M4684" s="301" t="str">
        <f>N4684&amp;AS[[#This Row],[Insurer Code]]&amp;"; "&amp;O4684&amp;AS[[#This Row],[Reporting Year]]&amp;"; "&amp;P4684&amp;AS[[#This Row],[Insurance Category Code]]&amp;"; "&amp;Q4684&amp;AS[[#This Row],[Large Provider Entity Code]]&amp;"; "&amp;R4684&amp;AS[[#This Row],[Age Band Code]]&amp;"; "&amp;S4684&amp;AS[[#This Row],[Sex Code]]</f>
        <v xml:space="preserve">Insurer Code ; Reporting Year ; Insurance Category Code ; Large Provider Entity Code ; Age Band Code ; Sex Code </v>
      </c>
      <c r="N4684" s="297" t="s">
        <v>197</v>
      </c>
      <c r="O4684" s="297" t="s">
        <v>198</v>
      </c>
      <c r="P4684" s="297" t="s">
        <v>199</v>
      </c>
      <c r="Q4684" s="297" t="s">
        <v>200</v>
      </c>
      <c r="R4684" s="297" t="s">
        <v>213</v>
      </c>
      <c r="S4684" s="297" t="s">
        <v>214</v>
      </c>
    </row>
    <row r="4685" spans="1:19" x14ac:dyDescent="0.4">
      <c r="A4685" s="291"/>
      <c r="B4685" s="292"/>
      <c r="C4685" s="312"/>
      <c r="D4685" s="292"/>
      <c r="E4685" s="489"/>
      <c r="F4685" s="489"/>
      <c r="G4685" s="490"/>
      <c r="H4685" s="520"/>
      <c r="I4685" s="523"/>
      <c r="J4685" s="521"/>
      <c r="K4685" s="522"/>
      <c r="M4685" s="301" t="str">
        <f>N4685&amp;AS[[#This Row],[Insurer Code]]&amp;"; "&amp;O4685&amp;AS[[#This Row],[Reporting Year]]&amp;"; "&amp;P4685&amp;AS[[#This Row],[Insurance Category Code]]&amp;"; "&amp;Q4685&amp;AS[[#This Row],[Large Provider Entity Code]]&amp;"; "&amp;R4685&amp;AS[[#This Row],[Age Band Code]]&amp;"; "&amp;S4685&amp;AS[[#This Row],[Sex Code]]</f>
        <v xml:space="preserve">Insurer Code ; Reporting Year ; Insurance Category Code ; Large Provider Entity Code ; Age Band Code ; Sex Code </v>
      </c>
      <c r="N4685" s="297" t="s">
        <v>197</v>
      </c>
      <c r="O4685" s="297" t="s">
        <v>198</v>
      </c>
      <c r="P4685" s="297" t="s">
        <v>199</v>
      </c>
      <c r="Q4685" s="297" t="s">
        <v>200</v>
      </c>
      <c r="R4685" s="297" t="s">
        <v>213</v>
      </c>
      <c r="S4685" s="297" t="s">
        <v>214</v>
      </c>
    </row>
    <row r="4686" spans="1:19" x14ac:dyDescent="0.4">
      <c r="A4686" s="291"/>
      <c r="B4686" s="292"/>
      <c r="C4686" s="312"/>
      <c r="D4686" s="292"/>
      <c r="E4686" s="489"/>
      <c r="F4686" s="489"/>
      <c r="G4686" s="490"/>
      <c r="H4686" s="520"/>
      <c r="I4686" s="523"/>
      <c r="J4686" s="521"/>
      <c r="K4686" s="522"/>
      <c r="M4686" s="301" t="str">
        <f>N4686&amp;AS[[#This Row],[Insurer Code]]&amp;"; "&amp;O4686&amp;AS[[#This Row],[Reporting Year]]&amp;"; "&amp;P4686&amp;AS[[#This Row],[Insurance Category Code]]&amp;"; "&amp;Q4686&amp;AS[[#This Row],[Large Provider Entity Code]]&amp;"; "&amp;R4686&amp;AS[[#This Row],[Age Band Code]]&amp;"; "&amp;S4686&amp;AS[[#This Row],[Sex Code]]</f>
        <v xml:space="preserve">Insurer Code ; Reporting Year ; Insurance Category Code ; Large Provider Entity Code ; Age Band Code ; Sex Code </v>
      </c>
      <c r="N4686" s="297" t="s">
        <v>197</v>
      </c>
      <c r="O4686" s="297" t="s">
        <v>198</v>
      </c>
      <c r="P4686" s="297" t="s">
        <v>199</v>
      </c>
      <c r="Q4686" s="297" t="s">
        <v>200</v>
      </c>
      <c r="R4686" s="297" t="s">
        <v>213</v>
      </c>
      <c r="S4686" s="297" t="s">
        <v>214</v>
      </c>
    </row>
    <row r="4687" spans="1:19" x14ac:dyDescent="0.4">
      <c r="A4687" s="291"/>
      <c r="B4687" s="292"/>
      <c r="C4687" s="312"/>
      <c r="D4687" s="292"/>
      <c r="E4687" s="489"/>
      <c r="F4687" s="489"/>
      <c r="G4687" s="490"/>
      <c r="H4687" s="520"/>
      <c r="I4687" s="523"/>
      <c r="J4687" s="521"/>
      <c r="K4687" s="522"/>
      <c r="M4687" s="301" t="str">
        <f>N4687&amp;AS[[#This Row],[Insurer Code]]&amp;"; "&amp;O4687&amp;AS[[#This Row],[Reporting Year]]&amp;"; "&amp;P4687&amp;AS[[#This Row],[Insurance Category Code]]&amp;"; "&amp;Q4687&amp;AS[[#This Row],[Large Provider Entity Code]]&amp;"; "&amp;R4687&amp;AS[[#This Row],[Age Band Code]]&amp;"; "&amp;S4687&amp;AS[[#This Row],[Sex Code]]</f>
        <v xml:space="preserve">Insurer Code ; Reporting Year ; Insurance Category Code ; Large Provider Entity Code ; Age Band Code ; Sex Code </v>
      </c>
      <c r="N4687" s="297" t="s">
        <v>197</v>
      </c>
      <c r="O4687" s="297" t="s">
        <v>198</v>
      </c>
      <c r="P4687" s="297" t="s">
        <v>199</v>
      </c>
      <c r="Q4687" s="297" t="s">
        <v>200</v>
      </c>
      <c r="R4687" s="297" t="s">
        <v>213</v>
      </c>
      <c r="S4687" s="297" t="s">
        <v>214</v>
      </c>
    </row>
    <row r="4688" spans="1:19" x14ac:dyDescent="0.4">
      <c r="A4688" s="291"/>
      <c r="B4688" s="292"/>
      <c r="C4688" s="312"/>
      <c r="D4688" s="292"/>
      <c r="E4688" s="489"/>
      <c r="F4688" s="489"/>
      <c r="G4688" s="490"/>
      <c r="H4688" s="520"/>
      <c r="I4688" s="523"/>
      <c r="J4688" s="521"/>
      <c r="K4688" s="522"/>
      <c r="M4688" s="301" t="str">
        <f>N4688&amp;AS[[#This Row],[Insurer Code]]&amp;"; "&amp;O4688&amp;AS[[#This Row],[Reporting Year]]&amp;"; "&amp;P4688&amp;AS[[#This Row],[Insurance Category Code]]&amp;"; "&amp;Q4688&amp;AS[[#This Row],[Large Provider Entity Code]]&amp;"; "&amp;R4688&amp;AS[[#This Row],[Age Band Code]]&amp;"; "&amp;S4688&amp;AS[[#This Row],[Sex Code]]</f>
        <v xml:space="preserve">Insurer Code ; Reporting Year ; Insurance Category Code ; Large Provider Entity Code ; Age Band Code ; Sex Code </v>
      </c>
      <c r="N4688" s="297" t="s">
        <v>197</v>
      </c>
      <c r="O4688" s="297" t="s">
        <v>198</v>
      </c>
      <c r="P4688" s="297" t="s">
        <v>199</v>
      </c>
      <c r="Q4688" s="297" t="s">
        <v>200</v>
      </c>
      <c r="R4688" s="297" t="s">
        <v>213</v>
      </c>
      <c r="S4688" s="297" t="s">
        <v>214</v>
      </c>
    </row>
    <row r="4689" spans="1:19" x14ac:dyDescent="0.4">
      <c r="A4689" s="291"/>
      <c r="B4689" s="292"/>
      <c r="C4689" s="312"/>
      <c r="D4689" s="292"/>
      <c r="E4689" s="489"/>
      <c r="F4689" s="489"/>
      <c r="G4689" s="490"/>
      <c r="H4689" s="520"/>
      <c r="I4689" s="523"/>
      <c r="J4689" s="521"/>
      <c r="K4689" s="522"/>
      <c r="M4689" s="301" t="str">
        <f>N4689&amp;AS[[#This Row],[Insurer Code]]&amp;"; "&amp;O4689&amp;AS[[#This Row],[Reporting Year]]&amp;"; "&amp;P4689&amp;AS[[#This Row],[Insurance Category Code]]&amp;"; "&amp;Q4689&amp;AS[[#This Row],[Large Provider Entity Code]]&amp;"; "&amp;R4689&amp;AS[[#This Row],[Age Band Code]]&amp;"; "&amp;S4689&amp;AS[[#This Row],[Sex Code]]</f>
        <v xml:space="preserve">Insurer Code ; Reporting Year ; Insurance Category Code ; Large Provider Entity Code ; Age Band Code ; Sex Code </v>
      </c>
      <c r="N4689" s="297" t="s">
        <v>197</v>
      </c>
      <c r="O4689" s="297" t="s">
        <v>198</v>
      </c>
      <c r="P4689" s="297" t="s">
        <v>199</v>
      </c>
      <c r="Q4689" s="297" t="s">
        <v>200</v>
      </c>
      <c r="R4689" s="297" t="s">
        <v>213</v>
      </c>
      <c r="S4689" s="297" t="s">
        <v>214</v>
      </c>
    </row>
    <row r="4690" spans="1:19" x14ac:dyDescent="0.4">
      <c r="A4690" s="291"/>
      <c r="B4690" s="292"/>
      <c r="C4690" s="312"/>
      <c r="D4690" s="292"/>
      <c r="E4690" s="489"/>
      <c r="F4690" s="489"/>
      <c r="G4690" s="490"/>
      <c r="H4690" s="520"/>
      <c r="I4690" s="523"/>
      <c r="J4690" s="521"/>
      <c r="K4690" s="522"/>
      <c r="M4690" s="301" t="str">
        <f>N4690&amp;AS[[#This Row],[Insurer Code]]&amp;"; "&amp;O4690&amp;AS[[#This Row],[Reporting Year]]&amp;"; "&amp;P4690&amp;AS[[#This Row],[Insurance Category Code]]&amp;"; "&amp;Q4690&amp;AS[[#This Row],[Large Provider Entity Code]]&amp;"; "&amp;R4690&amp;AS[[#This Row],[Age Band Code]]&amp;"; "&amp;S4690&amp;AS[[#This Row],[Sex Code]]</f>
        <v xml:space="preserve">Insurer Code ; Reporting Year ; Insurance Category Code ; Large Provider Entity Code ; Age Band Code ; Sex Code </v>
      </c>
      <c r="N4690" s="297" t="s">
        <v>197</v>
      </c>
      <c r="O4690" s="297" t="s">
        <v>198</v>
      </c>
      <c r="P4690" s="297" t="s">
        <v>199</v>
      </c>
      <c r="Q4690" s="297" t="s">
        <v>200</v>
      </c>
      <c r="R4690" s="297" t="s">
        <v>213</v>
      </c>
      <c r="S4690" s="297" t="s">
        <v>214</v>
      </c>
    </row>
    <row r="4691" spans="1:19" x14ac:dyDescent="0.4">
      <c r="A4691" s="291"/>
      <c r="B4691" s="292"/>
      <c r="C4691" s="312"/>
      <c r="D4691" s="292"/>
      <c r="E4691" s="489"/>
      <c r="F4691" s="489"/>
      <c r="G4691" s="490"/>
      <c r="H4691" s="520"/>
      <c r="I4691" s="523"/>
      <c r="J4691" s="521"/>
      <c r="K4691" s="522"/>
      <c r="M4691" s="301" t="str">
        <f>N4691&amp;AS[[#This Row],[Insurer Code]]&amp;"; "&amp;O4691&amp;AS[[#This Row],[Reporting Year]]&amp;"; "&amp;P4691&amp;AS[[#This Row],[Insurance Category Code]]&amp;"; "&amp;Q4691&amp;AS[[#This Row],[Large Provider Entity Code]]&amp;"; "&amp;R4691&amp;AS[[#This Row],[Age Band Code]]&amp;"; "&amp;S4691&amp;AS[[#This Row],[Sex Code]]</f>
        <v xml:space="preserve">Insurer Code ; Reporting Year ; Insurance Category Code ; Large Provider Entity Code ; Age Band Code ; Sex Code </v>
      </c>
      <c r="N4691" s="297" t="s">
        <v>197</v>
      </c>
      <c r="O4691" s="297" t="s">
        <v>198</v>
      </c>
      <c r="P4691" s="297" t="s">
        <v>199</v>
      </c>
      <c r="Q4691" s="297" t="s">
        <v>200</v>
      </c>
      <c r="R4691" s="297" t="s">
        <v>213</v>
      </c>
      <c r="S4691" s="297" t="s">
        <v>214</v>
      </c>
    </row>
    <row r="4692" spans="1:19" x14ac:dyDescent="0.4">
      <c r="A4692" s="291"/>
      <c r="B4692" s="292"/>
      <c r="C4692" s="312"/>
      <c r="D4692" s="292"/>
      <c r="E4692" s="489"/>
      <c r="F4692" s="489"/>
      <c r="G4692" s="490"/>
      <c r="H4692" s="520"/>
      <c r="I4692" s="523"/>
      <c r="J4692" s="521"/>
      <c r="K4692" s="522"/>
      <c r="M4692" s="301" t="str">
        <f>N4692&amp;AS[[#This Row],[Insurer Code]]&amp;"; "&amp;O4692&amp;AS[[#This Row],[Reporting Year]]&amp;"; "&amp;P4692&amp;AS[[#This Row],[Insurance Category Code]]&amp;"; "&amp;Q4692&amp;AS[[#This Row],[Large Provider Entity Code]]&amp;"; "&amp;R4692&amp;AS[[#This Row],[Age Band Code]]&amp;"; "&amp;S4692&amp;AS[[#This Row],[Sex Code]]</f>
        <v xml:space="preserve">Insurer Code ; Reporting Year ; Insurance Category Code ; Large Provider Entity Code ; Age Band Code ; Sex Code </v>
      </c>
      <c r="N4692" s="297" t="s">
        <v>197</v>
      </c>
      <c r="O4692" s="297" t="s">
        <v>198</v>
      </c>
      <c r="P4692" s="297" t="s">
        <v>199</v>
      </c>
      <c r="Q4692" s="297" t="s">
        <v>200</v>
      </c>
      <c r="R4692" s="297" t="s">
        <v>213</v>
      </c>
      <c r="S4692" s="297" t="s">
        <v>214</v>
      </c>
    </row>
    <row r="4693" spans="1:19" x14ac:dyDescent="0.4">
      <c r="A4693" s="291"/>
      <c r="B4693" s="292"/>
      <c r="C4693" s="312"/>
      <c r="D4693" s="292"/>
      <c r="E4693" s="489"/>
      <c r="F4693" s="489"/>
      <c r="G4693" s="490"/>
      <c r="H4693" s="520"/>
      <c r="I4693" s="523"/>
      <c r="J4693" s="521"/>
      <c r="K4693" s="522"/>
      <c r="M4693" s="301" t="str">
        <f>N4693&amp;AS[[#This Row],[Insurer Code]]&amp;"; "&amp;O4693&amp;AS[[#This Row],[Reporting Year]]&amp;"; "&amp;P4693&amp;AS[[#This Row],[Insurance Category Code]]&amp;"; "&amp;Q4693&amp;AS[[#This Row],[Large Provider Entity Code]]&amp;"; "&amp;R4693&amp;AS[[#This Row],[Age Band Code]]&amp;"; "&amp;S4693&amp;AS[[#This Row],[Sex Code]]</f>
        <v xml:space="preserve">Insurer Code ; Reporting Year ; Insurance Category Code ; Large Provider Entity Code ; Age Band Code ; Sex Code </v>
      </c>
      <c r="N4693" s="297" t="s">
        <v>197</v>
      </c>
      <c r="O4693" s="297" t="s">
        <v>198</v>
      </c>
      <c r="P4693" s="297" t="s">
        <v>199</v>
      </c>
      <c r="Q4693" s="297" t="s">
        <v>200</v>
      </c>
      <c r="R4693" s="297" t="s">
        <v>213</v>
      </c>
      <c r="S4693" s="297" t="s">
        <v>214</v>
      </c>
    </row>
    <row r="4694" spans="1:19" x14ac:dyDescent="0.4">
      <c r="A4694" s="291"/>
      <c r="B4694" s="292"/>
      <c r="C4694" s="312"/>
      <c r="D4694" s="292"/>
      <c r="E4694" s="489"/>
      <c r="F4694" s="489"/>
      <c r="G4694" s="490"/>
      <c r="H4694" s="520"/>
      <c r="I4694" s="523"/>
      <c r="J4694" s="521"/>
      <c r="K4694" s="522"/>
      <c r="M4694" s="301" t="str">
        <f>N4694&amp;AS[[#This Row],[Insurer Code]]&amp;"; "&amp;O4694&amp;AS[[#This Row],[Reporting Year]]&amp;"; "&amp;P4694&amp;AS[[#This Row],[Insurance Category Code]]&amp;"; "&amp;Q4694&amp;AS[[#This Row],[Large Provider Entity Code]]&amp;"; "&amp;R4694&amp;AS[[#This Row],[Age Band Code]]&amp;"; "&amp;S4694&amp;AS[[#This Row],[Sex Code]]</f>
        <v xml:space="preserve">Insurer Code ; Reporting Year ; Insurance Category Code ; Large Provider Entity Code ; Age Band Code ; Sex Code </v>
      </c>
      <c r="N4694" s="297" t="s">
        <v>197</v>
      </c>
      <c r="O4694" s="297" t="s">
        <v>198</v>
      </c>
      <c r="P4694" s="297" t="s">
        <v>199</v>
      </c>
      <c r="Q4694" s="297" t="s">
        <v>200</v>
      </c>
      <c r="R4694" s="297" t="s">
        <v>213</v>
      </c>
      <c r="S4694" s="297" t="s">
        <v>214</v>
      </c>
    </row>
    <row r="4695" spans="1:19" x14ac:dyDescent="0.4">
      <c r="A4695" s="291"/>
      <c r="B4695" s="292"/>
      <c r="C4695" s="312"/>
      <c r="D4695" s="292"/>
      <c r="E4695" s="489"/>
      <c r="F4695" s="489"/>
      <c r="G4695" s="490"/>
      <c r="H4695" s="520"/>
      <c r="I4695" s="523"/>
      <c r="J4695" s="521"/>
      <c r="K4695" s="522"/>
      <c r="M4695" s="301" t="str">
        <f>N4695&amp;AS[[#This Row],[Insurer Code]]&amp;"; "&amp;O4695&amp;AS[[#This Row],[Reporting Year]]&amp;"; "&amp;P4695&amp;AS[[#This Row],[Insurance Category Code]]&amp;"; "&amp;Q4695&amp;AS[[#This Row],[Large Provider Entity Code]]&amp;"; "&amp;R4695&amp;AS[[#This Row],[Age Band Code]]&amp;"; "&amp;S4695&amp;AS[[#This Row],[Sex Code]]</f>
        <v xml:space="preserve">Insurer Code ; Reporting Year ; Insurance Category Code ; Large Provider Entity Code ; Age Band Code ; Sex Code </v>
      </c>
      <c r="N4695" s="297" t="s">
        <v>197</v>
      </c>
      <c r="O4695" s="297" t="s">
        <v>198</v>
      </c>
      <c r="P4695" s="297" t="s">
        <v>199</v>
      </c>
      <c r="Q4695" s="297" t="s">
        <v>200</v>
      </c>
      <c r="R4695" s="297" t="s">
        <v>213</v>
      </c>
      <c r="S4695" s="297" t="s">
        <v>214</v>
      </c>
    </row>
    <row r="4696" spans="1:19" x14ac:dyDescent="0.4">
      <c r="A4696" s="291"/>
      <c r="B4696" s="292"/>
      <c r="C4696" s="312"/>
      <c r="D4696" s="292"/>
      <c r="E4696" s="489"/>
      <c r="F4696" s="489"/>
      <c r="G4696" s="490"/>
      <c r="H4696" s="520"/>
      <c r="I4696" s="523"/>
      <c r="J4696" s="521"/>
      <c r="K4696" s="522"/>
      <c r="M4696" s="301" t="str">
        <f>N4696&amp;AS[[#This Row],[Insurer Code]]&amp;"; "&amp;O4696&amp;AS[[#This Row],[Reporting Year]]&amp;"; "&amp;P4696&amp;AS[[#This Row],[Insurance Category Code]]&amp;"; "&amp;Q4696&amp;AS[[#This Row],[Large Provider Entity Code]]&amp;"; "&amp;R4696&amp;AS[[#This Row],[Age Band Code]]&amp;"; "&amp;S4696&amp;AS[[#This Row],[Sex Code]]</f>
        <v xml:space="preserve">Insurer Code ; Reporting Year ; Insurance Category Code ; Large Provider Entity Code ; Age Band Code ; Sex Code </v>
      </c>
      <c r="N4696" s="297" t="s">
        <v>197</v>
      </c>
      <c r="O4696" s="297" t="s">
        <v>198</v>
      </c>
      <c r="P4696" s="297" t="s">
        <v>199</v>
      </c>
      <c r="Q4696" s="297" t="s">
        <v>200</v>
      </c>
      <c r="R4696" s="297" t="s">
        <v>213</v>
      </c>
      <c r="S4696" s="297" t="s">
        <v>214</v>
      </c>
    </row>
    <row r="4697" spans="1:19" x14ac:dyDescent="0.4">
      <c r="A4697" s="291"/>
      <c r="B4697" s="292"/>
      <c r="C4697" s="312"/>
      <c r="D4697" s="292"/>
      <c r="E4697" s="489"/>
      <c r="F4697" s="489"/>
      <c r="G4697" s="490"/>
      <c r="H4697" s="520"/>
      <c r="I4697" s="523"/>
      <c r="J4697" s="521"/>
      <c r="K4697" s="522"/>
      <c r="M4697" s="301" t="str">
        <f>N4697&amp;AS[[#This Row],[Insurer Code]]&amp;"; "&amp;O4697&amp;AS[[#This Row],[Reporting Year]]&amp;"; "&amp;P4697&amp;AS[[#This Row],[Insurance Category Code]]&amp;"; "&amp;Q4697&amp;AS[[#This Row],[Large Provider Entity Code]]&amp;"; "&amp;R4697&amp;AS[[#This Row],[Age Band Code]]&amp;"; "&amp;S4697&amp;AS[[#This Row],[Sex Code]]</f>
        <v xml:space="preserve">Insurer Code ; Reporting Year ; Insurance Category Code ; Large Provider Entity Code ; Age Band Code ; Sex Code </v>
      </c>
      <c r="N4697" s="297" t="s">
        <v>197</v>
      </c>
      <c r="O4697" s="297" t="s">
        <v>198</v>
      </c>
      <c r="P4697" s="297" t="s">
        <v>199</v>
      </c>
      <c r="Q4697" s="297" t="s">
        <v>200</v>
      </c>
      <c r="R4697" s="297" t="s">
        <v>213</v>
      </c>
      <c r="S4697" s="297" t="s">
        <v>214</v>
      </c>
    </row>
    <row r="4698" spans="1:19" x14ac:dyDescent="0.4">
      <c r="A4698" s="291"/>
      <c r="B4698" s="292"/>
      <c r="C4698" s="312"/>
      <c r="D4698" s="292"/>
      <c r="E4698" s="489"/>
      <c r="F4698" s="489"/>
      <c r="G4698" s="490"/>
      <c r="H4698" s="520"/>
      <c r="I4698" s="523"/>
      <c r="J4698" s="521"/>
      <c r="K4698" s="522"/>
      <c r="M4698" s="301" t="str">
        <f>N4698&amp;AS[[#This Row],[Insurer Code]]&amp;"; "&amp;O4698&amp;AS[[#This Row],[Reporting Year]]&amp;"; "&amp;P4698&amp;AS[[#This Row],[Insurance Category Code]]&amp;"; "&amp;Q4698&amp;AS[[#This Row],[Large Provider Entity Code]]&amp;"; "&amp;R4698&amp;AS[[#This Row],[Age Band Code]]&amp;"; "&amp;S4698&amp;AS[[#This Row],[Sex Code]]</f>
        <v xml:space="preserve">Insurer Code ; Reporting Year ; Insurance Category Code ; Large Provider Entity Code ; Age Band Code ; Sex Code </v>
      </c>
      <c r="N4698" s="297" t="s">
        <v>197</v>
      </c>
      <c r="O4698" s="297" t="s">
        <v>198</v>
      </c>
      <c r="P4698" s="297" t="s">
        <v>199</v>
      </c>
      <c r="Q4698" s="297" t="s">
        <v>200</v>
      </c>
      <c r="R4698" s="297" t="s">
        <v>213</v>
      </c>
      <c r="S4698" s="297" t="s">
        <v>214</v>
      </c>
    </row>
    <row r="4699" spans="1:19" x14ac:dyDescent="0.4">
      <c r="A4699" s="291"/>
      <c r="B4699" s="292"/>
      <c r="C4699" s="312"/>
      <c r="D4699" s="292"/>
      <c r="E4699" s="489"/>
      <c r="F4699" s="489"/>
      <c r="G4699" s="490"/>
      <c r="H4699" s="520"/>
      <c r="I4699" s="523"/>
      <c r="J4699" s="521"/>
      <c r="K4699" s="522"/>
      <c r="M4699" s="301" t="str">
        <f>N4699&amp;AS[[#This Row],[Insurer Code]]&amp;"; "&amp;O4699&amp;AS[[#This Row],[Reporting Year]]&amp;"; "&amp;P4699&amp;AS[[#This Row],[Insurance Category Code]]&amp;"; "&amp;Q4699&amp;AS[[#This Row],[Large Provider Entity Code]]&amp;"; "&amp;R4699&amp;AS[[#This Row],[Age Band Code]]&amp;"; "&amp;S4699&amp;AS[[#This Row],[Sex Code]]</f>
        <v xml:space="preserve">Insurer Code ; Reporting Year ; Insurance Category Code ; Large Provider Entity Code ; Age Band Code ; Sex Code </v>
      </c>
      <c r="N4699" s="297" t="s">
        <v>197</v>
      </c>
      <c r="O4699" s="297" t="s">
        <v>198</v>
      </c>
      <c r="P4699" s="297" t="s">
        <v>199</v>
      </c>
      <c r="Q4699" s="297" t="s">
        <v>200</v>
      </c>
      <c r="R4699" s="297" t="s">
        <v>213</v>
      </c>
      <c r="S4699" s="297" t="s">
        <v>214</v>
      </c>
    </row>
    <row r="4700" spans="1:19" x14ac:dyDescent="0.4">
      <c r="A4700" s="291"/>
      <c r="B4700" s="292"/>
      <c r="C4700" s="312"/>
      <c r="D4700" s="292"/>
      <c r="E4700" s="489"/>
      <c r="F4700" s="489"/>
      <c r="G4700" s="490"/>
      <c r="H4700" s="520"/>
      <c r="I4700" s="523"/>
      <c r="J4700" s="521"/>
      <c r="K4700" s="522"/>
      <c r="M4700" s="301" t="str">
        <f>N4700&amp;AS[[#This Row],[Insurer Code]]&amp;"; "&amp;O4700&amp;AS[[#This Row],[Reporting Year]]&amp;"; "&amp;P4700&amp;AS[[#This Row],[Insurance Category Code]]&amp;"; "&amp;Q4700&amp;AS[[#This Row],[Large Provider Entity Code]]&amp;"; "&amp;R4700&amp;AS[[#This Row],[Age Band Code]]&amp;"; "&amp;S4700&amp;AS[[#This Row],[Sex Code]]</f>
        <v xml:space="preserve">Insurer Code ; Reporting Year ; Insurance Category Code ; Large Provider Entity Code ; Age Band Code ; Sex Code </v>
      </c>
      <c r="N4700" s="297" t="s">
        <v>197</v>
      </c>
      <c r="O4700" s="297" t="s">
        <v>198</v>
      </c>
      <c r="P4700" s="297" t="s">
        <v>199</v>
      </c>
      <c r="Q4700" s="297" t="s">
        <v>200</v>
      </c>
      <c r="R4700" s="297" t="s">
        <v>213</v>
      </c>
      <c r="S4700" s="297" t="s">
        <v>214</v>
      </c>
    </row>
    <row r="4701" spans="1:19" x14ac:dyDescent="0.4">
      <c r="A4701" s="291"/>
      <c r="B4701" s="292"/>
      <c r="C4701" s="312"/>
      <c r="D4701" s="292"/>
      <c r="E4701" s="489"/>
      <c r="F4701" s="489"/>
      <c r="G4701" s="490"/>
      <c r="H4701" s="520"/>
      <c r="I4701" s="523"/>
      <c r="J4701" s="521"/>
      <c r="K4701" s="522"/>
      <c r="M4701" s="301" t="str">
        <f>N4701&amp;AS[[#This Row],[Insurer Code]]&amp;"; "&amp;O4701&amp;AS[[#This Row],[Reporting Year]]&amp;"; "&amp;P4701&amp;AS[[#This Row],[Insurance Category Code]]&amp;"; "&amp;Q4701&amp;AS[[#This Row],[Large Provider Entity Code]]&amp;"; "&amp;R4701&amp;AS[[#This Row],[Age Band Code]]&amp;"; "&amp;S4701&amp;AS[[#This Row],[Sex Code]]</f>
        <v xml:space="preserve">Insurer Code ; Reporting Year ; Insurance Category Code ; Large Provider Entity Code ; Age Band Code ; Sex Code </v>
      </c>
      <c r="N4701" s="297" t="s">
        <v>197</v>
      </c>
      <c r="O4701" s="297" t="s">
        <v>198</v>
      </c>
      <c r="P4701" s="297" t="s">
        <v>199</v>
      </c>
      <c r="Q4701" s="297" t="s">
        <v>200</v>
      </c>
      <c r="R4701" s="297" t="s">
        <v>213</v>
      </c>
      <c r="S4701" s="297" t="s">
        <v>214</v>
      </c>
    </row>
    <row r="4702" spans="1:19" x14ac:dyDescent="0.4">
      <c r="A4702" s="291"/>
      <c r="B4702" s="292"/>
      <c r="C4702" s="312"/>
      <c r="D4702" s="292"/>
      <c r="E4702" s="489"/>
      <c r="F4702" s="489"/>
      <c r="G4702" s="490"/>
      <c r="H4702" s="520"/>
      <c r="I4702" s="523"/>
      <c r="J4702" s="521"/>
      <c r="K4702" s="522"/>
      <c r="M4702" s="301" t="str">
        <f>N4702&amp;AS[[#This Row],[Insurer Code]]&amp;"; "&amp;O4702&amp;AS[[#This Row],[Reporting Year]]&amp;"; "&amp;P4702&amp;AS[[#This Row],[Insurance Category Code]]&amp;"; "&amp;Q4702&amp;AS[[#This Row],[Large Provider Entity Code]]&amp;"; "&amp;R4702&amp;AS[[#This Row],[Age Band Code]]&amp;"; "&amp;S4702&amp;AS[[#This Row],[Sex Code]]</f>
        <v xml:space="preserve">Insurer Code ; Reporting Year ; Insurance Category Code ; Large Provider Entity Code ; Age Band Code ; Sex Code </v>
      </c>
      <c r="N4702" s="297" t="s">
        <v>197</v>
      </c>
      <c r="O4702" s="297" t="s">
        <v>198</v>
      </c>
      <c r="P4702" s="297" t="s">
        <v>199</v>
      </c>
      <c r="Q4702" s="297" t="s">
        <v>200</v>
      </c>
      <c r="R4702" s="297" t="s">
        <v>213</v>
      </c>
      <c r="S4702" s="297" t="s">
        <v>214</v>
      </c>
    </row>
    <row r="4703" spans="1:19" x14ac:dyDescent="0.4">
      <c r="A4703" s="291"/>
      <c r="B4703" s="292"/>
      <c r="C4703" s="312"/>
      <c r="D4703" s="292"/>
      <c r="E4703" s="489"/>
      <c r="F4703" s="489"/>
      <c r="G4703" s="490"/>
      <c r="H4703" s="520"/>
      <c r="I4703" s="523"/>
      <c r="J4703" s="521"/>
      <c r="K4703" s="522"/>
      <c r="M4703" s="301" t="str">
        <f>N4703&amp;AS[[#This Row],[Insurer Code]]&amp;"; "&amp;O4703&amp;AS[[#This Row],[Reporting Year]]&amp;"; "&amp;P4703&amp;AS[[#This Row],[Insurance Category Code]]&amp;"; "&amp;Q4703&amp;AS[[#This Row],[Large Provider Entity Code]]&amp;"; "&amp;R4703&amp;AS[[#This Row],[Age Band Code]]&amp;"; "&amp;S4703&amp;AS[[#This Row],[Sex Code]]</f>
        <v xml:space="preserve">Insurer Code ; Reporting Year ; Insurance Category Code ; Large Provider Entity Code ; Age Band Code ; Sex Code </v>
      </c>
      <c r="N4703" s="297" t="s">
        <v>197</v>
      </c>
      <c r="O4703" s="297" t="s">
        <v>198</v>
      </c>
      <c r="P4703" s="297" t="s">
        <v>199</v>
      </c>
      <c r="Q4703" s="297" t="s">
        <v>200</v>
      </c>
      <c r="R4703" s="297" t="s">
        <v>213</v>
      </c>
      <c r="S4703" s="297" t="s">
        <v>214</v>
      </c>
    </row>
    <row r="4704" spans="1:19" x14ac:dyDescent="0.4">
      <c r="A4704" s="291"/>
      <c r="B4704" s="292"/>
      <c r="C4704" s="312"/>
      <c r="D4704" s="292"/>
      <c r="E4704" s="489"/>
      <c r="F4704" s="489"/>
      <c r="G4704" s="490"/>
      <c r="H4704" s="520"/>
      <c r="I4704" s="523"/>
      <c r="J4704" s="521"/>
      <c r="K4704" s="522"/>
      <c r="M4704" s="301" t="str">
        <f>N4704&amp;AS[[#This Row],[Insurer Code]]&amp;"; "&amp;O4704&amp;AS[[#This Row],[Reporting Year]]&amp;"; "&amp;P4704&amp;AS[[#This Row],[Insurance Category Code]]&amp;"; "&amp;Q4704&amp;AS[[#This Row],[Large Provider Entity Code]]&amp;"; "&amp;R4704&amp;AS[[#This Row],[Age Band Code]]&amp;"; "&amp;S4704&amp;AS[[#This Row],[Sex Code]]</f>
        <v xml:space="preserve">Insurer Code ; Reporting Year ; Insurance Category Code ; Large Provider Entity Code ; Age Band Code ; Sex Code </v>
      </c>
      <c r="N4704" s="297" t="s">
        <v>197</v>
      </c>
      <c r="O4704" s="297" t="s">
        <v>198</v>
      </c>
      <c r="P4704" s="297" t="s">
        <v>199</v>
      </c>
      <c r="Q4704" s="297" t="s">
        <v>200</v>
      </c>
      <c r="R4704" s="297" t="s">
        <v>213</v>
      </c>
      <c r="S4704" s="297" t="s">
        <v>214</v>
      </c>
    </row>
    <row r="4705" spans="1:19" x14ac:dyDescent="0.4">
      <c r="A4705" s="291"/>
      <c r="B4705" s="292"/>
      <c r="C4705" s="312"/>
      <c r="D4705" s="292"/>
      <c r="E4705" s="489"/>
      <c r="F4705" s="489"/>
      <c r="G4705" s="490"/>
      <c r="H4705" s="520"/>
      <c r="I4705" s="523"/>
      <c r="J4705" s="521"/>
      <c r="K4705" s="522"/>
      <c r="M4705" s="301" t="str">
        <f>N4705&amp;AS[[#This Row],[Insurer Code]]&amp;"; "&amp;O4705&amp;AS[[#This Row],[Reporting Year]]&amp;"; "&amp;P4705&amp;AS[[#This Row],[Insurance Category Code]]&amp;"; "&amp;Q4705&amp;AS[[#This Row],[Large Provider Entity Code]]&amp;"; "&amp;R4705&amp;AS[[#This Row],[Age Band Code]]&amp;"; "&amp;S4705&amp;AS[[#This Row],[Sex Code]]</f>
        <v xml:space="preserve">Insurer Code ; Reporting Year ; Insurance Category Code ; Large Provider Entity Code ; Age Band Code ; Sex Code </v>
      </c>
      <c r="N4705" s="297" t="s">
        <v>197</v>
      </c>
      <c r="O4705" s="297" t="s">
        <v>198</v>
      </c>
      <c r="P4705" s="297" t="s">
        <v>199</v>
      </c>
      <c r="Q4705" s="297" t="s">
        <v>200</v>
      </c>
      <c r="R4705" s="297" t="s">
        <v>213</v>
      </c>
      <c r="S4705" s="297" t="s">
        <v>214</v>
      </c>
    </row>
    <row r="4706" spans="1:19" x14ac:dyDescent="0.4">
      <c r="A4706" s="291"/>
      <c r="B4706" s="292"/>
      <c r="C4706" s="312"/>
      <c r="D4706" s="292"/>
      <c r="E4706" s="489"/>
      <c r="F4706" s="489"/>
      <c r="G4706" s="490"/>
      <c r="H4706" s="520"/>
      <c r="I4706" s="523"/>
      <c r="J4706" s="521"/>
      <c r="K4706" s="522"/>
      <c r="M4706" s="301" t="str">
        <f>N4706&amp;AS[[#This Row],[Insurer Code]]&amp;"; "&amp;O4706&amp;AS[[#This Row],[Reporting Year]]&amp;"; "&amp;P4706&amp;AS[[#This Row],[Insurance Category Code]]&amp;"; "&amp;Q4706&amp;AS[[#This Row],[Large Provider Entity Code]]&amp;"; "&amp;R4706&amp;AS[[#This Row],[Age Band Code]]&amp;"; "&amp;S4706&amp;AS[[#This Row],[Sex Code]]</f>
        <v xml:space="preserve">Insurer Code ; Reporting Year ; Insurance Category Code ; Large Provider Entity Code ; Age Band Code ; Sex Code </v>
      </c>
      <c r="N4706" s="297" t="s">
        <v>197</v>
      </c>
      <c r="O4706" s="297" t="s">
        <v>198</v>
      </c>
      <c r="P4706" s="297" t="s">
        <v>199</v>
      </c>
      <c r="Q4706" s="297" t="s">
        <v>200</v>
      </c>
      <c r="R4706" s="297" t="s">
        <v>213</v>
      </c>
      <c r="S4706" s="297" t="s">
        <v>214</v>
      </c>
    </row>
    <row r="4707" spans="1:19" x14ac:dyDescent="0.4">
      <c r="A4707" s="291"/>
      <c r="B4707" s="292"/>
      <c r="C4707" s="312"/>
      <c r="D4707" s="292"/>
      <c r="E4707" s="489"/>
      <c r="F4707" s="489"/>
      <c r="G4707" s="490"/>
      <c r="H4707" s="520"/>
      <c r="I4707" s="523"/>
      <c r="J4707" s="521"/>
      <c r="K4707" s="522"/>
      <c r="M4707" s="301" t="str">
        <f>N4707&amp;AS[[#This Row],[Insurer Code]]&amp;"; "&amp;O4707&amp;AS[[#This Row],[Reporting Year]]&amp;"; "&amp;P4707&amp;AS[[#This Row],[Insurance Category Code]]&amp;"; "&amp;Q4707&amp;AS[[#This Row],[Large Provider Entity Code]]&amp;"; "&amp;R4707&amp;AS[[#This Row],[Age Band Code]]&amp;"; "&amp;S4707&amp;AS[[#This Row],[Sex Code]]</f>
        <v xml:space="preserve">Insurer Code ; Reporting Year ; Insurance Category Code ; Large Provider Entity Code ; Age Band Code ; Sex Code </v>
      </c>
      <c r="N4707" s="297" t="s">
        <v>197</v>
      </c>
      <c r="O4707" s="297" t="s">
        <v>198</v>
      </c>
      <c r="P4707" s="297" t="s">
        <v>199</v>
      </c>
      <c r="Q4707" s="297" t="s">
        <v>200</v>
      </c>
      <c r="R4707" s="297" t="s">
        <v>213</v>
      </c>
      <c r="S4707" s="297" t="s">
        <v>214</v>
      </c>
    </row>
    <row r="4708" spans="1:19" x14ac:dyDescent="0.4">
      <c r="A4708" s="291"/>
      <c r="B4708" s="292"/>
      <c r="C4708" s="312"/>
      <c r="D4708" s="292"/>
      <c r="E4708" s="489"/>
      <c r="F4708" s="489"/>
      <c r="G4708" s="490"/>
      <c r="H4708" s="520"/>
      <c r="I4708" s="523"/>
      <c r="J4708" s="521"/>
      <c r="K4708" s="522"/>
      <c r="M4708" s="301" t="str">
        <f>N4708&amp;AS[[#This Row],[Insurer Code]]&amp;"; "&amp;O4708&amp;AS[[#This Row],[Reporting Year]]&amp;"; "&amp;P4708&amp;AS[[#This Row],[Insurance Category Code]]&amp;"; "&amp;Q4708&amp;AS[[#This Row],[Large Provider Entity Code]]&amp;"; "&amp;R4708&amp;AS[[#This Row],[Age Band Code]]&amp;"; "&amp;S4708&amp;AS[[#This Row],[Sex Code]]</f>
        <v xml:space="preserve">Insurer Code ; Reporting Year ; Insurance Category Code ; Large Provider Entity Code ; Age Band Code ; Sex Code </v>
      </c>
      <c r="N4708" s="297" t="s">
        <v>197</v>
      </c>
      <c r="O4708" s="297" t="s">
        <v>198</v>
      </c>
      <c r="P4708" s="297" t="s">
        <v>199</v>
      </c>
      <c r="Q4708" s="297" t="s">
        <v>200</v>
      </c>
      <c r="R4708" s="297" t="s">
        <v>213</v>
      </c>
      <c r="S4708" s="297" t="s">
        <v>214</v>
      </c>
    </row>
    <row r="4709" spans="1:19" x14ac:dyDescent="0.4">
      <c r="A4709" s="291"/>
      <c r="B4709" s="292"/>
      <c r="C4709" s="312"/>
      <c r="D4709" s="292"/>
      <c r="E4709" s="489"/>
      <c r="F4709" s="489"/>
      <c r="G4709" s="490"/>
      <c r="H4709" s="520"/>
      <c r="I4709" s="523"/>
      <c r="J4709" s="521"/>
      <c r="K4709" s="522"/>
      <c r="M4709" s="301" t="str">
        <f>N4709&amp;AS[[#This Row],[Insurer Code]]&amp;"; "&amp;O4709&amp;AS[[#This Row],[Reporting Year]]&amp;"; "&amp;P4709&amp;AS[[#This Row],[Insurance Category Code]]&amp;"; "&amp;Q4709&amp;AS[[#This Row],[Large Provider Entity Code]]&amp;"; "&amp;R4709&amp;AS[[#This Row],[Age Band Code]]&amp;"; "&amp;S4709&amp;AS[[#This Row],[Sex Code]]</f>
        <v xml:space="preserve">Insurer Code ; Reporting Year ; Insurance Category Code ; Large Provider Entity Code ; Age Band Code ; Sex Code </v>
      </c>
      <c r="N4709" s="297" t="s">
        <v>197</v>
      </c>
      <c r="O4709" s="297" t="s">
        <v>198</v>
      </c>
      <c r="P4709" s="297" t="s">
        <v>199</v>
      </c>
      <c r="Q4709" s="297" t="s">
        <v>200</v>
      </c>
      <c r="R4709" s="297" t="s">
        <v>213</v>
      </c>
      <c r="S4709" s="297" t="s">
        <v>214</v>
      </c>
    </row>
    <row r="4710" spans="1:19" x14ac:dyDescent="0.4">
      <c r="A4710" s="291"/>
      <c r="B4710" s="292"/>
      <c r="C4710" s="312"/>
      <c r="D4710" s="292"/>
      <c r="E4710" s="489"/>
      <c r="F4710" s="489"/>
      <c r="G4710" s="490"/>
      <c r="H4710" s="520"/>
      <c r="I4710" s="523"/>
      <c r="J4710" s="521"/>
      <c r="K4710" s="522"/>
      <c r="M4710" s="301" t="str">
        <f>N4710&amp;AS[[#This Row],[Insurer Code]]&amp;"; "&amp;O4710&amp;AS[[#This Row],[Reporting Year]]&amp;"; "&amp;P4710&amp;AS[[#This Row],[Insurance Category Code]]&amp;"; "&amp;Q4710&amp;AS[[#This Row],[Large Provider Entity Code]]&amp;"; "&amp;R4710&amp;AS[[#This Row],[Age Band Code]]&amp;"; "&amp;S4710&amp;AS[[#This Row],[Sex Code]]</f>
        <v xml:space="preserve">Insurer Code ; Reporting Year ; Insurance Category Code ; Large Provider Entity Code ; Age Band Code ; Sex Code </v>
      </c>
      <c r="N4710" s="297" t="s">
        <v>197</v>
      </c>
      <c r="O4710" s="297" t="s">
        <v>198</v>
      </c>
      <c r="P4710" s="297" t="s">
        <v>199</v>
      </c>
      <c r="Q4710" s="297" t="s">
        <v>200</v>
      </c>
      <c r="R4710" s="297" t="s">
        <v>213</v>
      </c>
      <c r="S4710" s="297" t="s">
        <v>214</v>
      </c>
    </row>
    <row r="4711" spans="1:19" x14ac:dyDescent="0.4">
      <c r="A4711" s="291"/>
      <c r="B4711" s="292"/>
      <c r="C4711" s="312"/>
      <c r="D4711" s="292"/>
      <c r="E4711" s="489"/>
      <c r="F4711" s="489"/>
      <c r="G4711" s="490"/>
      <c r="H4711" s="520"/>
      <c r="I4711" s="523"/>
      <c r="J4711" s="521"/>
      <c r="K4711" s="522"/>
      <c r="M4711" s="301" t="str">
        <f>N4711&amp;AS[[#This Row],[Insurer Code]]&amp;"; "&amp;O4711&amp;AS[[#This Row],[Reporting Year]]&amp;"; "&amp;P4711&amp;AS[[#This Row],[Insurance Category Code]]&amp;"; "&amp;Q4711&amp;AS[[#This Row],[Large Provider Entity Code]]&amp;"; "&amp;R4711&amp;AS[[#This Row],[Age Band Code]]&amp;"; "&amp;S4711&amp;AS[[#This Row],[Sex Code]]</f>
        <v xml:space="preserve">Insurer Code ; Reporting Year ; Insurance Category Code ; Large Provider Entity Code ; Age Band Code ; Sex Code </v>
      </c>
      <c r="N4711" s="297" t="s">
        <v>197</v>
      </c>
      <c r="O4711" s="297" t="s">
        <v>198</v>
      </c>
      <c r="P4711" s="297" t="s">
        <v>199</v>
      </c>
      <c r="Q4711" s="297" t="s">
        <v>200</v>
      </c>
      <c r="R4711" s="297" t="s">
        <v>213</v>
      </c>
      <c r="S4711" s="297" t="s">
        <v>214</v>
      </c>
    </row>
    <row r="4712" spans="1:19" x14ac:dyDescent="0.4">
      <c r="A4712" s="291"/>
      <c r="B4712" s="292"/>
      <c r="C4712" s="312"/>
      <c r="D4712" s="292"/>
      <c r="E4712" s="489"/>
      <c r="F4712" s="489"/>
      <c r="G4712" s="490"/>
      <c r="H4712" s="520"/>
      <c r="I4712" s="523"/>
      <c r="J4712" s="521"/>
      <c r="K4712" s="522"/>
      <c r="M4712" s="301" t="str">
        <f>N4712&amp;AS[[#This Row],[Insurer Code]]&amp;"; "&amp;O4712&amp;AS[[#This Row],[Reporting Year]]&amp;"; "&amp;P4712&amp;AS[[#This Row],[Insurance Category Code]]&amp;"; "&amp;Q4712&amp;AS[[#This Row],[Large Provider Entity Code]]&amp;"; "&amp;R4712&amp;AS[[#This Row],[Age Band Code]]&amp;"; "&amp;S4712&amp;AS[[#This Row],[Sex Code]]</f>
        <v xml:space="preserve">Insurer Code ; Reporting Year ; Insurance Category Code ; Large Provider Entity Code ; Age Band Code ; Sex Code </v>
      </c>
      <c r="N4712" s="297" t="s">
        <v>197</v>
      </c>
      <c r="O4712" s="297" t="s">
        <v>198</v>
      </c>
      <c r="P4712" s="297" t="s">
        <v>199</v>
      </c>
      <c r="Q4712" s="297" t="s">
        <v>200</v>
      </c>
      <c r="R4712" s="297" t="s">
        <v>213</v>
      </c>
      <c r="S4712" s="297" t="s">
        <v>214</v>
      </c>
    </row>
    <row r="4713" spans="1:19" x14ac:dyDescent="0.4">
      <c r="A4713" s="291"/>
      <c r="B4713" s="292"/>
      <c r="C4713" s="312"/>
      <c r="D4713" s="292"/>
      <c r="E4713" s="489"/>
      <c r="F4713" s="489"/>
      <c r="G4713" s="490"/>
      <c r="H4713" s="520"/>
      <c r="I4713" s="523"/>
      <c r="J4713" s="521"/>
      <c r="K4713" s="522"/>
      <c r="M4713" s="301" t="str">
        <f>N4713&amp;AS[[#This Row],[Insurer Code]]&amp;"; "&amp;O4713&amp;AS[[#This Row],[Reporting Year]]&amp;"; "&amp;P4713&amp;AS[[#This Row],[Insurance Category Code]]&amp;"; "&amp;Q4713&amp;AS[[#This Row],[Large Provider Entity Code]]&amp;"; "&amp;R4713&amp;AS[[#This Row],[Age Band Code]]&amp;"; "&amp;S4713&amp;AS[[#This Row],[Sex Code]]</f>
        <v xml:space="preserve">Insurer Code ; Reporting Year ; Insurance Category Code ; Large Provider Entity Code ; Age Band Code ; Sex Code </v>
      </c>
      <c r="N4713" s="297" t="s">
        <v>197</v>
      </c>
      <c r="O4713" s="297" t="s">
        <v>198</v>
      </c>
      <c r="P4713" s="297" t="s">
        <v>199</v>
      </c>
      <c r="Q4713" s="297" t="s">
        <v>200</v>
      </c>
      <c r="R4713" s="297" t="s">
        <v>213</v>
      </c>
      <c r="S4713" s="297" t="s">
        <v>214</v>
      </c>
    </row>
    <row r="4714" spans="1:19" x14ac:dyDescent="0.4">
      <c r="A4714" s="291"/>
      <c r="B4714" s="292"/>
      <c r="C4714" s="312"/>
      <c r="D4714" s="292"/>
      <c r="E4714" s="489"/>
      <c r="F4714" s="489"/>
      <c r="G4714" s="490"/>
      <c r="H4714" s="520"/>
      <c r="I4714" s="523"/>
      <c r="J4714" s="521"/>
      <c r="K4714" s="522"/>
      <c r="M4714" s="301" t="str">
        <f>N4714&amp;AS[[#This Row],[Insurer Code]]&amp;"; "&amp;O4714&amp;AS[[#This Row],[Reporting Year]]&amp;"; "&amp;P4714&amp;AS[[#This Row],[Insurance Category Code]]&amp;"; "&amp;Q4714&amp;AS[[#This Row],[Large Provider Entity Code]]&amp;"; "&amp;R4714&amp;AS[[#This Row],[Age Band Code]]&amp;"; "&amp;S4714&amp;AS[[#This Row],[Sex Code]]</f>
        <v xml:space="preserve">Insurer Code ; Reporting Year ; Insurance Category Code ; Large Provider Entity Code ; Age Band Code ; Sex Code </v>
      </c>
      <c r="N4714" s="297" t="s">
        <v>197</v>
      </c>
      <c r="O4714" s="297" t="s">
        <v>198</v>
      </c>
      <c r="P4714" s="297" t="s">
        <v>199</v>
      </c>
      <c r="Q4714" s="297" t="s">
        <v>200</v>
      </c>
      <c r="R4714" s="297" t="s">
        <v>213</v>
      </c>
      <c r="S4714" s="297" t="s">
        <v>214</v>
      </c>
    </row>
    <row r="4715" spans="1:19" x14ac:dyDescent="0.4">
      <c r="A4715" s="291"/>
      <c r="B4715" s="292"/>
      <c r="C4715" s="312"/>
      <c r="D4715" s="292"/>
      <c r="E4715" s="489"/>
      <c r="F4715" s="489"/>
      <c r="G4715" s="490"/>
      <c r="H4715" s="520"/>
      <c r="I4715" s="523"/>
      <c r="J4715" s="521"/>
      <c r="K4715" s="522"/>
      <c r="M4715" s="301" t="str">
        <f>N4715&amp;AS[[#This Row],[Insurer Code]]&amp;"; "&amp;O4715&amp;AS[[#This Row],[Reporting Year]]&amp;"; "&amp;P4715&amp;AS[[#This Row],[Insurance Category Code]]&amp;"; "&amp;Q4715&amp;AS[[#This Row],[Large Provider Entity Code]]&amp;"; "&amp;R4715&amp;AS[[#This Row],[Age Band Code]]&amp;"; "&amp;S4715&amp;AS[[#This Row],[Sex Code]]</f>
        <v xml:space="preserve">Insurer Code ; Reporting Year ; Insurance Category Code ; Large Provider Entity Code ; Age Band Code ; Sex Code </v>
      </c>
      <c r="N4715" s="297" t="s">
        <v>197</v>
      </c>
      <c r="O4715" s="297" t="s">
        <v>198</v>
      </c>
      <c r="P4715" s="297" t="s">
        <v>199</v>
      </c>
      <c r="Q4715" s="297" t="s">
        <v>200</v>
      </c>
      <c r="R4715" s="297" t="s">
        <v>213</v>
      </c>
      <c r="S4715" s="297" t="s">
        <v>214</v>
      </c>
    </row>
    <row r="4716" spans="1:19" x14ac:dyDescent="0.4">
      <c r="A4716" s="291"/>
      <c r="B4716" s="292"/>
      <c r="C4716" s="312"/>
      <c r="D4716" s="292"/>
      <c r="E4716" s="489"/>
      <c r="F4716" s="489"/>
      <c r="G4716" s="490"/>
      <c r="H4716" s="520"/>
      <c r="I4716" s="523"/>
      <c r="J4716" s="521"/>
      <c r="K4716" s="522"/>
      <c r="M4716" s="301" t="str">
        <f>N4716&amp;AS[[#This Row],[Insurer Code]]&amp;"; "&amp;O4716&amp;AS[[#This Row],[Reporting Year]]&amp;"; "&amp;P4716&amp;AS[[#This Row],[Insurance Category Code]]&amp;"; "&amp;Q4716&amp;AS[[#This Row],[Large Provider Entity Code]]&amp;"; "&amp;R4716&amp;AS[[#This Row],[Age Band Code]]&amp;"; "&amp;S4716&amp;AS[[#This Row],[Sex Code]]</f>
        <v xml:space="preserve">Insurer Code ; Reporting Year ; Insurance Category Code ; Large Provider Entity Code ; Age Band Code ; Sex Code </v>
      </c>
      <c r="N4716" s="297" t="s">
        <v>197</v>
      </c>
      <c r="O4716" s="297" t="s">
        <v>198</v>
      </c>
      <c r="P4716" s="297" t="s">
        <v>199</v>
      </c>
      <c r="Q4716" s="297" t="s">
        <v>200</v>
      </c>
      <c r="R4716" s="297" t="s">
        <v>213</v>
      </c>
      <c r="S4716" s="297" t="s">
        <v>214</v>
      </c>
    </row>
    <row r="4717" spans="1:19" x14ac:dyDescent="0.4">
      <c r="A4717" s="291"/>
      <c r="B4717" s="292"/>
      <c r="C4717" s="312"/>
      <c r="D4717" s="292"/>
      <c r="E4717" s="489"/>
      <c r="F4717" s="489"/>
      <c r="G4717" s="490"/>
      <c r="H4717" s="520"/>
      <c r="I4717" s="523"/>
      <c r="J4717" s="521"/>
      <c r="K4717" s="522"/>
      <c r="M4717" s="301" t="str">
        <f>N4717&amp;AS[[#This Row],[Insurer Code]]&amp;"; "&amp;O4717&amp;AS[[#This Row],[Reporting Year]]&amp;"; "&amp;P4717&amp;AS[[#This Row],[Insurance Category Code]]&amp;"; "&amp;Q4717&amp;AS[[#This Row],[Large Provider Entity Code]]&amp;"; "&amp;R4717&amp;AS[[#This Row],[Age Band Code]]&amp;"; "&amp;S4717&amp;AS[[#This Row],[Sex Code]]</f>
        <v xml:space="preserve">Insurer Code ; Reporting Year ; Insurance Category Code ; Large Provider Entity Code ; Age Band Code ; Sex Code </v>
      </c>
      <c r="N4717" s="297" t="s">
        <v>197</v>
      </c>
      <c r="O4717" s="297" t="s">
        <v>198</v>
      </c>
      <c r="P4717" s="297" t="s">
        <v>199</v>
      </c>
      <c r="Q4717" s="297" t="s">
        <v>200</v>
      </c>
      <c r="R4717" s="297" t="s">
        <v>213</v>
      </c>
      <c r="S4717" s="297" t="s">
        <v>214</v>
      </c>
    </row>
    <row r="4718" spans="1:19" x14ac:dyDescent="0.4">
      <c r="A4718" s="291"/>
      <c r="B4718" s="292"/>
      <c r="C4718" s="312"/>
      <c r="D4718" s="292"/>
      <c r="E4718" s="489"/>
      <c r="F4718" s="489"/>
      <c r="G4718" s="490"/>
      <c r="H4718" s="520"/>
      <c r="I4718" s="523"/>
      <c r="J4718" s="521"/>
      <c r="K4718" s="522"/>
      <c r="M4718" s="301" t="str">
        <f>N4718&amp;AS[[#This Row],[Insurer Code]]&amp;"; "&amp;O4718&amp;AS[[#This Row],[Reporting Year]]&amp;"; "&amp;P4718&amp;AS[[#This Row],[Insurance Category Code]]&amp;"; "&amp;Q4718&amp;AS[[#This Row],[Large Provider Entity Code]]&amp;"; "&amp;R4718&amp;AS[[#This Row],[Age Band Code]]&amp;"; "&amp;S4718&amp;AS[[#This Row],[Sex Code]]</f>
        <v xml:space="preserve">Insurer Code ; Reporting Year ; Insurance Category Code ; Large Provider Entity Code ; Age Band Code ; Sex Code </v>
      </c>
      <c r="N4718" s="297" t="s">
        <v>197</v>
      </c>
      <c r="O4718" s="297" t="s">
        <v>198</v>
      </c>
      <c r="P4718" s="297" t="s">
        <v>199</v>
      </c>
      <c r="Q4718" s="297" t="s">
        <v>200</v>
      </c>
      <c r="R4718" s="297" t="s">
        <v>213</v>
      </c>
      <c r="S4718" s="297" t="s">
        <v>214</v>
      </c>
    </row>
    <row r="4719" spans="1:19" x14ac:dyDescent="0.4">
      <c r="A4719" s="291"/>
      <c r="B4719" s="292"/>
      <c r="C4719" s="312"/>
      <c r="D4719" s="292"/>
      <c r="E4719" s="489"/>
      <c r="F4719" s="489"/>
      <c r="G4719" s="490"/>
      <c r="H4719" s="520"/>
      <c r="I4719" s="523"/>
      <c r="J4719" s="521"/>
      <c r="K4719" s="522"/>
      <c r="M4719" s="301" t="str">
        <f>N4719&amp;AS[[#This Row],[Insurer Code]]&amp;"; "&amp;O4719&amp;AS[[#This Row],[Reporting Year]]&amp;"; "&amp;P4719&amp;AS[[#This Row],[Insurance Category Code]]&amp;"; "&amp;Q4719&amp;AS[[#This Row],[Large Provider Entity Code]]&amp;"; "&amp;R4719&amp;AS[[#This Row],[Age Band Code]]&amp;"; "&amp;S4719&amp;AS[[#This Row],[Sex Code]]</f>
        <v xml:space="preserve">Insurer Code ; Reporting Year ; Insurance Category Code ; Large Provider Entity Code ; Age Band Code ; Sex Code </v>
      </c>
      <c r="N4719" s="297" t="s">
        <v>197</v>
      </c>
      <c r="O4719" s="297" t="s">
        <v>198</v>
      </c>
      <c r="P4719" s="297" t="s">
        <v>199</v>
      </c>
      <c r="Q4719" s="297" t="s">
        <v>200</v>
      </c>
      <c r="R4719" s="297" t="s">
        <v>213</v>
      </c>
      <c r="S4719" s="297" t="s">
        <v>214</v>
      </c>
    </row>
    <row r="4720" spans="1:19" x14ac:dyDescent="0.4">
      <c r="A4720" s="291"/>
      <c r="B4720" s="292"/>
      <c r="C4720" s="312"/>
      <c r="D4720" s="292"/>
      <c r="E4720" s="489"/>
      <c r="F4720" s="489"/>
      <c r="G4720" s="490"/>
      <c r="H4720" s="520"/>
      <c r="I4720" s="523"/>
      <c r="J4720" s="521"/>
      <c r="K4720" s="522"/>
      <c r="M4720" s="301" t="str">
        <f>N4720&amp;AS[[#This Row],[Insurer Code]]&amp;"; "&amp;O4720&amp;AS[[#This Row],[Reporting Year]]&amp;"; "&amp;P4720&amp;AS[[#This Row],[Insurance Category Code]]&amp;"; "&amp;Q4720&amp;AS[[#This Row],[Large Provider Entity Code]]&amp;"; "&amp;R4720&amp;AS[[#This Row],[Age Band Code]]&amp;"; "&amp;S4720&amp;AS[[#This Row],[Sex Code]]</f>
        <v xml:space="preserve">Insurer Code ; Reporting Year ; Insurance Category Code ; Large Provider Entity Code ; Age Band Code ; Sex Code </v>
      </c>
      <c r="N4720" s="297" t="s">
        <v>197</v>
      </c>
      <c r="O4720" s="297" t="s">
        <v>198</v>
      </c>
      <c r="P4720" s="297" t="s">
        <v>199</v>
      </c>
      <c r="Q4720" s="297" t="s">
        <v>200</v>
      </c>
      <c r="R4720" s="297" t="s">
        <v>213</v>
      </c>
      <c r="S4720" s="297" t="s">
        <v>214</v>
      </c>
    </row>
    <row r="4721" spans="1:19" x14ac:dyDescent="0.4">
      <c r="A4721" s="291"/>
      <c r="B4721" s="292"/>
      <c r="C4721" s="312"/>
      <c r="D4721" s="292"/>
      <c r="E4721" s="489"/>
      <c r="F4721" s="489"/>
      <c r="G4721" s="490"/>
      <c r="H4721" s="520"/>
      <c r="I4721" s="523"/>
      <c r="J4721" s="521"/>
      <c r="K4721" s="522"/>
      <c r="M4721" s="301" t="str">
        <f>N4721&amp;AS[[#This Row],[Insurer Code]]&amp;"; "&amp;O4721&amp;AS[[#This Row],[Reporting Year]]&amp;"; "&amp;P4721&amp;AS[[#This Row],[Insurance Category Code]]&amp;"; "&amp;Q4721&amp;AS[[#This Row],[Large Provider Entity Code]]&amp;"; "&amp;R4721&amp;AS[[#This Row],[Age Band Code]]&amp;"; "&amp;S4721&amp;AS[[#This Row],[Sex Code]]</f>
        <v xml:space="preserve">Insurer Code ; Reporting Year ; Insurance Category Code ; Large Provider Entity Code ; Age Band Code ; Sex Code </v>
      </c>
      <c r="N4721" s="297" t="s">
        <v>197</v>
      </c>
      <c r="O4721" s="297" t="s">
        <v>198</v>
      </c>
      <c r="P4721" s="297" t="s">
        <v>199</v>
      </c>
      <c r="Q4721" s="297" t="s">
        <v>200</v>
      </c>
      <c r="R4721" s="297" t="s">
        <v>213</v>
      </c>
      <c r="S4721" s="297" t="s">
        <v>214</v>
      </c>
    </row>
    <row r="4722" spans="1:19" x14ac:dyDescent="0.4">
      <c r="A4722" s="291"/>
      <c r="B4722" s="292"/>
      <c r="C4722" s="312"/>
      <c r="D4722" s="292"/>
      <c r="E4722" s="489"/>
      <c r="F4722" s="489"/>
      <c r="G4722" s="490"/>
      <c r="H4722" s="520"/>
      <c r="I4722" s="523"/>
      <c r="J4722" s="521"/>
      <c r="K4722" s="522"/>
      <c r="M4722" s="301" t="str">
        <f>N4722&amp;AS[[#This Row],[Insurer Code]]&amp;"; "&amp;O4722&amp;AS[[#This Row],[Reporting Year]]&amp;"; "&amp;P4722&amp;AS[[#This Row],[Insurance Category Code]]&amp;"; "&amp;Q4722&amp;AS[[#This Row],[Large Provider Entity Code]]&amp;"; "&amp;R4722&amp;AS[[#This Row],[Age Band Code]]&amp;"; "&amp;S4722&amp;AS[[#This Row],[Sex Code]]</f>
        <v xml:space="preserve">Insurer Code ; Reporting Year ; Insurance Category Code ; Large Provider Entity Code ; Age Band Code ; Sex Code </v>
      </c>
      <c r="N4722" s="297" t="s">
        <v>197</v>
      </c>
      <c r="O4722" s="297" t="s">
        <v>198</v>
      </c>
      <c r="P4722" s="297" t="s">
        <v>199</v>
      </c>
      <c r="Q4722" s="297" t="s">
        <v>200</v>
      </c>
      <c r="R4722" s="297" t="s">
        <v>213</v>
      </c>
      <c r="S4722" s="297" t="s">
        <v>214</v>
      </c>
    </row>
    <row r="4723" spans="1:19" x14ac:dyDescent="0.4">
      <c r="A4723" s="291"/>
      <c r="B4723" s="292"/>
      <c r="C4723" s="312"/>
      <c r="D4723" s="292"/>
      <c r="E4723" s="489"/>
      <c r="F4723" s="489"/>
      <c r="G4723" s="490"/>
      <c r="H4723" s="520"/>
      <c r="I4723" s="523"/>
      <c r="J4723" s="521"/>
      <c r="K4723" s="522"/>
      <c r="M4723" s="301" t="str">
        <f>N4723&amp;AS[[#This Row],[Insurer Code]]&amp;"; "&amp;O4723&amp;AS[[#This Row],[Reporting Year]]&amp;"; "&amp;P4723&amp;AS[[#This Row],[Insurance Category Code]]&amp;"; "&amp;Q4723&amp;AS[[#This Row],[Large Provider Entity Code]]&amp;"; "&amp;R4723&amp;AS[[#This Row],[Age Band Code]]&amp;"; "&amp;S4723&amp;AS[[#This Row],[Sex Code]]</f>
        <v xml:space="preserve">Insurer Code ; Reporting Year ; Insurance Category Code ; Large Provider Entity Code ; Age Band Code ; Sex Code </v>
      </c>
      <c r="N4723" s="297" t="s">
        <v>197</v>
      </c>
      <c r="O4723" s="297" t="s">
        <v>198</v>
      </c>
      <c r="P4723" s="297" t="s">
        <v>199</v>
      </c>
      <c r="Q4723" s="297" t="s">
        <v>200</v>
      </c>
      <c r="R4723" s="297" t="s">
        <v>213</v>
      </c>
      <c r="S4723" s="297" t="s">
        <v>214</v>
      </c>
    </row>
    <row r="4724" spans="1:19" x14ac:dyDescent="0.4">
      <c r="A4724" s="291"/>
      <c r="B4724" s="292"/>
      <c r="C4724" s="312"/>
      <c r="D4724" s="292"/>
      <c r="E4724" s="489"/>
      <c r="F4724" s="489"/>
      <c r="G4724" s="490"/>
      <c r="H4724" s="520"/>
      <c r="I4724" s="523"/>
      <c r="J4724" s="521"/>
      <c r="K4724" s="522"/>
      <c r="M4724" s="301" t="str">
        <f>N4724&amp;AS[[#This Row],[Insurer Code]]&amp;"; "&amp;O4724&amp;AS[[#This Row],[Reporting Year]]&amp;"; "&amp;P4724&amp;AS[[#This Row],[Insurance Category Code]]&amp;"; "&amp;Q4724&amp;AS[[#This Row],[Large Provider Entity Code]]&amp;"; "&amp;R4724&amp;AS[[#This Row],[Age Band Code]]&amp;"; "&amp;S4724&amp;AS[[#This Row],[Sex Code]]</f>
        <v xml:space="preserve">Insurer Code ; Reporting Year ; Insurance Category Code ; Large Provider Entity Code ; Age Band Code ; Sex Code </v>
      </c>
      <c r="N4724" s="297" t="s">
        <v>197</v>
      </c>
      <c r="O4724" s="297" t="s">
        <v>198</v>
      </c>
      <c r="P4724" s="297" t="s">
        <v>199</v>
      </c>
      <c r="Q4724" s="297" t="s">
        <v>200</v>
      </c>
      <c r="R4724" s="297" t="s">
        <v>213</v>
      </c>
      <c r="S4724" s="297" t="s">
        <v>214</v>
      </c>
    </row>
    <row r="4725" spans="1:19" x14ac:dyDescent="0.4">
      <c r="A4725" s="291"/>
      <c r="B4725" s="292"/>
      <c r="C4725" s="312"/>
      <c r="D4725" s="292"/>
      <c r="E4725" s="489"/>
      <c r="F4725" s="489"/>
      <c r="G4725" s="490"/>
      <c r="H4725" s="520"/>
      <c r="I4725" s="523"/>
      <c r="J4725" s="521"/>
      <c r="K4725" s="522"/>
      <c r="M4725" s="301" t="str">
        <f>N4725&amp;AS[[#This Row],[Insurer Code]]&amp;"; "&amp;O4725&amp;AS[[#This Row],[Reporting Year]]&amp;"; "&amp;P4725&amp;AS[[#This Row],[Insurance Category Code]]&amp;"; "&amp;Q4725&amp;AS[[#This Row],[Large Provider Entity Code]]&amp;"; "&amp;R4725&amp;AS[[#This Row],[Age Band Code]]&amp;"; "&amp;S4725&amp;AS[[#This Row],[Sex Code]]</f>
        <v xml:space="preserve">Insurer Code ; Reporting Year ; Insurance Category Code ; Large Provider Entity Code ; Age Band Code ; Sex Code </v>
      </c>
      <c r="N4725" s="297" t="s">
        <v>197</v>
      </c>
      <c r="O4725" s="297" t="s">
        <v>198</v>
      </c>
      <c r="P4725" s="297" t="s">
        <v>199</v>
      </c>
      <c r="Q4725" s="297" t="s">
        <v>200</v>
      </c>
      <c r="R4725" s="297" t="s">
        <v>213</v>
      </c>
      <c r="S4725" s="297" t="s">
        <v>214</v>
      </c>
    </row>
    <row r="4726" spans="1:19" x14ac:dyDescent="0.4">
      <c r="A4726" s="291"/>
      <c r="B4726" s="292"/>
      <c r="C4726" s="312"/>
      <c r="D4726" s="292"/>
      <c r="E4726" s="489"/>
      <c r="F4726" s="489"/>
      <c r="G4726" s="490"/>
      <c r="H4726" s="520"/>
      <c r="I4726" s="523"/>
      <c r="J4726" s="521"/>
      <c r="K4726" s="522"/>
      <c r="M4726" s="301" t="str">
        <f>N4726&amp;AS[[#This Row],[Insurer Code]]&amp;"; "&amp;O4726&amp;AS[[#This Row],[Reporting Year]]&amp;"; "&amp;P4726&amp;AS[[#This Row],[Insurance Category Code]]&amp;"; "&amp;Q4726&amp;AS[[#This Row],[Large Provider Entity Code]]&amp;"; "&amp;R4726&amp;AS[[#This Row],[Age Band Code]]&amp;"; "&amp;S4726&amp;AS[[#This Row],[Sex Code]]</f>
        <v xml:space="preserve">Insurer Code ; Reporting Year ; Insurance Category Code ; Large Provider Entity Code ; Age Band Code ; Sex Code </v>
      </c>
      <c r="N4726" s="297" t="s">
        <v>197</v>
      </c>
      <c r="O4726" s="297" t="s">
        <v>198</v>
      </c>
      <c r="P4726" s="297" t="s">
        <v>199</v>
      </c>
      <c r="Q4726" s="297" t="s">
        <v>200</v>
      </c>
      <c r="R4726" s="297" t="s">
        <v>213</v>
      </c>
      <c r="S4726" s="297" t="s">
        <v>214</v>
      </c>
    </row>
    <row r="4727" spans="1:19" x14ac:dyDescent="0.4">
      <c r="A4727" s="291"/>
      <c r="B4727" s="292"/>
      <c r="C4727" s="312"/>
      <c r="D4727" s="292"/>
      <c r="E4727" s="489"/>
      <c r="F4727" s="489"/>
      <c r="G4727" s="490"/>
      <c r="H4727" s="520"/>
      <c r="I4727" s="523"/>
      <c r="J4727" s="521"/>
      <c r="K4727" s="522"/>
      <c r="M4727" s="301" t="str">
        <f>N4727&amp;AS[[#This Row],[Insurer Code]]&amp;"; "&amp;O4727&amp;AS[[#This Row],[Reporting Year]]&amp;"; "&amp;P4727&amp;AS[[#This Row],[Insurance Category Code]]&amp;"; "&amp;Q4727&amp;AS[[#This Row],[Large Provider Entity Code]]&amp;"; "&amp;R4727&amp;AS[[#This Row],[Age Band Code]]&amp;"; "&amp;S4727&amp;AS[[#This Row],[Sex Code]]</f>
        <v xml:space="preserve">Insurer Code ; Reporting Year ; Insurance Category Code ; Large Provider Entity Code ; Age Band Code ; Sex Code </v>
      </c>
      <c r="N4727" s="297" t="s">
        <v>197</v>
      </c>
      <c r="O4727" s="297" t="s">
        <v>198</v>
      </c>
      <c r="P4727" s="297" t="s">
        <v>199</v>
      </c>
      <c r="Q4727" s="297" t="s">
        <v>200</v>
      </c>
      <c r="R4727" s="297" t="s">
        <v>213</v>
      </c>
      <c r="S4727" s="297" t="s">
        <v>214</v>
      </c>
    </row>
    <row r="4728" spans="1:19" x14ac:dyDescent="0.4">
      <c r="A4728" s="291"/>
      <c r="B4728" s="292"/>
      <c r="C4728" s="312"/>
      <c r="D4728" s="292"/>
      <c r="E4728" s="489"/>
      <c r="F4728" s="489"/>
      <c r="G4728" s="490"/>
      <c r="H4728" s="520"/>
      <c r="I4728" s="523"/>
      <c r="J4728" s="521"/>
      <c r="K4728" s="522"/>
      <c r="M4728" s="301" t="str">
        <f>N4728&amp;AS[[#This Row],[Insurer Code]]&amp;"; "&amp;O4728&amp;AS[[#This Row],[Reporting Year]]&amp;"; "&amp;P4728&amp;AS[[#This Row],[Insurance Category Code]]&amp;"; "&amp;Q4728&amp;AS[[#This Row],[Large Provider Entity Code]]&amp;"; "&amp;R4728&amp;AS[[#This Row],[Age Band Code]]&amp;"; "&amp;S4728&amp;AS[[#This Row],[Sex Code]]</f>
        <v xml:space="preserve">Insurer Code ; Reporting Year ; Insurance Category Code ; Large Provider Entity Code ; Age Band Code ; Sex Code </v>
      </c>
      <c r="N4728" s="297" t="s">
        <v>197</v>
      </c>
      <c r="O4728" s="297" t="s">
        <v>198</v>
      </c>
      <c r="P4728" s="297" t="s">
        <v>199</v>
      </c>
      <c r="Q4728" s="297" t="s">
        <v>200</v>
      </c>
      <c r="R4728" s="297" t="s">
        <v>213</v>
      </c>
      <c r="S4728" s="297" t="s">
        <v>214</v>
      </c>
    </row>
    <row r="4729" spans="1:19" x14ac:dyDescent="0.4">
      <c r="A4729" s="291"/>
      <c r="B4729" s="292"/>
      <c r="C4729" s="312"/>
      <c r="D4729" s="292"/>
      <c r="E4729" s="489"/>
      <c r="F4729" s="489"/>
      <c r="G4729" s="490"/>
      <c r="H4729" s="520"/>
      <c r="I4729" s="523"/>
      <c r="J4729" s="521"/>
      <c r="K4729" s="522"/>
      <c r="M4729" s="301" t="str">
        <f>N4729&amp;AS[[#This Row],[Insurer Code]]&amp;"; "&amp;O4729&amp;AS[[#This Row],[Reporting Year]]&amp;"; "&amp;P4729&amp;AS[[#This Row],[Insurance Category Code]]&amp;"; "&amp;Q4729&amp;AS[[#This Row],[Large Provider Entity Code]]&amp;"; "&amp;R4729&amp;AS[[#This Row],[Age Band Code]]&amp;"; "&amp;S4729&amp;AS[[#This Row],[Sex Code]]</f>
        <v xml:space="preserve">Insurer Code ; Reporting Year ; Insurance Category Code ; Large Provider Entity Code ; Age Band Code ; Sex Code </v>
      </c>
      <c r="N4729" s="297" t="s">
        <v>197</v>
      </c>
      <c r="O4729" s="297" t="s">
        <v>198</v>
      </c>
      <c r="P4729" s="297" t="s">
        <v>199</v>
      </c>
      <c r="Q4729" s="297" t="s">
        <v>200</v>
      </c>
      <c r="R4729" s="297" t="s">
        <v>213</v>
      </c>
      <c r="S4729" s="297" t="s">
        <v>214</v>
      </c>
    </row>
    <row r="4730" spans="1:19" x14ac:dyDescent="0.4">
      <c r="A4730" s="291"/>
      <c r="B4730" s="292"/>
      <c r="C4730" s="312"/>
      <c r="D4730" s="292"/>
      <c r="E4730" s="489"/>
      <c r="F4730" s="489"/>
      <c r="G4730" s="490"/>
      <c r="H4730" s="520"/>
      <c r="I4730" s="523"/>
      <c r="J4730" s="521"/>
      <c r="K4730" s="522"/>
      <c r="M4730" s="301" t="str">
        <f>N4730&amp;AS[[#This Row],[Insurer Code]]&amp;"; "&amp;O4730&amp;AS[[#This Row],[Reporting Year]]&amp;"; "&amp;P4730&amp;AS[[#This Row],[Insurance Category Code]]&amp;"; "&amp;Q4730&amp;AS[[#This Row],[Large Provider Entity Code]]&amp;"; "&amp;R4730&amp;AS[[#This Row],[Age Band Code]]&amp;"; "&amp;S4730&amp;AS[[#This Row],[Sex Code]]</f>
        <v xml:space="preserve">Insurer Code ; Reporting Year ; Insurance Category Code ; Large Provider Entity Code ; Age Band Code ; Sex Code </v>
      </c>
      <c r="N4730" s="297" t="s">
        <v>197</v>
      </c>
      <c r="O4730" s="297" t="s">
        <v>198</v>
      </c>
      <c r="P4730" s="297" t="s">
        <v>199</v>
      </c>
      <c r="Q4730" s="297" t="s">
        <v>200</v>
      </c>
      <c r="R4730" s="297" t="s">
        <v>213</v>
      </c>
      <c r="S4730" s="297" t="s">
        <v>214</v>
      </c>
    </row>
    <row r="4731" spans="1:19" x14ac:dyDescent="0.4">
      <c r="A4731" s="291"/>
      <c r="B4731" s="292"/>
      <c r="C4731" s="312"/>
      <c r="D4731" s="292"/>
      <c r="E4731" s="489"/>
      <c r="F4731" s="489"/>
      <c r="G4731" s="490"/>
      <c r="H4731" s="520"/>
      <c r="I4731" s="523"/>
      <c r="J4731" s="521"/>
      <c r="K4731" s="522"/>
      <c r="M4731" s="301" t="str">
        <f>N4731&amp;AS[[#This Row],[Insurer Code]]&amp;"; "&amp;O4731&amp;AS[[#This Row],[Reporting Year]]&amp;"; "&amp;P4731&amp;AS[[#This Row],[Insurance Category Code]]&amp;"; "&amp;Q4731&amp;AS[[#This Row],[Large Provider Entity Code]]&amp;"; "&amp;R4731&amp;AS[[#This Row],[Age Band Code]]&amp;"; "&amp;S4731&amp;AS[[#This Row],[Sex Code]]</f>
        <v xml:space="preserve">Insurer Code ; Reporting Year ; Insurance Category Code ; Large Provider Entity Code ; Age Band Code ; Sex Code </v>
      </c>
      <c r="N4731" s="297" t="s">
        <v>197</v>
      </c>
      <c r="O4731" s="297" t="s">
        <v>198</v>
      </c>
      <c r="P4731" s="297" t="s">
        <v>199</v>
      </c>
      <c r="Q4731" s="297" t="s">
        <v>200</v>
      </c>
      <c r="R4731" s="297" t="s">
        <v>213</v>
      </c>
      <c r="S4731" s="297" t="s">
        <v>214</v>
      </c>
    </row>
    <row r="4732" spans="1:19" x14ac:dyDescent="0.4">
      <c r="A4732" s="291"/>
      <c r="B4732" s="292"/>
      <c r="C4732" s="312"/>
      <c r="D4732" s="292"/>
      <c r="E4732" s="489"/>
      <c r="F4732" s="489"/>
      <c r="G4732" s="490"/>
      <c r="H4732" s="520"/>
      <c r="I4732" s="523"/>
      <c r="J4732" s="521"/>
      <c r="K4732" s="522"/>
      <c r="M4732" s="301" t="str">
        <f>N4732&amp;AS[[#This Row],[Insurer Code]]&amp;"; "&amp;O4732&amp;AS[[#This Row],[Reporting Year]]&amp;"; "&amp;P4732&amp;AS[[#This Row],[Insurance Category Code]]&amp;"; "&amp;Q4732&amp;AS[[#This Row],[Large Provider Entity Code]]&amp;"; "&amp;R4732&amp;AS[[#This Row],[Age Band Code]]&amp;"; "&amp;S4732&amp;AS[[#This Row],[Sex Code]]</f>
        <v xml:space="preserve">Insurer Code ; Reporting Year ; Insurance Category Code ; Large Provider Entity Code ; Age Band Code ; Sex Code </v>
      </c>
      <c r="N4732" s="297" t="s">
        <v>197</v>
      </c>
      <c r="O4732" s="297" t="s">
        <v>198</v>
      </c>
      <c r="P4732" s="297" t="s">
        <v>199</v>
      </c>
      <c r="Q4732" s="297" t="s">
        <v>200</v>
      </c>
      <c r="R4732" s="297" t="s">
        <v>213</v>
      </c>
      <c r="S4732" s="297" t="s">
        <v>214</v>
      </c>
    </row>
    <row r="4733" spans="1:19" x14ac:dyDescent="0.4">
      <c r="A4733" s="291"/>
      <c r="B4733" s="292"/>
      <c r="C4733" s="312"/>
      <c r="D4733" s="292"/>
      <c r="E4733" s="489"/>
      <c r="F4733" s="489"/>
      <c r="G4733" s="490"/>
      <c r="H4733" s="520"/>
      <c r="I4733" s="523"/>
      <c r="J4733" s="521"/>
      <c r="K4733" s="522"/>
      <c r="M4733" s="301" t="str">
        <f>N4733&amp;AS[[#This Row],[Insurer Code]]&amp;"; "&amp;O4733&amp;AS[[#This Row],[Reporting Year]]&amp;"; "&amp;P4733&amp;AS[[#This Row],[Insurance Category Code]]&amp;"; "&amp;Q4733&amp;AS[[#This Row],[Large Provider Entity Code]]&amp;"; "&amp;R4733&amp;AS[[#This Row],[Age Band Code]]&amp;"; "&amp;S4733&amp;AS[[#This Row],[Sex Code]]</f>
        <v xml:space="preserve">Insurer Code ; Reporting Year ; Insurance Category Code ; Large Provider Entity Code ; Age Band Code ; Sex Code </v>
      </c>
      <c r="N4733" s="297" t="s">
        <v>197</v>
      </c>
      <c r="O4733" s="297" t="s">
        <v>198</v>
      </c>
      <c r="P4733" s="297" t="s">
        <v>199</v>
      </c>
      <c r="Q4733" s="297" t="s">
        <v>200</v>
      </c>
      <c r="R4733" s="297" t="s">
        <v>213</v>
      </c>
      <c r="S4733" s="297" t="s">
        <v>214</v>
      </c>
    </row>
    <row r="4734" spans="1:19" x14ac:dyDescent="0.4">
      <c r="A4734" s="291"/>
      <c r="B4734" s="292"/>
      <c r="C4734" s="312"/>
      <c r="D4734" s="292"/>
      <c r="E4734" s="489"/>
      <c r="F4734" s="489"/>
      <c r="G4734" s="490"/>
      <c r="H4734" s="520"/>
      <c r="I4734" s="523"/>
      <c r="J4734" s="521"/>
      <c r="K4734" s="522"/>
      <c r="M4734" s="301" t="str">
        <f>N4734&amp;AS[[#This Row],[Insurer Code]]&amp;"; "&amp;O4734&amp;AS[[#This Row],[Reporting Year]]&amp;"; "&amp;P4734&amp;AS[[#This Row],[Insurance Category Code]]&amp;"; "&amp;Q4734&amp;AS[[#This Row],[Large Provider Entity Code]]&amp;"; "&amp;R4734&amp;AS[[#This Row],[Age Band Code]]&amp;"; "&amp;S4734&amp;AS[[#This Row],[Sex Code]]</f>
        <v xml:space="preserve">Insurer Code ; Reporting Year ; Insurance Category Code ; Large Provider Entity Code ; Age Band Code ; Sex Code </v>
      </c>
      <c r="N4734" s="297" t="s">
        <v>197</v>
      </c>
      <c r="O4734" s="297" t="s">
        <v>198</v>
      </c>
      <c r="P4734" s="297" t="s">
        <v>199</v>
      </c>
      <c r="Q4734" s="297" t="s">
        <v>200</v>
      </c>
      <c r="R4734" s="297" t="s">
        <v>213</v>
      </c>
      <c r="S4734" s="297" t="s">
        <v>214</v>
      </c>
    </row>
    <row r="4735" spans="1:19" x14ac:dyDescent="0.4">
      <c r="A4735" s="291"/>
      <c r="B4735" s="292"/>
      <c r="C4735" s="312"/>
      <c r="D4735" s="292"/>
      <c r="E4735" s="489"/>
      <c r="F4735" s="489"/>
      <c r="G4735" s="490"/>
      <c r="H4735" s="520"/>
      <c r="I4735" s="523"/>
      <c r="J4735" s="521"/>
      <c r="K4735" s="522"/>
      <c r="M4735" s="301" t="str">
        <f>N4735&amp;AS[[#This Row],[Insurer Code]]&amp;"; "&amp;O4735&amp;AS[[#This Row],[Reporting Year]]&amp;"; "&amp;P4735&amp;AS[[#This Row],[Insurance Category Code]]&amp;"; "&amp;Q4735&amp;AS[[#This Row],[Large Provider Entity Code]]&amp;"; "&amp;R4735&amp;AS[[#This Row],[Age Band Code]]&amp;"; "&amp;S4735&amp;AS[[#This Row],[Sex Code]]</f>
        <v xml:space="preserve">Insurer Code ; Reporting Year ; Insurance Category Code ; Large Provider Entity Code ; Age Band Code ; Sex Code </v>
      </c>
      <c r="N4735" s="297" t="s">
        <v>197</v>
      </c>
      <c r="O4735" s="297" t="s">
        <v>198</v>
      </c>
      <c r="P4735" s="297" t="s">
        <v>199</v>
      </c>
      <c r="Q4735" s="297" t="s">
        <v>200</v>
      </c>
      <c r="R4735" s="297" t="s">
        <v>213</v>
      </c>
      <c r="S4735" s="297" t="s">
        <v>214</v>
      </c>
    </row>
    <row r="4736" spans="1:19" x14ac:dyDescent="0.4">
      <c r="A4736" s="291"/>
      <c r="B4736" s="292"/>
      <c r="C4736" s="312"/>
      <c r="D4736" s="292"/>
      <c r="E4736" s="489"/>
      <c r="F4736" s="489"/>
      <c r="G4736" s="490"/>
      <c r="H4736" s="520"/>
      <c r="I4736" s="523"/>
      <c r="J4736" s="521"/>
      <c r="K4736" s="522"/>
      <c r="M4736" s="301" t="str">
        <f>N4736&amp;AS[[#This Row],[Insurer Code]]&amp;"; "&amp;O4736&amp;AS[[#This Row],[Reporting Year]]&amp;"; "&amp;P4736&amp;AS[[#This Row],[Insurance Category Code]]&amp;"; "&amp;Q4736&amp;AS[[#This Row],[Large Provider Entity Code]]&amp;"; "&amp;R4736&amp;AS[[#This Row],[Age Band Code]]&amp;"; "&amp;S4736&amp;AS[[#This Row],[Sex Code]]</f>
        <v xml:space="preserve">Insurer Code ; Reporting Year ; Insurance Category Code ; Large Provider Entity Code ; Age Band Code ; Sex Code </v>
      </c>
      <c r="N4736" s="297" t="s">
        <v>197</v>
      </c>
      <c r="O4736" s="297" t="s">
        <v>198</v>
      </c>
      <c r="P4736" s="297" t="s">
        <v>199</v>
      </c>
      <c r="Q4736" s="297" t="s">
        <v>200</v>
      </c>
      <c r="R4736" s="297" t="s">
        <v>213</v>
      </c>
      <c r="S4736" s="297" t="s">
        <v>214</v>
      </c>
    </row>
    <row r="4737" spans="1:19" x14ac:dyDescent="0.4">
      <c r="A4737" s="291"/>
      <c r="B4737" s="292"/>
      <c r="C4737" s="312"/>
      <c r="D4737" s="292"/>
      <c r="E4737" s="489"/>
      <c r="F4737" s="489"/>
      <c r="G4737" s="490"/>
      <c r="H4737" s="520"/>
      <c r="I4737" s="523"/>
      <c r="J4737" s="521"/>
      <c r="K4737" s="522"/>
      <c r="M4737" s="301" t="str">
        <f>N4737&amp;AS[[#This Row],[Insurer Code]]&amp;"; "&amp;O4737&amp;AS[[#This Row],[Reporting Year]]&amp;"; "&amp;P4737&amp;AS[[#This Row],[Insurance Category Code]]&amp;"; "&amp;Q4737&amp;AS[[#This Row],[Large Provider Entity Code]]&amp;"; "&amp;R4737&amp;AS[[#This Row],[Age Band Code]]&amp;"; "&amp;S4737&amp;AS[[#This Row],[Sex Code]]</f>
        <v xml:space="preserve">Insurer Code ; Reporting Year ; Insurance Category Code ; Large Provider Entity Code ; Age Band Code ; Sex Code </v>
      </c>
      <c r="N4737" s="297" t="s">
        <v>197</v>
      </c>
      <c r="O4737" s="297" t="s">
        <v>198</v>
      </c>
      <c r="P4737" s="297" t="s">
        <v>199</v>
      </c>
      <c r="Q4737" s="297" t="s">
        <v>200</v>
      </c>
      <c r="R4737" s="297" t="s">
        <v>213</v>
      </c>
      <c r="S4737" s="297" t="s">
        <v>214</v>
      </c>
    </row>
    <row r="4738" spans="1:19" x14ac:dyDescent="0.4">
      <c r="A4738" s="291"/>
      <c r="B4738" s="292"/>
      <c r="C4738" s="312"/>
      <c r="D4738" s="292"/>
      <c r="E4738" s="489"/>
      <c r="F4738" s="489"/>
      <c r="G4738" s="490"/>
      <c r="H4738" s="520"/>
      <c r="I4738" s="523"/>
      <c r="J4738" s="521"/>
      <c r="K4738" s="522"/>
      <c r="M4738" s="301" t="str">
        <f>N4738&amp;AS[[#This Row],[Insurer Code]]&amp;"; "&amp;O4738&amp;AS[[#This Row],[Reporting Year]]&amp;"; "&amp;P4738&amp;AS[[#This Row],[Insurance Category Code]]&amp;"; "&amp;Q4738&amp;AS[[#This Row],[Large Provider Entity Code]]&amp;"; "&amp;R4738&amp;AS[[#This Row],[Age Band Code]]&amp;"; "&amp;S4738&amp;AS[[#This Row],[Sex Code]]</f>
        <v xml:space="preserve">Insurer Code ; Reporting Year ; Insurance Category Code ; Large Provider Entity Code ; Age Band Code ; Sex Code </v>
      </c>
      <c r="N4738" s="297" t="s">
        <v>197</v>
      </c>
      <c r="O4738" s="297" t="s">
        <v>198</v>
      </c>
      <c r="P4738" s="297" t="s">
        <v>199</v>
      </c>
      <c r="Q4738" s="297" t="s">
        <v>200</v>
      </c>
      <c r="R4738" s="297" t="s">
        <v>213</v>
      </c>
      <c r="S4738" s="297" t="s">
        <v>214</v>
      </c>
    </row>
    <row r="4739" spans="1:19" x14ac:dyDescent="0.4">
      <c r="A4739" s="291"/>
      <c r="B4739" s="292"/>
      <c r="C4739" s="312"/>
      <c r="D4739" s="292"/>
      <c r="E4739" s="489"/>
      <c r="F4739" s="489"/>
      <c r="G4739" s="490"/>
      <c r="H4739" s="520"/>
      <c r="I4739" s="523"/>
      <c r="J4739" s="521"/>
      <c r="K4739" s="522"/>
      <c r="M4739" s="301" t="str">
        <f>N4739&amp;AS[[#This Row],[Insurer Code]]&amp;"; "&amp;O4739&amp;AS[[#This Row],[Reporting Year]]&amp;"; "&amp;P4739&amp;AS[[#This Row],[Insurance Category Code]]&amp;"; "&amp;Q4739&amp;AS[[#This Row],[Large Provider Entity Code]]&amp;"; "&amp;R4739&amp;AS[[#This Row],[Age Band Code]]&amp;"; "&amp;S4739&amp;AS[[#This Row],[Sex Code]]</f>
        <v xml:space="preserve">Insurer Code ; Reporting Year ; Insurance Category Code ; Large Provider Entity Code ; Age Band Code ; Sex Code </v>
      </c>
      <c r="N4739" s="297" t="s">
        <v>197</v>
      </c>
      <c r="O4739" s="297" t="s">
        <v>198</v>
      </c>
      <c r="P4739" s="297" t="s">
        <v>199</v>
      </c>
      <c r="Q4739" s="297" t="s">
        <v>200</v>
      </c>
      <c r="R4739" s="297" t="s">
        <v>213</v>
      </c>
      <c r="S4739" s="297" t="s">
        <v>214</v>
      </c>
    </row>
    <row r="4740" spans="1:19" x14ac:dyDescent="0.4">
      <c r="A4740" s="291"/>
      <c r="B4740" s="292"/>
      <c r="C4740" s="312"/>
      <c r="D4740" s="292"/>
      <c r="E4740" s="489"/>
      <c r="F4740" s="489"/>
      <c r="G4740" s="490"/>
      <c r="H4740" s="520"/>
      <c r="I4740" s="523"/>
      <c r="J4740" s="521"/>
      <c r="K4740" s="522"/>
      <c r="M4740" s="301" t="str">
        <f>N4740&amp;AS[[#This Row],[Insurer Code]]&amp;"; "&amp;O4740&amp;AS[[#This Row],[Reporting Year]]&amp;"; "&amp;P4740&amp;AS[[#This Row],[Insurance Category Code]]&amp;"; "&amp;Q4740&amp;AS[[#This Row],[Large Provider Entity Code]]&amp;"; "&amp;R4740&amp;AS[[#This Row],[Age Band Code]]&amp;"; "&amp;S4740&amp;AS[[#This Row],[Sex Code]]</f>
        <v xml:space="preserve">Insurer Code ; Reporting Year ; Insurance Category Code ; Large Provider Entity Code ; Age Band Code ; Sex Code </v>
      </c>
      <c r="N4740" s="297" t="s">
        <v>197</v>
      </c>
      <c r="O4740" s="297" t="s">
        <v>198</v>
      </c>
      <c r="P4740" s="297" t="s">
        <v>199</v>
      </c>
      <c r="Q4740" s="297" t="s">
        <v>200</v>
      </c>
      <c r="R4740" s="297" t="s">
        <v>213</v>
      </c>
      <c r="S4740" s="297" t="s">
        <v>214</v>
      </c>
    </row>
    <row r="4741" spans="1:19" x14ac:dyDescent="0.4">
      <c r="A4741" s="291"/>
      <c r="B4741" s="292"/>
      <c r="C4741" s="312"/>
      <c r="D4741" s="292"/>
      <c r="E4741" s="489"/>
      <c r="F4741" s="489"/>
      <c r="G4741" s="490"/>
      <c r="H4741" s="520"/>
      <c r="I4741" s="523"/>
      <c r="J4741" s="521"/>
      <c r="K4741" s="522"/>
      <c r="M4741" s="301" t="str">
        <f>N4741&amp;AS[[#This Row],[Insurer Code]]&amp;"; "&amp;O4741&amp;AS[[#This Row],[Reporting Year]]&amp;"; "&amp;P4741&amp;AS[[#This Row],[Insurance Category Code]]&amp;"; "&amp;Q4741&amp;AS[[#This Row],[Large Provider Entity Code]]&amp;"; "&amp;R4741&amp;AS[[#This Row],[Age Band Code]]&amp;"; "&amp;S4741&amp;AS[[#This Row],[Sex Code]]</f>
        <v xml:space="preserve">Insurer Code ; Reporting Year ; Insurance Category Code ; Large Provider Entity Code ; Age Band Code ; Sex Code </v>
      </c>
      <c r="N4741" s="297" t="s">
        <v>197</v>
      </c>
      <c r="O4741" s="297" t="s">
        <v>198</v>
      </c>
      <c r="P4741" s="297" t="s">
        <v>199</v>
      </c>
      <c r="Q4741" s="297" t="s">
        <v>200</v>
      </c>
      <c r="R4741" s="297" t="s">
        <v>213</v>
      </c>
      <c r="S4741" s="297" t="s">
        <v>214</v>
      </c>
    </row>
    <row r="4742" spans="1:19" x14ac:dyDescent="0.4">
      <c r="A4742" s="291"/>
      <c r="B4742" s="292"/>
      <c r="C4742" s="312"/>
      <c r="D4742" s="292"/>
      <c r="E4742" s="489"/>
      <c r="F4742" s="489"/>
      <c r="G4742" s="490"/>
      <c r="H4742" s="520"/>
      <c r="I4742" s="523"/>
      <c r="J4742" s="521"/>
      <c r="K4742" s="522"/>
      <c r="M4742" s="301" t="str">
        <f>N4742&amp;AS[[#This Row],[Insurer Code]]&amp;"; "&amp;O4742&amp;AS[[#This Row],[Reporting Year]]&amp;"; "&amp;P4742&amp;AS[[#This Row],[Insurance Category Code]]&amp;"; "&amp;Q4742&amp;AS[[#This Row],[Large Provider Entity Code]]&amp;"; "&amp;R4742&amp;AS[[#This Row],[Age Band Code]]&amp;"; "&amp;S4742&amp;AS[[#This Row],[Sex Code]]</f>
        <v xml:space="preserve">Insurer Code ; Reporting Year ; Insurance Category Code ; Large Provider Entity Code ; Age Band Code ; Sex Code </v>
      </c>
      <c r="N4742" s="297" t="s">
        <v>197</v>
      </c>
      <c r="O4742" s="297" t="s">
        <v>198</v>
      </c>
      <c r="P4742" s="297" t="s">
        <v>199</v>
      </c>
      <c r="Q4742" s="297" t="s">
        <v>200</v>
      </c>
      <c r="R4742" s="297" t="s">
        <v>213</v>
      </c>
      <c r="S4742" s="297" t="s">
        <v>214</v>
      </c>
    </row>
    <row r="4743" spans="1:19" x14ac:dyDescent="0.4">
      <c r="A4743" s="291"/>
      <c r="B4743" s="292"/>
      <c r="C4743" s="312"/>
      <c r="D4743" s="292"/>
      <c r="E4743" s="489"/>
      <c r="F4743" s="489"/>
      <c r="G4743" s="490"/>
      <c r="H4743" s="520"/>
      <c r="I4743" s="523"/>
      <c r="J4743" s="521"/>
      <c r="K4743" s="522"/>
      <c r="M4743" s="301" t="str">
        <f>N4743&amp;AS[[#This Row],[Insurer Code]]&amp;"; "&amp;O4743&amp;AS[[#This Row],[Reporting Year]]&amp;"; "&amp;P4743&amp;AS[[#This Row],[Insurance Category Code]]&amp;"; "&amp;Q4743&amp;AS[[#This Row],[Large Provider Entity Code]]&amp;"; "&amp;R4743&amp;AS[[#This Row],[Age Band Code]]&amp;"; "&amp;S4743&amp;AS[[#This Row],[Sex Code]]</f>
        <v xml:space="preserve">Insurer Code ; Reporting Year ; Insurance Category Code ; Large Provider Entity Code ; Age Band Code ; Sex Code </v>
      </c>
      <c r="N4743" s="297" t="s">
        <v>197</v>
      </c>
      <c r="O4743" s="297" t="s">
        <v>198</v>
      </c>
      <c r="P4743" s="297" t="s">
        <v>199</v>
      </c>
      <c r="Q4743" s="297" t="s">
        <v>200</v>
      </c>
      <c r="R4743" s="297" t="s">
        <v>213</v>
      </c>
      <c r="S4743" s="297" t="s">
        <v>214</v>
      </c>
    </row>
    <row r="4744" spans="1:19" x14ac:dyDescent="0.4">
      <c r="A4744" s="291"/>
      <c r="B4744" s="292"/>
      <c r="C4744" s="312"/>
      <c r="D4744" s="292"/>
      <c r="E4744" s="489"/>
      <c r="F4744" s="489"/>
      <c r="G4744" s="490"/>
      <c r="H4744" s="520"/>
      <c r="I4744" s="523"/>
      <c r="J4744" s="521"/>
      <c r="K4744" s="522"/>
      <c r="M4744" s="301" t="str">
        <f>N4744&amp;AS[[#This Row],[Insurer Code]]&amp;"; "&amp;O4744&amp;AS[[#This Row],[Reporting Year]]&amp;"; "&amp;P4744&amp;AS[[#This Row],[Insurance Category Code]]&amp;"; "&amp;Q4744&amp;AS[[#This Row],[Large Provider Entity Code]]&amp;"; "&amp;R4744&amp;AS[[#This Row],[Age Band Code]]&amp;"; "&amp;S4744&amp;AS[[#This Row],[Sex Code]]</f>
        <v xml:space="preserve">Insurer Code ; Reporting Year ; Insurance Category Code ; Large Provider Entity Code ; Age Band Code ; Sex Code </v>
      </c>
      <c r="N4744" s="297" t="s">
        <v>197</v>
      </c>
      <c r="O4744" s="297" t="s">
        <v>198</v>
      </c>
      <c r="P4744" s="297" t="s">
        <v>199</v>
      </c>
      <c r="Q4744" s="297" t="s">
        <v>200</v>
      </c>
      <c r="R4744" s="297" t="s">
        <v>213</v>
      </c>
      <c r="S4744" s="297" t="s">
        <v>214</v>
      </c>
    </row>
    <row r="4745" spans="1:19" x14ac:dyDescent="0.4">
      <c r="A4745" s="291"/>
      <c r="B4745" s="292"/>
      <c r="C4745" s="312"/>
      <c r="D4745" s="292"/>
      <c r="E4745" s="489"/>
      <c r="F4745" s="489"/>
      <c r="G4745" s="490"/>
      <c r="H4745" s="520"/>
      <c r="I4745" s="523"/>
      <c r="J4745" s="521"/>
      <c r="K4745" s="522"/>
      <c r="M4745" s="301" t="str">
        <f>N4745&amp;AS[[#This Row],[Insurer Code]]&amp;"; "&amp;O4745&amp;AS[[#This Row],[Reporting Year]]&amp;"; "&amp;P4745&amp;AS[[#This Row],[Insurance Category Code]]&amp;"; "&amp;Q4745&amp;AS[[#This Row],[Large Provider Entity Code]]&amp;"; "&amp;R4745&amp;AS[[#This Row],[Age Band Code]]&amp;"; "&amp;S4745&amp;AS[[#This Row],[Sex Code]]</f>
        <v xml:space="preserve">Insurer Code ; Reporting Year ; Insurance Category Code ; Large Provider Entity Code ; Age Band Code ; Sex Code </v>
      </c>
      <c r="N4745" s="297" t="s">
        <v>197</v>
      </c>
      <c r="O4745" s="297" t="s">
        <v>198</v>
      </c>
      <c r="P4745" s="297" t="s">
        <v>199</v>
      </c>
      <c r="Q4745" s="297" t="s">
        <v>200</v>
      </c>
      <c r="R4745" s="297" t="s">
        <v>213</v>
      </c>
      <c r="S4745" s="297" t="s">
        <v>214</v>
      </c>
    </row>
    <row r="4746" spans="1:19" x14ac:dyDescent="0.4">
      <c r="A4746" s="291"/>
      <c r="B4746" s="292"/>
      <c r="C4746" s="312"/>
      <c r="D4746" s="292"/>
      <c r="E4746" s="489"/>
      <c r="F4746" s="489"/>
      <c r="G4746" s="490"/>
      <c r="H4746" s="520"/>
      <c r="I4746" s="523"/>
      <c r="J4746" s="521"/>
      <c r="K4746" s="522"/>
      <c r="M4746" s="301" t="str">
        <f>N4746&amp;AS[[#This Row],[Insurer Code]]&amp;"; "&amp;O4746&amp;AS[[#This Row],[Reporting Year]]&amp;"; "&amp;P4746&amp;AS[[#This Row],[Insurance Category Code]]&amp;"; "&amp;Q4746&amp;AS[[#This Row],[Large Provider Entity Code]]&amp;"; "&amp;R4746&amp;AS[[#This Row],[Age Band Code]]&amp;"; "&amp;S4746&amp;AS[[#This Row],[Sex Code]]</f>
        <v xml:space="preserve">Insurer Code ; Reporting Year ; Insurance Category Code ; Large Provider Entity Code ; Age Band Code ; Sex Code </v>
      </c>
      <c r="N4746" s="297" t="s">
        <v>197</v>
      </c>
      <c r="O4746" s="297" t="s">
        <v>198</v>
      </c>
      <c r="P4746" s="297" t="s">
        <v>199</v>
      </c>
      <c r="Q4746" s="297" t="s">
        <v>200</v>
      </c>
      <c r="R4746" s="297" t="s">
        <v>213</v>
      </c>
      <c r="S4746" s="297" t="s">
        <v>214</v>
      </c>
    </row>
    <row r="4747" spans="1:19" x14ac:dyDescent="0.4">
      <c r="A4747" s="291"/>
      <c r="B4747" s="292"/>
      <c r="C4747" s="312"/>
      <c r="D4747" s="292"/>
      <c r="E4747" s="489"/>
      <c r="F4747" s="489"/>
      <c r="G4747" s="490"/>
      <c r="H4747" s="520"/>
      <c r="I4747" s="523"/>
      <c r="J4747" s="521"/>
      <c r="K4747" s="522"/>
      <c r="M4747" s="301" t="str">
        <f>N4747&amp;AS[[#This Row],[Insurer Code]]&amp;"; "&amp;O4747&amp;AS[[#This Row],[Reporting Year]]&amp;"; "&amp;P4747&amp;AS[[#This Row],[Insurance Category Code]]&amp;"; "&amp;Q4747&amp;AS[[#This Row],[Large Provider Entity Code]]&amp;"; "&amp;R4747&amp;AS[[#This Row],[Age Band Code]]&amp;"; "&amp;S4747&amp;AS[[#This Row],[Sex Code]]</f>
        <v xml:space="preserve">Insurer Code ; Reporting Year ; Insurance Category Code ; Large Provider Entity Code ; Age Band Code ; Sex Code </v>
      </c>
      <c r="N4747" s="297" t="s">
        <v>197</v>
      </c>
      <c r="O4747" s="297" t="s">
        <v>198</v>
      </c>
      <c r="P4747" s="297" t="s">
        <v>199</v>
      </c>
      <c r="Q4747" s="297" t="s">
        <v>200</v>
      </c>
      <c r="R4747" s="297" t="s">
        <v>213</v>
      </c>
      <c r="S4747" s="297" t="s">
        <v>214</v>
      </c>
    </row>
    <row r="4748" spans="1:19" x14ac:dyDescent="0.4">
      <c r="A4748" s="291"/>
      <c r="B4748" s="292"/>
      <c r="C4748" s="312"/>
      <c r="D4748" s="292"/>
      <c r="E4748" s="489"/>
      <c r="F4748" s="489"/>
      <c r="G4748" s="490"/>
      <c r="H4748" s="520"/>
      <c r="I4748" s="523"/>
      <c r="J4748" s="521"/>
      <c r="K4748" s="522"/>
      <c r="M4748" s="301" t="str">
        <f>N4748&amp;AS[[#This Row],[Insurer Code]]&amp;"; "&amp;O4748&amp;AS[[#This Row],[Reporting Year]]&amp;"; "&amp;P4748&amp;AS[[#This Row],[Insurance Category Code]]&amp;"; "&amp;Q4748&amp;AS[[#This Row],[Large Provider Entity Code]]&amp;"; "&amp;R4748&amp;AS[[#This Row],[Age Band Code]]&amp;"; "&amp;S4748&amp;AS[[#This Row],[Sex Code]]</f>
        <v xml:space="preserve">Insurer Code ; Reporting Year ; Insurance Category Code ; Large Provider Entity Code ; Age Band Code ; Sex Code </v>
      </c>
      <c r="N4748" s="297" t="s">
        <v>197</v>
      </c>
      <c r="O4748" s="297" t="s">
        <v>198</v>
      </c>
      <c r="P4748" s="297" t="s">
        <v>199</v>
      </c>
      <c r="Q4748" s="297" t="s">
        <v>200</v>
      </c>
      <c r="R4748" s="297" t="s">
        <v>213</v>
      </c>
      <c r="S4748" s="297" t="s">
        <v>214</v>
      </c>
    </row>
    <row r="4749" spans="1:19" x14ac:dyDescent="0.4">
      <c r="A4749" s="291"/>
      <c r="B4749" s="292"/>
      <c r="C4749" s="312"/>
      <c r="D4749" s="292"/>
      <c r="E4749" s="489"/>
      <c r="F4749" s="489"/>
      <c r="G4749" s="490"/>
      <c r="H4749" s="520"/>
      <c r="I4749" s="523"/>
      <c r="J4749" s="521"/>
      <c r="K4749" s="522"/>
      <c r="M4749" s="301" t="str">
        <f>N4749&amp;AS[[#This Row],[Insurer Code]]&amp;"; "&amp;O4749&amp;AS[[#This Row],[Reporting Year]]&amp;"; "&amp;P4749&amp;AS[[#This Row],[Insurance Category Code]]&amp;"; "&amp;Q4749&amp;AS[[#This Row],[Large Provider Entity Code]]&amp;"; "&amp;R4749&amp;AS[[#This Row],[Age Band Code]]&amp;"; "&amp;S4749&amp;AS[[#This Row],[Sex Code]]</f>
        <v xml:space="preserve">Insurer Code ; Reporting Year ; Insurance Category Code ; Large Provider Entity Code ; Age Band Code ; Sex Code </v>
      </c>
      <c r="N4749" s="297" t="s">
        <v>197</v>
      </c>
      <c r="O4749" s="297" t="s">
        <v>198</v>
      </c>
      <c r="P4749" s="297" t="s">
        <v>199</v>
      </c>
      <c r="Q4749" s="297" t="s">
        <v>200</v>
      </c>
      <c r="R4749" s="297" t="s">
        <v>213</v>
      </c>
      <c r="S4749" s="297" t="s">
        <v>214</v>
      </c>
    </row>
    <row r="4750" spans="1:19" x14ac:dyDescent="0.4">
      <c r="A4750" s="291"/>
      <c r="B4750" s="292"/>
      <c r="C4750" s="312"/>
      <c r="D4750" s="292"/>
      <c r="E4750" s="489"/>
      <c r="F4750" s="489"/>
      <c r="G4750" s="490"/>
      <c r="H4750" s="520"/>
      <c r="I4750" s="523"/>
      <c r="J4750" s="521"/>
      <c r="K4750" s="522"/>
      <c r="M4750" s="301" t="str">
        <f>N4750&amp;AS[[#This Row],[Insurer Code]]&amp;"; "&amp;O4750&amp;AS[[#This Row],[Reporting Year]]&amp;"; "&amp;P4750&amp;AS[[#This Row],[Insurance Category Code]]&amp;"; "&amp;Q4750&amp;AS[[#This Row],[Large Provider Entity Code]]&amp;"; "&amp;R4750&amp;AS[[#This Row],[Age Band Code]]&amp;"; "&amp;S4750&amp;AS[[#This Row],[Sex Code]]</f>
        <v xml:space="preserve">Insurer Code ; Reporting Year ; Insurance Category Code ; Large Provider Entity Code ; Age Band Code ; Sex Code </v>
      </c>
      <c r="N4750" s="297" t="s">
        <v>197</v>
      </c>
      <c r="O4750" s="297" t="s">
        <v>198</v>
      </c>
      <c r="P4750" s="297" t="s">
        <v>199</v>
      </c>
      <c r="Q4750" s="297" t="s">
        <v>200</v>
      </c>
      <c r="R4750" s="297" t="s">
        <v>213</v>
      </c>
      <c r="S4750" s="297" t="s">
        <v>214</v>
      </c>
    </row>
    <row r="4751" spans="1:19" x14ac:dyDescent="0.4">
      <c r="A4751" s="291"/>
      <c r="B4751" s="292"/>
      <c r="C4751" s="312"/>
      <c r="D4751" s="292"/>
      <c r="E4751" s="489"/>
      <c r="F4751" s="489"/>
      <c r="G4751" s="490"/>
      <c r="H4751" s="520"/>
      <c r="I4751" s="523"/>
      <c r="J4751" s="521"/>
      <c r="K4751" s="522"/>
      <c r="M4751" s="301" t="str">
        <f>N4751&amp;AS[[#This Row],[Insurer Code]]&amp;"; "&amp;O4751&amp;AS[[#This Row],[Reporting Year]]&amp;"; "&amp;P4751&amp;AS[[#This Row],[Insurance Category Code]]&amp;"; "&amp;Q4751&amp;AS[[#This Row],[Large Provider Entity Code]]&amp;"; "&amp;R4751&amp;AS[[#This Row],[Age Band Code]]&amp;"; "&amp;S4751&amp;AS[[#This Row],[Sex Code]]</f>
        <v xml:space="preserve">Insurer Code ; Reporting Year ; Insurance Category Code ; Large Provider Entity Code ; Age Band Code ; Sex Code </v>
      </c>
      <c r="N4751" s="297" t="s">
        <v>197</v>
      </c>
      <c r="O4751" s="297" t="s">
        <v>198</v>
      </c>
      <c r="P4751" s="297" t="s">
        <v>199</v>
      </c>
      <c r="Q4751" s="297" t="s">
        <v>200</v>
      </c>
      <c r="R4751" s="297" t="s">
        <v>213</v>
      </c>
      <c r="S4751" s="297" t="s">
        <v>214</v>
      </c>
    </row>
    <row r="4752" spans="1:19" x14ac:dyDescent="0.4">
      <c r="A4752" s="291"/>
      <c r="B4752" s="292"/>
      <c r="C4752" s="312"/>
      <c r="D4752" s="292"/>
      <c r="E4752" s="489"/>
      <c r="F4752" s="489"/>
      <c r="G4752" s="490"/>
      <c r="H4752" s="520"/>
      <c r="I4752" s="523"/>
      <c r="J4752" s="521"/>
      <c r="K4752" s="522"/>
      <c r="M4752" s="301" t="str">
        <f>N4752&amp;AS[[#This Row],[Insurer Code]]&amp;"; "&amp;O4752&amp;AS[[#This Row],[Reporting Year]]&amp;"; "&amp;P4752&amp;AS[[#This Row],[Insurance Category Code]]&amp;"; "&amp;Q4752&amp;AS[[#This Row],[Large Provider Entity Code]]&amp;"; "&amp;R4752&amp;AS[[#This Row],[Age Band Code]]&amp;"; "&amp;S4752&amp;AS[[#This Row],[Sex Code]]</f>
        <v xml:space="preserve">Insurer Code ; Reporting Year ; Insurance Category Code ; Large Provider Entity Code ; Age Band Code ; Sex Code </v>
      </c>
      <c r="N4752" s="297" t="s">
        <v>197</v>
      </c>
      <c r="O4752" s="297" t="s">
        <v>198</v>
      </c>
      <c r="P4752" s="297" t="s">
        <v>199</v>
      </c>
      <c r="Q4752" s="297" t="s">
        <v>200</v>
      </c>
      <c r="R4752" s="297" t="s">
        <v>213</v>
      </c>
      <c r="S4752" s="297" t="s">
        <v>214</v>
      </c>
    </row>
    <row r="4753" spans="1:19" x14ac:dyDescent="0.4">
      <c r="A4753" s="291"/>
      <c r="B4753" s="292"/>
      <c r="C4753" s="312"/>
      <c r="D4753" s="292"/>
      <c r="E4753" s="489"/>
      <c r="F4753" s="489"/>
      <c r="G4753" s="490"/>
      <c r="H4753" s="520"/>
      <c r="I4753" s="523"/>
      <c r="J4753" s="521"/>
      <c r="K4753" s="522"/>
      <c r="M4753" s="301" t="str">
        <f>N4753&amp;AS[[#This Row],[Insurer Code]]&amp;"; "&amp;O4753&amp;AS[[#This Row],[Reporting Year]]&amp;"; "&amp;P4753&amp;AS[[#This Row],[Insurance Category Code]]&amp;"; "&amp;Q4753&amp;AS[[#This Row],[Large Provider Entity Code]]&amp;"; "&amp;R4753&amp;AS[[#This Row],[Age Band Code]]&amp;"; "&amp;S4753&amp;AS[[#This Row],[Sex Code]]</f>
        <v xml:space="preserve">Insurer Code ; Reporting Year ; Insurance Category Code ; Large Provider Entity Code ; Age Band Code ; Sex Code </v>
      </c>
      <c r="N4753" s="297" t="s">
        <v>197</v>
      </c>
      <c r="O4753" s="297" t="s">
        <v>198</v>
      </c>
      <c r="P4753" s="297" t="s">
        <v>199</v>
      </c>
      <c r="Q4753" s="297" t="s">
        <v>200</v>
      </c>
      <c r="R4753" s="297" t="s">
        <v>213</v>
      </c>
      <c r="S4753" s="297" t="s">
        <v>214</v>
      </c>
    </row>
    <row r="4754" spans="1:19" x14ac:dyDescent="0.4">
      <c r="A4754" s="291"/>
      <c r="B4754" s="292"/>
      <c r="C4754" s="312"/>
      <c r="D4754" s="292"/>
      <c r="E4754" s="489"/>
      <c r="F4754" s="489"/>
      <c r="G4754" s="490"/>
      <c r="H4754" s="520"/>
      <c r="I4754" s="523"/>
      <c r="J4754" s="521"/>
      <c r="K4754" s="522"/>
      <c r="M4754" s="301" t="str">
        <f>N4754&amp;AS[[#This Row],[Insurer Code]]&amp;"; "&amp;O4754&amp;AS[[#This Row],[Reporting Year]]&amp;"; "&amp;P4754&amp;AS[[#This Row],[Insurance Category Code]]&amp;"; "&amp;Q4754&amp;AS[[#This Row],[Large Provider Entity Code]]&amp;"; "&amp;R4754&amp;AS[[#This Row],[Age Band Code]]&amp;"; "&amp;S4754&amp;AS[[#This Row],[Sex Code]]</f>
        <v xml:space="preserve">Insurer Code ; Reporting Year ; Insurance Category Code ; Large Provider Entity Code ; Age Band Code ; Sex Code </v>
      </c>
      <c r="N4754" s="297" t="s">
        <v>197</v>
      </c>
      <c r="O4754" s="297" t="s">
        <v>198</v>
      </c>
      <c r="P4754" s="297" t="s">
        <v>199</v>
      </c>
      <c r="Q4754" s="297" t="s">
        <v>200</v>
      </c>
      <c r="R4754" s="297" t="s">
        <v>213</v>
      </c>
      <c r="S4754" s="297" t="s">
        <v>214</v>
      </c>
    </row>
    <row r="4755" spans="1:19" x14ac:dyDescent="0.4">
      <c r="A4755" s="291"/>
      <c r="B4755" s="292"/>
      <c r="C4755" s="312"/>
      <c r="D4755" s="292"/>
      <c r="E4755" s="489"/>
      <c r="F4755" s="489"/>
      <c r="G4755" s="490"/>
      <c r="H4755" s="520"/>
      <c r="I4755" s="523"/>
      <c r="J4755" s="521"/>
      <c r="K4755" s="522"/>
      <c r="M4755" s="301" t="str">
        <f>N4755&amp;AS[[#This Row],[Insurer Code]]&amp;"; "&amp;O4755&amp;AS[[#This Row],[Reporting Year]]&amp;"; "&amp;P4755&amp;AS[[#This Row],[Insurance Category Code]]&amp;"; "&amp;Q4755&amp;AS[[#This Row],[Large Provider Entity Code]]&amp;"; "&amp;R4755&amp;AS[[#This Row],[Age Band Code]]&amp;"; "&amp;S4755&amp;AS[[#This Row],[Sex Code]]</f>
        <v xml:space="preserve">Insurer Code ; Reporting Year ; Insurance Category Code ; Large Provider Entity Code ; Age Band Code ; Sex Code </v>
      </c>
      <c r="N4755" s="297" t="s">
        <v>197</v>
      </c>
      <c r="O4755" s="297" t="s">
        <v>198</v>
      </c>
      <c r="P4755" s="297" t="s">
        <v>199</v>
      </c>
      <c r="Q4755" s="297" t="s">
        <v>200</v>
      </c>
      <c r="R4755" s="297" t="s">
        <v>213</v>
      </c>
      <c r="S4755" s="297" t="s">
        <v>214</v>
      </c>
    </row>
    <row r="4756" spans="1:19" x14ac:dyDescent="0.4">
      <c r="A4756" s="291"/>
      <c r="B4756" s="292"/>
      <c r="C4756" s="312"/>
      <c r="D4756" s="292"/>
      <c r="E4756" s="489"/>
      <c r="F4756" s="489"/>
      <c r="G4756" s="490"/>
      <c r="H4756" s="520"/>
      <c r="I4756" s="523"/>
      <c r="J4756" s="521"/>
      <c r="K4756" s="522"/>
      <c r="M4756" s="301" t="str">
        <f>N4756&amp;AS[[#This Row],[Insurer Code]]&amp;"; "&amp;O4756&amp;AS[[#This Row],[Reporting Year]]&amp;"; "&amp;P4756&amp;AS[[#This Row],[Insurance Category Code]]&amp;"; "&amp;Q4756&amp;AS[[#This Row],[Large Provider Entity Code]]&amp;"; "&amp;R4756&amp;AS[[#This Row],[Age Band Code]]&amp;"; "&amp;S4756&amp;AS[[#This Row],[Sex Code]]</f>
        <v xml:space="preserve">Insurer Code ; Reporting Year ; Insurance Category Code ; Large Provider Entity Code ; Age Band Code ; Sex Code </v>
      </c>
      <c r="N4756" s="297" t="s">
        <v>197</v>
      </c>
      <c r="O4756" s="297" t="s">
        <v>198</v>
      </c>
      <c r="P4756" s="297" t="s">
        <v>199</v>
      </c>
      <c r="Q4756" s="297" t="s">
        <v>200</v>
      </c>
      <c r="R4756" s="297" t="s">
        <v>213</v>
      </c>
      <c r="S4756" s="297" t="s">
        <v>214</v>
      </c>
    </row>
    <row r="4757" spans="1:19" x14ac:dyDescent="0.4">
      <c r="A4757" s="291"/>
      <c r="B4757" s="292"/>
      <c r="C4757" s="312"/>
      <c r="D4757" s="292"/>
      <c r="E4757" s="489"/>
      <c r="F4757" s="489"/>
      <c r="G4757" s="490"/>
      <c r="H4757" s="520"/>
      <c r="I4757" s="523"/>
      <c r="J4757" s="521"/>
      <c r="K4757" s="522"/>
      <c r="M4757" s="301" t="str">
        <f>N4757&amp;AS[[#This Row],[Insurer Code]]&amp;"; "&amp;O4757&amp;AS[[#This Row],[Reporting Year]]&amp;"; "&amp;P4757&amp;AS[[#This Row],[Insurance Category Code]]&amp;"; "&amp;Q4757&amp;AS[[#This Row],[Large Provider Entity Code]]&amp;"; "&amp;R4757&amp;AS[[#This Row],[Age Band Code]]&amp;"; "&amp;S4757&amp;AS[[#This Row],[Sex Code]]</f>
        <v xml:space="preserve">Insurer Code ; Reporting Year ; Insurance Category Code ; Large Provider Entity Code ; Age Band Code ; Sex Code </v>
      </c>
      <c r="N4757" s="297" t="s">
        <v>197</v>
      </c>
      <c r="O4757" s="297" t="s">
        <v>198</v>
      </c>
      <c r="P4757" s="297" t="s">
        <v>199</v>
      </c>
      <c r="Q4757" s="297" t="s">
        <v>200</v>
      </c>
      <c r="R4757" s="297" t="s">
        <v>213</v>
      </c>
      <c r="S4757" s="297" t="s">
        <v>214</v>
      </c>
    </row>
    <row r="4758" spans="1:19" x14ac:dyDescent="0.4">
      <c r="A4758" s="291"/>
      <c r="B4758" s="292"/>
      <c r="C4758" s="312"/>
      <c r="D4758" s="292"/>
      <c r="E4758" s="489"/>
      <c r="F4758" s="489"/>
      <c r="G4758" s="490"/>
      <c r="H4758" s="520"/>
      <c r="I4758" s="523"/>
      <c r="J4758" s="521"/>
      <c r="K4758" s="522"/>
      <c r="M4758" s="301" t="str">
        <f>N4758&amp;AS[[#This Row],[Insurer Code]]&amp;"; "&amp;O4758&amp;AS[[#This Row],[Reporting Year]]&amp;"; "&amp;P4758&amp;AS[[#This Row],[Insurance Category Code]]&amp;"; "&amp;Q4758&amp;AS[[#This Row],[Large Provider Entity Code]]&amp;"; "&amp;R4758&amp;AS[[#This Row],[Age Band Code]]&amp;"; "&amp;S4758&amp;AS[[#This Row],[Sex Code]]</f>
        <v xml:space="preserve">Insurer Code ; Reporting Year ; Insurance Category Code ; Large Provider Entity Code ; Age Band Code ; Sex Code </v>
      </c>
      <c r="N4758" s="297" t="s">
        <v>197</v>
      </c>
      <c r="O4758" s="297" t="s">
        <v>198</v>
      </c>
      <c r="P4758" s="297" t="s">
        <v>199</v>
      </c>
      <c r="Q4758" s="297" t="s">
        <v>200</v>
      </c>
      <c r="R4758" s="297" t="s">
        <v>213</v>
      </c>
      <c r="S4758" s="297" t="s">
        <v>214</v>
      </c>
    </row>
    <row r="4759" spans="1:19" x14ac:dyDescent="0.4">
      <c r="A4759" s="291"/>
      <c r="B4759" s="292"/>
      <c r="C4759" s="312"/>
      <c r="D4759" s="292"/>
      <c r="E4759" s="489"/>
      <c r="F4759" s="489"/>
      <c r="G4759" s="490"/>
      <c r="H4759" s="520"/>
      <c r="I4759" s="523"/>
      <c r="J4759" s="521"/>
      <c r="K4759" s="522"/>
      <c r="M4759" s="301" t="str">
        <f>N4759&amp;AS[[#This Row],[Insurer Code]]&amp;"; "&amp;O4759&amp;AS[[#This Row],[Reporting Year]]&amp;"; "&amp;P4759&amp;AS[[#This Row],[Insurance Category Code]]&amp;"; "&amp;Q4759&amp;AS[[#This Row],[Large Provider Entity Code]]&amp;"; "&amp;R4759&amp;AS[[#This Row],[Age Band Code]]&amp;"; "&amp;S4759&amp;AS[[#This Row],[Sex Code]]</f>
        <v xml:space="preserve">Insurer Code ; Reporting Year ; Insurance Category Code ; Large Provider Entity Code ; Age Band Code ; Sex Code </v>
      </c>
      <c r="N4759" s="297" t="s">
        <v>197</v>
      </c>
      <c r="O4759" s="297" t="s">
        <v>198</v>
      </c>
      <c r="P4759" s="297" t="s">
        <v>199</v>
      </c>
      <c r="Q4759" s="297" t="s">
        <v>200</v>
      </c>
      <c r="R4759" s="297" t="s">
        <v>213</v>
      </c>
      <c r="S4759" s="297" t="s">
        <v>214</v>
      </c>
    </row>
    <row r="4760" spans="1:19" x14ac:dyDescent="0.4">
      <c r="A4760" s="291"/>
      <c r="B4760" s="292"/>
      <c r="C4760" s="312"/>
      <c r="D4760" s="292"/>
      <c r="E4760" s="489"/>
      <c r="F4760" s="489"/>
      <c r="G4760" s="490"/>
      <c r="H4760" s="520"/>
      <c r="I4760" s="523"/>
      <c r="J4760" s="521"/>
      <c r="K4760" s="522"/>
      <c r="M4760" s="301" t="str">
        <f>N4760&amp;AS[[#This Row],[Insurer Code]]&amp;"; "&amp;O4760&amp;AS[[#This Row],[Reporting Year]]&amp;"; "&amp;P4760&amp;AS[[#This Row],[Insurance Category Code]]&amp;"; "&amp;Q4760&amp;AS[[#This Row],[Large Provider Entity Code]]&amp;"; "&amp;R4760&amp;AS[[#This Row],[Age Band Code]]&amp;"; "&amp;S4760&amp;AS[[#This Row],[Sex Code]]</f>
        <v xml:space="preserve">Insurer Code ; Reporting Year ; Insurance Category Code ; Large Provider Entity Code ; Age Band Code ; Sex Code </v>
      </c>
      <c r="N4760" s="297" t="s">
        <v>197</v>
      </c>
      <c r="O4760" s="297" t="s">
        <v>198</v>
      </c>
      <c r="P4760" s="297" t="s">
        <v>199</v>
      </c>
      <c r="Q4760" s="297" t="s">
        <v>200</v>
      </c>
      <c r="R4760" s="297" t="s">
        <v>213</v>
      </c>
      <c r="S4760" s="297" t="s">
        <v>214</v>
      </c>
    </row>
    <row r="4761" spans="1:19" x14ac:dyDescent="0.4">
      <c r="A4761" s="291"/>
      <c r="B4761" s="292"/>
      <c r="C4761" s="312"/>
      <c r="D4761" s="292"/>
      <c r="E4761" s="489"/>
      <c r="F4761" s="489"/>
      <c r="G4761" s="490"/>
      <c r="H4761" s="520"/>
      <c r="I4761" s="523"/>
      <c r="J4761" s="521"/>
      <c r="K4761" s="522"/>
      <c r="M4761" s="301" t="str">
        <f>N4761&amp;AS[[#This Row],[Insurer Code]]&amp;"; "&amp;O4761&amp;AS[[#This Row],[Reporting Year]]&amp;"; "&amp;P4761&amp;AS[[#This Row],[Insurance Category Code]]&amp;"; "&amp;Q4761&amp;AS[[#This Row],[Large Provider Entity Code]]&amp;"; "&amp;R4761&amp;AS[[#This Row],[Age Band Code]]&amp;"; "&amp;S4761&amp;AS[[#This Row],[Sex Code]]</f>
        <v xml:space="preserve">Insurer Code ; Reporting Year ; Insurance Category Code ; Large Provider Entity Code ; Age Band Code ; Sex Code </v>
      </c>
      <c r="N4761" s="297" t="s">
        <v>197</v>
      </c>
      <c r="O4761" s="297" t="s">
        <v>198</v>
      </c>
      <c r="P4761" s="297" t="s">
        <v>199</v>
      </c>
      <c r="Q4761" s="297" t="s">
        <v>200</v>
      </c>
      <c r="R4761" s="297" t="s">
        <v>213</v>
      </c>
      <c r="S4761" s="297" t="s">
        <v>214</v>
      </c>
    </row>
    <row r="4762" spans="1:19" x14ac:dyDescent="0.4">
      <c r="A4762" s="291"/>
      <c r="B4762" s="292"/>
      <c r="C4762" s="312"/>
      <c r="D4762" s="292"/>
      <c r="E4762" s="489"/>
      <c r="F4762" s="489"/>
      <c r="G4762" s="490"/>
      <c r="H4762" s="520"/>
      <c r="I4762" s="523"/>
      <c r="J4762" s="521"/>
      <c r="K4762" s="522"/>
      <c r="M4762" s="301" t="str">
        <f>N4762&amp;AS[[#This Row],[Insurer Code]]&amp;"; "&amp;O4762&amp;AS[[#This Row],[Reporting Year]]&amp;"; "&amp;P4762&amp;AS[[#This Row],[Insurance Category Code]]&amp;"; "&amp;Q4762&amp;AS[[#This Row],[Large Provider Entity Code]]&amp;"; "&amp;R4762&amp;AS[[#This Row],[Age Band Code]]&amp;"; "&amp;S4762&amp;AS[[#This Row],[Sex Code]]</f>
        <v xml:space="preserve">Insurer Code ; Reporting Year ; Insurance Category Code ; Large Provider Entity Code ; Age Band Code ; Sex Code </v>
      </c>
      <c r="N4762" s="297" t="s">
        <v>197</v>
      </c>
      <c r="O4762" s="297" t="s">
        <v>198</v>
      </c>
      <c r="P4762" s="297" t="s">
        <v>199</v>
      </c>
      <c r="Q4762" s="297" t="s">
        <v>200</v>
      </c>
      <c r="R4762" s="297" t="s">
        <v>213</v>
      </c>
      <c r="S4762" s="297" t="s">
        <v>214</v>
      </c>
    </row>
    <row r="4763" spans="1:19" x14ac:dyDescent="0.4">
      <c r="A4763" s="291"/>
      <c r="B4763" s="292"/>
      <c r="C4763" s="312"/>
      <c r="D4763" s="292"/>
      <c r="E4763" s="489"/>
      <c r="F4763" s="489"/>
      <c r="G4763" s="490"/>
      <c r="H4763" s="520"/>
      <c r="I4763" s="523"/>
      <c r="J4763" s="521"/>
      <c r="K4763" s="522"/>
      <c r="M4763" s="301" t="str">
        <f>N4763&amp;AS[[#This Row],[Insurer Code]]&amp;"; "&amp;O4763&amp;AS[[#This Row],[Reporting Year]]&amp;"; "&amp;P4763&amp;AS[[#This Row],[Insurance Category Code]]&amp;"; "&amp;Q4763&amp;AS[[#This Row],[Large Provider Entity Code]]&amp;"; "&amp;R4763&amp;AS[[#This Row],[Age Band Code]]&amp;"; "&amp;S4763&amp;AS[[#This Row],[Sex Code]]</f>
        <v xml:space="preserve">Insurer Code ; Reporting Year ; Insurance Category Code ; Large Provider Entity Code ; Age Band Code ; Sex Code </v>
      </c>
      <c r="N4763" s="297" t="s">
        <v>197</v>
      </c>
      <c r="O4763" s="297" t="s">
        <v>198</v>
      </c>
      <c r="P4763" s="297" t="s">
        <v>199</v>
      </c>
      <c r="Q4763" s="297" t="s">
        <v>200</v>
      </c>
      <c r="R4763" s="297" t="s">
        <v>213</v>
      </c>
      <c r="S4763" s="297" t="s">
        <v>214</v>
      </c>
    </row>
    <row r="4764" spans="1:19" x14ac:dyDescent="0.4">
      <c r="A4764" s="291"/>
      <c r="B4764" s="292"/>
      <c r="C4764" s="312"/>
      <c r="D4764" s="292"/>
      <c r="E4764" s="489"/>
      <c r="F4764" s="489"/>
      <c r="G4764" s="490"/>
      <c r="H4764" s="520"/>
      <c r="I4764" s="523"/>
      <c r="J4764" s="521"/>
      <c r="K4764" s="522"/>
      <c r="M4764" s="301" t="str">
        <f>N4764&amp;AS[[#This Row],[Insurer Code]]&amp;"; "&amp;O4764&amp;AS[[#This Row],[Reporting Year]]&amp;"; "&amp;P4764&amp;AS[[#This Row],[Insurance Category Code]]&amp;"; "&amp;Q4764&amp;AS[[#This Row],[Large Provider Entity Code]]&amp;"; "&amp;R4764&amp;AS[[#This Row],[Age Band Code]]&amp;"; "&amp;S4764&amp;AS[[#This Row],[Sex Code]]</f>
        <v xml:space="preserve">Insurer Code ; Reporting Year ; Insurance Category Code ; Large Provider Entity Code ; Age Band Code ; Sex Code </v>
      </c>
      <c r="N4764" s="297" t="s">
        <v>197</v>
      </c>
      <c r="O4764" s="297" t="s">
        <v>198</v>
      </c>
      <c r="P4764" s="297" t="s">
        <v>199</v>
      </c>
      <c r="Q4764" s="297" t="s">
        <v>200</v>
      </c>
      <c r="R4764" s="297" t="s">
        <v>213</v>
      </c>
      <c r="S4764" s="297" t="s">
        <v>214</v>
      </c>
    </row>
    <row r="4765" spans="1:19" x14ac:dyDescent="0.4">
      <c r="A4765" s="291"/>
      <c r="B4765" s="292"/>
      <c r="C4765" s="312"/>
      <c r="D4765" s="292"/>
      <c r="E4765" s="489"/>
      <c r="F4765" s="489"/>
      <c r="G4765" s="490"/>
      <c r="H4765" s="520"/>
      <c r="I4765" s="523"/>
      <c r="J4765" s="521"/>
      <c r="K4765" s="522"/>
      <c r="M4765" s="301" t="str">
        <f>N4765&amp;AS[[#This Row],[Insurer Code]]&amp;"; "&amp;O4765&amp;AS[[#This Row],[Reporting Year]]&amp;"; "&amp;P4765&amp;AS[[#This Row],[Insurance Category Code]]&amp;"; "&amp;Q4765&amp;AS[[#This Row],[Large Provider Entity Code]]&amp;"; "&amp;R4765&amp;AS[[#This Row],[Age Band Code]]&amp;"; "&amp;S4765&amp;AS[[#This Row],[Sex Code]]</f>
        <v xml:space="preserve">Insurer Code ; Reporting Year ; Insurance Category Code ; Large Provider Entity Code ; Age Band Code ; Sex Code </v>
      </c>
      <c r="N4765" s="297" t="s">
        <v>197</v>
      </c>
      <c r="O4765" s="297" t="s">
        <v>198</v>
      </c>
      <c r="P4765" s="297" t="s">
        <v>199</v>
      </c>
      <c r="Q4765" s="297" t="s">
        <v>200</v>
      </c>
      <c r="R4765" s="297" t="s">
        <v>213</v>
      </c>
      <c r="S4765" s="297" t="s">
        <v>214</v>
      </c>
    </row>
    <row r="4766" spans="1:19" x14ac:dyDescent="0.4">
      <c r="A4766" s="291"/>
      <c r="B4766" s="292"/>
      <c r="C4766" s="312"/>
      <c r="D4766" s="292"/>
      <c r="E4766" s="489"/>
      <c r="F4766" s="489"/>
      <c r="G4766" s="490"/>
      <c r="H4766" s="520"/>
      <c r="I4766" s="523"/>
      <c r="J4766" s="521"/>
      <c r="K4766" s="522"/>
      <c r="M4766" s="301" t="str">
        <f>N4766&amp;AS[[#This Row],[Insurer Code]]&amp;"; "&amp;O4766&amp;AS[[#This Row],[Reporting Year]]&amp;"; "&amp;P4766&amp;AS[[#This Row],[Insurance Category Code]]&amp;"; "&amp;Q4766&amp;AS[[#This Row],[Large Provider Entity Code]]&amp;"; "&amp;R4766&amp;AS[[#This Row],[Age Band Code]]&amp;"; "&amp;S4766&amp;AS[[#This Row],[Sex Code]]</f>
        <v xml:space="preserve">Insurer Code ; Reporting Year ; Insurance Category Code ; Large Provider Entity Code ; Age Band Code ; Sex Code </v>
      </c>
      <c r="N4766" s="297" t="s">
        <v>197</v>
      </c>
      <c r="O4766" s="297" t="s">
        <v>198</v>
      </c>
      <c r="P4766" s="297" t="s">
        <v>199</v>
      </c>
      <c r="Q4766" s="297" t="s">
        <v>200</v>
      </c>
      <c r="R4766" s="297" t="s">
        <v>213</v>
      </c>
      <c r="S4766" s="297" t="s">
        <v>214</v>
      </c>
    </row>
    <row r="4767" spans="1:19" x14ac:dyDescent="0.4">
      <c r="A4767" s="291"/>
      <c r="B4767" s="292"/>
      <c r="C4767" s="312"/>
      <c r="D4767" s="292"/>
      <c r="E4767" s="489"/>
      <c r="F4767" s="489"/>
      <c r="G4767" s="490"/>
      <c r="H4767" s="520"/>
      <c r="I4767" s="523"/>
      <c r="J4767" s="521"/>
      <c r="K4767" s="522"/>
      <c r="M4767" s="301" t="str">
        <f>N4767&amp;AS[[#This Row],[Insurer Code]]&amp;"; "&amp;O4767&amp;AS[[#This Row],[Reporting Year]]&amp;"; "&amp;P4767&amp;AS[[#This Row],[Insurance Category Code]]&amp;"; "&amp;Q4767&amp;AS[[#This Row],[Large Provider Entity Code]]&amp;"; "&amp;R4767&amp;AS[[#This Row],[Age Band Code]]&amp;"; "&amp;S4767&amp;AS[[#This Row],[Sex Code]]</f>
        <v xml:space="preserve">Insurer Code ; Reporting Year ; Insurance Category Code ; Large Provider Entity Code ; Age Band Code ; Sex Code </v>
      </c>
      <c r="N4767" s="297" t="s">
        <v>197</v>
      </c>
      <c r="O4767" s="297" t="s">
        <v>198</v>
      </c>
      <c r="P4767" s="297" t="s">
        <v>199</v>
      </c>
      <c r="Q4767" s="297" t="s">
        <v>200</v>
      </c>
      <c r="R4767" s="297" t="s">
        <v>213</v>
      </c>
      <c r="S4767" s="297" t="s">
        <v>214</v>
      </c>
    </row>
    <row r="4768" spans="1:19" x14ac:dyDescent="0.4">
      <c r="A4768" s="291"/>
      <c r="B4768" s="292"/>
      <c r="C4768" s="312"/>
      <c r="D4768" s="292"/>
      <c r="E4768" s="489"/>
      <c r="F4768" s="489"/>
      <c r="G4768" s="490"/>
      <c r="H4768" s="520"/>
      <c r="I4768" s="523"/>
      <c r="J4768" s="521"/>
      <c r="K4768" s="522"/>
      <c r="M4768" s="301" t="str">
        <f>N4768&amp;AS[[#This Row],[Insurer Code]]&amp;"; "&amp;O4768&amp;AS[[#This Row],[Reporting Year]]&amp;"; "&amp;P4768&amp;AS[[#This Row],[Insurance Category Code]]&amp;"; "&amp;Q4768&amp;AS[[#This Row],[Large Provider Entity Code]]&amp;"; "&amp;R4768&amp;AS[[#This Row],[Age Band Code]]&amp;"; "&amp;S4768&amp;AS[[#This Row],[Sex Code]]</f>
        <v xml:space="preserve">Insurer Code ; Reporting Year ; Insurance Category Code ; Large Provider Entity Code ; Age Band Code ; Sex Code </v>
      </c>
      <c r="N4768" s="297" t="s">
        <v>197</v>
      </c>
      <c r="O4768" s="297" t="s">
        <v>198</v>
      </c>
      <c r="P4768" s="297" t="s">
        <v>199</v>
      </c>
      <c r="Q4768" s="297" t="s">
        <v>200</v>
      </c>
      <c r="R4768" s="297" t="s">
        <v>213</v>
      </c>
      <c r="S4768" s="297" t="s">
        <v>214</v>
      </c>
    </row>
    <row r="4769" spans="1:19" x14ac:dyDescent="0.4">
      <c r="A4769" s="291"/>
      <c r="B4769" s="292"/>
      <c r="C4769" s="312"/>
      <c r="D4769" s="292"/>
      <c r="E4769" s="489"/>
      <c r="F4769" s="489"/>
      <c r="G4769" s="490"/>
      <c r="H4769" s="520"/>
      <c r="I4769" s="523"/>
      <c r="J4769" s="521"/>
      <c r="K4769" s="522"/>
      <c r="M4769" s="301" t="str">
        <f>N4769&amp;AS[[#This Row],[Insurer Code]]&amp;"; "&amp;O4769&amp;AS[[#This Row],[Reporting Year]]&amp;"; "&amp;P4769&amp;AS[[#This Row],[Insurance Category Code]]&amp;"; "&amp;Q4769&amp;AS[[#This Row],[Large Provider Entity Code]]&amp;"; "&amp;R4769&amp;AS[[#This Row],[Age Band Code]]&amp;"; "&amp;S4769&amp;AS[[#This Row],[Sex Code]]</f>
        <v xml:space="preserve">Insurer Code ; Reporting Year ; Insurance Category Code ; Large Provider Entity Code ; Age Band Code ; Sex Code </v>
      </c>
      <c r="N4769" s="297" t="s">
        <v>197</v>
      </c>
      <c r="O4769" s="297" t="s">
        <v>198</v>
      </c>
      <c r="P4769" s="297" t="s">
        <v>199</v>
      </c>
      <c r="Q4769" s="297" t="s">
        <v>200</v>
      </c>
      <c r="R4769" s="297" t="s">
        <v>213</v>
      </c>
      <c r="S4769" s="297" t="s">
        <v>214</v>
      </c>
    </row>
    <row r="4770" spans="1:19" x14ac:dyDescent="0.4">
      <c r="A4770" s="291"/>
      <c r="B4770" s="292"/>
      <c r="C4770" s="312"/>
      <c r="D4770" s="292"/>
      <c r="E4770" s="489"/>
      <c r="F4770" s="489"/>
      <c r="G4770" s="490"/>
      <c r="H4770" s="520"/>
      <c r="I4770" s="523"/>
      <c r="J4770" s="521"/>
      <c r="K4770" s="522"/>
      <c r="M4770" s="301" t="str">
        <f>N4770&amp;AS[[#This Row],[Insurer Code]]&amp;"; "&amp;O4770&amp;AS[[#This Row],[Reporting Year]]&amp;"; "&amp;P4770&amp;AS[[#This Row],[Insurance Category Code]]&amp;"; "&amp;Q4770&amp;AS[[#This Row],[Large Provider Entity Code]]&amp;"; "&amp;R4770&amp;AS[[#This Row],[Age Band Code]]&amp;"; "&amp;S4770&amp;AS[[#This Row],[Sex Code]]</f>
        <v xml:space="preserve">Insurer Code ; Reporting Year ; Insurance Category Code ; Large Provider Entity Code ; Age Band Code ; Sex Code </v>
      </c>
      <c r="N4770" s="297" t="s">
        <v>197</v>
      </c>
      <c r="O4770" s="297" t="s">
        <v>198</v>
      </c>
      <c r="P4770" s="297" t="s">
        <v>199</v>
      </c>
      <c r="Q4770" s="297" t="s">
        <v>200</v>
      </c>
      <c r="R4770" s="297" t="s">
        <v>213</v>
      </c>
      <c r="S4770" s="297" t="s">
        <v>214</v>
      </c>
    </row>
    <row r="4771" spans="1:19" x14ac:dyDescent="0.4">
      <c r="A4771" s="291"/>
      <c r="B4771" s="292"/>
      <c r="C4771" s="312"/>
      <c r="D4771" s="292"/>
      <c r="E4771" s="489"/>
      <c r="F4771" s="489"/>
      <c r="G4771" s="490"/>
      <c r="H4771" s="520"/>
      <c r="I4771" s="523"/>
      <c r="J4771" s="521"/>
      <c r="K4771" s="522"/>
      <c r="M4771" s="301" t="str">
        <f>N4771&amp;AS[[#This Row],[Insurer Code]]&amp;"; "&amp;O4771&amp;AS[[#This Row],[Reporting Year]]&amp;"; "&amp;P4771&amp;AS[[#This Row],[Insurance Category Code]]&amp;"; "&amp;Q4771&amp;AS[[#This Row],[Large Provider Entity Code]]&amp;"; "&amp;R4771&amp;AS[[#This Row],[Age Band Code]]&amp;"; "&amp;S4771&amp;AS[[#This Row],[Sex Code]]</f>
        <v xml:space="preserve">Insurer Code ; Reporting Year ; Insurance Category Code ; Large Provider Entity Code ; Age Band Code ; Sex Code </v>
      </c>
      <c r="N4771" s="297" t="s">
        <v>197</v>
      </c>
      <c r="O4771" s="297" t="s">
        <v>198</v>
      </c>
      <c r="P4771" s="297" t="s">
        <v>199</v>
      </c>
      <c r="Q4771" s="297" t="s">
        <v>200</v>
      </c>
      <c r="R4771" s="297" t="s">
        <v>213</v>
      </c>
      <c r="S4771" s="297" t="s">
        <v>214</v>
      </c>
    </row>
    <row r="4772" spans="1:19" x14ac:dyDescent="0.4">
      <c r="A4772" s="291"/>
      <c r="B4772" s="292"/>
      <c r="C4772" s="312"/>
      <c r="D4772" s="292"/>
      <c r="E4772" s="489"/>
      <c r="F4772" s="489"/>
      <c r="G4772" s="490"/>
      <c r="H4772" s="520"/>
      <c r="I4772" s="523"/>
      <c r="J4772" s="521"/>
      <c r="K4772" s="522"/>
      <c r="M4772" s="301" t="str">
        <f>N4772&amp;AS[[#This Row],[Insurer Code]]&amp;"; "&amp;O4772&amp;AS[[#This Row],[Reporting Year]]&amp;"; "&amp;P4772&amp;AS[[#This Row],[Insurance Category Code]]&amp;"; "&amp;Q4772&amp;AS[[#This Row],[Large Provider Entity Code]]&amp;"; "&amp;R4772&amp;AS[[#This Row],[Age Band Code]]&amp;"; "&amp;S4772&amp;AS[[#This Row],[Sex Code]]</f>
        <v xml:space="preserve">Insurer Code ; Reporting Year ; Insurance Category Code ; Large Provider Entity Code ; Age Band Code ; Sex Code </v>
      </c>
      <c r="N4772" s="297" t="s">
        <v>197</v>
      </c>
      <c r="O4772" s="297" t="s">
        <v>198</v>
      </c>
      <c r="P4772" s="297" t="s">
        <v>199</v>
      </c>
      <c r="Q4772" s="297" t="s">
        <v>200</v>
      </c>
      <c r="R4772" s="297" t="s">
        <v>213</v>
      </c>
      <c r="S4772" s="297" t="s">
        <v>214</v>
      </c>
    </row>
    <row r="4773" spans="1:19" x14ac:dyDescent="0.4">
      <c r="A4773" s="291"/>
      <c r="B4773" s="292"/>
      <c r="C4773" s="312"/>
      <c r="D4773" s="292"/>
      <c r="E4773" s="489"/>
      <c r="F4773" s="489"/>
      <c r="G4773" s="490"/>
      <c r="H4773" s="520"/>
      <c r="I4773" s="523"/>
      <c r="J4773" s="521"/>
      <c r="K4773" s="522"/>
      <c r="M4773" s="301" t="str">
        <f>N4773&amp;AS[[#This Row],[Insurer Code]]&amp;"; "&amp;O4773&amp;AS[[#This Row],[Reporting Year]]&amp;"; "&amp;P4773&amp;AS[[#This Row],[Insurance Category Code]]&amp;"; "&amp;Q4773&amp;AS[[#This Row],[Large Provider Entity Code]]&amp;"; "&amp;R4773&amp;AS[[#This Row],[Age Band Code]]&amp;"; "&amp;S4773&amp;AS[[#This Row],[Sex Code]]</f>
        <v xml:space="preserve">Insurer Code ; Reporting Year ; Insurance Category Code ; Large Provider Entity Code ; Age Band Code ; Sex Code </v>
      </c>
      <c r="N4773" s="297" t="s">
        <v>197</v>
      </c>
      <c r="O4773" s="297" t="s">
        <v>198</v>
      </c>
      <c r="P4773" s="297" t="s">
        <v>199</v>
      </c>
      <c r="Q4773" s="297" t="s">
        <v>200</v>
      </c>
      <c r="R4773" s="297" t="s">
        <v>213</v>
      </c>
      <c r="S4773" s="297" t="s">
        <v>214</v>
      </c>
    </row>
    <row r="4774" spans="1:19" x14ac:dyDescent="0.4">
      <c r="A4774" s="291"/>
      <c r="B4774" s="292"/>
      <c r="C4774" s="312"/>
      <c r="D4774" s="292"/>
      <c r="E4774" s="489"/>
      <c r="F4774" s="489"/>
      <c r="G4774" s="490"/>
      <c r="H4774" s="520"/>
      <c r="I4774" s="523"/>
      <c r="J4774" s="521"/>
      <c r="K4774" s="522"/>
      <c r="M4774" s="301" t="str">
        <f>N4774&amp;AS[[#This Row],[Insurer Code]]&amp;"; "&amp;O4774&amp;AS[[#This Row],[Reporting Year]]&amp;"; "&amp;P4774&amp;AS[[#This Row],[Insurance Category Code]]&amp;"; "&amp;Q4774&amp;AS[[#This Row],[Large Provider Entity Code]]&amp;"; "&amp;R4774&amp;AS[[#This Row],[Age Band Code]]&amp;"; "&amp;S4774&amp;AS[[#This Row],[Sex Code]]</f>
        <v xml:space="preserve">Insurer Code ; Reporting Year ; Insurance Category Code ; Large Provider Entity Code ; Age Band Code ; Sex Code </v>
      </c>
      <c r="N4774" s="297" t="s">
        <v>197</v>
      </c>
      <c r="O4774" s="297" t="s">
        <v>198</v>
      </c>
      <c r="P4774" s="297" t="s">
        <v>199</v>
      </c>
      <c r="Q4774" s="297" t="s">
        <v>200</v>
      </c>
      <c r="R4774" s="297" t="s">
        <v>213</v>
      </c>
      <c r="S4774" s="297" t="s">
        <v>214</v>
      </c>
    </row>
    <row r="4775" spans="1:19" x14ac:dyDescent="0.4">
      <c r="A4775" s="291"/>
      <c r="B4775" s="292"/>
      <c r="C4775" s="312"/>
      <c r="D4775" s="292"/>
      <c r="E4775" s="489"/>
      <c r="F4775" s="489"/>
      <c r="G4775" s="490"/>
      <c r="H4775" s="520"/>
      <c r="I4775" s="523"/>
      <c r="J4775" s="521"/>
      <c r="K4775" s="522"/>
      <c r="M4775" s="301" t="str">
        <f>N4775&amp;AS[[#This Row],[Insurer Code]]&amp;"; "&amp;O4775&amp;AS[[#This Row],[Reporting Year]]&amp;"; "&amp;P4775&amp;AS[[#This Row],[Insurance Category Code]]&amp;"; "&amp;Q4775&amp;AS[[#This Row],[Large Provider Entity Code]]&amp;"; "&amp;R4775&amp;AS[[#This Row],[Age Band Code]]&amp;"; "&amp;S4775&amp;AS[[#This Row],[Sex Code]]</f>
        <v xml:space="preserve">Insurer Code ; Reporting Year ; Insurance Category Code ; Large Provider Entity Code ; Age Band Code ; Sex Code </v>
      </c>
      <c r="N4775" s="297" t="s">
        <v>197</v>
      </c>
      <c r="O4775" s="297" t="s">
        <v>198</v>
      </c>
      <c r="P4775" s="297" t="s">
        <v>199</v>
      </c>
      <c r="Q4775" s="297" t="s">
        <v>200</v>
      </c>
      <c r="R4775" s="297" t="s">
        <v>213</v>
      </c>
      <c r="S4775" s="297" t="s">
        <v>214</v>
      </c>
    </row>
    <row r="4776" spans="1:19" x14ac:dyDescent="0.4">
      <c r="A4776" s="291"/>
      <c r="B4776" s="292"/>
      <c r="C4776" s="312"/>
      <c r="D4776" s="292"/>
      <c r="E4776" s="489"/>
      <c r="F4776" s="489"/>
      <c r="G4776" s="490"/>
      <c r="H4776" s="520"/>
      <c r="I4776" s="523"/>
      <c r="J4776" s="521"/>
      <c r="K4776" s="522"/>
      <c r="M4776" s="301" t="str">
        <f>N4776&amp;AS[[#This Row],[Insurer Code]]&amp;"; "&amp;O4776&amp;AS[[#This Row],[Reporting Year]]&amp;"; "&amp;P4776&amp;AS[[#This Row],[Insurance Category Code]]&amp;"; "&amp;Q4776&amp;AS[[#This Row],[Large Provider Entity Code]]&amp;"; "&amp;R4776&amp;AS[[#This Row],[Age Band Code]]&amp;"; "&amp;S4776&amp;AS[[#This Row],[Sex Code]]</f>
        <v xml:space="preserve">Insurer Code ; Reporting Year ; Insurance Category Code ; Large Provider Entity Code ; Age Band Code ; Sex Code </v>
      </c>
      <c r="N4776" s="297" t="s">
        <v>197</v>
      </c>
      <c r="O4776" s="297" t="s">
        <v>198</v>
      </c>
      <c r="P4776" s="297" t="s">
        <v>199</v>
      </c>
      <c r="Q4776" s="297" t="s">
        <v>200</v>
      </c>
      <c r="R4776" s="297" t="s">
        <v>213</v>
      </c>
      <c r="S4776" s="297" t="s">
        <v>214</v>
      </c>
    </row>
    <row r="4777" spans="1:19" x14ac:dyDescent="0.4">
      <c r="A4777" s="291"/>
      <c r="B4777" s="292"/>
      <c r="C4777" s="312"/>
      <c r="D4777" s="292"/>
      <c r="E4777" s="489"/>
      <c r="F4777" s="489"/>
      <c r="G4777" s="490"/>
      <c r="H4777" s="520"/>
      <c r="I4777" s="523"/>
      <c r="J4777" s="521"/>
      <c r="K4777" s="522"/>
      <c r="M4777" s="301" t="str">
        <f>N4777&amp;AS[[#This Row],[Insurer Code]]&amp;"; "&amp;O4777&amp;AS[[#This Row],[Reporting Year]]&amp;"; "&amp;P4777&amp;AS[[#This Row],[Insurance Category Code]]&amp;"; "&amp;Q4777&amp;AS[[#This Row],[Large Provider Entity Code]]&amp;"; "&amp;R4777&amp;AS[[#This Row],[Age Band Code]]&amp;"; "&amp;S4777&amp;AS[[#This Row],[Sex Code]]</f>
        <v xml:space="preserve">Insurer Code ; Reporting Year ; Insurance Category Code ; Large Provider Entity Code ; Age Band Code ; Sex Code </v>
      </c>
      <c r="N4777" s="297" t="s">
        <v>197</v>
      </c>
      <c r="O4777" s="297" t="s">
        <v>198</v>
      </c>
      <c r="P4777" s="297" t="s">
        <v>199</v>
      </c>
      <c r="Q4777" s="297" t="s">
        <v>200</v>
      </c>
      <c r="R4777" s="297" t="s">
        <v>213</v>
      </c>
      <c r="S4777" s="297" t="s">
        <v>214</v>
      </c>
    </row>
    <row r="4778" spans="1:19" x14ac:dyDescent="0.4">
      <c r="A4778" s="291"/>
      <c r="B4778" s="292"/>
      <c r="C4778" s="312"/>
      <c r="D4778" s="292"/>
      <c r="E4778" s="489"/>
      <c r="F4778" s="489"/>
      <c r="G4778" s="490"/>
      <c r="H4778" s="520"/>
      <c r="I4778" s="523"/>
      <c r="J4778" s="521"/>
      <c r="K4778" s="522"/>
      <c r="M4778" s="301" t="str">
        <f>N4778&amp;AS[[#This Row],[Insurer Code]]&amp;"; "&amp;O4778&amp;AS[[#This Row],[Reporting Year]]&amp;"; "&amp;P4778&amp;AS[[#This Row],[Insurance Category Code]]&amp;"; "&amp;Q4778&amp;AS[[#This Row],[Large Provider Entity Code]]&amp;"; "&amp;R4778&amp;AS[[#This Row],[Age Band Code]]&amp;"; "&amp;S4778&amp;AS[[#This Row],[Sex Code]]</f>
        <v xml:space="preserve">Insurer Code ; Reporting Year ; Insurance Category Code ; Large Provider Entity Code ; Age Band Code ; Sex Code </v>
      </c>
      <c r="N4778" s="297" t="s">
        <v>197</v>
      </c>
      <c r="O4778" s="297" t="s">
        <v>198</v>
      </c>
      <c r="P4778" s="297" t="s">
        <v>199</v>
      </c>
      <c r="Q4778" s="297" t="s">
        <v>200</v>
      </c>
      <c r="R4778" s="297" t="s">
        <v>213</v>
      </c>
      <c r="S4778" s="297" t="s">
        <v>214</v>
      </c>
    </row>
    <row r="4779" spans="1:19" x14ac:dyDescent="0.4">
      <c r="A4779" s="291"/>
      <c r="B4779" s="292"/>
      <c r="C4779" s="312"/>
      <c r="D4779" s="292"/>
      <c r="E4779" s="489"/>
      <c r="F4779" s="489"/>
      <c r="G4779" s="490"/>
      <c r="H4779" s="520"/>
      <c r="I4779" s="523"/>
      <c r="J4779" s="521"/>
      <c r="K4779" s="522"/>
      <c r="M4779" s="301" t="str">
        <f>N4779&amp;AS[[#This Row],[Insurer Code]]&amp;"; "&amp;O4779&amp;AS[[#This Row],[Reporting Year]]&amp;"; "&amp;P4779&amp;AS[[#This Row],[Insurance Category Code]]&amp;"; "&amp;Q4779&amp;AS[[#This Row],[Large Provider Entity Code]]&amp;"; "&amp;R4779&amp;AS[[#This Row],[Age Band Code]]&amp;"; "&amp;S4779&amp;AS[[#This Row],[Sex Code]]</f>
        <v xml:space="preserve">Insurer Code ; Reporting Year ; Insurance Category Code ; Large Provider Entity Code ; Age Band Code ; Sex Code </v>
      </c>
      <c r="N4779" s="297" t="s">
        <v>197</v>
      </c>
      <c r="O4779" s="297" t="s">
        <v>198</v>
      </c>
      <c r="P4779" s="297" t="s">
        <v>199</v>
      </c>
      <c r="Q4779" s="297" t="s">
        <v>200</v>
      </c>
      <c r="R4779" s="297" t="s">
        <v>213</v>
      </c>
      <c r="S4779" s="297" t="s">
        <v>214</v>
      </c>
    </row>
    <row r="4780" spans="1:19" x14ac:dyDescent="0.4">
      <c r="A4780" s="291"/>
      <c r="B4780" s="292"/>
      <c r="C4780" s="312"/>
      <c r="D4780" s="292"/>
      <c r="E4780" s="489"/>
      <c r="F4780" s="489"/>
      <c r="G4780" s="490"/>
      <c r="H4780" s="520"/>
      <c r="I4780" s="523"/>
      <c r="J4780" s="521"/>
      <c r="K4780" s="522"/>
      <c r="M4780" s="301" t="str">
        <f>N4780&amp;AS[[#This Row],[Insurer Code]]&amp;"; "&amp;O4780&amp;AS[[#This Row],[Reporting Year]]&amp;"; "&amp;P4780&amp;AS[[#This Row],[Insurance Category Code]]&amp;"; "&amp;Q4780&amp;AS[[#This Row],[Large Provider Entity Code]]&amp;"; "&amp;R4780&amp;AS[[#This Row],[Age Band Code]]&amp;"; "&amp;S4780&amp;AS[[#This Row],[Sex Code]]</f>
        <v xml:space="preserve">Insurer Code ; Reporting Year ; Insurance Category Code ; Large Provider Entity Code ; Age Band Code ; Sex Code </v>
      </c>
      <c r="N4780" s="297" t="s">
        <v>197</v>
      </c>
      <c r="O4780" s="297" t="s">
        <v>198</v>
      </c>
      <c r="P4780" s="297" t="s">
        <v>199</v>
      </c>
      <c r="Q4780" s="297" t="s">
        <v>200</v>
      </c>
      <c r="R4780" s="297" t="s">
        <v>213</v>
      </c>
      <c r="S4780" s="297" t="s">
        <v>214</v>
      </c>
    </row>
    <row r="4781" spans="1:19" x14ac:dyDescent="0.4">
      <c r="A4781" s="291"/>
      <c r="B4781" s="292"/>
      <c r="C4781" s="312"/>
      <c r="D4781" s="292"/>
      <c r="E4781" s="489"/>
      <c r="F4781" s="489"/>
      <c r="G4781" s="490"/>
      <c r="H4781" s="520"/>
      <c r="I4781" s="523"/>
      <c r="J4781" s="521"/>
      <c r="K4781" s="522"/>
      <c r="M4781" s="301" t="str">
        <f>N4781&amp;AS[[#This Row],[Insurer Code]]&amp;"; "&amp;O4781&amp;AS[[#This Row],[Reporting Year]]&amp;"; "&amp;P4781&amp;AS[[#This Row],[Insurance Category Code]]&amp;"; "&amp;Q4781&amp;AS[[#This Row],[Large Provider Entity Code]]&amp;"; "&amp;R4781&amp;AS[[#This Row],[Age Band Code]]&amp;"; "&amp;S4781&amp;AS[[#This Row],[Sex Code]]</f>
        <v xml:space="preserve">Insurer Code ; Reporting Year ; Insurance Category Code ; Large Provider Entity Code ; Age Band Code ; Sex Code </v>
      </c>
      <c r="N4781" s="297" t="s">
        <v>197</v>
      </c>
      <c r="O4781" s="297" t="s">
        <v>198</v>
      </c>
      <c r="P4781" s="297" t="s">
        <v>199</v>
      </c>
      <c r="Q4781" s="297" t="s">
        <v>200</v>
      </c>
      <c r="R4781" s="297" t="s">
        <v>213</v>
      </c>
      <c r="S4781" s="297" t="s">
        <v>214</v>
      </c>
    </row>
    <row r="4782" spans="1:19" x14ac:dyDescent="0.4">
      <c r="A4782" s="291"/>
      <c r="B4782" s="292"/>
      <c r="C4782" s="312"/>
      <c r="D4782" s="292"/>
      <c r="E4782" s="489"/>
      <c r="F4782" s="489"/>
      <c r="G4782" s="490"/>
      <c r="H4782" s="520"/>
      <c r="I4782" s="523"/>
      <c r="J4782" s="521"/>
      <c r="K4782" s="522"/>
      <c r="M4782" s="301" t="str">
        <f>N4782&amp;AS[[#This Row],[Insurer Code]]&amp;"; "&amp;O4782&amp;AS[[#This Row],[Reporting Year]]&amp;"; "&amp;P4782&amp;AS[[#This Row],[Insurance Category Code]]&amp;"; "&amp;Q4782&amp;AS[[#This Row],[Large Provider Entity Code]]&amp;"; "&amp;R4782&amp;AS[[#This Row],[Age Band Code]]&amp;"; "&amp;S4782&amp;AS[[#This Row],[Sex Code]]</f>
        <v xml:space="preserve">Insurer Code ; Reporting Year ; Insurance Category Code ; Large Provider Entity Code ; Age Band Code ; Sex Code </v>
      </c>
      <c r="N4782" s="297" t="s">
        <v>197</v>
      </c>
      <c r="O4782" s="297" t="s">
        <v>198</v>
      </c>
      <c r="P4782" s="297" t="s">
        <v>199</v>
      </c>
      <c r="Q4782" s="297" t="s">
        <v>200</v>
      </c>
      <c r="R4782" s="297" t="s">
        <v>213</v>
      </c>
      <c r="S4782" s="297" t="s">
        <v>214</v>
      </c>
    </row>
    <row r="4783" spans="1:19" x14ac:dyDescent="0.4">
      <c r="A4783" s="291"/>
      <c r="B4783" s="292"/>
      <c r="C4783" s="312"/>
      <c r="D4783" s="292"/>
      <c r="E4783" s="489"/>
      <c r="F4783" s="489"/>
      <c r="G4783" s="490"/>
      <c r="H4783" s="520"/>
      <c r="I4783" s="523"/>
      <c r="J4783" s="521"/>
      <c r="K4783" s="522"/>
      <c r="M4783" s="301" t="str">
        <f>N4783&amp;AS[[#This Row],[Insurer Code]]&amp;"; "&amp;O4783&amp;AS[[#This Row],[Reporting Year]]&amp;"; "&amp;P4783&amp;AS[[#This Row],[Insurance Category Code]]&amp;"; "&amp;Q4783&amp;AS[[#This Row],[Large Provider Entity Code]]&amp;"; "&amp;R4783&amp;AS[[#This Row],[Age Band Code]]&amp;"; "&amp;S4783&amp;AS[[#This Row],[Sex Code]]</f>
        <v xml:space="preserve">Insurer Code ; Reporting Year ; Insurance Category Code ; Large Provider Entity Code ; Age Band Code ; Sex Code </v>
      </c>
      <c r="N4783" s="297" t="s">
        <v>197</v>
      </c>
      <c r="O4783" s="297" t="s">
        <v>198</v>
      </c>
      <c r="P4783" s="297" t="s">
        <v>199</v>
      </c>
      <c r="Q4783" s="297" t="s">
        <v>200</v>
      </c>
      <c r="R4783" s="297" t="s">
        <v>213</v>
      </c>
      <c r="S4783" s="297" t="s">
        <v>214</v>
      </c>
    </row>
    <row r="4784" spans="1:19" x14ac:dyDescent="0.4">
      <c r="A4784" s="291"/>
      <c r="B4784" s="292"/>
      <c r="C4784" s="312"/>
      <c r="D4784" s="292"/>
      <c r="E4784" s="489"/>
      <c r="F4784" s="489"/>
      <c r="G4784" s="490"/>
      <c r="H4784" s="520"/>
      <c r="I4784" s="523"/>
      <c r="J4784" s="521"/>
      <c r="K4784" s="522"/>
      <c r="M4784" s="301" t="str">
        <f>N4784&amp;AS[[#This Row],[Insurer Code]]&amp;"; "&amp;O4784&amp;AS[[#This Row],[Reporting Year]]&amp;"; "&amp;P4784&amp;AS[[#This Row],[Insurance Category Code]]&amp;"; "&amp;Q4784&amp;AS[[#This Row],[Large Provider Entity Code]]&amp;"; "&amp;R4784&amp;AS[[#This Row],[Age Band Code]]&amp;"; "&amp;S4784&amp;AS[[#This Row],[Sex Code]]</f>
        <v xml:space="preserve">Insurer Code ; Reporting Year ; Insurance Category Code ; Large Provider Entity Code ; Age Band Code ; Sex Code </v>
      </c>
      <c r="N4784" s="297" t="s">
        <v>197</v>
      </c>
      <c r="O4784" s="297" t="s">
        <v>198</v>
      </c>
      <c r="P4784" s="297" t="s">
        <v>199</v>
      </c>
      <c r="Q4784" s="297" t="s">
        <v>200</v>
      </c>
      <c r="R4784" s="297" t="s">
        <v>213</v>
      </c>
      <c r="S4784" s="297" t="s">
        <v>214</v>
      </c>
    </row>
    <row r="4785" spans="1:19" x14ac:dyDescent="0.4">
      <c r="A4785" s="291"/>
      <c r="B4785" s="292"/>
      <c r="C4785" s="312"/>
      <c r="D4785" s="292"/>
      <c r="E4785" s="489"/>
      <c r="F4785" s="489"/>
      <c r="G4785" s="490"/>
      <c r="H4785" s="520"/>
      <c r="I4785" s="523"/>
      <c r="J4785" s="521"/>
      <c r="K4785" s="522"/>
      <c r="M4785" s="301" t="str">
        <f>N4785&amp;AS[[#This Row],[Insurer Code]]&amp;"; "&amp;O4785&amp;AS[[#This Row],[Reporting Year]]&amp;"; "&amp;P4785&amp;AS[[#This Row],[Insurance Category Code]]&amp;"; "&amp;Q4785&amp;AS[[#This Row],[Large Provider Entity Code]]&amp;"; "&amp;R4785&amp;AS[[#This Row],[Age Band Code]]&amp;"; "&amp;S4785&amp;AS[[#This Row],[Sex Code]]</f>
        <v xml:space="preserve">Insurer Code ; Reporting Year ; Insurance Category Code ; Large Provider Entity Code ; Age Band Code ; Sex Code </v>
      </c>
      <c r="N4785" s="297" t="s">
        <v>197</v>
      </c>
      <c r="O4785" s="297" t="s">
        <v>198</v>
      </c>
      <c r="P4785" s="297" t="s">
        <v>199</v>
      </c>
      <c r="Q4785" s="297" t="s">
        <v>200</v>
      </c>
      <c r="R4785" s="297" t="s">
        <v>213</v>
      </c>
      <c r="S4785" s="297" t="s">
        <v>214</v>
      </c>
    </row>
    <row r="4786" spans="1:19" x14ac:dyDescent="0.4">
      <c r="A4786" s="291"/>
      <c r="B4786" s="292"/>
      <c r="C4786" s="312"/>
      <c r="D4786" s="292"/>
      <c r="E4786" s="489"/>
      <c r="F4786" s="489"/>
      <c r="G4786" s="490"/>
      <c r="H4786" s="520"/>
      <c r="I4786" s="523"/>
      <c r="J4786" s="521"/>
      <c r="K4786" s="522"/>
      <c r="M4786" s="301" t="str">
        <f>N4786&amp;AS[[#This Row],[Insurer Code]]&amp;"; "&amp;O4786&amp;AS[[#This Row],[Reporting Year]]&amp;"; "&amp;P4786&amp;AS[[#This Row],[Insurance Category Code]]&amp;"; "&amp;Q4786&amp;AS[[#This Row],[Large Provider Entity Code]]&amp;"; "&amp;R4786&amp;AS[[#This Row],[Age Band Code]]&amp;"; "&amp;S4786&amp;AS[[#This Row],[Sex Code]]</f>
        <v xml:space="preserve">Insurer Code ; Reporting Year ; Insurance Category Code ; Large Provider Entity Code ; Age Band Code ; Sex Code </v>
      </c>
      <c r="N4786" s="297" t="s">
        <v>197</v>
      </c>
      <c r="O4786" s="297" t="s">
        <v>198</v>
      </c>
      <c r="P4786" s="297" t="s">
        <v>199</v>
      </c>
      <c r="Q4786" s="297" t="s">
        <v>200</v>
      </c>
      <c r="R4786" s="297" t="s">
        <v>213</v>
      </c>
      <c r="S4786" s="297" t="s">
        <v>214</v>
      </c>
    </row>
    <row r="4787" spans="1:19" x14ac:dyDescent="0.4">
      <c r="A4787" s="291"/>
      <c r="B4787" s="292"/>
      <c r="C4787" s="312"/>
      <c r="D4787" s="292"/>
      <c r="E4787" s="489"/>
      <c r="F4787" s="489"/>
      <c r="G4787" s="490"/>
      <c r="H4787" s="520"/>
      <c r="I4787" s="523"/>
      <c r="J4787" s="521"/>
      <c r="K4787" s="522"/>
      <c r="M4787" s="301" t="str">
        <f>N4787&amp;AS[[#This Row],[Insurer Code]]&amp;"; "&amp;O4787&amp;AS[[#This Row],[Reporting Year]]&amp;"; "&amp;P4787&amp;AS[[#This Row],[Insurance Category Code]]&amp;"; "&amp;Q4787&amp;AS[[#This Row],[Large Provider Entity Code]]&amp;"; "&amp;R4787&amp;AS[[#This Row],[Age Band Code]]&amp;"; "&amp;S4787&amp;AS[[#This Row],[Sex Code]]</f>
        <v xml:space="preserve">Insurer Code ; Reporting Year ; Insurance Category Code ; Large Provider Entity Code ; Age Band Code ; Sex Code </v>
      </c>
      <c r="N4787" s="297" t="s">
        <v>197</v>
      </c>
      <c r="O4787" s="297" t="s">
        <v>198</v>
      </c>
      <c r="P4787" s="297" t="s">
        <v>199</v>
      </c>
      <c r="Q4787" s="297" t="s">
        <v>200</v>
      </c>
      <c r="R4787" s="297" t="s">
        <v>213</v>
      </c>
      <c r="S4787" s="297" t="s">
        <v>214</v>
      </c>
    </row>
    <row r="4788" spans="1:19" x14ac:dyDescent="0.4">
      <c r="A4788" s="291"/>
      <c r="B4788" s="292"/>
      <c r="C4788" s="312"/>
      <c r="D4788" s="292"/>
      <c r="E4788" s="489"/>
      <c r="F4788" s="489"/>
      <c r="G4788" s="490"/>
      <c r="H4788" s="520"/>
      <c r="I4788" s="523"/>
      <c r="J4788" s="521"/>
      <c r="K4788" s="522"/>
      <c r="M4788" s="301" t="str">
        <f>N4788&amp;AS[[#This Row],[Insurer Code]]&amp;"; "&amp;O4788&amp;AS[[#This Row],[Reporting Year]]&amp;"; "&amp;P4788&amp;AS[[#This Row],[Insurance Category Code]]&amp;"; "&amp;Q4788&amp;AS[[#This Row],[Large Provider Entity Code]]&amp;"; "&amp;R4788&amp;AS[[#This Row],[Age Band Code]]&amp;"; "&amp;S4788&amp;AS[[#This Row],[Sex Code]]</f>
        <v xml:space="preserve">Insurer Code ; Reporting Year ; Insurance Category Code ; Large Provider Entity Code ; Age Band Code ; Sex Code </v>
      </c>
      <c r="N4788" s="297" t="s">
        <v>197</v>
      </c>
      <c r="O4788" s="297" t="s">
        <v>198</v>
      </c>
      <c r="P4788" s="297" t="s">
        <v>199</v>
      </c>
      <c r="Q4788" s="297" t="s">
        <v>200</v>
      </c>
      <c r="R4788" s="297" t="s">
        <v>213</v>
      </c>
      <c r="S4788" s="297" t="s">
        <v>214</v>
      </c>
    </row>
    <row r="4789" spans="1:19" x14ac:dyDescent="0.4">
      <c r="A4789" s="291"/>
      <c r="B4789" s="292"/>
      <c r="C4789" s="312"/>
      <c r="D4789" s="292"/>
      <c r="E4789" s="489"/>
      <c r="F4789" s="489"/>
      <c r="G4789" s="490"/>
      <c r="H4789" s="520"/>
      <c r="I4789" s="523"/>
      <c r="J4789" s="521"/>
      <c r="K4789" s="522"/>
      <c r="M4789" s="301" t="str">
        <f>N4789&amp;AS[[#This Row],[Insurer Code]]&amp;"; "&amp;O4789&amp;AS[[#This Row],[Reporting Year]]&amp;"; "&amp;P4789&amp;AS[[#This Row],[Insurance Category Code]]&amp;"; "&amp;Q4789&amp;AS[[#This Row],[Large Provider Entity Code]]&amp;"; "&amp;R4789&amp;AS[[#This Row],[Age Band Code]]&amp;"; "&amp;S4789&amp;AS[[#This Row],[Sex Code]]</f>
        <v xml:space="preserve">Insurer Code ; Reporting Year ; Insurance Category Code ; Large Provider Entity Code ; Age Band Code ; Sex Code </v>
      </c>
      <c r="N4789" s="297" t="s">
        <v>197</v>
      </c>
      <c r="O4789" s="297" t="s">
        <v>198</v>
      </c>
      <c r="P4789" s="297" t="s">
        <v>199</v>
      </c>
      <c r="Q4789" s="297" t="s">
        <v>200</v>
      </c>
      <c r="R4789" s="297" t="s">
        <v>213</v>
      </c>
      <c r="S4789" s="297" t="s">
        <v>214</v>
      </c>
    </row>
    <row r="4790" spans="1:19" x14ac:dyDescent="0.4">
      <c r="A4790" s="291"/>
      <c r="B4790" s="292"/>
      <c r="C4790" s="312"/>
      <c r="D4790" s="292"/>
      <c r="E4790" s="489"/>
      <c r="F4790" s="489"/>
      <c r="G4790" s="490"/>
      <c r="H4790" s="520"/>
      <c r="I4790" s="523"/>
      <c r="J4790" s="521"/>
      <c r="K4790" s="522"/>
      <c r="M4790" s="301" t="str">
        <f>N4790&amp;AS[[#This Row],[Insurer Code]]&amp;"; "&amp;O4790&amp;AS[[#This Row],[Reporting Year]]&amp;"; "&amp;P4790&amp;AS[[#This Row],[Insurance Category Code]]&amp;"; "&amp;Q4790&amp;AS[[#This Row],[Large Provider Entity Code]]&amp;"; "&amp;R4790&amp;AS[[#This Row],[Age Band Code]]&amp;"; "&amp;S4790&amp;AS[[#This Row],[Sex Code]]</f>
        <v xml:space="preserve">Insurer Code ; Reporting Year ; Insurance Category Code ; Large Provider Entity Code ; Age Band Code ; Sex Code </v>
      </c>
      <c r="N4790" s="297" t="s">
        <v>197</v>
      </c>
      <c r="O4790" s="297" t="s">
        <v>198</v>
      </c>
      <c r="P4790" s="297" t="s">
        <v>199</v>
      </c>
      <c r="Q4790" s="297" t="s">
        <v>200</v>
      </c>
      <c r="R4790" s="297" t="s">
        <v>213</v>
      </c>
      <c r="S4790" s="297" t="s">
        <v>214</v>
      </c>
    </row>
    <row r="4791" spans="1:19" x14ac:dyDescent="0.4">
      <c r="A4791" s="291"/>
      <c r="B4791" s="292"/>
      <c r="C4791" s="312"/>
      <c r="D4791" s="292"/>
      <c r="E4791" s="489"/>
      <c r="F4791" s="489"/>
      <c r="G4791" s="490"/>
      <c r="H4791" s="520"/>
      <c r="I4791" s="523"/>
      <c r="J4791" s="521"/>
      <c r="K4791" s="522"/>
      <c r="M4791" s="301" t="str">
        <f>N4791&amp;AS[[#This Row],[Insurer Code]]&amp;"; "&amp;O4791&amp;AS[[#This Row],[Reporting Year]]&amp;"; "&amp;P4791&amp;AS[[#This Row],[Insurance Category Code]]&amp;"; "&amp;Q4791&amp;AS[[#This Row],[Large Provider Entity Code]]&amp;"; "&amp;R4791&amp;AS[[#This Row],[Age Band Code]]&amp;"; "&amp;S4791&amp;AS[[#This Row],[Sex Code]]</f>
        <v xml:space="preserve">Insurer Code ; Reporting Year ; Insurance Category Code ; Large Provider Entity Code ; Age Band Code ; Sex Code </v>
      </c>
      <c r="N4791" s="297" t="s">
        <v>197</v>
      </c>
      <c r="O4791" s="297" t="s">
        <v>198</v>
      </c>
      <c r="P4791" s="297" t="s">
        <v>199</v>
      </c>
      <c r="Q4791" s="297" t="s">
        <v>200</v>
      </c>
      <c r="R4791" s="297" t="s">
        <v>213</v>
      </c>
      <c r="S4791" s="297" t="s">
        <v>214</v>
      </c>
    </row>
    <row r="4792" spans="1:19" x14ac:dyDescent="0.4">
      <c r="A4792" s="291"/>
      <c r="B4792" s="292"/>
      <c r="C4792" s="312"/>
      <c r="D4792" s="292"/>
      <c r="E4792" s="489"/>
      <c r="F4792" s="489"/>
      <c r="G4792" s="490"/>
      <c r="H4792" s="520"/>
      <c r="I4792" s="523"/>
      <c r="J4792" s="521"/>
      <c r="K4792" s="522"/>
      <c r="M4792" s="301" t="str">
        <f>N4792&amp;AS[[#This Row],[Insurer Code]]&amp;"; "&amp;O4792&amp;AS[[#This Row],[Reporting Year]]&amp;"; "&amp;P4792&amp;AS[[#This Row],[Insurance Category Code]]&amp;"; "&amp;Q4792&amp;AS[[#This Row],[Large Provider Entity Code]]&amp;"; "&amp;R4792&amp;AS[[#This Row],[Age Band Code]]&amp;"; "&amp;S4792&amp;AS[[#This Row],[Sex Code]]</f>
        <v xml:space="preserve">Insurer Code ; Reporting Year ; Insurance Category Code ; Large Provider Entity Code ; Age Band Code ; Sex Code </v>
      </c>
      <c r="N4792" s="297" t="s">
        <v>197</v>
      </c>
      <c r="O4792" s="297" t="s">
        <v>198</v>
      </c>
      <c r="P4792" s="297" t="s">
        <v>199</v>
      </c>
      <c r="Q4792" s="297" t="s">
        <v>200</v>
      </c>
      <c r="R4792" s="297" t="s">
        <v>213</v>
      </c>
      <c r="S4792" s="297" t="s">
        <v>214</v>
      </c>
    </row>
    <row r="4793" spans="1:19" x14ac:dyDescent="0.4">
      <c r="A4793" s="291"/>
      <c r="B4793" s="292"/>
      <c r="C4793" s="312"/>
      <c r="D4793" s="292"/>
      <c r="E4793" s="489"/>
      <c r="F4793" s="489"/>
      <c r="G4793" s="490"/>
      <c r="H4793" s="520"/>
      <c r="I4793" s="523"/>
      <c r="J4793" s="521"/>
      <c r="K4793" s="522"/>
      <c r="M4793" s="301" t="str">
        <f>N4793&amp;AS[[#This Row],[Insurer Code]]&amp;"; "&amp;O4793&amp;AS[[#This Row],[Reporting Year]]&amp;"; "&amp;P4793&amp;AS[[#This Row],[Insurance Category Code]]&amp;"; "&amp;Q4793&amp;AS[[#This Row],[Large Provider Entity Code]]&amp;"; "&amp;R4793&amp;AS[[#This Row],[Age Band Code]]&amp;"; "&amp;S4793&amp;AS[[#This Row],[Sex Code]]</f>
        <v xml:space="preserve">Insurer Code ; Reporting Year ; Insurance Category Code ; Large Provider Entity Code ; Age Band Code ; Sex Code </v>
      </c>
      <c r="N4793" s="297" t="s">
        <v>197</v>
      </c>
      <c r="O4793" s="297" t="s">
        <v>198</v>
      </c>
      <c r="P4793" s="297" t="s">
        <v>199</v>
      </c>
      <c r="Q4793" s="297" t="s">
        <v>200</v>
      </c>
      <c r="R4793" s="297" t="s">
        <v>213</v>
      </c>
      <c r="S4793" s="297" t="s">
        <v>214</v>
      </c>
    </row>
    <row r="4794" spans="1:19" x14ac:dyDescent="0.4">
      <c r="A4794" s="291"/>
      <c r="B4794" s="292"/>
      <c r="C4794" s="312"/>
      <c r="D4794" s="292"/>
      <c r="E4794" s="489"/>
      <c r="F4794" s="489"/>
      <c r="G4794" s="490"/>
      <c r="H4794" s="520"/>
      <c r="I4794" s="523"/>
      <c r="J4794" s="521"/>
      <c r="K4794" s="522"/>
      <c r="M4794" s="301" t="str">
        <f>N4794&amp;AS[[#This Row],[Insurer Code]]&amp;"; "&amp;O4794&amp;AS[[#This Row],[Reporting Year]]&amp;"; "&amp;P4794&amp;AS[[#This Row],[Insurance Category Code]]&amp;"; "&amp;Q4794&amp;AS[[#This Row],[Large Provider Entity Code]]&amp;"; "&amp;R4794&amp;AS[[#This Row],[Age Band Code]]&amp;"; "&amp;S4794&amp;AS[[#This Row],[Sex Code]]</f>
        <v xml:space="preserve">Insurer Code ; Reporting Year ; Insurance Category Code ; Large Provider Entity Code ; Age Band Code ; Sex Code </v>
      </c>
      <c r="N4794" s="297" t="s">
        <v>197</v>
      </c>
      <c r="O4794" s="297" t="s">
        <v>198</v>
      </c>
      <c r="P4794" s="297" t="s">
        <v>199</v>
      </c>
      <c r="Q4794" s="297" t="s">
        <v>200</v>
      </c>
      <c r="R4794" s="297" t="s">
        <v>213</v>
      </c>
      <c r="S4794" s="297" t="s">
        <v>214</v>
      </c>
    </row>
    <row r="4795" spans="1:19" x14ac:dyDescent="0.4">
      <c r="A4795" s="291"/>
      <c r="B4795" s="292"/>
      <c r="C4795" s="312"/>
      <c r="D4795" s="292"/>
      <c r="E4795" s="489"/>
      <c r="F4795" s="489"/>
      <c r="G4795" s="490"/>
      <c r="H4795" s="520"/>
      <c r="I4795" s="523"/>
      <c r="J4795" s="521"/>
      <c r="K4795" s="522"/>
      <c r="M4795" s="301" t="str">
        <f>N4795&amp;AS[[#This Row],[Insurer Code]]&amp;"; "&amp;O4795&amp;AS[[#This Row],[Reporting Year]]&amp;"; "&amp;P4795&amp;AS[[#This Row],[Insurance Category Code]]&amp;"; "&amp;Q4795&amp;AS[[#This Row],[Large Provider Entity Code]]&amp;"; "&amp;R4795&amp;AS[[#This Row],[Age Band Code]]&amp;"; "&amp;S4795&amp;AS[[#This Row],[Sex Code]]</f>
        <v xml:space="preserve">Insurer Code ; Reporting Year ; Insurance Category Code ; Large Provider Entity Code ; Age Band Code ; Sex Code </v>
      </c>
      <c r="N4795" s="297" t="s">
        <v>197</v>
      </c>
      <c r="O4795" s="297" t="s">
        <v>198</v>
      </c>
      <c r="P4795" s="297" t="s">
        <v>199</v>
      </c>
      <c r="Q4795" s="297" t="s">
        <v>200</v>
      </c>
      <c r="R4795" s="297" t="s">
        <v>213</v>
      </c>
      <c r="S4795" s="297" t="s">
        <v>214</v>
      </c>
    </row>
    <row r="4796" spans="1:19" x14ac:dyDescent="0.4">
      <c r="A4796" s="291"/>
      <c r="B4796" s="292"/>
      <c r="C4796" s="312"/>
      <c r="D4796" s="292"/>
      <c r="E4796" s="489"/>
      <c r="F4796" s="489"/>
      <c r="G4796" s="490"/>
      <c r="H4796" s="520"/>
      <c r="I4796" s="523"/>
      <c r="J4796" s="521"/>
      <c r="K4796" s="522"/>
      <c r="M4796" s="301" t="str">
        <f>N4796&amp;AS[[#This Row],[Insurer Code]]&amp;"; "&amp;O4796&amp;AS[[#This Row],[Reporting Year]]&amp;"; "&amp;P4796&amp;AS[[#This Row],[Insurance Category Code]]&amp;"; "&amp;Q4796&amp;AS[[#This Row],[Large Provider Entity Code]]&amp;"; "&amp;R4796&amp;AS[[#This Row],[Age Band Code]]&amp;"; "&amp;S4796&amp;AS[[#This Row],[Sex Code]]</f>
        <v xml:space="preserve">Insurer Code ; Reporting Year ; Insurance Category Code ; Large Provider Entity Code ; Age Band Code ; Sex Code </v>
      </c>
      <c r="N4796" s="297" t="s">
        <v>197</v>
      </c>
      <c r="O4796" s="297" t="s">
        <v>198</v>
      </c>
      <c r="P4796" s="297" t="s">
        <v>199</v>
      </c>
      <c r="Q4796" s="297" t="s">
        <v>200</v>
      </c>
      <c r="R4796" s="297" t="s">
        <v>213</v>
      </c>
      <c r="S4796" s="297" t="s">
        <v>214</v>
      </c>
    </row>
    <row r="4797" spans="1:19" x14ac:dyDescent="0.4">
      <c r="A4797" s="291"/>
      <c r="B4797" s="292"/>
      <c r="C4797" s="312"/>
      <c r="D4797" s="292"/>
      <c r="E4797" s="489"/>
      <c r="F4797" s="489"/>
      <c r="G4797" s="490"/>
      <c r="H4797" s="520"/>
      <c r="I4797" s="523"/>
      <c r="J4797" s="521"/>
      <c r="K4797" s="522"/>
      <c r="M4797" s="301" t="str">
        <f>N4797&amp;AS[[#This Row],[Insurer Code]]&amp;"; "&amp;O4797&amp;AS[[#This Row],[Reporting Year]]&amp;"; "&amp;P4797&amp;AS[[#This Row],[Insurance Category Code]]&amp;"; "&amp;Q4797&amp;AS[[#This Row],[Large Provider Entity Code]]&amp;"; "&amp;R4797&amp;AS[[#This Row],[Age Band Code]]&amp;"; "&amp;S4797&amp;AS[[#This Row],[Sex Code]]</f>
        <v xml:space="preserve">Insurer Code ; Reporting Year ; Insurance Category Code ; Large Provider Entity Code ; Age Band Code ; Sex Code </v>
      </c>
      <c r="N4797" s="297" t="s">
        <v>197</v>
      </c>
      <c r="O4797" s="297" t="s">
        <v>198</v>
      </c>
      <c r="P4797" s="297" t="s">
        <v>199</v>
      </c>
      <c r="Q4797" s="297" t="s">
        <v>200</v>
      </c>
      <c r="R4797" s="297" t="s">
        <v>213</v>
      </c>
      <c r="S4797" s="297" t="s">
        <v>214</v>
      </c>
    </row>
    <row r="4798" spans="1:19" x14ac:dyDescent="0.4">
      <c r="A4798" s="291"/>
      <c r="B4798" s="292"/>
      <c r="C4798" s="312"/>
      <c r="D4798" s="292"/>
      <c r="E4798" s="489"/>
      <c r="F4798" s="489"/>
      <c r="G4798" s="490"/>
      <c r="H4798" s="520"/>
      <c r="I4798" s="523"/>
      <c r="J4798" s="521"/>
      <c r="K4798" s="522"/>
      <c r="M4798" s="301" t="str">
        <f>N4798&amp;AS[[#This Row],[Insurer Code]]&amp;"; "&amp;O4798&amp;AS[[#This Row],[Reporting Year]]&amp;"; "&amp;P4798&amp;AS[[#This Row],[Insurance Category Code]]&amp;"; "&amp;Q4798&amp;AS[[#This Row],[Large Provider Entity Code]]&amp;"; "&amp;R4798&amp;AS[[#This Row],[Age Band Code]]&amp;"; "&amp;S4798&amp;AS[[#This Row],[Sex Code]]</f>
        <v xml:space="preserve">Insurer Code ; Reporting Year ; Insurance Category Code ; Large Provider Entity Code ; Age Band Code ; Sex Code </v>
      </c>
      <c r="N4798" s="297" t="s">
        <v>197</v>
      </c>
      <c r="O4798" s="297" t="s">
        <v>198</v>
      </c>
      <c r="P4798" s="297" t="s">
        <v>199</v>
      </c>
      <c r="Q4798" s="297" t="s">
        <v>200</v>
      </c>
      <c r="R4798" s="297" t="s">
        <v>213</v>
      </c>
      <c r="S4798" s="297" t="s">
        <v>214</v>
      </c>
    </row>
    <row r="4799" spans="1:19" x14ac:dyDescent="0.4">
      <c r="A4799" s="291"/>
      <c r="B4799" s="292"/>
      <c r="C4799" s="312"/>
      <c r="D4799" s="292"/>
      <c r="E4799" s="489"/>
      <c r="F4799" s="489"/>
      <c r="G4799" s="490"/>
      <c r="H4799" s="520"/>
      <c r="I4799" s="523"/>
      <c r="J4799" s="521"/>
      <c r="K4799" s="522"/>
      <c r="M4799" s="301" t="str">
        <f>N4799&amp;AS[[#This Row],[Insurer Code]]&amp;"; "&amp;O4799&amp;AS[[#This Row],[Reporting Year]]&amp;"; "&amp;P4799&amp;AS[[#This Row],[Insurance Category Code]]&amp;"; "&amp;Q4799&amp;AS[[#This Row],[Large Provider Entity Code]]&amp;"; "&amp;R4799&amp;AS[[#This Row],[Age Band Code]]&amp;"; "&amp;S4799&amp;AS[[#This Row],[Sex Code]]</f>
        <v xml:space="preserve">Insurer Code ; Reporting Year ; Insurance Category Code ; Large Provider Entity Code ; Age Band Code ; Sex Code </v>
      </c>
      <c r="N4799" s="297" t="s">
        <v>197</v>
      </c>
      <c r="O4799" s="297" t="s">
        <v>198</v>
      </c>
      <c r="P4799" s="297" t="s">
        <v>199</v>
      </c>
      <c r="Q4799" s="297" t="s">
        <v>200</v>
      </c>
      <c r="R4799" s="297" t="s">
        <v>213</v>
      </c>
      <c r="S4799" s="297" t="s">
        <v>214</v>
      </c>
    </row>
    <row r="4800" spans="1:19" x14ac:dyDescent="0.4">
      <c r="A4800" s="291"/>
      <c r="B4800" s="292"/>
      <c r="C4800" s="312"/>
      <c r="D4800" s="292"/>
      <c r="E4800" s="489"/>
      <c r="F4800" s="489"/>
      <c r="G4800" s="490"/>
      <c r="H4800" s="520"/>
      <c r="I4800" s="523"/>
      <c r="J4800" s="521"/>
      <c r="K4800" s="522"/>
      <c r="M4800" s="301" t="str">
        <f>N4800&amp;AS[[#This Row],[Insurer Code]]&amp;"; "&amp;O4800&amp;AS[[#This Row],[Reporting Year]]&amp;"; "&amp;P4800&amp;AS[[#This Row],[Insurance Category Code]]&amp;"; "&amp;Q4800&amp;AS[[#This Row],[Large Provider Entity Code]]&amp;"; "&amp;R4800&amp;AS[[#This Row],[Age Band Code]]&amp;"; "&amp;S4800&amp;AS[[#This Row],[Sex Code]]</f>
        <v xml:space="preserve">Insurer Code ; Reporting Year ; Insurance Category Code ; Large Provider Entity Code ; Age Band Code ; Sex Code </v>
      </c>
      <c r="N4800" s="297" t="s">
        <v>197</v>
      </c>
      <c r="O4800" s="297" t="s">
        <v>198</v>
      </c>
      <c r="P4800" s="297" t="s">
        <v>199</v>
      </c>
      <c r="Q4800" s="297" t="s">
        <v>200</v>
      </c>
      <c r="R4800" s="297" t="s">
        <v>213</v>
      </c>
      <c r="S4800" s="297" t="s">
        <v>214</v>
      </c>
    </row>
    <row r="4801" spans="1:19" x14ac:dyDescent="0.4">
      <c r="A4801" s="291"/>
      <c r="B4801" s="292"/>
      <c r="C4801" s="312"/>
      <c r="D4801" s="292"/>
      <c r="E4801" s="489"/>
      <c r="F4801" s="489"/>
      <c r="G4801" s="490"/>
      <c r="H4801" s="520"/>
      <c r="I4801" s="523"/>
      <c r="J4801" s="521"/>
      <c r="K4801" s="522"/>
      <c r="M4801" s="301" t="str">
        <f>N4801&amp;AS[[#This Row],[Insurer Code]]&amp;"; "&amp;O4801&amp;AS[[#This Row],[Reporting Year]]&amp;"; "&amp;P4801&amp;AS[[#This Row],[Insurance Category Code]]&amp;"; "&amp;Q4801&amp;AS[[#This Row],[Large Provider Entity Code]]&amp;"; "&amp;R4801&amp;AS[[#This Row],[Age Band Code]]&amp;"; "&amp;S4801&amp;AS[[#This Row],[Sex Code]]</f>
        <v xml:space="preserve">Insurer Code ; Reporting Year ; Insurance Category Code ; Large Provider Entity Code ; Age Band Code ; Sex Code </v>
      </c>
      <c r="N4801" s="297" t="s">
        <v>197</v>
      </c>
      <c r="O4801" s="297" t="s">
        <v>198</v>
      </c>
      <c r="P4801" s="297" t="s">
        <v>199</v>
      </c>
      <c r="Q4801" s="297" t="s">
        <v>200</v>
      </c>
      <c r="R4801" s="297" t="s">
        <v>213</v>
      </c>
      <c r="S4801" s="297" t="s">
        <v>214</v>
      </c>
    </row>
    <row r="4802" spans="1:19" x14ac:dyDescent="0.4">
      <c r="A4802" s="291"/>
      <c r="B4802" s="292"/>
      <c r="C4802" s="312"/>
      <c r="D4802" s="292"/>
      <c r="E4802" s="489"/>
      <c r="F4802" s="489"/>
      <c r="G4802" s="490"/>
      <c r="H4802" s="520"/>
      <c r="I4802" s="523"/>
      <c r="J4802" s="521"/>
      <c r="K4802" s="522"/>
      <c r="M4802" s="301" t="str">
        <f>N4802&amp;AS[[#This Row],[Insurer Code]]&amp;"; "&amp;O4802&amp;AS[[#This Row],[Reporting Year]]&amp;"; "&amp;P4802&amp;AS[[#This Row],[Insurance Category Code]]&amp;"; "&amp;Q4802&amp;AS[[#This Row],[Large Provider Entity Code]]&amp;"; "&amp;R4802&amp;AS[[#This Row],[Age Band Code]]&amp;"; "&amp;S4802&amp;AS[[#This Row],[Sex Code]]</f>
        <v xml:space="preserve">Insurer Code ; Reporting Year ; Insurance Category Code ; Large Provider Entity Code ; Age Band Code ; Sex Code </v>
      </c>
      <c r="N4802" s="297" t="s">
        <v>197</v>
      </c>
      <c r="O4802" s="297" t="s">
        <v>198</v>
      </c>
      <c r="P4802" s="297" t="s">
        <v>199</v>
      </c>
      <c r="Q4802" s="297" t="s">
        <v>200</v>
      </c>
      <c r="R4802" s="297" t="s">
        <v>213</v>
      </c>
      <c r="S4802" s="297" t="s">
        <v>214</v>
      </c>
    </row>
    <row r="4803" spans="1:19" x14ac:dyDescent="0.4">
      <c r="A4803" s="291"/>
      <c r="B4803" s="292"/>
      <c r="C4803" s="312"/>
      <c r="D4803" s="292"/>
      <c r="E4803" s="489"/>
      <c r="F4803" s="489"/>
      <c r="G4803" s="490"/>
      <c r="H4803" s="520"/>
      <c r="I4803" s="523"/>
      <c r="J4803" s="521"/>
      <c r="K4803" s="522"/>
      <c r="M4803" s="301" t="str">
        <f>N4803&amp;AS[[#This Row],[Insurer Code]]&amp;"; "&amp;O4803&amp;AS[[#This Row],[Reporting Year]]&amp;"; "&amp;P4803&amp;AS[[#This Row],[Insurance Category Code]]&amp;"; "&amp;Q4803&amp;AS[[#This Row],[Large Provider Entity Code]]&amp;"; "&amp;R4803&amp;AS[[#This Row],[Age Band Code]]&amp;"; "&amp;S4803&amp;AS[[#This Row],[Sex Code]]</f>
        <v xml:space="preserve">Insurer Code ; Reporting Year ; Insurance Category Code ; Large Provider Entity Code ; Age Band Code ; Sex Code </v>
      </c>
      <c r="N4803" s="297" t="s">
        <v>197</v>
      </c>
      <c r="O4803" s="297" t="s">
        <v>198</v>
      </c>
      <c r="P4803" s="297" t="s">
        <v>199</v>
      </c>
      <c r="Q4803" s="297" t="s">
        <v>200</v>
      </c>
      <c r="R4803" s="297" t="s">
        <v>213</v>
      </c>
      <c r="S4803" s="297" t="s">
        <v>214</v>
      </c>
    </row>
    <row r="4804" spans="1:19" x14ac:dyDescent="0.4">
      <c r="A4804" s="291"/>
      <c r="B4804" s="292"/>
      <c r="C4804" s="312"/>
      <c r="D4804" s="292"/>
      <c r="E4804" s="489"/>
      <c r="F4804" s="489"/>
      <c r="G4804" s="490"/>
      <c r="H4804" s="520"/>
      <c r="I4804" s="523"/>
      <c r="J4804" s="521"/>
      <c r="K4804" s="522"/>
      <c r="M4804" s="301" t="str">
        <f>N4804&amp;AS[[#This Row],[Insurer Code]]&amp;"; "&amp;O4804&amp;AS[[#This Row],[Reporting Year]]&amp;"; "&amp;P4804&amp;AS[[#This Row],[Insurance Category Code]]&amp;"; "&amp;Q4804&amp;AS[[#This Row],[Large Provider Entity Code]]&amp;"; "&amp;R4804&amp;AS[[#This Row],[Age Band Code]]&amp;"; "&amp;S4804&amp;AS[[#This Row],[Sex Code]]</f>
        <v xml:space="preserve">Insurer Code ; Reporting Year ; Insurance Category Code ; Large Provider Entity Code ; Age Band Code ; Sex Code </v>
      </c>
      <c r="N4804" s="297" t="s">
        <v>197</v>
      </c>
      <c r="O4804" s="297" t="s">
        <v>198</v>
      </c>
      <c r="P4804" s="297" t="s">
        <v>199</v>
      </c>
      <c r="Q4804" s="297" t="s">
        <v>200</v>
      </c>
      <c r="R4804" s="297" t="s">
        <v>213</v>
      </c>
      <c r="S4804" s="297" t="s">
        <v>214</v>
      </c>
    </row>
    <row r="4805" spans="1:19" x14ac:dyDescent="0.4">
      <c r="A4805" s="291"/>
      <c r="B4805" s="292"/>
      <c r="C4805" s="312"/>
      <c r="D4805" s="292"/>
      <c r="E4805" s="489"/>
      <c r="F4805" s="489"/>
      <c r="G4805" s="490"/>
      <c r="H4805" s="520"/>
      <c r="I4805" s="523"/>
      <c r="J4805" s="521"/>
      <c r="K4805" s="522"/>
      <c r="M4805" s="301" t="str">
        <f>N4805&amp;AS[[#This Row],[Insurer Code]]&amp;"; "&amp;O4805&amp;AS[[#This Row],[Reporting Year]]&amp;"; "&amp;P4805&amp;AS[[#This Row],[Insurance Category Code]]&amp;"; "&amp;Q4805&amp;AS[[#This Row],[Large Provider Entity Code]]&amp;"; "&amp;R4805&amp;AS[[#This Row],[Age Band Code]]&amp;"; "&amp;S4805&amp;AS[[#This Row],[Sex Code]]</f>
        <v xml:space="preserve">Insurer Code ; Reporting Year ; Insurance Category Code ; Large Provider Entity Code ; Age Band Code ; Sex Code </v>
      </c>
      <c r="N4805" s="297" t="s">
        <v>197</v>
      </c>
      <c r="O4805" s="297" t="s">
        <v>198</v>
      </c>
      <c r="P4805" s="297" t="s">
        <v>199</v>
      </c>
      <c r="Q4805" s="297" t="s">
        <v>200</v>
      </c>
      <c r="R4805" s="297" t="s">
        <v>213</v>
      </c>
      <c r="S4805" s="297" t="s">
        <v>214</v>
      </c>
    </row>
    <row r="4806" spans="1:19" x14ac:dyDescent="0.4">
      <c r="A4806" s="291"/>
      <c r="B4806" s="292"/>
      <c r="C4806" s="312"/>
      <c r="D4806" s="292"/>
      <c r="E4806" s="489"/>
      <c r="F4806" s="489"/>
      <c r="G4806" s="490"/>
      <c r="H4806" s="520"/>
      <c r="I4806" s="523"/>
      <c r="J4806" s="521"/>
      <c r="K4806" s="522"/>
      <c r="M4806" s="301" t="str">
        <f>N4806&amp;AS[[#This Row],[Insurer Code]]&amp;"; "&amp;O4806&amp;AS[[#This Row],[Reporting Year]]&amp;"; "&amp;P4806&amp;AS[[#This Row],[Insurance Category Code]]&amp;"; "&amp;Q4806&amp;AS[[#This Row],[Large Provider Entity Code]]&amp;"; "&amp;R4806&amp;AS[[#This Row],[Age Band Code]]&amp;"; "&amp;S4806&amp;AS[[#This Row],[Sex Code]]</f>
        <v xml:space="preserve">Insurer Code ; Reporting Year ; Insurance Category Code ; Large Provider Entity Code ; Age Band Code ; Sex Code </v>
      </c>
      <c r="N4806" s="297" t="s">
        <v>197</v>
      </c>
      <c r="O4806" s="297" t="s">
        <v>198</v>
      </c>
      <c r="P4806" s="297" t="s">
        <v>199</v>
      </c>
      <c r="Q4806" s="297" t="s">
        <v>200</v>
      </c>
      <c r="R4806" s="297" t="s">
        <v>213</v>
      </c>
      <c r="S4806" s="297" t="s">
        <v>214</v>
      </c>
    </row>
    <row r="4807" spans="1:19" x14ac:dyDescent="0.4">
      <c r="A4807" s="291"/>
      <c r="B4807" s="292"/>
      <c r="C4807" s="312"/>
      <c r="D4807" s="292"/>
      <c r="E4807" s="489"/>
      <c r="F4807" s="489"/>
      <c r="G4807" s="490"/>
      <c r="H4807" s="520"/>
      <c r="I4807" s="523"/>
      <c r="J4807" s="521"/>
      <c r="K4807" s="522"/>
      <c r="M4807" s="301" t="str">
        <f>N4807&amp;AS[[#This Row],[Insurer Code]]&amp;"; "&amp;O4807&amp;AS[[#This Row],[Reporting Year]]&amp;"; "&amp;P4807&amp;AS[[#This Row],[Insurance Category Code]]&amp;"; "&amp;Q4807&amp;AS[[#This Row],[Large Provider Entity Code]]&amp;"; "&amp;R4807&amp;AS[[#This Row],[Age Band Code]]&amp;"; "&amp;S4807&amp;AS[[#This Row],[Sex Code]]</f>
        <v xml:space="preserve">Insurer Code ; Reporting Year ; Insurance Category Code ; Large Provider Entity Code ; Age Band Code ; Sex Code </v>
      </c>
      <c r="N4807" s="297" t="s">
        <v>197</v>
      </c>
      <c r="O4807" s="297" t="s">
        <v>198</v>
      </c>
      <c r="P4807" s="297" t="s">
        <v>199</v>
      </c>
      <c r="Q4807" s="297" t="s">
        <v>200</v>
      </c>
      <c r="R4807" s="297" t="s">
        <v>213</v>
      </c>
      <c r="S4807" s="297" t="s">
        <v>214</v>
      </c>
    </row>
    <row r="4808" spans="1:19" x14ac:dyDescent="0.4">
      <c r="A4808" s="291"/>
      <c r="B4808" s="292"/>
      <c r="C4808" s="312"/>
      <c r="D4808" s="292"/>
      <c r="E4808" s="489"/>
      <c r="F4808" s="489"/>
      <c r="G4808" s="490"/>
      <c r="H4808" s="520"/>
      <c r="I4808" s="523"/>
      <c r="J4808" s="521"/>
      <c r="K4808" s="522"/>
      <c r="M4808" s="301" t="str">
        <f>N4808&amp;AS[[#This Row],[Insurer Code]]&amp;"; "&amp;O4808&amp;AS[[#This Row],[Reporting Year]]&amp;"; "&amp;P4808&amp;AS[[#This Row],[Insurance Category Code]]&amp;"; "&amp;Q4808&amp;AS[[#This Row],[Large Provider Entity Code]]&amp;"; "&amp;R4808&amp;AS[[#This Row],[Age Band Code]]&amp;"; "&amp;S4808&amp;AS[[#This Row],[Sex Code]]</f>
        <v xml:space="preserve">Insurer Code ; Reporting Year ; Insurance Category Code ; Large Provider Entity Code ; Age Band Code ; Sex Code </v>
      </c>
      <c r="N4808" s="297" t="s">
        <v>197</v>
      </c>
      <c r="O4808" s="297" t="s">
        <v>198</v>
      </c>
      <c r="P4808" s="297" t="s">
        <v>199</v>
      </c>
      <c r="Q4808" s="297" t="s">
        <v>200</v>
      </c>
      <c r="R4808" s="297" t="s">
        <v>213</v>
      </c>
      <c r="S4808" s="297" t="s">
        <v>214</v>
      </c>
    </row>
    <row r="4809" spans="1:19" x14ac:dyDescent="0.4">
      <c r="A4809" s="291"/>
      <c r="B4809" s="292"/>
      <c r="C4809" s="312"/>
      <c r="D4809" s="292"/>
      <c r="E4809" s="489"/>
      <c r="F4809" s="489"/>
      <c r="G4809" s="490"/>
      <c r="H4809" s="520"/>
      <c r="I4809" s="523"/>
      <c r="J4809" s="521"/>
      <c r="K4809" s="522"/>
      <c r="M4809" s="301" t="str">
        <f>N4809&amp;AS[[#This Row],[Insurer Code]]&amp;"; "&amp;O4809&amp;AS[[#This Row],[Reporting Year]]&amp;"; "&amp;P4809&amp;AS[[#This Row],[Insurance Category Code]]&amp;"; "&amp;Q4809&amp;AS[[#This Row],[Large Provider Entity Code]]&amp;"; "&amp;R4809&amp;AS[[#This Row],[Age Band Code]]&amp;"; "&amp;S4809&amp;AS[[#This Row],[Sex Code]]</f>
        <v xml:space="preserve">Insurer Code ; Reporting Year ; Insurance Category Code ; Large Provider Entity Code ; Age Band Code ; Sex Code </v>
      </c>
      <c r="N4809" s="297" t="s">
        <v>197</v>
      </c>
      <c r="O4809" s="297" t="s">
        <v>198</v>
      </c>
      <c r="P4809" s="297" t="s">
        <v>199</v>
      </c>
      <c r="Q4809" s="297" t="s">
        <v>200</v>
      </c>
      <c r="R4809" s="297" t="s">
        <v>213</v>
      </c>
      <c r="S4809" s="297" t="s">
        <v>214</v>
      </c>
    </row>
    <row r="4810" spans="1:19" x14ac:dyDescent="0.4">
      <c r="A4810" s="291"/>
      <c r="B4810" s="292"/>
      <c r="C4810" s="312"/>
      <c r="D4810" s="292"/>
      <c r="E4810" s="489"/>
      <c r="F4810" s="489"/>
      <c r="G4810" s="490"/>
      <c r="H4810" s="520"/>
      <c r="I4810" s="523"/>
      <c r="J4810" s="521"/>
      <c r="K4810" s="522"/>
      <c r="M4810" s="301" t="str">
        <f>N4810&amp;AS[[#This Row],[Insurer Code]]&amp;"; "&amp;O4810&amp;AS[[#This Row],[Reporting Year]]&amp;"; "&amp;P4810&amp;AS[[#This Row],[Insurance Category Code]]&amp;"; "&amp;Q4810&amp;AS[[#This Row],[Large Provider Entity Code]]&amp;"; "&amp;R4810&amp;AS[[#This Row],[Age Band Code]]&amp;"; "&amp;S4810&amp;AS[[#This Row],[Sex Code]]</f>
        <v xml:space="preserve">Insurer Code ; Reporting Year ; Insurance Category Code ; Large Provider Entity Code ; Age Band Code ; Sex Code </v>
      </c>
      <c r="N4810" s="297" t="s">
        <v>197</v>
      </c>
      <c r="O4810" s="297" t="s">
        <v>198</v>
      </c>
      <c r="P4810" s="297" t="s">
        <v>199</v>
      </c>
      <c r="Q4810" s="297" t="s">
        <v>200</v>
      </c>
      <c r="R4810" s="297" t="s">
        <v>213</v>
      </c>
      <c r="S4810" s="297" t="s">
        <v>214</v>
      </c>
    </row>
    <row r="4811" spans="1:19" x14ac:dyDescent="0.4">
      <c r="A4811" s="291"/>
      <c r="B4811" s="292"/>
      <c r="C4811" s="312"/>
      <c r="D4811" s="292"/>
      <c r="E4811" s="489"/>
      <c r="F4811" s="489"/>
      <c r="G4811" s="490"/>
      <c r="H4811" s="520"/>
      <c r="I4811" s="523"/>
      <c r="J4811" s="521"/>
      <c r="K4811" s="522"/>
      <c r="M4811" s="301" t="str">
        <f>N4811&amp;AS[[#This Row],[Insurer Code]]&amp;"; "&amp;O4811&amp;AS[[#This Row],[Reporting Year]]&amp;"; "&amp;P4811&amp;AS[[#This Row],[Insurance Category Code]]&amp;"; "&amp;Q4811&amp;AS[[#This Row],[Large Provider Entity Code]]&amp;"; "&amp;R4811&amp;AS[[#This Row],[Age Band Code]]&amp;"; "&amp;S4811&amp;AS[[#This Row],[Sex Code]]</f>
        <v xml:space="preserve">Insurer Code ; Reporting Year ; Insurance Category Code ; Large Provider Entity Code ; Age Band Code ; Sex Code </v>
      </c>
      <c r="N4811" s="297" t="s">
        <v>197</v>
      </c>
      <c r="O4811" s="297" t="s">
        <v>198</v>
      </c>
      <c r="P4811" s="297" t="s">
        <v>199</v>
      </c>
      <c r="Q4811" s="297" t="s">
        <v>200</v>
      </c>
      <c r="R4811" s="297" t="s">
        <v>213</v>
      </c>
      <c r="S4811" s="297" t="s">
        <v>214</v>
      </c>
    </row>
    <row r="4812" spans="1:19" x14ac:dyDescent="0.4">
      <c r="A4812" s="291"/>
      <c r="B4812" s="292"/>
      <c r="C4812" s="312"/>
      <c r="D4812" s="292"/>
      <c r="E4812" s="489"/>
      <c r="F4812" s="489"/>
      <c r="G4812" s="490"/>
      <c r="H4812" s="520"/>
      <c r="I4812" s="523"/>
      <c r="J4812" s="521"/>
      <c r="K4812" s="522"/>
      <c r="M4812" s="301" t="str">
        <f>N4812&amp;AS[[#This Row],[Insurer Code]]&amp;"; "&amp;O4812&amp;AS[[#This Row],[Reporting Year]]&amp;"; "&amp;P4812&amp;AS[[#This Row],[Insurance Category Code]]&amp;"; "&amp;Q4812&amp;AS[[#This Row],[Large Provider Entity Code]]&amp;"; "&amp;R4812&amp;AS[[#This Row],[Age Band Code]]&amp;"; "&amp;S4812&amp;AS[[#This Row],[Sex Code]]</f>
        <v xml:space="preserve">Insurer Code ; Reporting Year ; Insurance Category Code ; Large Provider Entity Code ; Age Band Code ; Sex Code </v>
      </c>
      <c r="N4812" s="297" t="s">
        <v>197</v>
      </c>
      <c r="O4812" s="297" t="s">
        <v>198</v>
      </c>
      <c r="P4812" s="297" t="s">
        <v>199</v>
      </c>
      <c r="Q4812" s="297" t="s">
        <v>200</v>
      </c>
      <c r="R4812" s="297" t="s">
        <v>213</v>
      </c>
      <c r="S4812" s="297" t="s">
        <v>214</v>
      </c>
    </row>
    <row r="4813" spans="1:19" x14ac:dyDescent="0.4">
      <c r="A4813" s="291"/>
      <c r="B4813" s="292"/>
      <c r="C4813" s="312"/>
      <c r="D4813" s="292"/>
      <c r="E4813" s="489"/>
      <c r="F4813" s="489"/>
      <c r="G4813" s="490"/>
      <c r="H4813" s="520"/>
      <c r="I4813" s="523"/>
      <c r="J4813" s="521"/>
      <c r="K4813" s="522"/>
      <c r="M4813" s="301" t="str">
        <f>N4813&amp;AS[[#This Row],[Insurer Code]]&amp;"; "&amp;O4813&amp;AS[[#This Row],[Reporting Year]]&amp;"; "&amp;P4813&amp;AS[[#This Row],[Insurance Category Code]]&amp;"; "&amp;Q4813&amp;AS[[#This Row],[Large Provider Entity Code]]&amp;"; "&amp;R4813&amp;AS[[#This Row],[Age Band Code]]&amp;"; "&amp;S4813&amp;AS[[#This Row],[Sex Code]]</f>
        <v xml:space="preserve">Insurer Code ; Reporting Year ; Insurance Category Code ; Large Provider Entity Code ; Age Band Code ; Sex Code </v>
      </c>
      <c r="N4813" s="297" t="s">
        <v>197</v>
      </c>
      <c r="O4813" s="297" t="s">
        <v>198</v>
      </c>
      <c r="P4813" s="297" t="s">
        <v>199</v>
      </c>
      <c r="Q4813" s="297" t="s">
        <v>200</v>
      </c>
      <c r="R4813" s="297" t="s">
        <v>213</v>
      </c>
      <c r="S4813" s="297" t="s">
        <v>214</v>
      </c>
    </row>
    <row r="4814" spans="1:19" x14ac:dyDescent="0.4">
      <c r="A4814" s="291"/>
      <c r="B4814" s="292"/>
      <c r="C4814" s="312"/>
      <c r="D4814" s="292"/>
      <c r="E4814" s="489"/>
      <c r="F4814" s="489"/>
      <c r="G4814" s="490"/>
      <c r="H4814" s="520"/>
      <c r="I4814" s="523"/>
      <c r="J4814" s="521"/>
      <c r="K4814" s="522"/>
      <c r="M4814" s="301" t="str">
        <f>N4814&amp;AS[[#This Row],[Insurer Code]]&amp;"; "&amp;O4814&amp;AS[[#This Row],[Reporting Year]]&amp;"; "&amp;P4814&amp;AS[[#This Row],[Insurance Category Code]]&amp;"; "&amp;Q4814&amp;AS[[#This Row],[Large Provider Entity Code]]&amp;"; "&amp;R4814&amp;AS[[#This Row],[Age Band Code]]&amp;"; "&amp;S4814&amp;AS[[#This Row],[Sex Code]]</f>
        <v xml:space="preserve">Insurer Code ; Reporting Year ; Insurance Category Code ; Large Provider Entity Code ; Age Band Code ; Sex Code </v>
      </c>
      <c r="N4814" s="297" t="s">
        <v>197</v>
      </c>
      <c r="O4814" s="297" t="s">
        <v>198</v>
      </c>
      <c r="P4814" s="297" t="s">
        <v>199</v>
      </c>
      <c r="Q4814" s="297" t="s">
        <v>200</v>
      </c>
      <c r="R4814" s="297" t="s">
        <v>213</v>
      </c>
      <c r="S4814" s="297" t="s">
        <v>214</v>
      </c>
    </row>
    <row r="4815" spans="1:19" x14ac:dyDescent="0.4">
      <c r="A4815" s="291"/>
      <c r="B4815" s="292"/>
      <c r="C4815" s="312"/>
      <c r="D4815" s="292"/>
      <c r="E4815" s="489"/>
      <c r="F4815" s="489"/>
      <c r="G4815" s="490"/>
      <c r="H4815" s="520"/>
      <c r="I4815" s="523"/>
      <c r="J4815" s="521"/>
      <c r="K4815" s="522"/>
      <c r="M4815" s="301" t="str">
        <f>N4815&amp;AS[[#This Row],[Insurer Code]]&amp;"; "&amp;O4815&amp;AS[[#This Row],[Reporting Year]]&amp;"; "&amp;P4815&amp;AS[[#This Row],[Insurance Category Code]]&amp;"; "&amp;Q4815&amp;AS[[#This Row],[Large Provider Entity Code]]&amp;"; "&amp;R4815&amp;AS[[#This Row],[Age Band Code]]&amp;"; "&amp;S4815&amp;AS[[#This Row],[Sex Code]]</f>
        <v xml:space="preserve">Insurer Code ; Reporting Year ; Insurance Category Code ; Large Provider Entity Code ; Age Band Code ; Sex Code </v>
      </c>
      <c r="N4815" s="297" t="s">
        <v>197</v>
      </c>
      <c r="O4815" s="297" t="s">
        <v>198</v>
      </c>
      <c r="P4815" s="297" t="s">
        <v>199</v>
      </c>
      <c r="Q4815" s="297" t="s">
        <v>200</v>
      </c>
      <c r="R4815" s="297" t="s">
        <v>213</v>
      </c>
      <c r="S4815" s="297" t="s">
        <v>214</v>
      </c>
    </row>
    <row r="4816" spans="1:19" x14ac:dyDescent="0.4">
      <c r="A4816" s="291"/>
      <c r="B4816" s="292"/>
      <c r="C4816" s="312"/>
      <c r="D4816" s="292"/>
      <c r="E4816" s="489"/>
      <c r="F4816" s="489"/>
      <c r="G4816" s="490"/>
      <c r="H4816" s="520"/>
      <c r="I4816" s="523"/>
      <c r="J4816" s="521"/>
      <c r="K4816" s="522"/>
      <c r="M4816" s="301" t="str">
        <f>N4816&amp;AS[[#This Row],[Insurer Code]]&amp;"; "&amp;O4816&amp;AS[[#This Row],[Reporting Year]]&amp;"; "&amp;P4816&amp;AS[[#This Row],[Insurance Category Code]]&amp;"; "&amp;Q4816&amp;AS[[#This Row],[Large Provider Entity Code]]&amp;"; "&amp;R4816&amp;AS[[#This Row],[Age Band Code]]&amp;"; "&amp;S4816&amp;AS[[#This Row],[Sex Code]]</f>
        <v xml:space="preserve">Insurer Code ; Reporting Year ; Insurance Category Code ; Large Provider Entity Code ; Age Band Code ; Sex Code </v>
      </c>
      <c r="N4816" s="297" t="s">
        <v>197</v>
      </c>
      <c r="O4816" s="297" t="s">
        <v>198</v>
      </c>
      <c r="P4816" s="297" t="s">
        <v>199</v>
      </c>
      <c r="Q4816" s="297" t="s">
        <v>200</v>
      </c>
      <c r="R4816" s="297" t="s">
        <v>213</v>
      </c>
      <c r="S4816" s="297" t="s">
        <v>214</v>
      </c>
    </row>
    <row r="4817" spans="1:19" x14ac:dyDescent="0.4">
      <c r="A4817" s="291"/>
      <c r="B4817" s="292"/>
      <c r="C4817" s="312"/>
      <c r="D4817" s="292"/>
      <c r="E4817" s="489"/>
      <c r="F4817" s="489"/>
      <c r="G4817" s="490"/>
      <c r="H4817" s="520"/>
      <c r="I4817" s="523"/>
      <c r="J4817" s="521"/>
      <c r="K4817" s="522"/>
      <c r="M4817" s="301" t="str">
        <f>N4817&amp;AS[[#This Row],[Insurer Code]]&amp;"; "&amp;O4817&amp;AS[[#This Row],[Reporting Year]]&amp;"; "&amp;P4817&amp;AS[[#This Row],[Insurance Category Code]]&amp;"; "&amp;Q4817&amp;AS[[#This Row],[Large Provider Entity Code]]&amp;"; "&amp;R4817&amp;AS[[#This Row],[Age Band Code]]&amp;"; "&amp;S4817&amp;AS[[#This Row],[Sex Code]]</f>
        <v xml:space="preserve">Insurer Code ; Reporting Year ; Insurance Category Code ; Large Provider Entity Code ; Age Band Code ; Sex Code </v>
      </c>
      <c r="N4817" s="297" t="s">
        <v>197</v>
      </c>
      <c r="O4817" s="297" t="s">
        <v>198</v>
      </c>
      <c r="P4817" s="297" t="s">
        <v>199</v>
      </c>
      <c r="Q4817" s="297" t="s">
        <v>200</v>
      </c>
      <c r="R4817" s="297" t="s">
        <v>213</v>
      </c>
      <c r="S4817" s="297" t="s">
        <v>214</v>
      </c>
    </row>
    <row r="4818" spans="1:19" x14ac:dyDescent="0.4">
      <c r="A4818" s="291"/>
      <c r="B4818" s="292"/>
      <c r="C4818" s="312"/>
      <c r="D4818" s="292"/>
      <c r="E4818" s="489"/>
      <c r="F4818" s="489"/>
      <c r="G4818" s="490"/>
      <c r="H4818" s="520"/>
      <c r="I4818" s="523"/>
      <c r="J4818" s="521"/>
      <c r="K4818" s="522"/>
      <c r="M4818" s="301" t="str">
        <f>N4818&amp;AS[[#This Row],[Insurer Code]]&amp;"; "&amp;O4818&amp;AS[[#This Row],[Reporting Year]]&amp;"; "&amp;P4818&amp;AS[[#This Row],[Insurance Category Code]]&amp;"; "&amp;Q4818&amp;AS[[#This Row],[Large Provider Entity Code]]&amp;"; "&amp;R4818&amp;AS[[#This Row],[Age Band Code]]&amp;"; "&amp;S4818&amp;AS[[#This Row],[Sex Code]]</f>
        <v xml:space="preserve">Insurer Code ; Reporting Year ; Insurance Category Code ; Large Provider Entity Code ; Age Band Code ; Sex Code </v>
      </c>
      <c r="N4818" s="297" t="s">
        <v>197</v>
      </c>
      <c r="O4818" s="297" t="s">
        <v>198</v>
      </c>
      <c r="P4818" s="297" t="s">
        <v>199</v>
      </c>
      <c r="Q4818" s="297" t="s">
        <v>200</v>
      </c>
      <c r="R4818" s="297" t="s">
        <v>213</v>
      </c>
      <c r="S4818" s="297" t="s">
        <v>214</v>
      </c>
    </row>
    <row r="4819" spans="1:19" x14ac:dyDescent="0.4">
      <c r="A4819" s="291"/>
      <c r="B4819" s="292"/>
      <c r="C4819" s="312"/>
      <c r="D4819" s="292"/>
      <c r="E4819" s="489"/>
      <c r="F4819" s="489"/>
      <c r="G4819" s="490"/>
      <c r="H4819" s="520"/>
      <c r="I4819" s="523"/>
      <c r="J4819" s="521"/>
      <c r="K4819" s="522"/>
      <c r="M4819" s="301" t="str">
        <f>N4819&amp;AS[[#This Row],[Insurer Code]]&amp;"; "&amp;O4819&amp;AS[[#This Row],[Reporting Year]]&amp;"; "&amp;P4819&amp;AS[[#This Row],[Insurance Category Code]]&amp;"; "&amp;Q4819&amp;AS[[#This Row],[Large Provider Entity Code]]&amp;"; "&amp;R4819&amp;AS[[#This Row],[Age Band Code]]&amp;"; "&amp;S4819&amp;AS[[#This Row],[Sex Code]]</f>
        <v xml:space="preserve">Insurer Code ; Reporting Year ; Insurance Category Code ; Large Provider Entity Code ; Age Band Code ; Sex Code </v>
      </c>
      <c r="N4819" s="297" t="s">
        <v>197</v>
      </c>
      <c r="O4819" s="297" t="s">
        <v>198</v>
      </c>
      <c r="P4819" s="297" t="s">
        <v>199</v>
      </c>
      <c r="Q4819" s="297" t="s">
        <v>200</v>
      </c>
      <c r="R4819" s="297" t="s">
        <v>213</v>
      </c>
      <c r="S4819" s="297" t="s">
        <v>214</v>
      </c>
    </row>
    <row r="4820" spans="1:19" x14ac:dyDescent="0.4">
      <c r="A4820" s="291"/>
      <c r="B4820" s="292"/>
      <c r="C4820" s="312"/>
      <c r="D4820" s="292"/>
      <c r="E4820" s="489"/>
      <c r="F4820" s="489"/>
      <c r="G4820" s="490"/>
      <c r="H4820" s="520"/>
      <c r="I4820" s="523"/>
      <c r="J4820" s="521"/>
      <c r="K4820" s="522"/>
      <c r="M4820" s="301" t="str">
        <f>N4820&amp;AS[[#This Row],[Insurer Code]]&amp;"; "&amp;O4820&amp;AS[[#This Row],[Reporting Year]]&amp;"; "&amp;P4820&amp;AS[[#This Row],[Insurance Category Code]]&amp;"; "&amp;Q4820&amp;AS[[#This Row],[Large Provider Entity Code]]&amp;"; "&amp;R4820&amp;AS[[#This Row],[Age Band Code]]&amp;"; "&amp;S4820&amp;AS[[#This Row],[Sex Code]]</f>
        <v xml:space="preserve">Insurer Code ; Reporting Year ; Insurance Category Code ; Large Provider Entity Code ; Age Band Code ; Sex Code </v>
      </c>
      <c r="N4820" s="297" t="s">
        <v>197</v>
      </c>
      <c r="O4820" s="297" t="s">
        <v>198</v>
      </c>
      <c r="P4820" s="297" t="s">
        <v>199</v>
      </c>
      <c r="Q4820" s="297" t="s">
        <v>200</v>
      </c>
      <c r="R4820" s="297" t="s">
        <v>213</v>
      </c>
      <c r="S4820" s="297" t="s">
        <v>214</v>
      </c>
    </row>
    <row r="4821" spans="1:19" x14ac:dyDescent="0.4">
      <c r="A4821" s="291"/>
      <c r="B4821" s="292"/>
      <c r="C4821" s="312"/>
      <c r="D4821" s="292"/>
      <c r="E4821" s="489"/>
      <c r="F4821" s="489"/>
      <c r="G4821" s="490"/>
      <c r="H4821" s="520"/>
      <c r="I4821" s="523"/>
      <c r="J4821" s="521"/>
      <c r="K4821" s="522"/>
      <c r="M4821" s="301" t="str">
        <f>N4821&amp;AS[[#This Row],[Insurer Code]]&amp;"; "&amp;O4821&amp;AS[[#This Row],[Reporting Year]]&amp;"; "&amp;P4821&amp;AS[[#This Row],[Insurance Category Code]]&amp;"; "&amp;Q4821&amp;AS[[#This Row],[Large Provider Entity Code]]&amp;"; "&amp;R4821&amp;AS[[#This Row],[Age Band Code]]&amp;"; "&amp;S4821&amp;AS[[#This Row],[Sex Code]]</f>
        <v xml:space="preserve">Insurer Code ; Reporting Year ; Insurance Category Code ; Large Provider Entity Code ; Age Band Code ; Sex Code </v>
      </c>
      <c r="N4821" s="297" t="s">
        <v>197</v>
      </c>
      <c r="O4821" s="297" t="s">
        <v>198</v>
      </c>
      <c r="P4821" s="297" t="s">
        <v>199</v>
      </c>
      <c r="Q4821" s="297" t="s">
        <v>200</v>
      </c>
      <c r="R4821" s="297" t="s">
        <v>213</v>
      </c>
      <c r="S4821" s="297" t="s">
        <v>214</v>
      </c>
    </row>
    <row r="4822" spans="1:19" x14ac:dyDescent="0.4">
      <c r="A4822" s="291"/>
      <c r="B4822" s="292"/>
      <c r="C4822" s="312"/>
      <c r="D4822" s="292"/>
      <c r="E4822" s="489"/>
      <c r="F4822" s="489"/>
      <c r="G4822" s="490"/>
      <c r="H4822" s="520"/>
      <c r="I4822" s="523"/>
      <c r="J4822" s="521"/>
      <c r="K4822" s="522"/>
      <c r="M4822" s="301" t="str">
        <f>N4822&amp;AS[[#This Row],[Insurer Code]]&amp;"; "&amp;O4822&amp;AS[[#This Row],[Reporting Year]]&amp;"; "&amp;P4822&amp;AS[[#This Row],[Insurance Category Code]]&amp;"; "&amp;Q4822&amp;AS[[#This Row],[Large Provider Entity Code]]&amp;"; "&amp;R4822&amp;AS[[#This Row],[Age Band Code]]&amp;"; "&amp;S4822&amp;AS[[#This Row],[Sex Code]]</f>
        <v xml:space="preserve">Insurer Code ; Reporting Year ; Insurance Category Code ; Large Provider Entity Code ; Age Band Code ; Sex Code </v>
      </c>
      <c r="N4822" s="297" t="s">
        <v>197</v>
      </c>
      <c r="O4822" s="297" t="s">
        <v>198</v>
      </c>
      <c r="P4822" s="297" t="s">
        <v>199</v>
      </c>
      <c r="Q4822" s="297" t="s">
        <v>200</v>
      </c>
      <c r="R4822" s="297" t="s">
        <v>213</v>
      </c>
      <c r="S4822" s="297" t="s">
        <v>214</v>
      </c>
    </row>
    <row r="4823" spans="1:19" x14ac:dyDescent="0.4">
      <c r="A4823" s="291"/>
      <c r="B4823" s="292"/>
      <c r="C4823" s="312"/>
      <c r="D4823" s="292"/>
      <c r="E4823" s="489"/>
      <c r="F4823" s="489"/>
      <c r="G4823" s="490"/>
      <c r="H4823" s="520"/>
      <c r="I4823" s="523"/>
      <c r="J4823" s="521"/>
      <c r="K4823" s="522"/>
      <c r="M4823" s="301" t="str">
        <f>N4823&amp;AS[[#This Row],[Insurer Code]]&amp;"; "&amp;O4823&amp;AS[[#This Row],[Reporting Year]]&amp;"; "&amp;P4823&amp;AS[[#This Row],[Insurance Category Code]]&amp;"; "&amp;Q4823&amp;AS[[#This Row],[Large Provider Entity Code]]&amp;"; "&amp;R4823&amp;AS[[#This Row],[Age Band Code]]&amp;"; "&amp;S4823&amp;AS[[#This Row],[Sex Code]]</f>
        <v xml:space="preserve">Insurer Code ; Reporting Year ; Insurance Category Code ; Large Provider Entity Code ; Age Band Code ; Sex Code </v>
      </c>
      <c r="N4823" s="297" t="s">
        <v>197</v>
      </c>
      <c r="O4823" s="297" t="s">
        <v>198</v>
      </c>
      <c r="P4823" s="297" t="s">
        <v>199</v>
      </c>
      <c r="Q4823" s="297" t="s">
        <v>200</v>
      </c>
      <c r="R4823" s="297" t="s">
        <v>213</v>
      </c>
      <c r="S4823" s="297" t="s">
        <v>214</v>
      </c>
    </row>
    <row r="4824" spans="1:19" x14ac:dyDescent="0.4">
      <c r="A4824" s="291"/>
      <c r="B4824" s="292"/>
      <c r="C4824" s="312"/>
      <c r="D4824" s="292"/>
      <c r="E4824" s="489"/>
      <c r="F4824" s="489"/>
      <c r="G4824" s="490"/>
      <c r="H4824" s="520"/>
      <c r="I4824" s="523"/>
      <c r="J4824" s="521"/>
      <c r="K4824" s="522"/>
      <c r="M4824" s="301" t="str">
        <f>N4824&amp;AS[[#This Row],[Insurer Code]]&amp;"; "&amp;O4824&amp;AS[[#This Row],[Reporting Year]]&amp;"; "&amp;P4824&amp;AS[[#This Row],[Insurance Category Code]]&amp;"; "&amp;Q4824&amp;AS[[#This Row],[Large Provider Entity Code]]&amp;"; "&amp;R4824&amp;AS[[#This Row],[Age Band Code]]&amp;"; "&amp;S4824&amp;AS[[#This Row],[Sex Code]]</f>
        <v xml:space="preserve">Insurer Code ; Reporting Year ; Insurance Category Code ; Large Provider Entity Code ; Age Band Code ; Sex Code </v>
      </c>
      <c r="N4824" s="297" t="s">
        <v>197</v>
      </c>
      <c r="O4824" s="297" t="s">
        <v>198</v>
      </c>
      <c r="P4824" s="297" t="s">
        <v>199</v>
      </c>
      <c r="Q4824" s="297" t="s">
        <v>200</v>
      </c>
      <c r="R4824" s="297" t="s">
        <v>213</v>
      </c>
      <c r="S4824" s="297" t="s">
        <v>214</v>
      </c>
    </row>
    <row r="4825" spans="1:19" x14ac:dyDescent="0.4">
      <c r="A4825" s="291"/>
      <c r="B4825" s="292"/>
      <c r="C4825" s="312"/>
      <c r="D4825" s="292"/>
      <c r="E4825" s="489"/>
      <c r="F4825" s="489"/>
      <c r="G4825" s="490"/>
      <c r="H4825" s="520"/>
      <c r="I4825" s="523"/>
      <c r="J4825" s="521"/>
      <c r="K4825" s="522"/>
      <c r="M4825" s="301" t="str">
        <f>N4825&amp;AS[[#This Row],[Insurer Code]]&amp;"; "&amp;O4825&amp;AS[[#This Row],[Reporting Year]]&amp;"; "&amp;P4825&amp;AS[[#This Row],[Insurance Category Code]]&amp;"; "&amp;Q4825&amp;AS[[#This Row],[Large Provider Entity Code]]&amp;"; "&amp;R4825&amp;AS[[#This Row],[Age Band Code]]&amp;"; "&amp;S4825&amp;AS[[#This Row],[Sex Code]]</f>
        <v xml:space="preserve">Insurer Code ; Reporting Year ; Insurance Category Code ; Large Provider Entity Code ; Age Band Code ; Sex Code </v>
      </c>
      <c r="N4825" s="297" t="s">
        <v>197</v>
      </c>
      <c r="O4825" s="297" t="s">
        <v>198</v>
      </c>
      <c r="P4825" s="297" t="s">
        <v>199</v>
      </c>
      <c r="Q4825" s="297" t="s">
        <v>200</v>
      </c>
      <c r="R4825" s="297" t="s">
        <v>213</v>
      </c>
      <c r="S4825" s="297" t="s">
        <v>214</v>
      </c>
    </row>
    <row r="4826" spans="1:19" x14ac:dyDescent="0.4">
      <c r="A4826" s="291"/>
      <c r="B4826" s="292"/>
      <c r="C4826" s="312"/>
      <c r="D4826" s="292"/>
      <c r="E4826" s="489"/>
      <c r="F4826" s="489"/>
      <c r="G4826" s="490"/>
      <c r="H4826" s="520"/>
      <c r="I4826" s="523"/>
      <c r="J4826" s="521"/>
      <c r="K4826" s="522"/>
      <c r="M4826" s="301" t="str">
        <f>N4826&amp;AS[[#This Row],[Insurer Code]]&amp;"; "&amp;O4826&amp;AS[[#This Row],[Reporting Year]]&amp;"; "&amp;P4826&amp;AS[[#This Row],[Insurance Category Code]]&amp;"; "&amp;Q4826&amp;AS[[#This Row],[Large Provider Entity Code]]&amp;"; "&amp;R4826&amp;AS[[#This Row],[Age Band Code]]&amp;"; "&amp;S4826&amp;AS[[#This Row],[Sex Code]]</f>
        <v xml:space="preserve">Insurer Code ; Reporting Year ; Insurance Category Code ; Large Provider Entity Code ; Age Band Code ; Sex Code </v>
      </c>
      <c r="N4826" s="297" t="s">
        <v>197</v>
      </c>
      <c r="O4826" s="297" t="s">
        <v>198</v>
      </c>
      <c r="P4826" s="297" t="s">
        <v>199</v>
      </c>
      <c r="Q4826" s="297" t="s">
        <v>200</v>
      </c>
      <c r="R4826" s="297" t="s">
        <v>213</v>
      </c>
      <c r="S4826" s="297" t="s">
        <v>214</v>
      </c>
    </row>
    <row r="4827" spans="1:19" x14ac:dyDescent="0.4">
      <c r="A4827" s="291"/>
      <c r="B4827" s="292"/>
      <c r="C4827" s="312"/>
      <c r="D4827" s="292"/>
      <c r="E4827" s="489"/>
      <c r="F4827" s="489"/>
      <c r="G4827" s="490"/>
      <c r="H4827" s="520"/>
      <c r="I4827" s="523"/>
      <c r="J4827" s="521"/>
      <c r="K4827" s="522"/>
      <c r="M4827" s="301" t="str">
        <f>N4827&amp;AS[[#This Row],[Insurer Code]]&amp;"; "&amp;O4827&amp;AS[[#This Row],[Reporting Year]]&amp;"; "&amp;P4827&amp;AS[[#This Row],[Insurance Category Code]]&amp;"; "&amp;Q4827&amp;AS[[#This Row],[Large Provider Entity Code]]&amp;"; "&amp;R4827&amp;AS[[#This Row],[Age Band Code]]&amp;"; "&amp;S4827&amp;AS[[#This Row],[Sex Code]]</f>
        <v xml:space="preserve">Insurer Code ; Reporting Year ; Insurance Category Code ; Large Provider Entity Code ; Age Band Code ; Sex Code </v>
      </c>
      <c r="N4827" s="297" t="s">
        <v>197</v>
      </c>
      <c r="O4827" s="297" t="s">
        <v>198</v>
      </c>
      <c r="P4827" s="297" t="s">
        <v>199</v>
      </c>
      <c r="Q4827" s="297" t="s">
        <v>200</v>
      </c>
      <c r="R4827" s="297" t="s">
        <v>213</v>
      </c>
      <c r="S4827" s="297" t="s">
        <v>214</v>
      </c>
    </row>
    <row r="4828" spans="1:19" x14ac:dyDescent="0.4">
      <c r="A4828" s="291"/>
      <c r="B4828" s="292"/>
      <c r="C4828" s="312"/>
      <c r="D4828" s="292"/>
      <c r="E4828" s="489"/>
      <c r="F4828" s="489"/>
      <c r="G4828" s="490"/>
      <c r="H4828" s="520"/>
      <c r="I4828" s="523"/>
      <c r="J4828" s="521"/>
      <c r="K4828" s="522"/>
      <c r="M4828" s="301" t="str">
        <f>N4828&amp;AS[[#This Row],[Insurer Code]]&amp;"; "&amp;O4828&amp;AS[[#This Row],[Reporting Year]]&amp;"; "&amp;P4828&amp;AS[[#This Row],[Insurance Category Code]]&amp;"; "&amp;Q4828&amp;AS[[#This Row],[Large Provider Entity Code]]&amp;"; "&amp;R4828&amp;AS[[#This Row],[Age Band Code]]&amp;"; "&amp;S4828&amp;AS[[#This Row],[Sex Code]]</f>
        <v xml:space="preserve">Insurer Code ; Reporting Year ; Insurance Category Code ; Large Provider Entity Code ; Age Band Code ; Sex Code </v>
      </c>
      <c r="N4828" s="297" t="s">
        <v>197</v>
      </c>
      <c r="O4828" s="297" t="s">
        <v>198</v>
      </c>
      <c r="P4828" s="297" t="s">
        <v>199</v>
      </c>
      <c r="Q4828" s="297" t="s">
        <v>200</v>
      </c>
      <c r="R4828" s="297" t="s">
        <v>213</v>
      </c>
      <c r="S4828" s="297" t="s">
        <v>214</v>
      </c>
    </row>
    <row r="4829" spans="1:19" x14ac:dyDescent="0.4">
      <c r="A4829" s="291"/>
      <c r="B4829" s="292"/>
      <c r="C4829" s="312"/>
      <c r="D4829" s="292"/>
      <c r="E4829" s="489"/>
      <c r="F4829" s="489"/>
      <c r="G4829" s="490"/>
      <c r="H4829" s="520"/>
      <c r="I4829" s="523"/>
      <c r="J4829" s="521"/>
      <c r="K4829" s="522"/>
      <c r="M4829" s="301" t="str">
        <f>N4829&amp;AS[[#This Row],[Insurer Code]]&amp;"; "&amp;O4829&amp;AS[[#This Row],[Reporting Year]]&amp;"; "&amp;P4829&amp;AS[[#This Row],[Insurance Category Code]]&amp;"; "&amp;Q4829&amp;AS[[#This Row],[Large Provider Entity Code]]&amp;"; "&amp;R4829&amp;AS[[#This Row],[Age Band Code]]&amp;"; "&amp;S4829&amp;AS[[#This Row],[Sex Code]]</f>
        <v xml:space="preserve">Insurer Code ; Reporting Year ; Insurance Category Code ; Large Provider Entity Code ; Age Band Code ; Sex Code </v>
      </c>
      <c r="N4829" s="297" t="s">
        <v>197</v>
      </c>
      <c r="O4829" s="297" t="s">
        <v>198</v>
      </c>
      <c r="P4829" s="297" t="s">
        <v>199</v>
      </c>
      <c r="Q4829" s="297" t="s">
        <v>200</v>
      </c>
      <c r="R4829" s="297" t="s">
        <v>213</v>
      </c>
      <c r="S4829" s="297" t="s">
        <v>214</v>
      </c>
    </row>
    <row r="4830" spans="1:19" x14ac:dyDescent="0.4">
      <c r="A4830" s="291"/>
      <c r="B4830" s="292"/>
      <c r="C4830" s="312"/>
      <c r="D4830" s="292"/>
      <c r="E4830" s="489"/>
      <c r="F4830" s="489"/>
      <c r="G4830" s="490"/>
      <c r="H4830" s="520"/>
      <c r="I4830" s="523"/>
      <c r="J4830" s="521"/>
      <c r="K4830" s="522"/>
      <c r="M4830" s="301" t="str">
        <f>N4830&amp;AS[[#This Row],[Insurer Code]]&amp;"; "&amp;O4830&amp;AS[[#This Row],[Reporting Year]]&amp;"; "&amp;P4830&amp;AS[[#This Row],[Insurance Category Code]]&amp;"; "&amp;Q4830&amp;AS[[#This Row],[Large Provider Entity Code]]&amp;"; "&amp;R4830&amp;AS[[#This Row],[Age Band Code]]&amp;"; "&amp;S4830&amp;AS[[#This Row],[Sex Code]]</f>
        <v xml:space="preserve">Insurer Code ; Reporting Year ; Insurance Category Code ; Large Provider Entity Code ; Age Band Code ; Sex Code </v>
      </c>
      <c r="N4830" s="297" t="s">
        <v>197</v>
      </c>
      <c r="O4830" s="297" t="s">
        <v>198</v>
      </c>
      <c r="P4830" s="297" t="s">
        <v>199</v>
      </c>
      <c r="Q4830" s="297" t="s">
        <v>200</v>
      </c>
      <c r="R4830" s="297" t="s">
        <v>213</v>
      </c>
      <c r="S4830" s="297" t="s">
        <v>214</v>
      </c>
    </row>
    <row r="4831" spans="1:19" x14ac:dyDescent="0.4">
      <c r="A4831" s="291"/>
      <c r="B4831" s="292"/>
      <c r="C4831" s="312"/>
      <c r="D4831" s="292"/>
      <c r="E4831" s="489"/>
      <c r="F4831" s="489"/>
      <c r="G4831" s="490"/>
      <c r="H4831" s="520"/>
      <c r="I4831" s="523"/>
      <c r="J4831" s="521"/>
      <c r="K4831" s="522"/>
      <c r="M4831" s="301" t="str">
        <f>N4831&amp;AS[[#This Row],[Insurer Code]]&amp;"; "&amp;O4831&amp;AS[[#This Row],[Reporting Year]]&amp;"; "&amp;P4831&amp;AS[[#This Row],[Insurance Category Code]]&amp;"; "&amp;Q4831&amp;AS[[#This Row],[Large Provider Entity Code]]&amp;"; "&amp;R4831&amp;AS[[#This Row],[Age Band Code]]&amp;"; "&amp;S4831&amp;AS[[#This Row],[Sex Code]]</f>
        <v xml:space="preserve">Insurer Code ; Reporting Year ; Insurance Category Code ; Large Provider Entity Code ; Age Band Code ; Sex Code </v>
      </c>
      <c r="N4831" s="297" t="s">
        <v>197</v>
      </c>
      <c r="O4831" s="297" t="s">
        <v>198</v>
      </c>
      <c r="P4831" s="297" t="s">
        <v>199</v>
      </c>
      <c r="Q4831" s="297" t="s">
        <v>200</v>
      </c>
      <c r="R4831" s="297" t="s">
        <v>213</v>
      </c>
      <c r="S4831" s="297" t="s">
        <v>214</v>
      </c>
    </row>
    <row r="4832" spans="1:19" x14ac:dyDescent="0.4">
      <c r="A4832" s="291"/>
      <c r="B4832" s="292"/>
      <c r="C4832" s="312"/>
      <c r="D4832" s="292"/>
      <c r="E4832" s="489"/>
      <c r="F4832" s="489"/>
      <c r="G4832" s="490"/>
      <c r="H4832" s="520"/>
      <c r="I4832" s="523"/>
      <c r="J4832" s="521"/>
      <c r="K4832" s="522"/>
      <c r="M4832" s="301" t="str">
        <f>N4832&amp;AS[[#This Row],[Insurer Code]]&amp;"; "&amp;O4832&amp;AS[[#This Row],[Reporting Year]]&amp;"; "&amp;P4832&amp;AS[[#This Row],[Insurance Category Code]]&amp;"; "&amp;Q4832&amp;AS[[#This Row],[Large Provider Entity Code]]&amp;"; "&amp;R4832&amp;AS[[#This Row],[Age Band Code]]&amp;"; "&amp;S4832&amp;AS[[#This Row],[Sex Code]]</f>
        <v xml:space="preserve">Insurer Code ; Reporting Year ; Insurance Category Code ; Large Provider Entity Code ; Age Band Code ; Sex Code </v>
      </c>
      <c r="N4832" s="297" t="s">
        <v>197</v>
      </c>
      <c r="O4832" s="297" t="s">
        <v>198</v>
      </c>
      <c r="P4832" s="297" t="s">
        <v>199</v>
      </c>
      <c r="Q4832" s="297" t="s">
        <v>200</v>
      </c>
      <c r="R4832" s="297" t="s">
        <v>213</v>
      </c>
      <c r="S4832" s="297" t="s">
        <v>214</v>
      </c>
    </row>
    <row r="4833" spans="1:19" x14ac:dyDescent="0.4">
      <c r="A4833" s="291"/>
      <c r="B4833" s="292"/>
      <c r="C4833" s="312"/>
      <c r="D4833" s="292"/>
      <c r="E4833" s="489"/>
      <c r="F4833" s="489"/>
      <c r="G4833" s="490"/>
      <c r="H4833" s="520"/>
      <c r="I4833" s="523"/>
      <c r="J4833" s="521"/>
      <c r="K4833" s="522"/>
      <c r="M4833" s="301" t="str">
        <f>N4833&amp;AS[[#This Row],[Insurer Code]]&amp;"; "&amp;O4833&amp;AS[[#This Row],[Reporting Year]]&amp;"; "&amp;P4833&amp;AS[[#This Row],[Insurance Category Code]]&amp;"; "&amp;Q4833&amp;AS[[#This Row],[Large Provider Entity Code]]&amp;"; "&amp;R4833&amp;AS[[#This Row],[Age Band Code]]&amp;"; "&amp;S4833&amp;AS[[#This Row],[Sex Code]]</f>
        <v xml:space="preserve">Insurer Code ; Reporting Year ; Insurance Category Code ; Large Provider Entity Code ; Age Band Code ; Sex Code </v>
      </c>
      <c r="N4833" s="297" t="s">
        <v>197</v>
      </c>
      <c r="O4833" s="297" t="s">
        <v>198</v>
      </c>
      <c r="P4833" s="297" t="s">
        <v>199</v>
      </c>
      <c r="Q4833" s="297" t="s">
        <v>200</v>
      </c>
      <c r="R4833" s="297" t="s">
        <v>213</v>
      </c>
      <c r="S4833" s="297" t="s">
        <v>214</v>
      </c>
    </row>
    <row r="4834" spans="1:19" x14ac:dyDescent="0.4">
      <c r="A4834" s="291"/>
      <c r="B4834" s="292"/>
      <c r="C4834" s="312"/>
      <c r="D4834" s="292"/>
      <c r="E4834" s="489"/>
      <c r="F4834" s="489"/>
      <c r="G4834" s="490"/>
      <c r="H4834" s="520"/>
      <c r="I4834" s="523"/>
      <c r="J4834" s="521"/>
      <c r="K4834" s="522"/>
      <c r="M4834" s="301" t="str">
        <f>N4834&amp;AS[[#This Row],[Insurer Code]]&amp;"; "&amp;O4834&amp;AS[[#This Row],[Reporting Year]]&amp;"; "&amp;P4834&amp;AS[[#This Row],[Insurance Category Code]]&amp;"; "&amp;Q4834&amp;AS[[#This Row],[Large Provider Entity Code]]&amp;"; "&amp;R4834&amp;AS[[#This Row],[Age Band Code]]&amp;"; "&amp;S4834&amp;AS[[#This Row],[Sex Code]]</f>
        <v xml:space="preserve">Insurer Code ; Reporting Year ; Insurance Category Code ; Large Provider Entity Code ; Age Band Code ; Sex Code </v>
      </c>
      <c r="N4834" s="297" t="s">
        <v>197</v>
      </c>
      <c r="O4834" s="297" t="s">
        <v>198</v>
      </c>
      <c r="P4834" s="297" t="s">
        <v>199</v>
      </c>
      <c r="Q4834" s="297" t="s">
        <v>200</v>
      </c>
      <c r="R4834" s="297" t="s">
        <v>213</v>
      </c>
      <c r="S4834" s="297" t="s">
        <v>214</v>
      </c>
    </row>
    <row r="4835" spans="1:19" x14ac:dyDescent="0.4">
      <c r="A4835" s="291"/>
      <c r="B4835" s="292"/>
      <c r="C4835" s="312"/>
      <c r="D4835" s="292"/>
      <c r="E4835" s="489"/>
      <c r="F4835" s="489"/>
      <c r="G4835" s="490"/>
      <c r="H4835" s="520"/>
      <c r="I4835" s="523"/>
      <c r="J4835" s="521"/>
      <c r="K4835" s="522"/>
      <c r="M4835" s="301" t="str">
        <f>N4835&amp;AS[[#This Row],[Insurer Code]]&amp;"; "&amp;O4835&amp;AS[[#This Row],[Reporting Year]]&amp;"; "&amp;P4835&amp;AS[[#This Row],[Insurance Category Code]]&amp;"; "&amp;Q4835&amp;AS[[#This Row],[Large Provider Entity Code]]&amp;"; "&amp;R4835&amp;AS[[#This Row],[Age Band Code]]&amp;"; "&amp;S4835&amp;AS[[#This Row],[Sex Code]]</f>
        <v xml:space="preserve">Insurer Code ; Reporting Year ; Insurance Category Code ; Large Provider Entity Code ; Age Band Code ; Sex Code </v>
      </c>
      <c r="N4835" s="297" t="s">
        <v>197</v>
      </c>
      <c r="O4835" s="297" t="s">
        <v>198</v>
      </c>
      <c r="P4835" s="297" t="s">
        <v>199</v>
      </c>
      <c r="Q4835" s="297" t="s">
        <v>200</v>
      </c>
      <c r="R4835" s="297" t="s">
        <v>213</v>
      </c>
      <c r="S4835" s="297" t="s">
        <v>214</v>
      </c>
    </row>
    <row r="4836" spans="1:19" x14ac:dyDescent="0.4">
      <c r="A4836" s="291"/>
      <c r="B4836" s="292"/>
      <c r="C4836" s="312"/>
      <c r="D4836" s="292"/>
      <c r="E4836" s="489"/>
      <c r="F4836" s="489"/>
      <c r="G4836" s="490"/>
      <c r="H4836" s="520"/>
      <c r="I4836" s="523"/>
      <c r="J4836" s="521"/>
      <c r="K4836" s="522"/>
      <c r="M4836" s="301" t="str">
        <f>N4836&amp;AS[[#This Row],[Insurer Code]]&amp;"; "&amp;O4836&amp;AS[[#This Row],[Reporting Year]]&amp;"; "&amp;P4836&amp;AS[[#This Row],[Insurance Category Code]]&amp;"; "&amp;Q4836&amp;AS[[#This Row],[Large Provider Entity Code]]&amp;"; "&amp;R4836&amp;AS[[#This Row],[Age Band Code]]&amp;"; "&amp;S4836&amp;AS[[#This Row],[Sex Code]]</f>
        <v xml:space="preserve">Insurer Code ; Reporting Year ; Insurance Category Code ; Large Provider Entity Code ; Age Band Code ; Sex Code </v>
      </c>
      <c r="N4836" s="297" t="s">
        <v>197</v>
      </c>
      <c r="O4836" s="297" t="s">
        <v>198</v>
      </c>
      <c r="P4836" s="297" t="s">
        <v>199</v>
      </c>
      <c r="Q4836" s="297" t="s">
        <v>200</v>
      </c>
      <c r="R4836" s="297" t="s">
        <v>213</v>
      </c>
      <c r="S4836" s="297" t="s">
        <v>214</v>
      </c>
    </row>
    <row r="4837" spans="1:19" x14ac:dyDescent="0.4">
      <c r="A4837" s="291"/>
      <c r="B4837" s="292"/>
      <c r="C4837" s="312"/>
      <c r="D4837" s="292"/>
      <c r="E4837" s="489"/>
      <c r="F4837" s="489"/>
      <c r="G4837" s="490"/>
      <c r="H4837" s="520"/>
      <c r="I4837" s="523"/>
      <c r="J4837" s="521"/>
      <c r="K4837" s="522"/>
      <c r="M4837" s="301" t="str">
        <f>N4837&amp;AS[[#This Row],[Insurer Code]]&amp;"; "&amp;O4837&amp;AS[[#This Row],[Reporting Year]]&amp;"; "&amp;P4837&amp;AS[[#This Row],[Insurance Category Code]]&amp;"; "&amp;Q4837&amp;AS[[#This Row],[Large Provider Entity Code]]&amp;"; "&amp;R4837&amp;AS[[#This Row],[Age Band Code]]&amp;"; "&amp;S4837&amp;AS[[#This Row],[Sex Code]]</f>
        <v xml:space="preserve">Insurer Code ; Reporting Year ; Insurance Category Code ; Large Provider Entity Code ; Age Band Code ; Sex Code </v>
      </c>
      <c r="N4837" s="297" t="s">
        <v>197</v>
      </c>
      <c r="O4837" s="297" t="s">
        <v>198</v>
      </c>
      <c r="P4837" s="297" t="s">
        <v>199</v>
      </c>
      <c r="Q4837" s="297" t="s">
        <v>200</v>
      </c>
      <c r="R4837" s="297" t="s">
        <v>213</v>
      </c>
      <c r="S4837" s="297" t="s">
        <v>214</v>
      </c>
    </row>
    <row r="4838" spans="1:19" x14ac:dyDescent="0.4">
      <c r="A4838" s="291"/>
      <c r="B4838" s="292"/>
      <c r="C4838" s="312"/>
      <c r="D4838" s="292"/>
      <c r="E4838" s="489"/>
      <c r="F4838" s="489"/>
      <c r="G4838" s="490"/>
      <c r="H4838" s="520"/>
      <c r="I4838" s="523"/>
      <c r="J4838" s="521"/>
      <c r="K4838" s="522"/>
      <c r="M4838" s="301" t="str">
        <f>N4838&amp;AS[[#This Row],[Insurer Code]]&amp;"; "&amp;O4838&amp;AS[[#This Row],[Reporting Year]]&amp;"; "&amp;P4838&amp;AS[[#This Row],[Insurance Category Code]]&amp;"; "&amp;Q4838&amp;AS[[#This Row],[Large Provider Entity Code]]&amp;"; "&amp;R4838&amp;AS[[#This Row],[Age Band Code]]&amp;"; "&amp;S4838&amp;AS[[#This Row],[Sex Code]]</f>
        <v xml:space="preserve">Insurer Code ; Reporting Year ; Insurance Category Code ; Large Provider Entity Code ; Age Band Code ; Sex Code </v>
      </c>
      <c r="N4838" s="297" t="s">
        <v>197</v>
      </c>
      <c r="O4838" s="297" t="s">
        <v>198</v>
      </c>
      <c r="P4838" s="297" t="s">
        <v>199</v>
      </c>
      <c r="Q4838" s="297" t="s">
        <v>200</v>
      </c>
      <c r="R4838" s="297" t="s">
        <v>213</v>
      </c>
      <c r="S4838" s="297" t="s">
        <v>214</v>
      </c>
    </row>
    <row r="4839" spans="1:19" x14ac:dyDescent="0.4">
      <c r="A4839" s="291"/>
      <c r="B4839" s="292"/>
      <c r="C4839" s="312"/>
      <c r="D4839" s="292"/>
      <c r="E4839" s="489"/>
      <c r="F4839" s="489"/>
      <c r="G4839" s="490"/>
      <c r="H4839" s="520"/>
      <c r="I4839" s="523"/>
      <c r="J4839" s="521"/>
      <c r="K4839" s="522"/>
      <c r="M4839" s="301" t="str">
        <f>N4839&amp;AS[[#This Row],[Insurer Code]]&amp;"; "&amp;O4839&amp;AS[[#This Row],[Reporting Year]]&amp;"; "&amp;P4839&amp;AS[[#This Row],[Insurance Category Code]]&amp;"; "&amp;Q4839&amp;AS[[#This Row],[Large Provider Entity Code]]&amp;"; "&amp;R4839&amp;AS[[#This Row],[Age Band Code]]&amp;"; "&amp;S4839&amp;AS[[#This Row],[Sex Code]]</f>
        <v xml:space="preserve">Insurer Code ; Reporting Year ; Insurance Category Code ; Large Provider Entity Code ; Age Band Code ; Sex Code </v>
      </c>
      <c r="N4839" s="297" t="s">
        <v>197</v>
      </c>
      <c r="O4839" s="297" t="s">
        <v>198</v>
      </c>
      <c r="P4839" s="297" t="s">
        <v>199</v>
      </c>
      <c r="Q4839" s="297" t="s">
        <v>200</v>
      </c>
      <c r="R4839" s="297" t="s">
        <v>213</v>
      </c>
      <c r="S4839" s="297" t="s">
        <v>214</v>
      </c>
    </row>
    <row r="4840" spans="1:19" x14ac:dyDescent="0.4">
      <c r="A4840" s="291"/>
      <c r="B4840" s="292"/>
      <c r="C4840" s="312"/>
      <c r="D4840" s="292"/>
      <c r="E4840" s="489"/>
      <c r="F4840" s="489"/>
      <c r="G4840" s="490"/>
      <c r="H4840" s="520"/>
      <c r="I4840" s="523"/>
      <c r="J4840" s="521"/>
      <c r="K4840" s="522"/>
      <c r="M4840" s="301" t="str">
        <f>N4840&amp;AS[[#This Row],[Insurer Code]]&amp;"; "&amp;O4840&amp;AS[[#This Row],[Reporting Year]]&amp;"; "&amp;P4840&amp;AS[[#This Row],[Insurance Category Code]]&amp;"; "&amp;Q4840&amp;AS[[#This Row],[Large Provider Entity Code]]&amp;"; "&amp;R4840&amp;AS[[#This Row],[Age Band Code]]&amp;"; "&amp;S4840&amp;AS[[#This Row],[Sex Code]]</f>
        <v xml:space="preserve">Insurer Code ; Reporting Year ; Insurance Category Code ; Large Provider Entity Code ; Age Band Code ; Sex Code </v>
      </c>
      <c r="N4840" s="297" t="s">
        <v>197</v>
      </c>
      <c r="O4840" s="297" t="s">
        <v>198</v>
      </c>
      <c r="P4840" s="297" t="s">
        <v>199</v>
      </c>
      <c r="Q4840" s="297" t="s">
        <v>200</v>
      </c>
      <c r="R4840" s="297" t="s">
        <v>213</v>
      </c>
      <c r="S4840" s="297" t="s">
        <v>214</v>
      </c>
    </row>
    <row r="4841" spans="1:19" x14ac:dyDescent="0.4">
      <c r="A4841" s="291"/>
      <c r="B4841" s="292"/>
      <c r="C4841" s="312"/>
      <c r="D4841" s="292"/>
      <c r="E4841" s="489"/>
      <c r="F4841" s="489"/>
      <c r="G4841" s="490"/>
      <c r="H4841" s="520"/>
      <c r="I4841" s="523"/>
      <c r="J4841" s="521"/>
      <c r="K4841" s="522"/>
      <c r="M4841" s="301" t="str">
        <f>N4841&amp;AS[[#This Row],[Insurer Code]]&amp;"; "&amp;O4841&amp;AS[[#This Row],[Reporting Year]]&amp;"; "&amp;P4841&amp;AS[[#This Row],[Insurance Category Code]]&amp;"; "&amp;Q4841&amp;AS[[#This Row],[Large Provider Entity Code]]&amp;"; "&amp;R4841&amp;AS[[#This Row],[Age Band Code]]&amp;"; "&amp;S4841&amp;AS[[#This Row],[Sex Code]]</f>
        <v xml:space="preserve">Insurer Code ; Reporting Year ; Insurance Category Code ; Large Provider Entity Code ; Age Band Code ; Sex Code </v>
      </c>
      <c r="N4841" s="297" t="s">
        <v>197</v>
      </c>
      <c r="O4841" s="297" t="s">
        <v>198</v>
      </c>
      <c r="P4841" s="297" t="s">
        <v>199</v>
      </c>
      <c r="Q4841" s="297" t="s">
        <v>200</v>
      </c>
      <c r="R4841" s="297" t="s">
        <v>213</v>
      </c>
      <c r="S4841" s="297" t="s">
        <v>214</v>
      </c>
    </row>
    <row r="4842" spans="1:19" x14ac:dyDescent="0.4">
      <c r="A4842" s="291"/>
      <c r="B4842" s="292"/>
      <c r="C4842" s="312"/>
      <c r="D4842" s="292"/>
      <c r="E4842" s="489"/>
      <c r="F4842" s="489"/>
      <c r="G4842" s="490"/>
      <c r="H4842" s="520"/>
      <c r="I4842" s="523"/>
      <c r="J4842" s="521"/>
      <c r="K4842" s="522"/>
      <c r="M4842" s="301" t="str">
        <f>N4842&amp;AS[[#This Row],[Insurer Code]]&amp;"; "&amp;O4842&amp;AS[[#This Row],[Reporting Year]]&amp;"; "&amp;P4842&amp;AS[[#This Row],[Insurance Category Code]]&amp;"; "&amp;Q4842&amp;AS[[#This Row],[Large Provider Entity Code]]&amp;"; "&amp;R4842&amp;AS[[#This Row],[Age Band Code]]&amp;"; "&amp;S4842&amp;AS[[#This Row],[Sex Code]]</f>
        <v xml:space="preserve">Insurer Code ; Reporting Year ; Insurance Category Code ; Large Provider Entity Code ; Age Band Code ; Sex Code </v>
      </c>
      <c r="N4842" s="297" t="s">
        <v>197</v>
      </c>
      <c r="O4842" s="297" t="s">
        <v>198</v>
      </c>
      <c r="P4842" s="297" t="s">
        <v>199</v>
      </c>
      <c r="Q4842" s="297" t="s">
        <v>200</v>
      </c>
      <c r="R4842" s="297" t="s">
        <v>213</v>
      </c>
      <c r="S4842" s="297" t="s">
        <v>214</v>
      </c>
    </row>
    <row r="4843" spans="1:19" x14ac:dyDescent="0.4">
      <c r="A4843" s="291"/>
      <c r="B4843" s="292"/>
      <c r="C4843" s="312"/>
      <c r="D4843" s="292"/>
      <c r="E4843" s="489"/>
      <c r="F4843" s="489"/>
      <c r="G4843" s="490"/>
      <c r="H4843" s="520"/>
      <c r="I4843" s="523"/>
      <c r="J4843" s="521"/>
      <c r="K4843" s="522"/>
      <c r="M4843" s="301" t="str">
        <f>N4843&amp;AS[[#This Row],[Insurer Code]]&amp;"; "&amp;O4843&amp;AS[[#This Row],[Reporting Year]]&amp;"; "&amp;P4843&amp;AS[[#This Row],[Insurance Category Code]]&amp;"; "&amp;Q4843&amp;AS[[#This Row],[Large Provider Entity Code]]&amp;"; "&amp;R4843&amp;AS[[#This Row],[Age Band Code]]&amp;"; "&amp;S4843&amp;AS[[#This Row],[Sex Code]]</f>
        <v xml:space="preserve">Insurer Code ; Reporting Year ; Insurance Category Code ; Large Provider Entity Code ; Age Band Code ; Sex Code </v>
      </c>
      <c r="N4843" s="297" t="s">
        <v>197</v>
      </c>
      <c r="O4843" s="297" t="s">
        <v>198</v>
      </c>
      <c r="P4843" s="297" t="s">
        <v>199</v>
      </c>
      <c r="Q4843" s="297" t="s">
        <v>200</v>
      </c>
      <c r="R4843" s="297" t="s">
        <v>213</v>
      </c>
      <c r="S4843" s="297" t="s">
        <v>214</v>
      </c>
    </row>
    <row r="4844" spans="1:19" x14ac:dyDescent="0.4">
      <c r="A4844" s="291"/>
      <c r="B4844" s="292"/>
      <c r="C4844" s="312"/>
      <c r="D4844" s="292"/>
      <c r="E4844" s="489"/>
      <c r="F4844" s="489"/>
      <c r="G4844" s="490"/>
      <c r="H4844" s="520"/>
      <c r="I4844" s="523"/>
      <c r="J4844" s="521"/>
      <c r="K4844" s="522"/>
      <c r="M4844" s="301" t="str">
        <f>N4844&amp;AS[[#This Row],[Insurer Code]]&amp;"; "&amp;O4844&amp;AS[[#This Row],[Reporting Year]]&amp;"; "&amp;P4844&amp;AS[[#This Row],[Insurance Category Code]]&amp;"; "&amp;Q4844&amp;AS[[#This Row],[Large Provider Entity Code]]&amp;"; "&amp;R4844&amp;AS[[#This Row],[Age Band Code]]&amp;"; "&amp;S4844&amp;AS[[#This Row],[Sex Code]]</f>
        <v xml:space="preserve">Insurer Code ; Reporting Year ; Insurance Category Code ; Large Provider Entity Code ; Age Band Code ; Sex Code </v>
      </c>
      <c r="N4844" s="297" t="s">
        <v>197</v>
      </c>
      <c r="O4844" s="297" t="s">
        <v>198</v>
      </c>
      <c r="P4844" s="297" t="s">
        <v>199</v>
      </c>
      <c r="Q4844" s="297" t="s">
        <v>200</v>
      </c>
      <c r="R4844" s="297" t="s">
        <v>213</v>
      </c>
      <c r="S4844" s="297" t="s">
        <v>214</v>
      </c>
    </row>
    <row r="4845" spans="1:19" x14ac:dyDescent="0.4">
      <c r="A4845" s="291"/>
      <c r="B4845" s="292"/>
      <c r="C4845" s="312"/>
      <c r="D4845" s="292"/>
      <c r="E4845" s="489"/>
      <c r="F4845" s="489"/>
      <c r="G4845" s="490"/>
      <c r="H4845" s="520"/>
      <c r="I4845" s="523"/>
      <c r="J4845" s="521"/>
      <c r="K4845" s="522"/>
      <c r="M4845" s="301" t="str">
        <f>N4845&amp;AS[[#This Row],[Insurer Code]]&amp;"; "&amp;O4845&amp;AS[[#This Row],[Reporting Year]]&amp;"; "&amp;P4845&amp;AS[[#This Row],[Insurance Category Code]]&amp;"; "&amp;Q4845&amp;AS[[#This Row],[Large Provider Entity Code]]&amp;"; "&amp;R4845&amp;AS[[#This Row],[Age Band Code]]&amp;"; "&amp;S4845&amp;AS[[#This Row],[Sex Code]]</f>
        <v xml:space="preserve">Insurer Code ; Reporting Year ; Insurance Category Code ; Large Provider Entity Code ; Age Band Code ; Sex Code </v>
      </c>
      <c r="N4845" s="297" t="s">
        <v>197</v>
      </c>
      <c r="O4845" s="297" t="s">
        <v>198</v>
      </c>
      <c r="P4845" s="297" t="s">
        <v>199</v>
      </c>
      <c r="Q4845" s="297" t="s">
        <v>200</v>
      </c>
      <c r="R4845" s="297" t="s">
        <v>213</v>
      </c>
      <c r="S4845" s="297" t="s">
        <v>214</v>
      </c>
    </row>
    <row r="4846" spans="1:19" x14ac:dyDescent="0.4">
      <c r="A4846" s="291"/>
      <c r="B4846" s="292"/>
      <c r="C4846" s="312"/>
      <c r="D4846" s="292"/>
      <c r="E4846" s="489"/>
      <c r="F4846" s="489"/>
      <c r="G4846" s="490"/>
      <c r="H4846" s="520"/>
      <c r="I4846" s="523"/>
      <c r="J4846" s="521"/>
      <c r="K4846" s="522"/>
      <c r="M4846" s="301" t="str">
        <f>N4846&amp;AS[[#This Row],[Insurer Code]]&amp;"; "&amp;O4846&amp;AS[[#This Row],[Reporting Year]]&amp;"; "&amp;P4846&amp;AS[[#This Row],[Insurance Category Code]]&amp;"; "&amp;Q4846&amp;AS[[#This Row],[Large Provider Entity Code]]&amp;"; "&amp;R4846&amp;AS[[#This Row],[Age Band Code]]&amp;"; "&amp;S4846&amp;AS[[#This Row],[Sex Code]]</f>
        <v xml:space="preserve">Insurer Code ; Reporting Year ; Insurance Category Code ; Large Provider Entity Code ; Age Band Code ; Sex Code </v>
      </c>
      <c r="N4846" s="297" t="s">
        <v>197</v>
      </c>
      <c r="O4846" s="297" t="s">
        <v>198</v>
      </c>
      <c r="P4846" s="297" t="s">
        <v>199</v>
      </c>
      <c r="Q4846" s="297" t="s">
        <v>200</v>
      </c>
      <c r="R4846" s="297" t="s">
        <v>213</v>
      </c>
      <c r="S4846" s="297" t="s">
        <v>214</v>
      </c>
    </row>
    <row r="4847" spans="1:19" x14ac:dyDescent="0.4">
      <c r="A4847" s="291"/>
      <c r="B4847" s="292"/>
      <c r="C4847" s="312"/>
      <c r="D4847" s="292"/>
      <c r="E4847" s="489"/>
      <c r="F4847" s="489"/>
      <c r="G4847" s="490"/>
      <c r="H4847" s="520"/>
      <c r="I4847" s="523"/>
      <c r="J4847" s="521"/>
      <c r="K4847" s="522"/>
      <c r="M4847" s="301" t="str">
        <f>N4847&amp;AS[[#This Row],[Insurer Code]]&amp;"; "&amp;O4847&amp;AS[[#This Row],[Reporting Year]]&amp;"; "&amp;P4847&amp;AS[[#This Row],[Insurance Category Code]]&amp;"; "&amp;Q4847&amp;AS[[#This Row],[Large Provider Entity Code]]&amp;"; "&amp;R4847&amp;AS[[#This Row],[Age Band Code]]&amp;"; "&amp;S4847&amp;AS[[#This Row],[Sex Code]]</f>
        <v xml:space="preserve">Insurer Code ; Reporting Year ; Insurance Category Code ; Large Provider Entity Code ; Age Band Code ; Sex Code </v>
      </c>
      <c r="N4847" s="297" t="s">
        <v>197</v>
      </c>
      <c r="O4847" s="297" t="s">
        <v>198</v>
      </c>
      <c r="P4847" s="297" t="s">
        <v>199</v>
      </c>
      <c r="Q4847" s="297" t="s">
        <v>200</v>
      </c>
      <c r="R4847" s="297" t="s">
        <v>213</v>
      </c>
      <c r="S4847" s="297" t="s">
        <v>214</v>
      </c>
    </row>
    <row r="4848" spans="1:19" x14ac:dyDescent="0.4">
      <c r="A4848" s="291"/>
      <c r="B4848" s="292"/>
      <c r="C4848" s="312"/>
      <c r="D4848" s="292"/>
      <c r="E4848" s="489"/>
      <c r="F4848" s="489"/>
      <c r="G4848" s="490"/>
      <c r="H4848" s="520"/>
      <c r="I4848" s="523"/>
      <c r="J4848" s="521"/>
      <c r="K4848" s="522"/>
      <c r="M4848" s="301" t="str">
        <f>N4848&amp;AS[[#This Row],[Insurer Code]]&amp;"; "&amp;O4848&amp;AS[[#This Row],[Reporting Year]]&amp;"; "&amp;P4848&amp;AS[[#This Row],[Insurance Category Code]]&amp;"; "&amp;Q4848&amp;AS[[#This Row],[Large Provider Entity Code]]&amp;"; "&amp;R4848&amp;AS[[#This Row],[Age Band Code]]&amp;"; "&amp;S4848&amp;AS[[#This Row],[Sex Code]]</f>
        <v xml:space="preserve">Insurer Code ; Reporting Year ; Insurance Category Code ; Large Provider Entity Code ; Age Band Code ; Sex Code </v>
      </c>
      <c r="N4848" s="297" t="s">
        <v>197</v>
      </c>
      <c r="O4848" s="297" t="s">
        <v>198</v>
      </c>
      <c r="P4848" s="297" t="s">
        <v>199</v>
      </c>
      <c r="Q4848" s="297" t="s">
        <v>200</v>
      </c>
      <c r="R4848" s="297" t="s">
        <v>213</v>
      </c>
      <c r="S4848" s="297" t="s">
        <v>214</v>
      </c>
    </row>
    <row r="4849" spans="1:19" x14ac:dyDescent="0.4">
      <c r="A4849" s="291"/>
      <c r="B4849" s="292"/>
      <c r="C4849" s="312"/>
      <c r="D4849" s="292"/>
      <c r="E4849" s="489"/>
      <c r="F4849" s="489"/>
      <c r="G4849" s="490"/>
      <c r="H4849" s="520"/>
      <c r="I4849" s="523"/>
      <c r="J4849" s="521"/>
      <c r="K4849" s="522"/>
      <c r="M4849" s="301" t="str">
        <f>N4849&amp;AS[[#This Row],[Insurer Code]]&amp;"; "&amp;O4849&amp;AS[[#This Row],[Reporting Year]]&amp;"; "&amp;P4849&amp;AS[[#This Row],[Insurance Category Code]]&amp;"; "&amp;Q4849&amp;AS[[#This Row],[Large Provider Entity Code]]&amp;"; "&amp;R4849&amp;AS[[#This Row],[Age Band Code]]&amp;"; "&amp;S4849&amp;AS[[#This Row],[Sex Code]]</f>
        <v xml:space="preserve">Insurer Code ; Reporting Year ; Insurance Category Code ; Large Provider Entity Code ; Age Band Code ; Sex Code </v>
      </c>
      <c r="N4849" s="297" t="s">
        <v>197</v>
      </c>
      <c r="O4849" s="297" t="s">
        <v>198</v>
      </c>
      <c r="P4849" s="297" t="s">
        <v>199</v>
      </c>
      <c r="Q4849" s="297" t="s">
        <v>200</v>
      </c>
      <c r="R4849" s="297" t="s">
        <v>213</v>
      </c>
      <c r="S4849" s="297" t="s">
        <v>214</v>
      </c>
    </row>
    <row r="4850" spans="1:19" x14ac:dyDescent="0.4">
      <c r="A4850" s="291"/>
      <c r="B4850" s="292"/>
      <c r="C4850" s="312"/>
      <c r="D4850" s="292"/>
      <c r="E4850" s="489"/>
      <c r="F4850" s="489"/>
      <c r="G4850" s="490"/>
      <c r="H4850" s="520"/>
      <c r="I4850" s="523"/>
      <c r="J4850" s="521"/>
      <c r="K4850" s="522"/>
      <c r="M4850" s="301" t="str">
        <f>N4850&amp;AS[[#This Row],[Insurer Code]]&amp;"; "&amp;O4850&amp;AS[[#This Row],[Reporting Year]]&amp;"; "&amp;P4850&amp;AS[[#This Row],[Insurance Category Code]]&amp;"; "&amp;Q4850&amp;AS[[#This Row],[Large Provider Entity Code]]&amp;"; "&amp;R4850&amp;AS[[#This Row],[Age Band Code]]&amp;"; "&amp;S4850&amp;AS[[#This Row],[Sex Code]]</f>
        <v xml:space="preserve">Insurer Code ; Reporting Year ; Insurance Category Code ; Large Provider Entity Code ; Age Band Code ; Sex Code </v>
      </c>
      <c r="N4850" s="297" t="s">
        <v>197</v>
      </c>
      <c r="O4850" s="297" t="s">
        <v>198</v>
      </c>
      <c r="P4850" s="297" t="s">
        <v>199</v>
      </c>
      <c r="Q4850" s="297" t="s">
        <v>200</v>
      </c>
      <c r="R4850" s="297" t="s">
        <v>213</v>
      </c>
      <c r="S4850" s="297" t="s">
        <v>214</v>
      </c>
    </row>
    <row r="4851" spans="1:19" x14ac:dyDescent="0.4">
      <c r="A4851" s="291"/>
      <c r="B4851" s="292"/>
      <c r="C4851" s="312"/>
      <c r="D4851" s="292"/>
      <c r="E4851" s="489"/>
      <c r="F4851" s="489"/>
      <c r="G4851" s="490"/>
      <c r="H4851" s="520"/>
      <c r="I4851" s="523"/>
      <c r="J4851" s="521"/>
      <c r="K4851" s="522"/>
      <c r="M4851" s="301" t="str">
        <f>N4851&amp;AS[[#This Row],[Insurer Code]]&amp;"; "&amp;O4851&amp;AS[[#This Row],[Reporting Year]]&amp;"; "&amp;P4851&amp;AS[[#This Row],[Insurance Category Code]]&amp;"; "&amp;Q4851&amp;AS[[#This Row],[Large Provider Entity Code]]&amp;"; "&amp;R4851&amp;AS[[#This Row],[Age Band Code]]&amp;"; "&amp;S4851&amp;AS[[#This Row],[Sex Code]]</f>
        <v xml:space="preserve">Insurer Code ; Reporting Year ; Insurance Category Code ; Large Provider Entity Code ; Age Band Code ; Sex Code </v>
      </c>
      <c r="N4851" s="297" t="s">
        <v>197</v>
      </c>
      <c r="O4851" s="297" t="s">
        <v>198</v>
      </c>
      <c r="P4851" s="297" t="s">
        <v>199</v>
      </c>
      <c r="Q4851" s="297" t="s">
        <v>200</v>
      </c>
      <c r="R4851" s="297" t="s">
        <v>213</v>
      </c>
      <c r="S4851" s="297" t="s">
        <v>214</v>
      </c>
    </row>
    <row r="4852" spans="1:19" x14ac:dyDescent="0.4">
      <c r="A4852" s="291"/>
      <c r="B4852" s="292"/>
      <c r="C4852" s="312"/>
      <c r="D4852" s="292"/>
      <c r="E4852" s="489"/>
      <c r="F4852" s="489"/>
      <c r="G4852" s="490"/>
      <c r="H4852" s="520"/>
      <c r="I4852" s="523"/>
      <c r="J4852" s="521"/>
      <c r="K4852" s="522"/>
      <c r="M4852" s="301" t="str">
        <f>N4852&amp;AS[[#This Row],[Insurer Code]]&amp;"; "&amp;O4852&amp;AS[[#This Row],[Reporting Year]]&amp;"; "&amp;P4852&amp;AS[[#This Row],[Insurance Category Code]]&amp;"; "&amp;Q4852&amp;AS[[#This Row],[Large Provider Entity Code]]&amp;"; "&amp;R4852&amp;AS[[#This Row],[Age Band Code]]&amp;"; "&amp;S4852&amp;AS[[#This Row],[Sex Code]]</f>
        <v xml:space="preserve">Insurer Code ; Reporting Year ; Insurance Category Code ; Large Provider Entity Code ; Age Band Code ; Sex Code </v>
      </c>
      <c r="N4852" s="297" t="s">
        <v>197</v>
      </c>
      <c r="O4852" s="297" t="s">
        <v>198</v>
      </c>
      <c r="P4852" s="297" t="s">
        <v>199</v>
      </c>
      <c r="Q4852" s="297" t="s">
        <v>200</v>
      </c>
      <c r="R4852" s="297" t="s">
        <v>213</v>
      </c>
      <c r="S4852" s="297" t="s">
        <v>214</v>
      </c>
    </row>
    <row r="4853" spans="1:19" x14ac:dyDescent="0.4">
      <c r="A4853" s="291"/>
      <c r="B4853" s="292"/>
      <c r="C4853" s="312"/>
      <c r="D4853" s="292"/>
      <c r="E4853" s="489"/>
      <c r="F4853" s="489"/>
      <c r="G4853" s="490"/>
      <c r="H4853" s="520"/>
      <c r="I4853" s="523"/>
      <c r="J4853" s="521"/>
      <c r="K4853" s="522"/>
      <c r="M4853" s="301" t="str">
        <f>N4853&amp;AS[[#This Row],[Insurer Code]]&amp;"; "&amp;O4853&amp;AS[[#This Row],[Reporting Year]]&amp;"; "&amp;P4853&amp;AS[[#This Row],[Insurance Category Code]]&amp;"; "&amp;Q4853&amp;AS[[#This Row],[Large Provider Entity Code]]&amp;"; "&amp;R4853&amp;AS[[#This Row],[Age Band Code]]&amp;"; "&amp;S4853&amp;AS[[#This Row],[Sex Code]]</f>
        <v xml:space="preserve">Insurer Code ; Reporting Year ; Insurance Category Code ; Large Provider Entity Code ; Age Band Code ; Sex Code </v>
      </c>
      <c r="N4853" s="297" t="s">
        <v>197</v>
      </c>
      <c r="O4853" s="297" t="s">
        <v>198</v>
      </c>
      <c r="P4853" s="297" t="s">
        <v>199</v>
      </c>
      <c r="Q4853" s="297" t="s">
        <v>200</v>
      </c>
      <c r="R4853" s="297" t="s">
        <v>213</v>
      </c>
      <c r="S4853" s="297" t="s">
        <v>214</v>
      </c>
    </row>
    <row r="4854" spans="1:19" x14ac:dyDescent="0.4">
      <c r="A4854" s="291"/>
      <c r="B4854" s="292"/>
      <c r="C4854" s="312"/>
      <c r="D4854" s="292"/>
      <c r="E4854" s="489"/>
      <c r="F4854" s="489"/>
      <c r="G4854" s="490"/>
      <c r="H4854" s="520"/>
      <c r="I4854" s="523"/>
      <c r="J4854" s="521"/>
      <c r="K4854" s="522"/>
      <c r="M4854" s="301" t="str">
        <f>N4854&amp;AS[[#This Row],[Insurer Code]]&amp;"; "&amp;O4854&amp;AS[[#This Row],[Reporting Year]]&amp;"; "&amp;P4854&amp;AS[[#This Row],[Insurance Category Code]]&amp;"; "&amp;Q4854&amp;AS[[#This Row],[Large Provider Entity Code]]&amp;"; "&amp;R4854&amp;AS[[#This Row],[Age Band Code]]&amp;"; "&amp;S4854&amp;AS[[#This Row],[Sex Code]]</f>
        <v xml:space="preserve">Insurer Code ; Reporting Year ; Insurance Category Code ; Large Provider Entity Code ; Age Band Code ; Sex Code </v>
      </c>
      <c r="N4854" s="297" t="s">
        <v>197</v>
      </c>
      <c r="O4854" s="297" t="s">
        <v>198</v>
      </c>
      <c r="P4854" s="297" t="s">
        <v>199</v>
      </c>
      <c r="Q4854" s="297" t="s">
        <v>200</v>
      </c>
      <c r="R4854" s="297" t="s">
        <v>213</v>
      </c>
      <c r="S4854" s="297" t="s">
        <v>214</v>
      </c>
    </row>
    <row r="4855" spans="1:19" x14ac:dyDescent="0.4">
      <c r="A4855" s="291"/>
      <c r="B4855" s="292"/>
      <c r="C4855" s="312"/>
      <c r="D4855" s="292"/>
      <c r="E4855" s="489"/>
      <c r="F4855" s="489"/>
      <c r="G4855" s="490"/>
      <c r="H4855" s="520"/>
      <c r="I4855" s="523"/>
      <c r="J4855" s="521"/>
      <c r="K4855" s="522"/>
      <c r="M4855" s="301" t="str">
        <f>N4855&amp;AS[[#This Row],[Insurer Code]]&amp;"; "&amp;O4855&amp;AS[[#This Row],[Reporting Year]]&amp;"; "&amp;P4855&amp;AS[[#This Row],[Insurance Category Code]]&amp;"; "&amp;Q4855&amp;AS[[#This Row],[Large Provider Entity Code]]&amp;"; "&amp;R4855&amp;AS[[#This Row],[Age Band Code]]&amp;"; "&amp;S4855&amp;AS[[#This Row],[Sex Code]]</f>
        <v xml:space="preserve">Insurer Code ; Reporting Year ; Insurance Category Code ; Large Provider Entity Code ; Age Band Code ; Sex Code </v>
      </c>
      <c r="N4855" s="297" t="s">
        <v>197</v>
      </c>
      <c r="O4855" s="297" t="s">
        <v>198</v>
      </c>
      <c r="P4855" s="297" t="s">
        <v>199</v>
      </c>
      <c r="Q4855" s="297" t="s">
        <v>200</v>
      </c>
      <c r="R4855" s="297" t="s">
        <v>213</v>
      </c>
      <c r="S4855" s="297" t="s">
        <v>214</v>
      </c>
    </row>
    <row r="4856" spans="1:19" x14ac:dyDescent="0.4">
      <c r="A4856" s="291"/>
      <c r="B4856" s="292"/>
      <c r="C4856" s="312"/>
      <c r="D4856" s="292"/>
      <c r="E4856" s="489"/>
      <c r="F4856" s="489"/>
      <c r="G4856" s="490"/>
      <c r="H4856" s="520"/>
      <c r="I4856" s="523"/>
      <c r="J4856" s="521"/>
      <c r="K4856" s="522"/>
      <c r="M4856" s="301" t="str">
        <f>N4856&amp;AS[[#This Row],[Insurer Code]]&amp;"; "&amp;O4856&amp;AS[[#This Row],[Reporting Year]]&amp;"; "&amp;P4856&amp;AS[[#This Row],[Insurance Category Code]]&amp;"; "&amp;Q4856&amp;AS[[#This Row],[Large Provider Entity Code]]&amp;"; "&amp;R4856&amp;AS[[#This Row],[Age Band Code]]&amp;"; "&amp;S4856&amp;AS[[#This Row],[Sex Code]]</f>
        <v xml:space="preserve">Insurer Code ; Reporting Year ; Insurance Category Code ; Large Provider Entity Code ; Age Band Code ; Sex Code </v>
      </c>
      <c r="N4856" s="297" t="s">
        <v>197</v>
      </c>
      <c r="O4856" s="297" t="s">
        <v>198</v>
      </c>
      <c r="P4856" s="297" t="s">
        <v>199</v>
      </c>
      <c r="Q4856" s="297" t="s">
        <v>200</v>
      </c>
      <c r="R4856" s="297" t="s">
        <v>213</v>
      </c>
      <c r="S4856" s="297" t="s">
        <v>214</v>
      </c>
    </row>
    <row r="4857" spans="1:19" x14ac:dyDescent="0.4">
      <c r="A4857" s="291"/>
      <c r="B4857" s="292"/>
      <c r="C4857" s="312"/>
      <c r="D4857" s="292"/>
      <c r="E4857" s="489"/>
      <c r="F4857" s="489"/>
      <c r="G4857" s="490"/>
      <c r="H4857" s="520"/>
      <c r="I4857" s="523"/>
      <c r="J4857" s="521"/>
      <c r="K4857" s="522"/>
      <c r="M4857" s="301" t="str">
        <f>N4857&amp;AS[[#This Row],[Insurer Code]]&amp;"; "&amp;O4857&amp;AS[[#This Row],[Reporting Year]]&amp;"; "&amp;P4857&amp;AS[[#This Row],[Insurance Category Code]]&amp;"; "&amp;Q4857&amp;AS[[#This Row],[Large Provider Entity Code]]&amp;"; "&amp;R4857&amp;AS[[#This Row],[Age Band Code]]&amp;"; "&amp;S4857&amp;AS[[#This Row],[Sex Code]]</f>
        <v xml:space="preserve">Insurer Code ; Reporting Year ; Insurance Category Code ; Large Provider Entity Code ; Age Band Code ; Sex Code </v>
      </c>
      <c r="N4857" s="297" t="s">
        <v>197</v>
      </c>
      <c r="O4857" s="297" t="s">
        <v>198</v>
      </c>
      <c r="P4857" s="297" t="s">
        <v>199</v>
      </c>
      <c r="Q4857" s="297" t="s">
        <v>200</v>
      </c>
      <c r="R4857" s="297" t="s">
        <v>213</v>
      </c>
      <c r="S4857" s="297" t="s">
        <v>214</v>
      </c>
    </row>
    <row r="4858" spans="1:19" x14ac:dyDescent="0.4">
      <c r="A4858" s="291"/>
      <c r="B4858" s="292"/>
      <c r="C4858" s="312"/>
      <c r="D4858" s="292"/>
      <c r="E4858" s="489"/>
      <c r="F4858" s="489"/>
      <c r="G4858" s="490"/>
      <c r="H4858" s="520"/>
      <c r="I4858" s="523"/>
      <c r="J4858" s="521"/>
      <c r="K4858" s="522"/>
      <c r="M4858" s="301" t="str">
        <f>N4858&amp;AS[[#This Row],[Insurer Code]]&amp;"; "&amp;O4858&amp;AS[[#This Row],[Reporting Year]]&amp;"; "&amp;P4858&amp;AS[[#This Row],[Insurance Category Code]]&amp;"; "&amp;Q4858&amp;AS[[#This Row],[Large Provider Entity Code]]&amp;"; "&amp;R4858&amp;AS[[#This Row],[Age Band Code]]&amp;"; "&amp;S4858&amp;AS[[#This Row],[Sex Code]]</f>
        <v xml:space="preserve">Insurer Code ; Reporting Year ; Insurance Category Code ; Large Provider Entity Code ; Age Band Code ; Sex Code </v>
      </c>
      <c r="N4858" s="297" t="s">
        <v>197</v>
      </c>
      <c r="O4858" s="297" t="s">
        <v>198</v>
      </c>
      <c r="P4858" s="297" t="s">
        <v>199</v>
      </c>
      <c r="Q4858" s="297" t="s">
        <v>200</v>
      </c>
      <c r="R4858" s="297" t="s">
        <v>213</v>
      </c>
      <c r="S4858" s="297" t="s">
        <v>214</v>
      </c>
    </row>
    <row r="4859" spans="1:19" x14ac:dyDescent="0.4">
      <c r="A4859" s="291"/>
      <c r="B4859" s="292"/>
      <c r="C4859" s="312"/>
      <c r="D4859" s="292"/>
      <c r="E4859" s="489"/>
      <c r="F4859" s="489"/>
      <c r="G4859" s="490"/>
      <c r="H4859" s="520"/>
      <c r="I4859" s="523"/>
      <c r="J4859" s="521"/>
      <c r="K4859" s="522"/>
      <c r="M4859" s="301" t="str">
        <f>N4859&amp;AS[[#This Row],[Insurer Code]]&amp;"; "&amp;O4859&amp;AS[[#This Row],[Reporting Year]]&amp;"; "&amp;P4859&amp;AS[[#This Row],[Insurance Category Code]]&amp;"; "&amp;Q4859&amp;AS[[#This Row],[Large Provider Entity Code]]&amp;"; "&amp;R4859&amp;AS[[#This Row],[Age Band Code]]&amp;"; "&amp;S4859&amp;AS[[#This Row],[Sex Code]]</f>
        <v xml:space="preserve">Insurer Code ; Reporting Year ; Insurance Category Code ; Large Provider Entity Code ; Age Band Code ; Sex Code </v>
      </c>
      <c r="N4859" s="297" t="s">
        <v>197</v>
      </c>
      <c r="O4859" s="297" t="s">
        <v>198</v>
      </c>
      <c r="P4859" s="297" t="s">
        <v>199</v>
      </c>
      <c r="Q4859" s="297" t="s">
        <v>200</v>
      </c>
      <c r="R4859" s="297" t="s">
        <v>213</v>
      </c>
      <c r="S4859" s="297" t="s">
        <v>214</v>
      </c>
    </row>
    <row r="4860" spans="1:19" x14ac:dyDescent="0.4">
      <c r="A4860" s="291"/>
      <c r="B4860" s="292"/>
      <c r="C4860" s="312"/>
      <c r="D4860" s="292"/>
      <c r="E4860" s="489"/>
      <c r="F4860" s="489"/>
      <c r="G4860" s="490"/>
      <c r="H4860" s="520"/>
      <c r="I4860" s="523"/>
      <c r="J4860" s="521"/>
      <c r="K4860" s="522"/>
      <c r="M4860" s="301" t="str">
        <f>N4860&amp;AS[[#This Row],[Insurer Code]]&amp;"; "&amp;O4860&amp;AS[[#This Row],[Reporting Year]]&amp;"; "&amp;P4860&amp;AS[[#This Row],[Insurance Category Code]]&amp;"; "&amp;Q4860&amp;AS[[#This Row],[Large Provider Entity Code]]&amp;"; "&amp;R4860&amp;AS[[#This Row],[Age Band Code]]&amp;"; "&amp;S4860&amp;AS[[#This Row],[Sex Code]]</f>
        <v xml:space="preserve">Insurer Code ; Reporting Year ; Insurance Category Code ; Large Provider Entity Code ; Age Band Code ; Sex Code </v>
      </c>
      <c r="N4860" s="297" t="s">
        <v>197</v>
      </c>
      <c r="O4860" s="297" t="s">
        <v>198</v>
      </c>
      <c r="P4860" s="297" t="s">
        <v>199</v>
      </c>
      <c r="Q4860" s="297" t="s">
        <v>200</v>
      </c>
      <c r="R4860" s="297" t="s">
        <v>213</v>
      </c>
      <c r="S4860" s="297" t="s">
        <v>214</v>
      </c>
    </row>
    <row r="4861" spans="1:19" x14ac:dyDescent="0.4">
      <c r="A4861" s="291"/>
      <c r="B4861" s="292"/>
      <c r="C4861" s="312"/>
      <c r="D4861" s="292"/>
      <c r="E4861" s="489"/>
      <c r="F4861" s="489"/>
      <c r="G4861" s="490"/>
      <c r="H4861" s="520"/>
      <c r="I4861" s="523"/>
      <c r="J4861" s="521"/>
      <c r="K4861" s="522"/>
      <c r="M4861" s="301" t="str">
        <f>N4861&amp;AS[[#This Row],[Insurer Code]]&amp;"; "&amp;O4861&amp;AS[[#This Row],[Reporting Year]]&amp;"; "&amp;P4861&amp;AS[[#This Row],[Insurance Category Code]]&amp;"; "&amp;Q4861&amp;AS[[#This Row],[Large Provider Entity Code]]&amp;"; "&amp;R4861&amp;AS[[#This Row],[Age Band Code]]&amp;"; "&amp;S4861&amp;AS[[#This Row],[Sex Code]]</f>
        <v xml:space="preserve">Insurer Code ; Reporting Year ; Insurance Category Code ; Large Provider Entity Code ; Age Band Code ; Sex Code </v>
      </c>
      <c r="N4861" s="297" t="s">
        <v>197</v>
      </c>
      <c r="O4861" s="297" t="s">
        <v>198</v>
      </c>
      <c r="P4861" s="297" t="s">
        <v>199</v>
      </c>
      <c r="Q4861" s="297" t="s">
        <v>200</v>
      </c>
      <c r="R4861" s="297" t="s">
        <v>213</v>
      </c>
      <c r="S4861" s="297" t="s">
        <v>214</v>
      </c>
    </row>
    <row r="4862" spans="1:19" x14ac:dyDescent="0.4">
      <c r="A4862" s="291"/>
      <c r="B4862" s="292"/>
      <c r="C4862" s="312"/>
      <c r="D4862" s="292"/>
      <c r="E4862" s="489"/>
      <c r="F4862" s="489"/>
      <c r="G4862" s="490"/>
      <c r="H4862" s="520"/>
      <c r="I4862" s="523"/>
      <c r="J4862" s="521"/>
      <c r="K4862" s="522"/>
      <c r="M4862" s="301" t="str">
        <f>N4862&amp;AS[[#This Row],[Insurer Code]]&amp;"; "&amp;O4862&amp;AS[[#This Row],[Reporting Year]]&amp;"; "&amp;P4862&amp;AS[[#This Row],[Insurance Category Code]]&amp;"; "&amp;Q4862&amp;AS[[#This Row],[Large Provider Entity Code]]&amp;"; "&amp;R4862&amp;AS[[#This Row],[Age Band Code]]&amp;"; "&amp;S4862&amp;AS[[#This Row],[Sex Code]]</f>
        <v xml:space="preserve">Insurer Code ; Reporting Year ; Insurance Category Code ; Large Provider Entity Code ; Age Band Code ; Sex Code </v>
      </c>
      <c r="N4862" s="297" t="s">
        <v>197</v>
      </c>
      <c r="O4862" s="297" t="s">
        <v>198</v>
      </c>
      <c r="P4862" s="297" t="s">
        <v>199</v>
      </c>
      <c r="Q4862" s="297" t="s">
        <v>200</v>
      </c>
      <c r="R4862" s="297" t="s">
        <v>213</v>
      </c>
      <c r="S4862" s="297" t="s">
        <v>214</v>
      </c>
    </row>
    <row r="4863" spans="1:19" x14ac:dyDescent="0.4">
      <c r="A4863" s="291"/>
      <c r="B4863" s="292"/>
      <c r="C4863" s="312"/>
      <c r="D4863" s="292"/>
      <c r="E4863" s="489"/>
      <c r="F4863" s="489"/>
      <c r="G4863" s="490"/>
      <c r="H4863" s="520"/>
      <c r="I4863" s="523"/>
      <c r="J4863" s="521"/>
      <c r="K4863" s="522"/>
      <c r="M4863" s="301" t="str">
        <f>N4863&amp;AS[[#This Row],[Insurer Code]]&amp;"; "&amp;O4863&amp;AS[[#This Row],[Reporting Year]]&amp;"; "&amp;P4863&amp;AS[[#This Row],[Insurance Category Code]]&amp;"; "&amp;Q4863&amp;AS[[#This Row],[Large Provider Entity Code]]&amp;"; "&amp;R4863&amp;AS[[#This Row],[Age Band Code]]&amp;"; "&amp;S4863&amp;AS[[#This Row],[Sex Code]]</f>
        <v xml:space="preserve">Insurer Code ; Reporting Year ; Insurance Category Code ; Large Provider Entity Code ; Age Band Code ; Sex Code </v>
      </c>
      <c r="N4863" s="297" t="s">
        <v>197</v>
      </c>
      <c r="O4863" s="297" t="s">
        <v>198</v>
      </c>
      <c r="P4863" s="297" t="s">
        <v>199</v>
      </c>
      <c r="Q4863" s="297" t="s">
        <v>200</v>
      </c>
      <c r="R4863" s="297" t="s">
        <v>213</v>
      </c>
      <c r="S4863" s="297" t="s">
        <v>214</v>
      </c>
    </row>
    <row r="4864" spans="1:19" x14ac:dyDescent="0.4">
      <c r="A4864" s="291"/>
      <c r="B4864" s="292"/>
      <c r="C4864" s="312"/>
      <c r="D4864" s="292"/>
      <c r="E4864" s="489"/>
      <c r="F4864" s="489"/>
      <c r="G4864" s="490"/>
      <c r="H4864" s="520"/>
      <c r="I4864" s="523"/>
      <c r="J4864" s="521"/>
      <c r="K4864" s="522"/>
      <c r="M4864" s="301" t="str">
        <f>N4864&amp;AS[[#This Row],[Insurer Code]]&amp;"; "&amp;O4864&amp;AS[[#This Row],[Reporting Year]]&amp;"; "&amp;P4864&amp;AS[[#This Row],[Insurance Category Code]]&amp;"; "&amp;Q4864&amp;AS[[#This Row],[Large Provider Entity Code]]&amp;"; "&amp;R4864&amp;AS[[#This Row],[Age Band Code]]&amp;"; "&amp;S4864&amp;AS[[#This Row],[Sex Code]]</f>
        <v xml:space="preserve">Insurer Code ; Reporting Year ; Insurance Category Code ; Large Provider Entity Code ; Age Band Code ; Sex Code </v>
      </c>
      <c r="N4864" s="297" t="s">
        <v>197</v>
      </c>
      <c r="O4864" s="297" t="s">
        <v>198</v>
      </c>
      <c r="P4864" s="297" t="s">
        <v>199</v>
      </c>
      <c r="Q4864" s="297" t="s">
        <v>200</v>
      </c>
      <c r="R4864" s="297" t="s">
        <v>213</v>
      </c>
      <c r="S4864" s="297" t="s">
        <v>214</v>
      </c>
    </row>
    <row r="4865" spans="1:19" x14ac:dyDescent="0.4">
      <c r="A4865" s="291"/>
      <c r="B4865" s="292"/>
      <c r="C4865" s="312"/>
      <c r="D4865" s="292"/>
      <c r="E4865" s="489"/>
      <c r="F4865" s="489"/>
      <c r="G4865" s="490"/>
      <c r="H4865" s="520"/>
      <c r="I4865" s="523"/>
      <c r="J4865" s="521"/>
      <c r="K4865" s="522"/>
      <c r="M4865" s="301" t="str">
        <f>N4865&amp;AS[[#This Row],[Insurer Code]]&amp;"; "&amp;O4865&amp;AS[[#This Row],[Reporting Year]]&amp;"; "&amp;P4865&amp;AS[[#This Row],[Insurance Category Code]]&amp;"; "&amp;Q4865&amp;AS[[#This Row],[Large Provider Entity Code]]&amp;"; "&amp;R4865&amp;AS[[#This Row],[Age Band Code]]&amp;"; "&amp;S4865&amp;AS[[#This Row],[Sex Code]]</f>
        <v xml:space="preserve">Insurer Code ; Reporting Year ; Insurance Category Code ; Large Provider Entity Code ; Age Band Code ; Sex Code </v>
      </c>
      <c r="N4865" s="297" t="s">
        <v>197</v>
      </c>
      <c r="O4865" s="297" t="s">
        <v>198</v>
      </c>
      <c r="P4865" s="297" t="s">
        <v>199</v>
      </c>
      <c r="Q4865" s="297" t="s">
        <v>200</v>
      </c>
      <c r="R4865" s="297" t="s">
        <v>213</v>
      </c>
      <c r="S4865" s="297" t="s">
        <v>214</v>
      </c>
    </row>
    <row r="4866" spans="1:19" x14ac:dyDescent="0.4">
      <c r="A4866" s="291"/>
      <c r="B4866" s="292"/>
      <c r="C4866" s="312"/>
      <c r="D4866" s="292"/>
      <c r="E4866" s="489"/>
      <c r="F4866" s="489"/>
      <c r="G4866" s="490"/>
      <c r="H4866" s="520"/>
      <c r="I4866" s="523"/>
      <c r="J4866" s="521"/>
      <c r="K4866" s="522"/>
      <c r="M4866" s="301" t="str">
        <f>N4866&amp;AS[[#This Row],[Insurer Code]]&amp;"; "&amp;O4866&amp;AS[[#This Row],[Reporting Year]]&amp;"; "&amp;P4866&amp;AS[[#This Row],[Insurance Category Code]]&amp;"; "&amp;Q4866&amp;AS[[#This Row],[Large Provider Entity Code]]&amp;"; "&amp;R4866&amp;AS[[#This Row],[Age Band Code]]&amp;"; "&amp;S4866&amp;AS[[#This Row],[Sex Code]]</f>
        <v xml:space="preserve">Insurer Code ; Reporting Year ; Insurance Category Code ; Large Provider Entity Code ; Age Band Code ; Sex Code </v>
      </c>
      <c r="N4866" s="297" t="s">
        <v>197</v>
      </c>
      <c r="O4866" s="297" t="s">
        <v>198</v>
      </c>
      <c r="P4866" s="297" t="s">
        <v>199</v>
      </c>
      <c r="Q4866" s="297" t="s">
        <v>200</v>
      </c>
      <c r="R4866" s="297" t="s">
        <v>213</v>
      </c>
      <c r="S4866" s="297" t="s">
        <v>214</v>
      </c>
    </row>
    <row r="4867" spans="1:19" x14ac:dyDescent="0.4">
      <c r="A4867" s="291"/>
      <c r="B4867" s="292"/>
      <c r="C4867" s="312"/>
      <c r="D4867" s="292"/>
      <c r="E4867" s="489"/>
      <c r="F4867" s="489"/>
      <c r="G4867" s="490"/>
      <c r="H4867" s="520"/>
      <c r="I4867" s="523"/>
      <c r="J4867" s="521"/>
      <c r="K4867" s="522"/>
      <c r="M4867" s="301" t="str">
        <f>N4867&amp;AS[[#This Row],[Insurer Code]]&amp;"; "&amp;O4867&amp;AS[[#This Row],[Reporting Year]]&amp;"; "&amp;P4867&amp;AS[[#This Row],[Insurance Category Code]]&amp;"; "&amp;Q4867&amp;AS[[#This Row],[Large Provider Entity Code]]&amp;"; "&amp;R4867&amp;AS[[#This Row],[Age Band Code]]&amp;"; "&amp;S4867&amp;AS[[#This Row],[Sex Code]]</f>
        <v xml:space="preserve">Insurer Code ; Reporting Year ; Insurance Category Code ; Large Provider Entity Code ; Age Band Code ; Sex Code </v>
      </c>
      <c r="N4867" s="297" t="s">
        <v>197</v>
      </c>
      <c r="O4867" s="297" t="s">
        <v>198</v>
      </c>
      <c r="P4867" s="297" t="s">
        <v>199</v>
      </c>
      <c r="Q4867" s="297" t="s">
        <v>200</v>
      </c>
      <c r="R4867" s="297" t="s">
        <v>213</v>
      </c>
      <c r="S4867" s="297" t="s">
        <v>214</v>
      </c>
    </row>
    <row r="4868" spans="1:19" x14ac:dyDescent="0.4">
      <c r="A4868" s="291"/>
      <c r="B4868" s="292"/>
      <c r="C4868" s="312"/>
      <c r="D4868" s="292"/>
      <c r="E4868" s="489"/>
      <c r="F4868" s="489"/>
      <c r="G4868" s="490"/>
      <c r="H4868" s="520"/>
      <c r="I4868" s="523"/>
      <c r="J4868" s="521"/>
      <c r="K4868" s="522"/>
      <c r="M4868" s="301" t="str">
        <f>N4868&amp;AS[[#This Row],[Insurer Code]]&amp;"; "&amp;O4868&amp;AS[[#This Row],[Reporting Year]]&amp;"; "&amp;P4868&amp;AS[[#This Row],[Insurance Category Code]]&amp;"; "&amp;Q4868&amp;AS[[#This Row],[Large Provider Entity Code]]&amp;"; "&amp;R4868&amp;AS[[#This Row],[Age Band Code]]&amp;"; "&amp;S4868&amp;AS[[#This Row],[Sex Code]]</f>
        <v xml:space="preserve">Insurer Code ; Reporting Year ; Insurance Category Code ; Large Provider Entity Code ; Age Band Code ; Sex Code </v>
      </c>
      <c r="N4868" s="297" t="s">
        <v>197</v>
      </c>
      <c r="O4868" s="297" t="s">
        <v>198</v>
      </c>
      <c r="P4868" s="297" t="s">
        <v>199</v>
      </c>
      <c r="Q4868" s="297" t="s">
        <v>200</v>
      </c>
      <c r="R4868" s="297" t="s">
        <v>213</v>
      </c>
      <c r="S4868" s="297" t="s">
        <v>214</v>
      </c>
    </row>
    <row r="4869" spans="1:19" x14ac:dyDescent="0.4">
      <c r="A4869" s="291"/>
      <c r="B4869" s="292"/>
      <c r="C4869" s="312"/>
      <c r="D4869" s="292"/>
      <c r="E4869" s="489"/>
      <c r="F4869" s="489"/>
      <c r="G4869" s="490"/>
      <c r="H4869" s="520"/>
      <c r="I4869" s="523"/>
      <c r="J4869" s="521"/>
      <c r="K4869" s="522"/>
      <c r="M4869" s="301" t="str">
        <f>N4869&amp;AS[[#This Row],[Insurer Code]]&amp;"; "&amp;O4869&amp;AS[[#This Row],[Reporting Year]]&amp;"; "&amp;P4869&amp;AS[[#This Row],[Insurance Category Code]]&amp;"; "&amp;Q4869&amp;AS[[#This Row],[Large Provider Entity Code]]&amp;"; "&amp;R4869&amp;AS[[#This Row],[Age Band Code]]&amp;"; "&amp;S4869&amp;AS[[#This Row],[Sex Code]]</f>
        <v xml:space="preserve">Insurer Code ; Reporting Year ; Insurance Category Code ; Large Provider Entity Code ; Age Band Code ; Sex Code </v>
      </c>
      <c r="N4869" s="297" t="s">
        <v>197</v>
      </c>
      <c r="O4869" s="297" t="s">
        <v>198</v>
      </c>
      <c r="P4869" s="297" t="s">
        <v>199</v>
      </c>
      <c r="Q4869" s="297" t="s">
        <v>200</v>
      </c>
      <c r="R4869" s="297" t="s">
        <v>213</v>
      </c>
      <c r="S4869" s="297" t="s">
        <v>214</v>
      </c>
    </row>
    <row r="4870" spans="1:19" x14ac:dyDescent="0.4">
      <c r="A4870" s="291"/>
      <c r="B4870" s="292"/>
      <c r="C4870" s="312"/>
      <c r="D4870" s="292"/>
      <c r="E4870" s="489"/>
      <c r="F4870" s="489"/>
      <c r="G4870" s="490"/>
      <c r="H4870" s="520"/>
      <c r="I4870" s="523"/>
      <c r="J4870" s="521"/>
      <c r="K4870" s="522"/>
      <c r="M4870" s="301" t="str">
        <f>N4870&amp;AS[[#This Row],[Insurer Code]]&amp;"; "&amp;O4870&amp;AS[[#This Row],[Reporting Year]]&amp;"; "&amp;P4870&amp;AS[[#This Row],[Insurance Category Code]]&amp;"; "&amp;Q4870&amp;AS[[#This Row],[Large Provider Entity Code]]&amp;"; "&amp;R4870&amp;AS[[#This Row],[Age Band Code]]&amp;"; "&amp;S4870&amp;AS[[#This Row],[Sex Code]]</f>
        <v xml:space="preserve">Insurer Code ; Reporting Year ; Insurance Category Code ; Large Provider Entity Code ; Age Band Code ; Sex Code </v>
      </c>
      <c r="N4870" s="297" t="s">
        <v>197</v>
      </c>
      <c r="O4870" s="297" t="s">
        <v>198</v>
      </c>
      <c r="P4870" s="297" t="s">
        <v>199</v>
      </c>
      <c r="Q4870" s="297" t="s">
        <v>200</v>
      </c>
      <c r="R4870" s="297" t="s">
        <v>213</v>
      </c>
      <c r="S4870" s="297" t="s">
        <v>214</v>
      </c>
    </row>
    <row r="4871" spans="1:19" x14ac:dyDescent="0.4">
      <c r="A4871" s="291"/>
      <c r="B4871" s="292"/>
      <c r="C4871" s="312"/>
      <c r="D4871" s="292"/>
      <c r="E4871" s="489"/>
      <c r="F4871" s="489"/>
      <c r="G4871" s="490"/>
      <c r="H4871" s="520"/>
      <c r="I4871" s="523"/>
      <c r="J4871" s="521"/>
      <c r="K4871" s="522"/>
      <c r="M4871" s="301" t="str">
        <f>N4871&amp;AS[[#This Row],[Insurer Code]]&amp;"; "&amp;O4871&amp;AS[[#This Row],[Reporting Year]]&amp;"; "&amp;P4871&amp;AS[[#This Row],[Insurance Category Code]]&amp;"; "&amp;Q4871&amp;AS[[#This Row],[Large Provider Entity Code]]&amp;"; "&amp;R4871&amp;AS[[#This Row],[Age Band Code]]&amp;"; "&amp;S4871&amp;AS[[#This Row],[Sex Code]]</f>
        <v xml:space="preserve">Insurer Code ; Reporting Year ; Insurance Category Code ; Large Provider Entity Code ; Age Band Code ; Sex Code </v>
      </c>
      <c r="N4871" s="297" t="s">
        <v>197</v>
      </c>
      <c r="O4871" s="297" t="s">
        <v>198</v>
      </c>
      <c r="P4871" s="297" t="s">
        <v>199</v>
      </c>
      <c r="Q4871" s="297" t="s">
        <v>200</v>
      </c>
      <c r="R4871" s="297" t="s">
        <v>213</v>
      </c>
      <c r="S4871" s="297" t="s">
        <v>214</v>
      </c>
    </row>
    <row r="4872" spans="1:19" x14ac:dyDescent="0.4">
      <c r="A4872" s="291"/>
      <c r="B4872" s="292"/>
      <c r="C4872" s="312"/>
      <c r="D4872" s="292"/>
      <c r="E4872" s="489"/>
      <c r="F4872" s="489"/>
      <c r="G4872" s="490"/>
      <c r="H4872" s="520"/>
      <c r="I4872" s="523"/>
      <c r="J4872" s="521"/>
      <c r="K4872" s="522"/>
      <c r="M4872" s="301" t="str">
        <f>N4872&amp;AS[[#This Row],[Insurer Code]]&amp;"; "&amp;O4872&amp;AS[[#This Row],[Reporting Year]]&amp;"; "&amp;P4872&amp;AS[[#This Row],[Insurance Category Code]]&amp;"; "&amp;Q4872&amp;AS[[#This Row],[Large Provider Entity Code]]&amp;"; "&amp;R4872&amp;AS[[#This Row],[Age Band Code]]&amp;"; "&amp;S4872&amp;AS[[#This Row],[Sex Code]]</f>
        <v xml:space="preserve">Insurer Code ; Reporting Year ; Insurance Category Code ; Large Provider Entity Code ; Age Band Code ; Sex Code </v>
      </c>
      <c r="N4872" s="297" t="s">
        <v>197</v>
      </c>
      <c r="O4872" s="297" t="s">
        <v>198</v>
      </c>
      <c r="P4872" s="297" t="s">
        <v>199</v>
      </c>
      <c r="Q4872" s="297" t="s">
        <v>200</v>
      </c>
      <c r="R4872" s="297" t="s">
        <v>213</v>
      </c>
      <c r="S4872" s="297" t="s">
        <v>214</v>
      </c>
    </row>
    <row r="4873" spans="1:19" x14ac:dyDescent="0.4">
      <c r="A4873" s="291"/>
      <c r="B4873" s="292"/>
      <c r="C4873" s="312"/>
      <c r="D4873" s="292"/>
      <c r="E4873" s="489"/>
      <c r="F4873" s="489"/>
      <c r="G4873" s="490"/>
      <c r="H4873" s="520"/>
      <c r="I4873" s="523"/>
      <c r="J4873" s="521"/>
      <c r="K4873" s="522"/>
      <c r="M4873" s="301" t="str">
        <f>N4873&amp;AS[[#This Row],[Insurer Code]]&amp;"; "&amp;O4873&amp;AS[[#This Row],[Reporting Year]]&amp;"; "&amp;P4873&amp;AS[[#This Row],[Insurance Category Code]]&amp;"; "&amp;Q4873&amp;AS[[#This Row],[Large Provider Entity Code]]&amp;"; "&amp;R4873&amp;AS[[#This Row],[Age Band Code]]&amp;"; "&amp;S4873&amp;AS[[#This Row],[Sex Code]]</f>
        <v xml:space="preserve">Insurer Code ; Reporting Year ; Insurance Category Code ; Large Provider Entity Code ; Age Band Code ; Sex Code </v>
      </c>
      <c r="N4873" s="297" t="s">
        <v>197</v>
      </c>
      <c r="O4873" s="297" t="s">
        <v>198</v>
      </c>
      <c r="P4873" s="297" t="s">
        <v>199</v>
      </c>
      <c r="Q4873" s="297" t="s">
        <v>200</v>
      </c>
      <c r="R4873" s="297" t="s">
        <v>213</v>
      </c>
      <c r="S4873" s="297" t="s">
        <v>214</v>
      </c>
    </row>
    <row r="4874" spans="1:19" x14ac:dyDescent="0.4">
      <c r="A4874" s="291"/>
      <c r="B4874" s="292"/>
      <c r="C4874" s="312"/>
      <c r="D4874" s="292"/>
      <c r="E4874" s="489"/>
      <c r="F4874" s="489"/>
      <c r="G4874" s="490"/>
      <c r="H4874" s="520"/>
      <c r="I4874" s="523"/>
      <c r="J4874" s="521"/>
      <c r="K4874" s="522"/>
      <c r="M4874" s="301" t="str">
        <f>N4874&amp;AS[[#This Row],[Insurer Code]]&amp;"; "&amp;O4874&amp;AS[[#This Row],[Reporting Year]]&amp;"; "&amp;P4874&amp;AS[[#This Row],[Insurance Category Code]]&amp;"; "&amp;Q4874&amp;AS[[#This Row],[Large Provider Entity Code]]&amp;"; "&amp;R4874&amp;AS[[#This Row],[Age Band Code]]&amp;"; "&amp;S4874&amp;AS[[#This Row],[Sex Code]]</f>
        <v xml:space="preserve">Insurer Code ; Reporting Year ; Insurance Category Code ; Large Provider Entity Code ; Age Band Code ; Sex Code </v>
      </c>
      <c r="N4874" s="297" t="s">
        <v>197</v>
      </c>
      <c r="O4874" s="297" t="s">
        <v>198</v>
      </c>
      <c r="P4874" s="297" t="s">
        <v>199</v>
      </c>
      <c r="Q4874" s="297" t="s">
        <v>200</v>
      </c>
      <c r="R4874" s="297" t="s">
        <v>213</v>
      </c>
      <c r="S4874" s="297" t="s">
        <v>214</v>
      </c>
    </row>
    <row r="4875" spans="1:19" x14ac:dyDescent="0.4">
      <c r="A4875" s="291"/>
      <c r="B4875" s="292"/>
      <c r="C4875" s="312"/>
      <c r="D4875" s="292"/>
      <c r="E4875" s="489"/>
      <c r="F4875" s="489"/>
      <c r="G4875" s="490"/>
      <c r="H4875" s="520"/>
      <c r="I4875" s="523"/>
      <c r="J4875" s="521"/>
      <c r="K4875" s="522"/>
      <c r="M4875" s="301" t="str">
        <f>N4875&amp;AS[[#This Row],[Insurer Code]]&amp;"; "&amp;O4875&amp;AS[[#This Row],[Reporting Year]]&amp;"; "&amp;P4875&amp;AS[[#This Row],[Insurance Category Code]]&amp;"; "&amp;Q4875&amp;AS[[#This Row],[Large Provider Entity Code]]&amp;"; "&amp;R4875&amp;AS[[#This Row],[Age Band Code]]&amp;"; "&amp;S4875&amp;AS[[#This Row],[Sex Code]]</f>
        <v xml:space="preserve">Insurer Code ; Reporting Year ; Insurance Category Code ; Large Provider Entity Code ; Age Band Code ; Sex Code </v>
      </c>
      <c r="N4875" s="297" t="s">
        <v>197</v>
      </c>
      <c r="O4875" s="297" t="s">
        <v>198</v>
      </c>
      <c r="P4875" s="297" t="s">
        <v>199</v>
      </c>
      <c r="Q4875" s="297" t="s">
        <v>200</v>
      </c>
      <c r="R4875" s="297" t="s">
        <v>213</v>
      </c>
      <c r="S4875" s="297" t="s">
        <v>214</v>
      </c>
    </row>
    <row r="4876" spans="1:19" x14ac:dyDescent="0.4">
      <c r="A4876" s="291"/>
      <c r="B4876" s="292"/>
      <c r="C4876" s="312"/>
      <c r="D4876" s="292"/>
      <c r="E4876" s="489"/>
      <c r="F4876" s="489"/>
      <c r="G4876" s="490"/>
      <c r="H4876" s="520"/>
      <c r="I4876" s="523"/>
      <c r="J4876" s="521"/>
      <c r="K4876" s="522"/>
      <c r="M4876" s="301" t="str">
        <f>N4876&amp;AS[[#This Row],[Insurer Code]]&amp;"; "&amp;O4876&amp;AS[[#This Row],[Reporting Year]]&amp;"; "&amp;P4876&amp;AS[[#This Row],[Insurance Category Code]]&amp;"; "&amp;Q4876&amp;AS[[#This Row],[Large Provider Entity Code]]&amp;"; "&amp;R4876&amp;AS[[#This Row],[Age Band Code]]&amp;"; "&amp;S4876&amp;AS[[#This Row],[Sex Code]]</f>
        <v xml:space="preserve">Insurer Code ; Reporting Year ; Insurance Category Code ; Large Provider Entity Code ; Age Band Code ; Sex Code </v>
      </c>
      <c r="N4876" s="297" t="s">
        <v>197</v>
      </c>
      <c r="O4876" s="297" t="s">
        <v>198</v>
      </c>
      <c r="P4876" s="297" t="s">
        <v>199</v>
      </c>
      <c r="Q4876" s="297" t="s">
        <v>200</v>
      </c>
      <c r="R4876" s="297" t="s">
        <v>213</v>
      </c>
      <c r="S4876" s="297" t="s">
        <v>214</v>
      </c>
    </row>
    <row r="4877" spans="1:19" x14ac:dyDescent="0.4">
      <c r="A4877" s="291"/>
      <c r="B4877" s="292"/>
      <c r="C4877" s="312"/>
      <c r="D4877" s="292"/>
      <c r="E4877" s="489"/>
      <c r="F4877" s="489"/>
      <c r="G4877" s="490"/>
      <c r="H4877" s="520"/>
      <c r="I4877" s="523"/>
      <c r="J4877" s="521"/>
      <c r="K4877" s="522"/>
      <c r="M4877" s="301" t="str">
        <f>N4877&amp;AS[[#This Row],[Insurer Code]]&amp;"; "&amp;O4877&amp;AS[[#This Row],[Reporting Year]]&amp;"; "&amp;P4877&amp;AS[[#This Row],[Insurance Category Code]]&amp;"; "&amp;Q4877&amp;AS[[#This Row],[Large Provider Entity Code]]&amp;"; "&amp;R4877&amp;AS[[#This Row],[Age Band Code]]&amp;"; "&amp;S4877&amp;AS[[#This Row],[Sex Code]]</f>
        <v xml:space="preserve">Insurer Code ; Reporting Year ; Insurance Category Code ; Large Provider Entity Code ; Age Band Code ; Sex Code </v>
      </c>
      <c r="N4877" s="297" t="s">
        <v>197</v>
      </c>
      <c r="O4877" s="297" t="s">
        <v>198</v>
      </c>
      <c r="P4877" s="297" t="s">
        <v>199</v>
      </c>
      <c r="Q4877" s="297" t="s">
        <v>200</v>
      </c>
      <c r="R4877" s="297" t="s">
        <v>213</v>
      </c>
      <c r="S4877" s="297" t="s">
        <v>214</v>
      </c>
    </row>
    <row r="4878" spans="1:19" x14ac:dyDescent="0.4">
      <c r="A4878" s="291"/>
      <c r="B4878" s="292"/>
      <c r="C4878" s="312"/>
      <c r="D4878" s="292"/>
      <c r="E4878" s="489"/>
      <c r="F4878" s="489"/>
      <c r="G4878" s="490"/>
      <c r="H4878" s="520"/>
      <c r="I4878" s="523"/>
      <c r="J4878" s="521"/>
      <c r="K4878" s="522"/>
      <c r="M4878" s="301" t="str">
        <f>N4878&amp;AS[[#This Row],[Insurer Code]]&amp;"; "&amp;O4878&amp;AS[[#This Row],[Reporting Year]]&amp;"; "&amp;P4878&amp;AS[[#This Row],[Insurance Category Code]]&amp;"; "&amp;Q4878&amp;AS[[#This Row],[Large Provider Entity Code]]&amp;"; "&amp;R4878&amp;AS[[#This Row],[Age Band Code]]&amp;"; "&amp;S4878&amp;AS[[#This Row],[Sex Code]]</f>
        <v xml:space="preserve">Insurer Code ; Reporting Year ; Insurance Category Code ; Large Provider Entity Code ; Age Band Code ; Sex Code </v>
      </c>
      <c r="N4878" s="297" t="s">
        <v>197</v>
      </c>
      <c r="O4878" s="297" t="s">
        <v>198</v>
      </c>
      <c r="P4878" s="297" t="s">
        <v>199</v>
      </c>
      <c r="Q4878" s="297" t="s">
        <v>200</v>
      </c>
      <c r="R4878" s="297" t="s">
        <v>213</v>
      </c>
      <c r="S4878" s="297" t="s">
        <v>214</v>
      </c>
    </row>
    <row r="4879" spans="1:19" x14ac:dyDescent="0.4">
      <c r="A4879" s="291"/>
      <c r="B4879" s="292"/>
      <c r="C4879" s="312"/>
      <c r="D4879" s="292"/>
      <c r="E4879" s="489"/>
      <c r="F4879" s="489"/>
      <c r="G4879" s="490"/>
      <c r="H4879" s="520"/>
      <c r="I4879" s="523"/>
      <c r="J4879" s="521"/>
      <c r="K4879" s="522"/>
      <c r="M4879" s="301" t="str">
        <f>N4879&amp;AS[[#This Row],[Insurer Code]]&amp;"; "&amp;O4879&amp;AS[[#This Row],[Reporting Year]]&amp;"; "&amp;P4879&amp;AS[[#This Row],[Insurance Category Code]]&amp;"; "&amp;Q4879&amp;AS[[#This Row],[Large Provider Entity Code]]&amp;"; "&amp;R4879&amp;AS[[#This Row],[Age Band Code]]&amp;"; "&amp;S4879&amp;AS[[#This Row],[Sex Code]]</f>
        <v xml:space="preserve">Insurer Code ; Reporting Year ; Insurance Category Code ; Large Provider Entity Code ; Age Band Code ; Sex Code </v>
      </c>
      <c r="N4879" s="297" t="s">
        <v>197</v>
      </c>
      <c r="O4879" s="297" t="s">
        <v>198</v>
      </c>
      <c r="P4879" s="297" t="s">
        <v>199</v>
      </c>
      <c r="Q4879" s="297" t="s">
        <v>200</v>
      </c>
      <c r="R4879" s="297" t="s">
        <v>213</v>
      </c>
      <c r="S4879" s="297" t="s">
        <v>214</v>
      </c>
    </row>
    <row r="4880" spans="1:19" x14ac:dyDescent="0.4">
      <c r="A4880" s="291"/>
      <c r="B4880" s="292"/>
      <c r="C4880" s="312"/>
      <c r="D4880" s="292"/>
      <c r="E4880" s="489"/>
      <c r="F4880" s="489"/>
      <c r="G4880" s="490"/>
      <c r="H4880" s="520"/>
      <c r="I4880" s="523"/>
      <c r="J4880" s="521"/>
      <c r="K4880" s="522"/>
      <c r="M4880" s="301" t="str">
        <f>N4880&amp;AS[[#This Row],[Insurer Code]]&amp;"; "&amp;O4880&amp;AS[[#This Row],[Reporting Year]]&amp;"; "&amp;P4880&amp;AS[[#This Row],[Insurance Category Code]]&amp;"; "&amp;Q4880&amp;AS[[#This Row],[Large Provider Entity Code]]&amp;"; "&amp;R4880&amp;AS[[#This Row],[Age Band Code]]&amp;"; "&amp;S4880&amp;AS[[#This Row],[Sex Code]]</f>
        <v xml:space="preserve">Insurer Code ; Reporting Year ; Insurance Category Code ; Large Provider Entity Code ; Age Band Code ; Sex Code </v>
      </c>
      <c r="N4880" s="297" t="s">
        <v>197</v>
      </c>
      <c r="O4880" s="297" t="s">
        <v>198</v>
      </c>
      <c r="P4880" s="297" t="s">
        <v>199</v>
      </c>
      <c r="Q4880" s="297" t="s">
        <v>200</v>
      </c>
      <c r="R4880" s="297" t="s">
        <v>213</v>
      </c>
      <c r="S4880" s="297" t="s">
        <v>214</v>
      </c>
    </row>
    <row r="4881" spans="1:19" x14ac:dyDescent="0.4">
      <c r="A4881" s="291"/>
      <c r="B4881" s="292"/>
      <c r="C4881" s="312"/>
      <c r="D4881" s="292"/>
      <c r="E4881" s="489"/>
      <c r="F4881" s="489"/>
      <c r="G4881" s="490"/>
      <c r="H4881" s="520"/>
      <c r="I4881" s="523"/>
      <c r="J4881" s="521"/>
      <c r="K4881" s="522"/>
      <c r="M4881" s="301" t="str">
        <f>N4881&amp;AS[[#This Row],[Insurer Code]]&amp;"; "&amp;O4881&amp;AS[[#This Row],[Reporting Year]]&amp;"; "&amp;P4881&amp;AS[[#This Row],[Insurance Category Code]]&amp;"; "&amp;Q4881&amp;AS[[#This Row],[Large Provider Entity Code]]&amp;"; "&amp;R4881&amp;AS[[#This Row],[Age Band Code]]&amp;"; "&amp;S4881&amp;AS[[#This Row],[Sex Code]]</f>
        <v xml:space="preserve">Insurer Code ; Reporting Year ; Insurance Category Code ; Large Provider Entity Code ; Age Band Code ; Sex Code </v>
      </c>
      <c r="N4881" s="297" t="s">
        <v>197</v>
      </c>
      <c r="O4881" s="297" t="s">
        <v>198</v>
      </c>
      <c r="P4881" s="297" t="s">
        <v>199</v>
      </c>
      <c r="Q4881" s="297" t="s">
        <v>200</v>
      </c>
      <c r="R4881" s="297" t="s">
        <v>213</v>
      </c>
      <c r="S4881" s="297" t="s">
        <v>214</v>
      </c>
    </row>
    <row r="4882" spans="1:19" x14ac:dyDescent="0.4">
      <c r="A4882" s="291"/>
      <c r="B4882" s="292"/>
      <c r="C4882" s="312"/>
      <c r="D4882" s="292"/>
      <c r="E4882" s="489"/>
      <c r="F4882" s="489"/>
      <c r="G4882" s="490"/>
      <c r="H4882" s="520"/>
      <c r="I4882" s="523"/>
      <c r="J4882" s="521"/>
      <c r="K4882" s="522"/>
      <c r="M4882" s="301" t="str">
        <f>N4882&amp;AS[[#This Row],[Insurer Code]]&amp;"; "&amp;O4882&amp;AS[[#This Row],[Reporting Year]]&amp;"; "&amp;P4882&amp;AS[[#This Row],[Insurance Category Code]]&amp;"; "&amp;Q4882&amp;AS[[#This Row],[Large Provider Entity Code]]&amp;"; "&amp;R4882&amp;AS[[#This Row],[Age Band Code]]&amp;"; "&amp;S4882&amp;AS[[#This Row],[Sex Code]]</f>
        <v xml:space="preserve">Insurer Code ; Reporting Year ; Insurance Category Code ; Large Provider Entity Code ; Age Band Code ; Sex Code </v>
      </c>
      <c r="N4882" s="297" t="s">
        <v>197</v>
      </c>
      <c r="O4882" s="297" t="s">
        <v>198</v>
      </c>
      <c r="P4882" s="297" t="s">
        <v>199</v>
      </c>
      <c r="Q4882" s="297" t="s">
        <v>200</v>
      </c>
      <c r="R4882" s="297" t="s">
        <v>213</v>
      </c>
      <c r="S4882" s="297" t="s">
        <v>214</v>
      </c>
    </row>
    <row r="4883" spans="1:19" x14ac:dyDescent="0.4">
      <c r="A4883" s="291"/>
      <c r="B4883" s="292"/>
      <c r="C4883" s="312"/>
      <c r="D4883" s="292"/>
      <c r="E4883" s="489"/>
      <c r="F4883" s="489"/>
      <c r="G4883" s="490"/>
      <c r="H4883" s="520"/>
      <c r="I4883" s="523"/>
      <c r="J4883" s="521"/>
      <c r="K4883" s="522"/>
      <c r="M4883" s="301" t="str">
        <f>N4883&amp;AS[[#This Row],[Insurer Code]]&amp;"; "&amp;O4883&amp;AS[[#This Row],[Reporting Year]]&amp;"; "&amp;P4883&amp;AS[[#This Row],[Insurance Category Code]]&amp;"; "&amp;Q4883&amp;AS[[#This Row],[Large Provider Entity Code]]&amp;"; "&amp;R4883&amp;AS[[#This Row],[Age Band Code]]&amp;"; "&amp;S4883&amp;AS[[#This Row],[Sex Code]]</f>
        <v xml:space="preserve">Insurer Code ; Reporting Year ; Insurance Category Code ; Large Provider Entity Code ; Age Band Code ; Sex Code </v>
      </c>
      <c r="N4883" s="297" t="s">
        <v>197</v>
      </c>
      <c r="O4883" s="297" t="s">
        <v>198</v>
      </c>
      <c r="P4883" s="297" t="s">
        <v>199</v>
      </c>
      <c r="Q4883" s="297" t="s">
        <v>200</v>
      </c>
      <c r="R4883" s="297" t="s">
        <v>213</v>
      </c>
      <c r="S4883" s="297" t="s">
        <v>214</v>
      </c>
    </row>
    <row r="4884" spans="1:19" x14ac:dyDescent="0.4">
      <c r="A4884" s="291"/>
      <c r="B4884" s="292"/>
      <c r="C4884" s="312"/>
      <c r="D4884" s="292"/>
      <c r="E4884" s="489"/>
      <c r="F4884" s="489"/>
      <c r="G4884" s="490"/>
      <c r="H4884" s="520"/>
      <c r="I4884" s="523"/>
      <c r="J4884" s="521"/>
      <c r="K4884" s="522"/>
      <c r="M4884" s="301" t="str">
        <f>N4884&amp;AS[[#This Row],[Insurer Code]]&amp;"; "&amp;O4884&amp;AS[[#This Row],[Reporting Year]]&amp;"; "&amp;P4884&amp;AS[[#This Row],[Insurance Category Code]]&amp;"; "&amp;Q4884&amp;AS[[#This Row],[Large Provider Entity Code]]&amp;"; "&amp;R4884&amp;AS[[#This Row],[Age Band Code]]&amp;"; "&amp;S4884&amp;AS[[#This Row],[Sex Code]]</f>
        <v xml:space="preserve">Insurer Code ; Reporting Year ; Insurance Category Code ; Large Provider Entity Code ; Age Band Code ; Sex Code </v>
      </c>
      <c r="N4884" s="297" t="s">
        <v>197</v>
      </c>
      <c r="O4884" s="297" t="s">
        <v>198</v>
      </c>
      <c r="P4884" s="297" t="s">
        <v>199</v>
      </c>
      <c r="Q4884" s="297" t="s">
        <v>200</v>
      </c>
      <c r="R4884" s="297" t="s">
        <v>213</v>
      </c>
      <c r="S4884" s="297" t="s">
        <v>214</v>
      </c>
    </row>
    <row r="4885" spans="1:19" x14ac:dyDescent="0.4">
      <c r="A4885" s="291"/>
      <c r="B4885" s="292"/>
      <c r="C4885" s="312"/>
      <c r="D4885" s="292"/>
      <c r="E4885" s="489"/>
      <c r="F4885" s="489"/>
      <c r="G4885" s="490"/>
      <c r="H4885" s="520"/>
      <c r="I4885" s="523"/>
      <c r="J4885" s="521"/>
      <c r="K4885" s="522"/>
      <c r="M4885" s="301" t="str">
        <f>N4885&amp;AS[[#This Row],[Insurer Code]]&amp;"; "&amp;O4885&amp;AS[[#This Row],[Reporting Year]]&amp;"; "&amp;P4885&amp;AS[[#This Row],[Insurance Category Code]]&amp;"; "&amp;Q4885&amp;AS[[#This Row],[Large Provider Entity Code]]&amp;"; "&amp;R4885&amp;AS[[#This Row],[Age Band Code]]&amp;"; "&amp;S4885&amp;AS[[#This Row],[Sex Code]]</f>
        <v xml:space="preserve">Insurer Code ; Reporting Year ; Insurance Category Code ; Large Provider Entity Code ; Age Band Code ; Sex Code </v>
      </c>
      <c r="N4885" s="297" t="s">
        <v>197</v>
      </c>
      <c r="O4885" s="297" t="s">
        <v>198</v>
      </c>
      <c r="P4885" s="297" t="s">
        <v>199</v>
      </c>
      <c r="Q4885" s="297" t="s">
        <v>200</v>
      </c>
      <c r="R4885" s="297" t="s">
        <v>213</v>
      </c>
      <c r="S4885" s="297" t="s">
        <v>214</v>
      </c>
    </row>
    <row r="4886" spans="1:19" x14ac:dyDescent="0.4">
      <c r="A4886" s="291"/>
      <c r="B4886" s="292"/>
      <c r="C4886" s="312"/>
      <c r="D4886" s="292"/>
      <c r="E4886" s="489"/>
      <c r="F4886" s="489"/>
      <c r="G4886" s="490"/>
      <c r="H4886" s="520"/>
      <c r="I4886" s="523"/>
      <c r="J4886" s="521"/>
      <c r="K4886" s="522"/>
      <c r="M4886" s="301" t="str">
        <f>N4886&amp;AS[[#This Row],[Insurer Code]]&amp;"; "&amp;O4886&amp;AS[[#This Row],[Reporting Year]]&amp;"; "&amp;P4886&amp;AS[[#This Row],[Insurance Category Code]]&amp;"; "&amp;Q4886&amp;AS[[#This Row],[Large Provider Entity Code]]&amp;"; "&amp;R4886&amp;AS[[#This Row],[Age Band Code]]&amp;"; "&amp;S4886&amp;AS[[#This Row],[Sex Code]]</f>
        <v xml:space="preserve">Insurer Code ; Reporting Year ; Insurance Category Code ; Large Provider Entity Code ; Age Band Code ; Sex Code </v>
      </c>
      <c r="N4886" s="297" t="s">
        <v>197</v>
      </c>
      <c r="O4886" s="297" t="s">
        <v>198</v>
      </c>
      <c r="P4886" s="297" t="s">
        <v>199</v>
      </c>
      <c r="Q4886" s="297" t="s">
        <v>200</v>
      </c>
      <c r="R4886" s="297" t="s">
        <v>213</v>
      </c>
      <c r="S4886" s="297" t="s">
        <v>214</v>
      </c>
    </row>
    <row r="4887" spans="1:19" x14ac:dyDescent="0.4">
      <c r="A4887" s="291"/>
      <c r="B4887" s="292"/>
      <c r="C4887" s="312"/>
      <c r="D4887" s="292"/>
      <c r="E4887" s="489"/>
      <c r="F4887" s="489"/>
      <c r="G4887" s="490"/>
      <c r="H4887" s="520"/>
      <c r="I4887" s="523"/>
      <c r="J4887" s="521"/>
      <c r="K4887" s="522"/>
      <c r="M4887" s="301" t="str">
        <f>N4887&amp;AS[[#This Row],[Insurer Code]]&amp;"; "&amp;O4887&amp;AS[[#This Row],[Reporting Year]]&amp;"; "&amp;P4887&amp;AS[[#This Row],[Insurance Category Code]]&amp;"; "&amp;Q4887&amp;AS[[#This Row],[Large Provider Entity Code]]&amp;"; "&amp;R4887&amp;AS[[#This Row],[Age Band Code]]&amp;"; "&amp;S4887&amp;AS[[#This Row],[Sex Code]]</f>
        <v xml:space="preserve">Insurer Code ; Reporting Year ; Insurance Category Code ; Large Provider Entity Code ; Age Band Code ; Sex Code </v>
      </c>
      <c r="N4887" s="297" t="s">
        <v>197</v>
      </c>
      <c r="O4887" s="297" t="s">
        <v>198</v>
      </c>
      <c r="P4887" s="297" t="s">
        <v>199</v>
      </c>
      <c r="Q4887" s="297" t="s">
        <v>200</v>
      </c>
      <c r="R4887" s="297" t="s">
        <v>213</v>
      </c>
      <c r="S4887" s="297" t="s">
        <v>214</v>
      </c>
    </row>
    <row r="4888" spans="1:19" x14ac:dyDescent="0.4">
      <c r="A4888" s="291"/>
      <c r="B4888" s="292"/>
      <c r="C4888" s="312"/>
      <c r="D4888" s="292"/>
      <c r="E4888" s="489"/>
      <c r="F4888" s="489"/>
      <c r="G4888" s="490"/>
      <c r="H4888" s="520"/>
      <c r="I4888" s="523"/>
      <c r="J4888" s="521"/>
      <c r="K4888" s="522"/>
      <c r="M4888" s="301" t="str">
        <f>N4888&amp;AS[[#This Row],[Insurer Code]]&amp;"; "&amp;O4888&amp;AS[[#This Row],[Reporting Year]]&amp;"; "&amp;P4888&amp;AS[[#This Row],[Insurance Category Code]]&amp;"; "&amp;Q4888&amp;AS[[#This Row],[Large Provider Entity Code]]&amp;"; "&amp;R4888&amp;AS[[#This Row],[Age Band Code]]&amp;"; "&amp;S4888&amp;AS[[#This Row],[Sex Code]]</f>
        <v xml:space="preserve">Insurer Code ; Reporting Year ; Insurance Category Code ; Large Provider Entity Code ; Age Band Code ; Sex Code </v>
      </c>
      <c r="N4888" s="297" t="s">
        <v>197</v>
      </c>
      <c r="O4888" s="297" t="s">
        <v>198</v>
      </c>
      <c r="P4888" s="297" t="s">
        <v>199</v>
      </c>
      <c r="Q4888" s="297" t="s">
        <v>200</v>
      </c>
      <c r="R4888" s="297" t="s">
        <v>213</v>
      </c>
      <c r="S4888" s="297" t="s">
        <v>214</v>
      </c>
    </row>
    <row r="4889" spans="1:19" x14ac:dyDescent="0.4">
      <c r="A4889" s="291"/>
      <c r="B4889" s="292"/>
      <c r="C4889" s="312"/>
      <c r="D4889" s="292"/>
      <c r="E4889" s="489"/>
      <c r="F4889" s="489"/>
      <c r="G4889" s="490"/>
      <c r="H4889" s="520"/>
      <c r="I4889" s="523"/>
      <c r="J4889" s="521"/>
      <c r="K4889" s="522"/>
      <c r="M4889" s="301" t="str">
        <f>N4889&amp;AS[[#This Row],[Insurer Code]]&amp;"; "&amp;O4889&amp;AS[[#This Row],[Reporting Year]]&amp;"; "&amp;P4889&amp;AS[[#This Row],[Insurance Category Code]]&amp;"; "&amp;Q4889&amp;AS[[#This Row],[Large Provider Entity Code]]&amp;"; "&amp;R4889&amp;AS[[#This Row],[Age Band Code]]&amp;"; "&amp;S4889&amp;AS[[#This Row],[Sex Code]]</f>
        <v xml:space="preserve">Insurer Code ; Reporting Year ; Insurance Category Code ; Large Provider Entity Code ; Age Band Code ; Sex Code </v>
      </c>
      <c r="N4889" s="297" t="s">
        <v>197</v>
      </c>
      <c r="O4889" s="297" t="s">
        <v>198</v>
      </c>
      <c r="P4889" s="297" t="s">
        <v>199</v>
      </c>
      <c r="Q4889" s="297" t="s">
        <v>200</v>
      </c>
      <c r="R4889" s="297" t="s">
        <v>213</v>
      </c>
      <c r="S4889" s="297" t="s">
        <v>214</v>
      </c>
    </row>
    <row r="4890" spans="1:19" x14ac:dyDescent="0.4">
      <c r="A4890" s="291"/>
      <c r="B4890" s="292"/>
      <c r="C4890" s="312"/>
      <c r="D4890" s="292"/>
      <c r="E4890" s="489"/>
      <c r="F4890" s="489"/>
      <c r="G4890" s="490"/>
      <c r="H4890" s="520"/>
      <c r="I4890" s="523"/>
      <c r="J4890" s="521"/>
      <c r="K4890" s="522"/>
      <c r="M4890" s="301" t="str">
        <f>N4890&amp;AS[[#This Row],[Insurer Code]]&amp;"; "&amp;O4890&amp;AS[[#This Row],[Reporting Year]]&amp;"; "&amp;P4890&amp;AS[[#This Row],[Insurance Category Code]]&amp;"; "&amp;Q4890&amp;AS[[#This Row],[Large Provider Entity Code]]&amp;"; "&amp;R4890&amp;AS[[#This Row],[Age Band Code]]&amp;"; "&amp;S4890&amp;AS[[#This Row],[Sex Code]]</f>
        <v xml:space="preserve">Insurer Code ; Reporting Year ; Insurance Category Code ; Large Provider Entity Code ; Age Band Code ; Sex Code </v>
      </c>
      <c r="N4890" s="297" t="s">
        <v>197</v>
      </c>
      <c r="O4890" s="297" t="s">
        <v>198</v>
      </c>
      <c r="P4890" s="297" t="s">
        <v>199</v>
      </c>
      <c r="Q4890" s="297" t="s">
        <v>200</v>
      </c>
      <c r="R4890" s="297" t="s">
        <v>213</v>
      </c>
      <c r="S4890" s="297" t="s">
        <v>214</v>
      </c>
    </row>
    <row r="4891" spans="1:19" x14ac:dyDescent="0.4">
      <c r="A4891" s="291"/>
      <c r="B4891" s="292"/>
      <c r="C4891" s="312"/>
      <c r="D4891" s="292"/>
      <c r="E4891" s="489"/>
      <c r="F4891" s="489"/>
      <c r="G4891" s="490"/>
      <c r="H4891" s="520"/>
      <c r="I4891" s="523"/>
      <c r="J4891" s="521"/>
      <c r="K4891" s="522"/>
      <c r="M4891" s="301" t="str">
        <f>N4891&amp;AS[[#This Row],[Insurer Code]]&amp;"; "&amp;O4891&amp;AS[[#This Row],[Reporting Year]]&amp;"; "&amp;P4891&amp;AS[[#This Row],[Insurance Category Code]]&amp;"; "&amp;Q4891&amp;AS[[#This Row],[Large Provider Entity Code]]&amp;"; "&amp;R4891&amp;AS[[#This Row],[Age Band Code]]&amp;"; "&amp;S4891&amp;AS[[#This Row],[Sex Code]]</f>
        <v xml:space="preserve">Insurer Code ; Reporting Year ; Insurance Category Code ; Large Provider Entity Code ; Age Band Code ; Sex Code </v>
      </c>
      <c r="N4891" s="297" t="s">
        <v>197</v>
      </c>
      <c r="O4891" s="297" t="s">
        <v>198</v>
      </c>
      <c r="P4891" s="297" t="s">
        <v>199</v>
      </c>
      <c r="Q4891" s="297" t="s">
        <v>200</v>
      </c>
      <c r="R4891" s="297" t="s">
        <v>213</v>
      </c>
      <c r="S4891" s="297" t="s">
        <v>214</v>
      </c>
    </row>
    <row r="4892" spans="1:19" x14ac:dyDescent="0.4">
      <c r="A4892" s="291"/>
      <c r="B4892" s="292"/>
      <c r="C4892" s="312"/>
      <c r="D4892" s="292"/>
      <c r="E4892" s="489"/>
      <c r="F4892" s="489"/>
      <c r="G4892" s="490"/>
      <c r="H4892" s="520"/>
      <c r="I4892" s="523"/>
      <c r="J4892" s="521"/>
      <c r="K4892" s="522"/>
      <c r="M4892" s="301" t="str">
        <f>N4892&amp;AS[[#This Row],[Insurer Code]]&amp;"; "&amp;O4892&amp;AS[[#This Row],[Reporting Year]]&amp;"; "&amp;P4892&amp;AS[[#This Row],[Insurance Category Code]]&amp;"; "&amp;Q4892&amp;AS[[#This Row],[Large Provider Entity Code]]&amp;"; "&amp;R4892&amp;AS[[#This Row],[Age Band Code]]&amp;"; "&amp;S4892&amp;AS[[#This Row],[Sex Code]]</f>
        <v xml:space="preserve">Insurer Code ; Reporting Year ; Insurance Category Code ; Large Provider Entity Code ; Age Band Code ; Sex Code </v>
      </c>
      <c r="N4892" s="297" t="s">
        <v>197</v>
      </c>
      <c r="O4892" s="297" t="s">
        <v>198</v>
      </c>
      <c r="P4892" s="297" t="s">
        <v>199</v>
      </c>
      <c r="Q4892" s="297" t="s">
        <v>200</v>
      </c>
      <c r="R4892" s="297" t="s">
        <v>213</v>
      </c>
      <c r="S4892" s="297" t="s">
        <v>214</v>
      </c>
    </row>
    <row r="4893" spans="1:19" x14ac:dyDescent="0.4">
      <c r="A4893" s="291"/>
      <c r="B4893" s="292"/>
      <c r="C4893" s="312"/>
      <c r="D4893" s="292"/>
      <c r="E4893" s="489"/>
      <c r="F4893" s="489"/>
      <c r="G4893" s="490"/>
      <c r="H4893" s="520"/>
      <c r="I4893" s="523"/>
      <c r="J4893" s="521"/>
      <c r="K4893" s="522"/>
      <c r="M4893" s="301" t="str">
        <f>N4893&amp;AS[[#This Row],[Insurer Code]]&amp;"; "&amp;O4893&amp;AS[[#This Row],[Reporting Year]]&amp;"; "&amp;P4893&amp;AS[[#This Row],[Insurance Category Code]]&amp;"; "&amp;Q4893&amp;AS[[#This Row],[Large Provider Entity Code]]&amp;"; "&amp;R4893&amp;AS[[#This Row],[Age Band Code]]&amp;"; "&amp;S4893&amp;AS[[#This Row],[Sex Code]]</f>
        <v xml:space="preserve">Insurer Code ; Reporting Year ; Insurance Category Code ; Large Provider Entity Code ; Age Band Code ; Sex Code </v>
      </c>
      <c r="N4893" s="297" t="s">
        <v>197</v>
      </c>
      <c r="O4893" s="297" t="s">
        <v>198</v>
      </c>
      <c r="P4893" s="297" t="s">
        <v>199</v>
      </c>
      <c r="Q4893" s="297" t="s">
        <v>200</v>
      </c>
      <c r="R4893" s="297" t="s">
        <v>213</v>
      </c>
      <c r="S4893" s="297" t="s">
        <v>214</v>
      </c>
    </row>
    <row r="4894" spans="1:19" x14ac:dyDescent="0.4">
      <c r="A4894" s="291"/>
      <c r="B4894" s="292"/>
      <c r="C4894" s="312"/>
      <c r="D4894" s="292"/>
      <c r="E4894" s="489"/>
      <c r="F4894" s="489"/>
      <c r="G4894" s="490"/>
      <c r="H4894" s="520"/>
      <c r="I4894" s="523"/>
      <c r="J4894" s="521"/>
      <c r="K4894" s="522"/>
      <c r="M4894" s="301" t="str">
        <f>N4894&amp;AS[[#This Row],[Insurer Code]]&amp;"; "&amp;O4894&amp;AS[[#This Row],[Reporting Year]]&amp;"; "&amp;P4894&amp;AS[[#This Row],[Insurance Category Code]]&amp;"; "&amp;Q4894&amp;AS[[#This Row],[Large Provider Entity Code]]&amp;"; "&amp;R4894&amp;AS[[#This Row],[Age Band Code]]&amp;"; "&amp;S4894&amp;AS[[#This Row],[Sex Code]]</f>
        <v xml:space="preserve">Insurer Code ; Reporting Year ; Insurance Category Code ; Large Provider Entity Code ; Age Band Code ; Sex Code </v>
      </c>
      <c r="N4894" s="297" t="s">
        <v>197</v>
      </c>
      <c r="O4894" s="297" t="s">
        <v>198</v>
      </c>
      <c r="P4894" s="297" t="s">
        <v>199</v>
      </c>
      <c r="Q4894" s="297" t="s">
        <v>200</v>
      </c>
      <c r="R4894" s="297" t="s">
        <v>213</v>
      </c>
      <c r="S4894" s="297" t="s">
        <v>214</v>
      </c>
    </row>
    <row r="4895" spans="1:19" x14ac:dyDescent="0.4">
      <c r="A4895" s="291"/>
      <c r="B4895" s="292"/>
      <c r="C4895" s="312"/>
      <c r="D4895" s="292"/>
      <c r="E4895" s="489"/>
      <c r="F4895" s="489"/>
      <c r="G4895" s="490"/>
      <c r="H4895" s="520"/>
      <c r="I4895" s="523"/>
      <c r="J4895" s="521"/>
      <c r="K4895" s="522"/>
      <c r="M4895" s="301" t="str">
        <f>N4895&amp;AS[[#This Row],[Insurer Code]]&amp;"; "&amp;O4895&amp;AS[[#This Row],[Reporting Year]]&amp;"; "&amp;P4895&amp;AS[[#This Row],[Insurance Category Code]]&amp;"; "&amp;Q4895&amp;AS[[#This Row],[Large Provider Entity Code]]&amp;"; "&amp;R4895&amp;AS[[#This Row],[Age Band Code]]&amp;"; "&amp;S4895&amp;AS[[#This Row],[Sex Code]]</f>
        <v xml:space="preserve">Insurer Code ; Reporting Year ; Insurance Category Code ; Large Provider Entity Code ; Age Band Code ; Sex Code </v>
      </c>
      <c r="N4895" s="297" t="s">
        <v>197</v>
      </c>
      <c r="O4895" s="297" t="s">
        <v>198</v>
      </c>
      <c r="P4895" s="297" t="s">
        <v>199</v>
      </c>
      <c r="Q4895" s="297" t="s">
        <v>200</v>
      </c>
      <c r="R4895" s="297" t="s">
        <v>213</v>
      </c>
      <c r="S4895" s="297" t="s">
        <v>214</v>
      </c>
    </row>
    <row r="4896" spans="1:19" x14ac:dyDescent="0.4">
      <c r="A4896" s="291"/>
      <c r="B4896" s="292"/>
      <c r="C4896" s="312"/>
      <c r="D4896" s="292"/>
      <c r="E4896" s="489"/>
      <c r="F4896" s="489"/>
      <c r="G4896" s="490"/>
      <c r="H4896" s="520"/>
      <c r="I4896" s="523"/>
      <c r="J4896" s="521"/>
      <c r="K4896" s="522"/>
      <c r="M4896" s="301" t="str">
        <f>N4896&amp;AS[[#This Row],[Insurer Code]]&amp;"; "&amp;O4896&amp;AS[[#This Row],[Reporting Year]]&amp;"; "&amp;P4896&amp;AS[[#This Row],[Insurance Category Code]]&amp;"; "&amp;Q4896&amp;AS[[#This Row],[Large Provider Entity Code]]&amp;"; "&amp;R4896&amp;AS[[#This Row],[Age Band Code]]&amp;"; "&amp;S4896&amp;AS[[#This Row],[Sex Code]]</f>
        <v xml:space="preserve">Insurer Code ; Reporting Year ; Insurance Category Code ; Large Provider Entity Code ; Age Band Code ; Sex Code </v>
      </c>
      <c r="N4896" s="297" t="s">
        <v>197</v>
      </c>
      <c r="O4896" s="297" t="s">
        <v>198</v>
      </c>
      <c r="P4896" s="297" t="s">
        <v>199</v>
      </c>
      <c r="Q4896" s="297" t="s">
        <v>200</v>
      </c>
      <c r="R4896" s="297" t="s">
        <v>213</v>
      </c>
      <c r="S4896" s="297" t="s">
        <v>214</v>
      </c>
    </row>
    <row r="4897" spans="1:19" x14ac:dyDescent="0.4">
      <c r="A4897" s="291"/>
      <c r="B4897" s="292"/>
      <c r="C4897" s="312"/>
      <c r="D4897" s="292"/>
      <c r="E4897" s="489"/>
      <c r="F4897" s="489"/>
      <c r="G4897" s="490"/>
      <c r="H4897" s="520"/>
      <c r="I4897" s="523"/>
      <c r="J4897" s="521"/>
      <c r="K4897" s="522"/>
      <c r="M4897" s="301" t="str">
        <f>N4897&amp;AS[[#This Row],[Insurer Code]]&amp;"; "&amp;O4897&amp;AS[[#This Row],[Reporting Year]]&amp;"; "&amp;P4897&amp;AS[[#This Row],[Insurance Category Code]]&amp;"; "&amp;Q4897&amp;AS[[#This Row],[Large Provider Entity Code]]&amp;"; "&amp;R4897&amp;AS[[#This Row],[Age Band Code]]&amp;"; "&amp;S4897&amp;AS[[#This Row],[Sex Code]]</f>
        <v xml:space="preserve">Insurer Code ; Reporting Year ; Insurance Category Code ; Large Provider Entity Code ; Age Band Code ; Sex Code </v>
      </c>
      <c r="N4897" s="297" t="s">
        <v>197</v>
      </c>
      <c r="O4897" s="297" t="s">
        <v>198</v>
      </c>
      <c r="P4897" s="297" t="s">
        <v>199</v>
      </c>
      <c r="Q4897" s="297" t="s">
        <v>200</v>
      </c>
      <c r="R4897" s="297" t="s">
        <v>213</v>
      </c>
      <c r="S4897" s="297" t="s">
        <v>214</v>
      </c>
    </row>
    <row r="4898" spans="1:19" x14ac:dyDescent="0.4">
      <c r="A4898" s="291"/>
      <c r="B4898" s="292"/>
      <c r="C4898" s="312"/>
      <c r="D4898" s="292"/>
      <c r="E4898" s="489"/>
      <c r="F4898" s="489"/>
      <c r="G4898" s="490"/>
      <c r="H4898" s="520"/>
      <c r="I4898" s="523"/>
      <c r="J4898" s="521"/>
      <c r="K4898" s="522"/>
      <c r="M4898" s="301" t="str">
        <f>N4898&amp;AS[[#This Row],[Insurer Code]]&amp;"; "&amp;O4898&amp;AS[[#This Row],[Reporting Year]]&amp;"; "&amp;P4898&amp;AS[[#This Row],[Insurance Category Code]]&amp;"; "&amp;Q4898&amp;AS[[#This Row],[Large Provider Entity Code]]&amp;"; "&amp;R4898&amp;AS[[#This Row],[Age Band Code]]&amp;"; "&amp;S4898&amp;AS[[#This Row],[Sex Code]]</f>
        <v xml:space="preserve">Insurer Code ; Reporting Year ; Insurance Category Code ; Large Provider Entity Code ; Age Band Code ; Sex Code </v>
      </c>
      <c r="N4898" s="297" t="s">
        <v>197</v>
      </c>
      <c r="O4898" s="297" t="s">
        <v>198</v>
      </c>
      <c r="P4898" s="297" t="s">
        <v>199</v>
      </c>
      <c r="Q4898" s="297" t="s">
        <v>200</v>
      </c>
      <c r="R4898" s="297" t="s">
        <v>213</v>
      </c>
      <c r="S4898" s="297" t="s">
        <v>214</v>
      </c>
    </row>
    <row r="4899" spans="1:19" x14ac:dyDescent="0.4">
      <c r="A4899" s="291"/>
      <c r="B4899" s="292"/>
      <c r="C4899" s="312"/>
      <c r="D4899" s="292"/>
      <c r="E4899" s="489"/>
      <c r="F4899" s="489"/>
      <c r="G4899" s="490"/>
      <c r="H4899" s="520"/>
      <c r="I4899" s="523"/>
      <c r="J4899" s="521"/>
      <c r="K4899" s="522"/>
      <c r="M4899" s="301" t="str">
        <f>N4899&amp;AS[[#This Row],[Insurer Code]]&amp;"; "&amp;O4899&amp;AS[[#This Row],[Reporting Year]]&amp;"; "&amp;P4899&amp;AS[[#This Row],[Insurance Category Code]]&amp;"; "&amp;Q4899&amp;AS[[#This Row],[Large Provider Entity Code]]&amp;"; "&amp;R4899&amp;AS[[#This Row],[Age Band Code]]&amp;"; "&amp;S4899&amp;AS[[#This Row],[Sex Code]]</f>
        <v xml:space="preserve">Insurer Code ; Reporting Year ; Insurance Category Code ; Large Provider Entity Code ; Age Band Code ; Sex Code </v>
      </c>
      <c r="N4899" s="297" t="s">
        <v>197</v>
      </c>
      <c r="O4899" s="297" t="s">
        <v>198</v>
      </c>
      <c r="P4899" s="297" t="s">
        <v>199</v>
      </c>
      <c r="Q4899" s="297" t="s">
        <v>200</v>
      </c>
      <c r="R4899" s="297" t="s">
        <v>213</v>
      </c>
      <c r="S4899" s="297" t="s">
        <v>214</v>
      </c>
    </row>
    <row r="4900" spans="1:19" x14ac:dyDescent="0.4">
      <c r="A4900" s="291"/>
      <c r="B4900" s="292"/>
      <c r="C4900" s="312"/>
      <c r="D4900" s="292"/>
      <c r="E4900" s="489"/>
      <c r="F4900" s="489"/>
      <c r="G4900" s="490"/>
      <c r="H4900" s="520"/>
      <c r="I4900" s="523"/>
      <c r="J4900" s="521"/>
      <c r="K4900" s="522"/>
      <c r="M4900" s="301" t="str">
        <f>N4900&amp;AS[[#This Row],[Insurer Code]]&amp;"; "&amp;O4900&amp;AS[[#This Row],[Reporting Year]]&amp;"; "&amp;P4900&amp;AS[[#This Row],[Insurance Category Code]]&amp;"; "&amp;Q4900&amp;AS[[#This Row],[Large Provider Entity Code]]&amp;"; "&amp;R4900&amp;AS[[#This Row],[Age Band Code]]&amp;"; "&amp;S4900&amp;AS[[#This Row],[Sex Code]]</f>
        <v xml:space="preserve">Insurer Code ; Reporting Year ; Insurance Category Code ; Large Provider Entity Code ; Age Band Code ; Sex Code </v>
      </c>
      <c r="N4900" s="297" t="s">
        <v>197</v>
      </c>
      <c r="O4900" s="297" t="s">
        <v>198</v>
      </c>
      <c r="P4900" s="297" t="s">
        <v>199</v>
      </c>
      <c r="Q4900" s="297" t="s">
        <v>200</v>
      </c>
      <c r="R4900" s="297" t="s">
        <v>213</v>
      </c>
      <c r="S4900" s="297" t="s">
        <v>214</v>
      </c>
    </row>
    <row r="4901" spans="1:19" x14ac:dyDescent="0.4">
      <c r="A4901" s="291"/>
      <c r="B4901" s="292"/>
      <c r="C4901" s="312"/>
      <c r="D4901" s="292"/>
      <c r="E4901" s="489"/>
      <c r="F4901" s="489"/>
      <c r="G4901" s="490"/>
      <c r="H4901" s="520"/>
      <c r="I4901" s="523"/>
      <c r="J4901" s="521"/>
      <c r="K4901" s="522"/>
      <c r="M4901" s="301" t="str">
        <f>N4901&amp;AS[[#This Row],[Insurer Code]]&amp;"; "&amp;O4901&amp;AS[[#This Row],[Reporting Year]]&amp;"; "&amp;P4901&amp;AS[[#This Row],[Insurance Category Code]]&amp;"; "&amp;Q4901&amp;AS[[#This Row],[Large Provider Entity Code]]&amp;"; "&amp;R4901&amp;AS[[#This Row],[Age Band Code]]&amp;"; "&amp;S4901&amp;AS[[#This Row],[Sex Code]]</f>
        <v xml:space="preserve">Insurer Code ; Reporting Year ; Insurance Category Code ; Large Provider Entity Code ; Age Band Code ; Sex Code </v>
      </c>
      <c r="N4901" s="297" t="s">
        <v>197</v>
      </c>
      <c r="O4901" s="297" t="s">
        <v>198</v>
      </c>
      <c r="P4901" s="297" t="s">
        <v>199</v>
      </c>
      <c r="Q4901" s="297" t="s">
        <v>200</v>
      </c>
      <c r="R4901" s="297" t="s">
        <v>213</v>
      </c>
      <c r="S4901" s="297" t="s">
        <v>214</v>
      </c>
    </row>
    <row r="4902" spans="1:19" x14ac:dyDescent="0.4">
      <c r="A4902" s="291"/>
      <c r="B4902" s="292"/>
      <c r="C4902" s="312"/>
      <c r="D4902" s="292"/>
      <c r="E4902" s="489"/>
      <c r="F4902" s="489"/>
      <c r="G4902" s="490"/>
      <c r="H4902" s="520"/>
      <c r="I4902" s="523"/>
      <c r="J4902" s="521"/>
      <c r="K4902" s="522"/>
      <c r="M4902" s="301" t="str">
        <f>N4902&amp;AS[[#This Row],[Insurer Code]]&amp;"; "&amp;O4902&amp;AS[[#This Row],[Reporting Year]]&amp;"; "&amp;P4902&amp;AS[[#This Row],[Insurance Category Code]]&amp;"; "&amp;Q4902&amp;AS[[#This Row],[Large Provider Entity Code]]&amp;"; "&amp;R4902&amp;AS[[#This Row],[Age Band Code]]&amp;"; "&amp;S4902&amp;AS[[#This Row],[Sex Code]]</f>
        <v xml:space="preserve">Insurer Code ; Reporting Year ; Insurance Category Code ; Large Provider Entity Code ; Age Band Code ; Sex Code </v>
      </c>
      <c r="N4902" s="297" t="s">
        <v>197</v>
      </c>
      <c r="O4902" s="297" t="s">
        <v>198</v>
      </c>
      <c r="P4902" s="297" t="s">
        <v>199</v>
      </c>
      <c r="Q4902" s="297" t="s">
        <v>200</v>
      </c>
      <c r="R4902" s="297" t="s">
        <v>213</v>
      </c>
      <c r="S4902" s="297" t="s">
        <v>214</v>
      </c>
    </row>
    <row r="4903" spans="1:19" x14ac:dyDescent="0.4">
      <c r="A4903" s="291"/>
      <c r="B4903" s="292"/>
      <c r="C4903" s="312"/>
      <c r="D4903" s="292"/>
      <c r="E4903" s="489"/>
      <c r="F4903" s="489"/>
      <c r="G4903" s="490"/>
      <c r="H4903" s="520"/>
      <c r="I4903" s="523"/>
      <c r="J4903" s="521"/>
      <c r="K4903" s="522"/>
      <c r="M4903" s="301" t="str">
        <f>N4903&amp;AS[[#This Row],[Insurer Code]]&amp;"; "&amp;O4903&amp;AS[[#This Row],[Reporting Year]]&amp;"; "&amp;P4903&amp;AS[[#This Row],[Insurance Category Code]]&amp;"; "&amp;Q4903&amp;AS[[#This Row],[Large Provider Entity Code]]&amp;"; "&amp;R4903&amp;AS[[#This Row],[Age Band Code]]&amp;"; "&amp;S4903&amp;AS[[#This Row],[Sex Code]]</f>
        <v xml:space="preserve">Insurer Code ; Reporting Year ; Insurance Category Code ; Large Provider Entity Code ; Age Band Code ; Sex Code </v>
      </c>
      <c r="N4903" s="297" t="s">
        <v>197</v>
      </c>
      <c r="O4903" s="297" t="s">
        <v>198</v>
      </c>
      <c r="P4903" s="297" t="s">
        <v>199</v>
      </c>
      <c r="Q4903" s="297" t="s">
        <v>200</v>
      </c>
      <c r="R4903" s="297" t="s">
        <v>213</v>
      </c>
      <c r="S4903" s="297" t="s">
        <v>214</v>
      </c>
    </row>
    <row r="4904" spans="1:19" x14ac:dyDescent="0.4">
      <c r="A4904" s="291"/>
      <c r="B4904" s="292"/>
      <c r="C4904" s="312"/>
      <c r="D4904" s="292"/>
      <c r="E4904" s="489"/>
      <c r="F4904" s="489"/>
      <c r="G4904" s="490"/>
      <c r="H4904" s="520"/>
      <c r="I4904" s="523"/>
      <c r="J4904" s="521"/>
      <c r="K4904" s="522"/>
      <c r="M4904" s="301" t="str">
        <f>N4904&amp;AS[[#This Row],[Insurer Code]]&amp;"; "&amp;O4904&amp;AS[[#This Row],[Reporting Year]]&amp;"; "&amp;P4904&amp;AS[[#This Row],[Insurance Category Code]]&amp;"; "&amp;Q4904&amp;AS[[#This Row],[Large Provider Entity Code]]&amp;"; "&amp;R4904&amp;AS[[#This Row],[Age Band Code]]&amp;"; "&amp;S4904&amp;AS[[#This Row],[Sex Code]]</f>
        <v xml:space="preserve">Insurer Code ; Reporting Year ; Insurance Category Code ; Large Provider Entity Code ; Age Band Code ; Sex Code </v>
      </c>
      <c r="N4904" s="297" t="s">
        <v>197</v>
      </c>
      <c r="O4904" s="297" t="s">
        <v>198</v>
      </c>
      <c r="P4904" s="297" t="s">
        <v>199</v>
      </c>
      <c r="Q4904" s="297" t="s">
        <v>200</v>
      </c>
      <c r="R4904" s="297" t="s">
        <v>213</v>
      </c>
      <c r="S4904" s="297" t="s">
        <v>214</v>
      </c>
    </row>
    <row r="4905" spans="1:19" x14ac:dyDescent="0.4">
      <c r="A4905" s="291"/>
      <c r="B4905" s="292"/>
      <c r="C4905" s="312"/>
      <c r="D4905" s="292"/>
      <c r="E4905" s="489"/>
      <c r="F4905" s="489"/>
      <c r="G4905" s="490"/>
      <c r="H4905" s="520"/>
      <c r="I4905" s="523"/>
      <c r="J4905" s="521"/>
      <c r="K4905" s="522"/>
      <c r="M4905" s="301" t="str">
        <f>N4905&amp;AS[[#This Row],[Insurer Code]]&amp;"; "&amp;O4905&amp;AS[[#This Row],[Reporting Year]]&amp;"; "&amp;P4905&amp;AS[[#This Row],[Insurance Category Code]]&amp;"; "&amp;Q4905&amp;AS[[#This Row],[Large Provider Entity Code]]&amp;"; "&amp;R4905&amp;AS[[#This Row],[Age Band Code]]&amp;"; "&amp;S4905&amp;AS[[#This Row],[Sex Code]]</f>
        <v xml:space="preserve">Insurer Code ; Reporting Year ; Insurance Category Code ; Large Provider Entity Code ; Age Band Code ; Sex Code </v>
      </c>
      <c r="N4905" s="297" t="s">
        <v>197</v>
      </c>
      <c r="O4905" s="297" t="s">
        <v>198</v>
      </c>
      <c r="P4905" s="297" t="s">
        <v>199</v>
      </c>
      <c r="Q4905" s="297" t="s">
        <v>200</v>
      </c>
      <c r="R4905" s="297" t="s">
        <v>213</v>
      </c>
      <c r="S4905" s="297" t="s">
        <v>214</v>
      </c>
    </row>
    <row r="4906" spans="1:19" x14ac:dyDescent="0.4">
      <c r="A4906" s="291"/>
      <c r="B4906" s="292"/>
      <c r="C4906" s="312"/>
      <c r="D4906" s="292"/>
      <c r="E4906" s="489"/>
      <c r="F4906" s="489"/>
      <c r="G4906" s="490"/>
      <c r="H4906" s="520"/>
      <c r="I4906" s="523"/>
      <c r="J4906" s="521"/>
      <c r="K4906" s="522"/>
      <c r="M4906" s="301" t="str">
        <f>N4906&amp;AS[[#This Row],[Insurer Code]]&amp;"; "&amp;O4906&amp;AS[[#This Row],[Reporting Year]]&amp;"; "&amp;P4906&amp;AS[[#This Row],[Insurance Category Code]]&amp;"; "&amp;Q4906&amp;AS[[#This Row],[Large Provider Entity Code]]&amp;"; "&amp;R4906&amp;AS[[#This Row],[Age Band Code]]&amp;"; "&amp;S4906&amp;AS[[#This Row],[Sex Code]]</f>
        <v xml:space="preserve">Insurer Code ; Reporting Year ; Insurance Category Code ; Large Provider Entity Code ; Age Band Code ; Sex Code </v>
      </c>
      <c r="N4906" s="297" t="s">
        <v>197</v>
      </c>
      <c r="O4906" s="297" t="s">
        <v>198</v>
      </c>
      <c r="P4906" s="297" t="s">
        <v>199</v>
      </c>
      <c r="Q4906" s="297" t="s">
        <v>200</v>
      </c>
      <c r="R4906" s="297" t="s">
        <v>213</v>
      </c>
      <c r="S4906" s="297" t="s">
        <v>214</v>
      </c>
    </row>
    <row r="4907" spans="1:19" x14ac:dyDescent="0.4">
      <c r="A4907" s="291"/>
      <c r="B4907" s="292"/>
      <c r="C4907" s="312"/>
      <c r="D4907" s="292"/>
      <c r="E4907" s="489"/>
      <c r="F4907" s="489"/>
      <c r="G4907" s="490"/>
      <c r="H4907" s="520"/>
      <c r="I4907" s="523"/>
      <c r="J4907" s="521"/>
      <c r="K4907" s="522"/>
      <c r="M4907" s="301" t="str">
        <f>N4907&amp;AS[[#This Row],[Insurer Code]]&amp;"; "&amp;O4907&amp;AS[[#This Row],[Reporting Year]]&amp;"; "&amp;P4907&amp;AS[[#This Row],[Insurance Category Code]]&amp;"; "&amp;Q4907&amp;AS[[#This Row],[Large Provider Entity Code]]&amp;"; "&amp;R4907&amp;AS[[#This Row],[Age Band Code]]&amp;"; "&amp;S4907&amp;AS[[#This Row],[Sex Code]]</f>
        <v xml:space="preserve">Insurer Code ; Reporting Year ; Insurance Category Code ; Large Provider Entity Code ; Age Band Code ; Sex Code </v>
      </c>
      <c r="N4907" s="297" t="s">
        <v>197</v>
      </c>
      <c r="O4907" s="297" t="s">
        <v>198</v>
      </c>
      <c r="P4907" s="297" t="s">
        <v>199</v>
      </c>
      <c r="Q4907" s="297" t="s">
        <v>200</v>
      </c>
      <c r="R4907" s="297" t="s">
        <v>213</v>
      </c>
      <c r="S4907" s="297" t="s">
        <v>214</v>
      </c>
    </row>
    <row r="4908" spans="1:19" x14ac:dyDescent="0.4">
      <c r="A4908" s="291"/>
      <c r="B4908" s="292"/>
      <c r="C4908" s="312"/>
      <c r="D4908" s="292"/>
      <c r="E4908" s="489"/>
      <c r="F4908" s="489"/>
      <c r="G4908" s="490"/>
      <c r="H4908" s="520"/>
      <c r="I4908" s="523"/>
      <c r="J4908" s="521"/>
      <c r="K4908" s="522"/>
      <c r="M4908" s="301" t="str">
        <f>N4908&amp;AS[[#This Row],[Insurer Code]]&amp;"; "&amp;O4908&amp;AS[[#This Row],[Reporting Year]]&amp;"; "&amp;P4908&amp;AS[[#This Row],[Insurance Category Code]]&amp;"; "&amp;Q4908&amp;AS[[#This Row],[Large Provider Entity Code]]&amp;"; "&amp;R4908&amp;AS[[#This Row],[Age Band Code]]&amp;"; "&amp;S4908&amp;AS[[#This Row],[Sex Code]]</f>
        <v xml:space="preserve">Insurer Code ; Reporting Year ; Insurance Category Code ; Large Provider Entity Code ; Age Band Code ; Sex Code </v>
      </c>
      <c r="N4908" s="297" t="s">
        <v>197</v>
      </c>
      <c r="O4908" s="297" t="s">
        <v>198</v>
      </c>
      <c r="P4908" s="297" t="s">
        <v>199</v>
      </c>
      <c r="Q4908" s="297" t="s">
        <v>200</v>
      </c>
      <c r="R4908" s="297" t="s">
        <v>213</v>
      </c>
      <c r="S4908" s="297" t="s">
        <v>214</v>
      </c>
    </row>
    <row r="4909" spans="1:19" x14ac:dyDescent="0.4">
      <c r="A4909" s="291"/>
      <c r="B4909" s="292"/>
      <c r="C4909" s="312"/>
      <c r="D4909" s="292"/>
      <c r="E4909" s="489"/>
      <c r="F4909" s="489"/>
      <c r="G4909" s="490"/>
      <c r="H4909" s="520"/>
      <c r="I4909" s="523"/>
      <c r="J4909" s="521"/>
      <c r="K4909" s="522"/>
      <c r="M4909" s="301" t="str">
        <f>N4909&amp;AS[[#This Row],[Insurer Code]]&amp;"; "&amp;O4909&amp;AS[[#This Row],[Reporting Year]]&amp;"; "&amp;P4909&amp;AS[[#This Row],[Insurance Category Code]]&amp;"; "&amp;Q4909&amp;AS[[#This Row],[Large Provider Entity Code]]&amp;"; "&amp;R4909&amp;AS[[#This Row],[Age Band Code]]&amp;"; "&amp;S4909&amp;AS[[#This Row],[Sex Code]]</f>
        <v xml:space="preserve">Insurer Code ; Reporting Year ; Insurance Category Code ; Large Provider Entity Code ; Age Band Code ; Sex Code </v>
      </c>
      <c r="N4909" s="297" t="s">
        <v>197</v>
      </c>
      <c r="O4909" s="297" t="s">
        <v>198</v>
      </c>
      <c r="P4909" s="297" t="s">
        <v>199</v>
      </c>
      <c r="Q4909" s="297" t="s">
        <v>200</v>
      </c>
      <c r="R4909" s="297" t="s">
        <v>213</v>
      </c>
      <c r="S4909" s="297" t="s">
        <v>214</v>
      </c>
    </row>
    <row r="4910" spans="1:19" x14ac:dyDescent="0.4">
      <c r="A4910" s="291"/>
      <c r="B4910" s="292"/>
      <c r="C4910" s="312"/>
      <c r="D4910" s="292"/>
      <c r="E4910" s="489"/>
      <c r="F4910" s="489"/>
      <c r="G4910" s="490"/>
      <c r="H4910" s="520"/>
      <c r="I4910" s="523"/>
      <c r="J4910" s="521"/>
      <c r="K4910" s="522"/>
      <c r="M4910" s="301" t="str">
        <f>N4910&amp;AS[[#This Row],[Insurer Code]]&amp;"; "&amp;O4910&amp;AS[[#This Row],[Reporting Year]]&amp;"; "&amp;P4910&amp;AS[[#This Row],[Insurance Category Code]]&amp;"; "&amp;Q4910&amp;AS[[#This Row],[Large Provider Entity Code]]&amp;"; "&amp;R4910&amp;AS[[#This Row],[Age Band Code]]&amp;"; "&amp;S4910&amp;AS[[#This Row],[Sex Code]]</f>
        <v xml:space="preserve">Insurer Code ; Reporting Year ; Insurance Category Code ; Large Provider Entity Code ; Age Band Code ; Sex Code </v>
      </c>
      <c r="N4910" s="297" t="s">
        <v>197</v>
      </c>
      <c r="O4910" s="297" t="s">
        <v>198</v>
      </c>
      <c r="P4910" s="297" t="s">
        <v>199</v>
      </c>
      <c r="Q4910" s="297" t="s">
        <v>200</v>
      </c>
      <c r="R4910" s="297" t="s">
        <v>213</v>
      </c>
      <c r="S4910" s="297" t="s">
        <v>214</v>
      </c>
    </row>
    <row r="4911" spans="1:19" x14ac:dyDescent="0.4">
      <c r="A4911" s="291"/>
      <c r="B4911" s="292"/>
      <c r="C4911" s="312"/>
      <c r="D4911" s="292"/>
      <c r="E4911" s="489"/>
      <c r="F4911" s="489"/>
      <c r="G4911" s="490"/>
      <c r="H4911" s="520"/>
      <c r="I4911" s="523"/>
      <c r="J4911" s="521"/>
      <c r="K4911" s="522"/>
      <c r="M4911" s="301" t="str">
        <f>N4911&amp;AS[[#This Row],[Insurer Code]]&amp;"; "&amp;O4911&amp;AS[[#This Row],[Reporting Year]]&amp;"; "&amp;P4911&amp;AS[[#This Row],[Insurance Category Code]]&amp;"; "&amp;Q4911&amp;AS[[#This Row],[Large Provider Entity Code]]&amp;"; "&amp;R4911&amp;AS[[#This Row],[Age Band Code]]&amp;"; "&amp;S4911&amp;AS[[#This Row],[Sex Code]]</f>
        <v xml:space="preserve">Insurer Code ; Reporting Year ; Insurance Category Code ; Large Provider Entity Code ; Age Band Code ; Sex Code </v>
      </c>
      <c r="N4911" s="297" t="s">
        <v>197</v>
      </c>
      <c r="O4911" s="297" t="s">
        <v>198</v>
      </c>
      <c r="P4911" s="297" t="s">
        <v>199</v>
      </c>
      <c r="Q4911" s="297" t="s">
        <v>200</v>
      </c>
      <c r="R4911" s="297" t="s">
        <v>213</v>
      </c>
      <c r="S4911" s="297" t="s">
        <v>214</v>
      </c>
    </row>
    <row r="4912" spans="1:19" x14ac:dyDescent="0.4">
      <c r="A4912" s="291"/>
      <c r="B4912" s="292"/>
      <c r="C4912" s="312"/>
      <c r="D4912" s="292"/>
      <c r="E4912" s="489"/>
      <c r="F4912" s="489"/>
      <c r="G4912" s="490"/>
      <c r="H4912" s="520"/>
      <c r="I4912" s="523"/>
      <c r="J4912" s="521"/>
      <c r="K4912" s="522"/>
      <c r="M4912" s="301" t="str">
        <f>N4912&amp;AS[[#This Row],[Insurer Code]]&amp;"; "&amp;O4912&amp;AS[[#This Row],[Reporting Year]]&amp;"; "&amp;P4912&amp;AS[[#This Row],[Insurance Category Code]]&amp;"; "&amp;Q4912&amp;AS[[#This Row],[Large Provider Entity Code]]&amp;"; "&amp;R4912&amp;AS[[#This Row],[Age Band Code]]&amp;"; "&amp;S4912&amp;AS[[#This Row],[Sex Code]]</f>
        <v xml:space="preserve">Insurer Code ; Reporting Year ; Insurance Category Code ; Large Provider Entity Code ; Age Band Code ; Sex Code </v>
      </c>
      <c r="N4912" s="297" t="s">
        <v>197</v>
      </c>
      <c r="O4912" s="297" t="s">
        <v>198</v>
      </c>
      <c r="P4912" s="297" t="s">
        <v>199</v>
      </c>
      <c r="Q4912" s="297" t="s">
        <v>200</v>
      </c>
      <c r="R4912" s="297" t="s">
        <v>213</v>
      </c>
      <c r="S4912" s="297" t="s">
        <v>214</v>
      </c>
    </row>
    <row r="4913" spans="1:19" x14ac:dyDescent="0.4">
      <c r="A4913" s="291"/>
      <c r="B4913" s="292"/>
      <c r="C4913" s="312"/>
      <c r="D4913" s="292"/>
      <c r="E4913" s="489"/>
      <c r="F4913" s="489"/>
      <c r="G4913" s="490"/>
      <c r="H4913" s="520"/>
      <c r="I4913" s="523"/>
      <c r="J4913" s="521"/>
      <c r="K4913" s="522"/>
      <c r="M4913" s="301" t="str">
        <f>N4913&amp;AS[[#This Row],[Insurer Code]]&amp;"; "&amp;O4913&amp;AS[[#This Row],[Reporting Year]]&amp;"; "&amp;P4913&amp;AS[[#This Row],[Insurance Category Code]]&amp;"; "&amp;Q4913&amp;AS[[#This Row],[Large Provider Entity Code]]&amp;"; "&amp;R4913&amp;AS[[#This Row],[Age Band Code]]&amp;"; "&amp;S4913&amp;AS[[#This Row],[Sex Code]]</f>
        <v xml:space="preserve">Insurer Code ; Reporting Year ; Insurance Category Code ; Large Provider Entity Code ; Age Band Code ; Sex Code </v>
      </c>
      <c r="N4913" s="297" t="s">
        <v>197</v>
      </c>
      <c r="O4913" s="297" t="s">
        <v>198</v>
      </c>
      <c r="P4913" s="297" t="s">
        <v>199</v>
      </c>
      <c r="Q4913" s="297" t="s">
        <v>200</v>
      </c>
      <c r="R4913" s="297" t="s">
        <v>213</v>
      </c>
      <c r="S4913" s="297" t="s">
        <v>214</v>
      </c>
    </row>
    <row r="4914" spans="1:19" x14ac:dyDescent="0.4">
      <c r="A4914" s="291"/>
      <c r="B4914" s="292"/>
      <c r="C4914" s="312"/>
      <c r="D4914" s="292"/>
      <c r="E4914" s="489"/>
      <c r="F4914" s="489"/>
      <c r="G4914" s="490"/>
      <c r="H4914" s="520"/>
      <c r="I4914" s="523"/>
      <c r="J4914" s="521"/>
      <c r="K4914" s="522"/>
      <c r="M4914" s="301" t="str">
        <f>N4914&amp;AS[[#This Row],[Insurer Code]]&amp;"; "&amp;O4914&amp;AS[[#This Row],[Reporting Year]]&amp;"; "&amp;P4914&amp;AS[[#This Row],[Insurance Category Code]]&amp;"; "&amp;Q4914&amp;AS[[#This Row],[Large Provider Entity Code]]&amp;"; "&amp;R4914&amp;AS[[#This Row],[Age Band Code]]&amp;"; "&amp;S4914&amp;AS[[#This Row],[Sex Code]]</f>
        <v xml:space="preserve">Insurer Code ; Reporting Year ; Insurance Category Code ; Large Provider Entity Code ; Age Band Code ; Sex Code </v>
      </c>
      <c r="N4914" s="297" t="s">
        <v>197</v>
      </c>
      <c r="O4914" s="297" t="s">
        <v>198</v>
      </c>
      <c r="P4914" s="297" t="s">
        <v>199</v>
      </c>
      <c r="Q4914" s="297" t="s">
        <v>200</v>
      </c>
      <c r="R4914" s="297" t="s">
        <v>213</v>
      </c>
      <c r="S4914" s="297" t="s">
        <v>214</v>
      </c>
    </row>
    <row r="4915" spans="1:19" x14ac:dyDescent="0.4">
      <c r="A4915" s="291"/>
      <c r="B4915" s="292"/>
      <c r="C4915" s="312"/>
      <c r="D4915" s="292"/>
      <c r="E4915" s="489"/>
      <c r="F4915" s="489"/>
      <c r="G4915" s="490"/>
      <c r="H4915" s="520"/>
      <c r="I4915" s="523"/>
      <c r="J4915" s="521"/>
      <c r="K4915" s="522"/>
      <c r="M4915" s="301" t="str">
        <f>N4915&amp;AS[[#This Row],[Insurer Code]]&amp;"; "&amp;O4915&amp;AS[[#This Row],[Reporting Year]]&amp;"; "&amp;P4915&amp;AS[[#This Row],[Insurance Category Code]]&amp;"; "&amp;Q4915&amp;AS[[#This Row],[Large Provider Entity Code]]&amp;"; "&amp;R4915&amp;AS[[#This Row],[Age Band Code]]&amp;"; "&amp;S4915&amp;AS[[#This Row],[Sex Code]]</f>
        <v xml:space="preserve">Insurer Code ; Reporting Year ; Insurance Category Code ; Large Provider Entity Code ; Age Band Code ; Sex Code </v>
      </c>
      <c r="N4915" s="297" t="s">
        <v>197</v>
      </c>
      <c r="O4915" s="297" t="s">
        <v>198</v>
      </c>
      <c r="P4915" s="297" t="s">
        <v>199</v>
      </c>
      <c r="Q4915" s="297" t="s">
        <v>200</v>
      </c>
      <c r="R4915" s="297" t="s">
        <v>213</v>
      </c>
      <c r="S4915" s="297" t="s">
        <v>214</v>
      </c>
    </row>
    <row r="4916" spans="1:19" x14ac:dyDescent="0.4">
      <c r="A4916" s="291"/>
      <c r="B4916" s="292"/>
      <c r="C4916" s="312"/>
      <c r="D4916" s="292"/>
      <c r="E4916" s="489"/>
      <c r="F4916" s="489"/>
      <c r="G4916" s="490"/>
      <c r="H4916" s="520"/>
      <c r="I4916" s="523"/>
      <c r="J4916" s="521"/>
      <c r="K4916" s="522"/>
      <c r="M4916" s="301" t="str">
        <f>N4916&amp;AS[[#This Row],[Insurer Code]]&amp;"; "&amp;O4916&amp;AS[[#This Row],[Reporting Year]]&amp;"; "&amp;P4916&amp;AS[[#This Row],[Insurance Category Code]]&amp;"; "&amp;Q4916&amp;AS[[#This Row],[Large Provider Entity Code]]&amp;"; "&amp;R4916&amp;AS[[#This Row],[Age Band Code]]&amp;"; "&amp;S4916&amp;AS[[#This Row],[Sex Code]]</f>
        <v xml:space="preserve">Insurer Code ; Reporting Year ; Insurance Category Code ; Large Provider Entity Code ; Age Band Code ; Sex Code </v>
      </c>
      <c r="N4916" s="297" t="s">
        <v>197</v>
      </c>
      <c r="O4916" s="297" t="s">
        <v>198</v>
      </c>
      <c r="P4916" s="297" t="s">
        <v>199</v>
      </c>
      <c r="Q4916" s="297" t="s">
        <v>200</v>
      </c>
      <c r="R4916" s="297" t="s">
        <v>213</v>
      </c>
      <c r="S4916" s="297" t="s">
        <v>214</v>
      </c>
    </row>
    <row r="4917" spans="1:19" x14ac:dyDescent="0.4">
      <c r="A4917" s="291"/>
      <c r="B4917" s="292"/>
      <c r="C4917" s="312"/>
      <c r="D4917" s="292"/>
      <c r="E4917" s="489"/>
      <c r="F4917" s="489"/>
      <c r="G4917" s="490"/>
      <c r="H4917" s="520"/>
      <c r="I4917" s="523"/>
      <c r="J4917" s="521"/>
      <c r="K4917" s="522"/>
      <c r="M4917" s="301" t="str">
        <f>N4917&amp;AS[[#This Row],[Insurer Code]]&amp;"; "&amp;O4917&amp;AS[[#This Row],[Reporting Year]]&amp;"; "&amp;P4917&amp;AS[[#This Row],[Insurance Category Code]]&amp;"; "&amp;Q4917&amp;AS[[#This Row],[Large Provider Entity Code]]&amp;"; "&amp;R4917&amp;AS[[#This Row],[Age Band Code]]&amp;"; "&amp;S4917&amp;AS[[#This Row],[Sex Code]]</f>
        <v xml:space="preserve">Insurer Code ; Reporting Year ; Insurance Category Code ; Large Provider Entity Code ; Age Band Code ; Sex Code </v>
      </c>
      <c r="N4917" s="297" t="s">
        <v>197</v>
      </c>
      <c r="O4917" s="297" t="s">
        <v>198</v>
      </c>
      <c r="P4917" s="297" t="s">
        <v>199</v>
      </c>
      <c r="Q4917" s="297" t="s">
        <v>200</v>
      </c>
      <c r="R4917" s="297" t="s">
        <v>213</v>
      </c>
      <c r="S4917" s="297" t="s">
        <v>214</v>
      </c>
    </row>
    <row r="4918" spans="1:19" x14ac:dyDescent="0.4">
      <c r="A4918" s="291"/>
      <c r="B4918" s="292"/>
      <c r="C4918" s="312"/>
      <c r="D4918" s="292"/>
      <c r="E4918" s="489"/>
      <c r="F4918" s="489"/>
      <c r="G4918" s="490"/>
      <c r="H4918" s="520"/>
      <c r="I4918" s="523"/>
      <c r="J4918" s="521"/>
      <c r="K4918" s="522"/>
      <c r="M4918" s="301" t="str">
        <f>N4918&amp;AS[[#This Row],[Insurer Code]]&amp;"; "&amp;O4918&amp;AS[[#This Row],[Reporting Year]]&amp;"; "&amp;P4918&amp;AS[[#This Row],[Insurance Category Code]]&amp;"; "&amp;Q4918&amp;AS[[#This Row],[Large Provider Entity Code]]&amp;"; "&amp;R4918&amp;AS[[#This Row],[Age Band Code]]&amp;"; "&amp;S4918&amp;AS[[#This Row],[Sex Code]]</f>
        <v xml:space="preserve">Insurer Code ; Reporting Year ; Insurance Category Code ; Large Provider Entity Code ; Age Band Code ; Sex Code </v>
      </c>
      <c r="N4918" s="297" t="s">
        <v>197</v>
      </c>
      <c r="O4918" s="297" t="s">
        <v>198</v>
      </c>
      <c r="P4918" s="297" t="s">
        <v>199</v>
      </c>
      <c r="Q4918" s="297" t="s">
        <v>200</v>
      </c>
      <c r="R4918" s="297" t="s">
        <v>213</v>
      </c>
      <c r="S4918" s="297" t="s">
        <v>214</v>
      </c>
    </row>
    <row r="4919" spans="1:19" x14ac:dyDescent="0.4">
      <c r="A4919" s="291"/>
      <c r="B4919" s="292"/>
      <c r="C4919" s="312"/>
      <c r="D4919" s="292"/>
      <c r="E4919" s="489"/>
      <c r="F4919" s="489"/>
      <c r="G4919" s="490"/>
      <c r="H4919" s="520"/>
      <c r="I4919" s="523"/>
      <c r="J4919" s="521"/>
      <c r="K4919" s="522"/>
      <c r="M4919" s="301" t="str">
        <f>N4919&amp;AS[[#This Row],[Insurer Code]]&amp;"; "&amp;O4919&amp;AS[[#This Row],[Reporting Year]]&amp;"; "&amp;P4919&amp;AS[[#This Row],[Insurance Category Code]]&amp;"; "&amp;Q4919&amp;AS[[#This Row],[Large Provider Entity Code]]&amp;"; "&amp;R4919&amp;AS[[#This Row],[Age Band Code]]&amp;"; "&amp;S4919&amp;AS[[#This Row],[Sex Code]]</f>
        <v xml:space="preserve">Insurer Code ; Reporting Year ; Insurance Category Code ; Large Provider Entity Code ; Age Band Code ; Sex Code </v>
      </c>
      <c r="N4919" s="297" t="s">
        <v>197</v>
      </c>
      <c r="O4919" s="297" t="s">
        <v>198</v>
      </c>
      <c r="P4919" s="297" t="s">
        <v>199</v>
      </c>
      <c r="Q4919" s="297" t="s">
        <v>200</v>
      </c>
      <c r="R4919" s="297" t="s">
        <v>213</v>
      </c>
      <c r="S4919" s="297" t="s">
        <v>214</v>
      </c>
    </row>
    <row r="4920" spans="1:19" x14ac:dyDescent="0.4">
      <c r="A4920" s="291"/>
      <c r="B4920" s="292"/>
      <c r="C4920" s="312"/>
      <c r="D4920" s="292"/>
      <c r="E4920" s="489"/>
      <c r="F4920" s="489"/>
      <c r="G4920" s="490"/>
      <c r="H4920" s="520"/>
      <c r="I4920" s="523"/>
      <c r="J4920" s="521"/>
      <c r="K4920" s="522"/>
      <c r="M4920" s="301" t="str">
        <f>N4920&amp;AS[[#This Row],[Insurer Code]]&amp;"; "&amp;O4920&amp;AS[[#This Row],[Reporting Year]]&amp;"; "&amp;P4920&amp;AS[[#This Row],[Insurance Category Code]]&amp;"; "&amp;Q4920&amp;AS[[#This Row],[Large Provider Entity Code]]&amp;"; "&amp;R4920&amp;AS[[#This Row],[Age Band Code]]&amp;"; "&amp;S4920&amp;AS[[#This Row],[Sex Code]]</f>
        <v xml:space="preserve">Insurer Code ; Reporting Year ; Insurance Category Code ; Large Provider Entity Code ; Age Band Code ; Sex Code </v>
      </c>
      <c r="N4920" s="297" t="s">
        <v>197</v>
      </c>
      <c r="O4920" s="297" t="s">
        <v>198</v>
      </c>
      <c r="P4920" s="297" t="s">
        <v>199</v>
      </c>
      <c r="Q4920" s="297" t="s">
        <v>200</v>
      </c>
      <c r="R4920" s="297" t="s">
        <v>213</v>
      </c>
      <c r="S4920" s="297" t="s">
        <v>214</v>
      </c>
    </row>
    <row r="4921" spans="1:19" x14ac:dyDescent="0.4">
      <c r="A4921" s="291"/>
      <c r="B4921" s="292"/>
      <c r="C4921" s="312"/>
      <c r="D4921" s="292"/>
      <c r="E4921" s="489"/>
      <c r="F4921" s="489"/>
      <c r="G4921" s="490"/>
      <c r="H4921" s="520"/>
      <c r="I4921" s="523"/>
      <c r="J4921" s="521"/>
      <c r="K4921" s="522"/>
      <c r="M4921" s="301" t="str">
        <f>N4921&amp;AS[[#This Row],[Insurer Code]]&amp;"; "&amp;O4921&amp;AS[[#This Row],[Reporting Year]]&amp;"; "&amp;P4921&amp;AS[[#This Row],[Insurance Category Code]]&amp;"; "&amp;Q4921&amp;AS[[#This Row],[Large Provider Entity Code]]&amp;"; "&amp;R4921&amp;AS[[#This Row],[Age Band Code]]&amp;"; "&amp;S4921&amp;AS[[#This Row],[Sex Code]]</f>
        <v xml:space="preserve">Insurer Code ; Reporting Year ; Insurance Category Code ; Large Provider Entity Code ; Age Band Code ; Sex Code </v>
      </c>
      <c r="N4921" s="297" t="s">
        <v>197</v>
      </c>
      <c r="O4921" s="297" t="s">
        <v>198</v>
      </c>
      <c r="P4921" s="297" t="s">
        <v>199</v>
      </c>
      <c r="Q4921" s="297" t="s">
        <v>200</v>
      </c>
      <c r="R4921" s="297" t="s">
        <v>213</v>
      </c>
      <c r="S4921" s="297" t="s">
        <v>214</v>
      </c>
    </row>
    <row r="4922" spans="1:19" x14ac:dyDescent="0.4">
      <c r="A4922" s="291"/>
      <c r="B4922" s="292"/>
      <c r="C4922" s="312"/>
      <c r="D4922" s="292"/>
      <c r="E4922" s="489"/>
      <c r="F4922" s="489"/>
      <c r="G4922" s="490"/>
      <c r="H4922" s="520"/>
      <c r="I4922" s="523"/>
      <c r="J4922" s="521"/>
      <c r="K4922" s="522"/>
      <c r="M4922" s="301" t="str">
        <f>N4922&amp;AS[[#This Row],[Insurer Code]]&amp;"; "&amp;O4922&amp;AS[[#This Row],[Reporting Year]]&amp;"; "&amp;P4922&amp;AS[[#This Row],[Insurance Category Code]]&amp;"; "&amp;Q4922&amp;AS[[#This Row],[Large Provider Entity Code]]&amp;"; "&amp;R4922&amp;AS[[#This Row],[Age Band Code]]&amp;"; "&amp;S4922&amp;AS[[#This Row],[Sex Code]]</f>
        <v xml:space="preserve">Insurer Code ; Reporting Year ; Insurance Category Code ; Large Provider Entity Code ; Age Band Code ; Sex Code </v>
      </c>
      <c r="N4922" s="297" t="s">
        <v>197</v>
      </c>
      <c r="O4922" s="297" t="s">
        <v>198</v>
      </c>
      <c r="P4922" s="297" t="s">
        <v>199</v>
      </c>
      <c r="Q4922" s="297" t="s">
        <v>200</v>
      </c>
      <c r="R4922" s="297" t="s">
        <v>213</v>
      </c>
      <c r="S4922" s="297" t="s">
        <v>214</v>
      </c>
    </row>
    <row r="4923" spans="1:19" x14ac:dyDescent="0.4">
      <c r="A4923" s="291"/>
      <c r="B4923" s="292"/>
      <c r="C4923" s="312"/>
      <c r="D4923" s="292"/>
      <c r="E4923" s="489"/>
      <c r="F4923" s="489"/>
      <c r="G4923" s="490"/>
      <c r="H4923" s="520"/>
      <c r="I4923" s="523"/>
      <c r="J4923" s="521"/>
      <c r="K4923" s="522"/>
      <c r="M4923" s="301" t="str">
        <f>N4923&amp;AS[[#This Row],[Insurer Code]]&amp;"; "&amp;O4923&amp;AS[[#This Row],[Reporting Year]]&amp;"; "&amp;P4923&amp;AS[[#This Row],[Insurance Category Code]]&amp;"; "&amp;Q4923&amp;AS[[#This Row],[Large Provider Entity Code]]&amp;"; "&amp;R4923&amp;AS[[#This Row],[Age Band Code]]&amp;"; "&amp;S4923&amp;AS[[#This Row],[Sex Code]]</f>
        <v xml:space="preserve">Insurer Code ; Reporting Year ; Insurance Category Code ; Large Provider Entity Code ; Age Band Code ; Sex Code </v>
      </c>
      <c r="N4923" s="297" t="s">
        <v>197</v>
      </c>
      <c r="O4923" s="297" t="s">
        <v>198</v>
      </c>
      <c r="P4923" s="297" t="s">
        <v>199</v>
      </c>
      <c r="Q4923" s="297" t="s">
        <v>200</v>
      </c>
      <c r="R4923" s="297" t="s">
        <v>213</v>
      </c>
      <c r="S4923" s="297" t="s">
        <v>214</v>
      </c>
    </row>
    <row r="4924" spans="1:19" x14ac:dyDescent="0.4">
      <c r="A4924" s="291"/>
      <c r="B4924" s="292"/>
      <c r="C4924" s="312"/>
      <c r="D4924" s="292"/>
      <c r="E4924" s="489"/>
      <c r="F4924" s="489"/>
      <c r="G4924" s="490"/>
      <c r="H4924" s="520"/>
      <c r="I4924" s="523"/>
      <c r="J4924" s="521"/>
      <c r="K4924" s="522"/>
      <c r="M4924" s="301" t="str">
        <f>N4924&amp;AS[[#This Row],[Insurer Code]]&amp;"; "&amp;O4924&amp;AS[[#This Row],[Reporting Year]]&amp;"; "&amp;P4924&amp;AS[[#This Row],[Insurance Category Code]]&amp;"; "&amp;Q4924&amp;AS[[#This Row],[Large Provider Entity Code]]&amp;"; "&amp;R4924&amp;AS[[#This Row],[Age Band Code]]&amp;"; "&amp;S4924&amp;AS[[#This Row],[Sex Code]]</f>
        <v xml:space="preserve">Insurer Code ; Reporting Year ; Insurance Category Code ; Large Provider Entity Code ; Age Band Code ; Sex Code </v>
      </c>
      <c r="N4924" s="297" t="s">
        <v>197</v>
      </c>
      <c r="O4924" s="297" t="s">
        <v>198</v>
      </c>
      <c r="P4924" s="297" t="s">
        <v>199</v>
      </c>
      <c r="Q4924" s="297" t="s">
        <v>200</v>
      </c>
      <c r="R4924" s="297" t="s">
        <v>213</v>
      </c>
      <c r="S4924" s="297" t="s">
        <v>214</v>
      </c>
    </row>
    <row r="4925" spans="1:19" x14ac:dyDescent="0.4">
      <c r="A4925" s="291"/>
      <c r="B4925" s="292"/>
      <c r="C4925" s="312"/>
      <c r="D4925" s="292"/>
      <c r="E4925" s="489"/>
      <c r="F4925" s="489"/>
      <c r="G4925" s="490"/>
      <c r="H4925" s="520"/>
      <c r="I4925" s="523"/>
      <c r="J4925" s="521"/>
      <c r="K4925" s="522"/>
      <c r="M4925" s="301" t="str">
        <f>N4925&amp;AS[[#This Row],[Insurer Code]]&amp;"; "&amp;O4925&amp;AS[[#This Row],[Reporting Year]]&amp;"; "&amp;P4925&amp;AS[[#This Row],[Insurance Category Code]]&amp;"; "&amp;Q4925&amp;AS[[#This Row],[Large Provider Entity Code]]&amp;"; "&amp;R4925&amp;AS[[#This Row],[Age Band Code]]&amp;"; "&amp;S4925&amp;AS[[#This Row],[Sex Code]]</f>
        <v xml:space="preserve">Insurer Code ; Reporting Year ; Insurance Category Code ; Large Provider Entity Code ; Age Band Code ; Sex Code </v>
      </c>
      <c r="N4925" s="297" t="s">
        <v>197</v>
      </c>
      <c r="O4925" s="297" t="s">
        <v>198</v>
      </c>
      <c r="P4925" s="297" t="s">
        <v>199</v>
      </c>
      <c r="Q4925" s="297" t="s">
        <v>200</v>
      </c>
      <c r="R4925" s="297" t="s">
        <v>213</v>
      </c>
      <c r="S4925" s="297" t="s">
        <v>214</v>
      </c>
    </row>
    <row r="4926" spans="1:19" x14ac:dyDescent="0.4">
      <c r="A4926" s="291"/>
      <c r="B4926" s="292"/>
      <c r="C4926" s="312"/>
      <c r="D4926" s="292"/>
      <c r="E4926" s="489"/>
      <c r="F4926" s="489"/>
      <c r="G4926" s="490"/>
      <c r="H4926" s="520"/>
      <c r="I4926" s="523"/>
      <c r="J4926" s="521"/>
      <c r="K4926" s="522"/>
      <c r="M4926" s="301" t="str">
        <f>N4926&amp;AS[[#This Row],[Insurer Code]]&amp;"; "&amp;O4926&amp;AS[[#This Row],[Reporting Year]]&amp;"; "&amp;P4926&amp;AS[[#This Row],[Insurance Category Code]]&amp;"; "&amp;Q4926&amp;AS[[#This Row],[Large Provider Entity Code]]&amp;"; "&amp;R4926&amp;AS[[#This Row],[Age Band Code]]&amp;"; "&amp;S4926&amp;AS[[#This Row],[Sex Code]]</f>
        <v xml:space="preserve">Insurer Code ; Reporting Year ; Insurance Category Code ; Large Provider Entity Code ; Age Band Code ; Sex Code </v>
      </c>
      <c r="N4926" s="297" t="s">
        <v>197</v>
      </c>
      <c r="O4926" s="297" t="s">
        <v>198</v>
      </c>
      <c r="P4926" s="297" t="s">
        <v>199</v>
      </c>
      <c r="Q4926" s="297" t="s">
        <v>200</v>
      </c>
      <c r="R4926" s="297" t="s">
        <v>213</v>
      </c>
      <c r="S4926" s="297" t="s">
        <v>214</v>
      </c>
    </row>
    <row r="4927" spans="1:19" x14ac:dyDescent="0.4">
      <c r="A4927" s="291"/>
      <c r="B4927" s="292"/>
      <c r="C4927" s="312"/>
      <c r="D4927" s="292"/>
      <c r="E4927" s="489"/>
      <c r="F4927" s="489"/>
      <c r="G4927" s="490"/>
      <c r="H4927" s="520"/>
      <c r="I4927" s="523"/>
      <c r="J4927" s="521"/>
      <c r="K4927" s="522"/>
      <c r="M4927" s="301" t="str">
        <f>N4927&amp;AS[[#This Row],[Insurer Code]]&amp;"; "&amp;O4927&amp;AS[[#This Row],[Reporting Year]]&amp;"; "&amp;P4927&amp;AS[[#This Row],[Insurance Category Code]]&amp;"; "&amp;Q4927&amp;AS[[#This Row],[Large Provider Entity Code]]&amp;"; "&amp;R4927&amp;AS[[#This Row],[Age Band Code]]&amp;"; "&amp;S4927&amp;AS[[#This Row],[Sex Code]]</f>
        <v xml:space="preserve">Insurer Code ; Reporting Year ; Insurance Category Code ; Large Provider Entity Code ; Age Band Code ; Sex Code </v>
      </c>
      <c r="N4927" s="297" t="s">
        <v>197</v>
      </c>
      <c r="O4927" s="297" t="s">
        <v>198</v>
      </c>
      <c r="P4927" s="297" t="s">
        <v>199</v>
      </c>
      <c r="Q4927" s="297" t="s">
        <v>200</v>
      </c>
      <c r="R4927" s="297" t="s">
        <v>213</v>
      </c>
      <c r="S4927" s="297" t="s">
        <v>214</v>
      </c>
    </row>
    <row r="4928" spans="1:19" x14ac:dyDescent="0.4">
      <c r="A4928" s="291"/>
      <c r="B4928" s="292"/>
      <c r="C4928" s="312"/>
      <c r="D4928" s="292"/>
      <c r="E4928" s="489"/>
      <c r="F4928" s="489"/>
      <c r="G4928" s="490"/>
      <c r="H4928" s="520"/>
      <c r="I4928" s="523"/>
      <c r="J4928" s="521"/>
      <c r="K4928" s="522"/>
      <c r="M4928" s="301" t="str">
        <f>N4928&amp;AS[[#This Row],[Insurer Code]]&amp;"; "&amp;O4928&amp;AS[[#This Row],[Reporting Year]]&amp;"; "&amp;P4928&amp;AS[[#This Row],[Insurance Category Code]]&amp;"; "&amp;Q4928&amp;AS[[#This Row],[Large Provider Entity Code]]&amp;"; "&amp;R4928&amp;AS[[#This Row],[Age Band Code]]&amp;"; "&amp;S4928&amp;AS[[#This Row],[Sex Code]]</f>
        <v xml:space="preserve">Insurer Code ; Reporting Year ; Insurance Category Code ; Large Provider Entity Code ; Age Band Code ; Sex Code </v>
      </c>
      <c r="N4928" s="297" t="s">
        <v>197</v>
      </c>
      <c r="O4928" s="297" t="s">
        <v>198</v>
      </c>
      <c r="P4928" s="297" t="s">
        <v>199</v>
      </c>
      <c r="Q4928" s="297" t="s">
        <v>200</v>
      </c>
      <c r="R4928" s="297" t="s">
        <v>213</v>
      </c>
      <c r="S4928" s="297" t="s">
        <v>214</v>
      </c>
    </row>
    <row r="4929" spans="1:19" x14ac:dyDescent="0.4">
      <c r="A4929" s="291"/>
      <c r="B4929" s="292"/>
      <c r="C4929" s="312"/>
      <c r="D4929" s="292"/>
      <c r="E4929" s="489"/>
      <c r="F4929" s="489"/>
      <c r="G4929" s="490"/>
      <c r="H4929" s="520"/>
      <c r="I4929" s="523"/>
      <c r="J4929" s="521"/>
      <c r="K4929" s="522"/>
      <c r="M4929" s="301" t="str">
        <f>N4929&amp;AS[[#This Row],[Insurer Code]]&amp;"; "&amp;O4929&amp;AS[[#This Row],[Reporting Year]]&amp;"; "&amp;P4929&amp;AS[[#This Row],[Insurance Category Code]]&amp;"; "&amp;Q4929&amp;AS[[#This Row],[Large Provider Entity Code]]&amp;"; "&amp;R4929&amp;AS[[#This Row],[Age Band Code]]&amp;"; "&amp;S4929&amp;AS[[#This Row],[Sex Code]]</f>
        <v xml:space="preserve">Insurer Code ; Reporting Year ; Insurance Category Code ; Large Provider Entity Code ; Age Band Code ; Sex Code </v>
      </c>
      <c r="N4929" s="297" t="s">
        <v>197</v>
      </c>
      <c r="O4929" s="297" t="s">
        <v>198</v>
      </c>
      <c r="P4929" s="297" t="s">
        <v>199</v>
      </c>
      <c r="Q4929" s="297" t="s">
        <v>200</v>
      </c>
      <c r="R4929" s="297" t="s">
        <v>213</v>
      </c>
      <c r="S4929" s="297" t="s">
        <v>214</v>
      </c>
    </row>
    <row r="4930" spans="1:19" x14ac:dyDescent="0.4">
      <c r="A4930" s="291"/>
      <c r="B4930" s="292"/>
      <c r="C4930" s="312"/>
      <c r="D4930" s="292"/>
      <c r="E4930" s="489"/>
      <c r="F4930" s="489"/>
      <c r="G4930" s="490"/>
      <c r="H4930" s="520"/>
      <c r="I4930" s="523"/>
      <c r="J4930" s="521"/>
      <c r="K4930" s="522"/>
      <c r="M4930" s="301" t="str">
        <f>N4930&amp;AS[[#This Row],[Insurer Code]]&amp;"; "&amp;O4930&amp;AS[[#This Row],[Reporting Year]]&amp;"; "&amp;P4930&amp;AS[[#This Row],[Insurance Category Code]]&amp;"; "&amp;Q4930&amp;AS[[#This Row],[Large Provider Entity Code]]&amp;"; "&amp;R4930&amp;AS[[#This Row],[Age Band Code]]&amp;"; "&amp;S4930&amp;AS[[#This Row],[Sex Code]]</f>
        <v xml:space="preserve">Insurer Code ; Reporting Year ; Insurance Category Code ; Large Provider Entity Code ; Age Band Code ; Sex Code </v>
      </c>
      <c r="N4930" s="297" t="s">
        <v>197</v>
      </c>
      <c r="O4930" s="297" t="s">
        <v>198</v>
      </c>
      <c r="P4930" s="297" t="s">
        <v>199</v>
      </c>
      <c r="Q4930" s="297" t="s">
        <v>200</v>
      </c>
      <c r="R4930" s="297" t="s">
        <v>213</v>
      </c>
      <c r="S4930" s="297" t="s">
        <v>214</v>
      </c>
    </row>
    <row r="4931" spans="1:19" x14ac:dyDescent="0.4">
      <c r="A4931" s="291"/>
      <c r="B4931" s="292"/>
      <c r="C4931" s="312"/>
      <c r="D4931" s="292"/>
      <c r="E4931" s="489"/>
      <c r="F4931" s="489"/>
      <c r="G4931" s="490"/>
      <c r="H4931" s="520"/>
      <c r="I4931" s="523"/>
      <c r="J4931" s="521"/>
      <c r="K4931" s="522"/>
      <c r="M4931" s="301" t="str">
        <f>N4931&amp;AS[[#This Row],[Insurer Code]]&amp;"; "&amp;O4931&amp;AS[[#This Row],[Reporting Year]]&amp;"; "&amp;P4931&amp;AS[[#This Row],[Insurance Category Code]]&amp;"; "&amp;Q4931&amp;AS[[#This Row],[Large Provider Entity Code]]&amp;"; "&amp;R4931&amp;AS[[#This Row],[Age Band Code]]&amp;"; "&amp;S4931&amp;AS[[#This Row],[Sex Code]]</f>
        <v xml:space="preserve">Insurer Code ; Reporting Year ; Insurance Category Code ; Large Provider Entity Code ; Age Band Code ; Sex Code </v>
      </c>
      <c r="N4931" s="297" t="s">
        <v>197</v>
      </c>
      <c r="O4931" s="297" t="s">
        <v>198</v>
      </c>
      <c r="P4931" s="297" t="s">
        <v>199</v>
      </c>
      <c r="Q4931" s="297" t="s">
        <v>200</v>
      </c>
      <c r="R4931" s="297" t="s">
        <v>213</v>
      </c>
      <c r="S4931" s="297" t="s">
        <v>214</v>
      </c>
    </row>
    <row r="4932" spans="1:19" x14ac:dyDescent="0.4">
      <c r="A4932" s="291"/>
      <c r="B4932" s="292"/>
      <c r="C4932" s="312"/>
      <c r="D4932" s="292"/>
      <c r="E4932" s="489"/>
      <c r="F4932" s="489"/>
      <c r="G4932" s="490"/>
      <c r="H4932" s="520"/>
      <c r="I4932" s="523"/>
      <c r="J4932" s="521"/>
      <c r="K4932" s="522"/>
      <c r="M4932" s="301" t="str">
        <f>N4932&amp;AS[[#This Row],[Insurer Code]]&amp;"; "&amp;O4932&amp;AS[[#This Row],[Reporting Year]]&amp;"; "&amp;P4932&amp;AS[[#This Row],[Insurance Category Code]]&amp;"; "&amp;Q4932&amp;AS[[#This Row],[Large Provider Entity Code]]&amp;"; "&amp;R4932&amp;AS[[#This Row],[Age Band Code]]&amp;"; "&amp;S4932&amp;AS[[#This Row],[Sex Code]]</f>
        <v xml:space="preserve">Insurer Code ; Reporting Year ; Insurance Category Code ; Large Provider Entity Code ; Age Band Code ; Sex Code </v>
      </c>
      <c r="N4932" s="297" t="s">
        <v>197</v>
      </c>
      <c r="O4932" s="297" t="s">
        <v>198</v>
      </c>
      <c r="P4932" s="297" t="s">
        <v>199</v>
      </c>
      <c r="Q4932" s="297" t="s">
        <v>200</v>
      </c>
      <c r="R4932" s="297" t="s">
        <v>213</v>
      </c>
      <c r="S4932" s="297" t="s">
        <v>214</v>
      </c>
    </row>
    <row r="4933" spans="1:19" x14ac:dyDescent="0.4">
      <c r="A4933" s="291"/>
      <c r="B4933" s="292"/>
      <c r="C4933" s="312"/>
      <c r="D4933" s="292"/>
      <c r="E4933" s="489"/>
      <c r="F4933" s="489"/>
      <c r="G4933" s="490"/>
      <c r="H4933" s="520"/>
      <c r="I4933" s="523"/>
      <c r="J4933" s="521"/>
      <c r="K4933" s="522"/>
      <c r="M4933" s="301" t="str">
        <f>N4933&amp;AS[[#This Row],[Insurer Code]]&amp;"; "&amp;O4933&amp;AS[[#This Row],[Reporting Year]]&amp;"; "&amp;P4933&amp;AS[[#This Row],[Insurance Category Code]]&amp;"; "&amp;Q4933&amp;AS[[#This Row],[Large Provider Entity Code]]&amp;"; "&amp;R4933&amp;AS[[#This Row],[Age Band Code]]&amp;"; "&amp;S4933&amp;AS[[#This Row],[Sex Code]]</f>
        <v xml:space="preserve">Insurer Code ; Reporting Year ; Insurance Category Code ; Large Provider Entity Code ; Age Band Code ; Sex Code </v>
      </c>
      <c r="N4933" s="297" t="s">
        <v>197</v>
      </c>
      <c r="O4933" s="297" t="s">
        <v>198</v>
      </c>
      <c r="P4933" s="297" t="s">
        <v>199</v>
      </c>
      <c r="Q4933" s="297" t="s">
        <v>200</v>
      </c>
      <c r="R4933" s="297" t="s">
        <v>213</v>
      </c>
      <c r="S4933" s="297" t="s">
        <v>214</v>
      </c>
    </row>
    <row r="4934" spans="1:19" x14ac:dyDescent="0.4">
      <c r="A4934" s="291"/>
      <c r="B4934" s="292"/>
      <c r="C4934" s="312"/>
      <c r="D4934" s="292"/>
      <c r="E4934" s="489"/>
      <c r="F4934" s="489"/>
      <c r="G4934" s="490"/>
      <c r="H4934" s="520"/>
      <c r="I4934" s="523"/>
      <c r="J4934" s="521"/>
      <c r="K4934" s="522"/>
      <c r="M4934" s="301" t="str">
        <f>N4934&amp;AS[[#This Row],[Insurer Code]]&amp;"; "&amp;O4934&amp;AS[[#This Row],[Reporting Year]]&amp;"; "&amp;P4934&amp;AS[[#This Row],[Insurance Category Code]]&amp;"; "&amp;Q4934&amp;AS[[#This Row],[Large Provider Entity Code]]&amp;"; "&amp;R4934&amp;AS[[#This Row],[Age Band Code]]&amp;"; "&amp;S4934&amp;AS[[#This Row],[Sex Code]]</f>
        <v xml:space="preserve">Insurer Code ; Reporting Year ; Insurance Category Code ; Large Provider Entity Code ; Age Band Code ; Sex Code </v>
      </c>
      <c r="N4934" s="297" t="s">
        <v>197</v>
      </c>
      <c r="O4934" s="297" t="s">
        <v>198</v>
      </c>
      <c r="P4934" s="297" t="s">
        <v>199</v>
      </c>
      <c r="Q4934" s="297" t="s">
        <v>200</v>
      </c>
      <c r="R4934" s="297" t="s">
        <v>213</v>
      </c>
      <c r="S4934" s="297" t="s">
        <v>214</v>
      </c>
    </row>
    <row r="4935" spans="1:19" x14ac:dyDescent="0.4">
      <c r="A4935" s="291"/>
      <c r="B4935" s="292"/>
      <c r="C4935" s="312"/>
      <c r="D4935" s="292"/>
      <c r="E4935" s="489"/>
      <c r="F4935" s="489"/>
      <c r="G4935" s="490"/>
      <c r="H4935" s="520"/>
      <c r="I4935" s="523"/>
      <c r="J4935" s="521"/>
      <c r="K4935" s="522"/>
      <c r="M4935" s="301" t="str">
        <f>N4935&amp;AS[[#This Row],[Insurer Code]]&amp;"; "&amp;O4935&amp;AS[[#This Row],[Reporting Year]]&amp;"; "&amp;P4935&amp;AS[[#This Row],[Insurance Category Code]]&amp;"; "&amp;Q4935&amp;AS[[#This Row],[Large Provider Entity Code]]&amp;"; "&amp;R4935&amp;AS[[#This Row],[Age Band Code]]&amp;"; "&amp;S4935&amp;AS[[#This Row],[Sex Code]]</f>
        <v xml:space="preserve">Insurer Code ; Reporting Year ; Insurance Category Code ; Large Provider Entity Code ; Age Band Code ; Sex Code </v>
      </c>
      <c r="N4935" s="297" t="s">
        <v>197</v>
      </c>
      <c r="O4935" s="297" t="s">
        <v>198</v>
      </c>
      <c r="P4935" s="297" t="s">
        <v>199</v>
      </c>
      <c r="Q4935" s="297" t="s">
        <v>200</v>
      </c>
      <c r="R4935" s="297" t="s">
        <v>213</v>
      </c>
      <c r="S4935" s="297" t="s">
        <v>214</v>
      </c>
    </row>
    <row r="4936" spans="1:19" x14ac:dyDescent="0.4">
      <c r="A4936" s="291"/>
      <c r="B4936" s="292"/>
      <c r="C4936" s="312"/>
      <c r="D4936" s="292"/>
      <c r="E4936" s="489"/>
      <c r="F4936" s="489"/>
      <c r="G4936" s="490"/>
      <c r="H4936" s="520"/>
      <c r="I4936" s="523"/>
      <c r="J4936" s="521"/>
      <c r="K4936" s="522"/>
      <c r="M4936" s="301" t="str">
        <f>N4936&amp;AS[[#This Row],[Insurer Code]]&amp;"; "&amp;O4936&amp;AS[[#This Row],[Reporting Year]]&amp;"; "&amp;P4936&amp;AS[[#This Row],[Insurance Category Code]]&amp;"; "&amp;Q4936&amp;AS[[#This Row],[Large Provider Entity Code]]&amp;"; "&amp;R4936&amp;AS[[#This Row],[Age Band Code]]&amp;"; "&amp;S4936&amp;AS[[#This Row],[Sex Code]]</f>
        <v xml:space="preserve">Insurer Code ; Reporting Year ; Insurance Category Code ; Large Provider Entity Code ; Age Band Code ; Sex Code </v>
      </c>
      <c r="N4936" s="297" t="s">
        <v>197</v>
      </c>
      <c r="O4936" s="297" t="s">
        <v>198</v>
      </c>
      <c r="P4936" s="297" t="s">
        <v>199</v>
      </c>
      <c r="Q4936" s="297" t="s">
        <v>200</v>
      </c>
      <c r="R4936" s="297" t="s">
        <v>213</v>
      </c>
      <c r="S4936" s="297" t="s">
        <v>214</v>
      </c>
    </row>
    <row r="4937" spans="1:19" x14ac:dyDescent="0.4">
      <c r="A4937" s="291"/>
      <c r="B4937" s="292"/>
      <c r="C4937" s="312"/>
      <c r="D4937" s="292"/>
      <c r="E4937" s="489"/>
      <c r="F4937" s="489"/>
      <c r="G4937" s="490"/>
      <c r="H4937" s="520"/>
      <c r="I4937" s="523"/>
      <c r="J4937" s="521"/>
      <c r="K4937" s="522"/>
      <c r="M4937" s="301" t="str">
        <f>N4937&amp;AS[[#This Row],[Insurer Code]]&amp;"; "&amp;O4937&amp;AS[[#This Row],[Reporting Year]]&amp;"; "&amp;P4937&amp;AS[[#This Row],[Insurance Category Code]]&amp;"; "&amp;Q4937&amp;AS[[#This Row],[Large Provider Entity Code]]&amp;"; "&amp;R4937&amp;AS[[#This Row],[Age Band Code]]&amp;"; "&amp;S4937&amp;AS[[#This Row],[Sex Code]]</f>
        <v xml:space="preserve">Insurer Code ; Reporting Year ; Insurance Category Code ; Large Provider Entity Code ; Age Band Code ; Sex Code </v>
      </c>
      <c r="N4937" s="297" t="s">
        <v>197</v>
      </c>
      <c r="O4937" s="297" t="s">
        <v>198</v>
      </c>
      <c r="P4937" s="297" t="s">
        <v>199</v>
      </c>
      <c r="Q4937" s="297" t="s">
        <v>200</v>
      </c>
      <c r="R4937" s="297" t="s">
        <v>213</v>
      </c>
      <c r="S4937" s="297" t="s">
        <v>214</v>
      </c>
    </row>
    <row r="4938" spans="1:19" x14ac:dyDescent="0.4">
      <c r="A4938" s="291"/>
      <c r="B4938" s="292"/>
      <c r="C4938" s="312"/>
      <c r="D4938" s="292"/>
      <c r="E4938" s="489"/>
      <c r="F4938" s="489"/>
      <c r="G4938" s="490"/>
      <c r="H4938" s="520"/>
      <c r="I4938" s="523"/>
      <c r="J4938" s="521"/>
      <c r="K4938" s="522"/>
      <c r="M4938" s="301" t="str">
        <f>N4938&amp;AS[[#This Row],[Insurer Code]]&amp;"; "&amp;O4938&amp;AS[[#This Row],[Reporting Year]]&amp;"; "&amp;P4938&amp;AS[[#This Row],[Insurance Category Code]]&amp;"; "&amp;Q4938&amp;AS[[#This Row],[Large Provider Entity Code]]&amp;"; "&amp;R4938&amp;AS[[#This Row],[Age Band Code]]&amp;"; "&amp;S4938&amp;AS[[#This Row],[Sex Code]]</f>
        <v xml:space="preserve">Insurer Code ; Reporting Year ; Insurance Category Code ; Large Provider Entity Code ; Age Band Code ; Sex Code </v>
      </c>
      <c r="N4938" s="297" t="s">
        <v>197</v>
      </c>
      <c r="O4938" s="297" t="s">
        <v>198</v>
      </c>
      <c r="P4938" s="297" t="s">
        <v>199</v>
      </c>
      <c r="Q4938" s="297" t="s">
        <v>200</v>
      </c>
      <c r="R4938" s="297" t="s">
        <v>213</v>
      </c>
      <c r="S4938" s="297" t="s">
        <v>214</v>
      </c>
    </row>
    <row r="4939" spans="1:19" x14ac:dyDescent="0.4">
      <c r="A4939" s="291"/>
      <c r="B4939" s="292"/>
      <c r="C4939" s="312"/>
      <c r="D4939" s="292"/>
      <c r="E4939" s="489"/>
      <c r="F4939" s="489"/>
      <c r="G4939" s="490"/>
      <c r="H4939" s="520"/>
      <c r="I4939" s="523"/>
      <c r="J4939" s="521"/>
      <c r="K4939" s="522"/>
      <c r="M4939" s="301" t="str">
        <f>N4939&amp;AS[[#This Row],[Insurer Code]]&amp;"; "&amp;O4939&amp;AS[[#This Row],[Reporting Year]]&amp;"; "&amp;P4939&amp;AS[[#This Row],[Insurance Category Code]]&amp;"; "&amp;Q4939&amp;AS[[#This Row],[Large Provider Entity Code]]&amp;"; "&amp;R4939&amp;AS[[#This Row],[Age Band Code]]&amp;"; "&amp;S4939&amp;AS[[#This Row],[Sex Code]]</f>
        <v xml:space="preserve">Insurer Code ; Reporting Year ; Insurance Category Code ; Large Provider Entity Code ; Age Band Code ; Sex Code </v>
      </c>
      <c r="N4939" s="297" t="s">
        <v>197</v>
      </c>
      <c r="O4939" s="297" t="s">
        <v>198</v>
      </c>
      <c r="P4939" s="297" t="s">
        <v>199</v>
      </c>
      <c r="Q4939" s="297" t="s">
        <v>200</v>
      </c>
      <c r="R4939" s="297" t="s">
        <v>213</v>
      </c>
      <c r="S4939" s="297" t="s">
        <v>214</v>
      </c>
    </row>
    <row r="4940" spans="1:19" x14ac:dyDescent="0.4">
      <c r="A4940" s="291"/>
      <c r="B4940" s="292"/>
      <c r="C4940" s="312"/>
      <c r="D4940" s="292"/>
      <c r="E4940" s="489"/>
      <c r="F4940" s="489"/>
      <c r="G4940" s="490"/>
      <c r="H4940" s="520"/>
      <c r="I4940" s="523"/>
      <c r="J4940" s="521"/>
      <c r="K4940" s="522"/>
      <c r="M4940" s="301" t="str">
        <f>N4940&amp;AS[[#This Row],[Insurer Code]]&amp;"; "&amp;O4940&amp;AS[[#This Row],[Reporting Year]]&amp;"; "&amp;P4940&amp;AS[[#This Row],[Insurance Category Code]]&amp;"; "&amp;Q4940&amp;AS[[#This Row],[Large Provider Entity Code]]&amp;"; "&amp;R4940&amp;AS[[#This Row],[Age Band Code]]&amp;"; "&amp;S4940&amp;AS[[#This Row],[Sex Code]]</f>
        <v xml:space="preserve">Insurer Code ; Reporting Year ; Insurance Category Code ; Large Provider Entity Code ; Age Band Code ; Sex Code </v>
      </c>
      <c r="N4940" s="297" t="s">
        <v>197</v>
      </c>
      <c r="O4940" s="297" t="s">
        <v>198</v>
      </c>
      <c r="P4940" s="297" t="s">
        <v>199</v>
      </c>
      <c r="Q4940" s="297" t="s">
        <v>200</v>
      </c>
      <c r="R4940" s="297" t="s">
        <v>213</v>
      </c>
      <c r="S4940" s="297" t="s">
        <v>214</v>
      </c>
    </row>
    <row r="4941" spans="1:19" x14ac:dyDescent="0.4">
      <c r="A4941" s="291"/>
      <c r="B4941" s="292"/>
      <c r="C4941" s="312"/>
      <c r="D4941" s="292"/>
      <c r="E4941" s="489"/>
      <c r="F4941" s="489"/>
      <c r="G4941" s="490"/>
      <c r="H4941" s="520"/>
      <c r="I4941" s="523"/>
      <c r="J4941" s="521"/>
      <c r="K4941" s="522"/>
      <c r="M4941" s="301" t="str">
        <f>N4941&amp;AS[[#This Row],[Insurer Code]]&amp;"; "&amp;O4941&amp;AS[[#This Row],[Reporting Year]]&amp;"; "&amp;P4941&amp;AS[[#This Row],[Insurance Category Code]]&amp;"; "&amp;Q4941&amp;AS[[#This Row],[Large Provider Entity Code]]&amp;"; "&amp;R4941&amp;AS[[#This Row],[Age Band Code]]&amp;"; "&amp;S4941&amp;AS[[#This Row],[Sex Code]]</f>
        <v xml:space="preserve">Insurer Code ; Reporting Year ; Insurance Category Code ; Large Provider Entity Code ; Age Band Code ; Sex Code </v>
      </c>
      <c r="N4941" s="297" t="s">
        <v>197</v>
      </c>
      <c r="O4941" s="297" t="s">
        <v>198</v>
      </c>
      <c r="P4941" s="297" t="s">
        <v>199</v>
      </c>
      <c r="Q4941" s="297" t="s">
        <v>200</v>
      </c>
      <c r="R4941" s="297" t="s">
        <v>213</v>
      </c>
      <c r="S4941" s="297" t="s">
        <v>214</v>
      </c>
    </row>
    <row r="4942" spans="1:19" x14ac:dyDescent="0.4">
      <c r="A4942" s="291"/>
      <c r="B4942" s="292"/>
      <c r="C4942" s="312"/>
      <c r="D4942" s="292"/>
      <c r="E4942" s="489"/>
      <c r="F4942" s="489"/>
      <c r="G4942" s="490"/>
      <c r="H4942" s="520"/>
      <c r="I4942" s="523"/>
      <c r="J4942" s="521"/>
      <c r="K4942" s="522"/>
      <c r="M4942" s="301" t="str">
        <f>N4942&amp;AS[[#This Row],[Insurer Code]]&amp;"; "&amp;O4942&amp;AS[[#This Row],[Reporting Year]]&amp;"; "&amp;P4942&amp;AS[[#This Row],[Insurance Category Code]]&amp;"; "&amp;Q4942&amp;AS[[#This Row],[Large Provider Entity Code]]&amp;"; "&amp;R4942&amp;AS[[#This Row],[Age Band Code]]&amp;"; "&amp;S4942&amp;AS[[#This Row],[Sex Code]]</f>
        <v xml:space="preserve">Insurer Code ; Reporting Year ; Insurance Category Code ; Large Provider Entity Code ; Age Band Code ; Sex Code </v>
      </c>
      <c r="N4942" s="297" t="s">
        <v>197</v>
      </c>
      <c r="O4942" s="297" t="s">
        <v>198</v>
      </c>
      <c r="P4942" s="297" t="s">
        <v>199</v>
      </c>
      <c r="Q4942" s="297" t="s">
        <v>200</v>
      </c>
      <c r="R4942" s="297" t="s">
        <v>213</v>
      </c>
      <c r="S4942" s="297" t="s">
        <v>214</v>
      </c>
    </row>
    <row r="4943" spans="1:19" x14ac:dyDescent="0.4">
      <c r="A4943" s="291"/>
      <c r="B4943" s="292"/>
      <c r="C4943" s="312"/>
      <c r="D4943" s="292"/>
      <c r="E4943" s="489"/>
      <c r="F4943" s="489"/>
      <c r="G4943" s="490"/>
      <c r="H4943" s="520"/>
      <c r="I4943" s="523"/>
      <c r="J4943" s="521"/>
      <c r="K4943" s="522"/>
      <c r="M4943" s="301" t="str">
        <f>N4943&amp;AS[[#This Row],[Insurer Code]]&amp;"; "&amp;O4943&amp;AS[[#This Row],[Reporting Year]]&amp;"; "&amp;P4943&amp;AS[[#This Row],[Insurance Category Code]]&amp;"; "&amp;Q4943&amp;AS[[#This Row],[Large Provider Entity Code]]&amp;"; "&amp;R4943&amp;AS[[#This Row],[Age Band Code]]&amp;"; "&amp;S4943&amp;AS[[#This Row],[Sex Code]]</f>
        <v xml:space="preserve">Insurer Code ; Reporting Year ; Insurance Category Code ; Large Provider Entity Code ; Age Band Code ; Sex Code </v>
      </c>
      <c r="N4943" s="297" t="s">
        <v>197</v>
      </c>
      <c r="O4943" s="297" t="s">
        <v>198</v>
      </c>
      <c r="P4943" s="297" t="s">
        <v>199</v>
      </c>
      <c r="Q4943" s="297" t="s">
        <v>200</v>
      </c>
      <c r="R4943" s="297" t="s">
        <v>213</v>
      </c>
      <c r="S4943" s="297" t="s">
        <v>214</v>
      </c>
    </row>
    <row r="4944" spans="1:19" x14ac:dyDescent="0.4">
      <c r="A4944" s="291"/>
      <c r="B4944" s="292"/>
      <c r="C4944" s="312"/>
      <c r="D4944" s="292"/>
      <c r="E4944" s="489"/>
      <c r="F4944" s="489"/>
      <c r="G4944" s="490"/>
      <c r="H4944" s="520"/>
      <c r="I4944" s="523"/>
      <c r="J4944" s="521"/>
      <c r="K4944" s="522"/>
      <c r="M4944" s="301" t="str">
        <f>N4944&amp;AS[[#This Row],[Insurer Code]]&amp;"; "&amp;O4944&amp;AS[[#This Row],[Reporting Year]]&amp;"; "&amp;P4944&amp;AS[[#This Row],[Insurance Category Code]]&amp;"; "&amp;Q4944&amp;AS[[#This Row],[Large Provider Entity Code]]&amp;"; "&amp;R4944&amp;AS[[#This Row],[Age Band Code]]&amp;"; "&amp;S4944&amp;AS[[#This Row],[Sex Code]]</f>
        <v xml:space="preserve">Insurer Code ; Reporting Year ; Insurance Category Code ; Large Provider Entity Code ; Age Band Code ; Sex Code </v>
      </c>
      <c r="N4944" s="297" t="s">
        <v>197</v>
      </c>
      <c r="O4944" s="297" t="s">
        <v>198</v>
      </c>
      <c r="P4944" s="297" t="s">
        <v>199</v>
      </c>
      <c r="Q4944" s="297" t="s">
        <v>200</v>
      </c>
      <c r="R4944" s="297" t="s">
        <v>213</v>
      </c>
      <c r="S4944" s="297" t="s">
        <v>214</v>
      </c>
    </row>
    <row r="4945" spans="1:19" x14ac:dyDescent="0.4">
      <c r="A4945" s="291"/>
      <c r="B4945" s="292"/>
      <c r="C4945" s="312"/>
      <c r="D4945" s="292"/>
      <c r="E4945" s="489"/>
      <c r="F4945" s="489"/>
      <c r="G4945" s="490"/>
      <c r="H4945" s="520"/>
      <c r="I4945" s="523"/>
      <c r="J4945" s="521"/>
      <c r="K4945" s="522"/>
      <c r="M4945" s="301" t="str">
        <f>N4945&amp;AS[[#This Row],[Insurer Code]]&amp;"; "&amp;O4945&amp;AS[[#This Row],[Reporting Year]]&amp;"; "&amp;P4945&amp;AS[[#This Row],[Insurance Category Code]]&amp;"; "&amp;Q4945&amp;AS[[#This Row],[Large Provider Entity Code]]&amp;"; "&amp;R4945&amp;AS[[#This Row],[Age Band Code]]&amp;"; "&amp;S4945&amp;AS[[#This Row],[Sex Code]]</f>
        <v xml:space="preserve">Insurer Code ; Reporting Year ; Insurance Category Code ; Large Provider Entity Code ; Age Band Code ; Sex Code </v>
      </c>
      <c r="N4945" s="297" t="s">
        <v>197</v>
      </c>
      <c r="O4945" s="297" t="s">
        <v>198</v>
      </c>
      <c r="P4945" s="297" t="s">
        <v>199</v>
      </c>
      <c r="Q4945" s="297" t="s">
        <v>200</v>
      </c>
      <c r="R4945" s="297" t="s">
        <v>213</v>
      </c>
      <c r="S4945" s="297" t="s">
        <v>214</v>
      </c>
    </row>
    <row r="4946" spans="1:19" x14ac:dyDescent="0.4">
      <c r="A4946" s="291"/>
      <c r="B4946" s="292"/>
      <c r="C4946" s="312"/>
      <c r="D4946" s="292"/>
      <c r="E4946" s="489"/>
      <c r="F4946" s="489"/>
      <c r="G4946" s="490"/>
      <c r="H4946" s="520"/>
      <c r="I4946" s="523"/>
      <c r="J4946" s="521"/>
      <c r="K4946" s="522"/>
      <c r="M4946" s="301" t="str">
        <f>N4946&amp;AS[[#This Row],[Insurer Code]]&amp;"; "&amp;O4946&amp;AS[[#This Row],[Reporting Year]]&amp;"; "&amp;P4946&amp;AS[[#This Row],[Insurance Category Code]]&amp;"; "&amp;Q4946&amp;AS[[#This Row],[Large Provider Entity Code]]&amp;"; "&amp;R4946&amp;AS[[#This Row],[Age Band Code]]&amp;"; "&amp;S4946&amp;AS[[#This Row],[Sex Code]]</f>
        <v xml:space="preserve">Insurer Code ; Reporting Year ; Insurance Category Code ; Large Provider Entity Code ; Age Band Code ; Sex Code </v>
      </c>
      <c r="N4946" s="297" t="s">
        <v>197</v>
      </c>
      <c r="O4946" s="297" t="s">
        <v>198</v>
      </c>
      <c r="P4946" s="297" t="s">
        <v>199</v>
      </c>
      <c r="Q4946" s="297" t="s">
        <v>200</v>
      </c>
      <c r="R4946" s="297" t="s">
        <v>213</v>
      </c>
      <c r="S4946" s="297" t="s">
        <v>214</v>
      </c>
    </row>
    <row r="4947" spans="1:19" x14ac:dyDescent="0.4">
      <c r="A4947" s="291"/>
      <c r="B4947" s="292"/>
      <c r="C4947" s="312"/>
      <c r="D4947" s="292"/>
      <c r="E4947" s="489"/>
      <c r="F4947" s="489"/>
      <c r="G4947" s="490"/>
      <c r="H4947" s="520"/>
      <c r="I4947" s="523"/>
      <c r="J4947" s="521"/>
      <c r="K4947" s="522"/>
      <c r="M4947" s="301" t="str">
        <f>N4947&amp;AS[[#This Row],[Insurer Code]]&amp;"; "&amp;O4947&amp;AS[[#This Row],[Reporting Year]]&amp;"; "&amp;P4947&amp;AS[[#This Row],[Insurance Category Code]]&amp;"; "&amp;Q4947&amp;AS[[#This Row],[Large Provider Entity Code]]&amp;"; "&amp;R4947&amp;AS[[#This Row],[Age Band Code]]&amp;"; "&amp;S4947&amp;AS[[#This Row],[Sex Code]]</f>
        <v xml:space="preserve">Insurer Code ; Reporting Year ; Insurance Category Code ; Large Provider Entity Code ; Age Band Code ; Sex Code </v>
      </c>
      <c r="N4947" s="297" t="s">
        <v>197</v>
      </c>
      <c r="O4947" s="297" t="s">
        <v>198</v>
      </c>
      <c r="P4947" s="297" t="s">
        <v>199</v>
      </c>
      <c r="Q4947" s="297" t="s">
        <v>200</v>
      </c>
      <c r="R4947" s="297" t="s">
        <v>213</v>
      </c>
      <c r="S4947" s="297" t="s">
        <v>214</v>
      </c>
    </row>
    <row r="4948" spans="1:19" x14ac:dyDescent="0.4">
      <c r="A4948" s="291"/>
      <c r="B4948" s="292"/>
      <c r="C4948" s="312"/>
      <c r="D4948" s="292"/>
      <c r="E4948" s="489"/>
      <c r="F4948" s="489"/>
      <c r="G4948" s="490"/>
      <c r="H4948" s="520"/>
      <c r="I4948" s="523"/>
      <c r="J4948" s="521"/>
      <c r="K4948" s="522"/>
      <c r="M4948" s="301" t="str">
        <f>N4948&amp;AS[[#This Row],[Insurer Code]]&amp;"; "&amp;O4948&amp;AS[[#This Row],[Reporting Year]]&amp;"; "&amp;P4948&amp;AS[[#This Row],[Insurance Category Code]]&amp;"; "&amp;Q4948&amp;AS[[#This Row],[Large Provider Entity Code]]&amp;"; "&amp;R4948&amp;AS[[#This Row],[Age Band Code]]&amp;"; "&amp;S4948&amp;AS[[#This Row],[Sex Code]]</f>
        <v xml:space="preserve">Insurer Code ; Reporting Year ; Insurance Category Code ; Large Provider Entity Code ; Age Band Code ; Sex Code </v>
      </c>
      <c r="N4948" s="297" t="s">
        <v>197</v>
      </c>
      <c r="O4948" s="297" t="s">
        <v>198</v>
      </c>
      <c r="P4948" s="297" t="s">
        <v>199</v>
      </c>
      <c r="Q4948" s="297" t="s">
        <v>200</v>
      </c>
      <c r="R4948" s="297" t="s">
        <v>213</v>
      </c>
      <c r="S4948" s="297" t="s">
        <v>214</v>
      </c>
    </row>
    <row r="4949" spans="1:19" x14ac:dyDescent="0.4">
      <c r="A4949" s="291"/>
      <c r="B4949" s="292"/>
      <c r="C4949" s="312"/>
      <c r="D4949" s="292"/>
      <c r="E4949" s="489"/>
      <c r="F4949" s="489"/>
      <c r="G4949" s="490"/>
      <c r="H4949" s="520"/>
      <c r="I4949" s="523"/>
      <c r="J4949" s="521"/>
      <c r="K4949" s="522"/>
      <c r="M4949" s="301" t="str">
        <f>N4949&amp;AS[[#This Row],[Insurer Code]]&amp;"; "&amp;O4949&amp;AS[[#This Row],[Reporting Year]]&amp;"; "&amp;P4949&amp;AS[[#This Row],[Insurance Category Code]]&amp;"; "&amp;Q4949&amp;AS[[#This Row],[Large Provider Entity Code]]&amp;"; "&amp;R4949&amp;AS[[#This Row],[Age Band Code]]&amp;"; "&amp;S4949&amp;AS[[#This Row],[Sex Code]]</f>
        <v xml:space="preserve">Insurer Code ; Reporting Year ; Insurance Category Code ; Large Provider Entity Code ; Age Band Code ; Sex Code </v>
      </c>
      <c r="N4949" s="297" t="s">
        <v>197</v>
      </c>
      <c r="O4949" s="297" t="s">
        <v>198</v>
      </c>
      <c r="P4949" s="297" t="s">
        <v>199</v>
      </c>
      <c r="Q4949" s="297" t="s">
        <v>200</v>
      </c>
      <c r="R4949" s="297" t="s">
        <v>213</v>
      </c>
      <c r="S4949" s="297" t="s">
        <v>214</v>
      </c>
    </row>
    <row r="4950" spans="1:19" x14ac:dyDescent="0.4">
      <c r="A4950" s="291"/>
      <c r="B4950" s="292"/>
      <c r="C4950" s="312"/>
      <c r="D4950" s="292"/>
      <c r="E4950" s="489"/>
      <c r="F4950" s="489"/>
      <c r="G4950" s="490"/>
      <c r="H4950" s="520"/>
      <c r="I4950" s="523"/>
      <c r="J4950" s="521"/>
      <c r="K4950" s="522"/>
      <c r="M4950" s="301" t="str">
        <f>N4950&amp;AS[[#This Row],[Insurer Code]]&amp;"; "&amp;O4950&amp;AS[[#This Row],[Reporting Year]]&amp;"; "&amp;P4950&amp;AS[[#This Row],[Insurance Category Code]]&amp;"; "&amp;Q4950&amp;AS[[#This Row],[Large Provider Entity Code]]&amp;"; "&amp;R4950&amp;AS[[#This Row],[Age Band Code]]&amp;"; "&amp;S4950&amp;AS[[#This Row],[Sex Code]]</f>
        <v xml:space="preserve">Insurer Code ; Reporting Year ; Insurance Category Code ; Large Provider Entity Code ; Age Band Code ; Sex Code </v>
      </c>
      <c r="N4950" s="297" t="s">
        <v>197</v>
      </c>
      <c r="O4950" s="297" t="s">
        <v>198</v>
      </c>
      <c r="P4950" s="297" t="s">
        <v>199</v>
      </c>
      <c r="Q4950" s="297" t="s">
        <v>200</v>
      </c>
      <c r="R4950" s="297" t="s">
        <v>213</v>
      </c>
      <c r="S4950" s="297" t="s">
        <v>214</v>
      </c>
    </row>
    <row r="4951" spans="1:19" x14ac:dyDescent="0.4">
      <c r="A4951" s="291"/>
      <c r="B4951" s="292"/>
      <c r="C4951" s="312"/>
      <c r="D4951" s="292"/>
      <c r="E4951" s="489"/>
      <c r="F4951" s="489"/>
      <c r="G4951" s="490"/>
      <c r="H4951" s="520"/>
      <c r="I4951" s="523"/>
      <c r="J4951" s="521"/>
      <c r="K4951" s="522"/>
      <c r="M4951" s="301" t="str">
        <f>N4951&amp;AS[[#This Row],[Insurer Code]]&amp;"; "&amp;O4951&amp;AS[[#This Row],[Reporting Year]]&amp;"; "&amp;P4951&amp;AS[[#This Row],[Insurance Category Code]]&amp;"; "&amp;Q4951&amp;AS[[#This Row],[Large Provider Entity Code]]&amp;"; "&amp;R4951&amp;AS[[#This Row],[Age Band Code]]&amp;"; "&amp;S4951&amp;AS[[#This Row],[Sex Code]]</f>
        <v xml:space="preserve">Insurer Code ; Reporting Year ; Insurance Category Code ; Large Provider Entity Code ; Age Band Code ; Sex Code </v>
      </c>
      <c r="N4951" s="297" t="s">
        <v>197</v>
      </c>
      <c r="O4951" s="297" t="s">
        <v>198</v>
      </c>
      <c r="P4951" s="297" t="s">
        <v>199</v>
      </c>
      <c r="Q4951" s="297" t="s">
        <v>200</v>
      </c>
      <c r="R4951" s="297" t="s">
        <v>213</v>
      </c>
      <c r="S4951" s="297" t="s">
        <v>214</v>
      </c>
    </row>
    <row r="4952" spans="1:19" x14ac:dyDescent="0.4">
      <c r="A4952" s="291"/>
      <c r="B4952" s="292"/>
      <c r="C4952" s="312"/>
      <c r="D4952" s="292"/>
      <c r="E4952" s="489"/>
      <c r="F4952" s="489"/>
      <c r="G4952" s="490"/>
      <c r="H4952" s="520"/>
      <c r="I4952" s="523"/>
      <c r="J4952" s="521"/>
      <c r="K4952" s="522"/>
      <c r="M4952" s="301" t="str">
        <f>N4952&amp;AS[[#This Row],[Insurer Code]]&amp;"; "&amp;O4952&amp;AS[[#This Row],[Reporting Year]]&amp;"; "&amp;P4952&amp;AS[[#This Row],[Insurance Category Code]]&amp;"; "&amp;Q4952&amp;AS[[#This Row],[Large Provider Entity Code]]&amp;"; "&amp;R4952&amp;AS[[#This Row],[Age Band Code]]&amp;"; "&amp;S4952&amp;AS[[#This Row],[Sex Code]]</f>
        <v xml:space="preserve">Insurer Code ; Reporting Year ; Insurance Category Code ; Large Provider Entity Code ; Age Band Code ; Sex Code </v>
      </c>
      <c r="N4952" s="297" t="s">
        <v>197</v>
      </c>
      <c r="O4952" s="297" t="s">
        <v>198</v>
      </c>
      <c r="P4952" s="297" t="s">
        <v>199</v>
      </c>
      <c r="Q4952" s="297" t="s">
        <v>200</v>
      </c>
      <c r="R4952" s="297" t="s">
        <v>213</v>
      </c>
      <c r="S4952" s="297" t="s">
        <v>214</v>
      </c>
    </row>
    <row r="4953" spans="1:19" x14ac:dyDescent="0.4">
      <c r="A4953" s="291"/>
      <c r="B4953" s="292"/>
      <c r="C4953" s="312"/>
      <c r="D4953" s="292"/>
      <c r="E4953" s="489"/>
      <c r="F4953" s="489"/>
      <c r="G4953" s="490"/>
      <c r="H4953" s="520"/>
      <c r="I4953" s="523"/>
      <c r="J4953" s="521"/>
      <c r="K4953" s="522"/>
      <c r="M4953" s="301" t="str">
        <f>N4953&amp;AS[[#This Row],[Insurer Code]]&amp;"; "&amp;O4953&amp;AS[[#This Row],[Reporting Year]]&amp;"; "&amp;P4953&amp;AS[[#This Row],[Insurance Category Code]]&amp;"; "&amp;Q4953&amp;AS[[#This Row],[Large Provider Entity Code]]&amp;"; "&amp;R4953&amp;AS[[#This Row],[Age Band Code]]&amp;"; "&amp;S4953&amp;AS[[#This Row],[Sex Code]]</f>
        <v xml:space="preserve">Insurer Code ; Reporting Year ; Insurance Category Code ; Large Provider Entity Code ; Age Band Code ; Sex Code </v>
      </c>
      <c r="N4953" s="297" t="s">
        <v>197</v>
      </c>
      <c r="O4953" s="297" t="s">
        <v>198</v>
      </c>
      <c r="P4953" s="297" t="s">
        <v>199</v>
      </c>
      <c r="Q4953" s="297" t="s">
        <v>200</v>
      </c>
      <c r="R4953" s="297" t="s">
        <v>213</v>
      </c>
      <c r="S4953" s="297" t="s">
        <v>214</v>
      </c>
    </row>
    <row r="4954" spans="1:19" x14ac:dyDescent="0.4">
      <c r="A4954" s="291"/>
      <c r="B4954" s="292"/>
      <c r="C4954" s="312"/>
      <c r="D4954" s="292"/>
      <c r="E4954" s="489"/>
      <c r="F4954" s="489"/>
      <c r="G4954" s="490"/>
      <c r="H4954" s="520"/>
      <c r="I4954" s="523"/>
      <c r="J4954" s="521"/>
      <c r="K4954" s="522"/>
      <c r="M4954" s="301" t="str">
        <f>N4954&amp;AS[[#This Row],[Insurer Code]]&amp;"; "&amp;O4954&amp;AS[[#This Row],[Reporting Year]]&amp;"; "&amp;P4954&amp;AS[[#This Row],[Insurance Category Code]]&amp;"; "&amp;Q4954&amp;AS[[#This Row],[Large Provider Entity Code]]&amp;"; "&amp;R4954&amp;AS[[#This Row],[Age Band Code]]&amp;"; "&amp;S4954&amp;AS[[#This Row],[Sex Code]]</f>
        <v xml:space="preserve">Insurer Code ; Reporting Year ; Insurance Category Code ; Large Provider Entity Code ; Age Band Code ; Sex Code </v>
      </c>
      <c r="N4954" s="297" t="s">
        <v>197</v>
      </c>
      <c r="O4954" s="297" t="s">
        <v>198</v>
      </c>
      <c r="P4954" s="297" t="s">
        <v>199</v>
      </c>
      <c r="Q4954" s="297" t="s">
        <v>200</v>
      </c>
      <c r="R4954" s="297" t="s">
        <v>213</v>
      </c>
      <c r="S4954" s="297" t="s">
        <v>214</v>
      </c>
    </row>
    <row r="4955" spans="1:19" x14ac:dyDescent="0.4">
      <c r="A4955" s="291"/>
      <c r="B4955" s="292"/>
      <c r="C4955" s="312"/>
      <c r="D4955" s="292"/>
      <c r="E4955" s="489"/>
      <c r="F4955" s="489"/>
      <c r="G4955" s="490"/>
      <c r="H4955" s="520"/>
      <c r="I4955" s="523"/>
      <c r="J4955" s="521"/>
      <c r="K4955" s="522"/>
      <c r="M4955" s="301" t="str">
        <f>N4955&amp;AS[[#This Row],[Insurer Code]]&amp;"; "&amp;O4955&amp;AS[[#This Row],[Reporting Year]]&amp;"; "&amp;P4955&amp;AS[[#This Row],[Insurance Category Code]]&amp;"; "&amp;Q4955&amp;AS[[#This Row],[Large Provider Entity Code]]&amp;"; "&amp;R4955&amp;AS[[#This Row],[Age Band Code]]&amp;"; "&amp;S4955&amp;AS[[#This Row],[Sex Code]]</f>
        <v xml:space="preserve">Insurer Code ; Reporting Year ; Insurance Category Code ; Large Provider Entity Code ; Age Band Code ; Sex Code </v>
      </c>
      <c r="N4955" s="297" t="s">
        <v>197</v>
      </c>
      <c r="O4955" s="297" t="s">
        <v>198</v>
      </c>
      <c r="P4955" s="297" t="s">
        <v>199</v>
      </c>
      <c r="Q4955" s="297" t="s">
        <v>200</v>
      </c>
      <c r="R4955" s="297" t="s">
        <v>213</v>
      </c>
      <c r="S4955" s="297" t="s">
        <v>214</v>
      </c>
    </row>
    <row r="4956" spans="1:19" x14ac:dyDescent="0.4">
      <c r="A4956" s="291"/>
      <c r="B4956" s="292"/>
      <c r="C4956" s="312"/>
      <c r="D4956" s="292"/>
      <c r="E4956" s="489"/>
      <c r="F4956" s="489"/>
      <c r="G4956" s="490"/>
      <c r="H4956" s="520"/>
      <c r="I4956" s="523"/>
      <c r="J4956" s="521"/>
      <c r="K4956" s="522"/>
      <c r="M4956" s="301" t="str">
        <f>N4956&amp;AS[[#This Row],[Insurer Code]]&amp;"; "&amp;O4956&amp;AS[[#This Row],[Reporting Year]]&amp;"; "&amp;P4956&amp;AS[[#This Row],[Insurance Category Code]]&amp;"; "&amp;Q4956&amp;AS[[#This Row],[Large Provider Entity Code]]&amp;"; "&amp;R4956&amp;AS[[#This Row],[Age Band Code]]&amp;"; "&amp;S4956&amp;AS[[#This Row],[Sex Code]]</f>
        <v xml:space="preserve">Insurer Code ; Reporting Year ; Insurance Category Code ; Large Provider Entity Code ; Age Band Code ; Sex Code </v>
      </c>
      <c r="N4956" s="297" t="s">
        <v>197</v>
      </c>
      <c r="O4956" s="297" t="s">
        <v>198</v>
      </c>
      <c r="P4956" s="297" t="s">
        <v>199</v>
      </c>
      <c r="Q4956" s="297" t="s">
        <v>200</v>
      </c>
      <c r="R4956" s="297" t="s">
        <v>213</v>
      </c>
      <c r="S4956" s="297" t="s">
        <v>214</v>
      </c>
    </row>
    <row r="4957" spans="1:19" x14ac:dyDescent="0.4">
      <c r="A4957" s="291"/>
      <c r="B4957" s="292"/>
      <c r="C4957" s="312"/>
      <c r="D4957" s="292"/>
      <c r="E4957" s="489"/>
      <c r="F4957" s="489"/>
      <c r="G4957" s="490"/>
      <c r="H4957" s="520"/>
      <c r="I4957" s="523"/>
      <c r="J4957" s="521"/>
      <c r="K4957" s="522"/>
      <c r="M4957" s="301" t="str">
        <f>N4957&amp;AS[[#This Row],[Insurer Code]]&amp;"; "&amp;O4957&amp;AS[[#This Row],[Reporting Year]]&amp;"; "&amp;P4957&amp;AS[[#This Row],[Insurance Category Code]]&amp;"; "&amp;Q4957&amp;AS[[#This Row],[Large Provider Entity Code]]&amp;"; "&amp;R4957&amp;AS[[#This Row],[Age Band Code]]&amp;"; "&amp;S4957&amp;AS[[#This Row],[Sex Code]]</f>
        <v xml:space="preserve">Insurer Code ; Reporting Year ; Insurance Category Code ; Large Provider Entity Code ; Age Band Code ; Sex Code </v>
      </c>
      <c r="N4957" s="297" t="s">
        <v>197</v>
      </c>
      <c r="O4957" s="297" t="s">
        <v>198</v>
      </c>
      <c r="P4957" s="297" t="s">
        <v>199</v>
      </c>
      <c r="Q4957" s="297" t="s">
        <v>200</v>
      </c>
      <c r="R4957" s="297" t="s">
        <v>213</v>
      </c>
      <c r="S4957" s="297" t="s">
        <v>214</v>
      </c>
    </row>
    <row r="4958" spans="1:19" x14ac:dyDescent="0.4">
      <c r="A4958" s="291"/>
      <c r="B4958" s="292"/>
      <c r="C4958" s="312"/>
      <c r="D4958" s="292"/>
      <c r="E4958" s="489"/>
      <c r="F4958" s="489"/>
      <c r="G4958" s="490"/>
      <c r="H4958" s="520"/>
      <c r="I4958" s="523"/>
      <c r="J4958" s="521"/>
      <c r="K4958" s="522"/>
      <c r="M4958" s="301" t="str">
        <f>N4958&amp;AS[[#This Row],[Insurer Code]]&amp;"; "&amp;O4958&amp;AS[[#This Row],[Reporting Year]]&amp;"; "&amp;P4958&amp;AS[[#This Row],[Insurance Category Code]]&amp;"; "&amp;Q4958&amp;AS[[#This Row],[Large Provider Entity Code]]&amp;"; "&amp;R4958&amp;AS[[#This Row],[Age Band Code]]&amp;"; "&amp;S4958&amp;AS[[#This Row],[Sex Code]]</f>
        <v xml:space="preserve">Insurer Code ; Reporting Year ; Insurance Category Code ; Large Provider Entity Code ; Age Band Code ; Sex Code </v>
      </c>
      <c r="N4958" s="297" t="s">
        <v>197</v>
      </c>
      <c r="O4958" s="297" t="s">
        <v>198</v>
      </c>
      <c r="P4958" s="297" t="s">
        <v>199</v>
      </c>
      <c r="Q4958" s="297" t="s">
        <v>200</v>
      </c>
      <c r="R4958" s="297" t="s">
        <v>213</v>
      </c>
      <c r="S4958" s="297" t="s">
        <v>214</v>
      </c>
    </row>
    <row r="4959" spans="1:19" x14ac:dyDescent="0.4">
      <c r="A4959" s="291"/>
      <c r="B4959" s="292"/>
      <c r="C4959" s="312"/>
      <c r="D4959" s="292"/>
      <c r="E4959" s="489"/>
      <c r="F4959" s="489"/>
      <c r="G4959" s="490"/>
      <c r="H4959" s="520"/>
      <c r="I4959" s="523"/>
      <c r="J4959" s="521"/>
      <c r="K4959" s="522"/>
      <c r="M4959" s="301" t="str">
        <f>N4959&amp;AS[[#This Row],[Insurer Code]]&amp;"; "&amp;O4959&amp;AS[[#This Row],[Reporting Year]]&amp;"; "&amp;P4959&amp;AS[[#This Row],[Insurance Category Code]]&amp;"; "&amp;Q4959&amp;AS[[#This Row],[Large Provider Entity Code]]&amp;"; "&amp;R4959&amp;AS[[#This Row],[Age Band Code]]&amp;"; "&amp;S4959&amp;AS[[#This Row],[Sex Code]]</f>
        <v xml:space="preserve">Insurer Code ; Reporting Year ; Insurance Category Code ; Large Provider Entity Code ; Age Band Code ; Sex Code </v>
      </c>
      <c r="N4959" s="297" t="s">
        <v>197</v>
      </c>
      <c r="O4959" s="297" t="s">
        <v>198</v>
      </c>
      <c r="P4959" s="297" t="s">
        <v>199</v>
      </c>
      <c r="Q4959" s="297" t="s">
        <v>200</v>
      </c>
      <c r="R4959" s="297" t="s">
        <v>213</v>
      </c>
      <c r="S4959" s="297" t="s">
        <v>214</v>
      </c>
    </row>
    <row r="4960" spans="1:19" x14ac:dyDescent="0.4">
      <c r="A4960" s="291"/>
      <c r="B4960" s="292"/>
      <c r="C4960" s="312"/>
      <c r="D4960" s="292"/>
      <c r="E4960" s="489"/>
      <c r="F4960" s="489"/>
      <c r="G4960" s="490"/>
      <c r="H4960" s="520"/>
      <c r="I4960" s="523"/>
      <c r="J4960" s="521"/>
      <c r="K4960" s="522"/>
      <c r="M4960" s="301" t="str">
        <f>N4960&amp;AS[[#This Row],[Insurer Code]]&amp;"; "&amp;O4960&amp;AS[[#This Row],[Reporting Year]]&amp;"; "&amp;P4960&amp;AS[[#This Row],[Insurance Category Code]]&amp;"; "&amp;Q4960&amp;AS[[#This Row],[Large Provider Entity Code]]&amp;"; "&amp;R4960&amp;AS[[#This Row],[Age Band Code]]&amp;"; "&amp;S4960&amp;AS[[#This Row],[Sex Code]]</f>
        <v xml:space="preserve">Insurer Code ; Reporting Year ; Insurance Category Code ; Large Provider Entity Code ; Age Band Code ; Sex Code </v>
      </c>
      <c r="N4960" s="297" t="s">
        <v>197</v>
      </c>
      <c r="O4960" s="297" t="s">
        <v>198</v>
      </c>
      <c r="P4960" s="297" t="s">
        <v>199</v>
      </c>
      <c r="Q4960" s="297" t="s">
        <v>200</v>
      </c>
      <c r="R4960" s="297" t="s">
        <v>213</v>
      </c>
      <c r="S4960" s="297" t="s">
        <v>214</v>
      </c>
    </row>
    <row r="4961" spans="1:19" x14ac:dyDescent="0.4">
      <c r="A4961" s="291"/>
      <c r="B4961" s="292"/>
      <c r="C4961" s="312"/>
      <c r="D4961" s="292"/>
      <c r="E4961" s="489"/>
      <c r="F4961" s="489"/>
      <c r="G4961" s="490"/>
      <c r="H4961" s="520"/>
      <c r="I4961" s="523"/>
      <c r="J4961" s="521"/>
      <c r="K4961" s="522"/>
      <c r="M4961" s="301" t="str">
        <f>N4961&amp;AS[[#This Row],[Insurer Code]]&amp;"; "&amp;O4961&amp;AS[[#This Row],[Reporting Year]]&amp;"; "&amp;P4961&amp;AS[[#This Row],[Insurance Category Code]]&amp;"; "&amp;Q4961&amp;AS[[#This Row],[Large Provider Entity Code]]&amp;"; "&amp;R4961&amp;AS[[#This Row],[Age Band Code]]&amp;"; "&amp;S4961&amp;AS[[#This Row],[Sex Code]]</f>
        <v xml:space="preserve">Insurer Code ; Reporting Year ; Insurance Category Code ; Large Provider Entity Code ; Age Band Code ; Sex Code </v>
      </c>
      <c r="N4961" s="297" t="s">
        <v>197</v>
      </c>
      <c r="O4961" s="297" t="s">
        <v>198</v>
      </c>
      <c r="P4961" s="297" t="s">
        <v>199</v>
      </c>
      <c r="Q4961" s="297" t="s">
        <v>200</v>
      </c>
      <c r="R4961" s="297" t="s">
        <v>213</v>
      </c>
      <c r="S4961" s="297" t="s">
        <v>214</v>
      </c>
    </row>
    <row r="4962" spans="1:19" x14ac:dyDescent="0.4">
      <c r="A4962" s="291"/>
      <c r="B4962" s="292"/>
      <c r="C4962" s="312"/>
      <c r="D4962" s="292"/>
      <c r="E4962" s="489"/>
      <c r="F4962" s="489"/>
      <c r="G4962" s="490"/>
      <c r="H4962" s="520"/>
      <c r="I4962" s="523"/>
      <c r="J4962" s="521"/>
      <c r="K4962" s="522"/>
      <c r="M4962" s="301" t="str">
        <f>N4962&amp;AS[[#This Row],[Insurer Code]]&amp;"; "&amp;O4962&amp;AS[[#This Row],[Reporting Year]]&amp;"; "&amp;P4962&amp;AS[[#This Row],[Insurance Category Code]]&amp;"; "&amp;Q4962&amp;AS[[#This Row],[Large Provider Entity Code]]&amp;"; "&amp;R4962&amp;AS[[#This Row],[Age Band Code]]&amp;"; "&amp;S4962&amp;AS[[#This Row],[Sex Code]]</f>
        <v xml:space="preserve">Insurer Code ; Reporting Year ; Insurance Category Code ; Large Provider Entity Code ; Age Band Code ; Sex Code </v>
      </c>
      <c r="N4962" s="297" t="s">
        <v>197</v>
      </c>
      <c r="O4962" s="297" t="s">
        <v>198</v>
      </c>
      <c r="P4962" s="297" t="s">
        <v>199</v>
      </c>
      <c r="Q4962" s="297" t="s">
        <v>200</v>
      </c>
      <c r="R4962" s="297" t="s">
        <v>213</v>
      </c>
      <c r="S4962" s="297" t="s">
        <v>214</v>
      </c>
    </row>
    <row r="4963" spans="1:19" x14ac:dyDescent="0.4">
      <c r="A4963" s="291"/>
      <c r="B4963" s="292"/>
      <c r="C4963" s="312"/>
      <c r="D4963" s="292"/>
      <c r="E4963" s="489"/>
      <c r="F4963" s="489"/>
      <c r="G4963" s="490"/>
      <c r="H4963" s="520"/>
      <c r="I4963" s="523"/>
      <c r="J4963" s="521"/>
      <c r="K4963" s="522"/>
      <c r="M4963" s="301" t="str">
        <f>N4963&amp;AS[[#This Row],[Insurer Code]]&amp;"; "&amp;O4963&amp;AS[[#This Row],[Reporting Year]]&amp;"; "&amp;P4963&amp;AS[[#This Row],[Insurance Category Code]]&amp;"; "&amp;Q4963&amp;AS[[#This Row],[Large Provider Entity Code]]&amp;"; "&amp;R4963&amp;AS[[#This Row],[Age Band Code]]&amp;"; "&amp;S4963&amp;AS[[#This Row],[Sex Code]]</f>
        <v xml:space="preserve">Insurer Code ; Reporting Year ; Insurance Category Code ; Large Provider Entity Code ; Age Band Code ; Sex Code </v>
      </c>
      <c r="N4963" s="297" t="s">
        <v>197</v>
      </c>
      <c r="O4963" s="297" t="s">
        <v>198</v>
      </c>
      <c r="P4963" s="297" t="s">
        <v>199</v>
      </c>
      <c r="Q4963" s="297" t="s">
        <v>200</v>
      </c>
      <c r="R4963" s="297" t="s">
        <v>213</v>
      </c>
      <c r="S4963" s="297" t="s">
        <v>214</v>
      </c>
    </row>
    <row r="4964" spans="1:19" x14ac:dyDescent="0.4">
      <c r="A4964" s="291"/>
      <c r="B4964" s="292"/>
      <c r="C4964" s="312"/>
      <c r="D4964" s="292"/>
      <c r="E4964" s="489"/>
      <c r="F4964" s="489"/>
      <c r="G4964" s="490"/>
      <c r="H4964" s="520"/>
      <c r="I4964" s="523"/>
      <c r="J4964" s="521"/>
      <c r="K4964" s="522"/>
      <c r="M4964" s="301" t="str">
        <f>N4964&amp;AS[[#This Row],[Insurer Code]]&amp;"; "&amp;O4964&amp;AS[[#This Row],[Reporting Year]]&amp;"; "&amp;P4964&amp;AS[[#This Row],[Insurance Category Code]]&amp;"; "&amp;Q4964&amp;AS[[#This Row],[Large Provider Entity Code]]&amp;"; "&amp;R4964&amp;AS[[#This Row],[Age Band Code]]&amp;"; "&amp;S4964&amp;AS[[#This Row],[Sex Code]]</f>
        <v xml:space="preserve">Insurer Code ; Reporting Year ; Insurance Category Code ; Large Provider Entity Code ; Age Band Code ; Sex Code </v>
      </c>
      <c r="N4964" s="297" t="s">
        <v>197</v>
      </c>
      <c r="O4964" s="297" t="s">
        <v>198</v>
      </c>
      <c r="P4964" s="297" t="s">
        <v>199</v>
      </c>
      <c r="Q4964" s="297" t="s">
        <v>200</v>
      </c>
      <c r="R4964" s="297" t="s">
        <v>213</v>
      </c>
      <c r="S4964" s="297" t="s">
        <v>214</v>
      </c>
    </row>
    <row r="4965" spans="1:19" x14ac:dyDescent="0.4">
      <c r="A4965" s="291"/>
      <c r="B4965" s="292"/>
      <c r="C4965" s="312"/>
      <c r="D4965" s="292"/>
      <c r="E4965" s="489"/>
      <c r="F4965" s="489"/>
      <c r="G4965" s="490"/>
      <c r="H4965" s="520"/>
      <c r="I4965" s="523"/>
      <c r="J4965" s="521"/>
      <c r="K4965" s="522"/>
      <c r="M4965" s="301" t="str">
        <f>N4965&amp;AS[[#This Row],[Insurer Code]]&amp;"; "&amp;O4965&amp;AS[[#This Row],[Reporting Year]]&amp;"; "&amp;P4965&amp;AS[[#This Row],[Insurance Category Code]]&amp;"; "&amp;Q4965&amp;AS[[#This Row],[Large Provider Entity Code]]&amp;"; "&amp;R4965&amp;AS[[#This Row],[Age Band Code]]&amp;"; "&amp;S4965&amp;AS[[#This Row],[Sex Code]]</f>
        <v xml:space="preserve">Insurer Code ; Reporting Year ; Insurance Category Code ; Large Provider Entity Code ; Age Band Code ; Sex Code </v>
      </c>
      <c r="N4965" s="297" t="s">
        <v>197</v>
      </c>
      <c r="O4965" s="297" t="s">
        <v>198</v>
      </c>
      <c r="P4965" s="297" t="s">
        <v>199</v>
      </c>
      <c r="Q4965" s="297" t="s">
        <v>200</v>
      </c>
      <c r="R4965" s="297" t="s">
        <v>213</v>
      </c>
      <c r="S4965" s="297" t="s">
        <v>214</v>
      </c>
    </row>
    <row r="4966" spans="1:19" x14ac:dyDescent="0.4">
      <c r="A4966" s="291"/>
      <c r="B4966" s="292"/>
      <c r="C4966" s="312"/>
      <c r="D4966" s="292"/>
      <c r="E4966" s="489"/>
      <c r="F4966" s="489"/>
      <c r="G4966" s="490"/>
      <c r="H4966" s="520"/>
      <c r="I4966" s="523"/>
      <c r="J4966" s="521"/>
      <c r="K4966" s="522"/>
      <c r="M4966" s="301" t="str">
        <f>N4966&amp;AS[[#This Row],[Insurer Code]]&amp;"; "&amp;O4966&amp;AS[[#This Row],[Reporting Year]]&amp;"; "&amp;P4966&amp;AS[[#This Row],[Insurance Category Code]]&amp;"; "&amp;Q4966&amp;AS[[#This Row],[Large Provider Entity Code]]&amp;"; "&amp;R4966&amp;AS[[#This Row],[Age Band Code]]&amp;"; "&amp;S4966&amp;AS[[#This Row],[Sex Code]]</f>
        <v xml:space="preserve">Insurer Code ; Reporting Year ; Insurance Category Code ; Large Provider Entity Code ; Age Band Code ; Sex Code </v>
      </c>
      <c r="N4966" s="297" t="s">
        <v>197</v>
      </c>
      <c r="O4966" s="297" t="s">
        <v>198</v>
      </c>
      <c r="P4966" s="297" t="s">
        <v>199</v>
      </c>
      <c r="Q4966" s="297" t="s">
        <v>200</v>
      </c>
      <c r="R4966" s="297" t="s">
        <v>213</v>
      </c>
      <c r="S4966" s="297" t="s">
        <v>214</v>
      </c>
    </row>
    <row r="4967" spans="1:19" x14ac:dyDescent="0.4">
      <c r="A4967" s="291"/>
      <c r="B4967" s="292"/>
      <c r="C4967" s="312"/>
      <c r="D4967" s="292"/>
      <c r="E4967" s="489"/>
      <c r="F4967" s="489"/>
      <c r="G4967" s="490"/>
      <c r="H4967" s="520"/>
      <c r="I4967" s="523"/>
      <c r="J4967" s="521"/>
      <c r="K4967" s="522"/>
      <c r="M4967" s="301" t="str">
        <f>N4967&amp;AS[[#This Row],[Insurer Code]]&amp;"; "&amp;O4967&amp;AS[[#This Row],[Reporting Year]]&amp;"; "&amp;P4967&amp;AS[[#This Row],[Insurance Category Code]]&amp;"; "&amp;Q4967&amp;AS[[#This Row],[Large Provider Entity Code]]&amp;"; "&amp;R4967&amp;AS[[#This Row],[Age Band Code]]&amp;"; "&amp;S4967&amp;AS[[#This Row],[Sex Code]]</f>
        <v xml:space="preserve">Insurer Code ; Reporting Year ; Insurance Category Code ; Large Provider Entity Code ; Age Band Code ; Sex Code </v>
      </c>
      <c r="N4967" s="297" t="s">
        <v>197</v>
      </c>
      <c r="O4967" s="297" t="s">
        <v>198</v>
      </c>
      <c r="P4967" s="297" t="s">
        <v>199</v>
      </c>
      <c r="Q4967" s="297" t="s">
        <v>200</v>
      </c>
      <c r="R4967" s="297" t="s">
        <v>213</v>
      </c>
      <c r="S4967" s="297" t="s">
        <v>214</v>
      </c>
    </row>
    <row r="4968" spans="1:19" x14ac:dyDescent="0.4">
      <c r="A4968" s="291"/>
      <c r="B4968" s="292"/>
      <c r="C4968" s="312"/>
      <c r="D4968" s="292"/>
      <c r="E4968" s="489"/>
      <c r="F4968" s="489"/>
      <c r="G4968" s="490"/>
      <c r="H4968" s="520"/>
      <c r="I4968" s="523"/>
      <c r="J4968" s="521"/>
      <c r="K4968" s="522"/>
      <c r="M4968" s="301" t="str">
        <f>N4968&amp;AS[[#This Row],[Insurer Code]]&amp;"; "&amp;O4968&amp;AS[[#This Row],[Reporting Year]]&amp;"; "&amp;P4968&amp;AS[[#This Row],[Insurance Category Code]]&amp;"; "&amp;Q4968&amp;AS[[#This Row],[Large Provider Entity Code]]&amp;"; "&amp;R4968&amp;AS[[#This Row],[Age Band Code]]&amp;"; "&amp;S4968&amp;AS[[#This Row],[Sex Code]]</f>
        <v xml:space="preserve">Insurer Code ; Reporting Year ; Insurance Category Code ; Large Provider Entity Code ; Age Band Code ; Sex Code </v>
      </c>
      <c r="N4968" s="297" t="s">
        <v>197</v>
      </c>
      <c r="O4968" s="297" t="s">
        <v>198</v>
      </c>
      <c r="P4968" s="297" t="s">
        <v>199</v>
      </c>
      <c r="Q4968" s="297" t="s">
        <v>200</v>
      </c>
      <c r="R4968" s="297" t="s">
        <v>213</v>
      </c>
      <c r="S4968" s="297" t="s">
        <v>214</v>
      </c>
    </row>
    <row r="4969" spans="1:19" x14ac:dyDescent="0.4">
      <c r="A4969" s="291"/>
      <c r="B4969" s="292"/>
      <c r="C4969" s="312"/>
      <c r="D4969" s="292"/>
      <c r="E4969" s="489"/>
      <c r="F4969" s="489"/>
      <c r="G4969" s="490"/>
      <c r="H4969" s="520"/>
      <c r="I4969" s="523"/>
      <c r="J4969" s="521"/>
      <c r="K4969" s="522"/>
      <c r="M4969" s="301" t="str">
        <f>N4969&amp;AS[[#This Row],[Insurer Code]]&amp;"; "&amp;O4969&amp;AS[[#This Row],[Reporting Year]]&amp;"; "&amp;P4969&amp;AS[[#This Row],[Insurance Category Code]]&amp;"; "&amp;Q4969&amp;AS[[#This Row],[Large Provider Entity Code]]&amp;"; "&amp;R4969&amp;AS[[#This Row],[Age Band Code]]&amp;"; "&amp;S4969&amp;AS[[#This Row],[Sex Code]]</f>
        <v xml:space="preserve">Insurer Code ; Reporting Year ; Insurance Category Code ; Large Provider Entity Code ; Age Band Code ; Sex Code </v>
      </c>
      <c r="N4969" s="297" t="s">
        <v>197</v>
      </c>
      <c r="O4969" s="297" t="s">
        <v>198</v>
      </c>
      <c r="P4969" s="297" t="s">
        <v>199</v>
      </c>
      <c r="Q4969" s="297" t="s">
        <v>200</v>
      </c>
      <c r="R4969" s="297" t="s">
        <v>213</v>
      </c>
      <c r="S4969" s="297" t="s">
        <v>214</v>
      </c>
    </row>
    <row r="4970" spans="1:19" x14ac:dyDescent="0.4">
      <c r="A4970" s="291"/>
      <c r="B4970" s="292"/>
      <c r="C4970" s="312"/>
      <c r="D4970" s="292"/>
      <c r="E4970" s="489"/>
      <c r="F4970" s="489"/>
      <c r="G4970" s="490"/>
      <c r="H4970" s="520"/>
      <c r="I4970" s="523"/>
      <c r="J4970" s="521"/>
      <c r="K4970" s="522"/>
      <c r="M4970" s="301" t="str">
        <f>N4970&amp;AS[[#This Row],[Insurer Code]]&amp;"; "&amp;O4970&amp;AS[[#This Row],[Reporting Year]]&amp;"; "&amp;P4970&amp;AS[[#This Row],[Insurance Category Code]]&amp;"; "&amp;Q4970&amp;AS[[#This Row],[Large Provider Entity Code]]&amp;"; "&amp;R4970&amp;AS[[#This Row],[Age Band Code]]&amp;"; "&amp;S4970&amp;AS[[#This Row],[Sex Code]]</f>
        <v xml:space="preserve">Insurer Code ; Reporting Year ; Insurance Category Code ; Large Provider Entity Code ; Age Band Code ; Sex Code </v>
      </c>
      <c r="N4970" s="297" t="s">
        <v>197</v>
      </c>
      <c r="O4970" s="297" t="s">
        <v>198</v>
      </c>
      <c r="P4970" s="297" t="s">
        <v>199</v>
      </c>
      <c r="Q4970" s="297" t="s">
        <v>200</v>
      </c>
      <c r="R4970" s="297" t="s">
        <v>213</v>
      </c>
      <c r="S4970" s="297" t="s">
        <v>214</v>
      </c>
    </row>
    <row r="4971" spans="1:19" x14ac:dyDescent="0.4">
      <c r="A4971" s="291"/>
      <c r="B4971" s="292"/>
      <c r="C4971" s="312"/>
      <c r="D4971" s="292"/>
      <c r="E4971" s="489"/>
      <c r="F4971" s="489"/>
      <c r="G4971" s="490"/>
      <c r="H4971" s="520"/>
      <c r="I4971" s="523"/>
      <c r="J4971" s="521"/>
      <c r="K4971" s="522"/>
      <c r="M4971" s="301" t="str">
        <f>N4971&amp;AS[[#This Row],[Insurer Code]]&amp;"; "&amp;O4971&amp;AS[[#This Row],[Reporting Year]]&amp;"; "&amp;P4971&amp;AS[[#This Row],[Insurance Category Code]]&amp;"; "&amp;Q4971&amp;AS[[#This Row],[Large Provider Entity Code]]&amp;"; "&amp;R4971&amp;AS[[#This Row],[Age Band Code]]&amp;"; "&amp;S4971&amp;AS[[#This Row],[Sex Code]]</f>
        <v xml:space="preserve">Insurer Code ; Reporting Year ; Insurance Category Code ; Large Provider Entity Code ; Age Band Code ; Sex Code </v>
      </c>
      <c r="N4971" s="297" t="s">
        <v>197</v>
      </c>
      <c r="O4971" s="297" t="s">
        <v>198</v>
      </c>
      <c r="P4971" s="297" t="s">
        <v>199</v>
      </c>
      <c r="Q4971" s="297" t="s">
        <v>200</v>
      </c>
      <c r="R4971" s="297" t="s">
        <v>213</v>
      </c>
      <c r="S4971" s="297" t="s">
        <v>214</v>
      </c>
    </row>
    <row r="4972" spans="1:19" x14ac:dyDescent="0.4">
      <c r="A4972" s="291"/>
      <c r="B4972" s="292"/>
      <c r="C4972" s="312"/>
      <c r="D4972" s="292"/>
      <c r="E4972" s="489"/>
      <c r="F4972" s="489"/>
      <c r="G4972" s="490"/>
      <c r="H4972" s="520"/>
      <c r="I4972" s="523"/>
      <c r="J4972" s="521"/>
      <c r="K4972" s="522"/>
      <c r="M4972" s="301" t="str">
        <f>N4972&amp;AS[[#This Row],[Insurer Code]]&amp;"; "&amp;O4972&amp;AS[[#This Row],[Reporting Year]]&amp;"; "&amp;P4972&amp;AS[[#This Row],[Insurance Category Code]]&amp;"; "&amp;Q4972&amp;AS[[#This Row],[Large Provider Entity Code]]&amp;"; "&amp;R4972&amp;AS[[#This Row],[Age Band Code]]&amp;"; "&amp;S4972&amp;AS[[#This Row],[Sex Code]]</f>
        <v xml:space="preserve">Insurer Code ; Reporting Year ; Insurance Category Code ; Large Provider Entity Code ; Age Band Code ; Sex Code </v>
      </c>
      <c r="N4972" s="297" t="s">
        <v>197</v>
      </c>
      <c r="O4972" s="297" t="s">
        <v>198</v>
      </c>
      <c r="P4972" s="297" t="s">
        <v>199</v>
      </c>
      <c r="Q4972" s="297" t="s">
        <v>200</v>
      </c>
      <c r="R4972" s="297" t="s">
        <v>213</v>
      </c>
      <c r="S4972" s="297" t="s">
        <v>214</v>
      </c>
    </row>
    <row r="4973" spans="1:19" x14ac:dyDescent="0.4">
      <c r="A4973" s="291"/>
      <c r="B4973" s="292"/>
      <c r="C4973" s="312"/>
      <c r="D4973" s="292"/>
      <c r="E4973" s="489"/>
      <c r="F4973" s="489"/>
      <c r="G4973" s="490"/>
      <c r="H4973" s="520"/>
      <c r="I4973" s="523"/>
      <c r="J4973" s="521"/>
      <c r="K4973" s="522"/>
      <c r="M4973" s="301" t="str">
        <f>N4973&amp;AS[[#This Row],[Insurer Code]]&amp;"; "&amp;O4973&amp;AS[[#This Row],[Reporting Year]]&amp;"; "&amp;P4973&amp;AS[[#This Row],[Insurance Category Code]]&amp;"; "&amp;Q4973&amp;AS[[#This Row],[Large Provider Entity Code]]&amp;"; "&amp;R4973&amp;AS[[#This Row],[Age Band Code]]&amp;"; "&amp;S4973&amp;AS[[#This Row],[Sex Code]]</f>
        <v xml:space="preserve">Insurer Code ; Reporting Year ; Insurance Category Code ; Large Provider Entity Code ; Age Band Code ; Sex Code </v>
      </c>
      <c r="N4973" s="297" t="s">
        <v>197</v>
      </c>
      <c r="O4973" s="297" t="s">
        <v>198</v>
      </c>
      <c r="P4973" s="297" t="s">
        <v>199</v>
      </c>
      <c r="Q4973" s="297" t="s">
        <v>200</v>
      </c>
      <c r="R4973" s="297" t="s">
        <v>213</v>
      </c>
      <c r="S4973" s="297" t="s">
        <v>214</v>
      </c>
    </row>
    <row r="4974" spans="1:19" x14ac:dyDescent="0.4">
      <c r="A4974" s="291"/>
      <c r="B4974" s="292"/>
      <c r="C4974" s="312"/>
      <c r="D4974" s="292"/>
      <c r="E4974" s="489"/>
      <c r="F4974" s="489"/>
      <c r="G4974" s="490"/>
      <c r="H4974" s="520"/>
      <c r="I4974" s="523"/>
      <c r="J4974" s="521"/>
      <c r="K4974" s="522"/>
      <c r="M4974" s="301" t="str">
        <f>N4974&amp;AS[[#This Row],[Insurer Code]]&amp;"; "&amp;O4974&amp;AS[[#This Row],[Reporting Year]]&amp;"; "&amp;P4974&amp;AS[[#This Row],[Insurance Category Code]]&amp;"; "&amp;Q4974&amp;AS[[#This Row],[Large Provider Entity Code]]&amp;"; "&amp;R4974&amp;AS[[#This Row],[Age Band Code]]&amp;"; "&amp;S4974&amp;AS[[#This Row],[Sex Code]]</f>
        <v xml:space="preserve">Insurer Code ; Reporting Year ; Insurance Category Code ; Large Provider Entity Code ; Age Band Code ; Sex Code </v>
      </c>
      <c r="N4974" s="297" t="s">
        <v>197</v>
      </c>
      <c r="O4974" s="297" t="s">
        <v>198</v>
      </c>
      <c r="P4974" s="297" t="s">
        <v>199</v>
      </c>
      <c r="Q4974" s="297" t="s">
        <v>200</v>
      </c>
      <c r="R4974" s="297" t="s">
        <v>213</v>
      </c>
      <c r="S4974" s="297" t="s">
        <v>214</v>
      </c>
    </row>
    <row r="4975" spans="1:19" x14ac:dyDescent="0.4">
      <c r="A4975" s="291"/>
      <c r="B4975" s="292"/>
      <c r="C4975" s="312"/>
      <c r="D4975" s="292"/>
      <c r="E4975" s="489"/>
      <c r="F4975" s="489"/>
      <c r="G4975" s="490"/>
      <c r="H4975" s="520"/>
      <c r="I4975" s="523"/>
      <c r="J4975" s="521"/>
      <c r="K4975" s="522"/>
      <c r="M4975" s="301" t="str">
        <f>N4975&amp;AS[[#This Row],[Insurer Code]]&amp;"; "&amp;O4975&amp;AS[[#This Row],[Reporting Year]]&amp;"; "&amp;P4975&amp;AS[[#This Row],[Insurance Category Code]]&amp;"; "&amp;Q4975&amp;AS[[#This Row],[Large Provider Entity Code]]&amp;"; "&amp;R4975&amp;AS[[#This Row],[Age Band Code]]&amp;"; "&amp;S4975&amp;AS[[#This Row],[Sex Code]]</f>
        <v xml:space="preserve">Insurer Code ; Reporting Year ; Insurance Category Code ; Large Provider Entity Code ; Age Band Code ; Sex Code </v>
      </c>
      <c r="N4975" s="297" t="s">
        <v>197</v>
      </c>
      <c r="O4975" s="297" t="s">
        <v>198</v>
      </c>
      <c r="P4975" s="297" t="s">
        <v>199</v>
      </c>
      <c r="Q4975" s="297" t="s">
        <v>200</v>
      </c>
      <c r="R4975" s="297" t="s">
        <v>213</v>
      </c>
      <c r="S4975" s="297" t="s">
        <v>214</v>
      </c>
    </row>
    <row r="4976" spans="1:19" x14ac:dyDescent="0.4">
      <c r="A4976" s="291"/>
      <c r="B4976" s="292"/>
      <c r="C4976" s="312"/>
      <c r="D4976" s="292"/>
      <c r="E4976" s="489"/>
      <c r="F4976" s="489"/>
      <c r="G4976" s="490"/>
      <c r="H4976" s="520"/>
      <c r="I4976" s="523"/>
      <c r="J4976" s="521"/>
      <c r="K4976" s="522"/>
      <c r="M4976" s="301" t="str">
        <f>N4976&amp;AS[[#This Row],[Insurer Code]]&amp;"; "&amp;O4976&amp;AS[[#This Row],[Reporting Year]]&amp;"; "&amp;P4976&amp;AS[[#This Row],[Insurance Category Code]]&amp;"; "&amp;Q4976&amp;AS[[#This Row],[Large Provider Entity Code]]&amp;"; "&amp;R4976&amp;AS[[#This Row],[Age Band Code]]&amp;"; "&amp;S4976&amp;AS[[#This Row],[Sex Code]]</f>
        <v xml:space="preserve">Insurer Code ; Reporting Year ; Insurance Category Code ; Large Provider Entity Code ; Age Band Code ; Sex Code </v>
      </c>
      <c r="N4976" s="297" t="s">
        <v>197</v>
      </c>
      <c r="O4976" s="297" t="s">
        <v>198</v>
      </c>
      <c r="P4976" s="297" t="s">
        <v>199</v>
      </c>
      <c r="Q4976" s="297" t="s">
        <v>200</v>
      </c>
      <c r="R4976" s="297" t="s">
        <v>213</v>
      </c>
      <c r="S4976" s="297" t="s">
        <v>214</v>
      </c>
    </row>
    <row r="4977" spans="1:19" x14ac:dyDescent="0.4">
      <c r="A4977" s="291"/>
      <c r="B4977" s="292"/>
      <c r="C4977" s="312"/>
      <c r="D4977" s="292"/>
      <c r="E4977" s="489"/>
      <c r="F4977" s="489"/>
      <c r="G4977" s="490"/>
      <c r="H4977" s="520"/>
      <c r="I4977" s="523"/>
      <c r="J4977" s="521"/>
      <c r="K4977" s="522"/>
      <c r="M4977" s="301" t="str">
        <f>N4977&amp;AS[[#This Row],[Insurer Code]]&amp;"; "&amp;O4977&amp;AS[[#This Row],[Reporting Year]]&amp;"; "&amp;P4977&amp;AS[[#This Row],[Insurance Category Code]]&amp;"; "&amp;Q4977&amp;AS[[#This Row],[Large Provider Entity Code]]&amp;"; "&amp;R4977&amp;AS[[#This Row],[Age Band Code]]&amp;"; "&amp;S4977&amp;AS[[#This Row],[Sex Code]]</f>
        <v xml:space="preserve">Insurer Code ; Reporting Year ; Insurance Category Code ; Large Provider Entity Code ; Age Band Code ; Sex Code </v>
      </c>
      <c r="N4977" s="297" t="s">
        <v>197</v>
      </c>
      <c r="O4977" s="297" t="s">
        <v>198</v>
      </c>
      <c r="P4977" s="297" t="s">
        <v>199</v>
      </c>
      <c r="Q4977" s="297" t="s">
        <v>200</v>
      </c>
      <c r="R4977" s="297" t="s">
        <v>213</v>
      </c>
      <c r="S4977" s="297" t="s">
        <v>214</v>
      </c>
    </row>
    <row r="4978" spans="1:19" x14ac:dyDescent="0.4">
      <c r="A4978" s="291"/>
      <c r="B4978" s="292"/>
      <c r="C4978" s="312"/>
      <c r="D4978" s="292"/>
      <c r="E4978" s="489"/>
      <c r="F4978" s="489"/>
      <c r="G4978" s="490"/>
      <c r="H4978" s="520"/>
      <c r="I4978" s="523"/>
      <c r="J4978" s="521"/>
      <c r="K4978" s="522"/>
      <c r="M4978" s="301" t="str">
        <f>N4978&amp;AS[[#This Row],[Insurer Code]]&amp;"; "&amp;O4978&amp;AS[[#This Row],[Reporting Year]]&amp;"; "&amp;P4978&amp;AS[[#This Row],[Insurance Category Code]]&amp;"; "&amp;Q4978&amp;AS[[#This Row],[Large Provider Entity Code]]&amp;"; "&amp;R4978&amp;AS[[#This Row],[Age Band Code]]&amp;"; "&amp;S4978&amp;AS[[#This Row],[Sex Code]]</f>
        <v xml:space="preserve">Insurer Code ; Reporting Year ; Insurance Category Code ; Large Provider Entity Code ; Age Band Code ; Sex Code </v>
      </c>
      <c r="N4978" s="297" t="s">
        <v>197</v>
      </c>
      <c r="O4978" s="297" t="s">
        <v>198</v>
      </c>
      <c r="P4978" s="297" t="s">
        <v>199</v>
      </c>
      <c r="Q4978" s="297" t="s">
        <v>200</v>
      </c>
      <c r="R4978" s="297" t="s">
        <v>213</v>
      </c>
      <c r="S4978" s="297" t="s">
        <v>214</v>
      </c>
    </row>
    <row r="4979" spans="1:19" x14ac:dyDescent="0.4">
      <c r="A4979" s="291"/>
      <c r="B4979" s="292"/>
      <c r="C4979" s="312"/>
      <c r="D4979" s="292"/>
      <c r="E4979" s="489"/>
      <c r="F4979" s="489"/>
      <c r="G4979" s="490"/>
      <c r="H4979" s="520"/>
      <c r="I4979" s="523"/>
      <c r="J4979" s="521"/>
      <c r="K4979" s="522"/>
      <c r="M4979" s="301" t="str">
        <f>N4979&amp;AS[[#This Row],[Insurer Code]]&amp;"; "&amp;O4979&amp;AS[[#This Row],[Reporting Year]]&amp;"; "&amp;P4979&amp;AS[[#This Row],[Insurance Category Code]]&amp;"; "&amp;Q4979&amp;AS[[#This Row],[Large Provider Entity Code]]&amp;"; "&amp;R4979&amp;AS[[#This Row],[Age Band Code]]&amp;"; "&amp;S4979&amp;AS[[#This Row],[Sex Code]]</f>
        <v xml:space="preserve">Insurer Code ; Reporting Year ; Insurance Category Code ; Large Provider Entity Code ; Age Band Code ; Sex Code </v>
      </c>
      <c r="N4979" s="297" t="s">
        <v>197</v>
      </c>
      <c r="O4979" s="297" t="s">
        <v>198</v>
      </c>
      <c r="P4979" s="297" t="s">
        <v>199</v>
      </c>
      <c r="Q4979" s="297" t="s">
        <v>200</v>
      </c>
      <c r="R4979" s="297" t="s">
        <v>213</v>
      </c>
      <c r="S4979" s="297" t="s">
        <v>214</v>
      </c>
    </row>
    <row r="4980" spans="1:19" x14ac:dyDescent="0.4">
      <c r="A4980" s="291"/>
      <c r="B4980" s="292"/>
      <c r="C4980" s="312"/>
      <c r="D4980" s="292"/>
      <c r="E4980" s="489"/>
      <c r="F4980" s="489"/>
      <c r="G4980" s="490"/>
      <c r="H4980" s="520"/>
      <c r="I4980" s="523"/>
      <c r="J4980" s="521"/>
      <c r="K4980" s="522"/>
      <c r="M4980" s="301" t="str">
        <f>N4980&amp;AS[[#This Row],[Insurer Code]]&amp;"; "&amp;O4980&amp;AS[[#This Row],[Reporting Year]]&amp;"; "&amp;P4980&amp;AS[[#This Row],[Insurance Category Code]]&amp;"; "&amp;Q4980&amp;AS[[#This Row],[Large Provider Entity Code]]&amp;"; "&amp;R4980&amp;AS[[#This Row],[Age Band Code]]&amp;"; "&amp;S4980&amp;AS[[#This Row],[Sex Code]]</f>
        <v xml:space="preserve">Insurer Code ; Reporting Year ; Insurance Category Code ; Large Provider Entity Code ; Age Band Code ; Sex Code </v>
      </c>
      <c r="N4980" s="297" t="s">
        <v>197</v>
      </c>
      <c r="O4980" s="297" t="s">
        <v>198</v>
      </c>
      <c r="P4980" s="297" t="s">
        <v>199</v>
      </c>
      <c r="Q4980" s="297" t="s">
        <v>200</v>
      </c>
      <c r="R4980" s="297" t="s">
        <v>213</v>
      </c>
      <c r="S4980" s="297" t="s">
        <v>214</v>
      </c>
    </row>
    <row r="4981" spans="1:19" x14ac:dyDescent="0.4">
      <c r="A4981" s="291"/>
      <c r="B4981" s="292"/>
      <c r="C4981" s="312"/>
      <c r="D4981" s="292"/>
      <c r="E4981" s="489"/>
      <c r="F4981" s="489"/>
      <c r="G4981" s="490"/>
      <c r="H4981" s="520"/>
      <c r="I4981" s="523"/>
      <c r="J4981" s="521"/>
      <c r="K4981" s="522"/>
      <c r="M4981" s="301" t="str">
        <f>N4981&amp;AS[[#This Row],[Insurer Code]]&amp;"; "&amp;O4981&amp;AS[[#This Row],[Reporting Year]]&amp;"; "&amp;P4981&amp;AS[[#This Row],[Insurance Category Code]]&amp;"; "&amp;Q4981&amp;AS[[#This Row],[Large Provider Entity Code]]&amp;"; "&amp;R4981&amp;AS[[#This Row],[Age Band Code]]&amp;"; "&amp;S4981&amp;AS[[#This Row],[Sex Code]]</f>
        <v xml:space="preserve">Insurer Code ; Reporting Year ; Insurance Category Code ; Large Provider Entity Code ; Age Band Code ; Sex Code </v>
      </c>
      <c r="N4981" s="297" t="s">
        <v>197</v>
      </c>
      <c r="O4981" s="297" t="s">
        <v>198</v>
      </c>
      <c r="P4981" s="297" t="s">
        <v>199</v>
      </c>
      <c r="Q4981" s="297" t="s">
        <v>200</v>
      </c>
      <c r="R4981" s="297" t="s">
        <v>213</v>
      </c>
      <c r="S4981" s="297" t="s">
        <v>214</v>
      </c>
    </row>
    <row r="4982" spans="1:19" x14ac:dyDescent="0.4">
      <c r="A4982" s="291"/>
      <c r="B4982" s="292"/>
      <c r="C4982" s="312"/>
      <c r="D4982" s="292"/>
      <c r="E4982" s="489"/>
      <c r="F4982" s="489"/>
      <c r="G4982" s="490"/>
      <c r="H4982" s="520"/>
      <c r="I4982" s="523"/>
      <c r="J4982" s="521"/>
      <c r="K4982" s="522"/>
      <c r="M4982" s="301" t="str">
        <f>N4982&amp;AS[[#This Row],[Insurer Code]]&amp;"; "&amp;O4982&amp;AS[[#This Row],[Reporting Year]]&amp;"; "&amp;P4982&amp;AS[[#This Row],[Insurance Category Code]]&amp;"; "&amp;Q4982&amp;AS[[#This Row],[Large Provider Entity Code]]&amp;"; "&amp;R4982&amp;AS[[#This Row],[Age Band Code]]&amp;"; "&amp;S4982&amp;AS[[#This Row],[Sex Code]]</f>
        <v xml:space="preserve">Insurer Code ; Reporting Year ; Insurance Category Code ; Large Provider Entity Code ; Age Band Code ; Sex Code </v>
      </c>
      <c r="N4982" s="297" t="s">
        <v>197</v>
      </c>
      <c r="O4982" s="297" t="s">
        <v>198</v>
      </c>
      <c r="P4982" s="297" t="s">
        <v>199</v>
      </c>
      <c r="Q4982" s="297" t="s">
        <v>200</v>
      </c>
      <c r="R4982" s="297" t="s">
        <v>213</v>
      </c>
      <c r="S4982" s="297" t="s">
        <v>214</v>
      </c>
    </row>
    <row r="4983" spans="1:19" x14ac:dyDescent="0.4">
      <c r="A4983" s="291"/>
      <c r="B4983" s="292"/>
      <c r="C4983" s="312"/>
      <c r="D4983" s="292"/>
      <c r="E4983" s="489"/>
      <c r="F4983" s="489"/>
      <c r="G4983" s="490"/>
      <c r="H4983" s="520"/>
      <c r="I4983" s="523"/>
      <c r="J4983" s="521"/>
      <c r="K4983" s="522"/>
      <c r="M4983" s="301" t="str">
        <f>N4983&amp;AS[[#This Row],[Insurer Code]]&amp;"; "&amp;O4983&amp;AS[[#This Row],[Reporting Year]]&amp;"; "&amp;P4983&amp;AS[[#This Row],[Insurance Category Code]]&amp;"; "&amp;Q4983&amp;AS[[#This Row],[Large Provider Entity Code]]&amp;"; "&amp;R4983&amp;AS[[#This Row],[Age Band Code]]&amp;"; "&amp;S4983&amp;AS[[#This Row],[Sex Code]]</f>
        <v xml:space="preserve">Insurer Code ; Reporting Year ; Insurance Category Code ; Large Provider Entity Code ; Age Band Code ; Sex Code </v>
      </c>
      <c r="N4983" s="297" t="s">
        <v>197</v>
      </c>
      <c r="O4983" s="297" t="s">
        <v>198</v>
      </c>
      <c r="P4983" s="297" t="s">
        <v>199</v>
      </c>
      <c r="Q4983" s="297" t="s">
        <v>200</v>
      </c>
      <c r="R4983" s="297" t="s">
        <v>213</v>
      </c>
      <c r="S4983" s="297" t="s">
        <v>214</v>
      </c>
    </row>
    <row r="4984" spans="1:19" x14ac:dyDescent="0.4">
      <c r="A4984" s="291"/>
      <c r="B4984" s="292"/>
      <c r="C4984" s="312"/>
      <c r="D4984" s="292"/>
      <c r="E4984" s="489"/>
      <c r="F4984" s="489"/>
      <c r="G4984" s="490"/>
      <c r="H4984" s="520"/>
      <c r="I4984" s="523"/>
      <c r="J4984" s="521"/>
      <c r="K4984" s="522"/>
      <c r="M4984" s="301" t="str">
        <f>N4984&amp;AS[[#This Row],[Insurer Code]]&amp;"; "&amp;O4984&amp;AS[[#This Row],[Reporting Year]]&amp;"; "&amp;P4984&amp;AS[[#This Row],[Insurance Category Code]]&amp;"; "&amp;Q4984&amp;AS[[#This Row],[Large Provider Entity Code]]&amp;"; "&amp;R4984&amp;AS[[#This Row],[Age Band Code]]&amp;"; "&amp;S4984&amp;AS[[#This Row],[Sex Code]]</f>
        <v xml:space="preserve">Insurer Code ; Reporting Year ; Insurance Category Code ; Large Provider Entity Code ; Age Band Code ; Sex Code </v>
      </c>
      <c r="N4984" s="297" t="s">
        <v>197</v>
      </c>
      <c r="O4984" s="297" t="s">
        <v>198</v>
      </c>
      <c r="P4984" s="297" t="s">
        <v>199</v>
      </c>
      <c r="Q4984" s="297" t="s">
        <v>200</v>
      </c>
      <c r="R4984" s="297" t="s">
        <v>213</v>
      </c>
      <c r="S4984" s="297" t="s">
        <v>214</v>
      </c>
    </row>
    <row r="4985" spans="1:19" x14ac:dyDescent="0.4">
      <c r="A4985" s="291"/>
      <c r="B4985" s="292"/>
      <c r="C4985" s="312"/>
      <c r="D4985" s="292"/>
      <c r="E4985" s="489"/>
      <c r="F4985" s="489"/>
      <c r="G4985" s="490"/>
      <c r="H4985" s="520"/>
      <c r="I4985" s="523"/>
      <c r="J4985" s="521"/>
      <c r="K4985" s="522"/>
      <c r="M4985" s="301" t="str">
        <f>N4985&amp;AS[[#This Row],[Insurer Code]]&amp;"; "&amp;O4985&amp;AS[[#This Row],[Reporting Year]]&amp;"; "&amp;P4985&amp;AS[[#This Row],[Insurance Category Code]]&amp;"; "&amp;Q4985&amp;AS[[#This Row],[Large Provider Entity Code]]&amp;"; "&amp;R4985&amp;AS[[#This Row],[Age Band Code]]&amp;"; "&amp;S4985&amp;AS[[#This Row],[Sex Code]]</f>
        <v xml:space="preserve">Insurer Code ; Reporting Year ; Insurance Category Code ; Large Provider Entity Code ; Age Band Code ; Sex Code </v>
      </c>
      <c r="N4985" s="297" t="s">
        <v>197</v>
      </c>
      <c r="O4985" s="297" t="s">
        <v>198</v>
      </c>
      <c r="P4985" s="297" t="s">
        <v>199</v>
      </c>
      <c r="Q4985" s="297" t="s">
        <v>200</v>
      </c>
      <c r="R4985" s="297" t="s">
        <v>213</v>
      </c>
      <c r="S4985" s="297" t="s">
        <v>214</v>
      </c>
    </row>
    <row r="4986" spans="1:19" x14ac:dyDescent="0.4">
      <c r="A4986" s="291"/>
      <c r="B4986" s="292"/>
      <c r="C4986" s="312"/>
      <c r="D4986" s="292"/>
      <c r="E4986" s="489"/>
      <c r="F4986" s="489"/>
      <c r="G4986" s="490"/>
      <c r="H4986" s="520"/>
      <c r="I4986" s="523"/>
      <c r="J4986" s="521"/>
      <c r="K4986" s="522"/>
      <c r="M4986" s="301" t="str">
        <f>N4986&amp;AS[[#This Row],[Insurer Code]]&amp;"; "&amp;O4986&amp;AS[[#This Row],[Reporting Year]]&amp;"; "&amp;P4986&amp;AS[[#This Row],[Insurance Category Code]]&amp;"; "&amp;Q4986&amp;AS[[#This Row],[Large Provider Entity Code]]&amp;"; "&amp;R4986&amp;AS[[#This Row],[Age Band Code]]&amp;"; "&amp;S4986&amp;AS[[#This Row],[Sex Code]]</f>
        <v xml:space="preserve">Insurer Code ; Reporting Year ; Insurance Category Code ; Large Provider Entity Code ; Age Band Code ; Sex Code </v>
      </c>
      <c r="N4986" s="297" t="s">
        <v>197</v>
      </c>
      <c r="O4986" s="297" t="s">
        <v>198</v>
      </c>
      <c r="P4986" s="297" t="s">
        <v>199</v>
      </c>
      <c r="Q4986" s="297" t="s">
        <v>200</v>
      </c>
      <c r="R4986" s="297" t="s">
        <v>213</v>
      </c>
      <c r="S4986" s="297" t="s">
        <v>214</v>
      </c>
    </row>
    <row r="4987" spans="1:19" x14ac:dyDescent="0.4">
      <c r="A4987" s="291"/>
      <c r="B4987" s="292"/>
      <c r="C4987" s="312"/>
      <c r="D4987" s="292"/>
      <c r="E4987" s="489"/>
      <c r="F4987" s="489"/>
      <c r="G4987" s="490"/>
      <c r="H4987" s="520"/>
      <c r="I4987" s="523"/>
      <c r="J4987" s="521"/>
      <c r="K4987" s="522"/>
      <c r="M4987" s="301" t="str">
        <f>N4987&amp;AS[[#This Row],[Insurer Code]]&amp;"; "&amp;O4987&amp;AS[[#This Row],[Reporting Year]]&amp;"; "&amp;P4987&amp;AS[[#This Row],[Insurance Category Code]]&amp;"; "&amp;Q4987&amp;AS[[#This Row],[Large Provider Entity Code]]&amp;"; "&amp;R4987&amp;AS[[#This Row],[Age Band Code]]&amp;"; "&amp;S4987&amp;AS[[#This Row],[Sex Code]]</f>
        <v xml:space="preserve">Insurer Code ; Reporting Year ; Insurance Category Code ; Large Provider Entity Code ; Age Band Code ; Sex Code </v>
      </c>
      <c r="N4987" s="297" t="s">
        <v>197</v>
      </c>
      <c r="O4987" s="297" t="s">
        <v>198</v>
      </c>
      <c r="P4987" s="297" t="s">
        <v>199</v>
      </c>
      <c r="Q4987" s="297" t="s">
        <v>200</v>
      </c>
      <c r="R4987" s="297" t="s">
        <v>213</v>
      </c>
      <c r="S4987" s="297" t="s">
        <v>214</v>
      </c>
    </row>
    <row r="4988" spans="1:19" x14ac:dyDescent="0.4">
      <c r="A4988" s="291"/>
      <c r="B4988" s="292"/>
      <c r="C4988" s="312"/>
      <c r="D4988" s="292"/>
      <c r="E4988" s="489"/>
      <c r="F4988" s="489"/>
      <c r="G4988" s="490"/>
      <c r="H4988" s="520"/>
      <c r="I4988" s="523"/>
      <c r="J4988" s="521"/>
      <c r="K4988" s="522"/>
      <c r="M4988" s="301" t="str">
        <f>N4988&amp;AS[[#This Row],[Insurer Code]]&amp;"; "&amp;O4988&amp;AS[[#This Row],[Reporting Year]]&amp;"; "&amp;P4988&amp;AS[[#This Row],[Insurance Category Code]]&amp;"; "&amp;Q4988&amp;AS[[#This Row],[Large Provider Entity Code]]&amp;"; "&amp;R4988&amp;AS[[#This Row],[Age Band Code]]&amp;"; "&amp;S4988&amp;AS[[#This Row],[Sex Code]]</f>
        <v xml:space="preserve">Insurer Code ; Reporting Year ; Insurance Category Code ; Large Provider Entity Code ; Age Band Code ; Sex Code </v>
      </c>
      <c r="N4988" s="297" t="s">
        <v>197</v>
      </c>
      <c r="O4988" s="297" t="s">
        <v>198</v>
      </c>
      <c r="P4988" s="297" t="s">
        <v>199</v>
      </c>
      <c r="Q4988" s="297" t="s">
        <v>200</v>
      </c>
      <c r="R4988" s="297" t="s">
        <v>213</v>
      </c>
      <c r="S4988" s="297" t="s">
        <v>214</v>
      </c>
    </row>
    <row r="4989" spans="1:19" x14ac:dyDescent="0.4">
      <c r="A4989" s="291"/>
      <c r="B4989" s="292"/>
      <c r="C4989" s="312"/>
      <c r="D4989" s="292"/>
      <c r="E4989" s="489"/>
      <c r="F4989" s="489"/>
      <c r="G4989" s="490"/>
      <c r="H4989" s="520"/>
      <c r="I4989" s="523"/>
      <c r="J4989" s="521"/>
      <c r="K4989" s="522"/>
      <c r="M4989" s="301" t="str">
        <f>N4989&amp;AS[[#This Row],[Insurer Code]]&amp;"; "&amp;O4989&amp;AS[[#This Row],[Reporting Year]]&amp;"; "&amp;P4989&amp;AS[[#This Row],[Insurance Category Code]]&amp;"; "&amp;Q4989&amp;AS[[#This Row],[Large Provider Entity Code]]&amp;"; "&amp;R4989&amp;AS[[#This Row],[Age Band Code]]&amp;"; "&amp;S4989&amp;AS[[#This Row],[Sex Code]]</f>
        <v xml:space="preserve">Insurer Code ; Reporting Year ; Insurance Category Code ; Large Provider Entity Code ; Age Band Code ; Sex Code </v>
      </c>
      <c r="N4989" s="297" t="s">
        <v>197</v>
      </c>
      <c r="O4989" s="297" t="s">
        <v>198</v>
      </c>
      <c r="P4989" s="297" t="s">
        <v>199</v>
      </c>
      <c r="Q4989" s="297" t="s">
        <v>200</v>
      </c>
      <c r="R4989" s="297" t="s">
        <v>213</v>
      </c>
      <c r="S4989" s="297" t="s">
        <v>214</v>
      </c>
    </row>
    <row r="4990" spans="1:19" x14ac:dyDescent="0.4">
      <c r="A4990" s="291"/>
      <c r="B4990" s="292"/>
      <c r="C4990" s="312"/>
      <c r="D4990" s="292"/>
      <c r="E4990" s="489"/>
      <c r="F4990" s="489"/>
      <c r="G4990" s="490"/>
      <c r="H4990" s="520"/>
      <c r="I4990" s="523"/>
      <c r="J4990" s="521"/>
      <c r="K4990" s="522"/>
      <c r="M4990" s="301" t="str">
        <f>N4990&amp;AS[[#This Row],[Insurer Code]]&amp;"; "&amp;O4990&amp;AS[[#This Row],[Reporting Year]]&amp;"; "&amp;P4990&amp;AS[[#This Row],[Insurance Category Code]]&amp;"; "&amp;Q4990&amp;AS[[#This Row],[Large Provider Entity Code]]&amp;"; "&amp;R4990&amp;AS[[#This Row],[Age Band Code]]&amp;"; "&amp;S4990&amp;AS[[#This Row],[Sex Code]]</f>
        <v xml:space="preserve">Insurer Code ; Reporting Year ; Insurance Category Code ; Large Provider Entity Code ; Age Band Code ; Sex Code </v>
      </c>
      <c r="N4990" s="297" t="s">
        <v>197</v>
      </c>
      <c r="O4990" s="297" t="s">
        <v>198</v>
      </c>
      <c r="P4990" s="297" t="s">
        <v>199</v>
      </c>
      <c r="Q4990" s="297" t="s">
        <v>200</v>
      </c>
      <c r="R4990" s="297" t="s">
        <v>213</v>
      </c>
      <c r="S4990" s="297" t="s">
        <v>214</v>
      </c>
    </row>
    <row r="4991" spans="1:19" x14ac:dyDescent="0.4">
      <c r="A4991" s="291"/>
      <c r="B4991" s="292"/>
      <c r="C4991" s="312"/>
      <c r="D4991" s="292"/>
      <c r="E4991" s="489"/>
      <c r="F4991" s="489"/>
      <c r="G4991" s="490"/>
      <c r="H4991" s="520"/>
      <c r="I4991" s="523"/>
      <c r="J4991" s="521"/>
      <c r="K4991" s="522"/>
      <c r="M4991" s="301" t="str">
        <f>N4991&amp;AS[[#This Row],[Insurer Code]]&amp;"; "&amp;O4991&amp;AS[[#This Row],[Reporting Year]]&amp;"; "&amp;P4991&amp;AS[[#This Row],[Insurance Category Code]]&amp;"; "&amp;Q4991&amp;AS[[#This Row],[Large Provider Entity Code]]&amp;"; "&amp;R4991&amp;AS[[#This Row],[Age Band Code]]&amp;"; "&amp;S4991&amp;AS[[#This Row],[Sex Code]]</f>
        <v xml:space="preserve">Insurer Code ; Reporting Year ; Insurance Category Code ; Large Provider Entity Code ; Age Band Code ; Sex Code </v>
      </c>
      <c r="N4991" s="297" t="s">
        <v>197</v>
      </c>
      <c r="O4991" s="297" t="s">
        <v>198</v>
      </c>
      <c r="P4991" s="297" t="s">
        <v>199</v>
      </c>
      <c r="Q4991" s="297" t="s">
        <v>200</v>
      </c>
      <c r="R4991" s="297" t="s">
        <v>213</v>
      </c>
      <c r="S4991" s="297" t="s">
        <v>214</v>
      </c>
    </row>
    <row r="4992" spans="1:19" x14ac:dyDescent="0.4">
      <c r="A4992" s="291"/>
      <c r="B4992" s="292"/>
      <c r="C4992" s="312"/>
      <c r="D4992" s="292"/>
      <c r="E4992" s="489"/>
      <c r="F4992" s="489"/>
      <c r="G4992" s="490"/>
      <c r="H4992" s="520"/>
      <c r="I4992" s="523"/>
      <c r="J4992" s="521"/>
      <c r="K4992" s="522"/>
      <c r="M4992" s="301" t="str">
        <f>N4992&amp;AS[[#This Row],[Insurer Code]]&amp;"; "&amp;O4992&amp;AS[[#This Row],[Reporting Year]]&amp;"; "&amp;P4992&amp;AS[[#This Row],[Insurance Category Code]]&amp;"; "&amp;Q4992&amp;AS[[#This Row],[Large Provider Entity Code]]&amp;"; "&amp;R4992&amp;AS[[#This Row],[Age Band Code]]&amp;"; "&amp;S4992&amp;AS[[#This Row],[Sex Code]]</f>
        <v xml:space="preserve">Insurer Code ; Reporting Year ; Insurance Category Code ; Large Provider Entity Code ; Age Band Code ; Sex Code </v>
      </c>
      <c r="N4992" s="297" t="s">
        <v>197</v>
      </c>
      <c r="O4992" s="297" t="s">
        <v>198</v>
      </c>
      <c r="P4992" s="297" t="s">
        <v>199</v>
      </c>
      <c r="Q4992" s="297" t="s">
        <v>200</v>
      </c>
      <c r="R4992" s="297" t="s">
        <v>213</v>
      </c>
      <c r="S4992" s="297" t="s">
        <v>214</v>
      </c>
    </row>
    <row r="4993" spans="1:19" x14ac:dyDescent="0.4">
      <c r="A4993" s="291"/>
      <c r="B4993" s="292"/>
      <c r="C4993" s="312"/>
      <c r="D4993" s="292"/>
      <c r="E4993" s="489"/>
      <c r="F4993" s="489"/>
      <c r="G4993" s="490"/>
      <c r="H4993" s="520"/>
      <c r="I4993" s="523"/>
      <c r="J4993" s="521"/>
      <c r="K4993" s="522"/>
      <c r="M4993" s="301" t="str">
        <f>N4993&amp;AS[[#This Row],[Insurer Code]]&amp;"; "&amp;O4993&amp;AS[[#This Row],[Reporting Year]]&amp;"; "&amp;P4993&amp;AS[[#This Row],[Insurance Category Code]]&amp;"; "&amp;Q4993&amp;AS[[#This Row],[Large Provider Entity Code]]&amp;"; "&amp;R4993&amp;AS[[#This Row],[Age Band Code]]&amp;"; "&amp;S4993&amp;AS[[#This Row],[Sex Code]]</f>
        <v xml:space="preserve">Insurer Code ; Reporting Year ; Insurance Category Code ; Large Provider Entity Code ; Age Band Code ; Sex Code </v>
      </c>
      <c r="N4993" s="297" t="s">
        <v>197</v>
      </c>
      <c r="O4993" s="297" t="s">
        <v>198</v>
      </c>
      <c r="P4993" s="297" t="s">
        <v>199</v>
      </c>
      <c r="Q4993" s="297" t="s">
        <v>200</v>
      </c>
      <c r="R4993" s="297" t="s">
        <v>213</v>
      </c>
      <c r="S4993" s="297" t="s">
        <v>214</v>
      </c>
    </row>
    <row r="4994" spans="1:19" x14ac:dyDescent="0.4">
      <c r="A4994" s="291"/>
      <c r="B4994" s="292"/>
      <c r="C4994" s="312"/>
      <c r="D4994" s="292"/>
      <c r="E4994" s="489"/>
      <c r="F4994" s="489"/>
      <c r="G4994" s="490"/>
      <c r="H4994" s="520"/>
      <c r="I4994" s="523"/>
      <c r="J4994" s="521"/>
      <c r="K4994" s="522"/>
      <c r="M4994" s="301" t="str">
        <f>N4994&amp;AS[[#This Row],[Insurer Code]]&amp;"; "&amp;O4994&amp;AS[[#This Row],[Reporting Year]]&amp;"; "&amp;P4994&amp;AS[[#This Row],[Insurance Category Code]]&amp;"; "&amp;Q4994&amp;AS[[#This Row],[Large Provider Entity Code]]&amp;"; "&amp;R4994&amp;AS[[#This Row],[Age Band Code]]&amp;"; "&amp;S4994&amp;AS[[#This Row],[Sex Code]]</f>
        <v xml:space="preserve">Insurer Code ; Reporting Year ; Insurance Category Code ; Large Provider Entity Code ; Age Band Code ; Sex Code </v>
      </c>
      <c r="N4994" s="297" t="s">
        <v>197</v>
      </c>
      <c r="O4994" s="297" t="s">
        <v>198</v>
      </c>
      <c r="P4994" s="297" t="s">
        <v>199</v>
      </c>
      <c r="Q4994" s="297" t="s">
        <v>200</v>
      </c>
      <c r="R4994" s="297" t="s">
        <v>213</v>
      </c>
      <c r="S4994" s="297" t="s">
        <v>214</v>
      </c>
    </row>
    <row r="4995" spans="1:19" x14ac:dyDescent="0.4">
      <c r="A4995" s="291"/>
      <c r="B4995" s="292"/>
      <c r="C4995" s="312"/>
      <c r="D4995" s="292"/>
      <c r="E4995" s="489"/>
      <c r="F4995" s="489"/>
      <c r="G4995" s="490"/>
      <c r="H4995" s="520"/>
      <c r="I4995" s="523"/>
      <c r="J4995" s="521"/>
      <c r="K4995" s="522"/>
      <c r="M4995" s="301" t="str">
        <f>N4995&amp;AS[[#This Row],[Insurer Code]]&amp;"; "&amp;O4995&amp;AS[[#This Row],[Reporting Year]]&amp;"; "&amp;P4995&amp;AS[[#This Row],[Insurance Category Code]]&amp;"; "&amp;Q4995&amp;AS[[#This Row],[Large Provider Entity Code]]&amp;"; "&amp;R4995&amp;AS[[#This Row],[Age Band Code]]&amp;"; "&amp;S4995&amp;AS[[#This Row],[Sex Code]]</f>
        <v xml:space="preserve">Insurer Code ; Reporting Year ; Insurance Category Code ; Large Provider Entity Code ; Age Band Code ; Sex Code </v>
      </c>
      <c r="N4995" s="297" t="s">
        <v>197</v>
      </c>
      <c r="O4995" s="297" t="s">
        <v>198</v>
      </c>
      <c r="P4995" s="297" t="s">
        <v>199</v>
      </c>
      <c r="Q4995" s="297" t="s">
        <v>200</v>
      </c>
      <c r="R4995" s="297" t="s">
        <v>213</v>
      </c>
      <c r="S4995" s="297" t="s">
        <v>214</v>
      </c>
    </row>
    <row r="4996" spans="1:19" x14ac:dyDescent="0.4">
      <c r="A4996" s="291"/>
      <c r="B4996" s="292"/>
      <c r="C4996" s="312"/>
      <c r="D4996" s="292"/>
      <c r="E4996" s="489"/>
      <c r="F4996" s="489"/>
      <c r="G4996" s="490"/>
      <c r="H4996" s="520"/>
      <c r="I4996" s="523"/>
      <c r="J4996" s="521"/>
      <c r="K4996" s="522"/>
      <c r="M4996" s="301" t="str">
        <f>N4996&amp;AS[[#This Row],[Insurer Code]]&amp;"; "&amp;O4996&amp;AS[[#This Row],[Reporting Year]]&amp;"; "&amp;P4996&amp;AS[[#This Row],[Insurance Category Code]]&amp;"; "&amp;Q4996&amp;AS[[#This Row],[Large Provider Entity Code]]&amp;"; "&amp;R4996&amp;AS[[#This Row],[Age Band Code]]&amp;"; "&amp;S4996&amp;AS[[#This Row],[Sex Code]]</f>
        <v xml:space="preserve">Insurer Code ; Reporting Year ; Insurance Category Code ; Large Provider Entity Code ; Age Band Code ; Sex Code </v>
      </c>
      <c r="N4996" s="297" t="s">
        <v>197</v>
      </c>
      <c r="O4996" s="297" t="s">
        <v>198</v>
      </c>
      <c r="P4996" s="297" t="s">
        <v>199</v>
      </c>
      <c r="Q4996" s="297" t="s">
        <v>200</v>
      </c>
      <c r="R4996" s="297" t="s">
        <v>213</v>
      </c>
      <c r="S4996" s="297" t="s">
        <v>214</v>
      </c>
    </row>
    <row r="4997" spans="1:19" x14ac:dyDescent="0.4">
      <c r="A4997" s="291"/>
      <c r="B4997" s="292"/>
      <c r="C4997" s="312"/>
      <c r="D4997" s="292"/>
      <c r="E4997" s="489"/>
      <c r="F4997" s="489"/>
      <c r="G4997" s="490"/>
      <c r="H4997" s="520"/>
      <c r="I4997" s="523"/>
      <c r="J4997" s="521"/>
      <c r="K4997" s="522"/>
      <c r="M4997" s="301" t="str">
        <f>N4997&amp;AS[[#This Row],[Insurer Code]]&amp;"; "&amp;O4997&amp;AS[[#This Row],[Reporting Year]]&amp;"; "&amp;P4997&amp;AS[[#This Row],[Insurance Category Code]]&amp;"; "&amp;Q4997&amp;AS[[#This Row],[Large Provider Entity Code]]&amp;"; "&amp;R4997&amp;AS[[#This Row],[Age Band Code]]&amp;"; "&amp;S4997&amp;AS[[#This Row],[Sex Code]]</f>
        <v xml:space="preserve">Insurer Code ; Reporting Year ; Insurance Category Code ; Large Provider Entity Code ; Age Band Code ; Sex Code </v>
      </c>
      <c r="N4997" s="297" t="s">
        <v>197</v>
      </c>
      <c r="O4997" s="297" t="s">
        <v>198</v>
      </c>
      <c r="P4997" s="297" t="s">
        <v>199</v>
      </c>
      <c r="Q4997" s="297" t="s">
        <v>200</v>
      </c>
      <c r="R4997" s="297" t="s">
        <v>213</v>
      </c>
      <c r="S4997" s="297" t="s">
        <v>214</v>
      </c>
    </row>
    <row r="4998" spans="1:19" x14ac:dyDescent="0.4">
      <c r="A4998" s="291"/>
      <c r="B4998" s="292"/>
      <c r="C4998" s="312"/>
      <c r="D4998" s="292"/>
      <c r="E4998" s="489"/>
      <c r="F4998" s="489"/>
      <c r="G4998" s="490"/>
      <c r="H4998" s="520"/>
      <c r="I4998" s="523"/>
      <c r="J4998" s="521"/>
      <c r="K4998" s="522"/>
      <c r="M4998" s="301" t="str">
        <f>N4998&amp;AS[[#This Row],[Insurer Code]]&amp;"; "&amp;O4998&amp;AS[[#This Row],[Reporting Year]]&amp;"; "&amp;P4998&amp;AS[[#This Row],[Insurance Category Code]]&amp;"; "&amp;Q4998&amp;AS[[#This Row],[Large Provider Entity Code]]&amp;"; "&amp;R4998&amp;AS[[#This Row],[Age Band Code]]&amp;"; "&amp;S4998&amp;AS[[#This Row],[Sex Code]]</f>
        <v xml:space="preserve">Insurer Code ; Reporting Year ; Insurance Category Code ; Large Provider Entity Code ; Age Band Code ; Sex Code </v>
      </c>
      <c r="N4998" s="297" t="s">
        <v>197</v>
      </c>
      <c r="O4998" s="297" t="s">
        <v>198</v>
      </c>
      <c r="P4998" s="297" t="s">
        <v>199</v>
      </c>
      <c r="Q4998" s="297" t="s">
        <v>200</v>
      </c>
      <c r="R4998" s="297" t="s">
        <v>213</v>
      </c>
      <c r="S4998" s="297" t="s">
        <v>214</v>
      </c>
    </row>
    <row r="4999" spans="1:19" x14ac:dyDescent="0.4">
      <c r="A4999" s="291"/>
      <c r="B4999" s="292"/>
      <c r="C4999" s="312"/>
      <c r="D4999" s="292"/>
      <c r="E4999" s="489"/>
      <c r="F4999" s="489"/>
      <c r="G4999" s="490"/>
      <c r="H4999" s="520"/>
      <c r="I4999" s="523"/>
      <c r="J4999" s="521"/>
      <c r="K4999" s="522"/>
      <c r="M4999" s="301" t="str">
        <f>N4999&amp;AS[[#This Row],[Insurer Code]]&amp;"; "&amp;O4999&amp;AS[[#This Row],[Reporting Year]]&amp;"; "&amp;P4999&amp;AS[[#This Row],[Insurance Category Code]]&amp;"; "&amp;Q4999&amp;AS[[#This Row],[Large Provider Entity Code]]&amp;"; "&amp;R4999&amp;AS[[#This Row],[Age Band Code]]&amp;"; "&amp;S4999&amp;AS[[#This Row],[Sex Code]]</f>
        <v xml:space="preserve">Insurer Code ; Reporting Year ; Insurance Category Code ; Large Provider Entity Code ; Age Band Code ; Sex Code </v>
      </c>
      <c r="N4999" s="297" t="s">
        <v>197</v>
      </c>
      <c r="O4999" s="297" t="s">
        <v>198</v>
      </c>
      <c r="P4999" s="297" t="s">
        <v>199</v>
      </c>
      <c r="Q4999" s="297" t="s">
        <v>200</v>
      </c>
      <c r="R4999" s="297" t="s">
        <v>213</v>
      </c>
      <c r="S4999" s="297" t="s">
        <v>214</v>
      </c>
    </row>
    <row r="5000" spans="1:19" x14ac:dyDescent="0.4">
      <c r="A5000" s="291"/>
      <c r="B5000" s="292"/>
      <c r="C5000" s="312"/>
      <c r="D5000" s="292"/>
      <c r="E5000" s="489"/>
      <c r="F5000" s="489"/>
      <c r="G5000" s="490"/>
      <c r="H5000" s="520"/>
      <c r="I5000" s="523"/>
      <c r="J5000" s="521"/>
      <c r="K5000" s="522"/>
      <c r="M5000" s="301" t="str">
        <f>N5000&amp;AS[[#This Row],[Insurer Code]]&amp;"; "&amp;O5000&amp;AS[[#This Row],[Reporting Year]]&amp;"; "&amp;P5000&amp;AS[[#This Row],[Insurance Category Code]]&amp;"; "&amp;Q5000&amp;AS[[#This Row],[Large Provider Entity Code]]&amp;"; "&amp;R5000&amp;AS[[#This Row],[Age Band Code]]&amp;"; "&amp;S5000&amp;AS[[#This Row],[Sex Code]]</f>
        <v xml:space="preserve">Insurer Code ; Reporting Year ; Insurance Category Code ; Large Provider Entity Code ; Age Band Code ; Sex Code </v>
      </c>
      <c r="N5000" s="297" t="s">
        <v>197</v>
      </c>
      <c r="O5000" s="297" t="s">
        <v>198</v>
      </c>
      <c r="P5000" s="297" t="s">
        <v>199</v>
      </c>
      <c r="Q5000" s="297" t="s">
        <v>200</v>
      </c>
      <c r="R5000" s="297" t="s">
        <v>213</v>
      </c>
      <c r="S5000" s="297" t="s">
        <v>214</v>
      </c>
    </row>
    <row r="5001" spans="1:19" x14ac:dyDescent="0.4">
      <c r="A5001" s="291"/>
      <c r="B5001" s="292"/>
      <c r="C5001" s="312"/>
      <c r="D5001" s="292"/>
      <c r="E5001" s="489"/>
      <c r="F5001" s="489"/>
      <c r="G5001" s="490"/>
      <c r="H5001" s="520"/>
      <c r="I5001" s="523"/>
      <c r="J5001" s="521"/>
      <c r="K5001" s="522"/>
      <c r="M5001" s="301" t="str">
        <f>N5001&amp;AS[[#This Row],[Insurer Code]]&amp;"; "&amp;O5001&amp;AS[[#This Row],[Reporting Year]]&amp;"; "&amp;P5001&amp;AS[[#This Row],[Insurance Category Code]]&amp;"; "&amp;Q5001&amp;AS[[#This Row],[Large Provider Entity Code]]&amp;"; "&amp;R5001&amp;AS[[#This Row],[Age Band Code]]&amp;"; "&amp;S5001&amp;AS[[#This Row],[Sex Code]]</f>
        <v xml:space="preserve">Insurer Code ; Reporting Year ; Insurance Category Code ; Large Provider Entity Code ; Age Band Code ; Sex Code </v>
      </c>
      <c r="N5001" s="297" t="s">
        <v>197</v>
      </c>
      <c r="O5001" s="297" t="s">
        <v>198</v>
      </c>
      <c r="P5001" s="297" t="s">
        <v>199</v>
      </c>
      <c r="Q5001" s="297" t="s">
        <v>200</v>
      </c>
      <c r="R5001" s="297" t="s">
        <v>213</v>
      </c>
      <c r="S5001" s="297" t="s">
        <v>214</v>
      </c>
    </row>
    <row r="5002" spans="1:19" x14ac:dyDescent="0.4">
      <c r="A5002" s="291"/>
      <c r="B5002" s="292"/>
      <c r="C5002" s="312"/>
      <c r="D5002" s="292"/>
      <c r="E5002" s="489"/>
      <c r="F5002" s="489"/>
      <c r="G5002" s="490"/>
      <c r="H5002" s="520"/>
      <c r="I5002" s="523"/>
      <c r="J5002" s="521"/>
      <c r="K5002" s="522"/>
      <c r="M5002" s="301" t="str">
        <f>N5002&amp;AS[[#This Row],[Insurer Code]]&amp;"; "&amp;O5002&amp;AS[[#This Row],[Reporting Year]]&amp;"; "&amp;P5002&amp;AS[[#This Row],[Insurance Category Code]]&amp;"; "&amp;Q5002&amp;AS[[#This Row],[Large Provider Entity Code]]&amp;"; "&amp;R5002&amp;AS[[#This Row],[Age Band Code]]&amp;"; "&amp;S5002&amp;AS[[#This Row],[Sex Code]]</f>
        <v xml:space="preserve">Insurer Code ; Reporting Year ; Insurance Category Code ; Large Provider Entity Code ; Age Band Code ; Sex Code </v>
      </c>
      <c r="N5002" s="297" t="s">
        <v>197</v>
      </c>
      <c r="O5002" s="297" t="s">
        <v>198</v>
      </c>
      <c r="P5002" s="297" t="s">
        <v>199</v>
      </c>
      <c r="Q5002" s="297" t="s">
        <v>200</v>
      </c>
      <c r="R5002" s="297" t="s">
        <v>213</v>
      </c>
      <c r="S5002" s="297" t="s">
        <v>214</v>
      </c>
    </row>
    <row r="5003" spans="1:19" x14ac:dyDescent="0.4">
      <c r="A5003" s="291"/>
      <c r="B5003" s="292"/>
      <c r="C5003" s="312"/>
      <c r="D5003" s="292"/>
      <c r="E5003" s="489"/>
      <c r="F5003" s="489"/>
      <c r="G5003" s="490"/>
      <c r="H5003" s="520"/>
      <c r="I5003" s="523"/>
      <c r="J5003" s="521"/>
      <c r="K5003" s="522"/>
      <c r="M5003" s="301" t="str">
        <f>N5003&amp;AS[[#This Row],[Insurer Code]]&amp;"; "&amp;O5003&amp;AS[[#This Row],[Reporting Year]]&amp;"; "&amp;P5003&amp;AS[[#This Row],[Insurance Category Code]]&amp;"; "&amp;Q5003&amp;AS[[#This Row],[Large Provider Entity Code]]&amp;"; "&amp;R5003&amp;AS[[#This Row],[Age Band Code]]&amp;"; "&amp;S5003&amp;AS[[#This Row],[Sex Code]]</f>
        <v xml:space="preserve">Insurer Code ; Reporting Year ; Insurance Category Code ; Large Provider Entity Code ; Age Band Code ; Sex Code </v>
      </c>
      <c r="N5003" s="297" t="s">
        <v>197</v>
      </c>
      <c r="O5003" s="297" t="s">
        <v>198</v>
      </c>
      <c r="P5003" s="297" t="s">
        <v>199</v>
      </c>
      <c r="Q5003" s="297" t="s">
        <v>200</v>
      </c>
      <c r="R5003" s="297" t="s">
        <v>213</v>
      </c>
      <c r="S5003" s="297" t="s">
        <v>214</v>
      </c>
    </row>
    <row r="5004" spans="1:19" x14ac:dyDescent="0.4">
      <c r="A5004" s="291"/>
      <c r="B5004" s="292"/>
      <c r="C5004" s="312"/>
      <c r="D5004" s="292"/>
      <c r="E5004" s="489"/>
      <c r="F5004" s="489"/>
      <c r="G5004" s="490"/>
      <c r="H5004" s="520"/>
      <c r="I5004" s="523"/>
      <c r="J5004" s="521"/>
      <c r="K5004" s="522"/>
      <c r="M5004" s="301" t="str">
        <f>N5004&amp;AS[[#This Row],[Insurer Code]]&amp;"; "&amp;O5004&amp;AS[[#This Row],[Reporting Year]]&amp;"; "&amp;P5004&amp;AS[[#This Row],[Insurance Category Code]]&amp;"; "&amp;Q5004&amp;AS[[#This Row],[Large Provider Entity Code]]&amp;"; "&amp;R5004&amp;AS[[#This Row],[Age Band Code]]&amp;"; "&amp;S5004&amp;AS[[#This Row],[Sex Code]]</f>
        <v xml:space="preserve">Insurer Code ; Reporting Year ; Insurance Category Code ; Large Provider Entity Code ; Age Band Code ; Sex Code </v>
      </c>
      <c r="N5004" s="297" t="s">
        <v>197</v>
      </c>
      <c r="O5004" s="297" t="s">
        <v>198</v>
      </c>
      <c r="P5004" s="297" t="s">
        <v>199</v>
      </c>
      <c r="Q5004" s="297" t="s">
        <v>200</v>
      </c>
      <c r="R5004" s="297" t="s">
        <v>213</v>
      </c>
      <c r="S5004" s="297" t="s">
        <v>214</v>
      </c>
    </row>
    <row r="5005" spans="1:19" x14ac:dyDescent="0.4">
      <c r="A5005" s="291"/>
      <c r="B5005" s="292"/>
      <c r="C5005" s="312"/>
      <c r="D5005" s="292"/>
      <c r="E5005" s="489"/>
      <c r="F5005" s="489"/>
      <c r="G5005" s="490"/>
      <c r="H5005" s="520"/>
      <c r="I5005" s="523"/>
      <c r="J5005" s="521"/>
      <c r="K5005" s="522"/>
      <c r="M5005" s="301" t="str">
        <f>N5005&amp;AS[[#This Row],[Insurer Code]]&amp;"; "&amp;O5005&amp;AS[[#This Row],[Reporting Year]]&amp;"; "&amp;P5005&amp;AS[[#This Row],[Insurance Category Code]]&amp;"; "&amp;Q5005&amp;AS[[#This Row],[Large Provider Entity Code]]&amp;"; "&amp;R5005&amp;AS[[#This Row],[Age Band Code]]&amp;"; "&amp;S5005&amp;AS[[#This Row],[Sex Code]]</f>
        <v xml:space="preserve">Insurer Code ; Reporting Year ; Insurance Category Code ; Large Provider Entity Code ; Age Band Code ; Sex Code </v>
      </c>
      <c r="N5005" s="297" t="s">
        <v>197</v>
      </c>
      <c r="O5005" s="297" t="s">
        <v>198</v>
      </c>
      <c r="P5005" s="297" t="s">
        <v>199</v>
      </c>
      <c r="Q5005" s="297" t="s">
        <v>200</v>
      </c>
      <c r="R5005" s="297" t="s">
        <v>213</v>
      </c>
      <c r="S5005" s="297" t="s">
        <v>214</v>
      </c>
    </row>
    <row r="5006" spans="1:19" x14ac:dyDescent="0.4">
      <c r="A5006" s="291"/>
      <c r="B5006" s="292"/>
      <c r="C5006" s="312"/>
      <c r="D5006" s="292"/>
      <c r="E5006" s="489"/>
      <c r="F5006" s="489"/>
      <c r="G5006" s="490"/>
      <c r="H5006" s="520"/>
      <c r="I5006" s="523"/>
      <c r="J5006" s="521"/>
      <c r="K5006" s="522"/>
      <c r="M5006" s="301" t="str">
        <f>N5006&amp;AS[[#This Row],[Insurer Code]]&amp;"; "&amp;O5006&amp;AS[[#This Row],[Reporting Year]]&amp;"; "&amp;P5006&amp;AS[[#This Row],[Insurance Category Code]]&amp;"; "&amp;Q5006&amp;AS[[#This Row],[Large Provider Entity Code]]&amp;"; "&amp;R5006&amp;AS[[#This Row],[Age Band Code]]&amp;"; "&amp;S5006&amp;AS[[#This Row],[Sex Code]]</f>
        <v xml:space="preserve">Insurer Code ; Reporting Year ; Insurance Category Code ; Large Provider Entity Code ; Age Band Code ; Sex Code </v>
      </c>
      <c r="N5006" s="297" t="s">
        <v>197</v>
      </c>
      <c r="O5006" s="297" t="s">
        <v>198</v>
      </c>
      <c r="P5006" s="297" t="s">
        <v>199</v>
      </c>
      <c r="Q5006" s="297" t="s">
        <v>200</v>
      </c>
      <c r="R5006" s="297" t="s">
        <v>213</v>
      </c>
      <c r="S5006" s="297" t="s">
        <v>214</v>
      </c>
    </row>
    <row r="5007" spans="1:19" x14ac:dyDescent="0.4">
      <c r="A5007" s="291"/>
      <c r="B5007" s="292"/>
      <c r="C5007" s="312"/>
      <c r="D5007" s="292"/>
      <c r="E5007" s="489"/>
      <c r="F5007" s="489"/>
      <c r="G5007" s="490"/>
      <c r="H5007" s="520"/>
      <c r="I5007" s="523"/>
      <c r="J5007" s="521"/>
      <c r="K5007" s="522"/>
      <c r="M5007" s="301" t="str">
        <f>N5007&amp;AS[[#This Row],[Insurer Code]]&amp;"; "&amp;O5007&amp;AS[[#This Row],[Reporting Year]]&amp;"; "&amp;P5007&amp;AS[[#This Row],[Insurance Category Code]]&amp;"; "&amp;Q5007&amp;AS[[#This Row],[Large Provider Entity Code]]&amp;"; "&amp;R5007&amp;AS[[#This Row],[Age Band Code]]&amp;"; "&amp;S5007&amp;AS[[#This Row],[Sex Code]]</f>
        <v xml:space="preserve">Insurer Code ; Reporting Year ; Insurance Category Code ; Large Provider Entity Code ; Age Band Code ; Sex Code </v>
      </c>
      <c r="N5007" s="297" t="s">
        <v>197</v>
      </c>
      <c r="O5007" s="297" t="s">
        <v>198</v>
      </c>
      <c r="P5007" s="297" t="s">
        <v>199</v>
      </c>
      <c r="Q5007" s="297" t="s">
        <v>200</v>
      </c>
      <c r="R5007" s="297" t="s">
        <v>213</v>
      </c>
      <c r="S5007" s="297" t="s">
        <v>214</v>
      </c>
    </row>
    <row r="5008" spans="1:19" x14ac:dyDescent="0.4">
      <c r="A5008" s="291"/>
      <c r="B5008" s="292"/>
      <c r="C5008" s="312"/>
      <c r="D5008" s="292"/>
      <c r="E5008" s="489"/>
      <c r="F5008" s="489"/>
      <c r="G5008" s="490"/>
      <c r="H5008" s="520"/>
      <c r="I5008" s="523"/>
      <c r="J5008" s="521"/>
      <c r="K5008" s="522"/>
      <c r="M5008" s="301" t="str">
        <f>N5008&amp;AS[[#This Row],[Insurer Code]]&amp;"; "&amp;O5008&amp;AS[[#This Row],[Reporting Year]]&amp;"; "&amp;P5008&amp;AS[[#This Row],[Insurance Category Code]]&amp;"; "&amp;Q5008&amp;AS[[#This Row],[Large Provider Entity Code]]&amp;"; "&amp;R5008&amp;AS[[#This Row],[Age Band Code]]&amp;"; "&amp;S5008&amp;AS[[#This Row],[Sex Code]]</f>
        <v xml:space="preserve">Insurer Code ; Reporting Year ; Insurance Category Code ; Large Provider Entity Code ; Age Band Code ; Sex Code </v>
      </c>
      <c r="N5008" s="297" t="s">
        <v>197</v>
      </c>
      <c r="O5008" s="297" t="s">
        <v>198</v>
      </c>
      <c r="P5008" s="297" t="s">
        <v>199</v>
      </c>
      <c r="Q5008" s="297" t="s">
        <v>200</v>
      </c>
      <c r="R5008" s="297" t="s">
        <v>213</v>
      </c>
      <c r="S5008" s="297" t="s">
        <v>214</v>
      </c>
    </row>
    <row r="5009" spans="1:19" x14ac:dyDescent="0.4">
      <c r="A5009" s="291"/>
      <c r="B5009" s="292"/>
      <c r="C5009" s="312"/>
      <c r="D5009" s="292"/>
      <c r="E5009" s="489"/>
      <c r="F5009" s="489"/>
      <c r="G5009" s="490"/>
      <c r="H5009" s="520"/>
      <c r="I5009" s="523"/>
      <c r="J5009" s="521"/>
      <c r="K5009" s="522"/>
      <c r="M5009" s="301" t="str">
        <f>N5009&amp;AS[[#This Row],[Insurer Code]]&amp;"; "&amp;O5009&amp;AS[[#This Row],[Reporting Year]]&amp;"; "&amp;P5009&amp;AS[[#This Row],[Insurance Category Code]]&amp;"; "&amp;Q5009&amp;AS[[#This Row],[Large Provider Entity Code]]&amp;"; "&amp;R5009&amp;AS[[#This Row],[Age Band Code]]&amp;"; "&amp;S5009&amp;AS[[#This Row],[Sex Code]]</f>
        <v xml:space="preserve">Insurer Code ; Reporting Year ; Insurance Category Code ; Large Provider Entity Code ; Age Band Code ; Sex Code </v>
      </c>
      <c r="N5009" s="297" t="s">
        <v>197</v>
      </c>
      <c r="O5009" s="297" t="s">
        <v>198</v>
      </c>
      <c r="P5009" s="297" t="s">
        <v>199</v>
      </c>
      <c r="Q5009" s="297" t="s">
        <v>200</v>
      </c>
      <c r="R5009" s="297" t="s">
        <v>213</v>
      </c>
      <c r="S5009" s="297" t="s">
        <v>214</v>
      </c>
    </row>
    <row r="5010" spans="1:19" x14ac:dyDescent="0.4">
      <c r="A5010" s="291"/>
      <c r="B5010" s="292"/>
      <c r="C5010" s="312"/>
      <c r="D5010" s="292"/>
      <c r="E5010" s="489"/>
      <c r="F5010" s="489"/>
      <c r="G5010" s="490"/>
      <c r="H5010" s="520"/>
      <c r="I5010" s="523"/>
      <c r="J5010" s="521"/>
      <c r="K5010" s="522"/>
      <c r="M5010" s="301" t="str">
        <f>N5010&amp;AS[[#This Row],[Insurer Code]]&amp;"; "&amp;O5010&amp;AS[[#This Row],[Reporting Year]]&amp;"; "&amp;P5010&amp;AS[[#This Row],[Insurance Category Code]]&amp;"; "&amp;Q5010&amp;AS[[#This Row],[Large Provider Entity Code]]&amp;"; "&amp;R5010&amp;AS[[#This Row],[Age Band Code]]&amp;"; "&amp;S5010&amp;AS[[#This Row],[Sex Code]]</f>
        <v xml:space="preserve">Insurer Code ; Reporting Year ; Insurance Category Code ; Large Provider Entity Code ; Age Band Code ; Sex Code </v>
      </c>
      <c r="N5010" s="297" t="s">
        <v>197</v>
      </c>
      <c r="O5010" s="297" t="s">
        <v>198</v>
      </c>
      <c r="P5010" s="297" t="s">
        <v>199</v>
      </c>
      <c r="Q5010" s="297" t="s">
        <v>200</v>
      </c>
      <c r="R5010" s="297" t="s">
        <v>213</v>
      </c>
      <c r="S5010" s="297" t="s">
        <v>214</v>
      </c>
    </row>
    <row r="5011" spans="1:19" x14ac:dyDescent="0.4">
      <c r="A5011" s="291"/>
      <c r="B5011" s="292"/>
      <c r="C5011" s="312"/>
      <c r="D5011" s="292"/>
      <c r="E5011" s="489"/>
      <c r="F5011" s="489"/>
      <c r="G5011" s="490"/>
      <c r="H5011" s="520"/>
      <c r="I5011" s="523"/>
      <c r="J5011" s="521"/>
      <c r="K5011" s="522"/>
      <c r="M5011" s="301" t="str">
        <f>N5011&amp;AS[[#This Row],[Insurer Code]]&amp;"; "&amp;O5011&amp;AS[[#This Row],[Reporting Year]]&amp;"; "&amp;P5011&amp;AS[[#This Row],[Insurance Category Code]]&amp;"; "&amp;Q5011&amp;AS[[#This Row],[Large Provider Entity Code]]&amp;"; "&amp;R5011&amp;AS[[#This Row],[Age Band Code]]&amp;"; "&amp;S5011&amp;AS[[#This Row],[Sex Code]]</f>
        <v xml:space="preserve">Insurer Code ; Reporting Year ; Insurance Category Code ; Large Provider Entity Code ; Age Band Code ; Sex Code </v>
      </c>
      <c r="N5011" s="297" t="s">
        <v>197</v>
      </c>
      <c r="O5011" s="297" t="s">
        <v>198</v>
      </c>
      <c r="P5011" s="297" t="s">
        <v>199</v>
      </c>
      <c r="Q5011" s="297" t="s">
        <v>200</v>
      </c>
      <c r="R5011" s="297" t="s">
        <v>213</v>
      </c>
      <c r="S5011" s="297" t="s">
        <v>214</v>
      </c>
    </row>
    <row r="5012" spans="1:19" x14ac:dyDescent="0.4">
      <c r="A5012" s="291"/>
      <c r="B5012" s="292"/>
      <c r="C5012" s="312"/>
      <c r="D5012" s="292"/>
      <c r="E5012" s="489"/>
      <c r="F5012" s="489"/>
      <c r="G5012" s="490"/>
      <c r="H5012" s="520"/>
      <c r="I5012" s="523"/>
      <c r="J5012" s="521"/>
      <c r="K5012" s="522"/>
      <c r="M5012" s="301" t="str">
        <f>N5012&amp;AS[[#This Row],[Insurer Code]]&amp;"; "&amp;O5012&amp;AS[[#This Row],[Reporting Year]]&amp;"; "&amp;P5012&amp;AS[[#This Row],[Insurance Category Code]]&amp;"; "&amp;Q5012&amp;AS[[#This Row],[Large Provider Entity Code]]&amp;"; "&amp;R5012&amp;AS[[#This Row],[Age Band Code]]&amp;"; "&amp;S5012&amp;AS[[#This Row],[Sex Code]]</f>
        <v xml:space="preserve">Insurer Code ; Reporting Year ; Insurance Category Code ; Large Provider Entity Code ; Age Band Code ; Sex Code </v>
      </c>
      <c r="N5012" s="297" t="s">
        <v>197</v>
      </c>
      <c r="O5012" s="297" t="s">
        <v>198</v>
      </c>
      <c r="P5012" s="297" t="s">
        <v>199</v>
      </c>
      <c r="Q5012" s="297" t="s">
        <v>200</v>
      </c>
      <c r="R5012" s="297" t="s">
        <v>213</v>
      </c>
      <c r="S5012" s="297" t="s">
        <v>214</v>
      </c>
    </row>
    <row r="5013" spans="1:19" x14ac:dyDescent="0.4">
      <c r="A5013" s="291"/>
      <c r="B5013" s="292"/>
      <c r="C5013" s="312"/>
      <c r="D5013" s="292"/>
      <c r="E5013" s="489"/>
      <c r="F5013" s="489"/>
      <c r="G5013" s="490"/>
      <c r="H5013" s="520"/>
      <c r="I5013" s="523"/>
      <c r="J5013" s="521"/>
      <c r="K5013" s="522"/>
      <c r="M5013" s="301" t="str">
        <f>N5013&amp;AS[[#This Row],[Insurer Code]]&amp;"; "&amp;O5013&amp;AS[[#This Row],[Reporting Year]]&amp;"; "&amp;P5013&amp;AS[[#This Row],[Insurance Category Code]]&amp;"; "&amp;Q5013&amp;AS[[#This Row],[Large Provider Entity Code]]&amp;"; "&amp;R5013&amp;AS[[#This Row],[Age Band Code]]&amp;"; "&amp;S5013&amp;AS[[#This Row],[Sex Code]]</f>
        <v xml:space="preserve">Insurer Code ; Reporting Year ; Insurance Category Code ; Large Provider Entity Code ; Age Band Code ; Sex Code </v>
      </c>
      <c r="N5013" s="297" t="s">
        <v>197</v>
      </c>
      <c r="O5013" s="297" t="s">
        <v>198</v>
      </c>
      <c r="P5013" s="297" t="s">
        <v>199</v>
      </c>
      <c r="Q5013" s="297" t="s">
        <v>200</v>
      </c>
      <c r="R5013" s="297" t="s">
        <v>213</v>
      </c>
      <c r="S5013" s="297" t="s">
        <v>214</v>
      </c>
    </row>
    <row r="5014" spans="1:19" x14ac:dyDescent="0.4">
      <c r="A5014" s="291"/>
      <c r="B5014" s="292"/>
      <c r="C5014" s="312"/>
      <c r="D5014" s="292"/>
      <c r="E5014" s="489"/>
      <c r="F5014" s="489"/>
      <c r="G5014" s="490"/>
      <c r="H5014" s="520"/>
      <c r="I5014" s="523"/>
      <c r="J5014" s="521"/>
      <c r="K5014" s="522"/>
      <c r="M5014" s="301" t="str">
        <f>N5014&amp;AS[[#This Row],[Insurer Code]]&amp;"; "&amp;O5014&amp;AS[[#This Row],[Reporting Year]]&amp;"; "&amp;P5014&amp;AS[[#This Row],[Insurance Category Code]]&amp;"; "&amp;Q5014&amp;AS[[#This Row],[Large Provider Entity Code]]&amp;"; "&amp;R5014&amp;AS[[#This Row],[Age Band Code]]&amp;"; "&amp;S5014&amp;AS[[#This Row],[Sex Code]]</f>
        <v xml:space="preserve">Insurer Code ; Reporting Year ; Insurance Category Code ; Large Provider Entity Code ; Age Band Code ; Sex Code </v>
      </c>
      <c r="N5014" s="297" t="s">
        <v>197</v>
      </c>
      <c r="O5014" s="297" t="s">
        <v>198</v>
      </c>
      <c r="P5014" s="297" t="s">
        <v>199</v>
      </c>
      <c r="Q5014" s="297" t="s">
        <v>200</v>
      </c>
      <c r="R5014" s="297" t="s">
        <v>213</v>
      </c>
      <c r="S5014" s="297" t="s">
        <v>214</v>
      </c>
    </row>
    <row r="5015" spans="1:19" x14ac:dyDescent="0.4">
      <c r="A5015" s="291"/>
      <c r="B5015" s="292"/>
      <c r="C5015" s="312"/>
      <c r="D5015" s="292"/>
      <c r="E5015" s="489"/>
      <c r="F5015" s="489"/>
      <c r="G5015" s="490"/>
      <c r="H5015" s="520"/>
      <c r="I5015" s="523"/>
      <c r="J5015" s="521"/>
      <c r="K5015" s="522"/>
      <c r="M5015" s="301" t="str">
        <f>N5015&amp;AS[[#This Row],[Insurer Code]]&amp;"; "&amp;O5015&amp;AS[[#This Row],[Reporting Year]]&amp;"; "&amp;P5015&amp;AS[[#This Row],[Insurance Category Code]]&amp;"; "&amp;Q5015&amp;AS[[#This Row],[Large Provider Entity Code]]&amp;"; "&amp;R5015&amp;AS[[#This Row],[Age Band Code]]&amp;"; "&amp;S5015&amp;AS[[#This Row],[Sex Code]]</f>
        <v xml:space="preserve">Insurer Code ; Reporting Year ; Insurance Category Code ; Large Provider Entity Code ; Age Band Code ; Sex Code </v>
      </c>
      <c r="N5015" s="297" t="s">
        <v>197</v>
      </c>
      <c r="O5015" s="297" t="s">
        <v>198</v>
      </c>
      <c r="P5015" s="297" t="s">
        <v>199</v>
      </c>
      <c r="Q5015" s="297" t="s">
        <v>200</v>
      </c>
      <c r="R5015" s="297" t="s">
        <v>213</v>
      </c>
      <c r="S5015" s="297" t="s">
        <v>214</v>
      </c>
    </row>
    <row r="5016" spans="1:19" x14ac:dyDescent="0.4">
      <c r="A5016" s="291"/>
      <c r="B5016" s="292"/>
      <c r="C5016" s="312"/>
      <c r="D5016" s="292"/>
      <c r="E5016" s="489"/>
      <c r="F5016" s="489"/>
      <c r="G5016" s="490"/>
      <c r="H5016" s="520"/>
      <c r="I5016" s="523"/>
      <c r="J5016" s="521"/>
      <c r="K5016" s="522"/>
      <c r="M5016" s="301" t="str">
        <f>N5016&amp;AS[[#This Row],[Insurer Code]]&amp;"; "&amp;O5016&amp;AS[[#This Row],[Reporting Year]]&amp;"; "&amp;P5016&amp;AS[[#This Row],[Insurance Category Code]]&amp;"; "&amp;Q5016&amp;AS[[#This Row],[Large Provider Entity Code]]&amp;"; "&amp;R5016&amp;AS[[#This Row],[Age Band Code]]&amp;"; "&amp;S5016&amp;AS[[#This Row],[Sex Code]]</f>
        <v xml:space="preserve">Insurer Code ; Reporting Year ; Insurance Category Code ; Large Provider Entity Code ; Age Band Code ; Sex Code </v>
      </c>
      <c r="N5016" s="297" t="s">
        <v>197</v>
      </c>
      <c r="O5016" s="297" t="s">
        <v>198</v>
      </c>
      <c r="P5016" s="297" t="s">
        <v>199</v>
      </c>
      <c r="Q5016" s="297" t="s">
        <v>200</v>
      </c>
      <c r="R5016" s="297" t="s">
        <v>213</v>
      </c>
      <c r="S5016" s="297" t="s">
        <v>214</v>
      </c>
    </row>
    <row r="5017" spans="1:19" x14ac:dyDescent="0.4">
      <c r="A5017" s="291"/>
      <c r="B5017" s="292"/>
      <c r="C5017" s="312"/>
      <c r="D5017" s="292"/>
      <c r="E5017" s="489"/>
      <c r="F5017" s="489"/>
      <c r="G5017" s="490"/>
      <c r="H5017" s="520"/>
      <c r="I5017" s="523"/>
      <c r="J5017" s="521"/>
      <c r="K5017" s="522"/>
      <c r="M5017" s="301" t="str">
        <f>N5017&amp;AS[[#This Row],[Insurer Code]]&amp;"; "&amp;O5017&amp;AS[[#This Row],[Reporting Year]]&amp;"; "&amp;P5017&amp;AS[[#This Row],[Insurance Category Code]]&amp;"; "&amp;Q5017&amp;AS[[#This Row],[Large Provider Entity Code]]&amp;"; "&amp;R5017&amp;AS[[#This Row],[Age Band Code]]&amp;"; "&amp;S5017&amp;AS[[#This Row],[Sex Code]]</f>
        <v xml:space="preserve">Insurer Code ; Reporting Year ; Insurance Category Code ; Large Provider Entity Code ; Age Band Code ; Sex Code </v>
      </c>
      <c r="N5017" s="297" t="s">
        <v>197</v>
      </c>
      <c r="O5017" s="297" t="s">
        <v>198</v>
      </c>
      <c r="P5017" s="297" t="s">
        <v>199</v>
      </c>
      <c r="Q5017" s="297" t="s">
        <v>200</v>
      </c>
      <c r="R5017" s="297" t="s">
        <v>213</v>
      </c>
      <c r="S5017" s="297" t="s">
        <v>214</v>
      </c>
    </row>
    <row r="5018" spans="1:19" x14ac:dyDescent="0.4">
      <c r="A5018" s="291"/>
      <c r="B5018" s="292"/>
      <c r="C5018" s="312"/>
      <c r="D5018" s="292"/>
      <c r="E5018" s="489"/>
      <c r="F5018" s="489"/>
      <c r="G5018" s="490"/>
      <c r="H5018" s="520"/>
      <c r="I5018" s="523"/>
      <c r="J5018" s="521"/>
      <c r="K5018" s="522"/>
      <c r="M5018" s="301" t="str">
        <f>N5018&amp;AS[[#This Row],[Insurer Code]]&amp;"; "&amp;O5018&amp;AS[[#This Row],[Reporting Year]]&amp;"; "&amp;P5018&amp;AS[[#This Row],[Insurance Category Code]]&amp;"; "&amp;Q5018&amp;AS[[#This Row],[Large Provider Entity Code]]&amp;"; "&amp;R5018&amp;AS[[#This Row],[Age Band Code]]&amp;"; "&amp;S5018&amp;AS[[#This Row],[Sex Code]]</f>
        <v xml:space="preserve">Insurer Code ; Reporting Year ; Insurance Category Code ; Large Provider Entity Code ; Age Band Code ; Sex Code </v>
      </c>
      <c r="N5018" s="297" t="s">
        <v>197</v>
      </c>
      <c r="O5018" s="297" t="s">
        <v>198</v>
      </c>
      <c r="P5018" s="297" t="s">
        <v>199</v>
      </c>
      <c r="Q5018" s="297" t="s">
        <v>200</v>
      </c>
      <c r="R5018" s="297" t="s">
        <v>213</v>
      </c>
      <c r="S5018" s="297" t="s">
        <v>214</v>
      </c>
    </row>
    <row r="5019" spans="1:19" x14ac:dyDescent="0.4">
      <c r="A5019" s="291"/>
      <c r="B5019" s="292"/>
      <c r="C5019" s="312"/>
      <c r="D5019" s="292"/>
      <c r="E5019" s="489"/>
      <c r="F5019" s="489"/>
      <c r="G5019" s="490"/>
      <c r="H5019" s="520"/>
      <c r="I5019" s="523"/>
      <c r="J5019" s="521"/>
      <c r="K5019" s="522"/>
      <c r="M5019" s="301" t="str">
        <f>N5019&amp;AS[[#This Row],[Insurer Code]]&amp;"; "&amp;O5019&amp;AS[[#This Row],[Reporting Year]]&amp;"; "&amp;P5019&amp;AS[[#This Row],[Insurance Category Code]]&amp;"; "&amp;Q5019&amp;AS[[#This Row],[Large Provider Entity Code]]&amp;"; "&amp;R5019&amp;AS[[#This Row],[Age Band Code]]&amp;"; "&amp;S5019&amp;AS[[#This Row],[Sex Code]]</f>
        <v xml:space="preserve">Insurer Code ; Reporting Year ; Insurance Category Code ; Large Provider Entity Code ; Age Band Code ; Sex Code </v>
      </c>
      <c r="N5019" s="297" t="s">
        <v>197</v>
      </c>
      <c r="O5019" s="297" t="s">
        <v>198</v>
      </c>
      <c r="P5019" s="297" t="s">
        <v>199</v>
      </c>
      <c r="Q5019" s="297" t="s">
        <v>200</v>
      </c>
      <c r="R5019" s="297" t="s">
        <v>213</v>
      </c>
      <c r="S5019" s="297" t="s">
        <v>214</v>
      </c>
    </row>
    <row r="5020" spans="1:19" x14ac:dyDescent="0.4">
      <c r="A5020" s="291"/>
      <c r="B5020" s="292"/>
      <c r="C5020" s="312"/>
      <c r="D5020" s="292"/>
      <c r="E5020" s="489"/>
      <c r="F5020" s="489"/>
      <c r="G5020" s="490"/>
      <c r="H5020" s="520"/>
      <c r="I5020" s="523"/>
      <c r="J5020" s="521"/>
      <c r="K5020" s="522"/>
      <c r="M5020" s="301" t="str">
        <f>N5020&amp;AS[[#This Row],[Insurer Code]]&amp;"; "&amp;O5020&amp;AS[[#This Row],[Reporting Year]]&amp;"; "&amp;P5020&amp;AS[[#This Row],[Insurance Category Code]]&amp;"; "&amp;Q5020&amp;AS[[#This Row],[Large Provider Entity Code]]&amp;"; "&amp;R5020&amp;AS[[#This Row],[Age Band Code]]&amp;"; "&amp;S5020&amp;AS[[#This Row],[Sex Code]]</f>
        <v xml:space="preserve">Insurer Code ; Reporting Year ; Insurance Category Code ; Large Provider Entity Code ; Age Band Code ; Sex Code </v>
      </c>
      <c r="N5020" s="297" t="s">
        <v>197</v>
      </c>
      <c r="O5020" s="297" t="s">
        <v>198</v>
      </c>
      <c r="P5020" s="297" t="s">
        <v>199</v>
      </c>
      <c r="Q5020" s="297" t="s">
        <v>200</v>
      </c>
      <c r="R5020" s="297" t="s">
        <v>213</v>
      </c>
      <c r="S5020" s="297" t="s">
        <v>214</v>
      </c>
    </row>
    <row r="5021" spans="1:19" x14ac:dyDescent="0.4">
      <c r="A5021" s="291"/>
      <c r="B5021" s="292"/>
      <c r="C5021" s="312"/>
      <c r="D5021" s="292"/>
      <c r="E5021" s="489"/>
      <c r="F5021" s="489"/>
      <c r="G5021" s="490"/>
      <c r="H5021" s="520"/>
      <c r="I5021" s="523"/>
      <c r="J5021" s="521"/>
      <c r="K5021" s="522"/>
      <c r="M5021" s="301" t="str">
        <f>N5021&amp;AS[[#This Row],[Insurer Code]]&amp;"; "&amp;O5021&amp;AS[[#This Row],[Reporting Year]]&amp;"; "&amp;P5021&amp;AS[[#This Row],[Insurance Category Code]]&amp;"; "&amp;Q5021&amp;AS[[#This Row],[Large Provider Entity Code]]&amp;"; "&amp;R5021&amp;AS[[#This Row],[Age Band Code]]&amp;"; "&amp;S5021&amp;AS[[#This Row],[Sex Code]]</f>
        <v xml:space="preserve">Insurer Code ; Reporting Year ; Insurance Category Code ; Large Provider Entity Code ; Age Band Code ; Sex Code </v>
      </c>
      <c r="N5021" s="297" t="s">
        <v>197</v>
      </c>
      <c r="O5021" s="297" t="s">
        <v>198</v>
      </c>
      <c r="P5021" s="297" t="s">
        <v>199</v>
      </c>
      <c r="Q5021" s="297" t="s">
        <v>200</v>
      </c>
      <c r="R5021" s="297" t="s">
        <v>213</v>
      </c>
      <c r="S5021" s="297" t="s">
        <v>214</v>
      </c>
    </row>
    <row r="5022" spans="1:19" x14ac:dyDescent="0.4">
      <c r="A5022" s="291"/>
      <c r="B5022" s="292"/>
      <c r="C5022" s="312"/>
      <c r="D5022" s="292"/>
      <c r="E5022" s="489"/>
      <c r="F5022" s="489"/>
      <c r="G5022" s="490"/>
      <c r="H5022" s="520"/>
      <c r="I5022" s="523"/>
      <c r="J5022" s="521"/>
      <c r="K5022" s="522"/>
      <c r="M5022" s="301" t="str">
        <f>N5022&amp;AS[[#This Row],[Insurer Code]]&amp;"; "&amp;O5022&amp;AS[[#This Row],[Reporting Year]]&amp;"; "&amp;P5022&amp;AS[[#This Row],[Insurance Category Code]]&amp;"; "&amp;Q5022&amp;AS[[#This Row],[Large Provider Entity Code]]&amp;"; "&amp;R5022&amp;AS[[#This Row],[Age Band Code]]&amp;"; "&amp;S5022&amp;AS[[#This Row],[Sex Code]]</f>
        <v xml:space="preserve">Insurer Code ; Reporting Year ; Insurance Category Code ; Large Provider Entity Code ; Age Band Code ; Sex Code </v>
      </c>
      <c r="N5022" s="297" t="s">
        <v>197</v>
      </c>
      <c r="O5022" s="297" t="s">
        <v>198</v>
      </c>
      <c r="P5022" s="297" t="s">
        <v>199</v>
      </c>
      <c r="Q5022" s="297" t="s">
        <v>200</v>
      </c>
      <c r="R5022" s="297" t="s">
        <v>213</v>
      </c>
      <c r="S5022" s="297" t="s">
        <v>214</v>
      </c>
    </row>
    <row r="5023" spans="1:19" x14ac:dyDescent="0.4">
      <c r="A5023" s="291"/>
      <c r="B5023" s="292"/>
      <c r="C5023" s="312"/>
      <c r="D5023" s="292"/>
      <c r="E5023" s="489"/>
      <c r="F5023" s="489"/>
      <c r="G5023" s="490"/>
      <c r="H5023" s="520"/>
      <c r="I5023" s="523"/>
      <c r="J5023" s="521"/>
      <c r="K5023" s="522"/>
      <c r="M5023" s="301" t="str">
        <f>N5023&amp;AS[[#This Row],[Insurer Code]]&amp;"; "&amp;O5023&amp;AS[[#This Row],[Reporting Year]]&amp;"; "&amp;P5023&amp;AS[[#This Row],[Insurance Category Code]]&amp;"; "&amp;Q5023&amp;AS[[#This Row],[Large Provider Entity Code]]&amp;"; "&amp;R5023&amp;AS[[#This Row],[Age Band Code]]&amp;"; "&amp;S5023&amp;AS[[#This Row],[Sex Code]]</f>
        <v xml:space="preserve">Insurer Code ; Reporting Year ; Insurance Category Code ; Large Provider Entity Code ; Age Band Code ; Sex Code </v>
      </c>
      <c r="N5023" s="297" t="s">
        <v>197</v>
      </c>
      <c r="O5023" s="297" t="s">
        <v>198</v>
      </c>
      <c r="P5023" s="297" t="s">
        <v>199</v>
      </c>
      <c r="Q5023" s="297" t="s">
        <v>200</v>
      </c>
      <c r="R5023" s="297" t="s">
        <v>213</v>
      </c>
      <c r="S5023" s="297" t="s">
        <v>214</v>
      </c>
    </row>
    <row r="5024" spans="1:19" x14ac:dyDescent="0.4">
      <c r="A5024" s="291"/>
      <c r="B5024" s="292"/>
      <c r="C5024" s="312"/>
      <c r="D5024" s="292"/>
      <c r="E5024" s="489"/>
      <c r="F5024" s="489"/>
      <c r="G5024" s="490"/>
      <c r="H5024" s="520"/>
      <c r="I5024" s="523"/>
      <c r="J5024" s="521"/>
      <c r="K5024" s="522"/>
      <c r="M5024" s="301" t="str">
        <f>N5024&amp;AS[[#This Row],[Insurer Code]]&amp;"; "&amp;O5024&amp;AS[[#This Row],[Reporting Year]]&amp;"; "&amp;P5024&amp;AS[[#This Row],[Insurance Category Code]]&amp;"; "&amp;Q5024&amp;AS[[#This Row],[Large Provider Entity Code]]&amp;"; "&amp;R5024&amp;AS[[#This Row],[Age Band Code]]&amp;"; "&amp;S5024&amp;AS[[#This Row],[Sex Code]]</f>
        <v xml:space="preserve">Insurer Code ; Reporting Year ; Insurance Category Code ; Large Provider Entity Code ; Age Band Code ; Sex Code </v>
      </c>
      <c r="N5024" s="297" t="s">
        <v>197</v>
      </c>
      <c r="O5024" s="297" t="s">
        <v>198</v>
      </c>
      <c r="P5024" s="297" t="s">
        <v>199</v>
      </c>
      <c r="Q5024" s="297" t="s">
        <v>200</v>
      </c>
      <c r="R5024" s="297" t="s">
        <v>213</v>
      </c>
      <c r="S5024" s="297" t="s">
        <v>214</v>
      </c>
    </row>
    <row r="5025" spans="1:19" x14ac:dyDescent="0.4">
      <c r="A5025" s="291"/>
      <c r="B5025" s="292"/>
      <c r="C5025" s="312"/>
      <c r="D5025" s="292"/>
      <c r="E5025" s="489"/>
      <c r="F5025" s="489"/>
      <c r="G5025" s="490"/>
      <c r="H5025" s="520"/>
      <c r="I5025" s="523"/>
      <c r="J5025" s="521"/>
      <c r="K5025" s="522"/>
      <c r="M5025" s="301" t="str">
        <f>N5025&amp;AS[[#This Row],[Insurer Code]]&amp;"; "&amp;O5025&amp;AS[[#This Row],[Reporting Year]]&amp;"; "&amp;P5025&amp;AS[[#This Row],[Insurance Category Code]]&amp;"; "&amp;Q5025&amp;AS[[#This Row],[Large Provider Entity Code]]&amp;"; "&amp;R5025&amp;AS[[#This Row],[Age Band Code]]&amp;"; "&amp;S5025&amp;AS[[#This Row],[Sex Code]]</f>
        <v xml:space="preserve">Insurer Code ; Reporting Year ; Insurance Category Code ; Large Provider Entity Code ; Age Band Code ; Sex Code </v>
      </c>
      <c r="N5025" s="297" t="s">
        <v>197</v>
      </c>
      <c r="O5025" s="297" t="s">
        <v>198</v>
      </c>
      <c r="P5025" s="297" t="s">
        <v>199</v>
      </c>
      <c r="Q5025" s="297" t="s">
        <v>200</v>
      </c>
      <c r="R5025" s="297" t="s">
        <v>213</v>
      </c>
      <c r="S5025" s="297" t="s">
        <v>214</v>
      </c>
    </row>
    <row r="5026" spans="1:19" x14ac:dyDescent="0.4">
      <c r="A5026" s="291"/>
      <c r="B5026" s="292"/>
      <c r="C5026" s="312"/>
      <c r="D5026" s="292"/>
      <c r="E5026" s="489"/>
      <c r="F5026" s="489"/>
      <c r="G5026" s="490"/>
      <c r="H5026" s="520"/>
      <c r="I5026" s="523"/>
      <c r="J5026" s="521"/>
      <c r="K5026" s="522"/>
      <c r="M5026" s="301" t="str">
        <f>N5026&amp;AS[[#This Row],[Insurer Code]]&amp;"; "&amp;O5026&amp;AS[[#This Row],[Reporting Year]]&amp;"; "&amp;P5026&amp;AS[[#This Row],[Insurance Category Code]]&amp;"; "&amp;Q5026&amp;AS[[#This Row],[Large Provider Entity Code]]&amp;"; "&amp;R5026&amp;AS[[#This Row],[Age Band Code]]&amp;"; "&amp;S5026&amp;AS[[#This Row],[Sex Code]]</f>
        <v xml:space="preserve">Insurer Code ; Reporting Year ; Insurance Category Code ; Large Provider Entity Code ; Age Band Code ; Sex Code </v>
      </c>
      <c r="N5026" s="297" t="s">
        <v>197</v>
      </c>
      <c r="O5026" s="297" t="s">
        <v>198</v>
      </c>
      <c r="P5026" s="297" t="s">
        <v>199</v>
      </c>
      <c r="Q5026" s="297" t="s">
        <v>200</v>
      </c>
      <c r="R5026" s="297" t="s">
        <v>213</v>
      </c>
      <c r="S5026" s="297" t="s">
        <v>214</v>
      </c>
    </row>
    <row r="5027" spans="1:19" x14ac:dyDescent="0.4">
      <c r="A5027" s="291"/>
      <c r="B5027" s="292"/>
      <c r="C5027" s="312"/>
      <c r="D5027" s="292"/>
      <c r="E5027" s="489"/>
      <c r="F5027" s="489"/>
      <c r="G5027" s="490"/>
      <c r="H5027" s="520"/>
      <c r="I5027" s="523"/>
      <c r="J5027" s="521"/>
      <c r="K5027" s="522"/>
      <c r="M5027" s="301" t="str">
        <f>N5027&amp;AS[[#This Row],[Insurer Code]]&amp;"; "&amp;O5027&amp;AS[[#This Row],[Reporting Year]]&amp;"; "&amp;P5027&amp;AS[[#This Row],[Insurance Category Code]]&amp;"; "&amp;Q5027&amp;AS[[#This Row],[Large Provider Entity Code]]&amp;"; "&amp;R5027&amp;AS[[#This Row],[Age Band Code]]&amp;"; "&amp;S5027&amp;AS[[#This Row],[Sex Code]]</f>
        <v xml:space="preserve">Insurer Code ; Reporting Year ; Insurance Category Code ; Large Provider Entity Code ; Age Band Code ; Sex Code </v>
      </c>
      <c r="N5027" s="297" t="s">
        <v>197</v>
      </c>
      <c r="O5027" s="297" t="s">
        <v>198</v>
      </c>
      <c r="P5027" s="297" t="s">
        <v>199</v>
      </c>
      <c r="Q5027" s="297" t="s">
        <v>200</v>
      </c>
      <c r="R5027" s="297" t="s">
        <v>213</v>
      </c>
      <c r="S5027" s="297" t="s">
        <v>214</v>
      </c>
    </row>
    <row r="5028" spans="1:19" x14ac:dyDescent="0.4">
      <c r="A5028" s="291"/>
      <c r="B5028" s="292"/>
      <c r="C5028" s="312"/>
      <c r="D5028" s="292"/>
      <c r="E5028" s="489"/>
      <c r="F5028" s="489"/>
      <c r="G5028" s="490"/>
      <c r="H5028" s="520"/>
      <c r="I5028" s="523"/>
      <c r="J5028" s="521"/>
      <c r="K5028" s="522"/>
      <c r="M5028" s="301" t="str">
        <f>N5028&amp;AS[[#This Row],[Insurer Code]]&amp;"; "&amp;O5028&amp;AS[[#This Row],[Reporting Year]]&amp;"; "&amp;P5028&amp;AS[[#This Row],[Insurance Category Code]]&amp;"; "&amp;Q5028&amp;AS[[#This Row],[Large Provider Entity Code]]&amp;"; "&amp;R5028&amp;AS[[#This Row],[Age Band Code]]&amp;"; "&amp;S5028&amp;AS[[#This Row],[Sex Code]]</f>
        <v xml:space="preserve">Insurer Code ; Reporting Year ; Insurance Category Code ; Large Provider Entity Code ; Age Band Code ; Sex Code </v>
      </c>
      <c r="N5028" s="297" t="s">
        <v>197</v>
      </c>
      <c r="O5028" s="297" t="s">
        <v>198</v>
      </c>
      <c r="P5028" s="297" t="s">
        <v>199</v>
      </c>
      <c r="Q5028" s="297" t="s">
        <v>200</v>
      </c>
      <c r="R5028" s="297" t="s">
        <v>213</v>
      </c>
      <c r="S5028" s="297" t="s">
        <v>214</v>
      </c>
    </row>
    <row r="5029" spans="1:19" x14ac:dyDescent="0.4">
      <c r="A5029" s="291"/>
      <c r="B5029" s="292"/>
      <c r="C5029" s="312"/>
      <c r="D5029" s="292"/>
      <c r="E5029" s="489"/>
      <c r="F5029" s="489"/>
      <c r="G5029" s="490"/>
      <c r="H5029" s="520"/>
      <c r="I5029" s="523"/>
      <c r="J5029" s="521"/>
      <c r="K5029" s="522"/>
      <c r="M5029" s="301" t="str">
        <f>N5029&amp;AS[[#This Row],[Insurer Code]]&amp;"; "&amp;O5029&amp;AS[[#This Row],[Reporting Year]]&amp;"; "&amp;P5029&amp;AS[[#This Row],[Insurance Category Code]]&amp;"; "&amp;Q5029&amp;AS[[#This Row],[Large Provider Entity Code]]&amp;"; "&amp;R5029&amp;AS[[#This Row],[Age Band Code]]&amp;"; "&amp;S5029&amp;AS[[#This Row],[Sex Code]]</f>
        <v xml:space="preserve">Insurer Code ; Reporting Year ; Insurance Category Code ; Large Provider Entity Code ; Age Band Code ; Sex Code </v>
      </c>
      <c r="N5029" s="297" t="s">
        <v>197</v>
      </c>
      <c r="O5029" s="297" t="s">
        <v>198</v>
      </c>
      <c r="P5029" s="297" t="s">
        <v>199</v>
      </c>
      <c r="Q5029" s="297" t="s">
        <v>200</v>
      </c>
      <c r="R5029" s="297" t="s">
        <v>213</v>
      </c>
      <c r="S5029" s="297" t="s">
        <v>214</v>
      </c>
    </row>
    <row r="5030" spans="1:19" x14ac:dyDescent="0.4">
      <c r="A5030" s="291"/>
      <c r="B5030" s="292"/>
      <c r="C5030" s="312"/>
      <c r="D5030" s="292"/>
      <c r="E5030" s="489"/>
      <c r="F5030" s="489"/>
      <c r="G5030" s="490"/>
      <c r="H5030" s="520"/>
      <c r="I5030" s="523"/>
      <c r="J5030" s="521"/>
      <c r="K5030" s="522"/>
      <c r="M5030" s="301" t="str">
        <f>N5030&amp;AS[[#This Row],[Insurer Code]]&amp;"; "&amp;O5030&amp;AS[[#This Row],[Reporting Year]]&amp;"; "&amp;P5030&amp;AS[[#This Row],[Insurance Category Code]]&amp;"; "&amp;Q5030&amp;AS[[#This Row],[Large Provider Entity Code]]&amp;"; "&amp;R5030&amp;AS[[#This Row],[Age Band Code]]&amp;"; "&amp;S5030&amp;AS[[#This Row],[Sex Code]]</f>
        <v xml:space="preserve">Insurer Code ; Reporting Year ; Insurance Category Code ; Large Provider Entity Code ; Age Band Code ; Sex Code </v>
      </c>
      <c r="N5030" s="297" t="s">
        <v>197</v>
      </c>
      <c r="O5030" s="297" t="s">
        <v>198</v>
      </c>
      <c r="P5030" s="297" t="s">
        <v>199</v>
      </c>
      <c r="Q5030" s="297" t="s">
        <v>200</v>
      </c>
      <c r="R5030" s="297" t="s">
        <v>213</v>
      </c>
      <c r="S5030" s="297" t="s">
        <v>214</v>
      </c>
    </row>
    <row r="5031" spans="1:19" x14ac:dyDescent="0.4">
      <c r="A5031" s="291"/>
      <c r="B5031" s="292"/>
      <c r="C5031" s="312"/>
      <c r="D5031" s="292"/>
      <c r="E5031" s="489"/>
      <c r="F5031" s="489"/>
      <c r="G5031" s="490"/>
      <c r="H5031" s="520"/>
      <c r="I5031" s="523"/>
      <c r="J5031" s="521"/>
      <c r="K5031" s="522"/>
      <c r="M5031" s="301" t="str">
        <f>N5031&amp;AS[[#This Row],[Insurer Code]]&amp;"; "&amp;O5031&amp;AS[[#This Row],[Reporting Year]]&amp;"; "&amp;P5031&amp;AS[[#This Row],[Insurance Category Code]]&amp;"; "&amp;Q5031&amp;AS[[#This Row],[Large Provider Entity Code]]&amp;"; "&amp;R5031&amp;AS[[#This Row],[Age Band Code]]&amp;"; "&amp;S5031&amp;AS[[#This Row],[Sex Code]]</f>
        <v xml:space="preserve">Insurer Code ; Reporting Year ; Insurance Category Code ; Large Provider Entity Code ; Age Band Code ; Sex Code </v>
      </c>
      <c r="N5031" s="297" t="s">
        <v>197</v>
      </c>
      <c r="O5031" s="297" t="s">
        <v>198</v>
      </c>
      <c r="P5031" s="297" t="s">
        <v>199</v>
      </c>
      <c r="Q5031" s="297" t="s">
        <v>200</v>
      </c>
      <c r="R5031" s="297" t="s">
        <v>213</v>
      </c>
      <c r="S5031" s="297" t="s">
        <v>214</v>
      </c>
    </row>
    <row r="5032" spans="1:19" x14ac:dyDescent="0.4">
      <c r="A5032" s="291"/>
      <c r="B5032" s="292"/>
      <c r="C5032" s="312"/>
      <c r="D5032" s="292"/>
      <c r="E5032" s="489"/>
      <c r="F5032" s="489"/>
      <c r="G5032" s="490"/>
      <c r="H5032" s="520"/>
      <c r="I5032" s="523"/>
      <c r="J5032" s="521"/>
      <c r="K5032" s="522"/>
      <c r="M5032" s="301" t="str">
        <f>N5032&amp;AS[[#This Row],[Insurer Code]]&amp;"; "&amp;O5032&amp;AS[[#This Row],[Reporting Year]]&amp;"; "&amp;P5032&amp;AS[[#This Row],[Insurance Category Code]]&amp;"; "&amp;Q5032&amp;AS[[#This Row],[Large Provider Entity Code]]&amp;"; "&amp;R5032&amp;AS[[#This Row],[Age Band Code]]&amp;"; "&amp;S5032&amp;AS[[#This Row],[Sex Code]]</f>
        <v xml:space="preserve">Insurer Code ; Reporting Year ; Insurance Category Code ; Large Provider Entity Code ; Age Band Code ; Sex Code </v>
      </c>
      <c r="N5032" s="297" t="s">
        <v>197</v>
      </c>
      <c r="O5032" s="297" t="s">
        <v>198</v>
      </c>
      <c r="P5032" s="297" t="s">
        <v>199</v>
      </c>
      <c r="Q5032" s="297" t="s">
        <v>200</v>
      </c>
      <c r="R5032" s="297" t="s">
        <v>213</v>
      </c>
      <c r="S5032" s="297" t="s">
        <v>214</v>
      </c>
    </row>
    <row r="5033" spans="1:19" x14ac:dyDescent="0.4">
      <c r="A5033" s="291"/>
      <c r="B5033" s="292"/>
      <c r="C5033" s="312"/>
      <c r="D5033" s="292"/>
      <c r="E5033" s="489"/>
      <c r="F5033" s="489"/>
      <c r="G5033" s="490"/>
      <c r="H5033" s="520"/>
      <c r="I5033" s="523"/>
      <c r="J5033" s="521"/>
      <c r="K5033" s="522"/>
      <c r="M5033" s="301" t="str">
        <f>N5033&amp;AS[[#This Row],[Insurer Code]]&amp;"; "&amp;O5033&amp;AS[[#This Row],[Reporting Year]]&amp;"; "&amp;P5033&amp;AS[[#This Row],[Insurance Category Code]]&amp;"; "&amp;Q5033&amp;AS[[#This Row],[Large Provider Entity Code]]&amp;"; "&amp;R5033&amp;AS[[#This Row],[Age Band Code]]&amp;"; "&amp;S5033&amp;AS[[#This Row],[Sex Code]]</f>
        <v xml:space="preserve">Insurer Code ; Reporting Year ; Insurance Category Code ; Large Provider Entity Code ; Age Band Code ; Sex Code </v>
      </c>
      <c r="N5033" s="297" t="s">
        <v>197</v>
      </c>
      <c r="O5033" s="297" t="s">
        <v>198</v>
      </c>
      <c r="P5033" s="297" t="s">
        <v>199</v>
      </c>
      <c r="Q5033" s="297" t="s">
        <v>200</v>
      </c>
      <c r="R5033" s="297" t="s">
        <v>213</v>
      </c>
      <c r="S5033" s="297" t="s">
        <v>214</v>
      </c>
    </row>
    <row r="5034" spans="1:19" x14ac:dyDescent="0.4">
      <c r="A5034" s="291"/>
      <c r="B5034" s="292"/>
      <c r="C5034" s="312"/>
      <c r="D5034" s="292"/>
      <c r="E5034" s="489"/>
      <c r="F5034" s="489"/>
      <c r="G5034" s="490"/>
      <c r="H5034" s="520"/>
      <c r="I5034" s="523"/>
      <c r="J5034" s="521"/>
      <c r="K5034" s="522"/>
      <c r="M5034" s="301" t="str">
        <f>N5034&amp;AS[[#This Row],[Insurer Code]]&amp;"; "&amp;O5034&amp;AS[[#This Row],[Reporting Year]]&amp;"; "&amp;P5034&amp;AS[[#This Row],[Insurance Category Code]]&amp;"; "&amp;Q5034&amp;AS[[#This Row],[Large Provider Entity Code]]&amp;"; "&amp;R5034&amp;AS[[#This Row],[Age Band Code]]&amp;"; "&amp;S5034&amp;AS[[#This Row],[Sex Code]]</f>
        <v xml:space="preserve">Insurer Code ; Reporting Year ; Insurance Category Code ; Large Provider Entity Code ; Age Band Code ; Sex Code </v>
      </c>
      <c r="N5034" s="297" t="s">
        <v>197</v>
      </c>
      <c r="O5034" s="297" t="s">
        <v>198</v>
      </c>
      <c r="P5034" s="297" t="s">
        <v>199</v>
      </c>
      <c r="Q5034" s="297" t="s">
        <v>200</v>
      </c>
      <c r="R5034" s="297" t="s">
        <v>213</v>
      </c>
      <c r="S5034" s="297" t="s">
        <v>214</v>
      </c>
    </row>
    <row r="5035" spans="1:19" x14ac:dyDescent="0.4">
      <c r="A5035" s="291"/>
      <c r="B5035" s="292"/>
      <c r="C5035" s="312"/>
      <c r="D5035" s="292"/>
      <c r="E5035" s="489"/>
      <c r="F5035" s="489"/>
      <c r="G5035" s="490"/>
      <c r="H5035" s="520"/>
      <c r="I5035" s="523"/>
      <c r="J5035" s="521"/>
      <c r="K5035" s="522"/>
      <c r="M5035" s="301" t="str">
        <f>N5035&amp;AS[[#This Row],[Insurer Code]]&amp;"; "&amp;O5035&amp;AS[[#This Row],[Reporting Year]]&amp;"; "&amp;P5035&amp;AS[[#This Row],[Insurance Category Code]]&amp;"; "&amp;Q5035&amp;AS[[#This Row],[Large Provider Entity Code]]&amp;"; "&amp;R5035&amp;AS[[#This Row],[Age Band Code]]&amp;"; "&amp;S5035&amp;AS[[#This Row],[Sex Code]]</f>
        <v xml:space="preserve">Insurer Code ; Reporting Year ; Insurance Category Code ; Large Provider Entity Code ; Age Band Code ; Sex Code </v>
      </c>
      <c r="N5035" s="297" t="s">
        <v>197</v>
      </c>
      <c r="O5035" s="297" t="s">
        <v>198</v>
      </c>
      <c r="P5035" s="297" t="s">
        <v>199</v>
      </c>
      <c r="Q5035" s="297" t="s">
        <v>200</v>
      </c>
      <c r="R5035" s="297" t="s">
        <v>213</v>
      </c>
      <c r="S5035" s="297" t="s">
        <v>214</v>
      </c>
    </row>
    <row r="5036" spans="1:19" x14ac:dyDescent="0.4">
      <c r="A5036" s="291"/>
      <c r="B5036" s="292"/>
      <c r="C5036" s="312"/>
      <c r="D5036" s="292"/>
      <c r="E5036" s="489"/>
      <c r="F5036" s="489"/>
      <c r="G5036" s="490"/>
      <c r="H5036" s="520"/>
      <c r="I5036" s="523"/>
      <c r="J5036" s="521"/>
      <c r="K5036" s="522"/>
      <c r="M5036" s="301" t="str">
        <f>N5036&amp;AS[[#This Row],[Insurer Code]]&amp;"; "&amp;O5036&amp;AS[[#This Row],[Reporting Year]]&amp;"; "&amp;P5036&amp;AS[[#This Row],[Insurance Category Code]]&amp;"; "&amp;Q5036&amp;AS[[#This Row],[Large Provider Entity Code]]&amp;"; "&amp;R5036&amp;AS[[#This Row],[Age Band Code]]&amp;"; "&amp;S5036&amp;AS[[#This Row],[Sex Code]]</f>
        <v xml:space="preserve">Insurer Code ; Reporting Year ; Insurance Category Code ; Large Provider Entity Code ; Age Band Code ; Sex Code </v>
      </c>
      <c r="N5036" s="297" t="s">
        <v>197</v>
      </c>
      <c r="O5036" s="297" t="s">
        <v>198</v>
      </c>
      <c r="P5036" s="297" t="s">
        <v>199</v>
      </c>
      <c r="Q5036" s="297" t="s">
        <v>200</v>
      </c>
      <c r="R5036" s="297" t="s">
        <v>213</v>
      </c>
      <c r="S5036" s="297" t="s">
        <v>214</v>
      </c>
    </row>
    <row r="5037" spans="1:19" x14ac:dyDescent="0.4">
      <c r="A5037" s="291"/>
      <c r="B5037" s="292"/>
      <c r="C5037" s="312"/>
      <c r="D5037" s="292"/>
      <c r="E5037" s="489"/>
      <c r="F5037" s="489"/>
      <c r="G5037" s="490"/>
      <c r="H5037" s="520"/>
      <c r="I5037" s="523"/>
      <c r="J5037" s="521"/>
      <c r="K5037" s="522"/>
      <c r="M5037" s="301" t="str">
        <f>N5037&amp;AS[[#This Row],[Insurer Code]]&amp;"; "&amp;O5037&amp;AS[[#This Row],[Reporting Year]]&amp;"; "&amp;P5037&amp;AS[[#This Row],[Insurance Category Code]]&amp;"; "&amp;Q5037&amp;AS[[#This Row],[Large Provider Entity Code]]&amp;"; "&amp;R5037&amp;AS[[#This Row],[Age Band Code]]&amp;"; "&amp;S5037&amp;AS[[#This Row],[Sex Code]]</f>
        <v xml:space="preserve">Insurer Code ; Reporting Year ; Insurance Category Code ; Large Provider Entity Code ; Age Band Code ; Sex Code </v>
      </c>
      <c r="N5037" s="297" t="s">
        <v>197</v>
      </c>
      <c r="O5037" s="297" t="s">
        <v>198</v>
      </c>
      <c r="P5037" s="297" t="s">
        <v>199</v>
      </c>
      <c r="Q5037" s="297" t="s">
        <v>200</v>
      </c>
      <c r="R5037" s="297" t="s">
        <v>213</v>
      </c>
      <c r="S5037" s="297" t="s">
        <v>214</v>
      </c>
    </row>
    <row r="5038" spans="1:19" x14ac:dyDescent="0.4">
      <c r="A5038" s="291"/>
      <c r="B5038" s="292"/>
      <c r="C5038" s="312"/>
      <c r="D5038" s="292"/>
      <c r="E5038" s="489"/>
      <c r="F5038" s="489"/>
      <c r="G5038" s="490"/>
      <c r="H5038" s="520"/>
      <c r="I5038" s="523"/>
      <c r="J5038" s="521"/>
      <c r="K5038" s="522"/>
      <c r="M5038" s="301" t="str">
        <f>N5038&amp;AS[[#This Row],[Insurer Code]]&amp;"; "&amp;O5038&amp;AS[[#This Row],[Reporting Year]]&amp;"; "&amp;P5038&amp;AS[[#This Row],[Insurance Category Code]]&amp;"; "&amp;Q5038&amp;AS[[#This Row],[Large Provider Entity Code]]&amp;"; "&amp;R5038&amp;AS[[#This Row],[Age Band Code]]&amp;"; "&amp;S5038&amp;AS[[#This Row],[Sex Code]]</f>
        <v xml:space="preserve">Insurer Code ; Reporting Year ; Insurance Category Code ; Large Provider Entity Code ; Age Band Code ; Sex Code </v>
      </c>
      <c r="N5038" s="297" t="s">
        <v>197</v>
      </c>
      <c r="O5038" s="297" t="s">
        <v>198</v>
      </c>
      <c r="P5038" s="297" t="s">
        <v>199</v>
      </c>
      <c r="Q5038" s="297" t="s">
        <v>200</v>
      </c>
      <c r="R5038" s="297" t="s">
        <v>213</v>
      </c>
      <c r="S5038" s="297" t="s">
        <v>214</v>
      </c>
    </row>
    <row r="5039" spans="1:19" x14ac:dyDescent="0.4">
      <c r="A5039" s="291"/>
      <c r="B5039" s="292"/>
      <c r="C5039" s="312"/>
      <c r="D5039" s="292"/>
      <c r="E5039" s="489"/>
      <c r="F5039" s="489"/>
      <c r="G5039" s="490"/>
      <c r="H5039" s="520"/>
      <c r="I5039" s="523"/>
      <c r="J5039" s="521"/>
      <c r="K5039" s="522"/>
      <c r="M5039" s="301" t="str">
        <f>N5039&amp;AS[[#This Row],[Insurer Code]]&amp;"; "&amp;O5039&amp;AS[[#This Row],[Reporting Year]]&amp;"; "&amp;P5039&amp;AS[[#This Row],[Insurance Category Code]]&amp;"; "&amp;Q5039&amp;AS[[#This Row],[Large Provider Entity Code]]&amp;"; "&amp;R5039&amp;AS[[#This Row],[Age Band Code]]&amp;"; "&amp;S5039&amp;AS[[#This Row],[Sex Code]]</f>
        <v xml:space="preserve">Insurer Code ; Reporting Year ; Insurance Category Code ; Large Provider Entity Code ; Age Band Code ; Sex Code </v>
      </c>
      <c r="N5039" s="297" t="s">
        <v>197</v>
      </c>
      <c r="O5039" s="297" t="s">
        <v>198</v>
      </c>
      <c r="P5039" s="297" t="s">
        <v>199</v>
      </c>
      <c r="Q5039" s="297" t="s">
        <v>200</v>
      </c>
      <c r="R5039" s="297" t="s">
        <v>213</v>
      </c>
      <c r="S5039" s="297" t="s">
        <v>214</v>
      </c>
    </row>
    <row r="5040" spans="1:19" x14ac:dyDescent="0.4">
      <c r="A5040" s="291"/>
      <c r="B5040" s="292"/>
      <c r="C5040" s="312"/>
      <c r="D5040" s="292"/>
      <c r="E5040" s="489"/>
      <c r="F5040" s="489"/>
      <c r="G5040" s="490"/>
      <c r="H5040" s="520"/>
      <c r="I5040" s="523"/>
      <c r="J5040" s="521"/>
      <c r="K5040" s="522"/>
      <c r="M5040" s="301" t="str">
        <f>N5040&amp;AS[[#This Row],[Insurer Code]]&amp;"; "&amp;O5040&amp;AS[[#This Row],[Reporting Year]]&amp;"; "&amp;P5040&amp;AS[[#This Row],[Insurance Category Code]]&amp;"; "&amp;Q5040&amp;AS[[#This Row],[Large Provider Entity Code]]&amp;"; "&amp;R5040&amp;AS[[#This Row],[Age Band Code]]&amp;"; "&amp;S5040&amp;AS[[#This Row],[Sex Code]]</f>
        <v xml:space="preserve">Insurer Code ; Reporting Year ; Insurance Category Code ; Large Provider Entity Code ; Age Band Code ; Sex Code </v>
      </c>
      <c r="N5040" s="297" t="s">
        <v>197</v>
      </c>
      <c r="O5040" s="297" t="s">
        <v>198</v>
      </c>
      <c r="P5040" s="297" t="s">
        <v>199</v>
      </c>
      <c r="Q5040" s="297" t="s">
        <v>200</v>
      </c>
      <c r="R5040" s="297" t="s">
        <v>213</v>
      </c>
      <c r="S5040" s="297" t="s">
        <v>214</v>
      </c>
    </row>
    <row r="5041" spans="1:19" x14ac:dyDescent="0.4">
      <c r="A5041" s="291"/>
      <c r="B5041" s="292"/>
      <c r="C5041" s="312"/>
      <c r="D5041" s="292"/>
      <c r="E5041" s="489"/>
      <c r="F5041" s="489"/>
      <c r="G5041" s="490"/>
      <c r="H5041" s="520"/>
      <c r="I5041" s="523"/>
      <c r="J5041" s="521"/>
      <c r="K5041" s="522"/>
      <c r="M5041" s="301" t="str">
        <f>N5041&amp;AS[[#This Row],[Insurer Code]]&amp;"; "&amp;O5041&amp;AS[[#This Row],[Reporting Year]]&amp;"; "&amp;P5041&amp;AS[[#This Row],[Insurance Category Code]]&amp;"; "&amp;Q5041&amp;AS[[#This Row],[Large Provider Entity Code]]&amp;"; "&amp;R5041&amp;AS[[#This Row],[Age Band Code]]&amp;"; "&amp;S5041&amp;AS[[#This Row],[Sex Code]]</f>
        <v xml:space="preserve">Insurer Code ; Reporting Year ; Insurance Category Code ; Large Provider Entity Code ; Age Band Code ; Sex Code </v>
      </c>
      <c r="N5041" s="297" t="s">
        <v>197</v>
      </c>
      <c r="O5041" s="297" t="s">
        <v>198</v>
      </c>
      <c r="P5041" s="297" t="s">
        <v>199</v>
      </c>
      <c r="Q5041" s="297" t="s">
        <v>200</v>
      </c>
      <c r="R5041" s="297" t="s">
        <v>213</v>
      </c>
      <c r="S5041" s="297" t="s">
        <v>214</v>
      </c>
    </row>
    <row r="5042" spans="1:19" x14ac:dyDescent="0.4">
      <c r="A5042" s="291"/>
      <c r="B5042" s="292"/>
      <c r="C5042" s="312"/>
      <c r="D5042" s="292"/>
      <c r="E5042" s="489"/>
      <c r="F5042" s="489"/>
      <c r="G5042" s="490"/>
      <c r="H5042" s="520"/>
      <c r="I5042" s="523"/>
      <c r="J5042" s="521"/>
      <c r="K5042" s="522"/>
      <c r="M5042" s="301" t="str">
        <f>N5042&amp;AS[[#This Row],[Insurer Code]]&amp;"; "&amp;O5042&amp;AS[[#This Row],[Reporting Year]]&amp;"; "&amp;P5042&amp;AS[[#This Row],[Insurance Category Code]]&amp;"; "&amp;Q5042&amp;AS[[#This Row],[Large Provider Entity Code]]&amp;"; "&amp;R5042&amp;AS[[#This Row],[Age Band Code]]&amp;"; "&amp;S5042&amp;AS[[#This Row],[Sex Code]]</f>
        <v xml:space="preserve">Insurer Code ; Reporting Year ; Insurance Category Code ; Large Provider Entity Code ; Age Band Code ; Sex Code </v>
      </c>
      <c r="N5042" s="297" t="s">
        <v>197</v>
      </c>
      <c r="O5042" s="297" t="s">
        <v>198</v>
      </c>
      <c r="P5042" s="297" t="s">
        <v>199</v>
      </c>
      <c r="Q5042" s="297" t="s">
        <v>200</v>
      </c>
      <c r="R5042" s="297" t="s">
        <v>213</v>
      </c>
      <c r="S5042" s="297" t="s">
        <v>214</v>
      </c>
    </row>
    <row r="5043" spans="1:19" x14ac:dyDescent="0.4">
      <c r="A5043" s="291"/>
      <c r="B5043" s="292"/>
      <c r="C5043" s="312"/>
      <c r="D5043" s="292"/>
      <c r="E5043" s="489"/>
      <c r="F5043" s="489"/>
      <c r="G5043" s="490"/>
      <c r="H5043" s="520"/>
      <c r="I5043" s="523"/>
      <c r="J5043" s="521"/>
      <c r="K5043" s="522"/>
      <c r="M5043" s="301" t="str">
        <f>N5043&amp;AS[[#This Row],[Insurer Code]]&amp;"; "&amp;O5043&amp;AS[[#This Row],[Reporting Year]]&amp;"; "&amp;P5043&amp;AS[[#This Row],[Insurance Category Code]]&amp;"; "&amp;Q5043&amp;AS[[#This Row],[Large Provider Entity Code]]&amp;"; "&amp;R5043&amp;AS[[#This Row],[Age Band Code]]&amp;"; "&amp;S5043&amp;AS[[#This Row],[Sex Code]]</f>
        <v xml:space="preserve">Insurer Code ; Reporting Year ; Insurance Category Code ; Large Provider Entity Code ; Age Band Code ; Sex Code </v>
      </c>
      <c r="N5043" s="297" t="s">
        <v>197</v>
      </c>
      <c r="O5043" s="297" t="s">
        <v>198</v>
      </c>
      <c r="P5043" s="297" t="s">
        <v>199</v>
      </c>
      <c r="Q5043" s="297" t="s">
        <v>200</v>
      </c>
      <c r="R5043" s="297" t="s">
        <v>213</v>
      </c>
      <c r="S5043" s="297" t="s">
        <v>214</v>
      </c>
    </row>
    <row r="5044" spans="1:19" x14ac:dyDescent="0.4">
      <c r="A5044" s="291"/>
      <c r="B5044" s="292"/>
      <c r="C5044" s="312"/>
      <c r="D5044" s="292"/>
      <c r="E5044" s="489"/>
      <c r="F5044" s="489"/>
      <c r="G5044" s="490"/>
      <c r="H5044" s="520"/>
      <c r="I5044" s="523"/>
      <c r="J5044" s="521"/>
      <c r="K5044" s="522"/>
      <c r="M5044" s="301" t="str">
        <f>N5044&amp;AS[[#This Row],[Insurer Code]]&amp;"; "&amp;O5044&amp;AS[[#This Row],[Reporting Year]]&amp;"; "&amp;P5044&amp;AS[[#This Row],[Insurance Category Code]]&amp;"; "&amp;Q5044&amp;AS[[#This Row],[Large Provider Entity Code]]&amp;"; "&amp;R5044&amp;AS[[#This Row],[Age Band Code]]&amp;"; "&amp;S5044&amp;AS[[#This Row],[Sex Code]]</f>
        <v xml:space="preserve">Insurer Code ; Reporting Year ; Insurance Category Code ; Large Provider Entity Code ; Age Band Code ; Sex Code </v>
      </c>
      <c r="N5044" s="297" t="s">
        <v>197</v>
      </c>
      <c r="O5044" s="297" t="s">
        <v>198</v>
      </c>
      <c r="P5044" s="297" t="s">
        <v>199</v>
      </c>
      <c r="Q5044" s="297" t="s">
        <v>200</v>
      </c>
      <c r="R5044" s="297" t="s">
        <v>213</v>
      </c>
      <c r="S5044" s="297" t="s">
        <v>214</v>
      </c>
    </row>
    <row r="5045" spans="1:19" x14ac:dyDescent="0.4">
      <c r="A5045" s="291"/>
      <c r="B5045" s="292"/>
      <c r="C5045" s="312"/>
      <c r="D5045" s="292"/>
      <c r="E5045" s="489"/>
      <c r="F5045" s="489"/>
      <c r="G5045" s="490"/>
      <c r="H5045" s="520"/>
      <c r="I5045" s="523"/>
      <c r="J5045" s="521"/>
      <c r="K5045" s="522"/>
      <c r="M5045" s="301" t="str">
        <f>N5045&amp;AS[[#This Row],[Insurer Code]]&amp;"; "&amp;O5045&amp;AS[[#This Row],[Reporting Year]]&amp;"; "&amp;P5045&amp;AS[[#This Row],[Insurance Category Code]]&amp;"; "&amp;Q5045&amp;AS[[#This Row],[Large Provider Entity Code]]&amp;"; "&amp;R5045&amp;AS[[#This Row],[Age Band Code]]&amp;"; "&amp;S5045&amp;AS[[#This Row],[Sex Code]]</f>
        <v xml:space="preserve">Insurer Code ; Reporting Year ; Insurance Category Code ; Large Provider Entity Code ; Age Band Code ; Sex Code </v>
      </c>
      <c r="N5045" s="297" t="s">
        <v>197</v>
      </c>
      <c r="O5045" s="297" t="s">
        <v>198</v>
      </c>
      <c r="P5045" s="297" t="s">
        <v>199</v>
      </c>
      <c r="Q5045" s="297" t="s">
        <v>200</v>
      </c>
      <c r="R5045" s="297" t="s">
        <v>213</v>
      </c>
      <c r="S5045" s="297" t="s">
        <v>214</v>
      </c>
    </row>
    <row r="5046" spans="1:19" x14ac:dyDescent="0.4">
      <c r="A5046" s="291"/>
      <c r="B5046" s="292"/>
      <c r="C5046" s="312"/>
      <c r="D5046" s="292"/>
      <c r="E5046" s="489"/>
      <c r="F5046" s="489"/>
      <c r="G5046" s="490"/>
      <c r="H5046" s="520"/>
      <c r="I5046" s="523"/>
      <c r="J5046" s="521"/>
      <c r="K5046" s="522"/>
      <c r="M5046" s="301" t="str">
        <f>N5046&amp;AS[[#This Row],[Insurer Code]]&amp;"; "&amp;O5046&amp;AS[[#This Row],[Reporting Year]]&amp;"; "&amp;P5046&amp;AS[[#This Row],[Insurance Category Code]]&amp;"; "&amp;Q5046&amp;AS[[#This Row],[Large Provider Entity Code]]&amp;"; "&amp;R5046&amp;AS[[#This Row],[Age Band Code]]&amp;"; "&amp;S5046&amp;AS[[#This Row],[Sex Code]]</f>
        <v xml:space="preserve">Insurer Code ; Reporting Year ; Insurance Category Code ; Large Provider Entity Code ; Age Band Code ; Sex Code </v>
      </c>
      <c r="N5046" s="297" t="s">
        <v>197</v>
      </c>
      <c r="O5046" s="297" t="s">
        <v>198</v>
      </c>
      <c r="P5046" s="297" t="s">
        <v>199</v>
      </c>
      <c r="Q5046" s="297" t="s">
        <v>200</v>
      </c>
      <c r="R5046" s="297" t="s">
        <v>213</v>
      </c>
      <c r="S5046" s="297" t="s">
        <v>214</v>
      </c>
    </row>
    <row r="5047" spans="1:19" x14ac:dyDescent="0.4">
      <c r="A5047" s="291"/>
      <c r="B5047" s="292"/>
      <c r="C5047" s="312"/>
      <c r="D5047" s="292"/>
      <c r="E5047" s="489"/>
      <c r="F5047" s="489"/>
      <c r="G5047" s="490"/>
      <c r="H5047" s="520"/>
      <c r="I5047" s="523"/>
      <c r="J5047" s="521"/>
      <c r="K5047" s="522"/>
      <c r="M5047" s="301" t="str">
        <f>N5047&amp;AS[[#This Row],[Insurer Code]]&amp;"; "&amp;O5047&amp;AS[[#This Row],[Reporting Year]]&amp;"; "&amp;P5047&amp;AS[[#This Row],[Insurance Category Code]]&amp;"; "&amp;Q5047&amp;AS[[#This Row],[Large Provider Entity Code]]&amp;"; "&amp;R5047&amp;AS[[#This Row],[Age Band Code]]&amp;"; "&amp;S5047&amp;AS[[#This Row],[Sex Code]]</f>
        <v xml:space="preserve">Insurer Code ; Reporting Year ; Insurance Category Code ; Large Provider Entity Code ; Age Band Code ; Sex Code </v>
      </c>
      <c r="N5047" s="297" t="s">
        <v>197</v>
      </c>
      <c r="O5047" s="297" t="s">
        <v>198</v>
      </c>
      <c r="P5047" s="297" t="s">
        <v>199</v>
      </c>
      <c r="Q5047" s="297" t="s">
        <v>200</v>
      </c>
      <c r="R5047" s="297" t="s">
        <v>213</v>
      </c>
      <c r="S5047" s="297" t="s">
        <v>214</v>
      </c>
    </row>
    <row r="5048" spans="1:19" x14ac:dyDescent="0.4">
      <c r="A5048" s="291"/>
      <c r="B5048" s="292"/>
      <c r="C5048" s="312"/>
      <c r="D5048" s="292"/>
      <c r="E5048" s="489"/>
      <c r="F5048" s="489"/>
      <c r="G5048" s="490"/>
      <c r="H5048" s="520"/>
      <c r="I5048" s="523"/>
      <c r="J5048" s="521"/>
      <c r="K5048" s="522"/>
      <c r="M5048" s="301" t="str">
        <f>N5048&amp;AS[[#This Row],[Insurer Code]]&amp;"; "&amp;O5048&amp;AS[[#This Row],[Reporting Year]]&amp;"; "&amp;P5048&amp;AS[[#This Row],[Insurance Category Code]]&amp;"; "&amp;Q5048&amp;AS[[#This Row],[Large Provider Entity Code]]&amp;"; "&amp;R5048&amp;AS[[#This Row],[Age Band Code]]&amp;"; "&amp;S5048&amp;AS[[#This Row],[Sex Code]]</f>
        <v xml:space="preserve">Insurer Code ; Reporting Year ; Insurance Category Code ; Large Provider Entity Code ; Age Band Code ; Sex Code </v>
      </c>
      <c r="N5048" s="297" t="s">
        <v>197</v>
      </c>
      <c r="O5048" s="297" t="s">
        <v>198</v>
      </c>
      <c r="P5048" s="297" t="s">
        <v>199</v>
      </c>
      <c r="Q5048" s="297" t="s">
        <v>200</v>
      </c>
      <c r="R5048" s="297" t="s">
        <v>213</v>
      </c>
      <c r="S5048" s="297" t="s">
        <v>214</v>
      </c>
    </row>
    <row r="5049" spans="1:19" x14ac:dyDescent="0.4">
      <c r="A5049" s="291"/>
      <c r="B5049" s="292"/>
      <c r="C5049" s="312"/>
      <c r="D5049" s="292"/>
      <c r="E5049" s="489"/>
      <c r="F5049" s="489"/>
      <c r="G5049" s="490"/>
      <c r="H5049" s="520"/>
      <c r="I5049" s="523"/>
      <c r="J5049" s="521"/>
      <c r="K5049" s="522"/>
      <c r="M5049" s="301" t="str">
        <f>N5049&amp;AS[[#This Row],[Insurer Code]]&amp;"; "&amp;O5049&amp;AS[[#This Row],[Reporting Year]]&amp;"; "&amp;P5049&amp;AS[[#This Row],[Insurance Category Code]]&amp;"; "&amp;Q5049&amp;AS[[#This Row],[Large Provider Entity Code]]&amp;"; "&amp;R5049&amp;AS[[#This Row],[Age Band Code]]&amp;"; "&amp;S5049&amp;AS[[#This Row],[Sex Code]]</f>
        <v xml:space="preserve">Insurer Code ; Reporting Year ; Insurance Category Code ; Large Provider Entity Code ; Age Band Code ; Sex Code </v>
      </c>
      <c r="N5049" s="297" t="s">
        <v>197</v>
      </c>
      <c r="O5049" s="297" t="s">
        <v>198</v>
      </c>
      <c r="P5049" s="297" t="s">
        <v>199</v>
      </c>
      <c r="Q5049" s="297" t="s">
        <v>200</v>
      </c>
      <c r="R5049" s="297" t="s">
        <v>213</v>
      </c>
      <c r="S5049" s="297" t="s">
        <v>214</v>
      </c>
    </row>
    <row r="5050" spans="1:19" x14ac:dyDescent="0.4">
      <c r="A5050" s="291"/>
      <c r="B5050" s="292"/>
      <c r="C5050" s="312"/>
      <c r="D5050" s="292"/>
      <c r="E5050" s="489"/>
      <c r="F5050" s="489"/>
      <c r="G5050" s="490"/>
      <c r="H5050" s="520"/>
      <c r="I5050" s="523"/>
      <c r="J5050" s="521"/>
      <c r="K5050" s="522"/>
      <c r="M5050" s="301" t="str">
        <f>N5050&amp;AS[[#This Row],[Insurer Code]]&amp;"; "&amp;O5050&amp;AS[[#This Row],[Reporting Year]]&amp;"; "&amp;P5050&amp;AS[[#This Row],[Insurance Category Code]]&amp;"; "&amp;Q5050&amp;AS[[#This Row],[Large Provider Entity Code]]&amp;"; "&amp;R5050&amp;AS[[#This Row],[Age Band Code]]&amp;"; "&amp;S5050&amp;AS[[#This Row],[Sex Code]]</f>
        <v xml:space="preserve">Insurer Code ; Reporting Year ; Insurance Category Code ; Large Provider Entity Code ; Age Band Code ; Sex Code </v>
      </c>
      <c r="N5050" s="297" t="s">
        <v>197</v>
      </c>
      <c r="O5050" s="297" t="s">
        <v>198</v>
      </c>
      <c r="P5050" s="297" t="s">
        <v>199</v>
      </c>
      <c r="Q5050" s="297" t="s">
        <v>200</v>
      </c>
      <c r="R5050" s="297" t="s">
        <v>213</v>
      </c>
      <c r="S5050" s="297" t="s">
        <v>214</v>
      </c>
    </row>
    <row r="5051" spans="1:19" x14ac:dyDescent="0.4">
      <c r="A5051" s="291"/>
      <c r="B5051" s="292"/>
      <c r="C5051" s="312"/>
      <c r="D5051" s="292"/>
      <c r="E5051" s="489"/>
      <c r="F5051" s="489"/>
      <c r="G5051" s="490"/>
      <c r="H5051" s="520"/>
      <c r="I5051" s="523"/>
      <c r="J5051" s="521"/>
      <c r="K5051" s="522"/>
      <c r="M5051" s="301" t="str">
        <f>N5051&amp;AS[[#This Row],[Insurer Code]]&amp;"; "&amp;O5051&amp;AS[[#This Row],[Reporting Year]]&amp;"; "&amp;P5051&amp;AS[[#This Row],[Insurance Category Code]]&amp;"; "&amp;Q5051&amp;AS[[#This Row],[Large Provider Entity Code]]&amp;"; "&amp;R5051&amp;AS[[#This Row],[Age Band Code]]&amp;"; "&amp;S5051&amp;AS[[#This Row],[Sex Code]]</f>
        <v xml:space="preserve">Insurer Code ; Reporting Year ; Insurance Category Code ; Large Provider Entity Code ; Age Band Code ; Sex Code </v>
      </c>
      <c r="N5051" s="297" t="s">
        <v>197</v>
      </c>
      <c r="O5051" s="297" t="s">
        <v>198</v>
      </c>
      <c r="P5051" s="297" t="s">
        <v>199</v>
      </c>
      <c r="Q5051" s="297" t="s">
        <v>200</v>
      </c>
      <c r="R5051" s="297" t="s">
        <v>213</v>
      </c>
      <c r="S5051" s="297" t="s">
        <v>214</v>
      </c>
    </row>
    <row r="5052" spans="1:19" x14ac:dyDescent="0.4">
      <c r="A5052" s="291"/>
      <c r="B5052" s="292"/>
      <c r="C5052" s="312"/>
      <c r="D5052" s="292"/>
      <c r="E5052" s="489"/>
      <c r="F5052" s="489"/>
      <c r="G5052" s="490"/>
      <c r="H5052" s="520"/>
      <c r="I5052" s="523"/>
      <c r="J5052" s="521"/>
      <c r="K5052" s="522"/>
      <c r="M5052" s="301" t="str">
        <f>N5052&amp;AS[[#This Row],[Insurer Code]]&amp;"; "&amp;O5052&amp;AS[[#This Row],[Reporting Year]]&amp;"; "&amp;P5052&amp;AS[[#This Row],[Insurance Category Code]]&amp;"; "&amp;Q5052&amp;AS[[#This Row],[Large Provider Entity Code]]&amp;"; "&amp;R5052&amp;AS[[#This Row],[Age Band Code]]&amp;"; "&amp;S5052&amp;AS[[#This Row],[Sex Code]]</f>
        <v xml:space="preserve">Insurer Code ; Reporting Year ; Insurance Category Code ; Large Provider Entity Code ; Age Band Code ; Sex Code </v>
      </c>
      <c r="N5052" s="297" t="s">
        <v>197</v>
      </c>
      <c r="O5052" s="297" t="s">
        <v>198</v>
      </c>
      <c r="P5052" s="297" t="s">
        <v>199</v>
      </c>
      <c r="Q5052" s="297" t="s">
        <v>200</v>
      </c>
      <c r="R5052" s="297" t="s">
        <v>213</v>
      </c>
      <c r="S5052" s="297" t="s">
        <v>214</v>
      </c>
    </row>
    <row r="5053" spans="1:19" x14ac:dyDescent="0.4">
      <c r="A5053" s="291"/>
      <c r="B5053" s="292"/>
      <c r="C5053" s="312"/>
      <c r="D5053" s="292"/>
      <c r="E5053" s="489"/>
      <c r="F5053" s="489"/>
      <c r="G5053" s="490"/>
      <c r="H5053" s="520"/>
      <c r="I5053" s="523"/>
      <c r="J5053" s="521"/>
      <c r="K5053" s="522"/>
      <c r="M5053" s="301" t="str">
        <f>N5053&amp;AS[[#This Row],[Insurer Code]]&amp;"; "&amp;O5053&amp;AS[[#This Row],[Reporting Year]]&amp;"; "&amp;P5053&amp;AS[[#This Row],[Insurance Category Code]]&amp;"; "&amp;Q5053&amp;AS[[#This Row],[Large Provider Entity Code]]&amp;"; "&amp;R5053&amp;AS[[#This Row],[Age Band Code]]&amp;"; "&amp;S5053&amp;AS[[#This Row],[Sex Code]]</f>
        <v xml:space="preserve">Insurer Code ; Reporting Year ; Insurance Category Code ; Large Provider Entity Code ; Age Band Code ; Sex Code </v>
      </c>
      <c r="N5053" s="297" t="s">
        <v>197</v>
      </c>
      <c r="O5053" s="297" t="s">
        <v>198</v>
      </c>
      <c r="P5053" s="297" t="s">
        <v>199</v>
      </c>
      <c r="Q5053" s="297" t="s">
        <v>200</v>
      </c>
      <c r="R5053" s="297" t="s">
        <v>213</v>
      </c>
      <c r="S5053" s="297" t="s">
        <v>214</v>
      </c>
    </row>
    <row r="5054" spans="1:19" x14ac:dyDescent="0.4">
      <c r="A5054" s="291"/>
      <c r="B5054" s="292"/>
      <c r="C5054" s="312"/>
      <c r="D5054" s="292"/>
      <c r="E5054" s="489"/>
      <c r="F5054" s="489"/>
      <c r="G5054" s="490"/>
      <c r="H5054" s="520"/>
      <c r="I5054" s="523"/>
      <c r="J5054" s="521"/>
      <c r="K5054" s="522"/>
      <c r="M5054" s="301" t="str">
        <f>N5054&amp;AS[[#This Row],[Insurer Code]]&amp;"; "&amp;O5054&amp;AS[[#This Row],[Reporting Year]]&amp;"; "&amp;P5054&amp;AS[[#This Row],[Insurance Category Code]]&amp;"; "&amp;Q5054&amp;AS[[#This Row],[Large Provider Entity Code]]&amp;"; "&amp;R5054&amp;AS[[#This Row],[Age Band Code]]&amp;"; "&amp;S5054&amp;AS[[#This Row],[Sex Code]]</f>
        <v xml:space="preserve">Insurer Code ; Reporting Year ; Insurance Category Code ; Large Provider Entity Code ; Age Band Code ; Sex Code </v>
      </c>
      <c r="N5054" s="297" t="s">
        <v>197</v>
      </c>
      <c r="O5054" s="297" t="s">
        <v>198</v>
      </c>
      <c r="P5054" s="297" t="s">
        <v>199</v>
      </c>
      <c r="Q5054" s="297" t="s">
        <v>200</v>
      </c>
      <c r="R5054" s="297" t="s">
        <v>213</v>
      </c>
      <c r="S5054" s="297" t="s">
        <v>214</v>
      </c>
    </row>
    <row r="5055" spans="1:19" x14ac:dyDescent="0.4">
      <c r="A5055" s="291"/>
      <c r="B5055" s="292"/>
      <c r="C5055" s="312"/>
      <c r="D5055" s="292"/>
      <c r="E5055" s="489"/>
      <c r="F5055" s="489"/>
      <c r="G5055" s="490"/>
      <c r="H5055" s="520"/>
      <c r="I5055" s="523"/>
      <c r="J5055" s="521"/>
      <c r="K5055" s="522"/>
      <c r="M5055" s="301" t="str">
        <f>N5055&amp;AS[[#This Row],[Insurer Code]]&amp;"; "&amp;O5055&amp;AS[[#This Row],[Reporting Year]]&amp;"; "&amp;P5055&amp;AS[[#This Row],[Insurance Category Code]]&amp;"; "&amp;Q5055&amp;AS[[#This Row],[Large Provider Entity Code]]&amp;"; "&amp;R5055&amp;AS[[#This Row],[Age Band Code]]&amp;"; "&amp;S5055&amp;AS[[#This Row],[Sex Code]]</f>
        <v xml:space="preserve">Insurer Code ; Reporting Year ; Insurance Category Code ; Large Provider Entity Code ; Age Band Code ; Sex Code </v>
      </c>
      <c r="N5055" s="297" t="s">
        <v>197</v>
      </c>
      <c r="O5055" s="297" t="s">
        <v>198</v>
      </c>
      <c r="P5055" s="297" t="s">
        <v>199</v>
      </c>
      <c r="Q5055" s="297" t="s">
        <v>200</v>
      </c>
      <c r="R5055" s="297" t="s">
        <v>213</v>
      </c>
      <c r="S5055" s="297" t="s">
        <v>214</v>
      </c>
    </row>
    <row r="5056" spans="1:19" x14ac:dyDescent="0.4">
      <c r="A5056" s="291"/>
      <c r="B5056" s="292"/>
      <c r="C5056" s="312"/>
      <c r="D5056" s="292"/>
      <c r="E5056" s="489"/>
      <c r="F5056" s="489"/>
      <c r="G5056" s="490"/>
      <c r="H5056" s="520"/>
      <c r="I5056" s="523"/>
      <c r="J5056" s="521"/>
      <c r="K5056" s="522"/>
      <c r="M5056" s="301" t="str">
        <f>N5056&amp;AS[[#This Row],[Insurer Code]]&amp;"; "&amp;O5056&amp;AS[[#This Row],[Reporting Year]]&amp;"; "&amp;P5056&amp;AS[[#This Row],[Insurance Category Code]]&amp;"; "&amp;Q5056&amp;AS[[#This Row],[Large Provider Entity Code]]&amp;"; "&amp;R5056&amp;AS[[#This Row],[Age Band Code]]&amp;"; "&amp;S5056&amp;AS[[#This Row],[Sex Code]]</f>
        <v xml:space="preserve">Insurer Code ; Reporting Year ; Insurance Category Code ; Large Provider Entity Code ; Age Band Code ; Sex Code </v>
      </c>
      <c r="N5056" s="297" t="s">
        <v>197</v>
      </c>
      <c r="O5056" s="297" t="s">
        <v>198</v>
      </c>
      <c r="P5056" s="297" t="s">
        <v>199</v>
      </c>
      <c r="Q5056" s="297" t="s">
        <v>200</v>
      </c>
      <c r="R5056" s="297" t="s">
        <v>213</v>
      </c>
      <c r="S5056" s="297" t="s">
        <v>214</v>
      </c>
    </row>
    <row r="5057" spans="1:19" x14ac:dyDescent="0.4">
      <c r="A5057" s="291"/>
      <c r="B5057" s="292"/>
      <c r="C5057" s="312"/>
      <c r="D5057" s="292"/>
      <c r="E5057" s="489"/>
      <c r="F5057" s="489"/>
      <c r="G5057" s="490"/>
      <c r="H5057" s="520"/>
      <c r="I5057" s="523"/>
      <c r="J5057" s="521"/>
      <c r="K5057" s="522"/>
      <c r="M5057" s="301" t="str">
        <f>N5057&amp;AS[[#This Row],[Insurer Code]]&amp;"; "&amp;O5057&amp;AS[[#This Row],[Reporting Year]]&amp;"; "&amp;P5057&amp;AS[[#This Row],[Insurance Category Code]]&amp;"; "&amp;Q5057&amp;AS[[#This Row],[Large Provider Entity Code]]&amp;"; "&amp;R5057&amp;AS[[#This Row],[Age Band Code]]&amp;"; "&amp;S5057&amp;AS[[#This Row],[Sex Code]]</f>
        <v xml:space="preserve">Insurer Code ; Reporting Year ; Insurance Category Code ; Large Provider Entity Code ; Age Band Code ; Sex Code </v>
      </c>
      <c r="N5057" s="297" t="s">
        <v>197</v>
      </c>
      <c r="O5057" s="297" t="s">
        <v>198</v>
      </c>
      <c r="P5057" s="297" t="s">
        <v>199</v>
      </c>
      <c r="Q5057" s="297" t="s">
        <v>200</v>
      </c>
      <c r="R5057" s="297" t="s">
        <v>213</v>
      </c>
      <c r="S5057" s="297" t="s">
        <v>214</v>
      </c>
    </row>
    <row r="5058" spans="1:19" x14ac:dyDescent="0.4">
      <c r="A5058" s="291"/>
      <c r="B5058" s="292"/>
      <c r="C5058" s="312"/>
      <c r="D5058" s="292"/>
      <c r="E5058" s="489"/>
      <c r="F5058" s="489"/>
      <c r="G5058" s="490"/>
      <c r="H5058" s="520"/>
      <c r="I5058" s="523"/>
      <c r="J5058" s="521"/>
      <c r="K5058" s="522"/>
      <c r="M5058" s="301" t="str">
        <f>N5058&amp;AS[[#This Row],[Insurer Code]]&amp;"; "&amp;O5058&amp;AS[[#This Row],[Reporting Year]]&amp;"; "&amp;P5058&amp;AS[[#This Row],[Insurance Category Code]]&amp;"; "&amp;Q5058&amp;AS[[#This Row],[Large Provider Entity Code]]&amp;"; "&amp;R5058&amp;AS[[#This Row],[Age Band Code]]&amp;"; "&amp;S5058&amp;AS[[#This Row],[Sex Code]]</f>
        <v xml:space="preserve">Insurer Code ; Reporting Year ; Insurance Category Code ; Large Provider Entity Code ; Age Band Code ; Sex Code </v>
      </c>
      <c r="N5058" s="297" t="s">
        <v>197</v>
      </c>
      <c r="O5058" s="297" t="s">
        <v>198</v>
      </c>
      <c r="P5058" s="297" t="s">
        <v>199</v>
      </c>
      <c r="Q5058" s="297" t="s">
        <v>200</v>
      </c>
      <c r="R5058" s="297" t="s">
        <v>213</v>
      </c>
      <c r="S5058" s="297" t="s">
        <v>214</v>
      </c>
    </row>
    <row r="5059" spans="1:19" x14ac:dyDescent="0.4">
      <c r="A5059" s="291"/>
      <c r="B5059" s="292"/>
      <c r="C5059" s="312"/>
      <c r="D5059" s="292"/>
      <c r="E5059" s="489"/>
      <c r="F5059" s="489"/>
      <c r="G5059" s="490"/>
      <c r="H5059" s="520"/>
      <c r="I5059" s="523"/>
      <c r="J5059" s="521"/>
      <c r="K5059" s="522"/>
      <c r="M5059" s="301" t="str">
        <f>N5059&amp;AS[[#This Row],[Insurer Code]]&amp;"; "&amp;O5059&amp;AS[[#This Row],[Reporting Year]]&amp;"; "&amp;P5059&amp;AS[[#This Row],[Insurance Category Code]]&amp;"; "&amp;Q5059&amp;AS[[#This Row],[Large Provider Entity Code]]&amp;"; "&amp;R5059&amp;AS[[#This Row],[Age Band Code]]&amp;"; "&amp;S5059&amp;AS[[#This Row],[Sex Code]]</f>
        <v xml:space="preserve">Insurer Code ; Reporting Year ; Insurance Category Code ; Large Provider Entity Code ; Age Band Code ; Sex Code </v>
      </c>
      <c r="N5059" s="297" t="s">
        <v>197</v>
      </c>
      <c r="O5059" s="297" t="s">
        <v>198</v>
      </c>
      <c r="P5059" s="297" t="s">
        <v>199</v>
      </c>
      <c r="Q5059" s="297" t="s">
        <v>200</v>
      </c>
      <c r="R5059" s="297" t="s">
        <v>213</v>
      </c>
      <c r="S5059" s="297" t="s">
        <v>214</v>
      </c>
    </row>
    <row r="5060" spans="1:19" x14ac:dyDescent="0.4">
      <c r="A5060" s="291"/>
      <c r="B5060" s="292"/>
      <c r="C5060" s="312"/>
      <c r="D5060" s="292"/>
      <c r="E5060" s="489"/>
      <c r="F5060" s="489"/>
      <c r="G5060" s="490"/>
      <c r="H5060" s="520"/>
      <c r="I5060" s="523"/>
      <c r="J5060" s="521"/>
      <c r="K5060" s="522"/>
      <c r="M5060" s="301" t="str">
        <f>N5060&amp;AS[[#This Row],[Insurer Code]]&amp;"; "&amp;O5060&amp;AS[[#This Row],[Reporting Year]]&amp;"; "&amp;P5060&amp;AS[[#This Row],[Insurance Category Code]]&amp;"; "&amp;Q5060&amp;AS[[#This Row],[Large Provider Entity Code]]&amp;"; "&amp;R5060&amp;AS[[#This Row],[Age Band Code]]&amp;"; "&amp;S5060&amp;AS[[#This Row],[Sex Code]]</f>
        <v xml:space="preserve">Insurer Code ; Reporting Year ; Insurance Category Code ; Large Provider Entity Code ; Age Band Code ; Sex Code </v>
      </c>
      <c r="N5060" s="297" t="s">
        <v>197</v>
      </c>
      <c r="O5060" s="297" t="s">
        <v>198</v>
      </c>
      <c r="P5060" s="297" t="s">
        <v>199</v>
      </c>
      <c r="Q5060" s="297" t="s">
        <v>200</v>
      </c>
      <c r="R5060" s="297" t="s">
        <v>213</v>
      </c>
      <c r="S5060" s="297" t="s">
        <v>214</v>
      </c>
    </row>
    <row r="5061" spans="1:19" x14ac:dyDescent="0.4">
      <c r="A5061" s="291"/>
      <c r="B5061" s="292"/>
      <c r="C5061" s="312"/>
      <c r="D5061" s="292"/>
      <c r="E5061" s="489"/>
      <c r="F5061" s="489"/>
      <c r="G5061" s="490"/>
      <c r="H5061" s="520"/>
      <c r="I5061" s="523"/>
      <c r="J5061" s="521"/>
      <c r="K5061" s="522"/>
      <c r="M5061" s="301" t="str">
        <f>N5061&amp;AS[[#This Row],[Insurer Code]]&amp;"; "&amp;O5061&amp;AS[[#This Row],[Reporting Year]]&amp;"; "&amp;P5061&amp;AS[[#This Row],[Insurance Category Code]]&amp;"; "&amp;Q5061&amp;AS[[#This Row],[Large Provider Entity Code]]&amp;"; "&amp;R5061&amp;AS[[#This Row],[Age Band Code]]&amp;"; "&amp;S5061&amp;AS[[#This Row],[Sex Code]]</f>
        <v xml:space="preserve">Insurer Code ; Reporting Year ; Insurance Category Code ; Large Provider Entity Code ; Age Band Code ; Sex Code </v>
      </c>
      <c r="N5061" s="297" t="s">
        <v>197</v>
      </c>
      <c r="O5061" s="297" t="s">
        <v>198</v>
      </c>
      <c r="P5061" s="297" t="s">
        <v>199</v>
      </c>
      <c r="Q5061" s="297" t="s">
        <v>200</v>
      </c>
      <c r="R5061" s="297" t="s">
        <v>213</v>
      </c>
      <c r="S5061" s="297" t="s">
        <v>214</v>
      </c>
    </row>
    <row r="5062" spans="1:19" x14ac:dyDescent="0.4">
      <c r="A5062" s="291"/>
      <c r="B5062" s="292"/>
      <c r="C5062" s="312"/>
      <c r="D5062" s="292"/>
      <c r="E5062" s="489"/>
      <c r="F5062" s="489"/>
      <c r="G5062" s="490"/>
      <c r="H5062" s="520"/>
      <c r="I5062" s="523"/>
      <c r="J5062" s="521"/>
      <c r="K5062" s="522"/>
      <c r="M5062" s="301" t="str">
        <f>N5062&amp;AS[[#This Row],[Insurer Code]]&amp;"; "&amp;O5062&amp;AS[[#This Row],[Reporting Year]]&amp;"; "&amp;P5062&amp;AS[[#This Row],[Insurance Category Code]]&amp;"; "&amp;Q5062&amp;AS[[#This Row],[Large Provider Entity Code]]&amp;"; "&amp;R5062&amp;AS[[#This Row],[Age Band Code]]&amp;"; "&amp;S5062&amp;AS[[#This Row],[Sex Code]]</f>
        <v xml:space="preserve">Insurer Code ; Reporting Year ; Insurance Category Code ; Large Provider Entity Code ; Age Band Code ; Sex Code </v>
      </c>
      <c r="N5062" s="297" t="s">
        <v>197</v>
      </c>
      <c r="O5062" s="297" t="s">
        <v>198</v>
      </c>
      <c r="P5062" s="297" t="s">
        <v>199</v>
      </c>
      <c r="Q5062" s="297" t="s">
        <v>200</v>
      </c>
      <c r="R5062" s="297" t="s">
        <v>213</v>
      </c>
      <c r="S5062" s="297" t="s">
        <v>214</v>
      </c>
    </row>
    <row r="5063" spans="1:19" x14ac:dyDescent="0.4">
      <c r="A5063" s="291"/>
      <c r="B5063" s="292"/>
      <c r="C5063" s="312"/>
      <c r="D5063" s="292"/>
      <c r="E5063" s="489"/>
      <c r="F5063" s="489"/>
      <c r="G5063" s="490"/>
      <c r="H5063" s="520"/>
      <c r="I5063" s="523"/>
      <c r="J5063" s="521"/>
      <c r="K5063" s="522"/>
      <c r="M5063" s="301" t="str">
        <f>N5063&amp;AS[[#This Row],[Insurer Code]]&amp;"; "&amp;O5063&amp;AS[[#This Row],[Reporting Year]]&amp;"; "&amp;P5063&amp;AS[[#This Row],[Insurance Category Code]]&amp;"; "&amp;Q5063&amp;AS[[#This Row],[Large Provider Entity Code]]&amp;"; "&amp;R5063&amp;AS[[#This Row],[Age Band Code]]&amp;"; "&amp;S5063&amp;AS[[#This Row],[Sex Code]]</f>
        <v xml:space="preserve">Insurer Code ; Reporting Year ; Insurance Category Code ; Large Provider Entity Code ; Age Band Code ; Sex Code </v>
      </c>
      <c r="N5063" s="297" t="s">
        <v>197</v>
      </c>
      <c r="O5063" s="297" t="s">
        <v>198</v>
      </c>
      <c r="P5063" s="297" t="s">
        <v>199</v>
      </c>
      <c r="Q5063" s="297" t="s">
        <v>200</v>
      </c>
      <c r="R5063" s="297" t="s">
        <v>213</v>
      </c>
      <c r="S5063" s="297" t="s">
        <v>214</v>
      </c>
    </row>
    <row r="5064" spans="1:19" x14ac:dyDescent="0.4">
      <c r="A5064" s="291"/>
      <c r="B5064" s="292"/>
      <c r="C5064" s="312"/>
      <c r="D5064" s="292"/>
      <c r="E5064" s="489"/>
      <c r="F5064" s="489"/>
      <c r="G5064" s="490"/>
      <c r="H5064" s="520"/>
      <c r="I5064" s="523"/>
      <c r="J5064" s="521"/>
      <c r="K5064" s="522"/>
      <c r="M5064" s="301" t="str">
        <f>N5064&amp;AS[[#This Row],[Insurer Code]]&amp;"; "&amp;O5064&amp;AS[[#This Row],[Reporting Year]]&amp;"; "&amp;P5064&amp;AS[[#This Row],[Insurance Category Code]]&amp;"; "&amp;Q5064&amp;AS[[#This Row],[Large Provider Entity Code]]&amp;"; "&amp;R5064&amp;AS[[#This Row],[Age Band Code]]&amp;"; "&amp;S5064&amp;AS[[#This Row],[Sex Code]]</f>
        <v xml:space="preserve">Insurer Code ; Reporting Year ; Insurance Category Code ; Large Provider Entity Code ; Age Band Code ; Sex Code </v>
      </c>
      <c r="N5064" s="297" t="s">
        <v>197</v>
      </c>
      <c r="O5064" s="297" t="s">
        <v>198</v>
      </c>
      <c r="P5064" s="297" t="s">
        <v>199</v>
      </c>
      <c r="Q5064" s="297" t="s">
        <v>200</v>
      </c>
      <c r="R5064" s="297" t="s">
        <v>213</v>
      </c>
      <c r="S5064" s="297" t="s">
        <v>214</v>
      </c>
    </row>
    <row r="5065" spans="1:19" x14ac:dyDescent="0.4">
      <c r="A5065" s="291"/>
      <c r="B5065" s="292"/>
      <c r="C5065" s="312"/>
      <c r="D5065" s="292"/>
      <c r="E5065" s="489"/>
      <c r="F5065" s="489"/>
      <c r="G5065" s="490"/>
      <c r="H5065" s="520"/>
      <c r="I5065" s="523"/>
      <c r="J5065" s="521"/>
      <c r="K5065" s="522"/>
      <c r="M5065" s="301" t="str">
        <f>N5065&amp;AS[[#This Row],[Insurer Code]]&amp;"; "&amp;O5065&amp;AS[[#This Row],[Reporting Year]]&amp;"; "&amp;P5065&amp;AS[[#This Row],[Insurance Category Code]]&amp;"; "&amp;Q5065&amp;AS[[#This Row],[Large Provider Entity Code]]&amp;"; "&amp;R5065&amp;AS[[#This Row],[Age Band Code]]&amp;"; "&amp;S5065&amp;AS[[#This Row],[Sex Code]]</f>
        <v xml:space="preserve">Insurer Code ; Reporting Year ; Insurance Category Code ; Large Provider Entity Code ; Age Band Code ; Sex Code </v>
      </c>
      <c r="N5065" s="297" t="s">
        <v>197</v>
      </c>
      <c r="O5065" s="297" t="s">
        <v>198</v>
      </c>
      <c r="P5065" s="297" t="s">
        <v>199</v>
      </c>
      <c r="Q5065" s="297" t="s">
        <v>200</v>
      </c>
      <c r="R5065" s="297" t="s">
        <v>213</v>
      </c>
      <c r="S5065" s="297" t="s">
        <v>214</v>
      </c>
    </row>
    <row r="5066" spans="1:19" x14ac:dyDescent="0.4">
      <c r="A5066" s="291"/>
      <c r="B5066" s="292"/>
      <c r="C5066" s="312"/>
      <c r="D5066" s="292"/>
      <c r="E5066" s="489"/>
      <c r="F5066" s="489"/>
      <c r="G5066" s="490"/>
      <c r="H5066" s="520"/>
      <c r="I5066" s="523"/>
      <c r="J5066" s="521"/>
      <c r="K5066" s="522"/>
      <c r="M5066" s="301" t="str">
        <f>N5066&amp;AS[[#This Row],[Insurer Code]]&amp;"; "&amp;O5066&amp;AS[[#This Row],[Reporting Year]]&amp;"; "&amp;P5066&amp;AS[[#This Row],[Insurance Category Code]]&amp;"; "&amp;Q5066&amp;AS[[#This Row],[Large Provider Entity Code]]&amp;"; "&amp;R5066&amp;AS[[#This Row],[Age Band Code]]&amp;"; "&amp;S5066&amp;AS[[#This Row],[Sex Code]]</f>
        <v xml:space="preserve">Insurer Code ; Reporting Year ; Insurance Category Code ; Large Provider Entity Code ; Age Band Code ; Sex Code </v>
      </c>
      <c r="N5066" s="297" t="s">
        <v>197</v>
      </c>
      <c r="O5066" s="297" t="s">
        <v>198</v>
      </c>
      <c r="P5066" s="297" t="s">
        <v>199</v>
      </c>
      <c r="Q5066" s="297" t="s">
        <v>200</v>
      </c>
      <c r="R5066" s="297" t="s">
        <v>213</v>
      </c>
      <c r="S5066" s="297" t="s">
        <v>214</v>
      </c>
    </row>
    <row r="5067" spans="1:19" x14ac:dyDescent="0.4">
      <c r="A5067" s="291"/>
      <c r="B5067" s="292"/>
      <c r="C5067" s="312"/>
      <c r="D5067" s="292"/>
      <c r="E5067" s="489"/>
      <c r="F5067" s="489"/>
      <c r="G5067" s="490"/>
      <c r="H5067" s="520"/>
      <c r="I5067" s="523"/>
      <c r="J5067" s="521"/>
      <c r="K5067" s="522"/>
      <c r="M5067" s="301" t="str">
        <f>N5067&amp;AS[[#This Row],[Insurer Code]]&amp;"; "&amp;O5067&amp;AS[[#This Row],[Reporting Year]]&amp;"; "&amp;P5067&amp;AS[[#This Row],[Insurance Category Code]]&amp;"; "&amp;Q5067&amp;AS[[#This Row],[Large Provider Entity Code]]&amp;"; "&amp;R5067&amp;AS[[#This Row],[Age Band Code]]&amp;"; "&amp;S5067&amp;AS[[#This Row],[Sex Code]]</f>
        <v xml:space="preserve">Insurer Code ; Reporting Year ; Insurance Category Code ; Large Provider Entity Code ; Age Band Code ; Sex Code </v>
      </c>
      <c r="N5067" s="297" t="s">
        <v>197</v>
      </c>
      <c r="O5067" s="297" t="s">
        <v>198</v>
      </c>
      <c r="P5067" s="297" t="s">
        <v>199</v>
      </c>
      <c r="Q5067" s="297" t="s">
        <v>200</v>
      </c>
      <c r="R5067" s="297" t="s">
        <v>213</v>
      </c>
      <c r="S5067" s="297" t="s">
        <v>214</v>
      </c>
    </row>
    <row r="5068" spans="1:19" x14ac:dyDescent="0.4">
      <c r="A5068" s="291"/>
      <c r="B5068" s="292"/>
      <c r="C5068" s="312"/>
      <c r="D5068" s="292"/>
      <c r="E5068" s="489"/>
      <c r="F5068" s="489"/>
      <c r="G5068" s="490"/>
      <c r="H5068" s="520"/>
      <c r="I5068" s="523"/>
      <c r="J5068" s="521"/>
      <c r="K5068" s="522"/>
      <c r="M5068" s="301" t="str">
        <f>N5068&amp;AS[[#This Row],[Insurer Code]]&amp;"; "&amp;O5068&amp;AS[[#This Row],[Reporting Year]]&amp;"; "&amp;P5068&amp;AS[[#This Row],[Insurance Category Code]]&amp;"; "&amp;Q5068&amp;AS[[#This Row],[Large Provider Entity Code]]&amp;"; "&amp;R5068&amp;AS[[#This Row],[Age Band Code]]&amp;"; "&amp;S5068&amp;AS[[#This Row],[Sex Code]]</f>
        <v xml:space="preserve">Insurer Code ; Reporting Year ; Insurance Category Code ; Large Provider Entity Code ; Age Band Code ; Sex Code </v>
      </c>
      <c r="N5068" s="297" t="s">
        <v>197</v>
      </c>
      <c r="O5068" s="297" t="s">
        <v>198</v>
      </c>
      <c r="P5068" s="297" t="s">
        <v>199</v>
      </c>
      <c r="Q5068" s="297" t="s">
        <v>200</v>
      </c>
      <c r="R5068" s="297" t="s">
        <v>213</v>
      </c>
      <c r="S5068" s="297" t="s">
        <v>214</v>
      </c>
    </row>
    <row r="5069" spans="1:19" x14ac:dyDescent="0.4">
      <c r="A5069" s="291"/>
      <c r="B5069" s="292"/>
      <c r="C5069" s="312"/>
      <c r="D5069" s="292"/>
      <c r="E5069" s="489"/>
      <c r="F5069" s="489"/>
      <c r="G5069" s="490"/>
      <c r="H5069" s="520"/>
      <c r="I5069" s="523"/>
      <c r="J5069" s="521"/>
      <c r="K5069" s="522"/>
      <c r="M5069" s="301" t="str">
        <f>N5069&amp;AS[[#This Row],[Insurer Code]]&amp;"; "&amp;O5069&amp;AS[[#This Row],[Reporting Year]]&amp;"; "&amp;P5069&amp;AS[[#This Row],[Insurance Category Code]]&amp;"; "&amp;Q5069&amp;AS[[#This Row],[Large Provider Entity Code]]&amp;"; "&amp;R5069&amp;AS[[#This Row],[Age Band Code]]&amp;"; "&amp;S5069&amp;AS[[#This Row],[Sex Code]]</f>
        <v xml:space="preserve">Insurer Code ; Reporting Year ; Insurance Category Code ; Large Provider Entity Code ; Age Band Code ; Sex Code </v>
      </c>
      <c r="N5069" s="297" t="s">
        <v>197</v>
      </c>
      <c r="O5069" s="297" t="s">
        <v>198</v>
      </c>
      <c r="P5069" s="297" t="s">
        <v>199</v>
      </c>
      <c r="Q5069" s="297" t="s">
        <v>200</v>
      </c>
      <c r="R5069" s="297" t="s">
        <v>213</v>
      </c>
      <c r="S5069" s="297" t="s">
        <v>214</v>
      </c>
    </row>
    <row r="5070" spans="1:19" x14ac:dyDescent="0.4">
      <c r="A5070" s="291"/>
      <c r="B5070" s="292"/>
      <c r="C5070" s="312"/>
      <c r="D5070" s="292"/>
      <c r="E5070" s="489"/>
      <c r="F5070" s="489"/>
      <c r="G5070" s="490"/>
      <c r="H5070" s="520"/>
      <c r="I5070" s="523"/>
      <c r="J5070" s="521"/>
      <c r="K5070" s="522"/>
      <c r="M5070" s="301" t="str">
        <f>N5070&amp;AS[[#This Row],[Insurer Code]]&amp;"; "&amp;O5070&amp;AS[[#This Row],[Reporting Year]]&amp;"; "&amp;P5070&amp;AS[[#This Row],[Insurance Category Code]]&amp;"; "&amp;Q5070&amp;AS[[#This Row],[Large Provider Entity Code]]&amp;"; "&amp;R5070&amp;AS[[#This Row],[Age Band Code]]&amp;"; "&amp;S5070&amp;AS[[#This Row],[Sex Code]]</f>
        <v xml:space="preserve">Insurer Code ; Reporting Year ; Insurance Category Code ; Large Provider Entity Code ; Age Band Code ; Sex Code </v>
      </c>
      <c r="N5070" s="297" t="s">
        <v>197</v>
      </c>
      <c r="O5070" s="297" t="s">
        <v>198</v>
      </c>
      <c r="P5070" s="297" t="s">
        <v>199</v>
      </c>
      <c r="Q5070" s="297" t="s">
        <v>200</v>
      </c>
      <c r="R5070" s="297" t="s">
        <v>213</v>
      </c>
      <c r="S5070" s="297" t="s">
        <v>214</v>
      </c>
    </row>
    <row r="5071" spans="1:19" x14ac:dyDescent="0.4">
      <c r="A5071" s="291"/>
      <c r="B5071" s="292"/>
      <c r="C5071" s="312"/>
      <c r="D5071" s="292"/>
      <c r="E5071" s="489"/>
      <c r="F5071" s="489"/>
      <c r="G5071" s="490"/>
      <c r="H5071" s="520"/>
      <c r="I5071" s="523"/>
      <c r="J5071" s="521"/>
      <c r="K5071" s="522"/>
      <c r="M5071" s="301" t="str">
        <f>N5071&amp;AS[[#This Row],[Insurer Code]]&amp;"; "&amp;O5071&amp;AS[[#This Row],[Reporting Year]]&amp;"; "&amp;P5071&amp;AS[[#This Row],[Insurance Category Code]]&amp;"; "&amp;Q5071&amp;AS[[#This Row],[Large Provider Entity Code]]&amp;"; "&amp;R5071&amp;AS[[#This Row],[Age Band Code]]&amp;"; "&amp;S5071&amp;AS[[#This Row],[Sex Code]]</f>
        <v xml:space="preserve">Insurer Code ; Reporting Year ; Insurance Category Code ; Large Provider Entity Code ; Age Band Code ; Sex Code </v>
      </c>
      <c r="N5071" s="297" t="s">
        <v>197</v>
      </c>
      <c r="O5071" s="297" t="s">
        <v>198</v>
      </c>
      <c r="P5071" s="297" t="s">
        <v>199</v>
      </c>
      <c r="Q5071" s="297" t="s">
        <v>200</v>
      </c>
      <c r="R5071" s="297" t="s">
        <v>213</v>
      </c>
      <c r="S5071" s="297" t="s">
        <v>214</v>
      </c>
    </row>
    <row r="5072" spans="1:19" x14ac:dyDescent="0.4">
      <c r="A5072" s="291"/>
      <c r="B5072" s="292"/>
      <c r="C5072" s="312"/>
      <c r="D5072" s="292"/>
      <c r="E5072" s="489"/>
      <c r="F5072" s="489"/>
      <c r="G5072" s="490"/>
      <c r="H5072" s="520"/>
      <c r="I5072" s="523"/>
      <c r="J5072" s="521"/>
      <c r="K5072" s="522"/>
      <c r="M5072" s="301" t="str">
        <f>N5072&amp;AS[[#This Row],[Insurer Code]]&amp;"; "&amp;O5072&amp;AS[[#This Row],[Reporting Year]]&amp;"; "&amp;P5072&amp;AS[[#This Row],[Insurance Category Code]]&amp;"; "&amp;Q5072&amp;AS[[#This Row],[Large Provider Entity Code]]&amp;"; "&amp;R5072&amp;AS[[#This Row],[Age Band Code]]&amp;"; "&amp;S5072&amp;AS[[#This Row],[Sex Code]]</f>
        <v xml:space="preserve">Insurer Code ; Reporting Year ; Insurance Category Code ; Large Provider Entity Code ; Age Band Code ; Sex Code </v>
      </c>
      <c r="N5072" s="297" t="s">
        <v>197</v>
      </c>
      <c r="O5072" s="297" t="s">
        <v>198</v>
      </c>
      <c r="P5072" s="297" t="s">
        <v>199</v>
      </c>
      <c r="Q5072" s="297" t="s">
        <v>200</v>
      </c>
      <c r="R5072" s="297" t="s">
        <v>213</v>
      </c>
      <c r="S5072" s="297" t="s">
        <v>214</v>
      </c>
    </row>
    <row r="5073" spans="1:19" x14ac:dyDescent="0.4">
      <c r="A5073" s="291"/>
      <c r="B5073" s="292"/>
      <c r="C5073" s="312"/>
      <c r="D5073" s="292"/>
      <c r="E5073" s="489"/>
      <c r="F5073" s="489"/>
      <c r="G5073" s="490"/>
      <c r="H5073" s="520"/>
      <c r="I5073" s="523"/>
      <c r="J5073" s="521"/>
      <c r="K5073" s="522"/>
      <c r="M5073" s="301" t="str">
        <f>N5073&amp;AS[[#This Row],[Insurer Code]]&amp;"; "&amp;O5073&amp;AS[[#This Row],[Reporting Year]]&amp;"; "&amp;P5073&amp;AS[[#This Row],[Insurance Category Code]]&amp;"; "&amp;Q5073&amp;AS[[#This Row],[Large Provider Entity Code]]&amp;"; "&amp;R5073&amp;AS[[#This Row],[Age Band Code]]&amp;"; "&amp;S5073&amp;AS[[#This Row],[Sex Code]]</f>
        <v xml:space="preserve">Insurer Code ; Reporting Year ; Insurance Category Code ; Large Provider Entity Code ; Age Band Code ; Sex Code </v>
      </c>
      <c r="N5073" s="297" t="s">
        <v>197</v>
      </c>
      <c r="O5073" s="297" t="s">
        <v>198</v>
      </c>
      <c r="P5073" s="297" t="s">
        <v>199</v>
      </c>
      <c r="Q5073" s="297" t="s">
        <v>200</v>
      </c>
      <c r="R5073" s="297" t="s">
        <v>213</v>
      </c>
      <c r="S5073" s="297" t="s">
        <v>214</v>
      </c>
    </row>
    <row r="5074" spans="1:19" x14ac:dyDescent="0.4">
      <c r="A5074" s="291"/>
      <c r="B5074" s="292"/>
      <c r="C5074" s="312"/>
      <c r="D5074" s="292"/>
      <c r="E5074" s="489"/>
      <c r="F5074" s="489"/>
      <c r="G5074" s="490"/>
      <c r="H5074" s="520"/>
      <c r="I5074" s="523"/>
      <c r="J5074" s="521"/>
      <c r="K5074" s="522"/>
      <c r="M5074" s="301" t="str">
        <f>N5074&amp;AS[[#This Row],[Insurer Code]]&amp;"; "&amp;O5074&amp;AS[[#This Row],[Reporting Year]]&amp;"; "&amp;P5074&amp;AS[[#This Row],[Insurance Category Code]]&amp;"; "&amp;Q5074&amp;AS[[#This Row],[Large Provider Entity Code]]&amp;"; "&amp;R5074&amp;AS[[#This Row],[Age Band Code]]&amp;"; "&amp;S5074&amp;AS[[#This Row],[Sex Code]]</f>
        <v xml:space="preserve">Insurer Code ; Reporting Year ; Insurance Category Code ; Large Provider Entity Code ; Age Band Code ; Sex Code </v>
      </c>
      <c r="N5074" s="297" t="s">
        <v>197</v>
      </c>
      <c r="O5074" s="297" t="s">
        <v>198</v>
      </c>
      <c r="P5074" s="297" t="s">
        <v>199</v>
      </c>
      <c r="Q5074" s="297" t="s">
        <v>200</v>
      </c>
      <c r="R5074" s="297" t="s">
        <v>213</v>
      </c>
      <c r="S5074" s="297" t="s">
        <v>214</v>
      </c>
    </row>
    <row r="5075" spans="1:19" x14ac:dyDescent="0.4">
      <c r="A5075" s="291"/>
      <c r="B5075" s="292"/>
      <c r="C5075" s="312"/>
      <c r="D5075" s="292"/>
      <c r="E5075" s="489"/>
      <c r="F5075" s="489"/>
      <c r="G5075" s="490"/>
      <c r="H5075" s="520"/>
      <c r="I5075" s="523"/>
      <c r="J5075" s="521"/>
      <c r="K5075" s="522"/>
      <c r="M5075" s="301" t="str">
        <f>N5075&amp;AS[[#This Row],[Insurer Code]]&amp;"; "&amp;O5075&amp;AS[[#This Row],[Reporting Year]]&amp;"; "&amp;P5075&amp;AS[[#This Row],[Insurance Category Code]]&amp;"; "&amp;Q5075&amp;AS[[#This Row],[Large Provider Entity Code]]&amp;"; "&amp;R5075&amp;AS[[#This Row],[Age Band Code]]&amp;"; "&amp;S5075&amp;AS[[#This Row],[Sex Code]]</f>
        <v xml:space="preserve">Insurer Code ; Reporting Year ; Insurance Category Code ; Large Provider Entity Code ; Age Band Code ; Sex Code </v>
      </c>
      <c r="N5075" s="297" t="s">
        <v>197</v>
      </c>
      <c r="O5075" s="297" t="s">
        <v>198</v>
      </c>
      <c r="P5075" s="297" t="s">
        <v>199</v>
      </c>
      <c r="Q5075" s="297" t="s">
        <v>200</v>
      </c>
      <c r="R5075" s="297" t="s">
        <v>213</v>
      </c>
      <c r="S5075" s="297" t="s">
        <v>214</v>
      </c>
    </row>
    <row r="5076" spans="1:19" x14ac:dyDescent="0.4">
      <c r="A5076" s="291"/>
      <c r="B5076" s="292"/>
      <c r="C5076" s="312"/>
      <c r="D5076" s="292"/>
      <c r="E5076" s="489"/>
      <c r="F5076" s="489"/>
      <c r="G5076" s="490"/>
      <c r="H5076" s="520"/>
      <c r="I5076" s="523"/>
      <c r="J5076" s="521"/>
      <c r="K5076" s="522"/>
      <c r="M5076" s="301" t="str">
        <f>N5076&amp;AS[[#This Row],[Insurer Code]]&amp;"; "&amp;O5076&amp;AS[[#This Row],[Reporting Year]]&amp;"; "&amp;P5076&amp;AS[[#This Row],[Insurance Category Code]]&amp;"; "&amp;Q5076&amp;AS[[#This Row],[Large Provider Entity Code]]&amp;"; "&amp;R5076&amp;AS[[#This Row],[Age Band Code]]&amp;"; "&amp;S5076&amp;AS[[#This Row],[Sex Code]]</f>
        <v xml:space="preserve">Insurer Code ; Reporting Year ; Insurance Category Code ; Large Provider Entity Code ; Age Band Code ; Sex Code </v>
      </c>
      <c r="N5076" s="297" t="s">
        <v>197</v>
      </c>
      <c r="O5076" s="297" t="s">
        <v>198</v>
      </c>
      <c r="P5076" s="297" t="s">
        <v>199</v>
      </c>
      <c r="Q5076" s="297" t="s">
        <v>200</v>
      </c>
      <c r="R5076" s="297" t="s">
        <v>213</v>
      </c>
      <c r="S5076" s="297" t="s">
        <v>214</v>
      </c>
    </row>
    <row r="5077" spans="1:19" x14ac:dyDescent="0.4">
      <c r="A5077" s="291"/>
      <c r="B5077" s="292"/>
      <c r="C5077" s="312"/>
      <c r="D5077" s="292"/>
      <c r="E5077" s="489"/>
      <c r="F5077" s="489"/>
      <c r="G5077" s="490"/>
      <c r="H5077" s="520"/>
      <c r="I5077" s="523"/>
      <c r="J5077" s="521"/>
      <c r="K5077" s="522"/>
      <c r="M5077" s="301" t="str">
        <f>N5077&amp;AS[[#This Row],[Insurer Code]]&amp;"; "&amp;O5077&amp;AS[[#This Row],[Reporting Year]]&amp;"; "&amp;P5077&amp;AS[[#This Row],[Insurance Category Code]]&amp;"; "&amp;Q5077&amp;AS[[#This Row],[Large Provider Entity Code]]&amp;"; "&amp;R5077&amp;AS[[#This Row],[Age Band Code]]&amp;"; "&amp;S5077&amp;AS[[#This Row],[Sex Code]]</f>
        <v xml:space="preserve">Insurer Code ; Reporting Year ; Insurance Category Code ; Large Provider Entity Code ; Age Band Code ; Sex Code </v>
      </c>
      <c r="N5077" s="297" t="s">
        <v>197</v>
      </c>
      <c r="O5077" s="297" t="s">
        <v>198</v>
      </c>
      <c r="P5077" s="297" t="s">
        <v>199</v>
      </c>
      <c r="Q5077" s="297" t="s">
        <v>200</v>
      </c>
      <c r="R5077" s="297" t="s">
        <v>213</v>
      </c>
      <c r="S5077" s="297" t="s">
        <v>214</v>
      </c>
    </row>
    <row r="5078" spans="1:19" x14ac:dyDescent="0.4">
      <c r="A5078" s="291"/>
      <c r="B5078" s="292"/>
      <c r="C5078" s="312"/>
      <c r="D5078" s="292"/>
      <c r="E5078" s="489"/>
      <c r="F5078" s="489"/>
      <c r="G5078" s="490"/>
      <c r="H5078" s="520"/>
      <c r="I5078" s="523"/>
      <c r="J5078" s="521"/>
      <c r="K5078" s="522"/>
      <c r="M5078" s="301" t="str">
        <f>N5078&amp;AS[[#This Row],[Insurer Code]]&amp;"; "&amp;O5078&amp;AS[[#This Row],[Reporting Year]]&amp;"; "&amp;P5078&amp;AS[[#This Row],[Insurance Category Code]]&amp;"; "&amp;Q5078&amp;AS[[#This Row],[Large Provider Entity Code]]&amp;"; "&amp;R5078&amp;AS[[#This Row],[Age Band Code]]&amp;"; "&amp;S5078&amp;AS[[#This Row],[Sex Code]]</f>
        <v xml:space="preserve">Insurer Code ; Reporting Year ; Insurance Category Code ; Large Provider Entity Code ; Age Band Code ; Sex Code </v>
      </c>
      <c r="N5078" s="297" t="s">
        <v>197</v>
      </c>
      <c r="O5078" s="297" t="s">
        <v>198</v>
      </c>
      <c r="P5078" s="297" t="s">
        <v>199</v>
      </c>
      <c r="Q5078" s="297" t="s">
        <v>200</v>
      </c>
      <c r="R5078" s="297" t="s">
        <v>213</v>
      </c>
      <c r="S5078" s="297" t="s">
        <v>214</v>
      </c>
    </row>
    <row r="5079" spans="1:19" x14ac:dyDescent="0.4">
      <c r="A5079" s="291"/>
      <c r="B5079" s="292"/>
      <c r="C5079" s="312"/>
      <c r="D5079" s="292"/>
      <c r="E5079" s="489"/>
      <c r="F5079" s="489"/>
      <c r="G5079" s="490"/>
      <c r="H5079" s="520"/>
      <c r="I5079" s="523"/>
      <c r="J5079" s="521"/>
      <c r="K5079" s="522"/>
      <c r="M5079" s="301" t="str">
        <f>N5079&amp;AS[[#This Row],[Insurer Code]]&amp;"; "&amp;O5079&amp;AS[[#This Row],[Reporting Year]]&amp;"; "&amp;P5079&amp;AS[[#This Row],[Insurance Category Code]]&amp;"; "&amp;Q5079&amp;AS[[#This Row],[Large Provider Entity Code]]&amp;"; "&amp;R5079&amp;AS[[#This Row],[Age Band Code]]&amp;"; "&amp;S5079&amp;AS[[#This Row],[Sex Code]]</f>
        <v xml:space="preserve">Insurer Code ; Reporting Year ; Insurance Category Code ; Large Provider Entity Code ; Age Band Code ; Sex Code </v>
      </c>
      <c r="N5079" s="297" t="s">
        <v>197</v>
      </c>
      <c r="O5079" s="297" t="s">
        <v>198</v>
      </c>
      <c r="P5079" s="297" t="s">
        <v>199</v>
      </c>
      <c r="Q5079" s="297" t="s">
        <v>200</v>
      </c>
      <c r="R5079" s="297" t="s">
        <v>213</v>
      </c>
      <c r="S5079" s="297" t="s">
        <v>214</v>
      </c>
    </row>
    <row r="5080" spans="1:19" x14ac:dyDescent="0.4">
      <c r="A5080" s="291"/>
      <c r="B5080" s="292"/>
      <c r="C5080" s="312"/>
      <c r="D5080" s="292"/>
      <c r="E5080" s="489"/>
      <c r="F5080" s="489"/>
      <c r="G5080" s="490"/>
      <c r="H5080" s="520"/>
      <c r="I5080" s="523"/>
      <c r="J5080" s="521"/>
      <c r="K5080" s="522"/>
      <c r="M5080" s="301" t="str">
        <f>N5080&amp;AS[[#This Row],[Insurer Code]]&amp;"; "&amp;O5080&amp;AS[[#This Row],[Reporting Year]]&amp;"; "&amp;P5080&amp;AS[[#This Row],[Insurance Category Code]]&amp;"; "&amp;Q5080&amp;AS[[#This Row],[Large Provider Entity Code]]&amp;"; "&amp;R5080&amp;AS[[#This Row],[Age Band Code]]&amp;"; "&amp;S5080&amp;AS[[#This Row],[Sex Code]]</f>
        <v xml:space="preserve">Insurer Code ; Reporting Year ; Insurance Category Code ; Large Provider Entity Code ; Age Band Code ; Sex Code </v>
      </c>
      <c r="N5080" s="297" t="s">
        <v>197</v>
      </c>
      <c r="O5080" s="297" t="s">
        <v>198</v>
      </c>
      <c r="P5080" s="297" t="s">
        <v>199</v>
      </c>
      <c r="Q5080" s="297" t="s">
        <v>200</v>
      </c>
      <c r="R5080" s="297" t="s">
        <v>213</v>
      </c>
      <c r="S5080" s="297" t="s">
        <v>214</v>
      </c>
    </row>
    <row r="5081" spans="1:19" x14ac:dyDescent="0.4">
      <c r="A5081" s="291"/>
      <c r="B5081" s="292"/>
      <c r="C5081" s="312"/>
      <c r="D5081" s="292"/>
      <c r="E5081" s="489"/>
      <c r="F5081" s="489"/>
      <c r="G5081" s="490"/>
      <c r="H5081" s="520"/>
      <c r="I5081" s="523"/>
      <c r="J5081" s="521"/>
      <c r="K5081" s="522"/>
      <c r="M5081" s="301" t="str">
        <f>N5081&amp;AS[[#This Row],[Insurer Code]]&amp;"; "&amp;O5081&amp;AS[[#This Row],[Reporting Year]]&amp;"; "&amp;P5081&amp;AS[[#This Row],[Insurance Category Code]]&amp;"; "&amp;Q5081&amp;AS[[#This Row],[Large Provider Entity Code]]&amp;"; "&amp;R5081&amp;AS[[#This Row],[Age Band Code]]&amp;"; "&amp;S5081&amp;AS[[#This Row],[Sex Code]]</f>
        <v xml:space="preserve">Insurer Code ; Reporting Year ; Insurance Category Code ; Large Provider Entity Code ; Age Band Code ; Sex Code </v>
      </c>
      <c r="N5081" s="297" t="s">
        <v>197</v>
      </c>
      <c r="O5081" s="297" t="s">
        <v>198</v>
      </c>
      <c r="P5081" s="297" t="s">
        <v>199</v>
      </c>
      <c r="Q5081" s="297" t="s">
        <v>200</v>
      </c>
      <c r="R5081" s="297" t="s">
        <v>213</v>
      </c>
      <c r="S5081" s="297" t="s">
        <v>214</v>
      </c>
    </row>
    <row r="5082" spans="1:19" x14ac:dyDescent="0.4">
      <c r="A5082" s="291"/>
      <c r="B5082" s="292"/>
      <c r="C5082" s="312"/>
      <c r="D5082" s="292"/>
      <c r="E5082" s="489"/>
      <c r="F5082" s="489"/>
      <c r="G5082" s="490"/>
      <c r="H5082" s="520"/>
      <c r="I5082" s="523"/>
      <c r="J5082" s="521"/>
      <c r="K5082" s="522"/>
      <c r="M5082" s="301" t="str">
        <f>N5082&amp;AS[[#This Row],[Insurer Code]]&amp;"; "&amp;O5082&amp;AS[[#This Row],[Reporting Year]]&amp;"; "&amp;P5082&amp;AS[[#This Row],[Insurance Category Code]]&amp;"; "&amp;Q5082&amp;AS[[#This Row],[Large Provider Entity Code]]&amp;"; "&amp;R5082&amp;AS[[#This Row],[Age Band Code]]&amp;"; "&amp;S5082&amp;AS[[#This Row],[Sex Code]]</f>
        <v xml:space="preserve">Insurer Code ; Reporting Year ; Insurance Category Code ; Large Provider Entity Code ; Age Band Code ; Sex Code </v>
      </c>
      <c r="N5082" s="297" t="s">
        <v>197</v>
      </c>
      <c r="O5082" s="297" t="s">
        <v>198</v>
      </c>
      <c r="P5082" s="297" t="s">
        <v>199</v>
      </c>
      <c r="Q5082" s="297" t="s">
        <v>200</v>
      </c>
      <c r="R5082" s="297" t="s">
        <v>213</v>
      </c>
      <c r="S5082" s="297" t="s">
        <v>214</v>
      </c>
    </row>
    <row r="5083" spans="1:19" x14ac:dyDescent="0.4">
      <c r="A5083" s="291"/>
      <c r="B5083" s="292"/>
      <c r="C5083" s="312"/>
      <c r="D5083" s="292"/>
      <c r="E5083" s="489"/>
      <c r="F5083" s="489"/>
      <c r="G5083" s="490"/>
      <c r="H5083" s="520"/>
      <c r="I5083" s="523"/>
      <c r="J5083" s="521"/>
      <c r="K5083" s="522"/>
      <c r="M5083" s="301" t="str">
        <f>N5083&amp;AS[[#This Row],[Insurer Code]]&amp;"; "&amp;O5083&amp;AS[[#This Row],[Reporting Year]]&amp;"; "&amp;P5083&amp;AS[[#This Row],[Insurance Category Code]]&amp;"; "&amp;Q5083&amp;AS[[#This Row],[Large Provider Entity Code]]&amp;"; "&amp;R5083&amp;AS[[#This Row],[Age Band Code]]&amp;"; "&amp;S5083&amp;AS[[#This Row],[Sex Code]]</f>
        <v xml:space="preserve">Insurer Code ; Reporting Year ; Insurance Category Code ; Large Provider Entity Code ; Age Band Code ; Sex Code </v>
      </c>
      <c r="N5083" s="297" t="s">
        <v>197</v>
      </c>
      <c r="O5083" s="297" t="s">
        <v>198</v>
      </c>
      <c r="P5083" s="297" t="s">
        <v>199</v>
      </c>
      <c r="Q5083" s="297" t="s">
        <v>200</v>
      </c>
      <c r="R5083" s="297" t="s">
        <v>213</v>
      </c>
      <c r="S5083" s="297" t="s">
        <v>214</v>
      </c>
    </row>
    <row r="5084" spans="1:19" x14ac:dyDescent="0.4">
      <c r="A5084" s="291"/>
      <c r="B5084" s="292"/>
      <c r="C5084" s="312"/>
      <c r="D5084" s="292"/>
      <c r="E5084" s="489"/>
      <c r="F5084" s="489"/>
      <c r="G5084" s="490"/>
      <c r="H5084" s="520"/>
      <c r="I5084" s="523"/>
      <c r="J5084" s="521"/>
      <c r="K5084" s="522"/>
      <c r="M5084" s="301" t="str">
        <f>N5084&amp;AS[[#This Row],[Insurer Code]]&amp;"; "&amp;O5084&amp;AS[[#This Row],[Reporting Year]]&amp;"; "&amp;P5084&amp;AS[[#This Row],[Insurance Category Code]]&amp;"; "&amp;Q5084&amp;AS[[#This Row],[Large Provider Entity Code]]&amp;"; "&amp;R5084&amp;AS[[#This Row],[Age Band Code]]&amp;"; "&amp;S5084&amp;AS[[#This Row],[Sex Code]]</f>
        <v xml:space="preserve">Insurer Code ; Reporting Year ; Insurance Category Code ; Large Provider Entity Code ; Age Band Code ; Sex Code </v>
      </c>
      <c r="N5084" s="297" t="s">
        <v>197</v>
      </c>
      <c r="O5084" s="297" t="s">
        <v>198</v>
      </c>
      <c r="P5084" s="297" t="s">
        <v>199</v>
      </c>
      <c r="Q5084" s="297" t="s">
        <v>200</v>
      </c>
      <c r="R5084" s="297" t="s">
        <v>213</v>
      </c>
      <c r="S5084" s="297" t="s">
        <v>214</v>
      </c>
    </row>
    <row r="5085" spans="1:19" x14ac:dyDescent="0.4">
      <c r="A5085" s="291"/>
      <c r="B5085" s="292"/>
      <c r="C5085" s="312"/>
      <c r="D5085" s="292"/>
      <c r="E5085" s="489"/>
      <c r="F5085" s="489"/>
      <c r="G5085" s="490"/>
      <c r="H5085" s="520"/>
      <c r="I5085" s="523"/>
      <c r="J5085" s="521"/>
      <c r="K5085" s="522"/>
      <c r="M5085" s="301" t="str">
        <f>N5085&amp;AS[[#This Row],[Insurer Code]]&amp;"; "&amp;O5085&amp;AS[[#This Row],[Reporting Year]]&amp;"; "&amp;P5085&amp;AS[[#This Row],[Insurance Category Code]]&amp;"; "&amp;Q5085&amp;AS[[#This Row],[Large Provider Entity Code]]&amp;"; "&amp;R5085&amp;AS[[#This Row],[Age Band Code]]&amp;"; "&amp;S5085&amp;AS[[#This Row],[Sex Code]]</f>
        <v xml:space="preserve">Insurer Code ; Reporting Year ; Insurance Category Code ; Large Provider Entity Code ; Age Band Code ; Sex Code </v>
      </c>
      <c r="N5085" s="297" t="s">
        <v>197</v>
      </c>
      <c r="O5085" s="297" t="s">
        <v>198</v>
      </c>
      <c r="P5085" s="297" t="s">
        <v>199</v>
      </c>
      <c r="Q5085" s="297" t="s">
        <v>200</v>
      </c>
      <c r="R5085" s="297" t="s">
        <v>213</v>
      </c>
      <c r="S5085" s="297" t="s">
        <v>214</v>
      </c>
    </row>
    <row r="5086" spans="1:19" x14ac:dyDescent="0.4">
      <c r="A5086" s="291"/>
      <c r="B5086" s="292"/>
      <c r="C5086" s="312"/>
      <c r="D5086" s="292"/>
      <c r="E5086" s="489"/>
      <c r="F5086" s="489"/>
      <c r="G5086" s="490"/>
      <c r="H5086" s="520"/>
      <c r="I5086" s="523"/>
      <c r="J5086" s="521"/>
      <c r="K5086" s="522"/>
      <c r="M5086" s="301" t="str">
        <f>N5086&amp;AS[[#This Row],[Insurer Code]]&amp;"; "&amp;O5086&amp;AS[[#This Row],[Reporting Year]]&amp;"; "&amp;P5086&amp;AS[[#This Row],[Insurance Category Code]]&amp;"; "&amp;Q5086&amp;AS[[#This Row],[Large Provider Entity Code]]&amp;"; "&amp;R5086&amp;AS[[#This Row],[Age Band Code]]&amp;"; "&amp;S5086&amp;AS[[#This Row],[Sex Code]]</f>
        <v xml:space="preserve">Insurer Code ; Reporting Year ; Insurance Category Code ; Large Provider Entity Code ; Age Band Code ; Sex Code </v>
      </c>
      <c r="N5086" s="297" t="s">
        <v>197</v>
      </c>
      <c r="O5086" s="297" t="s">
        <v>198</v>
      </c>
      <c r="P5086" s="297" t="s">
        <v>199</v>
      </c>
      <c r="Q5086" s="297" t="s">
        <v>200</v>
      </c>
      <c r="R5086" s="297" t="s">
        <v>213</v>
      </c>
      <c r="S5086" s="297" t="s">
        <v>214</v>
      </c>
    </row>
    <row r="5087" spans="1:19" x14ac:dyDescent="0.4">
      <c r="A5087" s="291"/>
      <c r="B5087" s="292"/>
      <c r="C5087" s="312"/>
      <c r="D5087" s="292"/>
      <c r="E5087" s="489"/>
      <c r="F5087" s="489"/>
      <c r="G5087" s="490"/>
      <c r="H5087" s="520"/>
      <c r="I5087" s="523"/>
      <c r="J5087" s="521"/>
      <c r="K5087" s="522"/>
      <c r="M5087" s="301" t="str">
        <f>N5087&amp;AS[[#This Row],[Insurer Code]]&amp;"; "&amp;O5087&amp;AS[[#This Row],[Reporting Year]]&amp;"; "&amp;P5087&amp;AS[[#This Row],[Insurance Category Code]]&amp;"; "&amp;Q5087&amp;AS[[#This Row],[Large Provider Entity Code]]&amp;"; "&amp;R5087&amp;AS[[#This Row],[Age Band Code]]&amp;"; "&amp;S5087&amp;AS[[#This Row],[Sex Code]]</f>
        <v xml:space="preserve">Insurer Code ; Reporting Year ; Insurance Category Code ; Large Provider Entity Code ; Age Band Code ; Sex Code </v>
      </c>
      <c r="N5087" s="297" t="s">
        <v>197</v>
      </c>
      <c r="O5087" s="297" t="s">
        <v>198</v>
      </c>
      <c r="P5087" s="297" t="s">
        <v>199</v>
      </c>
      <c r="Q5087" s="297" t="s">
        <v>200</v>
      </c>
      <c r="R5087" s="297" t="s">
        <v>213</v>
      </c>
      <c r="S5087" s="297" t="s">
        <v>214</v>
      </c>
    </row>
    <row r="5088" spans="1:19" x14ac:dyDescent="0.4">
      <c r="A5088" s="291"/>
      <c r="B5088" s="292"/>
      <c r="C5088" s="312"/>
      <c r="D5088" s="292"/>
      <c r="E5088" s="489"/>
      <c r="F5088" s="489"/>
      <c r="G5088" s="490"/>
      <c r="H5088" s="520"/>
      <c r="I5088" s="523"/>
      <c r="J5088" s="521"/>
      <c r="K5088" s="522"/>
      <c r="M5088" s="301" t="str">
        <f>N5088&amp;AS[[#This Row],[Insurer Code]]&amp;"; "&amp;O5088&amp;AS[[#This Row],[Reporting Year]]&amp;"; "&amp;P5088&amp;AS[[#This Row],[Insurance Category Code]]&amp;"; "&amp;Q5088&amp;AS[[#This Row],[Large Provider Entity Code]]&amp;"; "&amp;R5088&amp;AS[[#This Row],[Age Band Code]]&amp;"; "&amp;S5088&amp;AS[[#This Row],[Sex Code]]</f>
        <v xml:space="preserve">Insurer Code ; Reporting Year ; Insurance Category Code ; Large Provider Entity Code ; Age Band Code ; Sex Code </v>
      </c>
      <c r="N5088" s="297" t="s">
        <v>197</v>
      </c>
      <c r="O5088" s="297" t="s">
        <v>198</v>
      </c>
      <c r="P5088" s="297" t="s">
        <v>199</v>
      </c>
      <c r="Q5088" s="297" t="s">
        <v>200</v>
      </c>
      <c r="R5088" s="297" t="s">
        <v>213</v>
      </c>
      <c r="S5088" s="297" t="s">
        <v>214</v>
      </c>
    </row>
    <row r="5089" spans="1:19" x14ac:dyDescent="0.4">
      <c r="A5089" s="291"/>
      <c r="B5089" s="292"/>
      <c r="C5089" s="312"/>
      <c r="D5089" s="292"/>
      <c r="E5089" s="489"/>
      <c r="F5089" s="489"/>
      <c r="G5089" s="490"/>
      <c r="H5089" s="520"/>
      <c r="I5089" s="523"/>
      <c r="J5089" s="521"/>
      <c r="K5089" s="522"/>
      <c r="M5089" s="301" t="str">
        <f>N5089&amp;AS[[#This Row],[Insurer Code]]&amp;"; "&amp;O5089&amp;AS[[#This Row],[Reporting Year]]&amp;"; "&amp;P5089&amp;AS[[#This Row],[Insurance Category Code]]&amp;"; "&amp;Q5089&amp;AS[[#This Row],[Large Provider Entity Code]]&amp;"; "&amp;R5089&amp;AS[[#This Row],[Age Band Code]]&amp;"; "&amp;S5089&amp;AS[[#This Row],[Sex Code]]</f>
        <v xml:space="preserve">Insurer Code ; Reporting Year ; Insurance Category Code ; Large Provider Entity Code ; Age Band Code ; Sex Code </v>
      </c>
      <c r="N5089" s="297" t="s">
        <v>197</v>
      </c>
      <c r="O5089" s="297" t="s">
        <v>198</v>
      </c>
      <c r="P5089" s="297" t="s">
        <v>199</v>
      </c>
      <c r="Q5089" s="297" t="s">
        <v>200</v>
      </c>
      <c r="R5089" s="297" t="s">
        <v>213</v>
      </c>
      <c r="S5089" s="297" t="s">
        <v>214</v>
      </c>
    </row>
    <row r="5090" spans="1:19" x14ac:dyDescent="0.4">
      <c r="A5090" s="291"/>
      <c r="B5090" s="292"/>
      <c r="C5090" s="312"/>
      <c r="D5090" s="292"/>
      <c r="E5090" s="489"/>
      <c r="F5090" s="489"/>
      <c r="G5090" s="490"/>
      <c r="H5090" s="520"/>
      <c r="I5090" s="523"/>
      <c r="J5090" s="521"/>
      <c r="K5090" s="522"/>
      <c r="M5090" s="301" t="str">
        <f>N5090&amp;AS[[#This Row],[Insurer Code]]&amp;"; "&amp;O5090&amp;AS[[#This Row],[Reporting Year]]&amp;"; "&amp;P5090&amp;AS[[#This Row],[Insurance Category Code]]&amp;"; "&amp;Q5090&amp;AS[[#This Row],[Large Provider Entity Code]]&amp;"; "&amp;R5090&amp;AS[[#This Row],[Age Band Code]]&amp;"; "&amp;S5090&amp;AS[[#This Row],[Sex Code]]</f>
        <v xml:space="preserve">Insurer Code ; Reporting Year ; Insurance Category Code ; Large Provider Entity Code ; Age Band Code ; Sex Code </v>
      </c>
      <c r="N5090" s="297" t="s">
        <v>197</v>
      </c>
      <c r="O5090" s="297" t="s">
        <v>198</v>
      </c>
      <c r="P5090" s="297" t="s">
        <v>199</v>
      </c>
      <c r="Q5090" s="297" t="s">
        <v>200</v>
      </c>
      <c r="R5090" s="297" t="s">
        <v>213</v>
      </c>
      <c r="S5090" s="297" t="s">
        <v>214</v>
      </c>
    </row>
    <row r="5091" spans="1:19" x14ac:dyDescent="0.4">
      <c r="A5091" s="291"/>
      <c r="B5091" s="292"/>
      <c r="C5091" s="312"/>
      <c r="D5091" s="292"/>
      <c r="E5091" s="489"/>
      <c r="F5091" s="489"/>
      <c r="G5091" s="490"/>
      <c r="H5091" s="520"/>
      <c r="I5091" s="523"/>
      <c r="J5091" s="521"/>
      <c r="K5091" s="522"/>
      <c r="M5091" s="301" t="str">
        <f>N5091&amp;AS[[#This Row],[Insurer Code]]&amp;"; "&amp;O5091&amp;AS[[#This Row],[Reporting Year]]&amp;"; "&amp;P5091&amp;AS[[#This Row],[Insurance Category Code]]&amp;"; "&amp;Q5091&amp;AS[[#This Row],[Large Provider Entity Code]]&amp;"; "&amp;R5091&amp;AS[[#This Row],[Age Band Code]]&amp;"; "&amp;S5091&amp;AS[[#This Row],[Sex Code]]</f>
        <v xml:space="preserve">Insurer Code ; Reporting Year ; Insurance Category Code ; Large Provider Entity Code ; Age Band Code ; Sex Code </v>
      </c>
      <c r="N5091" s="297" t="s">
        <v>197</v>
      </c>
      <c r="O5091" s="297" t="s">
        <v>198</v>
      </c>
      <c r="P5091" s="297" t="s">
        <v>199</v>
      </c>
      <c r="Q5091" s="297" t="s">
        <v>200</v>
      </c>
      <c r="R5091" s="297" t="s">
        <v>213</v>
      </c>
      <c r="S5091" s="297" t="s">
        <v>214</v>
      </c>
    </row>
    <row r="5092" spans="1:19" x14ac:dyDescent="0.4">
      <c r="A5092" s="291"/>
      <c r="B5092" s="292"/>
      <c r="C5092" s="312"/>
      <c r="D5092" s="292"/>
      <c r="E5092" s="489"/>
      <c r="F5092" s="489"/>
      <c r="G5092" s="490"/>
      <c r="H5092" s="520"/>
      <c r="I5092" s="523"/>
      <c r="J5092" s="521"/>
      <c r="K5092" s="522"/>
      <c r="M5092" s="301" t="str">
        <f>N5092&amp;AS[[#This Row],[Insurer Code]]&amp;"; "&amp;O5092&amp;AS[[#This Row],[Reporting Year]]&amp;"; "&amp;P5092&amp;AS[[#This Row],[Insurance Category Code]]&amp;"; "&amp;Q5092&amp;AS[[#This Row],[Large Provider Entity Code]]&amp;"; "&amp;R5092&amp;AS[[#This Row],[Age Band Code]]&amp;"; "&amp;S5092&amp;AS[[#This Row],[Sex Code]]</f>
        <v xml:space="preserve">Insurer Code ; Reporting Year ; Insurance Category Code ; Large Provider Entity Code ; Age Band Code ; Sex Code </v>
      </c>
      <c r="N5092" s="297" t="s">
        <v>197</v>
      </c>
      <c r="O5092" s="297" t="s">
        <v>198</v>
      </c>
      <c r="P5092" s="297" t="s">
        <v>199</v>
      </c>
      <c r="Q5092" s="297" t="s">
        <v>200</v>
      </c>
      <c r="R5092" s="297" t="s">
        <v>213</v>
      </c>
      <c r="S5092" s="297" t="s">
        <v>214</v>
      </c>
    </row>
    <row r="5093" spans="1:19" x14ac:dyDescent="0.4">
      <c r="A5093" s="291"/>
      <c r="B5093" s="292"/>
      <c r="C5093" s="312"/>
      <c r="D5093" s="292"/>
      <c r="E5093" s="489"/>
      <c r="F5093" s="489"/>
      <c r="G5093" s="490"/>
      <c r="H5093" s="520"/>
      <c r="I5093" s="523"/>
      <c r="J5093" s="521"/>
      <c r="K5093" s="522"/>
      <c r="M5093" s="301" t="str">
        <f>N5093&amp;AS[[#This Row],[Insurer Code]]&amp;"; "&amp;O5093&amp;AS[[#This Row],[Reporting Year]]&amp;"; "&amp;P5093&amp;AS[[#This Row],[Insurance Category Code]]&amp;"; "&amp;Q5093&amp;AS[[#This Row],[Large Provider Entity Code]]&amp;"; "&amp;R5093&amp;AS[[#This Row],[Age Band Code]]&amp;"; "&amp;S5093&amp;AS[[#This Row],[Sex Code]]</f>
        <v xml:space="preserve">Insurer Code ; Reporting Year ; Insurance Category Code ; Large Provider Entity Code ; Age Band Code ; Sex Code </v>
      </c>
      <c r="N5093" s="297" t="s">
        <v>197</v>
      </c>
      <c r="O5093" s="297" t="s">
        <v>198</v>
      </c>
      <c r="P5093" s="297" t="s">
        <v>199</v>
      </c>
      <c r="Q5093" s="297" t="s">
        <v>200</v>
      </c>
      <c r="R5093" s="297" t="s">
        <v>213</v>
      </c>
      <c r="S5093" s="297" t="s">
        <v>214</v>
      </c>
    </row>
    <row r="5094" spans="1:19" x14ac:dyDescent="0.4">
      <c r="A5094" s="291"/>
      <c r="B5094" s="292"/>
      <c r="C5094" s="312"/>
      <c r="D5094" s="292"/>
      <c r="E5094" s="489"/>
      <c r="F5094" s="489"/>
      <c r="G5094" s="490"/>
      <c r="H5094" s="520"/>
      <c r="I5094" s="523"/>
      <c r="J5094" s="521"/>
      <c r="K5094" s="522"/>
      <c r="M5094" s="301" t="str">
        <f>N5094&amp;AS[[#This Row],[Insurer Code]]&amp;"; "&amp;O5094&amp;AS[[#This Row],[Reporting Year]]&amp;"; "&amp;P5094&amp;AS[[#This Row],[Insurance Category Code]]&amp;"; "&amp;Q5094&amp;AS[[#This Row],[Large Provider Entity Code]]&amp;"; "&amp;R5094&amp;AS[[#This Row],[Age Band Code]]&amp;"; "&amp;S5094&amp;AS[[#This Row],[Sex Code]]</f>
        <v xml:space="preserve">Insurer Code ; Reporting Year ; Insurance Category Code ; Large Provider Entity Code ; Age Band Code ; Sex Code </v>
      </c>
      <c r="N5094" s="297" t="s">
        <v>197</v>
      </c>
      <c r="O5094" s="297" t="s">
        <v>198</v>
      </c>
      <c r="P5094" s="297" t="s">
        <v>199</v>
      </c>
      <c r="Q5094" s="297" t="s">
        <v>200</v>
      </c>
      <c r="R5094" s="297" t="s">
        <v>213</v>
      </c>
      <c r="S5094" s="297" t="s">
        <v>214</v>
      </c>
    </row>
    <row r="5095" spans="1:19" x14ac:dyDescent="0.4">
      <c r="A5095" s="291"/>
      <c r="B5095" s="292"/>
      <c r="C5095" s="312"/>
      <c r="D5095" s="292"/>
      <c r="E5095" s="489"/>
      <c r="F5095" s="489"/>
      <c r="G5095" s="490"/>
      <c r="H5095" s="520"/>
      <c r="I5095" s="523"/>
      <c r="J5095" s="521"/>
      <c r="K5095" s="522"/>
      <c r="M5095" s="301" t="str">
        <f>N5095&amp;AS[[#This Row],[Insurer Code]]&amp;"; "&amp;O5095&amp;AS[[#This Row],[Reporting Year]]&amp;"; "&amp;P5095&amp;AS[[#This Row],[Insurance Category Code]]&amp;"; "&amp;Q5095&amp;AS[[#This Row],[Large Provider Entity Code]]&amp;"; "&amp;R5095&amp;AS[[#This Row],[Age Band Code]]&amp;"; "&amp;S5095&amp;AS[[#This Row],[Sex Code]]</f>
        <v xml:space="preserve">Insurer Code ; Reporting Year ; Insurance Category Code ; Large Provider Entity Code ; Age Band Code ; Sex Code </v>
      </c>
      <c r="N5095" s="297" t="s">
        <v>197</v>
      </c>
      <c r="O5095" s="297" t="s">
        <v>198</v>
      </c>
      <c r="P5095" s="297" t="s">
        <v>199</v>
      </c>
      <c r="Q5095" s="297" t="s">
        <v>200</v>
      </c>
      <c r="R5095" s="297" t="s">
        <v>213</v>
      </c>
      <c r="S5095" s="297" t="s">
        <v>214</v>
      </c>
    </row>
    <row r="5096" spans="1:19" x14ac:dyDescent="0.4">
      <c r="A5096" s="291"/>
      <c r="B5096" s="292"/>
      <c r="C5096" s="312"/>
      <c r="D5096" s="292"/>
      <c r="E5096" s="489"/>
      <c r="F5096" s="489"/>
      <c r="G5096" s="490"/>
      <c r="H5096" s="520"/>
      <c r="I5096" s="523"/>
      <c r="J5096" s="521"/>
      <c r="K5096" s="522"/>
      <c r="M5096" s="301" t="str">
        <f>N5096&amp;AS[[#This Row],[Insurer Code]]&amp;"; "&amp;O5096&amp;AS[[#This Row],[Reporting Year]]&amp;"; "&amp;P5096&amp;AS[[#This Row],[Insurance Category Code]]&amp;"; "&amp;Q5096&amp;AS[[#This Row],[Large Provider Entity Code]]&amp;"; "&amp;R5096&amp;AS[[#This Row],[Age Band Code]]&amp;"; "&amp;S5096&amp;AS[[#This Row],[Sex Code]]</f>
        <v xml:space="preserve">Insurer Code ; Reporting Year ; Insurance Category Code ; Large Provider Entity Code ; Age Band Code ; Sex Code </v>
      </c>
      <c r="N5096" s="297" t="s">
        <v>197</v>
      </c>
      <c r="O5096" s="297" t="s">
        <v>198</v>
      </c>
      <c r="P5096" s="297" t="s">
        <v>199</v>
      </c>
      <c r="Q5096" s="297" t="s">
        <v>200</v>
      </c>
      <c r="R5096" s="297" t="s">
        <v>213</v>
      </c>
      <c r="S5096" s="297" t="s">
        <v>214</v>
      </c>
    </row>
    <row r="5097" spans="1:19" x14ac:dyDescent="0.4">
      <c r="A5097" s="291"/>
      <c r="B5097" s="292"/>
      <c r="C5097" s="312"/>
      <c r="D5097" s="292"/>
      <c r="E5097" s="489"/>
      <c r="F5097" s="489"/>
      <c r="G5097" s="490"/>
      <c r="H5097" s="520"/>
      <c r="I5097" s="523"/>
      <c r="J5097" s="521"/>
      <c r="K5097" s="522"/>
      <c r="M5097" s="301" t="str">
        <f>N5097&amp;AS[[#This Row],[Insurer Code]]&amp;"; "&amp;O5097&amp;AS[[#This Row],[Reporting Year]]&amp;"; "&amp;P5097&amp;AS[[#This Row],[Insurance Category Code]]&amp;"; "&amp;Q5097&amp;AS[[#This Row],[Large Provider Entity Code]]&amp;"; "&amp;R5097&amp;AS[[#This Row],[Age Band Code]]&amp;"; "&amp;S5097&amp;AS[[#This Row],[Sex Code]]</f>
        <v xml:space="preserve">Insurer Code ; Reporting Year ; Insurance Category Code ; Large Provider Entity Code ; Age Band Code ; Sex Code </v>
      </c>
      <c r="N5097" s="297" t="s">
        <v>197</v>
      </c>
      <c r="O5097" s="297" t="s">
        <v>198</v>
      </c>
      <c r="P5097" s="297" t="s">
        <v>199</v>
      </c>
      <c r="Q5097" s="297" t="s">
        <v>200</v>
      </c>
      <c r="R5097" s="297" t="s">
        <v>213</v>
      </c>
      <c r="S5097" s="297" t="s">
        <v>214</v>
      </c>
    </row>
    <row r="5098" spans="1:19" x14ac:dyDescent="0.4">
      <c r="A5098" s="291"/>
      <c r="B5098" s="292"/>
      <c r="C5098" s="312"/>
      <c r="D5098" s="292"/>
      <c r="E5098" s="489"/>
      <c r="F5098" s="489"/>
      <c r="G5098" s="490"/>
      <c r="H5098" s="520"/>
      <c r="I5098" s="523"/>
      <c r="J5098" s="521"/>
      <c r="K5098" s="522"/>
      <c r="M5098" s="301" t="str">
        <f>N5098&amp;AS[[#This Row],[Insurer Code]]&amp;"; "&amp;O5098&amp;AS[[#This Row],[Reporting Year]]&amp;"; "&amp;P5098&amp;AS[[#This Row],[Insurance Category Code]]&amp;"; "&amp;Q5098&amp;AS[[#This Row],[Large Provider Entity Code]]&amp;"; "&amp;R5098&amp;AS[[#This Row],[Age Band Code]]&amp;"; "&amp;S5098&amp;AS[[#This Row],[Sex Code]]</f>
        <v xml:space="preserve">Insurer Code ; Reporting Year ; Insurance Category Code ; Large Provider Entity Code ; Age Band Code ; Sex Code </v>
      </c>
      <c r="N5098" s="297" t="s">
        <v>197</v>
      </c>
      <c r="O5098" s="297" t="s">
        <v>198</v>
      </c>
      <c r="P5098" s="297" t="s">
        <v>199</v>
      </c>
      <c r="Q5098" s="297" t="s">
        <v>200</v>
      </c>
      <c r="R5098" s="297" t="s">
        <v>213</v>
      </c>
      <c r="S5098" s="297" t="s">
        <v>214</v>
      </c>
    </row>
    <row r="5099" spans="1:19" x14ac:dyDescent="0.4">
      <c r="A5099" s="291"/>
      <c r="B5099" s="292"/>
      <c r="C5099" s="312"/>
      <c r="D5099" s="292"/>
      <c r="E5099" s="489"/>
      <c r="F5099" s="489"/>
      <c r="G5099" s="490"/>
      <c r="H5099" s="520"/>
      <c r="I5099" s="523"/>
      <c r="J5099" s="521"/>
      <c r="K5099" s="522"/>
      <c r="M5099" s="301" t="str">
        <f>N5099&amp;AS[[#This Row],[Insurer Code]]&amp;"; "&amp;O5099&amp;AS[[#This Row],[Reporting Year]]&amp;"; "&amp;P5099&amp;AS[[#This Row],[Insurance Category Code]]&amp;"; "&amp;Q5099&amp;AS[[#This Row],[Large Provider Entity Code]]&amp;"; "&amp;R5099&amp;AS[[#This Row],[Age Band Code]]&amp;"; "&amp;S5099&amp;AS[[#This Row],[Sex Code]]</f>
        <v xml:space="preserve">Insurer Code ; Reporting Year ; Insurance Category Code ; Large Provider Entity Code ; Age Band Code ; Sex Code </v>
      </c>
      <c r="N5099" s="297" t="s">
        <v>197</v>
      </c>
      <c r="O5099" s="297" t="s">
        <v>198</v>
      </c>
      <c r="P5099" s="297" t="s">
        <v>199</v>
      </c>
      <c r="Q5099" s="297" t="s">
        <v>200</v>
      </c>
      <c r="R5099" s="297" t="s">
        <v>213</v>
      </c>
      <c r="S5099" s="297" t="s">
        <v>214</v>
      </c>
    </row>
    <row r="5100" spans="1:19" x14ac:dyDescent="0.4">
      <c r="A5100" s="291"/>
      <c r="B5100" s="292"/>
      <c r="C5100" s="312"/>
      <c r="D5100" s="292"/>
      <c r="E5100" s="489"/>
      <c r="F5100" s="489"/>
      <c r="G5100" s="490"/>
      <c r="H5100" s="520"/>
      <c r="I5100" s="523"/>
      <c r="J5100" s="521"/>
      <c r="K5100" s="522"/>
      <c r="M5100" s="301" t="str">
        <f>N5100&amp;AS[[#This Row],[Insurer Code]]&amp;"; "&amp;O5100&amp;AS[[#This Row],[Reporting Year]]&amp;"; "&amp;P5100&amp;AS[[#This Row],[Insurance Category Code]]&amp;"; "&amp;Q5100&amp;AS[[#This Row],[Large Provider Entity Code]]&amp;"; "&amp;R5100&amp;AS[[#This Row],[Age Band Code]]&amp;"; "&amp;S5100&amp;AS[[#This Row],[Sex Code]]</f>
        <v xml:space="preserve">Insurer Code ; Reporting Year ; Insurance Category Code ; Large Provider Entity Code ; Age Band Code ; Sex Code </v>
      </c>
      <c r="N5100" s="297" t="s">
        <v>197</v>
      </c>
      <c r="O5100" s="297" t="s">
        <v>198</v>
      </c>
      <c r="P5100" s="297" t="s">
        <v>199</v>
      </c>
      <c r="Q5100" s="297" t="s">
        <v>200</v>
      </c>
      <c r="R5100" s="297" t="s">
        <v>213</v>
      </c>
      <c r="S5100" s="297" t="s">
        <v>214</v>
      </c>
    </row>
    <row r="5101" spans="1:19" x14ac:dyDescent="0.4">
      <c r="A5101" s="291"/>
      <c r="B5101" s="292"/>
      <c r="C5101" s="312"/>
      <c r="D5101" s="292"/>
      <c r="E5101" s="489"/>
      <c r="F5101" s="489"/>
      <c r="G5101" s="490"/>
      <c r="H5101" s="520"/>
      <c r="I5101" s="523"/>
      <c r="J5101" s="521"/>
      <c r="K5101" s="522"/>
      <c r="M5101" s="301" t="str">
        <f>N5101&amp;AS[[#This Row],[Insurer Code]]&amp;"; "&amp;O5101&amp;AS[[#This Row],[Reporting Year]]&amp;"; "&amp;P5101&amp;AS[[#This Row],[Insurance Category Code]]&amp;"; "&amp;Q5101&amp;AS[[#This Row],[Large Provider Entity Code]]&amp;"; "&amp;R5101&amp;AS[[#This Row],[Age Band Code]]&amp;"; "&amp;S5101&amp;AS[[#This Row],[Sex Code]]</f>
        <v xml:space="preserve">Insurer Code ; Reporting Year ; Insurance Category Code ; Large Provider Entity Code ; Age Band Code ; Sex Code </v>
      </c>
      <c r="N5101" s="297" t="s">
        <v>197</v>
      </c>
      <c r="O5101" s="297" t="s">
        <v>198</v>
      </c>
      <c r="P5101" s="297" t="s">
        <v>199</v>
      </c>
      <c r="Q5101" s="297" t="s">
        <v>200</v>
      </c>
      <c r="R5101" s="297" t="s">
        <v>213</v>
      </c>
      <c r="S5101" s="297" t="s">
        <v>214</v>
      </c>
    </row>
    <row r="5102" spans="1:19" x14ac:dyDescent="0.4">
      <c r="A5102" s="291"/>
      <c r="B5102" s="292"/>
      <c r="C5102" s="312"/>
      <c r="D5102" s="292"/>
      <c r="E5102" s="489"/>
      <c r="F5102" s="489"/>
      <c r="G5102" s="490"/>
      <c r="H5102" s="520"/>
      <c r="I5102" s="523"/>
      <c r="J5102" s="521"/>
      <c r="K5102" s="522"/>
      <c r="M5102" s="301" t="str">
        <f>N5102&amp;AS[[#This Row],[Insurer Code]]&amp;"; "&amp;O5102&amp;AS[[#This Row],[Reporting Year]]&amp;"; "&amp;P5102&amp;AS[[#This Row],[Insurance Category Code]]&amp;"; "&amp;Q5102&amp;AS[[#This Row],[Large Provider Entity Code]]&amp;"; "&amp;R5102&amp;AS[[#This Row],[Age Band Code]]&amp;"; "&amp;S5102&amp;AS[[#This Row],[Sex Code]]</f>
        <v xml:space="preserve">Insurer Code ; Reporting Year ; Insurance Category Code ; Large Provider Entity Code ; Age Band Code ; Sex Code </v>
      </c>
      <c r="N5102" s="297" t="s">
        <v>197</v>
      </c>
      <c r="O5102" s="297" t="s">
        <v>198</v>
      </c>
      <c r="P5102" s="297" t="s">
        <v>199</v>
      </c>
      <c r="Q5102" s="297" t="s">
        <v>200</v>
      </c>
      <c r="R5102" s="297" t="s">
        <v>213</v>
      </c>
      <c r="S5102" s="297" t="s">
        <v>214</v>
      </c>
    </row>
    <row r="5103" spans="1:19" x14ac:dyDescent="0.4">
      <c r="A5103" s="291"/>
      <c r="B5103" s="292"/>
      <c r="C5103" s="312"/>
      <c r="D5103" s="292"/>
      <c r="E5103" s="489"/>
      <c r="F5103" s="489"/>
      <c r="G5103" s="490"/>
      <c r="H5103" s="520"/>
      <c r="I5103" s="523"/>
      <c r="J5103" s="521"/>
      <c r="K5103" s="522"/>
      <c r="M5103" s="301" t="str">
        <f>N5103&amp;AS[[#This Row],[Insurer Code]]&amp;"; "&amp;O5103&amp;AS[[#This Row],[Reporting Year]]&amp;"; "&amp;P5103&amp;AS[[#This Row],[Insurance Category Code]]&amp;"; "&amp;Q5103&amp;AS[[#This Row],[Large Provider Entity Code]]&amp;"; "&amp;R5103&amp;AS[[#This Row],[Age Band Code]]&amp;"; "&amp;S5103&amp;AS[[#This Row],[Sex Code]]</f>
        <v xml:space="preserve">Insurer Code ; Reporting Year ; Insurance Category Code ; Large Provider Entity Code ; Age Band Code ; Sex Code </v>
      </c>
      <c r="N5103" s="297" t="s">
        <v>197</v>
      </c>
      <c r="O5103" s="297" t="s">
        <v>198</v>
      </c>
      <c r="P5103" s="297" t="s">
        <v>199</v>
      </c>
      <c r="Q5103" s="297" t="s">
        <v>200</v>
      </c>
      <c r="R5103" s="297" t="s">
        <v>213</v>
      </c>
      <c r="S5103" s="297" t="s">
        <v>214</v>
      </c>
    </row>
    <row r="5104" spans="1:19" x14ac:dyDescent="0.4">
      <c r="A5104" s="291"/>
      <c r="B5104" s="292"/>
      <c r="C5104" s="312"/>
      <c r="D5104" s="292"/>
      <c r="E5104" s="489"/>
      <c r="F5104" s="489"/>
      <c r="G5104" s="490"/>
      <c r="H5104" s="520"/>
      <c r="I5104" s="523"/>
      <c r="J5104" s="521"/>
      <c r="K5104" s="522"/>
      <c r="M5104" s="301" t="str">
        <f>N5104&amp;AS[[#This Row],[Insurer Code]]&amp;"; "&amp;O5104&amp;AS[[#This Row],[Reporting Year]]&amp;"; "&amp;P5104&amp;AS[[#This Row],[Insurance Category Code]]&amp;"; "&amp;Q5104&amp;AS[[#This Row],[Large Provider Entity Code]]&amp;"; "&amp;R5104&amp;AS[[#This Row],[Age Band Code]]&amp;"; "&amp;S5104&amp;AS[[#This Row],[Sex Code]]</f>
        <v xml:space="preserve">Insurer Code ; Reporting Year ; Insurance Category Code ; Large Provider Entity Code ; Age Band Code ; Sex Code </v>
      </c>
      <c r="N5104" s="297" t="s">
        <v>197</v>
      </c>
      <c r="O5104" s="297" t="s">
        <v>198</v>
      </c>
      <c r="P5104" s="297" t="s">
        <v>199</v>
      </c>
      <c r="Q5104" s="297" t="s">
        <v>200</v>
      </c>
      <c r="R5104" s="297" t="s">
        <v>213</v>
      </c>
      <c r="S5104" s="297" t="s">
        <v>214</v>
      </c>
    </row>
    <row r="5105" spans="1:19" x14ac:dyDescent="0.4">
      <c r="A5105" s="291"/>
      <c r="B5105" s="292"/>
      <c r="C5105" s="312"/>
      <c r="D5105" s="292"/>
      <c r="E5105" s="489"/>
      <c r="F5105" s="489"/>
      <c r="G5105" s="490"/>
      <c r="H5105" s="520"/>
      <c r="I5105" s="523"/>
      <c r="J5105" s="521"/>
      <c r="K5105" s="522"/>
      <c r="M5105" s="301" t="str">
        <f>N5105&amp;AS[[#This Row],[Insurer Code]]&amp;"; "&amp;O5105&amp;AS[[#This Row],[Reporting Year]]&amp;"; "&amp;P5105&amp;AS[[#This Row],[Insurance Category Code]]&amp;"; "&amp;Q5105&amp;AS[[#This Row],[Large Provider Entity Code]]&amp;"; "&amp;R5105&amp;AS[[#This Row],[Age Band Code]]&amp;"; "&amp;S5105&amp;AS[[#This Row],[Sex Code]]</f>
        <v xml:space="preserve">Insurer Code ; Reporting Year ; Insurance Category Code ; Large Provider Entity Code ; Age Band Code ; Sex Code </v>
      </c>
      <c r="N5105" s="297" t="s">
        <v>197</v>
      </c>
      <c r="O5105" s="297" t="s">
        <v>198</v>
      </c>
      <c r="P5105" s="297" t="s">
        <v>199</v>
      </c>
      <c r="Q5105" s="297" t="s">
        <v>200</v>
      </c>
      <c r="R5105" s="297" t="s">
        <v>213</v>
      </c>
      <c r="S5105" s="297" t="s">
        <v>214</v>
      </c>
    </row>
    <row r="5106" spans="1:19" x14ac:dyDescent="0.4">
      <c r="A5106" s="291"/>
      <c r="B5106" s="292"/>
      <c r="C5106" s="312"/>
      <c r="D5106" s="292"/>
      <c r="E5106" s="489"/>
      <c r="F5106" s="489"/>
      <c r="G5106" s="490"/>
      <c r="H5106" s="520"/>
      <c r="I5106" s="523"/>
      <c r="J5106" s="521"/>
      <c r="K5106" s="522"/>
      <c r="M5106" s="301" t="str">
        <f>N5106&amp;AS[[#This Row],[Insurer Code]]&amp;"; "&amp;O5106&amp;AS[[#This Row],[Reporting Year]]&amp;"; "&amp;P5106&amp;AS[[#This Row],[Insurance Category Code]]&amp;"; "&amp;Q5106&amp;AS[[#This Row],[Large Provider Entity Code]]&amp;"; "&amp;R5106&amp;AS[[#This Row],[Age Band Code]]&amp;"; "&amp;S5106&amp;AS[[#This Row],[Sex Code]]</f>
        <v xml:space="preserve">Insurer Code ; Reporting Year ; Insurance Category Code ; Large Provider Entity Code ; Age Band Code ; Sex Code </v>
      </c>
      <c r="N5106" s="297" t="s">
        <v>197</v>
      </c>
      <c r="O5106" s="297" t="s">
        <v>198</v>
      </c>
      <c r="P5106" s="297" t="s">
        <v>199</v>
      </c>
      <c r="Q5106" s="297" t="s">
        <v>200</v>
      </c>
      <c r="R5106" s="297" t="s">
        <v>213</v>
      </c>
      <c r="S5106" s="297" t="s">
        <v>214</v>
      </c>
    </row>
    <row r="5107" spans="1:19" x14ac:dyDescent="0.4">
      <c r="A5107" s="291"/>
      <c r="B5107" s="292"/>
      <c r="C5107" s="312"/>
      <c r="D5107" s="292"/>
      <c r="E5107" s="489"/>
      <c r="F5107" s="489"/>
      <c r="G5107" s="490"/>
      <c r="H5107" s="520"/>
      <c r="I5107" s="523"/>
      <c r="J5107" s="521"/>
      <c r="K5107" s="522"/>
      <c r="M5107" s="301" t="str">
        <f>N5107&amp;AS[[#This Row],[Insurer Code]]&amp;"; "&amp;O5107&amp;AS[[#This Row],[Reporting Year]]&amp;"; "&amp;P5107&amp;AS[[#This Row],[Insurance Category Code]]&amp;"; "&amp;Q5107&amp;AS[[#This Row],[Large Provider Entity Code]]&amp;"; "&amp;R5107&amp;AS[[#This Row],[Age Band Code]]&amp;"; "&amp;S5107&amp;AS[[#This Row],[Sex Code]]</f>
        <v xml:space="preserve">Insurer Code ; Reporting Year ; Insurance Category Code ; Large Provider Entity Code ; Age Band Code ; Sex Code </v>
      </c>
      <c r="N5107" s="297" t="s">
        <v>197</v>
      </c>
      <c r="O5107" s="297" t="s">
        <v>198</v>
      </c>
      <c r="P5107" s="297" t="s">
        <v>199</v>
      </c>
      <c r="Q5107" s="297" t="s">
        <v>200</v>
      </c>
      <c r="R5107" s="297" t="s">
        <v>213</v>
      </c>
      <c r="S5107" s="297" t="s">
        <v>214</v>
      </c>
    </row>
    <row r="5108" spans="1:19" x14ac:dyDescent="0.4">
      <c r="A5108" s="291"/>
      <c r="B5108" s="292"/>
      <c r="C5108" s="312"/>
      <c r="D5108" s="292"/>
      <c r="E5108" s="489"/>
      <c r="F5108" s="489"/>
      <c r="G5108" s="490"/>
      <c r="H5108" s="520"/>
      <c r="I5108" s="523"/>
      <c r="J5108" s="521"/>
      <c r="K5108" s="522"/>
      <c r="M5108" s="301" t="str">
        <f>N5108&amp;AS[[#This Row],[Insurer Code]]&amp;"; "&amp;O5108&amp;AS[[#This Row],[Reporting Year]]&amp;"; "&amp;P5108&amp;AS[[#This Row],[Insurance Category Code]]&amp;"; "&amp;Q5108&amp;AS[[#This Row],[Large Provider Entity Code]]&amp;"; "&amp;R5108&amp;AS[[#This Row],[Age Band Code]]&amp;"; "&amp;S5108&amp;AS[[#This Row],[Sex Code]]</f>
        <v xml:space="preserve">Insurer Code ; Reporting Year ; Insurance Category Code ; Large Provider Entity Code ; Age Band Code ; Sex Code </v>
      </c>
      <c r="N5108" s="297" t="s">
        <v>197</v>
      </c>
      <c r="O5108" s="297" t="s">
        <v>198</v>
      </c>
      <c r="P5108" s="297" t="s">
        <v>199</v>
      </c>
      <c r="Q5108" s="297" t="s">
        <v>200</v>
      </c>
      <c r="R5108" s="297" t="s">
        <v>213</v>
      </c>
      <c r="S5108" s="297" t="s">
        <v>214</v>
      </c>
    </row>
    <row r="5109" spans="1:19" x14ac:dyDescent="0.4">
      <c r="A5109" s="291"/>
      <c r="B5109" s="292"/>
      <c r="C5109" s="312"/>
      <c r="D5109" s="292"/>
      <c r="E5109" s="489"/>
      <c r="F5109" s="489"/>
      <c r="G5109" s="490"/>
      <c r="H5109" s="520"/>
      <c r="I5109" s="523"/>
      <c r="J5109" s="521"/>
      <c r="K5109" s="522"/>
      <c r="M5109" s="301" t="str">
        <f>N5109&amp;AS[[#This Row],[Insurer Code]]&amp;"; "&amp;O5109&amp;AS[[#This Row],[Reporting Year]]&amp;"; "&amp;P5109&amp;AS[[#This Row],[Insurance Category Code]]&amp;"; "&amp;Q5109&amp;AS[[#This Row],[Large Provider Entity Code]]&amp;"; "&amp;R5109&amp;AS[[#This Row],[Age Band Code]]&amp;"; "&amp;S5109&amp;AS[[#This Row],[Sex Code]]</f>
        <v xml:space="preserve">Insurer Code ; Reporting Year ; Insurance Category Code ; Large Provider Entity Code ; Age Band Code ; Sex Code </v>
      </c>
      <c r="N5109" s="297" t="s">
        <v>197</v>
      </c>
      <c r="O5109" s="297" t="s">
        <v>198</v>
      </c>
      <c r="P5109" s="297" t="s">
        <v>199</v>
      </c>
      <c r="Q5109" s="297" t="s">
        <v>200</v>
      </c>
      <c r="R5109" s="297" t="s">
        <v>213</v>
      </c>
      <c r="S5109" s="297" t="s">
        <v>214</v>
      </c>
    </row>
    <row r="5110" spans="1:19" x14ac:dyDescent="0.4">
      <c r="A5110" s="291"/>
      <c r="B5110" s="292"/>
      <c r="C5110" s="312"/>
      <c r="D5110" s="292"/>
      <c r="E5110" s="489"/>
      <c r="F5110" s="489"/>
      <c r="G5110" s="490"/>
      <c r="H5110" s="520"/>
      <c r="I5110" s="523"/>
      <c r="J5110" s="521"/>
      <c r="K5110" s="522"/>
      <c r="M5110" s="301" t="str">
        <f>N5110&amp;AS[[#This Row],[Insurer Code]]&amp;"; "&amp;O5110&amp;AS[[#This Row],[Reporting Year]]&amp;"; "&amp;P5110&amp;AS[[#This Row],[Insurance Category Code]]&amp;"; "&amp;Q5110&amp;AS[[#This Row],[Large Provider Entity Code]]&amp;"; "&amp;R5110&amp;AS[[#This Row],[Age Band Code]]&amp;"; "&amp;S5110&amp;AS[[#This Row],[Sex Code]]</f>
        <v xml:space="preserve">Insurer Code ; Reporting Year ; Insurance Category Code ; Large Provider Entity Code ; Age Band Code ; Sex Code </v>
      </c>
      <c r="N5110" s="297" t="s">
        <v>197</v>
      </c>
      <c r="O5110" s="297" t="s">
        <v>198</v>
      </c>
      <c r="P5110" s="297" t="s">
        <v>199</v>
      </c>
      <c r="Q5110" s="297" t="s">
        <v>200</v>
      </c>
      <c r="R5110" s="297" t="s">
        <v>213</v>
      </c>
      <c r="S5110" s="297" t="s">
        <v>214</v>
      </c>
    </row>
    <row r="5111" spans="1:19" x14ac:dyDescent="0.4">
      <c r="A5111" s="291"/>
      <c r="B5111" s="292"/>
      <c r="C5111" s="312"/>
      <c r="D5111" s="292"/>
      <c r="E5111" s="489"/>
      <c r="F5111" s="489"/>
      <c r="G5111" s="490"/>
      <c r="H5111" s="520"/>
      <c r="I5111" s="523"/>
      <c r="J5111" s="521"/>
      <c r="K5111" s="522"/>
      <c r="M5111" s="301" t="str">
        <f>N5111&amp;AS[[#This Row],[Insurer Code]]&amp;"; "&amp;O5111&amp;AS[[#This Row],[Reporting Year]]&amp;"; "&amp;P5111&amp;AS[[#This Row],[Insurance Category Code]]&amp;"; "&amp;Q5111&amp;AS[[#This Row],[Large Provider Entity Code]]&amp;"; "&amp;R5111&amp;AS[[#This Row],[Age Band Code]]&amp;"; "&amp;S5111&amp;AS[[#This Row],[Sex Code]]</f>
        <v xml:space="preserve">Insurer Code ; Reporting Year ; Insurance Category Code ; Large Provider Entity Code ; Age Band Code ; Sex Code </v>
      </c>
      <c r="N5111" s="297" t="s">
        <v>197</v>
      </c>
      <c r="O5111" s="297" t="s">
        <v>198</v>
      </c>
      <c r="P5111" s="297" t="s">
        <v>199</v>
      </c>
      <c r="Q5111" s="297" t="s">
        <v>200</v>
      </c>
      <c r="R5111" s="297" t="s">
        <v>213</v>
      </c>
      <c r="S5111" s="297" t="s">
        <v>214</v>
      </c>
    </row>
    <row r="5112" spans="1:19" x14ac:dyDescent="0.4">
      <c r="A5112" s="291"/>
      <c r="B5112" s="292"/>
      <c r="C5112" s="312"/>
      <c r="D5112" s="292"/>
      <c r="E5112" s="489"/>
      <c r="F5112" s="489"/>
      <c r="G5112" s="490"/>
      <c r="H5112" s="520"/>
      <c r="I5112" s="523"/>
      <c r="J5112" s="521"/>
      <c r="K5112" s="522"/>
      <c r="M5112" s="301" t="str">
        <f>N5112&amp;AS[[#This Row],[Insurer Code]]&amp;"; "&amp;O5112&amp;AS[[#This Row],[Reporting Year]]&amp;"; "&amp;P5112&amp;AS[[#This Row],[Insurance Category Code]]&amp;"; "&amp;Q5112&amp;AS[[#This Row],[Large Provider Entity Code]]&amp;"; "&amp;R5112&amp;AS[[#This Row],[Age Band Code]]&amp;"; "&amp;S5112&amp;AS[[#This Row],[Sex Code]]</f>
        <v xml:space="preserve">Insurer Code ; Reporting Year ; Insurance Category Code ; Large Provider Entity Code ; Age Band Code ; Sex Code </v>
      </c>
      <c r="N5112" s="297" t="s">
        <v>197</v>
      </c>
      <c r="O5112" s="297" t="s">
        <v>198</v>
      </c>
      <c r="P5112" s="297" t="s">
        <v>199</v>
      </c>
      <c r="Q5112" s="297" t="s">
        <v>200</v>
      </c>
      <c r="R5112" s="297" t="s">
        <v>213</v>
      </c>
      <c r="S5112" s="297" t="s">
        <v>214</v>
      </c>
    </row>
    <row r="5113" spans="1:19" x14ac:dyDescent="0.4">
      <c r="A5113" s="291"/>
      <c r="B5113" s="292"/>
      <c r="C5113" s="312"/>
      <c r="D5113" s="292"/>
      <c r="E5113" s="489"/>
      <c r="F5113" s="489"/>
      <c r="G5113" s="490"/>
      <c r="H5113" s="520"/>
      <c r="I5113" s="523"/>
      <c r="J5113" s="521"/>
      <c r="K5113" s="522"/>
      <c r="M5113" s="301" t="str">
        <f>N5113&amp;AS[[#This Row],[Insurer Code]]&amp;"; "&amp;O5113&amp;AS[[#This Row],[Reporting Year]]&amp;"; "&amp;P5113&amp;AS[[#This Row],[Insurance Category Code]]&amp;"; "&amp;Q5113&amp;AS[[#This Row],[Large Provider Entity Code]]&amp;"; "&amp;R5113&amp;AS[[#This Row],[Age Band Code]]&amp;"; "&amp;S5113&amp;AS[[#This Row],[Sex Code]]</f>
        <v xml:space="preserve">Insurer Code ; Reporting Year ; Insurance Category Code ; Large Provider Entity Code ; Age Band Code ; Sex Code </v>
      </c>
      <c r="N5113" s="297" t="s">
        <v>197</v>
      </c>
      <c r="O5113" s="297" t="s">
        <v>198</v>
      </c>
      <c r="P5113" s="297" t="s">
        <v>199</v>
      </c>
      <c r="Q5113" s="297" t="s">
        <v>200</v>
      </c>
      <c r="R5113" s="297" t="s">
        <v>213</v>
      </c>
      <c r="S5113" s="297" t="s">
        <v>214</v>
      </c>
    </row>
    <row r="5114" spans="1:19" x14ac:dyDescent="0.4">
      <c r="A5114" s="291"/>
      <c r="B5114" s="292"/>
      <c r="C5114" s="312"/>
      <c r="D5114" s="292"/>
      <c r="E5114" s="489"/>
      <c r="F5114" s="489"/>
      <c r="G5114" s="490"/>
      <c r="H5114" s="520"/>
      <c r="I5114" s="523"/>
      <c r="J5114" s="521"/>
      <c r="K5114" s="522"/>
      <c r="M5114" s="301" t="str">
        <f>N5114&amp;AS[[#This Row],[Insurer Code]]&amp;"; "&amp;O5114&amp;AS[[#This Row],[Reporting Year]]&amp;"; "&amp;P5114&amp;AS[[#This Row],[Insurance Category Code]]&amp;"; "&amp;Q5114&amp;AS[[#This Row],[Large Provider Entity Code]]&amp;"; "&amp;R5114&amp;AS[[#This Row],[Age Band Code]]&amp;"; "&amp;S5114&amp;AS[[#This Row],[Sex Code]]</f>
        <v xml:space="preserve">Insurer Code ; Reporting Year ; Insurance Category Code ; Large Provider Entity Code ; Age Band Code ; Sex Code </v>
      </c>
      <c r="N5114" s="297" t="s">
        <v>197</v>
      </c>
      <c r="O5114" s="297" t="s">
        <v>198</v>
      </c>
      <c r="P5114" s="297" t="s">
        <v>199</v>
      </c>
      <c r="Q5114" s="297" t="s">
        <v>200</v>
      </c>
      <c r="R5114" s="297" t="s">
        <v>213</v>
      </c>
      <c r="S5114" s="297" t="s">
        <v>214</v>
      </c>
    </row>
    <row r="5115" spans="1:19" x14ac:dyDescent="0.4">
      <c r="A5115" s="291"/>
      <c r="B5115" s="292"/>
      <c r="C5115" s="312"/>
      <c r="D5115" s="292"/>
      <c r="E5115" s="489"/>
      <c r="F5115" s="489"/>
      <c r="G5115" s="490"/>
      <c r="H5115" s="520"/>
      <c r="I5115" s="523"/>
      <c r="J5115" s="521"/>
      <c r="K5115" s="522"/>
      <c r="M5115" s="301" t="str">
        <f>N5115&amp;AS[[#This Row],[Insurer Code]]&amp;"; "&amp;O5115&amp;AS[[#This Row],[Reporting Year]]&amp;"; "&amp;P5115&amp;AS[[#This Row],[Insurance Category Code]]&amp;"; "&amp;Q5115&amp;AS[[#This Row],[Large Provider Entity Code]]&amp;"; "&amp;R5115&amp;AS[[#This Row],[Age Band Code]]&amp;"; "&amp;S5115&amp;AS[[#This Row],[Sex Code]]</f>
        <v xml:space="preserve">Insurer Code ; Reporting Year ; Insurance Category Code ; Large Provider Entity Code ; Age Band Code ; Sex Code </v>
      </c>
      <c r="N5115" s="297" t="s">
        <v>197</v>
      </c>
      <c r="O5115" s="297" t="s">
        <v>198</v>
      </c>
      <c r="P5115" s="297" t="s">
        <v>199</v>
      </c>
      <c r="Q5115" s="297" t="s">
        <v>200</v>
      </c>
      <c r="R5115" s="297" t="s">
        <v>213</v>
      </c>
      <c r="S5115" s="297" t="s">
        <v>214</v>
      </c>
    </row>
    <row r="5116" spans="1:19" x14ac:dyDescent="0.4">
      <c r="A5116" s="291"/>
      <c r="B5116" s="292"/>
      <c r="C5116" s="312"/>
      <c r="D5116" s="292"/>
      <c r="E5116" s="489"/>
      <c r="F5116" s="489"/>
      <c r="G5116" s="490"/>
      <c r="H5116" s="520"/>
      <c r="I5116" s="523"/>
      <c r="J5116" s="521"/>
      <c r="K5116" s="522"/>
      <c r="M5116" s="301" t="str">
        <f>N5116&amp;AS[[#This Row],[Insurer Code]]&amp;"; "&amp;O5116&amp;AS[[#This Row],[Reporting Year]]&amp;"; "&amp;P5116&amp;AS[[#This Row],[Insurance Category Code]]&amp;"; "&amp;Q5116&amp;AS[[#This Row],[Large Provider Entity Code]]&amp;"; "&amp;R5116&amp;AS[[#This Row],[Age Band Code]]&amp;"; "&amp;S5116&amp;AS[[#This Row],[Sex Code]]</f>
        <v xml:space="preserve">Insurer Code ; Reporting Year ; Insurance Category Code ; Large Provider Entity Code ; Age Band Code ; Sex Code </v>
      </c>
      <c r="N5116" s="297" t="s">
        <v>197</v>
      </c>
      <c r="O5116" s="297" t="s">
        <v>198</v>
      </c>
      <c r="P5116" s="297" t="s">
        <v>199</v>
      </c>
      <c r="Q5116" s="297" t="s">
        <v>200</v>
      </c>
      <c r="R5116" s="297" t="s">
        <v>213</v>
      </c>
      <c r="S5116" s="297" t="s">
        <v>214</v>
      </c>
    </row>
    <row r="5117" spans="1:19" x14ac:dyDescent="0.4">
      <c r="A5117" s="291"/>
      <c r="B5117" s="292"/>
      <c r="C5117" s="312"/>
      <c r="D5117" s="292"/>
      <c r="E5117" s="489"/>
      <c r="F5117" s="489"/>
      <c r="G5117" s="490"/>
      <c r="H5117" s="520"/>
      <c r="I5117" s="523"/>
      <c r="J5117" s="521"/>
      <c r="K5117" s="522"/>
      <c r="M5117" s="301" t="str">
        <f>N5117&amp;AS[[#This Row],[Insurer Code]]&amp;"; "&amp;O5117&amp;AS[[#This Row],[Reporting Year]]&amp;"; "&amp;P5117&amp;AS[[#This Row],[Insurance Category Code]]&amp;"; "&amp;Q5117&amp;AS[[#This Row],[Large Provider Entity Code]]&amp;"; "&amp;R5117&amp;AS[[#This Row],[Age Band Code]]&amp;"; "&amp;S5117&amp;AS[[#This Row],[Sex Code]]</f>
        <v xml:space="preserve">Insurer Code ; Reporting Year ; Insurance Category Code ; Large Provider Entity Code ; Age Band Code ; Sex Code </v>
      </c>
      <c r="N5117" s="297" t="s">
        <v>197</v>
      </c>
      <c r="O5117" s="297" t="s">
        <v>198</v>
      </c>
      <c r="P5117" s="297" t="s">
        <v>199</v>
      </c>
      <c r="Q5117" s="297" t="s">
        <v>200</v>
      </c>
      <c r="R5117" s="297" t="s">
        <v>213</v>
      </c>
      <c r="S5117" s="297" t="s">
        <v>214</v>
      </c>
    </row>
    <row r="5118" spans="1:19" x14ac:dyDescent="0.4">
      <c r="A5118" s="291"/>
      <c r="B5118" s="292"/>
      <c r="C5118" s="312"/>
      <c r="D5118" s="292"/>
      <c r="E5118" s="489"/>
      <c r="F5118" s="489"/>
      <c r="G5118" s="490"/>
      <c r="H5118" s="520"/>
      <c r="I5118" s="523"/>
      <c r="J5118" s="521"/>
      <c r="K5118" s="522"/>
      <c r="M5118" s="301" t="str">
        <f>N5118&amp;AS[[#This Row],[Insurer Code]]&amp;"; "&amp;O5118&amp;AS[[#This Row],[Reporting Year]]&amp;"; "&amp;P5118&amp;AS[[#This Row],[Insurance Category Code]]&amp;"; "&amp;Q5118&amp;AS[[#This Row],[Large Provider Entity Code]]&amp;"; "&amp;R5118&amp;AS[[#This Row],[Age Band Code]]&amp;"; "&amp;S5118&amp;AS[[#This Row],[Sex Code]]</f>
        <v xml:space="preserve">Insurer Code ; Reporting Year ; Insurance Category Code ; Large Provider Entity Code ; Age Band Code ; Sex Code </v>
      </c>
      <c r="N5118" s="297" t="s">
        <v>197</v>
      </c>
      <c r="O5118" s="297" t="s">
        <v>198</v>
      </c>
      <c r="P5118" s="297" t="s">
        <v>199</v>
      </c>
      <c r="Q5118" s="297" t="s">
        <v>200</v>
      </c>
      <c r="R5118" s="297" t="s">
        <v>213</v>
      </c>
      <c r="S5118" s="297" t="s">
        <v>214</v>
      </c>
    </row>
    <row r="5119" spans="1:19" x14ac:dyDescent="0.4">
      <c r="A5119" s="291"/>
      <c r="B5119" s="292"/>
      <c r="C5119" s="312"/>
      <c r="D5119" s="292"/>
      <c r="E5119" s="489"/>
      <c r="F5119" s="489"/>
      <c r="G5119" s="490"/>
      <c r="H5119" s="520"/>
      <c r="I5119" s="523"/>
      <c r="J5119" s="521"/>
      <c r="K5119" s="522"/>
      <c r="M5119" s="301" t="str">
        <f>N5119&amp;AS[[#This Row],[Insurer Code]]&amp;"; "&amp;O5119&amp;AS[[#This Row],[Reporting Year]]&amp;"; "&amp;P5119&amp;AS[[#This Row],[Insurance Category Code]]&amp;"; "&amp;Q5119&amp;AS[[#This Row],[Large Provider Entity Code]]&amp;"; "&amp;R5119&amp;AS[[#This Row],[Age Band Code]]&amp;"; "&amp;S5119&amp;AS[[#This Row],[Sex Code]]</f>
        <v xml:space="preserve">Insurer Code ; Reporting Year ; Insurance Category Code ; Large Provider Entity Code ; Age Band Code ; Sex Code </v>
      </c>
      <c r="N5119" s="297" t="s">
        <v>197</v>
      </c>
      <c r="O5119" s="297" t="s">
        <v>198</v>
      </c>
      <c r="P5119" s="297" t="s">
        <v>199</v>
      </c>
      <c r="Q5119" s="297" t="s">
        <v>200</v>
      </c>
      <c r="R5119" s="297" t="s">
        <v>213</v>
      </c>
      <c r="S5119" s="297" t="s">
        <v>214</v>
      </c>
    </row>
    <row r="5120" spans="1:19" x14ac:dyDescent="0.4">
      <c r="A5120" s="291"/>
      <c r="B5120" s="292"/>
      <c r="C5120" s="312"/>
      <c r="D5120" s="292"/>
      <c r="E5120" s="489"/>
      <c r="F5120" s="489"/>
      <c r="G5120" s="490"/>
      <c r="H5120" s="520"/>
      <c r="I5120" s="523"/>
      <c r="J5120" s="521"/>
      <c r="K5120" s="522"/>
      <c r="M5120" s="301" t="str">
        <f>N5120&amp;AS[[#This Row],[Insurer Code]]&amp;"; "&amp;O5120&amp;AS[[#This Row],[Reporting Year]]&amp;"; "&amp;P5120&amp;AS[[#This Row],[Insurance Category Code]]&amp;"; "&amp;Q5120&amp;AS[[#This Row],[Large Provider Entity Code]]&amp;"; "&amp;R5120&amp;AS[[#This Row],[Age Band Code]]&amp;"; "&amp;S5120&amp;AS[[#This Row],[Sex Code]]</f>
        <v xml:space="preserve">Insurer Code ; Reporting Year ; Insurance Category Code ; Large Provider Entity Code ; Age Band Code ; Sex Code </v>
      </c>
      <c r="N5120" s="297" t="s">
        <v>197</v>
      </c>
      <c r="O5120" s="297" t="s">
        <v>198</v>
      </c>
      <c r="P5120" s="297" t="s">
        <v>199</v>
      </c>
      <c r="Q5120" s="297" t="s">
        <v>200</v>
      </c>
      <c r="R5120" s="297" t="s">
        <v>213</v>
      </c>
      <c r="S5120" s="297" t="s">
        <v>214</v>
      </c>
    </row>
    <row r="5121" spans="1:19" x14ac:dyDescent="0.4">
      <c r="A5121" s="291"/>
      <c r="B5121" s="292"/>
      <c r="C5121" s="312"/>
      <c r="D5121" s="292"/>
      <c r="E5121" s="489"/>
      <c r="F5121" s="489"/>
      <c r="G5121" s="490"/>
      <c r="H5121" s="520"/>
      <c r="I5121" s="523"/>
      <c r="J5121" s="521"/>
      <c r="K5121" s="522"/>
      <c r="M5121" s="301" t="str">
        <f>N5121&amp;AS[[#This Row],[Insurer Code]]&amp;"; "&amp;O5121&amp;AS[[#This Row],[Reporting Year]]&amp;"; "&amp;P5121&amp;AS[[#This Row],[Insurance Category Code]]&amp;"; "&amp;Q5121&amp;AS[[#This Row],[Large Provider Entity Code]]&amp;"; "&amp;R5121&amp;AS[[#This Row],[Age Band Code]]&amp;"; "&amp;S5121&amp;AS[[#This Row],[Sex Code]]</f>
        <v xml:space="preserve">Insurer Code ; Reporting Year ; Insurance Category Code ; Large Provider Entity Code ; Age Band Code ; Sex Code </v>
      </c>
      <c r="N5121" s="297" t="s">
        <v>197</v>
      </c>
      <c r="O5121" s="297" t="s">
        <v>198</v>
      </c>
      <c r="P5121" s="297" t="s">
        <v>199</v>
      </c>
      <c r="Q5121" s="297" t="s">
        <v>200</v>
      </c>
      <c r="R5121" s="297" t="s">
        <v>213</v>
      </c>
      <c r="S5121" s="297" t="s">
        <v>214</v>
      </c>
    </row>
    <row r="5122" spans="1:19" x14ac:dyDescent="0.4">
      <c r="A5122" s="291"/>
      <c r="B5122" s="292"/>
      <c r="C5122" s="312"/>
      <c r="D5122" s="292"/>
      <c r="E5122" s="489"/>
      <c r="F5122" s="489"/>
      <c r="G5122" s="490"/>
      <c r="H5122" s="520"/>
      <c r="I5122" s="523"/>
      <c r="J5122" s="521"/>
      <c r="K5122" s="522"/>
      <c r="M5122" s="301" t="str">
        <f>N5122&amp;AS[[#This Row],[Insurer Code]]&amp;"; "&amp;O5122&amp;AS[[#This Row],[Reporting Year]]&amp;"; "&amp;P5122&amp;AS[[#This Row],[Insurance Category Code]]&amp;"; "&amp;Q5122&amp;AS[[#This Row],[Large Provider Entity Code]]&amp;"; "&amp;R5122&amp;AS[[#This Row],[Age Band Code]]&amp;"; "&amp;S5122&amp;AS[[#This Row],[Sex Code]]</f>
        <v xml:space="preserve">Insurer Code ; Reporting Year ; Insurance Category Code ; Large Provider Entity Code ; Age Band Code ; Sex Code </v>
      </c>
      <c r="N5122" s="297" t="s">
        <v>197</v>
      </c>
      <c r="O5122" s="297" t="s">
        <v>198</v>
      </c>
      <c r="P5122" s="297" t="s">
        <v>199</v>
      </c>
      <c r="Q5122" s="297" t="s">
        <v>200</v>
      </c>
      <c r="R5122" s="297" t="s">
        <v>213</v>
      </c>
      <c r="S5122" s="297" t="s">
        <v>214</v>
      </c>
    </row>
    <row r="5123" spans="1:19" x14ac:dyDescent="0.4">
      <c r="A5123" s="291"/>
      <c r="B5123" s="292"/>
      <c r="C5123" s="312"/>
      <c r="D5123" s="292"/>
      <c r="E5123" s="489"/>
      <c r="F5123" s="489"/>
      <c r="G5123" s="490"/>
      <c r="H5123" s="520"/>
      <c r="I5123" s="523"/>
      <c r="J5123" s="521"/>
      <c r="K5123" s="522"/>
      <c r="M5123" s="301" t="str">
        <f>N5123&amp;AS[[#This Row],[Insurer Code]]&amp;"; "&amp;O5123&amp;AS[[#This Row],[Reporting Year]]&amp;"; "&amp;P5123&amp;AS[[#This Row],[Insurance Category Code]]&amp;"; "&amp;Q5123&amp;AS[[#This Row],[Large Provider Entity Code]]&amp;"; "&amp;R5123&amp;AS[[#This Row],[Age Band Code]]&amp;"; "&amp;S5123&amp;AS[[#This Row],[Sex Code]]</f>
        <v xml:space="preserve">Insurer Code ; Reporting Year ; Insurance Category Code ; Large Provider Entity Code ; Age Band Code ; Sex Code </v>
      </c>
      <c r="N5123" s="297" t="s">
        <v>197</v>
      </c>
      <c r="O5123" s="297" t="s">
        <v>198</v>
      </c>
      <c r="P5123" s="297" t="s">
        <v>199</v>
      </c>
      <c r="Q5123" s="297" t="s">
        <v>200</v>
      </c>
      <c r="R5123" s="297" t="s">
        <v>213</v>
      </c>
      <c r="S5123" s="297" t="s">
        <v>214</v>
      </c>
    </row>
    <row r="5124" spans="1:19" x14ac:dyDescent="0.4">
      <c r="A5124" s="291"/>
      <c r="B5124" s="292"/>
      <c r="C5124" s="312"/>
      <c r="D5124" s="292"/>
      <c r="E5124" s="489"/>
      <c r="F5124" s="489"/>
      <c r="G5124" s="490"/>
      <c r="H5124" s="520"/>
      <c r="I5124" s="523"/>
      <c r="J5124" s="521"/>
      <c r="K5124" s="522"/>
      <c r="M5124" s="301" t="str">
        <f>N5124&amp;AS[[#This Row],[Insurer Code]]&amp;"; "&amp;O5124&amp;AS[[#This Row],[Reporting Year]]&amp;"; "&amp;P5124&amp;AS[[#This Row],[Insurance Category Code]]&amp;"; "&amp;Q5124&amp;AS[[#This Row],[Large Provider Entity Code]]&amp;"; "&amp;R5124&amp;AS[[#This Row],[Age Band Code]]&amp;"; "&amp;S5124&amp;AS[[#This Row],[Sex Code]]</f>
        <v xml:space="preserve">Insurer Code ; Reporting Year ; Insurance Category Code ; Large Provider Entity Code ; Age Band Code ; Sex Code </v>
      </c>
      <c r="N5124" s="297" t="s">
        <v>197</v>
      </c>
      <c r="O5124" s="297" t="s">
        <v>198</v>
      </c>
      <c r="P5124" s="297" t="s">
        <v>199</v>
      </c>
      <c r="Q5124" s="297" t="s">
        <v>200</v>
      </c>
      <c r="R5124" s="297" t="s">
        <v>213</v>
      </c>
      <c r="S5124" s="297" t="s">
        <v>214</v>
      </c>
    </row>
    <row r="5125" spans="1:19" x14ac:dyDescent="0.4">
      <c r="A5125" s="291"/>
      <c r="B5125" s="292"/>
      <c r="C5125" s="312"/>
      <c r="D5125" s="292"/>
      <c r="E5125" s="489"/>
      <c r="F5125" s="489"/>
      <c r="G5125" s="490"/>
      <c r="H5125" s="520"/>
      <c r="I5125" s="523"/>
      <c r="J5125" s="521"/>
      <c r="K5125" s="522"/>
      <c r="M5125" s="301" t="str">
        <f>N5125&amp;AS[[#This Row],[Insurer Code]]&amp;"; "&amp;O5125&amp;AS[[#This Row],[Reporting Year]]&amp;"; "&amp;P5125&amp;AS[[#This Row],[Insurance Category Code]]&amp;"; "&amp;Q5125&amp;AS[[#This Row],[Large Provider Entity Code]]&amp;"; "&amp;R5125&amp;AS[[#This Row],[Age Band Code]]&amp;"; "&amp;S5125&amp;AS[[#This Row],[Sex Code]]</f>
        <v xml:space="preserve">Insurer Code ; Reporting Year ; Insurance Category Code ; Large Provider Entity Code ; Age Band Code ; Sex Code </v>
      </c>
      <c r="N5125" s="297" t="s">
        <v>197</v>
      </c>
      <c r="O5125" s="297" t="s">
        <v>198</v>
      </c>
      <c r="P5125" s="297" t="s">
        <v>199</v>
      </c>
      <c r="Q5125" s="297" t="s">
        <v>200</v>
      </c>
      <c r="R5125" s="297" t="s">
        <v>213</v>
      </c>
      <c r="S5125" s="297" t="s">
        <v>214</v>
      </c>
    </row>
    <row r="5126" spans="1:19" x14ac:dyDescent="0.4">
      <c r="A5126" s="291"/>
      <c r="B5126" s="292"/>
      <c r="C5126" s="312"/>
      <c r="D5126" s="292"/>
      <c r="E5126" s="489"/>
      <c r="F5126" s="489"/>
      <c r="G5126" s="490"/>
      <c r="H5126" s="520"/>
      <c r="I5126" s="523"/>
      <c r="J5126" s="521"/>
      <c r="K5126" s="522"/>
      <c r="M5126" s="301" t="str">
        <f>N5126&amp;AS[[#This Row],[Insurer Code]]&amp;"; "&amp;O5126&amp;AS[[#This Row],[Reporting Year]]&amp;"; "&amp;P5126&amp;AS[[#This Row],[Insurance Category Code]]&amp;"; "&amp;Q5126&amp;AS[[#This Row],[Large Provider Entity Code]]&amp;"; "&amp;R5126&amp;AS[[#This Row],[Age Band Code]]&amp;"; "&amp;S5126&amp;AS[[#This Row],[Sex Code]]</f>
        <v xml:space="preserve">Insurer Code ; Reporting Year ; Insurance Category Code ; Large Provider Entity Code ; Age Band Code ; Sex Code </v>
      </c>
      <c r="N5126" s="297" t="s">
        <v>197</v>
      </c>
      <c r="O5126" s="297" t="s">
        <v>198</v>
      </c>
      <c r="P5126" s="297" t="s">
        <v>199</v>
      </c>
      <c r="Q5126" s="297" t="s">
        <v>200</v>
      </c>
      <c r="R5126" s="297" t="s">
        <v>213</v>
      </c>
      <c r="S5126" s="297" t="s">
        <v>214</v>
      </c>
    </row>
    <row r="5127" spans="1:19" x14ac:dyDescent="0.4">
      <c r="A5127" s="291"/>
      <c r="B5127" s="292"/>
      <c r="C5127" s="312"/>
      <c r="D5127" s="292"/>
      <c r="E5127" s="489"/>
      <c r="F5127" s="489"/>
      <c r="G5127" s="490"/>
      <c r="H5127" s="520"/>
      <c r="I5127" s="523"/>
      <c r="J5127" s="521"/>
      <c r="K5127" s="522"/>
      <c r="M5127" s="301" t="str">
        <f>N5127&amp;AS[[#This Row],[Insurer Code]]&amp;"; "&amp;O5127&amp;AS[[#This Row],[Reporting Year]]&amp;"; "&amp;P5127&amp;AS[[#This Row],[Insurance Category Code]]&amp;"; "&amp;Q5127&amp;AS[[#This Row],[Large Provider Entity Code]]&amp;"; "&amp;R5127&amp;AS[[#This Row],[Age Band Code]]&amp;"; "&amp;S5127&amp;AS[[#This Row],[Sex Code]]</f>
        <v xml:space="preserve">Insurer Code ; Reporting Year ; Insurance Category Code ; Large Provider Entity Code ; Age Band Code ; Sex Code </v>
      </c>
      <c r="N5127" s="297" t="s">
        <v>197</v>
      </c>
      <c r="O5127" s="297" t="s">
        <v>198</v>
      </c>
      <c r="P5127" s="297" t="s">
        <v>199</v>
      </c>
      <c r="Q5127" s="297" t="s">
        <v>200</v>
      </c>
      <c r="R5127" s="297" t="s">
        <v>213</v>
      </c>
      <c r="S5127" s="297" t="s">
        <v>214</v>
      </c>
    </row>
    <row r="5128" spans="1:19" x14ac:dyDescent="0.4">
      <c r="A5128" s="291"/>
      <c r="B5128" s="292"/>
      <c r="C5128" s="312"/>
      <c r="D5128" s="292"/>
      <c r="E5128" s="489"/>
      <c r="F5128" s="489"/>
      <c r="G5128" s="490"/>
      <c r="H5128" s="520"/>
      <c r="I5128" s="523"/>
      <c r="J5128" s="521"/>
      <c r="K5128" s="522"/>
      <c r="M5128" s="301" t="str">
        <f>N5128&amp;AS[[#This Row],[Insurer Code]]&amp;"; "&amp;O5128&amp;AS[[#This Row],[Reporting Year]]&amp;"; "&amp;P5128&amp;AS[[#This Row],[Insurance Category Code]]&amp;"; "&amp;Q5128&amp;AS[[#This Row],[Large Provider Entity Code]]&amp;"; "&amp;R5128&amp;AS[[#This Row],[Age Band Code]]&amp;"; "&amp;S5128&amp;AS[[#This Row],[Sex Code]]</f>
        <v xml:space="preserve">Insurer Code ; Reporting Year ; Insurance Category Code ; Large Provider Entity Code ; Age Band Code ; Sex Code </v>
      </c>
      <c r="N5128" s="297" t="s">
        <v>197</v>
      </c>
      <c r="O5128" s="297" t="s">
        <v>198</v>
      </c>
      <c r="P5128" s="297" t="s">
        <v>199</v>
      </c>
      <c r="Q5128" s="297" t="s">
        <v>200</v>
      </c>
      <c r="R5128" s="297" t="s">
        <v>213</v>
      </c>
      <c r="S5128" s="297" t="s">
        <v>214</v>
      </c>
    </row>
    <row r="5129" spans="1:19" x14ac:dyDescent="0.4">
      <c r="A5129" s="291"/>
      <c r="B5129" s="292"/>
      <c r="C5129" s="312"/>
      <c r="D5129" s="292"/>
      <c r="E5129" s="489"/>
      <c r="F5129" s="489"/>
      <c r="G5129" s="490"/>
      <c r="H5129" s="520"/>
      <c r="I5129" s="523"/>
      <c r="J5129" s="521"/>
      <c r="K5129" s="522"/>
      <c r="M5129" s="301" t="str">
        <f>N5129&amp;AS[[#This Row],[Insurer Code]]&amp;"; "&amp;O5129&amp;AS[[#This Row],[Reporting Year]]&amp;"; "&amp;P5129&amp;AS[[#This Row],[Insurance Category Code]]&amp;"; "&amp;Q5129&amp;AS[[#This Row],[Large Provider Entity Code]]&amp;"; "&amp;R5129&amp;AS[[#This Row],[Age Band Code]]&amp;"; "&amp;S5129&amp;AS[[#This Row],[Sex Code]]</f>
        <v xml:space="preserve">Insurer Code ; Reporting Year ; Insurance Category Code ; Large Provider Entity Code ; Age Band Code ; Sex Code </v>
      </c>
      <c r="N5129" s="297" t="s">
        <v>197</v>
      </c>
      <c r="O5129" s="297" t="s">
        <v>198</v>
      </c>
      <c r="P5129" s="297" t="s">
        <v>199</v>
      </c>
      <c r="Q5129" s="297" t="s">
        <v>200</v>
      </c>
      <c r="R5129" s="297" t="s">
        <v>213</v>
      </c>
      <c r="S5129" s="297" t="s">
        <v>214</v>
      </c>
    </row>
    <row r="5130" spans="1:19" x14ac:dyDescent="0.4">
      <c r="A5130" s="291"/>
      <c r="B5130" s="292"/>
      <c r="C5130" s="312"/>
      <c r="D5130" s="292"/>
      <c r="E5130" s="489"/>
      <c r="F5130" s="489"/>
      <c r="G5130" s="490"/>
      <c r="H5130" s="520"/>
      <c r="I5130" s="523"/>
      <c r="J5130" s="521"/>
      <c r="K5130" s="522"/>
      <c r="M5130" s="301" t="str">
        <f>N5130&amp;AS[[#This Row],[Insurer Code]]&amp;"; "&amp;O5130&amp;AS[[#This Row],[Reporting Year]]&amp;"; "&amp;P5130&amp;AS[[#This Row],[Insurance Category Code]]&amp;"; "&amp;Q5130&amp;AS[[#This Row],[Large Provider Entity Code]]&amp;"; "&amp;R5130&amp;AS[[#This Row],[Age Band Code]]&amp;"; "&amp;S5130&amp;AS[[#This Row],[Sex Code]]</f>
        <v xml:space="preserve">Insurer Code ; Reporting Year ; Insurance Category Code ; Large Provider Entity Code ; Age Band Code ; Sex Code </v>
      </c>
      <c r="N5130" s="297" t="s">
        <v>197</v>
      </c>
      <c r="O5130" s="297" t="s">
        <v>198</v>
      </c>
      <c r="P5130" s="297" t="s">
        <v>199</v>
      </c>
      <c r="Q5130" s="297" t="s">
        <v>200</v>
      </c>
      <c r="R5130" s="297" t="s">
        <v>213</v>
      </c>
      <c r="S5130" s="297" t="s">
        <v>214</v>
      </c>
    </row>
    <row r="5131" spans="1:19" x14ac:dyDescent="0.4">
      <c r="A5131" s="291"/>
      <c r="B5131" s="292"/>
      <c r="C5131" s="312"/>
      <c r="D5131" s="292"/>
      <c r="E5131" s="489"/>
      <c r="F5131" s="489"/>
      <c r="G5131" s="490"/>
      <c r="H5131" s="520"/>
      <c r="I5131" s="523"/>
      <c r="J5131" s="521"/>
      <c r="K5131" s="522"/>
      <c r="M5131" s="301" t="str">
        <f>N5131&amp;AS[[#This Row],[Insurer Code]]&amp;"; "&amp;O5131&amp;AS[[#This Row],[Reporting Year]]&amp;"; "&amp;P5131&amp;AS[[#This Row],[Insurance Category Code]]&amp;"; "&amp;Q5131&amp;AS[[#This Row],[Large Provider Entity Code]]&amp;"; "&amp;R5131&amp;AS[[#This Row],[Age Band Code]]&amp;"; "&amp;S5131&amp;AS[[#This Row],[Sex Code]]</f>
        <v xml:space="preserve">Insurer Code ; Reporting Year ; Insurance Category Code ; Large Provider Entity Code ; Age Band Code ; Sex Code </v>
      </c>
      <c r="N5131" s="297" t="s">
        <v>197</v>
      </c>
      <c r="O5131" s="297" t="s">
        <v>198</v>
      </c>
      <c r="P5131" s="297" t="s">
        <v>199</v>
      </c>
      <c r="Q5131" s="297" t="s">
        <v>200</v>
      </c>
      <c r="R5131" s="297" t="s">
        <v>213</v>
      </c>
      <c r="S5131" s="297" t="s">
        <v>214</v>
      </c>
    </row>
    <row r="5132" spans="1:19" x14ac:dyDescent="0.4">
      <c r="A5132" s="291"/>
      <c r="B5132" s="292"/>
      <c r="C5132" s="312"/>
      <c r="D5132" s="292"/>
      <c r="E5132" s="489"/>
      <c r="F5132" s="489"/>
      <c r="G5132" s="490"/>
      <c r="H5132" s="520"/>
      <c r="I5132" s="523"/>
      <c r="J5132" s="521"/>
      <c r="K5132" s="522"/>
      <c r="M5132" s="301" t="str">
        <f>N5132&amp;AS[[#This Row],[Insurer Code]]&amp;"; "&amp;O5132&amp;AS[[#This Row],[Reporting Year]]&amp;"; "&amp;P5132&amp;AS[[#This Row],[Insurance Category Code]]&amp;"; "&amp;Q5132&amp;AS[[#This Row],[Large Provider Entity Code]]&amp;"; "&amp;R5132&amp;AS[[#This Row],[Age Band Code]]&amp;"; "&amp;S5132&amp;AS[[#This Row],[Sex Code]]</f>
        <v xml:space="preserve">Insurer Code ; Reporting Year ; Insurance Category Code ; Large Provider Entity Code ; Age Band Code ; Sex Code </v>
      </c>
      <c r="N5132" s="297" t="s">
        <v>197</v>
      </c>
      <c r="O5132" s="297" t="s">
        <v>198</v>
      </c>
      <c r="P5132" s="297" t="s">
        <v>199</v>
      </c>
      <c r="Q5132" s="297" t="s">
        <v>200</v>
      </c>
      <c r="R5132" s="297" t="s">
        <v>213</v>
      </c>
      <c r="S5132" s="297" t="s">
        <v>214</v>
      </c>
    </row>
    <row r="5133" spans="1:19" x14ac:dyDescent="0.4">
      <c r="A5133" s="291"/>
      <c r="B5133" s="292"/>
      <c r="C5133" s="312"/>
      <c r="D5133" s="292"/>
      <c r="E5133" s="489"/>
      <c r="F5133" s="489"/>
      <c r="G5133" s="490"/>
      <c r="H5133" s="520"/>
      <c r="I5133" s="523"/>
      <c r="J5133" s="521"/>
      <c r="K5133" s="522"/>
      <c r="M5133" s="301" t="str">
        <f>N5133&amp;AS[[#This Row],[Insurer Code]]&amp;"; "&amp;O5133&amp;AS[[#This Row],[Reporting Year]]&amp;"; "&amp;P5133&amp;AS[[#This Row],[Insurance Category Code]]&amp;"; "&amp;Q5133&amp;AS[[#This Row],[Large Provider Entity Code]]&amp;"; "&amp;R5133&amp;AS[[#This Row],[Age Band Code]]&amp;"; "&amp;S5133&amp;AS[[#This Row],[Sex Code]]</f>
        <v xml:space="preserve">Insurer Code ; Reporting Year ; Insurance Category Code ; Large Provider Entity Code ; Age Band Code ; Sex Code </v>
      </c>
      <c r="N5133" s="297" t="s">
        <v>197</v>
      </c>
      <c r="O5133" s="297" t="s">
        <v>198</v>
      </c>
      <c r="P5133" s="297" t="s">
        <v>199</v>
      </c>
      <c r="Q5133" s="297" t="s">
        <v>200</v>
      </c>
      <c r="R5133" s="297" t="s">
        <v>213</v>
      </c>
      <c r="S5133" s="297" t="s">
        <v>214</v>
      </c>
    </row>
    <row r="5134" spans="1:19" x14ac:dyDescent="0.4">
      <c r="A5134" s="291"/>
      <c r="B5134" s="292"/>
      <c r="C5134" s="312"/>
      <c r="D5134" s="292"/>
      <c r="E5134" s="489"/>
      <c r="F5134" s="489"/>
      <c r="G5134" s="490"/>
      <c r="H5134" s="520"/>
      <c r="I5134" s="523"/>
      <c r="J5134" s="521"/>
      <c r="K5134" s="522"/>
      <c r="M5134" s="301" t="str">
        <f>N5134&amp;AS[[#This Row],[Insurer Code]]&amp;"; "&amp;O5134&amp;AS[[#This Row],[Reporting Year]]&amp;"; "&amp;P5134&amp;AS[[#This Row],[Insurance Category Code]]&amp;"; "&amp;Q5134&amp;AS[[#This Row],[Large Provider Entity Code]]&amp;"; "&amp;R5134&amp;AS[[#This Row],[Age Band Code]]&amp;"; "&amp;S5134&amp;AS[[#This Row],[Sex Code]]</f>
        <v xml:space="preserve">Insurer Code ; Reporting Year ; Insurance Category Code ; Large Provider Entity Code ; Age Band Code ; Sex Code </v>
      </c>
      <c r="N5134" s="297" t="s">
        <v>197</v>
      </c>
      <c r="O5134" s="297" t="s">
        <v>198</v>
      </c>
      <c r="P5134" s="297" t="s">
        <v>199</v>
      </c>
      <c r="Q5134" s="297" t="s">
        <v>200</v>
      </c>
      <c r="R5134" s="297" t="s">
        <v>213</v>
      </c>
      <c r="S5134" s="297" t="s">
        <v>214</v>
      </c>
    </row>
    <row r="5135" spans="1:19" x14ac:dyDescent="0.4">
      <c r="A5135" s="291"/>
      <c r="B5135" s="292"/>
      <c r="C5135" s="312"/>
      <c r="D5135" s="292"/>
      <c r="E5135" s="489"/>
      <c r="F5135" s="489"/>
      <c r="G5135" s="490"/>
      <c r="H5135" s="520"/>
      <c r="I5135" s="523"/>
      <c r="J5135" s="521"/>
      <c r="K5135" s="522"/>
      <c r="M5135" s="301" t="str">
        <f>N5135&amp;AS[[#This Row],[Insurer Code]]&amp;"; "&amp;O5135&amp;AS[[#This Row],[Reporting Year]]&amp;"; "&amp;P5135&amp;AS[[#This Row],[Insurance Category Code]]&amp;"; "&amp;Q5135&amp;AS[[#This Row],[Large Provider Entity Code]]&amp;"; "&amp;R5135&amp;AS[[#This Row],[Age Band Code]]&amp;"; "&amp;S5135&amp;AS[[#This Row],[Sex Code]]</f>
        <v xml:space="preserve">Insurer Code ; Reporting Year ; Insurance Category Code ; Large Provider Entity Code ; Age Band Code ; Sex Code </v>
      </c>
      <c r="N5135" s="297" t="s">
        <v>197</v>
      </c>
      <c r="O5135" s="297" t="s">
        <v>198</v>
      </c>
      <c r="P5135" s="297" t="s">
        <v>199</v>
      </c>
      <c r="Q5135" s="297" t="s">
        <v>200</v>
      </c>
      <c r="R5135" s="297" t="s">
        <v>213</v>
      </c>
      <c r="S5135" s="297" t="s">
        <v>214</v>
      </c>
    </row>
    <row r="5136" spans="1:19" x14ac:dyDescent="0.4">
      <c r="A5136" s="291"/>
      <c r="B5136" s="292"/>
      <c r="C5136" s="312"/>
      <c r="D5136" s="292"/>
      <c r="E5136" s="489"/>
      <c r="F5136" s="489"/>
      <c r="G5136" s="490"/>
      <c r="H5136" s="520"/>
      <c r="I5136" s="523"/>
      <c r="J5136" s="521"/>
      <c r="K5136" s="522"/>
      <c r="M5136" s="301" t="str">
        <f>N5136&amp;AS[[#This Row],[Insurer Code]]&amp;"; "&amp;O5136&amp;AS[[#This Row],[Reporting Year]]&amp;"; "&amp;P5136&amp;AS[[#This Row],[Insurance Category Code]]&amp;"; "&amp;Q5136&amp;AS[[#This Row],[Large Provider Entity Code]]&amp;"; "&amp;R5136&amp;AS[[#This Row],[Age Band Code]]&amp;"; "&amp;S5136&amp;AS[[#This Row],[Sex Code]]</f>
        <v xml:space="preserve">Insurer Code ; Reporting Year ; Insurance Category Code ; Large Provider Entity Code ; Age Band Code ; Sex Code </v>
      </c>
      <c r="N5136" s="297" t="s">
        <v>197</v>
      </c>
      <c r="O5136" s="297" t="s">
        <v>198</v>
      </c>
      <c r="P5136" s="297" t="s">
        <v>199</v>
      </c>
      <c r="Q5136" s="297" t="s">
        <v>200</v>
      </c>
      <c r="R5136" s="297" t="s">
        <v>213</v>
      </c>
      <c r="S5136" s="297" t="s">
        <v>214</v>
      </c>
    </row>
    <row r="5137" spans="1:19" x14ac:dyDescent="0.4">
      <c r="A5137" s="291"/>
      <c r="B5137" s="292"/>
      <c r="C5137" s="312"/>
      <c r="D5137" s="292"/>
      <c r="E5137" s="489"/>
      <c r="F5137" s="489"/>
      <c r="G5137" s="490"/>
      <c r="H5137" s="520"/>
      <c r="I5137" s="523"/>
      <c r="J5137" s="521"/>
      <c r="K5137" s="522"/>
      <c r="M5137" s="301" t="str">
        <f>N5137&amp;AS[[#This Row],[Insurer Code]]&amp;"; "&amp;O5137&amp;AS[[#This Row],[Reporting Year]]&amp;"; "&amp;P5137&amp;AS[[#This Row],[Insurance Category Code]]&amp;"; "&amp;Q5137&amp;AS[[#This Row],[Large Provider Entity Code]]&amp;"; "&amp;R5137&amp;AS[[#This Row],[Age Band Code]]&amp;"; "&amp;S5137&amp;AS[[#This Row],[Sex Code]]</f>
        <v xml:space="preserve">Insurer Code ; Reporting Year ; Insurance Category Code ; Large Provider Entity Code ; Age Band Code ; Sex Code </v>
      </c>
      <c r="N5137" s="297" t="s">
        <v>197</v>
      </c>
      <c r="O5137" s="297" t="s">
        <v>198</v>
      </c>
      <c r="P5137" s="297" t="s">
        <v>199</v>
      </c>
      <c r="Q5137" s="297" t="s">
        <v>200</v>
      </c>
      <c r="R5137" s="297" t="s">
        <v>213</v>
      </c>
      <c r="S5137" s="297" t="s">
        <v>214</v>
      </c>
    </row>
    <row r="5138" spans="1:19" x14ac:dyDescent="0.4">
      <c r="A5138" s="291"/>
      <c r="B5138" s="292"/>
      <c r="C5138" s="312"/>
      <c r="D5138" s="292"/>
      <c r="E5138" s="489"/>
      <c r="F5138" s="489"/>
      <c r="G5138" s="490"/>
      <c r="H5138" s="520"/>
      <c r="I5138" s="523"/>
      <c r="J5138" s="521"/>
      <c r="K5138" s="522"/>
      <c r="M5138" s="301" t="str">
        <f>N5138&amp;AS[[#This Row],[Insurer Code]]&amp;"; "&amp;O5138&amp;AS[[#This Row],[Reporting Year]]&amp;"; "&amp;P5138&amp;AS[[#This Row],[Insurance Category Code]]&amp;"; "&amp;Q5138&amp;AS[[#This Row],[Large Provider Entity Code]]&amp;"; "&amp;R5138&amp;AS[[#This Row],[Age Band Code]]&amp;"; "&amp;S5138&amp;AS[[#This Row],[Sex Code]]</f>
        <v xml:space="preserve">Insurer Code ; Reporting Year ; Insurance Category Code ; Large Provider Entity Code ; Age Band Code ; Sex Code </v>
      </c>
      <c r="N5138" s="297" t="s">
        <v>197</v>
      </c>
      <c r="O5138" s="297" t="s">
        <v>198</v>
      </c>
      <c r="P5138" s="297" t="s">
        <v>199</v>
      </c>
      <c r="Q5138" s="297" t="s">
        <v>200</v>
      </c>
      <c r="R5138" s="297" t="s">
        <v>213</v>
      </c>
      <c r="S5138" s="297" t="s">
        <v>214</v>
      </c>
    </row>
    <row r="5139" spans="1:19" x14ac:dyDescent="0.4">
      <c r="A5139" s="291"/>
      <c r="B5139" s="292"/>
      <c r="C5139" s="312"/>
      <c r="D5139" s="292"/>
      <c r="E5139" s="489"/>
      <c r="F5139" s="489"/>
      <c r="G5139" s="490"/>
      <c r="H5139" s="520"/>
      <c r="I5139" s="523"/>
      <c r="J5139" s="521"/>
      <c r="K5139" s="522"/>
      <c r="M5139" s="301" t="str">
        <f>N5139&amp;AS[[#This Row],[Insurer Code]]&amp;"; "&amp;O5139&amp;AS[[#This Row],[Reporting Year]]&amp;"; "&amp;P5139&amp;AS[[#This Row],[Insurance Category Code]]&amp;"; "&amp;Q5139&amp;AS[[#This Row],[Large Provider Entity Code]]&amp;"; "&amp;R5139&amp;AS[[#This Row],[Age Band Code]]&amp;"; "&amp;S5139&amp;AS[[#This Row],[Sex Code]]</f>
        <v xml:space="preserve">Insurer Code ; Reporting Year ; Insurance Category Code ; Large Provider Entity Code ; Age Band Code ; Sex Code </v>
      </c>
      <c r="N5139" s="297" t="s">
        <v>197</v>
      </c>
      <c r="O5139" s="297" t="s">
        <v>198</v>
      </c>
      <c r="P5139" s="297" t="s">
        <v>199</v>
      </c>
      <c r="Q5139" s="297" t="s">
        <v>200</v>
      </c>
      <c r="R5139" s="297" t="s">
        <v>213</v>
      </c>
      <c r="S5139" s="297" t="s">
        <v>214</v>
      </c>
    </row>
    <row r="5140" spans="1:19" x14ac:dyDescent="0.4">
      <c r="A5140" s="291"/>
      <c r="B5140" s="292"/>
      <c r="C5140" s="312"/>
      <c r="D5140" s="292"/>
      <c r="E5140" s="489"/>
      <c r="F5140" s="489"/>
      <c r="G5140" s="490"/>
      <c r="H5140" s="520"/>
      <c r="I5140" s="523"/>
      <c r="J5140" s="521"/>
      <c r="K5140" s="522"/>
      <c r="M5140" s="301" t="str">
        <f>N5140&amp;AS[[#This Row],[Insurer Code]]&amp;"; "&amp;O5140&amp;AS[[#This Row],[Reporting Year]]&amp;"; "&amp;P5140&amp;AS[[#This Row],[Insurance Category Code]]&amp;"; "&amp;Q5140&amp;AS[[#This Row],[Large Provider Entity Code]]&amp;"; "&amp;R5140&amp;AS[[#This Row],[Age Band Code]]&amp;"; "&amp;S5140&amp;AS[[#This Row],[Sex Code]]</f>
        <v xml:space="preserve">Insurer Code ; Reporting Year ; Insurance Category Code ; Large Provider Entity Code ; Age Band Code ; Sex Code </v>
      </c>
      <c r="N5140" s="297" t="s">
        <v>197</v>
      </c>
      <c r="O5140" s="297" t="s">
        <v>198</v>
      </c>
      <c r="P5140" s="297" t="s">
        <v>199</v>
      </c>
      <c r="Q5140" s="297" t="s">
        <v>200</v>
      </c>
      <c r="R5140" s="297" t="s">
        <v>213</v>
      </c>
      <c r="S5140" s="297" t="s">
        <v>214</v>
      </c>
    </row>
    <row r="5141" spans="1:19" x14ac:dyDescent="0.4">
      <c r="A5141" s="291"/>
      <c r="B5141" s="292"/>
      <c r="C5141" s="312"/>
      <c r="D5141" s="292"/>
      <c r="E5141" s="489"/>
      <c r="F5141" s="489"/>
      <c r="G5141" s="490"/>
      <c r="H5141" s="520"/>
      <c r="I5141" s="523"/>
      <c r="J5141" s="521"/>
      <c r="K5141" s="522"/>
      <c r="M5141" s="301" t="str">
        <f>N5141&amp;AS[[#This Row],[Insurer Code]]&amp;"; "&amp;O5141&amp;AS[[#This Row],[Reporting Year]]&amp;"; "&amp;P5141&amp;AS[[#This Row],[Insurance Category Code]]&amp;"; "&amp;Q5141&amp;AS[[#This Row],[Large Provider Entity Code]]&amp;"; "&amp;R5141&amp;AS[[#This Row],[Age Band Code]]&amp;"; "&amp;S5141&amp;AS[[#This Row],[Sex Code]]</f>
        <v xml:space="preserve">Insurer Code ; Reporting Year ; Insurance Category Code ; Large Provider Entity Code ; Age Band Code ; Sex Code </v>
      </c>
      <c r="N5141" s="297" t="s">
        <v>197</v>
      </c>
      <c r="O5141" s="297" t="s">
        <v>198</v>
      </c>
      <c r="P5141" s="297" t="s">
        <v>199</v>
      </c>
      <c r="Q5141" s="297" t="s">
        <v>200</v>
      </c>
      <c r="R5141" s="297" t="s">
        <v>213</v>
      </c>
      <c r="S5141" s="297" t="s">
        <v>214</v>
      </c>
    </row>
    <row r="5142" spans="1:19" x14ac:dyDescent="0.4">
      <c r="A5142" s="291"/>
      <c r="B5142" s="292"/>
      <c r="C5142" s="312"/>
      <c r="D5142" s="292"/>
      <c r="E5142" s="489"/>
      <c r="F5142" s="489"/>
      <c r="G5142" s="490"/>
      <c r="H5142" s="520"/>
      <c r="I5142" s="523"/>
      <c r="J5142" s="521"/>
      <c r="K5142" s="522"/>
      <c r="M5142" s="301" t="str">
        <f>N5142&amp;AS[[#This Row],[Insurer Code]]&amp;"; "&amp;O5142&amp;AS[[#This Row],[Reporting Year]]&amp;"; "&amp;P5142&amp;AS[[#This Row],[Insurance Category Code]]&amp;"; "&amp;Q5142&amp;AS[[#This Row],[Large Provider Entity Code]]&amp;"; "&amp;R5142&amp;AS[[#This Row],[Age Band Code]]&amp;"; "&amp;S5142&amp;AS[[#This Row],[Sex Code]]</f>
        <v xml:space="preserve">Insurer Code ; Reporting Year ; Insurance Category Code ; Large Provider Entity Code ; Age Band Code ; Sex Code </v>
      </c>
      <c r="N5142" s="297" t="s">
        <v>197</v>
      </c>
      <c r="O5142" s="297" t="s">
        <v>198</v>
      </c>
      <c r="P5142" s="297" t="s">
        <v>199</v>
      </c>
      <c r="Q5142" s="297" t="s">
        <v>200</v>
      </c>
      <c r="R5142" s="297" t="s">
        <v>213</v>
      </c>
      <c r="S5142" s="297" t="s">
        <v>214</v>
      </c>
    </row>
    <row r="5143" spans="1:19" x14ac:dyDescent="0.4">
      <c r="A5143" s="291"/>
      <c r="B5143" s="292"/>
      <c r="C5143" s="312"/>
      <c r="D5143" s="292"/>
      <c r="E5143" s="489"/>
      <c r="F5143" s="489"/>
      <c r="G5143" s="490"/>
      <c r="H5143" s="520"/>
      <c r="I5143" s="523"/>
      <c r="J5143" s="521"/>
      <c r="K5143" s="522"/>
      <c r="M5143" s="301" t="str">
        <f>N5143&amp;AS[[#This Row],[Insurer Code]]&amp;"; "&amp;O5143&amp;AS[[#This Row],[Reporting Year]]&amp;"; "&amp;P5143&amp;AS[[#This Row],[Insurance Category Code]]&amp;"; "&amp;Q5143&amp;AS[[#This Row],[Large Provider Entity Code]]&amp;"; "&amp;R5143&amp;AS[[#This Row],[Age Band Code]]&amp;"; "&amp;S5143&amp;AS[[#This Row],[Sex Code]]</f>
        <v xml:space="preserve">Insurer Code ; Reporting Year ; Insurance Category Code ; Large Provider Entity Code ; Age Band Code ; Sex Code </v>
      </c>
      <c r="N5143" s="297" t="s">
        <v>197</v>
      </c>
      <c r="O5143" s="297" t="s">
        <v>198</v>
      </c>
      <c r="P5143" s="297" t="s">
        <v>199</v>
      </c>
      <c r="Q5143" s="297" t="s">
        <v>200</v>
      </c>
      <c r="R5143" s="297" t="s">
        <v>213</v>
      </c>
      <c r="S5143" s="297" t="s">
        <v>214</v>
      </c>
    </row>
    <row r="5144" spans="1:19" x14ac:dyDescent="0.4">
      <c r="A5144" s="291"/>
      <c r="B5144" s="292"/>
      <c r="C5144" s="312"/>
      <c r="D5144" s="292"/>
      <c r="E5144" s="489"/>
      <c r="F5144" s="489"/>
      <c r="G5144" s="490"/>
      <c r="H5144" s="520"/>
      <c r="I5144" s="523"/>
      <c r="J5144" s="521"/>
      <c r="K5144" s="522"/>
      <c r="M5144" s="301" t="str">
        <f>N5144&amp;AS[[#This Row],[Insurer Code]]&amp;"; "&amp;O5144&amp;AS[[#This Row],[Reporting Year]]&amp;"; "&amp;P5144&amp;AS[[#This Row],[Insurance Category Code]]&amp;"; "&amp;Q5144&amp;AS[[#This Row],[Large Provider Entity Code]]&amp;"; "&amp;R5144&amp;AS[[#This Row],[Age Band Code]]&amp;"; "&amp;S5144&amp;AS[[#This Row],[Sex Code]]</f>
        <v xml:space="preserve">Insurer Code ; Reporting Year ; Insurance Category Code ; Large Provider Entity Code ; Age Band Code ; Sex Code </v>
      </c>
      <c r="N5144" s="297" t="s">
        <v>197</v>
      </c>
      <c r="O5144" s="297" t="s">
        <v>198</v>
      </c>
      <c r="P5144" s="297" t="s">
        <v>199</v>
      </c>
      <c r="Q5144" s="297" t="s">
        <v>200</v>
      </c>
      <c r="R5144" s="297" t="s">
        <v>213</v>
      </c>
      <c r="S5144" s="297" t="s">
        <v>214</v>
      </c>
    </row>
    <row r="5145" spans="1:19" x14ac:dyDescent="0.4">
      <c r="A5145" s="291"/>
      <c r="B5145" s="292"/>
      <c r="C5145" s="312"/>
      <c r="D5145" s="292"/>
      <c r="E5145" s="489"/>
      <c r="F5145" s="489"/>
      <c r="G5145" s="490"/>
      <c r="H5145" s="520"/>
      <c r="I5145" s="523"/>
      <c r="J5145" s="521"/>
      <c r="K5145" s="522"/>
      <c r="M5145" s="301" t="str">
        <f>N5145&amp;AS[[#This Row],[Insurer Code]]&amp;"; "&amp;O5145&amp;AS[[#This Row],[Reporting Year]]&amp;"; "&amp;P5145&amp;AS[[#This Row],[Insurance Category Code]]&amp;"; "&amp;Q5145&amp;AS[[#This Row],[Large Provider Entity Code]]&amp;"; "&amp;R5145&amp;AS[[#This Row],[Age Band Code]]&amp;"; "&amp;S5145&amp;AS[[#This Row],[Sex Code]]</f>
        <v xml:space="preserve">Insurer Code ; Reporting Year ; Insurance Category Code ; Large Provider Entity Code ; Age Band Code ; Sex Code </v>
      </c>
      <c r="N5145" s="297" t="s">
        <v>197</v>
      </c>
      <c r="O5145" s="297" t="s">
        <v>198</v>
      </c>
      <c r="P5145" s="297" t="s">
        <v>199</v>
      </c>
      <c r="Q5145" s="297" t="s">
        <v>200</v>
      </c>
      <c r="R5145" s="297" t="s">
        <v>213</v>
      </c>
      <c r="S5145" s="297" t="s">
        <v>214</v>
      </c>
    </row>
    <row r="5146" spans="1:19" x14ac:dyDescent="0.4">
      <c r="A5146" s="291"/>
      <c r="B5146" s="292"/>
      <c r="C5146" s="312"/>
      <c r="D5146" s="292"/>
      <c r="E5146" s="489"/>
      <c r="F5146" s="489"/>
      <c r="G5146" s="490"/>
      <c r="H5146" s="520"/>
      <c r="I5146" s="523"/>
      <c r="J5146" s="521"/>
      <c r="K5146" s="522"/>
      <c r="M5146" s="301" t="str">
        <f>N5146&amp;AS[[#This Row],[Insurer Code]]&amp;"; "&amp;O5146&amp;AS[[#This Row],[Reporting Year]]&amp;"; "&amp;P5146&amp;AS[[#This Row],[Insurance Category Code]]&amp;"; "&amp;Q5146&amp;AS[[#This Row],[Large Provider Entity Code]]&amp;"; "&amp;R5146&amp;AS[[#This Row],[Age Band Code]]&amp;"; "&amp;S5146&amp;AS[[#This Row],[Sex Code]]</f>
        <v xml:space="preserve">Insurer Code ; Reporting Year ; Insurance Category Code ; Large Provider Entity Code ; Age Band Code ; Sex Code </v>
      </c>
      <c r="N5146" s="297" t="s">
        <v>197</v>
      </c>
      <c r="O5146" s="297" t="s">
        <v>198</v>
      </c>
      <c r="P5146" s="297" t="s">
        <v>199</v>
      </c>
      <c r="Q5146" s="297" t="s">
        <v>200</v>
      </c>
      <c r="R5146" s="297" t="s">
        <v>213</v>
      </c>
      <c r="S5146" s="297" t="s">
        <v>214</v>
      </c>
    </row>
    <row r="5147" spans="1:19" x14ac:dyDescent="0.4">
      <c r="A5147" s="291"/>
      <c r="B5147" s="292"/>
      <c r="C5147" s="312"/>
      <c r="D5147" s="292"/>
      <c r="E5147" s="489"/>
      <c r="F5147" s="489"/>
      <c r="G5147" s="490"/>
      <c r="H5147" s="520"/>
      <c r="I5147" s="523"/>
      <c r="J5147" s="521"/>
      <c r="K5147" s="522"/>
      <c r="M5147" s="301" t="str">
        <f>N5147&amp;AS[[#This Row],[Insurer Code]]&amp;"; "&amp;O5147&amp;AS[[#This Row],[Reporting Year]]&amp;"; "&amp;P5147&amp;AS[[#This Row],[Insurance Category Code]]&amp;"; "&amp;Q5147&amp;AS[[#This Row],[Large Provider Entity Code]]&amp;"; "&amp;R5147&amp;AS[[#This Row],[Age Band Code]]&amp;"; "&amp;S5147&amp;AS[[#This Row],[Sex Code]]</f>
        <v xml:space="preserve">Insurer Code ; Reporting Year ; Insurance Category Code ; Large Provider Entity Code ; Age Band Code ; Sex Code </v>
      </c>
      <c r="N5147" s="297" t="s">
        <v>197</v>
      </c>
      <c r="O5147" s="297" t="s">
        <v>198</v>
      </c>
      <c r="P5147" s="297" t="s">
        <v>199</v>
      </c>
      <c r="Q5147" s="297" t="s">
        <v>200</v>
      </c>
      <c r="R5147" s="297" t="s">
        <v>213</v>
      </c>
      <c r="S5147" s="297" t="s">
        <v>214</v>
      </c>
    </row>
    <row r="5148" spans="1:19" x14ac:dyDescent="0.4">
      <c r="A5148" s="291"/>
      <c r="B5148" s="292"/>
      <c r="C5148" s="312"/>
      <c r="D5148" s="292"/>
      <c r="E5148" s="489"/>
      <c r="F5148" s="489"/>
      <c r="G5148" s="490"/>
      <c r="H5148" s="520"/>
      <c r="I5148" s="523"/>
      <c r="J5148" s="521"/>
      <c r="K5148" s="522"/>
      <c r="M5148" s="301" t="str">
        <f>N5148&amp;AS[[#This Row],[Insurer Code]]&amp;"; "&amp;O5148&amp;AS[[#This Row],[Reporting Year]]&amp;"; "&amp;P5148&amp;AS[[#This Row],[Insurance Category Code]]&amp;"; "&amp;Q5148&amp;AS[[#This Row],[Large Provider Entity Code]]&amp;"; "&amp;R5148&amp;AS[[#This Row],[Age Band Code]]&amp;"; "&amp;S5148&amp;AS[[#This Row],[Sex Code]]</f>
        <v xml:space="preserve">Insurer Code ; Reporting Year ; Insurance Category Code ; Large Provider Entity Code ; Age Band Code ; Sex Code </v>
      </c>
      <c r="N5148" s="297" t="s">
        <v>197</v>
      </c>
      <c r="O5148" s="297" t="s">
        <v>198</v>
      </c>
      <c r="P5148" s="297" t="s">
        <v>199</v>
      </c>
      <c r="Q5148" s="297" t="s">
        <v>200</v>
      </c>
      <c r="R5148" s="297" t="s">
        <v>213</v>
      </c>
      <c r="S5148" s="297" t="s">
        <v>214</v>
      </c>
    </row>
    <row r="5149" spans="1:19" x14ac:dyDescent="0.4">
      <c r="A5149" s="291"/>
      <c r="B5149" s="292"/>
      <c r="C5149" s="312"/>
      <c r="D5149" s="292"/>
      <c r="E5149" s="489"/>
      <c r="F5149" s="489"/>
      <c r="G5149" s="490"/>
      <c r="H5149" s="520"/>
      <c r="I5149" s="523"/>
      <c r="J5149" s="521"/>
      <c r="K5149" s="522"/>
      <c r="M5149" s="301" t="str">
        <f>N5149&amp;AS[[#This Row],[Insurer Code]]&amp;"; "&amp;O5149&amp;AS[[#This Row],[Reporting Year]]&amp;"; "&amp;P5149&amp;AS[[#This Row],[Insurance Category Code]]&amp;"; "&amp;Q5149&amp;AS[[#This Row],[Large Provider Entity Code]]&amp;"; "&amp;R5149&amp;AS[[#This Row],[Age Band Code]]&amp;"; "&amp;S5149&amp;AS[[#This Row],[Sex Code]]</f>
        <v xml:space="preserve">Insurer Code ; Reporting Year ; Insurance Category Code ; Large Provider Entity Code ; Age Band Code ; Sex Code </v>
      </c>
      <c r="N5149" s="297" t="s">
        <v>197</v>
      </c>
      <c r="O5149" s="297" t="s">
        <v>198</v>
      </c>
      <c r="P5149" s="297" t="s">
        <v>199</v>
      </c>
      <c r="Q5149" s="297" t="s">
        <v>200</v>
      </c>
      <c r="R5149" s="297" t="s">
        <v>213</v>
      </c>
      <c r="S5149" s="297" t="s">
        <v>214</v>
      </c>
    </row>
    <row r="5150" spans="1:19" x14ac:dyDescent="0.4">
      <c r="A5150" s="291"/>
      <c r="B5150" s="292"/>
      <c r="C5150" s="312"/>
      <c r="D5150" s="292"/>
      <c r="E5150" s="489"/>
      <c r="F5150" s="489"/>
      <c r="G5150" s="490"/>
      <c r="H5150" s="520"/>
      <c r="I5150" s="523"/>
      <c r="J5150" s="521"/>
      <c r="K5150" s="522"/>
      <c r="M5150" s="301" t="str">
        <f>N5150&amp;AS[[#This Row],[Insurer Code]]&amp;"; "&amp;O5150&amp;AS[[#This Row],[Reporting Year]]&amp;"; "&amp;P5150&amp;AS[[#This Row],[Insurance Category Code]]&amp;"; "&amp;Q5150&amp;AS[[#This Row],[Large Provider Entity Code]]&amp;"; "&amp;R5150&amp;AS[[#This Row],[Age Band Code]]&amp;"; "&amp;S5150&amp;AS[[#This Row],[Sex Code]]</f>
        <v xml:space="preserve">Insurer Code ; Reporting Year ; Insurance Category Code ; Large Provider Entity Code ; Age Band Code ; Sex Code </v>
      </c>
      <c r="N5150" s="297" t="s">
        <v>197</v>
      </c>
      <c r="O5150" s="297" t="s">
        <v>198</v>
      </c>
      <c r="P5150" s="297" t="s">
        <v>199</v>
      </c>
      <c r="Q5150" s="297" t="s">
        <v>200</v>
      </c>
      <c r="R5150" s="297" t="s">
        <v>213</v>
      </c>
      <c r="S5150" s="297" t="s">
        <v>214</v>
      </c>
    </row>
    <row r="5151" spans="1:19" x14ac:dyDescent="0.4">
      <c r="A5151" s="291"/>
      <c r="B5151" s="292"/>
      <c r="C5151" s="312"/>
      <c r="D5151" s="292"/>
      <c r="E5151" s="489"/>
      <c r="F5151" s="489"/>
      <c r="G5151" s="490"/>
      <c r="H5151" s="520"/>
      <c r="I5151" s="523"/>
      <c r="J5151" s="521"/>
      <c r="K5151" s="522"/>
      <c r="M5151" s="301" t="str">
        <f>N5151&amp;AS[[#This Row],[Insurer Code]]&amp;"; "&amp;O5151&amp;AS[[#This Row],[Reporting Year]]&amp;"; "&amp;P5151&amp;AS[[#This Row],[Insurance Category Code]]&amp;"; "&amp;Q5151&amp;AS[[#This Row],[Large Provider Entity Code]]&amp;"; "&amp;R5151&amp;AS[[#This Row],[Age Band Code]]&amp;"; "&amp;S5151&amp;AS[[#This Row],[Sex Code]]</f>
        <v xml:space="preserve">Insurer Code ; Reporting Year ; Insurance Category Code ; Large Provider Entity Code ; Age Band Code ; Sex Code </v>
      </c>
      <c r="N5151" s="297" t="s">
        <v>197</v>
      </c>
      <c r="O5151" s="297" t="s">
        <v>198</v>
      </c>
      <c r="P5151" s="297" t="s">
        <v>199</v>
      </c>
      <c r="Q5151" s="297" t="s">
        <v>200</v>
      </c>
      <c r="R5151" s="297" t="s">
        <v>213</v>
      </c>
      <c r="S5151" s="297" t="s">
        <v>214</v>
      </c>
    </row>
    <row r="5152" spans="1:19" x14ac:dyDescent="0.4">
      <c r="A5152" s="291"/>
      <c r="B5152" s="292"/>
      <c r="C5152" s="312"/>
      <c r="D5152" s="292"/>
      <c r="E5152" s="489"/>
      <c r="F5152" s="489"/>
      <c r="G5152" s="490"/>
      <c r="H5152" s="520"/>
      <c r="I5152" s="523"/>
      <c r="J5152" s="521"/>
      <c r="K5152" s="522"/>
      <c r="M5152" s="301" t="str">
        <f>N5152&amp;AS[[#This Row],[Insurer Code]]&amp;"; "&amp;O5152&amp;AS[[#This Row],[Reporting Year]]&amp;"; "&amp;P5152&amp;AS[[#This Row],[Insurance Category Code]]&amp;"; "&amp;Q5152&amp;AS[[#This Row],[Large Provider Entity Code]]&amp;"; "&amp;R5152&amp;AS[[#This Row],[Age Band Code]]&amp;"; "&amp;S5152&amp;AS[[#This Row],[Sex Code]]</f>
        <v xml:space="preserve">Insurer Code ; Reporting Year ; Insurance Category Code ; Large Provider Entity Code ; Age Band Code ; Sex Code </v>
      </c>
      <c r="N5152" s="297" t="s">
        <v>197</v>
      </c>
      <c r="O5152" s="297" t="s">
        <v>198</v>
      </c>
      <c r="P5152" s="297" t="s">
        <v>199</v>
      </c>
      <c r="Q5152" s="297" t="s">
        <v>200</v>
      </c>
      <c r="R5152" s="297" t="s">
        <v>213</v>
      </c>
      <c r="S5152" s="297" t="s">
        <v>214</v>
      </c>
    </row>
    <row r="5153" spans="1:19" x14ac:dyDescent="0.4">
      <c r="A5153" s="291"/>
      <c r="B5153" s="292"/>
      <c r="C5153" s="312"/>
      <c r="D5153" s="292"/>
      <c r="E5153" s="489"/>
      <c r="F5153" s="489"/>
      <c r="G5153" s="490"/>
      <c r="H5153" s="520"/>
      <c r="I5153" s="523"/>
      <c r="J5153" s="521"/>
      <c r="K5153" s="522"/>
      <c r="M5153" s="301" t="str">
        <f>N5153&amp;AS[[#This Row],[Insurer Code]]&amp;"; "&amp;O5153&amp;AS[[#This Row],[Reporting Year]]&amp;"; "&amp;P5153&amp;AS[[#This Row],[Insurance Category Code]]&amp;"; "&amp;Q5153&amp;AS[[#This Row],[Large Provider Entity Code]]&amp;"; "&amp;R5153&amp;AS[[#This Row],[Age Band Code]]&amp;"; "&amp;S5153&amp;AS[[#This Row],[Sex Code]]</f>
        <v xml:space="preserve">Insurer Code ; Reporting Year ; Insurance Category Code ; Large Provider Entity Code ; Age Band Code ; Sex Code </v>
      </c>
      <c r="N5153" s="297" t="s">
        <v>197</v>
      </c>
      <c r="O5153" s="297" t="s">
        <v>198</v>
      </c>
      <c r="P5153" s="297" t="s">
        <v>199</v>
      </c>
      <c r="Q5153" s="297" t="s">
        <v>200</v>
      </c>
      <c r="R5153" s="297" t="s">
        <v>213</v>
      </c>
      <c r="S5153" s="297" t="s">
        <v>214</v>
      </c>
    </row>
    <row r="5154" spans="1:19" x14ac:dyDescent="0.4">
      <c r="A5154" s="291"/>
      <c r="B5154" s="292"/>
      <c r="C5154" s="312"/>
      <c r="D5154" s="292"/>
      <c r="E5154" s="489"/>
      <c r="F5154" s="489"/>
      <c r="G5154" s="490"/>
      <c r="H5154" s="520"/>
      <c r="I5154" s="523"/>
      <c r="J5154" s="521"/>
      <c r="K5154" s="522"/>
      <c r="M5154" s="301" t="str">
        <f>N5154&amp;AS[[#This Row],[Insurer Code]]&amp;"; "&amp;O5154&amp;AS[[#This Row],[Reporting Year]]&amp;"; "&amp;P5154&amp;AS[[#This Row],[Insurance Category Code]]&amp;"; "&amp;Q5154&amp;AS[[#This Row],[Large Provider Entity Code]]&amp;"; "&amp;R5154&amp;AS[[#This Row],[Age Band Code]]&amp;"; "&amp;S5154&amp;AS[[#This Row],[Sex Code]]</f>
        <v xml:space="preserve">Insurer Code ; Reporting Year ; Insurance Category Code ; Large Provider Entity Code ; Age Band Code ; Sex Code </v>
      </c>
      <c r="N5154" s="297" t="s">
        <v>197</v>
      </c>
      <c r="O5154" s="297" t="s">
        <v>198</v>
      </c>
      <c r="P5154" s="297" t="s">
        <v>199</v>
      </c>
      <c r="Q5154" s="297" t="s">
        <v>200</v>
      </c>
      <c r="R5154" s="297" t="s">
        <v>213</v>
      </c>
      <c r="S5154" s="297" t="s">
        <v>214</v>
      </c>
    </row>
    <row r="5155" spans="1:19" x14ac:dyDescent="0.4">
      <c r="A5155" s="291"/>
      <c r="B5155" s="292"/>
      <c r="C5155" s="312"/>
      <c r="D5155" s="292"/>
      <c r="E5155" s="489"/>
      <c r="F5155" s="489"/>
      <c r="G5155" s="490"/>
      <c r="H5155" s="520"/>
      <c r="I5155" s="523"/>
      <c r="J5155" s="521"/>
      <c r="K5155" s="522"/>
      <c r="M5155" s="301" t="str">
        <f>N5155&amp;AS[[#This Row],[Insurer Code]]&amp;"; "&amp;O5155&amp;AS[[#This Row],[Reporting Year]]&amp;"; "&amp;P5155&amp;AS[[#This Row],[Insurance Category Code]]&amp;"; "&amp;Q5155&amp;AS[[#This Row],[Large Provider Entity Code]]&amp;"; "&amp;R5155&amp;AS[[#This Row],[Age Band Code]]&amp;"; "&amp;S5155&amp;AS[[#This Row],[Sex Code]]</f>
        <v xml:space="preserve">Insurer Code ; Reporting Year ; Insurance Category Code ; Large Provider Entity Code ; Age Band Code ; Sex Code </v>
      </c>
      <c r="N5155" s="297" t="s">
        <v>197</v>
      </c>
      <c r="O5155" s="297" t="s">
        <v>198</v>
      </c>
      <c r="P5155" s="297" t="s">
        <v>199</v>
      </c>
      <c r="Q5155" s="297" t="s">
        <v>200</v>
      </c>
      <c r="R5155" s="297" t="s">
        <v>213</v>
      </c>
      <c r="S5155" s="297" t="s">
        <v>214</v>
      </c>
    </row>
    <row r="5156" spans="1:19" x14ac:dyDescent="0.4">
      <c r="A5156" s="291"/>
      <c r="B5156" s="292"/>
      <c r="C5156" s="312"/>
      <c r="D5156" s="292"/>
      <c r="E5156" s="489"/>
      <c r="F5156" s="489"/>
      <c r="G5156" s="490"/>
      <c r="H5156" s="520"/>
      <c r="I5156" s="523"/>
      <c r="J5156" s="521"/>
      <c r="K5156" s="522"/>
      <c r="M5156" s="301" t="str">
        <f>N5156&amp;AS[[#This Row],[Insurer Code]]&amp;"; "&amp;O5156&amp;AS[[#This Row],[Reporting Year]]&amp;"; "&amp;P5156&amp;AS[[#This Row],[Insurance Category Code]]&amp;"; "&amp;Q5156&amp;AS[[#This Row],[Large Provider Entity Code]]&amp;"; "&amp;R5156&amp;AS[[#This Row],[Age Band Code]]&amp;"; "&amp;S5156&amp;AS[[#This Row],[Sex Code]]</f>
        <v xml:space="preserve">Insurer Code ; Reporting Year ; Insurance Category Code ; Large Provider Entity Code ; Age Band Code ; Sex Code </v>
      </c>
      <c r="N5156" s="297" t="s">
        <v>197</v>
      </c>
      <c r="O5156" s="297" t="s">
        <v>198</v>
      </c>
      <c r="P5156" s="297" t="s">
        <v>199</v>
      </c>
      <c r="Q5156" s="297" t="s">
        <v>200</v>
      </c>
      <c r="R5156" s="297" t="s">
        <v>213</v>
      </c>
      <c r="S5156" s="297" t="s">
        <v>214</v>
      </c>
    </row>
    <row r="5157" spans="1:19" x14ac:dyDescent="0.4">
      <c r="A5157" s="291"/>
      <c r="B5157" s="292"/>
      <c r="C5157" s="312"/>
      <c r="D5157" s="292"/>
      <c r="E5157" s="489"/>
      <c r="F5157" s="489"/>
      <c r="G5157" s="490"/>
      <c r="H5157" s="520"/>
      <c r="I5157" s="523"/>
      <c r="J5157" s="521"/>
      <c r="K5157" s="522"/>
      <c r="M5157" s="301" t="str">
        <f>N5157&amp;AS[[#This Row],[Insurer Code]]&amp;"; "&amp;O5157&amp;AS[[#This Row],[Reporting Year]]&amp;"; "&amp;P5157&amp;AS[[#This Row],[Insurance Category Code]]&amp;"; "&amp;Q5157&amp;AS[[#This Row],[Large Provider Entity Code]]&amp;"; "&amp;R5157&amp;AS[[#This Row],[Age Band Code]]&amp;"; "&amp;S5157&amp;AS[[#This Row],[Sex Code]]</f>
        <v xml:space="preserve">Insurer Code ; Reporting Year ; Insurance Category Code ; Large Provider Entity Code ; Age Band Code ; Sex Code </v>
      </c>
      <c r="N5157" s="297" t="s">
        <v>197</v>
      </c>
      <c r="O5157" s="297" t="s">
        <v>198</v>
      </c>
      <c r="P5157" s="297" t="s">
        <v>199</v>
      </c>
      <c r="Q5157" s="297" t="s">
        <v>200</v>
      </c>
      <c r="R5157" s="297" t="s">
        <v>213</v>
      </c>
      <c r="S5157" s="297" t="s">
        <v>214</v>
      </c>
    </row>
    <row r="5158" spans="1:19" x14ac:dyDescent="0.4">
      <c r="A5158" s="291"/>
      <c r="B5158" s="292"/>
      <c r="C5158" s="312"/>
      <c r="D5158" s="292"/>
      <c r="E5158" s="489"/>
      <c r="F5158" s="489"/>
      <c r="G5158" s="490"/>
      <c r="H5158" s="520"/>
      <c r="I5158" s="523"/>
      <c r="J5158" s="521"/>
      <c r="K5158" s="522"/>
      <c r="M5158" s="301" t="str">
        <f>N5158&amp;AS[[#This Row],[Insurer Code]]&amp;"; "&amp;O5158&amp;AS[[#This Row],[Reporting Year]]&amp;"; "&amp;P5158&amp;AS[[#This Row],[Insurance Category Code]]&amp;"; "&amp;Q5158&amp;AS[[#This Row],[Large Provider Entity Code]]&amp;"; "&amp;R5158&amp;AS[[#This Row],[Age Band Code]]&amp;"; "&amp;S5158&amp;AS[[#This Row],[Sex Code]]</f>
        <v xml:space="preserve">Insurer Code ; Reporting Year ; Insurance Category Code ; Large Provider Entity Code ; Age Band Code ; Sex Code </v>
      </c>
      <c r="N5158" s="297" t="s">
        <v>197</v>
      </c>
      <c r="O5158" s="297" t="s">
        <v>198</v>
      </c>
      <c r="P5158" s="297" t="s">
        <v>199</v>
      </c>
      <c r="Q5158" s="297" t="s">
        <v>200</v>
      </c>
      <c r="R5158" s="297" t="s">
        <v>213</v>
      </c>
      <c r="S5158" s="297" t="s">
        <v>214</v>
      </c>
    </row>
    <row r="5159" spans="1:19" x14ac:dyDescent="0.4">
      <c r="A5159" s="291"/>
      <c r="B5159" s="292"/>
      <c r="C5159" s="312"/>
      <c r="D5159" s="292"/>
      <c r="E5159" s="489"/>
      <c r="F5159" s="489"/>
      <c r="G5159" s="490"/>
      <c r="H5159" s="520"/>
      <c r="I5159" s="523"/>
      <c r="J5159" s="521"/>
      <c r="K5159" s="522"/>
      <c r="M5159" s="301" t="str">
        <f>N5159&amp;AS[[#This Row],[Insurer Code]]&amp;"; "&amp;O5159&amp;AS[[#This Row],[Reporting Year]]&amp;"; "&amp;P5159&amp;AS[[#This Row],[Insurance Category Code]]&amp;"; "&amp;Q5159&amp;AS[[#This Row],[Large Provider Entity Code]]&amp;"; "&amp;R5159&amp;AS[[#This Row],[Age Band Code]]&amp;"; "&amp;S5159&amp;AS[[#This Row],[Sex Code]]</f>
        <v xml:space="preserve">Insurer Code ; Reporting Year ; Insurance Category Code ; Large Provider Entity Code ; Age Band Code ; Sex Code </v>
      </c>
      <c r="N5159" s="297" t="s">
        <v>197</v>
      </c>
      <c r="O5159" s="297" t="s">
        <v>198</v>
      </c>
      <c r="P5159" s="297" t="s">
        <v>199</v>
      </c>
      <c r="Q5159" s="297" t="s">
        <v>200</v>
      </c>
      <c r="R5159" s="297" t="s">
        <v>213</v>
      </c>
      <c r="S5159" s="297" t="s">
        <v>214</v>
      </c>
    </row>
    <row r="5160" spans="1:19" x14ac:dyDescent="0.4">
      <c r="A5160" s="291"/>
      <c r="B5160" s="292"/>
      <c r="C5160" s="312"/>
      <c r="D5160" s="292"/>
      <c r="E5160" s="489"/>
      <c r="F5160" s="489"/>
      <c r="G5160" s="490"/>
      <c r="H5160" s="520"/>
      <c r="I5160" s="523"/>
      <c r="J5160" s="521"/>
      <c r="K5160" s="522"/>
      <c r="M5160" s="301" t="str">
        <f>N5160&amp;AS[[#This Row],[Insurer Code]]&amp;"; "&amp;O5160&amp;AS[[#This Row],[Reporting Year]]&amp;"; "&amp;P5160&amp;AS[[#This Row],[Insurance Category Code]]&amp;"; "&amp;Q5160&amp;AS[[#This Row],[Large Provider Entity Code]]&amp;"; "&amp;R5160&amp;AS[[#This Row],[Age Band Code]]&amp;"; "&amp;S5160&amp;AS[[#This Row],[Sex Code]]</f>
        <v xml:space="preserve">Insurer Code ; Reporting Year ; Insurance Category Code ; Large Provider Entity Code ; Age Band Code ; Sex Code </v>
      </c>
      <c r="N5160" s="297" t="s">
        <v>197</v>
      </c>
      <c r="O5160" s="297" t="s">
        <v>198</v>
      </c>
      <c r="P5160" s="297" t="s">
        <v>199</v>
      </c>
      <c r="Q5160" s="297" t="s">
        <v>200</v>
      </c>
      <c r="R5160" s="297" t="s">
        <v>213</v>
      </c>
      <c r="S5160" s="297" t="s">
        <v>214</v>
      </c>
    </row>
    <row r="5161" spans="1:19" x14ac:dyDescent="0.4">
      <c r="A5161" s="291"/>
      <c r="B5161" s="292"/>
      <c r="C5161" s="312"/>
      <c r="D5161" s="292"/>
      <c r="E5161" s="489"/>
      <c r="F5161" s="489"/>
      <c r="G5161" s="490"/>
      <c r="H5161" s="520"/>
      <c r="I5161" s="523"/>
      <c r="J5161" s="521"/>
      <c r="K5161" s="522"/>
      <c r="M5161" s="301" t="str">
        <f>N5161&amp;AS[[#This Row],[Insurer Code]]&amp;"; "&amp;O5161&amp;AS[[#This Row],[Reporting Year]]&amp;"; "&amp;P5161&amp;AS[[#This Row],[Insurance Category Code]]&amp;"; "&amp;Q5161&amp;AS[[#This Row],[Large Provider Entity Code]]&amp;"; "&amp;R5161&amp;AS[[#This Row],[Age Band Code]]&amp;"; "&amp;S5161&amp;AS[[#This Row],[Sex Code]]</f>
        <v xml:space="preserve">Insurer Code ; Reporting Year ; Insurance Category Code ; Large Provider Entity Code ; Age Band Code ; Sex Code </v>
      </c>
      <c r="N5161" s="297" t="s">
        <v>197</v>
      </c>
      <c r="O5161" s="297" t="s">
        <v>198</v>
      </c>
      <c r="P5161" s="297" t="s">
        <v>199</v>
      </c>
      <c r="Q5161" s="297" t="s">
        <v>200</v>
      </c>
      <c r="R5161" s="297" t="s">
        <v>213</v>
      </c>
      <c r="S5161" s="297" t="s">
        <v>214</v>
      </c>
    </row>
    <row r="5162" spans="1:19" x14ac:dyDescent="0.4">
      <c r="A5162" s="291"/>
      <c r="B5162" s="292"/>
      <c r="C5162" s="312"/>
      <c r="D5162" s="292"/>
      <c r="E5162" s="489"/>
      <c r="F5162" s="489"/>
      <c r="G5162" s="490"/>
      <c r="H5162" s="520"/>
      <c r="I5162" s="523"/>
      <c r="J5162" s="521"/>
      <c r="K5162" s="522"/>
      <c r="M5162" s="301" t="str">
        <f>N5162&amp;AS[[#This Row],[Insurer Code]]&amp;"; "&amp;O5162&amp;AS[[#This Row],[Reporting Year]]&amp;"; "&amp;P5162&amp;AS[[#This Row],[Insurance Category Code]]&amp;"; "&amp;Q5162&amp;AS[[#This Row],[Large Provider Entity Code]]&amp;"; "&amp;R5162&amp;AS[[#This Row],[Age Band Code]]&amp;"; "&amp;S5162&amp;AS[[#This Row],[Sex Code]]</f>
        <v xml:space="preserve">Insurer Code ; Reporting Year ; Insurance Category Code ; Large Provider Entity Code ; Age Band Code ; Sex Code </v>
      </c>
      <c r="N5162" s="297" t="s">
        <v>197</v>
      </c>
      <c r="O5162" s="297" t="s">
        <v>198</v>
      </c>
      <c r="P5162" s="297" t="s">
        <v>199</v>
      </c>
      <c r="Q5162" s="297" t="s">
        <v>200</v>
      </c>
      <c r="R5162" s="297" t="s">
        <v>213</v>
      </c>
      <c r="S5162" s="297" t="s">
        <v>214</v>
      </c>
    </row>
    <row r="5163" spans="1:19" x14ac:dyDescent="0.4">
      <c r="A5163" s="291"/>
      <c r="B5163" s="292"/>
      <c r="C5163" s="312"/>
      <c r="D5163" s="292"/>
      <c r="E5163" s="489"/>
      <c r="F5163" s="489"/>
      <c r="G5163" s="490"/>
      <c r="H5163" s="520"/>
      <c r="I5163" s="523"/>
      <c r="J5163" s="521"/>
      <c r="K5163" s="522"/>
      <c r="M5163" s="301" t="str">
        <f>N5163&amp;AS[[#This Row],[Insurer Code]]&amp;"; "&amp;O5163&amp;AS[[#This Row],[Reporting Year]]&amp;"; "&amp;P5163&amp;AS[[#This Row],[Insurance Category Code]]&amp;"; "&amp;Q5163&amp;AS[[#This Row],[Large Provider Entity Code]]&amp;"; "&amp;R5163&amp;AS[[#This Row],[Age Band Code]]&amp;"; "&amp;S5163&amp;AS[[#This Row],[Sex Code]]</f>
        <v xml:space="preserve">Insurer Code ; Reporting Year ; Insurance Category Code ; Large Provider Entity Code ; Age Band Code ; Sex Code </v>
      </c>
      <c r="N5163" s="297" t="s">
        <v>197</v>
      </c>
      <c r="O5163" s="297" t="s">
        <v>198</v>
      </c>
      <c r="P5163" s="297" t="s">
        <v>199</v>
      </c>
      <c r="Q5163" s="297" t="s">
        <v>200</v>
      </c>
      <c r="R5163" s="297" t="s">
        <v>213</v>
      </c>
      <c r="S5163" s="297" t="s">
        <v>214</v>
      </c>
    </row>
    <row r="5164" spans="1:19" x14ac:dyDescent="0.4">
      <c r="A5164" s="291"/>
      <c r="B5164" s="292"/>
      <c r="C5164" s="312"/>
      <c r="D5164" s="292"/>
      <c r="E5164" s="489"/>
      <c r="F5164" s="489"/>
      <c r="G5164" s="490"/>
      <c r="H5164" s="520"/>
      <c r="I5164" s="523"/>
      <c r="J5164" s="521"/>
      <c r="K5164" s="522"/>
      <c r="M5164" s="301" t="str">
        <f>N5164&amp;AS[[#This Row],[Insurer Code]]&amp;"; "&amp;O5164&amp;AS[[#This Row],[Reporting Year]]&amp;"; "&amp;P5164&amp;AS[[#This Row],[Insurance Category Code]]&amp;"; "&amp;Q5164&amp;AS[[#This Row],[Large Provider Entity Code]]&amp;"; "&amp;R5164&amp;AS[[#This Row],[Age Band Code]]&amp;"; "&amp;S5164&amp;AS[[#This Row],[Sex Code]]</f>
        <v xml:space="preserve">Insurer Code ; Reporting Year ; Insurance Category Code ; Large Provider Entity Code ; Age Band Code ; Sex Code </v>
      </c>
      <c r="N5164" s="297" t="s">
        <v>197</v>
      </c>
      <c r="O5164" s="297" t="s">
        <v>198</v>
      </c>
      <c r="P5164" s="297" t="s">
        <v>199</v>
      </c>
      <c r="Q5164" s="297" t="s">
        <v>200</v>
      </c>
      <c r="R5164" s="297" t="s">
        <v>213</v>
      </c>
      <c r="S5164" s="297" t="s">
        <v>214</v>
      </c>
    </row>
    <row r="5165" spans="1:19" x14ac:dyDescent="0.4">
      <c r="A5165" s="291"/>
      <c r="B5165" s="292"/>
      <c r="C5165" s="312"/>
      <c r="D5165" s="292"/>
      <c r="E5165" s="489"/>
      <c r="F5165" s="489"/>
      <c r="G5165" s="490"/>
      <c r="H5165" s="520"/>
      <c r="I5165" s="523"/>
      <c r="J5165" s="521"/>
      <c r="K5165" s="522"/>
      <c r="M5165" s="301" t="str">
        <f>N5165&amp;AS[[#This Row],[Insurer Code]]&amp;"; "&amp;O5165&amp;AS[[#This Row],[Reporting Year]]&amp;"; "&amp;P5165&amp;AS[[#This Row],[Insurance Category Code]]&amp;"; "&amp;Q5165&amp;AS[[#This Row],[Large Provider Entity Code]]&amp;"; "&amp;R5165&amp;AS[[#This Row],[Age Band Code]]&amp;"; "&amp;S5165&amp;AS[[#This Row],[Sex Code]]</f>
        <v xml:space="preserve">Insurer Code ; Reporting Year ; Insurance Category Code ; Large Provider Entity Code ; Age Band Code ; Sex Code </v>
      </c>
      <c r="N5165" s="297" t="s">
        <v>197</v>
      </c>
      <c r="O5165" s="297" t="s">
        <v>198</v>
      </c>
      <c r="P5165" s="297" t="s">
        <v>199</v>
      </c>
      <c r="Q5165" s="297" t="s">
        <v>200</v>
      </c>
      <c r="R5165" s="297" t="s">
        <v>213</v>
      </c>
      <c r="S5165" s="297" t="s">
        <v>214</v>
      </c>
    </row>
    <row r="5166" spans="1:19" x14ac:dyDescent="0.4">
      <c r="A5166" s="291"/>
      <c r="B5166" s="292"/>
      <c r="C5166" s="312"/>
      <c r="D5166" s="292"/>
      <c r="E5166" s="489"/>
      <c r="F5166" s="489"/>
      <c r="G5166" s="490"/>
      <c r="H5166" s="520"/>
      <c r="I5166" s="523"/>
      <c r="J5166" s="521"/>
      <c r="K5166" s="522"/>
      <c r="M5166" s="301" t="str">
        <f>N5166&amp;AS[[#This Row],[Insurer Code]]&amp;"; "&amp;O5166&amp;AS[[#This Row],[Reporting Year]]&amp;"; "&amp;P5166&amp;AS[[#This Row],[Insurance Category Code]]&amp;"; "&amp;Q5166&amp;AS[[#This Row],[Large Provider Entity Code]]&amp;"; "&amp;R5166&amp;AS[[#This Row],[Age Band Code]]&amp;"; "&amp;S5166&amp;AS[[#This Row],[Sex Code]]</f>
        <v xml:space="preserve">Insurer Code ; Reporting Year ; Insurance Category Code ; Large Provider Entity Code ; Age Band Code ; Sex Code </v>
      </c>
      <c r="N5166" s="297" t="s">
        <v>197</v>
      </c>
      <c r="O5166" s="297" t="s">
        <v>198</v>
      </c>
      <c r="P5166" s="297" t="s">
        <v>199</v>
      </c>
      <c r="Q5166" s="297" t="s">
        <v>200</v>
      </c>
      <c r="R5166" s="297" t="s">
        <v>213</v>
      </c>
      <c r="S5166" s="297" t="s">
        <v>214</v>
      </c>
    </row>
    <row r="5167" spans="1:19" x14ac:dyDescent="0.4">
      <c r="A5167" s="291"/>
      <c r="B5167" s="292"/>
      <c r="C5167" s="312"/>
      <c r="D5167" s="292"/>
      <c r="E5167" s="489"/>
      <c r="F5167" s="489"/>
      <c r="G5167" s="490"/>
      <c r="H5167" s="520"/>
      <c r="I5167" s="523"/>
      <c r="J5167" s="521"/>
      <c r="K5167" s="522"/>
      <c r="M5167" s="301" t="str">
        <f>N5167&amp;AS[[#This Row],[Insurer Code]]&amp;"; "&amp;O5167&amp;AS[[#This Row],[Reporting Year]]&amp;"; "&amp;P5167&amp;AS[[#This Row],[Insurance Category Code]]&amp;"; "&amp;Q5167&amp;AS[[#This Row],[Large Provider Entity Code]]&amp;"; "&amp;R5167&amp;AS[[#This Row],[Age Band Code]]&amp;"; "&amp;S5167&amp;AS[[#This Row],[Sex Code]]</f>
        <v xml:space="preserve">Insurer Code ; Reporting Year ; Insurance Category Code ; Large Provider Entity Code ; Age Band Code ; Sex Code </v>
      </c>
      <c r="N5167" s="297" t="s">
        <v>197</v>
      </c>
      <c r="O5167" s="297" t="s">
        <v>198</v>
      </c>
      <c r="P5167" s="297" t="s">
        <v>199</v>
      </c>
      <c r="Q5167" s="297" t="s">
        <v>200</v>
      </c>
      <c r="R5167" s="297" t="s">
        <v>213</v>
      </c>
      <c r="S5167" s="297" t="s">
        <v>214</v>
      </c>
    </row>
    <row r="5168" spans="1:19" x14ac:dyDescent="0.4">
      <c r="A5168" s="291"/>
      <c r="B5168" s="292"/>
      <c r="C5168" s="312"/>
      <c r="D5168" s="292"/>
      <c r="E5168" s="489"/>
      <c r="F5168" s="489"/>
      <c r="G5168" s="490"/>
      <c r="H5168" s="520"/>
      <c r="I5168" s="523"/>
      <c r="J5168" s="521"/>
      <c r="K5168" s="522"/>
      <c r="M5168" s="301" t="str">
        <f>N5168&amp;AS[[#This Row],[Insurer Code]]&amp;"; "&amp;O5168&amp;AS[[#This Row],[Reporting Year]]&amp;"; "&amp;P5168&amp;AS[[#This Row],[Insurance Category Code]]&amp;"; "&amp;Q5168&amp;AS[[#This Row],[Large Provider Entity Code]]&amp;"; "&amp;R5168&amp;AS[[#This Row],[Age Band Code]]&amp;"; "&amp;S5168&amp;AS[[#This Row],[Sex Code]]</f>
        <v xml:space="preserve">Insurer Code ; Reporting Year ; Insurance Category Code ; Large Provider Entity Code ; Age Band Code ; Sex Code </v>
      </c>
      <c r="N5168" s="297" t="s">
        <v>197</v>
      </c>
      <c r="O5168" s="297" t="s">
        <v>198</v>
      </c>
      <c r="P5168" s="297" t="s">
        <v>199</v>
      </c>
      <c r="Q5168" s="297" t="s">
        <v>200</v>
      </c>
      <c r="R5168" s="297" t="s">
        <v>213</v>
      </c>
      <c r="S5168" s="297" t="s">
        <v>214</v>
      </c>
    </row>
    <row r="5169" spans="1:19" x14ac:dyDescent="0.4">
      <c r="A5169" s="291"/>
      <c r="B5169" s="292"/>
      <c r="C5169" s="312"/>
      <c r="D5169" s="292"/>
      <c r="E5169" s="489"/>
      <c r="F5169" s="489"/>
      <c r="G5169" s="490"/>
      <c r="H5169" s="520"/>
      <c r="I5169" s="523"/>
      <c r="J5169" s="521"/>
      <c r="K5169" s="522"/>
      <c r="M5169" s="301" t="str">
        <f>N5169&amp;AS[[#This Row],[Insurer Code]]&amp;"; "&amp;O5169&amp;AS[[#This Row],[Reporting Year]]&amp;"; "&amp;P5169&amp;AS[[#This Row],[Insurance Category Code]]&amp;"; "&amp;Q5169&amp;AS[[#This Row],[Large Provider Entity Code]]&amp;"; "&amp;R5169&amp;AS[[#This Row],[Age Band Code]]&amp;"; "&amp;S5169&amp;AS[[#This Row],[Sex Code]]</f>
        <v xml:space="preserve">Insurer Code ; Reporting Year ; Insurance Category Code ; Large Provider Entity Code ; Age Band Code ; Sex Code </v>
      </c>
      <c r="N5169" s="297" t="s">
        <v>197</v>
      </c>
      <c r="O5169" s="297" t="s">
        <v>198</v>
      </c>
      <c r="P5169" s="297" t="s">
        <v>199</v>
      </c>
      <c r="Q5169" s="297" t="s">
        <v>200</v>
      </c>
      <c r="R5169" s="297" t="s">
        <v>213</v>
      </c>
      <c r="S5169" s="297" t="s">
        <v>214</v>
      </c>
    </row>
    <row r="5170" spans="1:19" x14ac:dyDescent="0.4">
      <c r="A5170" s="291"/>
      <c r="B5170" s="292"/>
      <c r="C5170" s="312"/>
      <c r="D5170" s="292"/>
      <c r="E5170" s="489"/>
      <c r="F5170" s="489"/>
      <c r="G5170" s="490"/>
      <c r="H5170" s="520"/>
      <c r="I5170" s="523"/>
      <c r="J5170" s="521"/>
      <c r="K5170" s="522"/>
      <c r="M5170" s="301" t="str">
        <f>N5170&amp;AS[[#This Row],[Insurer Code]]&amp;"; "&amp;O5170&amp;AS[[#This Row],[Reporting Year]]&amp;"; "&amp;P5170&amp;AS[[#This Row],[Insurance Category Code]]&amp;"; "&amp;Q5170&amp;AS[[#This Row],[Large Provider Entity Code]]&amp;"; "&amp;R5170&amp;AS[[#This Row],[Age Band Code]]&amp;"; "&amp;S5170&amp;AS[[#This Row],[Sex Code]]</f>
        <v xml:space="preserve">Insurer Code ; Reporting Year ; Insurance Category Code ; Large Provider Entity Code ; Age Band Code ; Sex Code </v>
      </c>
      <c r="N5170" s="297" t="s">
        <v>197</v>
      </c>
      <c r="O5170" s="297" t="s">
        <v>198</v>
      </c>
      <c r="P5170" s="297" t="s">
        <v>199</v>
      </c>
      <c r="Q5170" s="297" t="s">
        <v>200</v>
      </c>
      <c r="R5170" s="297" t="s">
        <v>213</v>
      </c>
      <c r="S5170" s="297" t="s">
        <v>214</v>
      </c>
    </row>
    <row r="5171" spans="1:19" x14ac:dyDescent="0.4">
      <c r="A5171" s="291"/>
      <c r="B5171" s="292"/>
      <c r="C5171" s="312"/>
      <c r="D5171" s="292"/>
      <c r="E5171" s="489"/>
      <c r="F5171" s="489"/>
      <c r="G5171" s="490"/>
      <c r="H5171" s="520"/>
      <c r="I5171" s="523"/>
      <c r="J5171" s="521"/>
      <c r="K5171" s="522"/>
      <c r="M5171" s="301" t="str">
        <f>N5171&amp;AS[[#This Row],[Insurer Code]]&amp;"; "&amp;O5171&amp;AS[[#This Row],[Reporting Year]]&amp;"; "&amp;P5171&amp;AS[[#This Row],[Insurance Category Code]]&amp;"; "&amp;Q5171&amp;AS[[#This Row],[Large Provider Entity Code]]&amp;"; "&amp;R5171&amp;AS[[#This Row],[Age Band Code]]&amp;"; "&amp;S5171&amp;AS[[#This Row],[Sex Code]]</f>
        <v xml:space="preserve">Insurer Code ; Reporting Year ; Insurance Category Code ; Large Provider Entity Code ; Age Band Code ; Sex Code </v>
      </c>
      <c r="N5171" s="297" t="s">
        <v>197</v>
      </c>
      <c r="O5171" s="297" t="s">
        <v>198</v>
      </c>
      <c r="P5171" s="297" t="s">
        <v>199</v>
      </c>
      <c r="Q5171" s="297" t="s">
        <v>200</v>
      </c>
      <c r="R5171" s="297" t="s">
        <v>213</v>
      </c>
      <c r="S5171" s="297" t="s">
        <v>214</v>
      </c>
    </row>
    <row r="5172" spans="1:19" x14ac:dyDescent="0.4">
      <c r="A5172" s="291"/>
      <c r="B5172" s="292"/>
      <c r="C5172" s="312"/>
      <c r="D5172" s="292"/>
      <c r="E5172" s="489"/>
      <c r="F5172" s="489"/>
      <c r="G5172" s="490"/>
      <c r="H5172" s="520"/>
      <c r="I5172" s="523"/>
      <c r="J5172" s="521"/>
      <c r="K5172" s="522"/>
      <c r="M5172" s="301" t="str">
        <f>N5172&amp;AS[[#This Row],[Insurer Code]]&amp;"; "&amp;O5172&amp;AS[[#This Row],[Reporting Year]]&amp;"; "&amp;P5172&amp;AS[[#This Row],[Insurance Category Code]]&amp;"; "&amp;Q5172&amp;AS[[#This Row],[Large Provider Entity Code]]&amp;"; "&amp;R5172&amp;AS[[#This Row],[Age Band Code]]&amp;"; "&amp;S5172&amp;AS[[#This Row],[Sex Code]]</f>
        <v xml:space="preserve">Insurer Code ; Reporting Year ; Insurance Category Code ; Large Provider Entity Code ; Age Band Code ; Sex Code </v>
      </c>
      <c r="N5172" s="297" t="s">
        <v>197</v>
      </c>
      <c r="O5172" s="297" t="s">
        <v>198</v>
      </c>
      <c r="P5172" s="297" t="s">
        <v>199</v>
      </c>
      <c r="Q5172" s="297" t="s">
        <v>200</v>
      </c>
      <c r="R5172" s="297" t="s">
        <v>213</v>
      </c>
      <c r="S5172" s="297" t="s">
        <v>214</v>
      </c>
    </row>
    <row r="5173" spans="1:19" x14ac:dyDescent="0.4">
      <c r="A5173" s="291"/>
      <c r="B5173" s="292"/>
      <c r="C5173" s="312"/>
      <c r="D5173" s="292"/>
      <c r="E5173" s="489"/>
      <c r="F5173" s="489"/>
      <c r="G5173" s="490"/>
      <c r="H5173" s="520"/>
      <c r="I5173" s="523"/>
      <c r="J5173" s="521"/>
      <c r="K5173" s="522"/>
      <c r="M5173" s="301" t="str">
        <f>N5173&amp;AS[[#This Row],[Insurer Code]]&amp;"; "&amp;O5173&amp;AS[[#This Row],[Reporting Year]]&amp;"; "&amp;P5173&amp;AS[[#This Row],[Insurance Category Code]]&amp;"; "&amp;Q5173&amp;AS[[#This Row],[Large Provider Entity Code]]&amp;"; "&amp;R5173&amp;AS[[#This Row],[Age Band Code]]&amp;"; "&amp;S5173&amp;AS[[#This Row],[Sex Code]]</f>
        <v xml:space="preserve">Insurer Code ; Reporting Year ; Insurance Category Code ; Large Provider Entity Code ; Age Band Code ; Sex Code </v>
      </c>
      <c r="N5173" s="297" t="s">
        <v>197</v>
      </c>
      <c r="O5173" s="297" t="s">
        <v>198</v>
      </c>
      <c r="P5173" s="297" t="s">
        <v>199</v>
      </c>
      <c r="Q5173" s="297" t="s">
        <v>200</v>
      </c>
      <c r="R5173" s="297" t="s">
        <v>213</v>
      </c>
      <c r="S5173" s="297" t="s">
        <v>214</v>
      </c>
    </row>
    <row r="5174" spans="1:19" x14ac:dyDescent="0.4">
      <c r="A5174" s="291"/>
      <c r="B5174" s="292"/>
      <c r="C5174" s="312"/>
      <c r="D5174" s="292"/>
      <c r="E5174" s="489"/>
      <c r="F5174" s="489"/>
      <c r="G5174" s="490"/>
      <c r="H5174" s="520"/>
      <c r="I5174" s="523"/>
      <c r="J5174" s="521"/>
      <c r="K5174" s="522"/>
      <c r="M5174" s="301" t="str">
        <f>N5174&amp;AS[[#This Row],[Insurer Code]]&amp;"; "&amp;O5174&amp;AS[[#This Row],[Reporting Year]]&amp;"; "&amp;P5174&amp;AS[[#This Row],[Insurance Category Code]]&amp;"; "&amp;Q5174&amp;AS[[#This Row],[Large Provider Entity Code]]&amp;"; "&amp;R5174&amp;AS[[#This Row],[Age Band Code]]&amp;"; "&amp;S5174&amp;AS[[#This Row],[Sex Code]]</f>
        <v xml:space="preserve">Insurer Code ; Reporting Year ; Insurance Category Code ; Large Provider Entity Code ; Age Band Code ; Sex Code </v>
      </c>
      <c r="N5174" s="297" t="s">
        <v>197</v>
      </c>
      <c r="O5174" s="297" t="s">
        <v>198</v>
      </c>
      <c r="P5174" s="297" t="s">
        <v>199</v>
      </c>
      <c r="Q5174" s="297" t="s">
        <v>200</v>
      </c>
      <c r="R5174" s="297" t="s">
        <v>213</v>
      </c>
      <c r="S5174" s="297" t="s">
        <v>214</v>
      </c>
    </row>
    <row r="5175" spans="1:19" x14ac:dyDescent="0.4">
      <c r="A5175" s="291"/>
      <c r="B5175" s="292"/>
      <c r="C5175" s="312"/>
      <c r="D5175" s="292"/>
      <c r="E5175" s="489"/>
      <c r="F5175" s="489"/>
      <c r="G5175" s="490"/>
      <c r="H5175" s="520"/>
      <c r="I5175" s="523"/>
      <c r="J5175" s="521"/>
      <c r="K5175" s="522"/>
      <c r="M5175" s="301" t="str">
        <f>N5175&amp;AS[[#This Row],[Insurer Code]]&amp;"; "&amp;O5175&amp;AS[[#This Row],[Reporting Year]]&amp;"; "&amp;P5175&amp;AS[[#This Row],[Insurance Category Code]]&amp;"; "&amp;Q5175&amp;AS[[#This Row],[Large Provider Entity Code]]&amp;"; "&amp;R5175&amp;AS[[#This Row],[Age Band Code]]&amp;"; "&amp;S5175&amp;AS[[#This Row],[Sex Code]]</f>
        <v xml:space="preserve">Insurer Code ; Reporting Year ; Insurance Category Code ; Large Provider Entity Code ; Age Band Code ; Sex Code </v>
      </c>
      <c r="N5175" s="297" t="s">
        <v>197</v>
      </c>
      <c r="O5175" s="297" t="s">
        <v>198</v>
      </c>
      <c r="P5175" s="297" t="s">
        <v>199</v>
      </c>
      <c r="Q5175" s="297" t="s">
        <v>200</v>
      </c>
      <c r="R5175" s="297" t="s">
        <v>213</v>
      </c>
      <c r="S5175" s="297" t="s">
        <v>214</v>
      </c>
    </row>
    <row r="5176" spans="1:19" x14ac:dyDescent="0.4">
      <c r="A5176" s="291"/>
      <c r="B5176" s="292"/>
      <c r="C5176" s="312"/>
      <c r="D5176" s="292"/>
      <c r="E5176" s="489"/>
      <c r="F5176" s="489"/>
      <c r="G5176" s="490"/>
      <c r="H5176" s="520"/>
      <c r="I5176" s="523"/>
      <c r="J5176" s="521"/>
      <c r="K5176" s="522"/>
      <c r="M5176" s="301" t="str">
        <f>N5176&amp;AS[[#This Row],[Insurer Code]]&amp;"; "&amp;O5176&amp;AS[[#This Row],[Reporting Year]]&amp;"; "&amp;P5176&amp;AS[[#This Row],[Insurance Category Code]]&amp;"; "&amp;Q5176&amp;AS[[#This Row],[Large Provider Entity Code]]&amp;"; "&amp;R5176&amp;AS[[#This Row],[Age Band Code]]&amp;"; "&amp;S5176&amp;AS[[#This Row],[Sex Code]]</f>
        <v xml:space="preserve">Insurer Code ; Reporting Year ; Insurance Category Code ; Large Provider Entity Code ; Age Band Code ; Sex Code </v>
      </c>
      <c r="N5176" s="297" t="s">
        <v>197</v>
      </c>
      <c r="O5176" s="297" t="s">
        <v>198</v>
      </c>
      <c r="P5176" s="297" t="s">
        <v>199</v>
      </c>
      <c r="Q5176" s="297" t="s">
        <v>200</v>
      </c>
      <c r="R5176" s="297" t="s">
        <v>213</v>
      </c>
      <c r="S5176" s="297" t="s">
        <v>214</v>
      </c>
    </row>
    <row r="5177" spans="1:19" x14ac:dyDescent="0.4">
      <c r="A5177" s="291"/>
      <c r="B5177" s="292"/>
      <c r="C5177" s="312"/>
      <c r="D5177" s="292"/>
      <c r="E5177" s="489"/>
      <c r="F5177" s="489"/>
      <c r="G5177" s="490"/>
      <c r="H5177" s="520"/>
      <c r="I5177" s="523"/>
      <c r="J5177" s="521"/>
      <c r="K5177" s="522"/>
      <c r="M5177" s="301" t="str">
        <f>N5177&amp;AS[[#This Row],[Insurer Code]]&amp;"; "&amp;O5177&amp;AS[[#This Row],[Reporting Year]]&amp;"; "&amp;P5177&amp;AS[[#This Row],[Insurance Category Code]]&amp;"; "&amp;Q5177&amp;AS[[#This Row],[Large Provider Entity Code]]&amp;"; "&amp;R5177&amp;AS[[#This Row],[Age Band Code]]&amp;"; "&amp;S5177&amp;AS[[#This Row],[Sex Code]]</f>
        <v xml:space="preserve">Insurer Code ; Reporting Year ; Insurance Category Code ; Large Provider Entity Code ; Age Band Code ; Sex Code </v>
      </c>
      <c r="N5177" s="297" t="s">
        <v>197</v>
      </c>
      <c r="O5177" s="297" t="s">
        <v>198</v>
      </c>
      <c r="P5177" s="297" t="s">
        <v>199</v>
      </c>
      <c r="Q5177" s="297" t="s">
        <v>200</v>
      </c>
      <c r="R5177" s="297" t="s">
        <v>213</v>
      </c>
      <c r="S5177" s="297" t="s">
        <v>214</v>
      </c>
    </row>
    <row r="5178" spans="1:19" x14ac:dyDescent="0.4">
      <c r="A5178" s="291"/>
      <c r="B5178" s="292"/>
      <c r="C5178" s="312"/>
      <c r="D5178" s="292"/>
      <c r="E5178" s="489"/>
      <c r="F5178" s="489"/>
      <c r="G5178" s="490"/>
      <c r="H5178" s="520"/>
      <c r="I5178" s="523"/>
      <c r="J5178" s="521"/>
      <c r="K5178" s="522"/>
      <c r="M5178" s="301" t="str">
        <f>N5178&amp;AS[[#This Row],[Insurer Code]]&amp;"; "&amp;O5178&amp;AS[[#This Row],[Reporting Year]]&amp;"; "&amp;P5178&amp;AS[[#This Row],[Insurance Category Code]]&amp;"; "&amp;Q5178&amp;AS[[#This Row],[Large Provider Entity Code]]&amp;"; "&amp;R5178&amp;AS[[#This Row],[Age Band Code]]&amp;"; "&amp;S5178&amp;AS[[#This Row],[Sex Code]]</f>
        <v xml:space="preserve">Insurer Code ; Reporting Year ; Insurance Category Code ; Large Provider Entity Code ; Age Band Code ; Sex Code </v>
      </c>
      <c r="N5178" s="297" t="s">
        <v>197</v>
      </c>
      <c r="O5178" s="297" t="s">
        <v>198</v>
      </c>
      <c r="P5178" s="297" t="s">
        <v>199</v>
      </c>
      <c r="Q5178" s="297" t="s">
        <v>200</v>
      </c>
      <c r="R5178" s="297" t="s">
        <v>213</v>
      </c>
      <c r="S5178" s="297" t="s">
        <v>214</v>
      </c>
    </row>
    <row r="5179" spans="1:19" x14ac:dyDescent="0.4">
      <c r="A5179" s="291"/>
      <c r="B5179" s="292"/>
      <c r="C5179" s="312"/>
      <c r="D5179" s="292"/>
      <c r="E5179" s="489"/>
      <c r="F5179" s="489"/>
      <c r="G5179" s="490"/>
      <c r="H5179" s="520"/>
      <c r="I5179" s="523"/>
      <c r="J5179" s="521"/>
      <c r="K5179" s="522"/>
      <c r="M5179" s="301" t="str">
        <f>N5179&amp;AS[[#This Row],[Insurer Code]]&amp;"; "&amp;O5179&amp;AS[[#This Row],[Reporting Year]]&amp;"; "&amp;P5179&amp;AS[[#This Row],[Insurance Category Code]]&amp;"; "&amp;Q5179&amp;AS[[#This Row],[Large Provider Entity Code]]&amp;"; "&amp;R5179&amp;AS[[#This Row],[Age Band Code]]&amp;"; "&amp;S5179&amp;AS[[#This Row],[Sex Code]]</f>
        <v xml:space="preserve">Insurer Code ; Reporting Year ; Insurance Category Code ; Large Provider Entity Code ; Age Band Code ; Sex Code </v>
      </c>
      <c r="N5179" s="297" t="s">
        <v>197</v>
      </c>
      <c r="O5179" s="297" t="s">
        <v>198</v>
      </c>
      <c r="P5179" s="297" t="s">
        <v>199</v>
      </c>
      <c r="Q5179" s="297" t="s">
        <v>200</v>
      </c>
      <c r="R5179" s="297" t="s">
        <v>213</v>
      </c>
      <c r="S5179" s="297" t="s">
        <v>214</v>
      </c>
    </row>
    <row r="5180" spans="1:19" x14ac:dyDescent="0.4">
      <c r="A5180" s="291"/>
      <c r="B5180" s="292"/>
      <c r="C5180" s="312"/>
      <c r="D5180" s="292"/>
      <c r="E5180" s="489"/>
      <c r="F5180" s="489"/>
      <c r="G5180" s="490"/>
      <c r="H5180" s="520"/>
      <c r="I5180" s="523"/>
      <c r="J5180" s="521"/>
      <c r="K5180" s="522"/>
      <c r="M5180" s="301" t="str">
        <f>N5180&amp;AS[[#This Row],[Insurer Code]]&amp;"; "&amp;O5180&amp;AS[[#This Row],[Reporting Year]]&amp;"; "&amp;P5180&amp;AS[[#This Row],[Insurance Category Code]]&amp;"; "&amp;Q5180&amp;AS[[#This Row],[Large Provider Entity Code]]&amp;"; "&amp;R5180&amp;AS[[#This Row],[Age Band Code]]&amp;"; "&amp;S5180&amp;AS[[#This Row],[Sex Code]]</f>
        <v xml:space="preserve">Insurer Code ; Reporting Year ; Insurance Category Code ; Large Provider Entity Code ; Age Band Code ; Sex Code </v>
      </c>
      <c r="N5180" s="297" t="s">
        <v>197</v>
      </c>
      <c r="O5180" s="297" t="s">
        <v>198</v>
      </c>
      <c r="P5180" s="297" t="s">
        <v>199</v>
      </c>
      <c r="Q5180" s="297" t="s">
        <v>200</v>
      </c>
      <c r="R5180" s="297" t="s">
        <v>213</v>
      </c>
      <c r="S5180" s="297" t="s">
        <v>214</v>
      </c>
    </row>
    <row r="5181" spans="1:19" x14ac:dyDescent="0.4">
      <c r="A5181" s="291"/>
      <c r="B5181" s="292"/>
      <c r="C5181" s="312"/>
      <c r="D5181" s="292"/>
      <c r="E5181" s="489"/>
      <c r="F5181" s="489"/>
      <c r="G5181" s="490"/>
      <c r="H5181" s="520"/>
      <c r="I5181" s="523"/>
      <c r="J5181" s="521"/>
      <c r="K5181" s="522"/>
      <c r="M5181" s="301" t="str">
        <f>N5181&amp;AS[[#This Row],[Insurer Code]]&amp;"; "&amp;O5181&amp;AS[[#This Row],[Reporting Year]]&amp;"; "&amp;P5181&amp;AS[[#This Row],[Insurance Category Code]]&amp;"; "&amp;Q5181&amp;AS[[#This Row],[Large Provider Entity Code]]&amp;"; "&amp;R5181&amp;AS[[#This Row],[Age Band Code]]&amp;"; "&amp;S5181&amp;AS[[#This Row],[Sex Code]]</f>
        <v xml:space="preserve">Insurer Code ; Reporting Year ; Insurance Category Code ; Large Provider Entity Code ; Age Band Code ; Sex Code </v>
      </c>
      <c r="N5181" s="297" t="s">
        <v>197</v>
      </c>
      <c r="O5181" s="297" t="s">
        <v>198</v>
      </c>
      <c r="P5181" s="297" t="s">
        <v>199</v>
      </c>
      <c r="Q5181" s="297" t="s">
        <v>200</v>
      </c>
      <c r="R5181" s="297" t="s">
        <v>213</v>
      </c>
      <c r="S5181" s="297" t="s">
        <v>214</v>
      </c>
    </row>
    <row r="5182" spans="1:19" x14ac:dyDescent="0.4">
      <c r="A5182" s="291"/>
      <c r="B5182" s="292"/>
      <c r="C5182" s="312"/>
      <c r="D5182" s="292"/>
      <c r="E5182" s="489"/>
      <c r="F5182" s="489"/>
      <c r="G5182" s="490"/>
      <c r="H5182" s="520"/>
      <c r="I5182" s="523"/>
      <c r="J5182" s="521"/>
      <c r="K5182" s="522"/>
      <c r="M5182" s="301" t="str">
        <f>N5182&amp;AS[[#This Row],[Insurer Code]]&amp;"; "&amp;O5182&amp;AS[[#This Row],[Reporting Year]]&amp;"; "&amp;P5182&amp;AS[[#This Row],[Insurance Category Code]]&amp;"; "&amp;Q5182&amp;AS[[#This Row],[Large Provider Entity Code]]&amp;"; "&amp;R5182&amp;AS[[#This Row],[Age Band Code]]&amp;"; "&amp;S5182&amp;AS[[#This Row],[Sex Code]]</f>
        <v xml:space="preserve">Insurer Code ; Reporting Year ; Insurance Category Code ; Large Provider Entity Code ; Age Band Code ; Sex Code </v>
      </c>
      <c r="N5182" s="297" t="s">
        <v>197</v>
      </c>
      <c r="O5182" s="297" t="s">
        <v>198</v>
      </c>
      <c r="P5182" s="297" t="s">
        <v>199</v>
      </c>
      <c r="Q5182" s="297" t="s">
        <v>200</v>
      </c>
      <c r="R5182" s="297" t="s">
        <v>213</v>
      </c>
      <c r="S5182" s="297" t="s">
        <v>214</v>
      </c>
    </row>
    <row r="5183" spans="1:19" x14ac:dyDescent="0.4">
      <c r="A5183" s="291"/>
      <c r="B5183" s="292"/>
      <c r="C5183" s="312"/>
      <c r="D5183" s="292"/>
      <c r="E5183" s="489"/>
      <c r="F5183" s="489"/>
      <c r="G5183" s="490"/>
      <c r="H5183" s="520"/>
      <c r="I5183" s="523"/>
      <c r="J5183" s="521"/>
      <c r="K5183" s="522"/>
      <c r="M5183" s="301" t="str">
        <f>N5183&amp;AS[[#This Row],[Insurer Code]]&amp;"; "&amp;O5183&amp;AS[[#This Row],[Reporting Year]]&amp;"; "&amp;P5183&amp;AS[[#This Row],[Insurance Category Code]]&amp;"; "&amp;Q5183&amp;AS[[#This Row],[Large Provider Entity Code]]&amp;"; "&amp;R5183&amp;AS[[#This Row],[Age Band Code]]&amp;"; "&amp;S5183&amp;AS[[#This Row],[Sex Code]]</f>
        <v xml:space="preserve">Insurer Code ; Reporting Year ; Insurance Category Code ; Large Provider Entity Code ; Age Band Code ; Sex Code </v>
      </c>
      <c r="N5183" s="297" t="s">
        <v>197</v>
      </c>
      <c r="O5183" s="297" t="s">
        <v>198</v>
      </c>
      <c r="P5183" s="297" t="s">
        <v>199</v>
      </c>
      <c r="Q5183" s="297" t="s">
        <v>200</v>
      </c>
      <c r="R5183" s="297" t="s">
        <v>213</v>
      </c>
      <c r="S5183" s="297" t="s">
        <v>214</v>
      </c>
    </row>
    <row r="5184" spans="1:19" x14ac:dyDescent="0.4">
      <c r="A5184" s="291"/>
      <c r="B5184" s="292"/>
      <c r="C5184" s="312"/>
      <c r="D5184" s="292"/>
      <c r="E5184" s="489"/>
      <c r="F5184" s="489"/>
      <c r="G5184" s="490"/>
      <c r="H5184" s="520"/>
      <c r="I5184" s="523"/>
      <c r="J5184" s="521"/>
      <c r="K5184" s="522"/>
      <c r="M5184" s="301" t="str">
        <f>N5184&amp;AS[[#This Row],[Insurer Code]]&amp;"; "&amp;O5184&amp;AS[[#This Row],[Reporting Year]]&amp;"; "&amp;P5184&amp;AS[[#This Row],[Insurance Category Code]]&amp;"; "&amp;Q5184&amp;AS[[#This Row],[Large Provider Entity Code]]&amp;"; "&amp;R5184&amp;AS[[#This Row],[Age Band Code]]&amp;"; "&amp;S5184&amp;AS[[#This Row],[Sex Code]]</f>
        <v xml:space="preserve">Insurer Code ; Reporting Year ; Insurance Category Code ; Large Provider Entity Code ; Age Band Code ; Sex Code </v>
      </c>
      <c r="N5184" s="297" t="s">
        <v>197</v>
      </c>
      <c r="O5184" s="297" t="s">
        <v>198</v>
      </c>
      <c r="P5184" s="297" t="s">
        <v>199</v>
      </c>
      <c r="Q5184" s="297" t="s">
        <v>200</v>
      </c>
      <c r="R5184" s="297" t="s">
        <v>213</v>
      </c>
      <c r="S5184" s="297" t="s">
        <v>214</v>
      </c>
    </row>
    <row r="5185" spans="1:19" x14ac:dyDescent="0.4">
      <c r="A5185" s="291"/>
      <c r="B5185" s="292"/>
      <c r="C5185" s="312"/>
      <c r="D5185" s="292"/>
      <c r="E5185" s="489"/>
      <c r="F5185" s="489"/>
      <c r="G5185" s="490"/>
      <c r="H5185" s="520"/>
      <c r="I5185" s="523"/>
      <c r="J5185" s="521"/>
      <c r="K5185" s="522"/>
      <c r="M5185" s="301" t="str">
        <f>N5185&amp;AS[[#This Row],[Insurer Code]]&amp;"; "&amp;O5185&amp;AS[[#This Row],[Reporting Year]]&amp;"; "&amp;P5185&amp;AS[[#This Row],[Insurance Category Code]]&amp;"; "&amp;Q5185&amp;AS[[#This Row],[Large Provider Entity Code]]&amp;"; "&amp;R5185&amp;AS[[#This Row],[Age Band Code]]&amp;"; "&amp;S5185&amp;AS[[#This Row],[Sex Code]]</f>
        <v xml:space="preserve">Insurer Code ; Reporting Year ; Insurance Category Code ; Large Provider Entity Code ; Age Band Code ; Sex Code </v>
      </c>
      <c r="N5185" s="297" t="s">
        <v>197</v>
      </c>
      <c r="O5185" s="297" t="s">
        <v>198</v>
      </c>
      <c r="P5185" s="297" t="s">
        <v>199</v>
      </c>
      <c r="Q5185" s="297" t="s">
        <v>200</v>
      </c>
      <c r="R5185" s="297" t="s">
        <v>213</v>
      </c>
      <c r="S5185" s="297" t="s">
        <v>214</v>
      </c>
    </row>
    <row r="5186" spans="1:19" x14ac:dyDescent="0.4">
      <c r="A5186" s="291"/>
      <c r="B5186" s="292"/>
      <c r="C5186" s="312"/>
      <c r="D5186" s="292"/>
      <c r="E5186" s="489"/>
      <c r="F5186" s="489"/>
      <c r="G5186" s="490"/>
      <c r="H5186" s="520"/>
      <c r="I5186" s="523"/>
      <c r="J5186" s="521"/>
      <c r="K5186" s="522"/>
      <c r="M5186" s="301" t="str">
        <f>N5186&amp;AS[[#This Row],[Insurer Code]]&amp;"; "&amp;O5186&amp;AS[[#This Row],[Reporting Year]]&amp;"; "&amp;P5186&amp;AS[[#This Row],[Insurance Category Code]]&amp;"; "&amp;Q5186&amp;AS[[#This Row],[Large Provider Entity Code]]&amp;"; "&amp;R5186&amp;AS[[#This Row],[Age Band Code]]&amp;"; "&amp;S5186&amp;AS[[#This Row],[Sex Code]]</f>
        <v xml:space="preserve">Insurer Code ; Reporting Year ; Insurance Category Code ; Large Provider Entity Code ; Age Band Code ; Sex Code </v>
      </c>
      <c r="N5186" s="297" t="s">
        <v>197</v>
      </c>
      <c r="O5186" s="297" t="s">
        <v>198</v>
      </c>
      <c r="P5186" s="297" t="s">
        <v>199</v>
      </c>
      <c r="Q5186" s="297" t="s">
        <v>200</v>
      </c>
      <c r="R5186" s="297" t="s">
        <v>213</v>
      </c>
      <c r="S5186" s="297" t="s">
        <v>214</v>
      </c>
    </row>
    <row r="5187" spans="1:19" x14ac:dyDescent="0.4">
      <c r="A5187" s="291"/>
      <c r="B5187" s="292"/>
      <c r="C5187" s="312"/>
      <c r="D5187" s="292"/>
      <c r="E5187" s="489"/>
      <c r="F5187" s="489"/>
      <c r="G5187" s="490"/>
      <c r="H5187" s="520"/>
      <c r="I5187" s="523"/>
      <c r="J5187" s="521"/>
      <c r="K5187" s="522"/>
      <c r="M5187" s="301" t="str">
        <f>N5187&amp;AS[[#This Row],[Insurer Code]]&amp;"; "&amp;O5187&amp;AS[[#This Row],[Reporting Year]]&amp;"; "&amp;P5187&amp;AS[[#This Row],[Insurance Category Code]]&amp;"; "&amp;Q5187&amp;AS[[#This Row],[Large Provider Entity Code]]&amp;"; "&amp;R5187&amp;AS[[#This Row],[Age Band Code]]&amp;"; "&amp;S5187&amp;AS[[#This Row],[Sex Code]]</f>
        <v xml:space="preserve">Insurer Code ; Reporting Year ; Insurance Category Code ; Large Provider Entity Code ; Age Band Code ; Sex Code </v>
      </c>
      <c r="N5187" s="297" t="s">
        <v>197</v>
      </c>
      <c r="O5187" s="297" t="s">
        <v>198</v>
      </c>
      <c r="P5187" s="297" t="s">
        <v>199</v>
      </c>
      <c r="Q5187" s="297" t="s">
        <v>200</v>
      </c>
      <c r="R5187" s="297" t="s">
        <v>213</v>
      </c>
      <c r="S5187" s="297" t="s">
        <v>214</v>
      </c>
    </row>
    <row r="5188" spans="1:19" x14ac:dyDescent="0.4">
      <c r="A5188" s="291"/>
      <c r="B5188" s="292"/>
      <c r="C5188" s="312"/>
      <c r="D5188" s="292"/>
      <c r="E5188" s="489"/>
      <c r="F5188" s="489"/>
      <c r="G5188" s="490"/>
      <c r="H5188" s="520"/>
      <c r="I5188" s="523"/>
      <c r="J5188" s="521"/>
      <c r="K5188" s="522"/>
      <c r="M5188" s="301" t="str">
        <f>N5188&amp;AS[[#This Row],[Insurer Code]]&amp;"; "&amp;O5188&amp;AS[[#This Row],[Reporting Year]]&amp;"; "&amp;P5188&amp;AS[[#This Row],[Insurance Category Code]]&amp;"; "&amp;Q5188&amp;AS[[#This Row],[Large Provider Entity Code]]&amp;"; "&amp;R5188&amp;AS[[#This Row],[Age Band Code]]&amp;"; "&amp;S5188&amp;AS[[#This Row],[Sex Code]]</f>
        <v xml:space="preserve">Insurer Code ; Reporting Year ; Insurance Category Code ; Large Provider Entity Code ; Age Band Code ; Sex Code </v>
      </c>
      <c r="N5188" s="297" t="s">
        <v>197</v>
      </c>
      <c r="O5188" s="297" t="s">
        <v>198</v>
      </c>
      <c r="P5188" s="297" t="s">
        <v>199</v>
      </c>
      <c r="Q5188" s="297" t="s">
        <v>200</v>
      </c>
      <c r="R5188" s="297" t="s">
        <v>213</v>
      </c>
      <c r="S5188" s="297" t="s">
        <v>214</v>
      </c>
    </row>
    <row r="5189" spans="1:19" x14ac:dyDescent="0.4">
      <c r="A5189" s="291"/>
      <c r="B5189" s="292"/>
      <c r="C5189" s="312"/>
      <c r="D5189" s="292"/>
      <c r="E5189" s="489"/>
      <c r="F5189" s="489"/>
      <c r="G5189" s="490"/>
      <c r="H5189" s="520"/>
      <c r="I5189" s="523"/>
      <c r="J5189" s="521"/>
      <c r="K5189" s="522"/>
      <c r="M5189" s="301" t="str">
        <f>N5189&amp;AS[[#This Row],[Insurer Code]]&amp;"; "&amp;O5189&amp;AS[[#This Row],[Reporting Year]]&amp;"; "&amp;P5189&amp;AS[[#This Row],[Insurance Category Code]]&amp;"; "&amp;Q5189&amp;AS[[#This Row],[Large Provider Entity Code]]&amp;"; "&amp;R5189&amp;AS[[#This Row],[Age Band Code]]&amp;"; "&amp;S5189&amp;AS[[#This Row],[Sex Code]]</f>
        <v xml:space="preserve">Insurer Code ; Reporting Year ; Insurance Category Code ; Large Provider Entity Code ; Age Band Code ; Sex Code </v>
      </c>
      <c r="N5189" s="297" t="s">
        <v>197</v>
      </c>
      <c r="O5189" s="297" t="s">
        <v>198</v>
      </c>
      <c r="P5189" s="297" t="s">
        <v>199</v>
      </c>
      <c r="Q5189" s="297" t="s">
        <v>200</v>
      </c>
      <c r="R5189" s="297" t="s">
        <v>213</v>
      </c>
      <c r="S5189" s="297" t="s">
        <v>214</v>
      </c>
    </row>
    <row r="5190" spans="1:19" x14ac:dyDescent="0.4">
      <c r="A5190" s="291"/>
      <c r="B5190" s="292"/>
      <c r="C5190" s="312"/>
      <c r="D5190" s="292"/>
      <c r="E5190" s="489"/>
      <c r="F5190" s="489"/>
      <c r="G5190" s="490"/>
      <c r="H5190" s="520"/>
      <c r="I5190" s="523"/>
      <c r="J5190" s="521"/>
      <c r="K5190" s="522"/>
      <c r="M5190" s="301" t="str">
        <f>N5190&amp;AS[[#This Row],[Insurer Code]]&amp;"; "&amp;O5190&amp;AS[[#This Row],[Reporting Year]]&amp;"; "&amp;P5190&amp;AS[[#This Row],[Insurance Category Code]]&amp;"; "&amp;Q5190&amp;AS[[#This Row],[Large Provider Entity Code]]&amp;"; "&amp;R5190&amp;AS[[#This Row],[Age Band Code]]&amp;"; "&amp;S5190&amp;AS[[#This Row],[Sex Code]]</f>
        <v xml:space="preserve">Insurer Code ; Reporting Year ; Insurance Category Code ; Large Provider Entity Code ; Age Band Code ; Sex Code </v>
      </c>
      <c r="N5190" s="297" t="s">
        <v>197</v>
      </c>
      <c r="O5190" s="297" t="s">
        <v>198</v>
      </c>
      <c r="P5190" s="297" t="s">
        <v>199</v>
      </c>
      <c r="Q5190" s="297" t="s">
        <v>200</v>
      </c>
      <c r="R5190" s="297" t="s">
        <v>213</v>
      </c>
      <c r="S5190" s="297" t="s">
        <v>214</v>
      </c>
    </row>
    <row r="5191" spans="1:19" x14ac:dyDescent="0.4">
      <c r="A5191" s="291"/>
      <c r="B5191" s="292"/>
      <c r="C5191" s="312"/>
      <c r="D5191" s="292"/>
      <c r="E5191" s="489"/>
      <c r="F5191" s="489"/>
      <c r="G5191" s="490"/>
      <c r="H5191" s="520"/>
      <c r="I5191" s="523"/>
      <c r="J5191" s="521"/>
      <c r="K5191" s="522"/>
      <c r="M5191" s="301" t="str">
        <f>N5191&amp;AS[[#This Row],[Insurer Code]]&amp;"; "&amp;O5191&amp;AS[[#This Row],[Reporting Year]]&amp;"; "&amp;P5191&amp;AS[[#This Row],[Insurance Category Code]]&amp;"; "&amp;Q5191&amp;AS[[#This Row],[Large Provider Entity Code]]&amp;"; "&amp;R5191&amp;AS[[#This Row],[Age Band Code]]&amp;"; "&amp;S5191&amp;AS[[#This Row],[Sex Code]]</f>
        <v xml:space="preserve">Insurer Code ; Reporting Year ; Insurance Category Code ; Large Provider Entity Code ; Age Band Code ; Sex Code </v>
      </c>
      <c r="N5191" s="297" t="s">
        <v>197</v>
      </c>
      <c r="O5191" s="297" t="s">
        <v>198</v>
      </c>
      <c r="P5191" s="297" t="s">
        <v>199</v>
      </c>
      <c r="Q5191" s="297" t="s">
        <v>200</v>
      </c>
      <c r="R5191" s="297" t="s">
        <v>213</v>
      </c>
      <c r="S5191" s="297" t="s">
        <v>214</v>
      </c>
    </row>
    <row r="5192" spans="1:19" x14ac:dyDescent="0.4">
      <c r="A5192" s="291"/>
      <c r="B5192" s="292"/>
      <c r="C5192" s="312"/>
      <c r="D5192" s="292"/>
      <c r="E5192" s="489"/>
      <c r="F5192" s="489"/>
      <c r="G5192" s="490"/>
      <c r="H5192" s="520"/>
      <c r="I5192" s="523"/>
      <c r="J5192" s="521"/>
      <c r="K5192" s="522"/>
      <c r="M5192" s="301" t="str">
        <f>N5192&amp;AS[[#This Row],[Insurer Code]]&amp;"; "&amp;O5192&amp;AS[[#This Row],[Reporting Year]]&amp;"; "&amp;P5192&amp;AS[[#This Row],[Insurance Category Code]]&amp;"; "&amp;Q5192&amp;AS[[#This Row],[Large Provider Entity Code]]&amp;"; "&amp;R5192&amp;AS[[#This Row],[Age Band Code]]&amp;"; "&amp;S5192&amp;AS[[#This Row],[Sex Code]]</f>
        <v xml:space="preserve">Insurer Code ; Reporting Year ; Insurance Category Code ; Large Provider Entity Code ; Age Band Code ; Sex Code </v>
      </c>
      <c r="N5192" s="297" t="s">
        <v>197</v>
      </c>
      <c r="O5192" s="297" t="s">
        <v>198</v>
      </c>
      <c r="P5192" s="297" t="s">
        <v>199</v>
      </c>
      <c r="Q5192" s="297" t="s">
        <v>200</v>
      </c>
      <c r="R5192" s="297" t="s">
        <v>213</v>
      </c>
      <c r="S5192" s="297" t="s">
        <v>214</v>
      </c>
    </row>
    <row r="5193" spans="1:19" x14ac:dyDescent="0.4">
      <c r="A5193" s="291"/>
      <c r="B5193" s="292"/>
      <c r="C5193" s="312"/>
      <c r="D5193" s="292"/>
      <c r="E5193" s="489"/>
      <c r="F5193" s="489"/>
      <c r="G5193" s="490"/>
      <c r="H5193" s="520"/>
      <c r="I5193" s="523"/>
      <c r="J5193" s="521"/>
      <c r="K5193" s="522"/>
      <c r="M5193" s="301" t="str">
        <f>N5193&amp;AS[[#This Row],[Insurer Code]]&amp;"; "&amp;O5193&amp;AS[[#This Row],[Reporting Year]]&amp;"; "&amp;P5193&amp;AS[[#This Row],[Insurance Category Code]]&amp;"; "&amp;Q5193&amp;AS[[#This Row],[Large Provider Entity Code]]&amp;"; "&amp;R5193&amp;AS[[#This Row],[Age Band Code]]&amp;"; "&amp;S5193&amp;AS[[#This Row],[Sex Code]]</f>
        <v xml:space="preserve">Insurer Code ; Reporting Year ; Insurance Category Code ; Large Provider Entity Code ; Age Band Code ; Sex Code </v>
      </c>
      <c r="N5193" s="297" t="s">
        <v>197</v>
      </c>
      <c r="O5193" s="297" t="s">
        <v>198</v>
      </c>
      <c r="P5193" s="297" t="s">
        <v>199</v>
      </c>
      <c r="Q5193" s="297" t="s">
        <v>200</v>
      </c>
      <c r="R5193" s="297" t="s">
        <v>213</v>
      </c>
      <c r="S5193" s="297" t="s">
        <v>214</v>
      </c>
    </row>
    <row r="5194" spans="1:19" x14ac:dyDescent="0.4">
      <c r="A5194" s="291"/>
      <c r="B5194" s="292"/>
      <c r="C5194" s="312"/>
      <c r="D5194" s="292"/>
      <c r="E5194" s="489"/>
      <c r="F5194" s="489"/>
      <c r="G5194" s="490"/>
      <c r="H5194" s="520"/>
      <c r="I5194" s="523"/>
      <c r="J5194" s="521"/>
      <c r="K5194" s="522"/>
      <c r="M5194" s="301" t="str">
        <f>N5194&amp;AS[[#This Row],[Insurer Code]]&amp;"; "&amp;O5194&amp;AS[[#This Row],[Reporting Year]]&amp;"; "&amp;P5194&amp;AS[[#This Row],[Insurance Category Code]]&amp;"; "&amp;Q5194&amp;AS[[#This Row],[Large Provider Entity Code]]&amp;"; "&amp;R5194&amp;AS[[#This Row],[Age Band Code]]&amp;"; "&amp;S5194&amp;AS[[#This Row],[Sex Code]]</f>
        <v xml:space="preserve">Insurer Code ; Reporting Year ; Insurance Category Code ; Large Provider Entity Code ; Age Band Code ; Sex Code </v>
      </c>
      <c r="N5194" s="297" t="s">
        <v>197</v>
      </c>
      <c r="O5194" s="297" t="s">
        <v>198</v>
      </c>
      <c r="P5194" s="297" t="s">
        <v>199</v>
      </c>
      <c r="Q5194" s="297" t="s">
        <v>200</v>
      </c>
      <c r="R5194" s="297" t="s">
        <v>213</v>
      </c>
      <c r="S5194" s="297" t="s">
        <v>214</v>
      </c>
    </row>
    <row r="5195" spans="1:19" x14ac:dyDescent="0.4">
      <c r="A5195" s="291"/>
      <c r="B5195" s="292"/>
      <c r="C5195" s="312"/>
      <c r="D5195" s="292"/>
      <c r="E5195" s="489"/>
      <c r="F5195" s="489"/>
      <c r="G5195" s="490"/>
      <c r="H5195" s="520"/>
      <c r="I5195" s="523"/>
      <c r="J5195" s="521"/>
      <c r="K5195" s="522"/>
      <c r="M5195" s="301" t="str">
        <f>N5195&amp;AS[[#This Row],[Insurer Code]]&amp;"; "&amp;O5195&amp;AS[[#This Row],[Reporting Year]]&amp;"; "&amp;P5195&amp;AS[[#This Row],[Insurance Category Code]]&amp;"; "&amp;Q5195&amp;AS[[#This Row],[Large Provider Entity Code]]&amp;"; "&amp;R5195&amp;AS[[#This Row],[Age Band Code]]&amp;"; "&amp;S5195&amp;AS[[#This Row],[Sex Code]]</f>
        <v xml:space="preserve">Insurer Code ; Reporting Year ; Insurance Category Code ; Large Provider Entity Code ; Age Band Code ; Sex Code </v>
      </c>
      <c r="N5195" s="297" t="s">
        <v>197</v>
      </c>
      <c r="O5195" s="297" t="s">
        <v>198</v>
      </c>
      <c r="P5195" s="297" t="s">
        <v>199</v>
      </c>
      <c r="Q5195" s="297" t="s">
        <v>200</v>
      </c>
      <c r="R5195" s="297" t="s">
        <v>213</v>
      </c>
      <c r="S5195" s="297" t="s">
        <v>214</v>
      </c>
    </row>
    <row r="5196" spans="1:19" x14ac:dyDescent="0.4">
      <c r="A5196" s="291"/>
      <c r="B5196" s="292"/>
      <c r="C5196" s="312"/>
      <c r="D5196" s="292"/>
      <c r="E5196" s="489"/>
      <c r="F5196" s="489"/>
      <c r="G5196" s="490"/>
      <c r="H5196" s="520"/>
      <c r="I5196" s="523"/>
      <c r="J5196" s="521"/>
      <c r="K5196" s="522"/>
      <c r="M5196" s="301" t="str">
        <f>N5196&amp;AS[[#This Row],[Insurer Code]]&amp;"; "&amp;O5196&amp;AS[[#This Row],[Reporting Year]]&amp;"; "&amp;P5196&amp;AS[[#This Row],[Insurance Category Code]]&amp;"; "&amp;Q5196&amp;AS[[#This Row],[Large Provider Entity Code]]&amp;"; "&amp;R5196&amp;AS[[#This Row],[Age Band Code]]&amp;"; "&amp;S5196&amp;AS[[#This Row],[Sex Code]]</f>
        <v xml:space="preserve">Insurer Code ; Reporting Year ; Insurance Category Code ; Large Provider Entity Code ; Age Band Code ; Sex Code </v>
      </c>
      <c r="N5196" s="297" t="s">
        <v>197</v>
      </c>
      <c r="O5196" s="297" t="s">
        <v>198</v>
      </c>
      <c r="P5196" s="297" t="s">
        <v>199</v>
      </c>
      <c r="Q5196" s="297" t="s">
        <v>200</v>
      </c>
      <c r="R5196" s="297" t="s">
        <v>213</v>
      </c>
      <c r="S5196" s="297" t="s">
        <v>214</v>
      </c>
    </row>
    <row r="5197" spans="1:19" x14ac:dyDescent="0.4">
      <c r="A5197" s="291"/>
      <c r="B5197" s="292"/>
      <c r="C5197" s="312"/>
      <c r="D5197" s="292"/>
      <c r="E5197" s="489"/>
      <c r="F5197" s="489"/>
      <c r="G5197" s="490"/>
      <c r="H5197" s="520"/>
      <c r="I5197" s="523"/>
      <c r="J5197" s="521"/>
      <c r="K5197" s="522"/>
      <c r="M5197" s="301" t="str">
        <f>N5197&amp;AS[[#This Row],[Insurer Code]]&amp;"; "&amp;O5197&amp;AS[[#This Row],[Reporting Year]]&amp;"; "&amp;P5197&amp;AS[[#This Row],[Insurance Category Code]]&amp;"; "&amp;Q5197&amp;AS[[#This Row],[Large Provider Entity Code]]&amp;"; "&amp;R5197&amp;AS[[#This Row],[Age Band Code]]&amp;"; "&amp;S5197&amp;AS[[#This Row],[Sex Code]]</f>
        <v xml:space="preserve">Insurer Code ; Reporting Year ; Insurance Category Code ; Large Provider Entity Code ; Age Band Code ; Sex Code </v>
      </c>
      <c r="N5197" s="297" t="s">
        <v>197</v>
      </c>
      <c r="O5197" s="297" t="s">
        <v>198</v>
      </c>
      <c r="P5197" s="297" t="s">
        <v>199</v>
      </c>
      <c r="Q5197" s="297" t="s">
        <v>200</v>
      </c>
      <c r="R5197" s="297" t="s">
        <v>213</v>
      </c>
      <c r="S5197" s="297" t="s">
        <v>214</v>
      </c>
    </row>
    <row r="5198" spans="1:19" x14ac:dyDescent="0.4">
      <c r="A5198" s="291"/>
      <c r="B5198" s="292"/>
      <c r="C5198" s="312"/>
      <c r="D5198" s="292"/>
      <c r="E5198" s="489"/>
      <c r="F5198" s="489"/>
      <c r="G5198" s="490"/>
      <c r="H5198" s="520"/>
      <c r="I5198" s="523"/>
      <c r="J5198" s="521"/>
      <c r="K5198" s="522"/>
      <c r="M5198" s="301" t="str">
        <f>N5198&amp;AS[[#This Row],[Insurer Code]]&amp;"; "&amp;O5198&amp;AS[[#This Row],[Reporting Year]]&amp;"; "&amp;P5198&amp;AS[[#This Row],[Insurance Category Code]]&amp;"; "&amp;Q5198&amp;AS[[#This Row],[Large Provider Entity Code]]&amp;"; "&amp;R5198&amp;AS[[#This Row],[Age Band Code]]&amp;"; "&amp;S5198&amp;AS[[#This Row],[Sex Code]]</f>
        <v xml:space="preserve">Insurer Code ; Reporting Year ; Insurance Category Code ; Large Provider Entity Code ; Age Band Code ; Sex Code </v>
      </c>
      <c r="N5198" s="297" t="s">
        <v>197</v>
      </c>
      <c r="O5198" s="297" t="s">
        <v>198</v>
      </c>
      <c r="P5198" s="297" t="s">
        <v>199</v>
      </c>
      <c r="Q5198" s="297" t="s">
        <v>200</v>
      </c>
      <c r="R5198" s="297" t="s">
        <v>213</v>
      </c>
      <c r="S5198" s="297" t="s">
        <v>214</v>
      </c>
    </row>
    <row r="5199" spans="1:19" x14ac:dyDescent="0.4">
      <c r="A5199" s="291"/>
      <c r="B5199" s="292"/>
      <c r="C5199" s="312"/>
      <c r="D5199" s="292"/>
      <c r="E5199" s="489"/>
      <c r="F5199" s="489"/>
      <c r="G5199" s="490"/>
      <c r="H5199" s="520"/>
      <c r="I5199" s="523"/>
      <c r="J5199" s="521"/>
      <c r="K5199" s="522"/>
      <c r="M5199" s="301" t="str">
        <f>N5199&amp;AS[[#This Row],[Insurer Code]]&amp;"; "&amp;O5199&amp;AS[[#This Row],[Reporting Year]]&amp;"; "&amp;P5199&amp;AS[[#This Row],[Insurance Category Code]]&amp;"; "&amp;Q5199&amp;AS[[#This Row],[Large Provider Entity Code]]&amp;"; "&amp;R5199&amp;AS[[#This Row],[Age Band Code]]&amp;"; "&amp;S5199&amp;AS[[#This Row],[Sex Code]]</f>
        <v xml:space="preserve">Insurer Code ; Reporting Year ; Insurance Category Code ; Large Provider Entity Code ; Age Band Code ; Sex Code </v>
      </c>
      <c r="N5199" s="297" t="s">
        <v>197</v>
      </c>
      <c r="O5199" s="297" t="s">
        <v>198</v>
      </c>
      <c r="P5199" s="297" t="s">
        <v>199</v>
      </c>
      <c r="Q5199" s="297" t="s">
        <v>200</v>
      </c>
      <c r="R5199" s="297" t="s">
        <v>213</v>
      </c>
      <c r="S5199" s="297" t="s">
        <v>214</v>
      </c>
    </row>
    <row r="5200" spans="1:19" x14ac:dyDescent="0.4">
      <c r="A5200" s="291"/>
      <c r="B5200" s="292"/>
      <c r="C5200" s="312"/>
      <c r="D5200" s="292"/>
      <c r="E5200" s="489"/>
      <c r="F5200" s="489"/>
      <c r="G5200" s="490"/>
      <c r="H5200" s="520"/>
      <c r="I5200" s="523"/>
      <c r="J5200" s="521"/>
      <c r="K5200" s="522"/>
      <c r="M5200" s="301" t="str">
        <f>N5200&amp;AS[[#This Row],[Insurer Code]]&amp;"; "&amp;O5200&amp;AS[[#This Row],[Reporting Year]]&amp;"; "&amp;P5200&amp;AS[[#This Row],[Insurance Category Code]]&amp;"; "&amp;Q5200&amp;AS[[#This Row],[Large Provider Entity Code]]&amp;"; "&amp;R5200&amp;AS[[#This Row],[Age Band Code]]&amp;"; "&amp;S5200&amp;AS[[#This Row],[Sex Code]]</f>
        <v xml:space="preserve">Insurer Code ; Reporting Year ; Insurance Category Code ; Large Provider Entity Code ; Age Band Code ; Sex Code </v>
      </c>
      <c r="N5200" s="297" t="s">
        <v>197</v>
      </c>
      <c r="O5200" s="297" t="s">
        <v>198</v>
      </c>
      <c r="P5200" s="297" t="s">
        <v>199</v>
      </c>
      <c r="Q5200" s="297" t="s">
        <v>200</v>
      </c>
      <c r="R5200" s="297" t="s">
        <v>213</v>
      </c>
      <c r="S5200" s="297" t="s">
        <v>214</v>
      </c>
    </row>
    <row r="5201" spans="1:19" x14ac:dyDescent="0.4">
      <c r="A5201" s="291"/>
      <c r="B5201" s="292"/>
      <c r="C5201" s="312"/>
      <c r="D5201" s="292"/>
      <c r="E5201" s="489"/>
      <c r="F5201" s="489"/>
      <c r="G5201" s="490"/>
      <c r="H5201" s="520"/>
      <c r="I5201" s="523"/>
      <c r="J5201" s="521"/>
      <c r="K5201" s="522"/>
      <c r="M5201" s="301" t="str">
        <f>N5201&amp;AS[[#This Row],[Insurer Code]]&amp;"; "&amp;O5201&amp;AS[[#This Row],[Reporting Year]]&amp;"; "&amp;P5201&amp;AS[[#This Row],[Insurance Category Code]]&amp;"; "&amp;Q5201&amp;AS[[#This Row],[Large Provider Entity Code]]&amp;"; "&amp;R5201&amp;AS[[#This Row],[Age Band Code]]&amp;"; "&amp;S5201&amp;AS[[#This Row],[Sex Code]]</f>
        <v xml:space="preserve">Insurer Code ; Reporting Year ; Insurance Category Code ; Large Provider Entity Code ; Age Band Code ; Sex Code </v>
      </c>
      <c r="N5201" s="297" t="s">
        <v>197</v>
      </c>
      <c r="O5201" s="297" t="s">
        <v>198</v>
      </c>
      <c r="P5201" s="297" t="s">
        <v>199</v>
      </c>
      <c r="Q5201" s="297" t="s">
        <v>200</v>
      </c>
      <c r="R5201" s="297" t="s">
        <v>213</v>
      </c>
      <c r="S5201" s="297" t="s">
        <v>214</v>
      </c>
    </row>
    <row r="5202" spans="1:19" x14ac:dyDescent="0.4">
      <c r="A5202" s="291"/>
      <c r="B5202" s="292"/>
      <c r="C5202" s="312"/>
      <c r="D5202" s="292"/>
      <c r="E5202" s="489"/>
      <c r="F5202" s="489"/>
      <c r="G5202" s="490"/>
      <c r="H5202" s="520"/>
      <c r="I5202" s="523"/>
      <c r="J5202" s="521"/>
      <c r="K5202" s="522"/>
      <c r="M5202" s="301" t="str">
        <f>N5202&amp;AS[[#This Row],[Insurer Code]]&amp;"; "&amp;O5202&amp;AS[[#This Row],[Reporting Year]]&amp;"; "&amp;P5202&amp;AS[[#This Row],[Insurance Category Code]]&amp;"; "&amp;Q5202&amp;AS[[#This Row],[Large Provider Entity Code]]&amp;"; "&amp;R5202&amp;AS[[#This Row],[Age Band Code]]&amp;"; "&amp;S5202&amp;AS[[#This Row],[Sex Code]]</f>
        <v xml:space="preserve">Insurer Code ; Reporting Year ; Insurance Category Code ; Large Provider Entity Code ; Age Band Code ; Sex Code </v>
      </c>
      <c r="N5202" s="297" t="s">
        <v>197</v>
      </c>
      <c r="O5202" s="297" t="s">
        <v>198</v>
      </c>
      <c r="P5202" s="297" t="s">
        <v>199</v>
      </c>
      <c r="Q5202" s="297" t="s">
        <v>200</v>
      </c>
      <c r="R5202" s="297" t="s">
        <v>213</v>
      </c>
      <c r="S5202" s="297" t="s">
        <v>214</v>
      </c>
    </row>
    <row r="5203" spans="1:19" x14ac:dyDescent="0.4">
      <c r="A5203" s="291"/>
      <c r="B5203" s="292"/>
      <c r="C5203" s="312"/>
      <c r="D5203" s="292"/>
      <c r="E5203" s="489"/>
      <c r="F5203" s="489"/>
      <c r="G5203" s="490"/>
      <c r="H5203" s="520"/>
      <c r="I5203" s="523"/>
      <c r="J5203" s="521"/>
      <c r="K5203" s="522"/>
      <c r="M5203" s="301" t="str">
        <f>N5203&amp;AS[[#This Row],[Insurer Code]]&amp;"; "&amp;O5203&amp;AS[[#This Row],[Reporting Year]]&amp;"; "&amp;P5203&amp;AS[[#This Row],[Insurance Category Code]]&amp;"; "&amp;Q5203&amp;AS[[#This Row],[Large Provider Entity Code]]&amp;"; "&amp;R5203&amp;AS[[#This Row],[Age Band Code]]&amp;"; "&amp;S5203&amp;AS[[#This Row],[Sex Code]]</f>
        <v xml:space="preserve">Insurer Code ; Reporting Year ; Insurance Category Code ; Large Provider Entity Code ; Age Band Code ; Sex Code </v>
      </c>
      <c r="N5203" s="297" t="s">
        <v>197</v>
      </c>
      <c r="O5203" s="297" t="s">
        <v>198</v>
      </c>
      <c r="P5203" s="297" t="s">
        <v>199</v>
      </c>
      <c r="Q5203" s="297" t="s">
        <v>200</v>
      </c>
      <c r="R5203" s="297" t="s">
        <v>213</v>
      </c>
      <c r="S5203" s="297" t="s">
        <v>214</v>
      </c>
    </row>
    <row r="5204" spans="1:19" x14ac:dyDescent="0.4">
      <c r="A5204" s="291"/>
      <c r="B5204" s="292"/>
      <c r="C5204" s="312"/>
      <c r="D5204" s="292"/>
      <c r="E5204" s="489"/>
      <c r="F5204" s="489"/>
      <c r="G5204" s="490"/>
      <c r="H5204" s="520"/>
      <c r="I5204" s="523"/>
      <c r="J5204" s="521"/>
      <c r="K5204" s="522"/>
      <c r="M5204" s="301" t="str">
        <f>N5204&amp;AS[[#This Row],[Insurer Code]]&amp;"; "&amp;O5204&amp;AS[[#This Row],[Reporting Year]]&amp;"; "&amp;P5204&amp;AS[[#This Row],[Insurance Category Code]]&amp;"; "&amp;Q5204&amp;AS[[#This Row],[Large Provider Entity Code]]&amp;"; "&amp;R5204&amp;AS[[#This Row],[Age Band Code]]&amp;"; "&amp;S5204&amp;AS[[#This Row],[Sex Code]]</f>
        <v xml:space="preserve">Insurer Code ; Reporting Year ; Insurance Category Code ; Large Provider Entity Code ; Age Band Code ; Sex Code </v>
      </c>
      <c r="N5204" s="297" t="s">
        <v>197</v>
      </c>
      <c r="O5204" s="297" t="s">
        <v>198</v>
      </c>
      <c r="P5204" s="297" t="s">
        <v>199</v>
      </c>
      <c r="Q5204" s="297" t="s">
        <v>200</v>
      </c>
      <c r="R5204" s="297" t="s">
        <v>213</v>
      </c>
      <c r="S5204" s="297" t="s">
        <v>214</v>
      </c>
    </row>
    <row r="5205" spans="1:19" x14ac:dyDescent="0.4">
      <c r="A5205" s="291"/>
      <c r="B5205" s="292"/>
      <c r="C5205" s="312"/>
      <c r="D5205" s="292"/>
      <c r="E5205" s="489"/>
      <c r="F5205" s="489"/>
      <c r="G5205" s="490"/>
      <c r="H5205" s="520"/>
      <c r="I5205" s="523"/>
      <c r="J5205" s="521"/>
      <c r="K5205" s="522"/>
      <c r="M5205" s="301" t="str">
        <f>N5205&amp;AS[[#This Row],[Insurer Code]]&amp;"; "&amp;O5205&amp;AS[[#This Row],[Reporting Year]]&amp;"; "&amp;P5205&amp;AS[[#This Row],[Insurance Category Code]]&amp;"; "&amp;Q5205&amp;AS[[#This Row],[Large Provider Entity Code]]&amp;"; "&amp;R5205&amp;AS[[#This Row],[Age Band Code]]&amp;"; "&amp;S5205&amp;AS[[#This Row],[Sex Code]]</f>
        <v xml:space="preserve">Insurer Code ; Reporting Year ; Insurance Category Code ; Large Provider Entity Code ; Age Band Code ; Sex Code </v>
      </c>
      <c r="N5205" s="297" t="s">
        <v>197</v>
      </c>
      <c r="O5205" s="297" t="s">
        <v>198</v>
      </c>
      <c r="P5205" s="297" t="s">
        <v>199</v>
      </c>
      <c r="Q5205" s="297" t="s">
        <v>200</v>
      </c>
      <c r="R5205" s="297" t="s">
        <v>213</v>
      </c>
      <c r="S5205" s="297" t="s">
        <v>214</v>
      </c>
    </row>
    <row r="5206" spans="1:19" x14ac:dyDescent="0.4">
      <c r="A5206" s="291"/>
      <c r="B5206" s="292"/>
      <c r="C5206" s="312"/>
      <c r="D5206" s="292"/>
      <c r="E5206" s="489"/>
      <c r="F5206" s="489"/>
      <c r="G5206" s="490"/>
      <c r="H5206" s="520"/>
      <c r="I5206" s="523"/>
      <c r="J5206" s="521"/>
      <c r="K5206" s="522"/>
      <c r="M5206" s="301" t="str">
        <f>N5206&amp;AS[[#This Row],[Insurer Code]]&amp;"; "&amp;O5206&amp;AS[[#This Row],[Reporting Year]]&amp;"; "&amp;P5206&amp;AS[[#This Row],[Insurance Category Code]]&amp;"; "&amp;Q5206&amp;AS[[#This Row],[Large Provider Entity Code]]&amp;"; "&amp;R5206&amp;AS[[#This Row],[Age Band Code]]&amp;"; "&amp;S5206&amp;AS[[#This Row],[Sex Code]]</f>
        <v xml:space="preserve">Insurer Code ; Reporting Year ; Insurance Category Code ; Large Provider Entity Code ; Age Band Code ; Sex Code </v>
      </c>
      <c r="N5206" s="297" t="s">
        <v>197</v>
      </c>
      <c r="O5206" s="297" t="s">
        <v>198</v>
      </c>
      <c r="P5206" s="297" t="s">
        <v>199</v>
      </c>
      <c r="Q5206" s="297" t="s">
        <v>200</v>
      </c>
      <c r="R5206" s="297" t="s">
        <v>213</v>
      </c>
      <c r="S5206" s="297" t="s">
        <v>214</v>
      </c>
    </row>
    <row r="5207" spans="1:19" x14ac:dyDescent="0.4">
      <c r="A5207" s="291"/>
      <c r="B5207" s="292"/>
      <c r="C5207" s="312"/>
      <c r="D5207" s="292"/>
      <c r="E5207" s="489"/>
      <c r="F5207" s="489"/>
      <c r="G5207" s="490"/>
      <c r="H5207" s="520"/>
      <c r="I5207" s="523"/>
      <c r="J5207" s="521"/>
      <c r="K5207" s="522"/>
      <c r="M5207" s="301" t="str">
        <f>N5207&amp;AS[[#This Row],[Insurer Code]]&amp;"; "&amp;O5207&amp;AS[[#This Row],[Reporting Year]]&amp;"; "&amp;P5207&amp;AS[[#This Row],[Insurance Category Code]]&amp;"; "&amp;Q5207&amp;AS[[#This Row],[Large Provider Entity Code]]&amp;"; "&amp;R5207&amp;AS[[#This Row],[Age Band Code]]&amp;"; "&amp;S5207&amp;AS[[#This Row],[Sex Code]]</f>
        <v xml:space="preserve">Insurer Code ; Reporting Year ; Insurance Category Code ; Large Provider Entity Code ; Age Band Code ; Sex Code </v>
      </c>
      <c r="N5207" s="297" t="s">
        <v>197</v>
      </c>
      <c r="O5207" s="297" t="s">
        <v>198</v>
      </c>
      <c r="P5207" s="297" t="s">
        <v>199</v>
      </c>
      <c r="Q5207" s="297" t="s">
        <v>200</v>
      </c>
      <c r="R5207" s="297" t="s">
        <v>213</v>
      </c>
      <c r="S5207" s="297" t="s">
        <v>214</v>
      </c>
    </row>
    <row r="5208" spans="1:19" x14ac:dyDescent="0.4">
      <c r="A5208" s="291"/>
      <c r="B5208" s="292"/>
      <c r="C5208" s="312"/>
      <c r="D5208" s="292"/>
      <c r="E5208" s="489"/>
      <c r="F5208" s="489"/>
      <c r="G5208" s="490"/>
      <c r="H5208" s="520"/>
      <c r="I5208" s="523"/>
      <c r="J5208" s="521"/>
      <c r="K5208" s="522"/>
      <c r="M5208" s="301" t="str">
        <f>N5208&amp;AS[[#This Row],[Insurer Code]]&amp;"; "&amp;O5208&amp;AS[[#This Row],[Reporting Year]]&amp;"; "&amp;P5208&amp;AS[[#This Row],[Insurance Category Code]]&amp;"; "&amp;Q5208&amp;AS[[#This Row],[Large Provider Entity Code]]&amp;"; "&amp;R5208&amp;AS[[#This Row],[Age Band Code]]&amp;"; "&amp;S5208&amp;AS[[#This Row],[Sex Code]]</f>
        <v xml:space="preserve">Insurer Code ; Reporting Year ; Insurance Category Code ; Large Provider Entity Code ; Age Band Code ; Sex Code </v>
      </c>
      <c r="N5208" s="297" t="s">
        <v>197</v>
      </c>
      <c r="O5208" s="297" t="s">
        <v>198</v>
      </c>
      <c r="P5208" s="297" t="s">
        <v>199</v>
      </c>
      <c r="Q5208" s="297" t="s">
        <v>200</v>
      </c>
      <c r="R5208" s="297" t="s">
        <v>213</v>
      </c>
      <c r="S5208" s="297" t="s">
        <v>214</v>
      </c>
    </row>
    <row r="5209" spans="1:19" x14ac:dyDescent="0.4">
      <c r="A5209" s="291"/>
      <c r="B5209" s="292"/>
      <c r="C5209" s="312"/>
      <c r="D5209" s="292"/>
      <c r="E5209" s="489"/>
      <c r="F5209" s="489"/>
      <c r="G5209" s="490"/>
      <c r="H5209" s="520"/>
      <c r="I5209" s="523"/>
      <c r="J5209" s="521"/>
      <c r="K5209" s="522"/>
      <c r="M5209" s="301" t="str">
        <f>N5209&amp;AS[[#This Row],[Insurer Code]]&amp;"; "&amp;O5209&amp;AS[[#This Row],[Reporting Year]]&amp;"; "&amp;P5209&amp;AS[[#This Row],[Insurance Category Code]]&amp;"; "&amp;Q5209&amp;AS[[#This Row],[Large Provider Entity Code]]&amp;"; "&amp;R5209&amp;AS[[#This Row],[Age Band Code]]&amp;"; "&amp;S5209&amp;AS[[#This Row],[Sex Code]]</f>
        <v xml:space="preserve">Insurer Code ; Reporting Year ; Insurance Category Code ; Large Provider Entity Code ; Age Band Code ; Sex Code </v>
      </c>
      <c r="N5209" s="297" t="s">
        <v>197</v>
      </c>
      <c r="O5209" s="297" t="s">
        <v>198</v>
      </c>
      <c r="P5209" s="297" t="s">
        <v>199</v>
      </c>
      <c r="Q5209" s="297" t="s">
        <v>200</v>
      </c>
      <c r="R5209" s="297" t="s">
        <v>213</v>
      </c>
      <c r="S5209" s="297" t="s">
        <v>214</v>
      </c>
    </row>
    <row r="5210" spans="1:19" x14ac:dyDescent="0.4">
      <c r="A5210" s="291"/>
      <c r="B5210" s="292"/>
      <c r="C5210" s="312"/>
      <c r="D5210" s="292"/>
      <c r="E5210" s="489"/>
      <c r="F5210" s="489"/>
      <c r="G5210" s="490"/>
      <c r="H5210" s="520"/>
      <c r="I5210" s="523"/>
      <c r="J5210" s="521"/>
      <c r="K5210" s="522"/>
      <c r="M5210" s="301" t="str">
        <f>N5210&amp;AS[[#This Row],[Insurer Code]]&amp;"; "&amp;O5210&amp;AS[[#This Row],[Reporting Year]]&amp;"; "&amp;P5210&amp;AS[[#This Row],[Insurance Category Code]]&amp;"; "&amp;Q5210&amp;AS[[#This Row],[Large Provider Entity Code]]&amp;"; "&amp;R5210&amp;AS[[#This Row],[Age Band Code]]&amp;"; "&amp;S5210&amp;AS[[#This Row],[Sex Code]]</f>
        <v xml:space="preserve">Insurer Code ; Reporting Year ; Insurance Category Code ; Large Provider Entity Code ; Age Band Code ; Sex Code </v>
      </c>
      <c r="N5210" s="297" t="s">
        <v>197</v>
      </c>
      <c r="O5210" s="297" t="s">
        <v>198</v>
      </c>
      <c r="P5210" s="297" t="s">
        <v>199</v>
      </c>
      <c r="Q5210" s="297" t="s">
        <v>200</v>
      </c>
      <c r="R5210" s="297" t="s">
        <v>213</v>
      </c>
      <c r="S5210" s="297" t="s">
        <v>214</v>
      </c>
    </row>
    <row r="5211" spans="1:19" x14ac:dyDescent="0.4">
      <c r="A5211" s="291"/>
      <c r="B5211" s="292"/>
      <c r="C5211" s="312"/>
      <c r="D5211" s="292"/>
      <c r="E5211" s="489"/>
      <c r="F5211" s="489"/>
      <c r="G5211" s="490"/>
      <c r="H5211" s="520"/>
      <c r="I5211" s="523"/>
      <c r="J5211" s="521"/>
      <c r="K5211" s="522"/>
      <c r="M5211" s="301" t="str">
        <f>N5211&amp;AS[[#This Row],[Insurer Code]]&amp;"; "&amp;O5211&amp;AS[[#This Row],[Reporting Year]]&amp;"; "&amp;P5211&amp;AS[[#This Row],[Insurance Category Code]]&amp;"; "&amp;Q5211&amp;AS[[#This Row],[Large Provider Entity Code]]&amp;"; "&amp;R5211&amp;AS[[#This Row],[Age Band Code]]&amp;"; "&amp;S5211&amp;AS[[#This Row],[Sex Code]]</f>
        <v xml:space="preserve">Insurer Code ; Reporting Year ; Insurance Category Code ; Large Provider Entity Code ; Age Band Code ; Sex Code </v>
      </c>
      <c r="N5211" s="297" t="s">
        <v>197</v>
      </c>
      <c r="O5211" s="297" t="s">
        <v>198</v>
      </c>
      <c r="P5211" s="297" t="s">
        <v>199</v>
      </c>
      <c r="Q5211" s="297" t="s">
        <v>200</v>
      </c>
      <c r="R5211" s="297" t="s">
        <v>213</v>
      </c>
      <c r="S5211" s="297" t="s">
        <v>214</v>
      </c>
    </row>
    <row r="5212" spans="1:19" x14ac:dyDescent="0.4">
      <c r="A5212" s="291"/>
      <c r="B5212" s="292"/>
      <c r="C5212" s="312"/>
      <c r="D5212" s="292"/>
      <c r="E5212" s="489"/>
      <c r="F5212" s="489"/>
      <c r="G5212" s="490"/>
      <c r="H5212" s="520"/>
      <c r="I5212" s="523"/>
      <c r="J5212" s="521"/>
      <c r="K5212" s="522"/>
      <c r="M5212" s="301" t="str">
        <f>N5212&amp;AS[[#This Row],[Insurer Code]]&amp;"; "&amp;O5212&amp;AS[[#This Row],[Reporting Year]]&amp;"; "&amp;P5212&amp;AS[[#This Row],[Insurance Category Code]]&amp;"; "&amp;Q5212&amp;AS[[#This Row],[Large Provider Entity Code]]&amp;"; "&amp;R5212&amp;AS[[#This Row],[Age Band Code]]&amp;"; "&amp;S5212&amp;AS[[#This Row],[Sex Code]]</f>
        <v xml:space="preserve">Insurer Code ; Reporting Year ; Insurance Category Code ; Large Provider Entity Code ; Age Band Code ; Sex Code </v>
      </c>
      <c r="N5212" s="297" t="s">
        <v>197</v>
      </c>
      <c r="O5212" s="297" t="s">
        <v>198</v>
      </c>
      <c r="P5212" s="297" t="s">
        <v>199</v>
      </c>
      <c r="Q5212" s="297" t="s">
        <v>200</v>
      </c>
      <c r="R5212" s="297" t="s">
        <v>213</v>
      </c>
      <c r="S5212" s="297" t="s">
        <v>214</v>
      </c>
    </row>
    <row r="5213" spans="1:19" x14ac:dyDescent="0.4">
      <c r="A5213" s="291"/>
      <c r="B5213" s="292"/>
      <c r="C5213" s="312"/>
      <c r="D5213" s="292"/>
      <c r="E5213" s="489"/>
      <c r="F5213" s="489"/>
      <c r="G5213" s="490"/>
      <c r="H5213" s="520"/>
      <c r="I5213" s="523"/>
      <c r="J5213" s="521"/>
      <c r="K5213" s="522"/>
      <c r="M5213" s="301" t="str">
        <f>N5213&amp;AS[[#This Row],[Insurer Code]]&amp;"; "&amp;O5213&amp;AS[[#This Row],[Reporting Year]]&amp;"; "&amp;P5213&amp;AS[[#This Row],[Insurance Category Code]]&amp;"; "&amp;Q5213&amp;AS[[#This Row],[Large Provider Entity Code]]&amp;"; "&amp;R5213&amp;AS[[#This Row],[Age Band Code]]&amp;"; "&amp;S5213&amp;AS[[#This Row],[Sex Code]]</f>
        <v xml:space="preserve">Insurer Code ; Reporting Year ; Insurance Category Code ; Large Provider Entity Code ; Age Band Code ; Sex Code </v>
      </c>
      <c r="N5213" s="297" t="s">
        <v>197</v>
      </c>
      <c r="O5213" s="297" t="s">
        <v>198</v>
      </c>
      <c r="P5213" s="297" t="s">
        <v>199</v>
      </c>
      <c r="Q5213" s="297" t="s">
        <v>200</v>
      </c>
      <c r="R5213" s="297" t="s">
        <v>213</v>
      </c>
      <c r="S5213" s="297" t="s">
        <v>214</v>
      </c>
    </row>
    <row r="5214" spans="1:19" x14ac:dyDescent="0.4">
      <c r="A5214" s="291"/>
      <c r="B5214" s="292"/>
      <c r="C5214" s="312"/>
      <c r="D5214" s="292"/>
      <c r="E5214" s="489"/>
      <c r="F5214" s="489"/>
      <c r="G5214" s="490"/>
      <c r="H5214" s="520"/>
      <c r="I5214" s="523"/>
      <c r="J5214" s="521"/>
      <c r="K5214" s="522"/>
      <c r="M5214" s="301" t="str">
        <f>N5214&amp;AS[[#This Row],[Insurer Code]]&amp;"; "&amp;O5214&amp;AS[[#This Row],[Reporting Year]]&amp;"; "&amp;P5214&amp;AS[[#This Row],[Insurance Category Code]]&amp;"; "&amp;Q5214&amp;AS[[#This Row],[Large Provider Entity Code]]&amp;"; "&amp;R5214&amp;AS[[#This Row],[Age Band Code]]&amp;"; "&amp;S5214&amp;AS[[#This Row],[Sex Code]]</f>
        <v xml:space="preserve">Insurer Code ; Reporting Year ; Insurance Category Code ; Large Provider Entity Code ; Age Band Code ; Sex Code </v>
      </c>
      <c r="N5214" s="297" t="s">
        <v>197</v>
      </c>
      <c r="O5214" s="297" t="s">
        <v>198</v>
      </c>
      <c r="P5214" s="297" t="s">
        <v>199</v>
      </c>
      <c r="Q5214" s="297" t="s">
        <v>200</v>
      </c>
      <c r="R5214" s="297" t="s">
        <v>213</v>
      </c>
      <c r="S5214" s="297" t="s">
        <v>214</v>
      </c>
    </row>
    <row r="5215" spans="1:19" x14ac:dyDescent="0.4">
      <c r="A5215" s="291"/>
      <c r="B5215" s="292"/>
      <c r="C5215" s="312"/>
      <c r="D5215" s="292"/>
      <c r="E5215" s="489"/>
      <c r="F5215" s="489"/>
      <c r="G5215" s="490"/>
      <c r="H5215" s="520"/>
      <c r="I5215" s="523"/>
      <c r="J5215" s="521"/>
      <c r="K5215" s="522"/>
      <c r="M5215" s="301" t="str">
        <f>N5215&amp;AS[[#This Row],[Insurer Code]]&amp;"; "&amp;O5215&amp;AS[[#This Row],[Reporting Year]]&amp;"; "&amp;P5215&amp;AS[[#This Row],[Insurance Category Code]]&amp;"; "&amp;Q5215&amp;AS[[#This Row],[Large Provider Entity Code]]&amp;"; "&amp;R5215&amp;AS[[#This Row],[Age Band Code]]&amp;"; "&amp;S5215&amp;AS[[#This Row],[Sex Code]]</f>
        <v xml:space="preserve">Insurer Code ; Reporting Year ; Insurance Category Code ; Large Provider Entity Code ; Age Band Code ; Sex Code </v>
      </c>
      <c r="N5215" s="297" t="s">
        <v>197</v>
      </c>
      <c r="O5215" s="297" t="s">
        <v>198</v>
      </c>
      <c r="P5215" s="297" t="s">
        <v>199</v>
      </c>
      <c r="Q5215" s="297" t="s">
        <v>200</v>
      </c>
      <c r="R5215" s="297" t="s">
        <v>213</v>
      </c>
      <c r="S5215" s="297" t="s">
        <v>214</v>
      </c>
    </row>
    <row r="5216" spans="1:19" x14ac:dyDescent="0.4">
      <c r="A5216" s="291"/>
      <c r="B5216" s="292"/>
      <c r="C5216" s="312"/>
      <c r="D5216" s="292"/>
      <c r="E5216" s="489"/>
      <c r="F5216" s="489"/>
      <c r="G5216" s="490"/>
      <c r="H5216" s="520"/>
      <c r="I5216" s="523"/>
      <c r="J5216" s="521"/>
      <c r="K5216" s="522"/>
      <c r="M5216" s="301" t="str">
        <f>N5216&amp;AS[[#This Row],[Insurer Code]]&amp;"; "&amp;O5216&amp;AS[[#This Row],[Reporting Year]]&amp;"; "&amp;P5216&amp;AS[[#This Row],[Insurance Category Code]]&amp;"; "&amp;Q5216&amp;AS[[#This Row],[Large Provider Entity Code]]&amp;"; "&amp;R5216&amp;AS[[#This Row],[Age Band Code]]&amp;"; "&amp;S5216&amp;AS[[#This Row],[Sex Code]]</f>
        <v xml:space="preserve">Insurer Code ; Reporting Year ; Insurance Category Code ; Large Provider Entity Code ; Age Band Code ; Sex Code </v>
      </c>
      <c r="N5216" s="297" t="s">
        <v>197</v>
      </c>
      <c r="O5216" s="297" t="s">
        <v>198</v>
      </c>
      <c r="P5216" s="297" t="s">
        <v>199</v>
      </c>
      <c r="Q5216" s="297" t="s">
        <v>200</v>
      </c>
      <c r="R5216" s="297" t="s">
        <v>213</v>
      </c>
      <c r="S5216" s="297" t="s">
        <v>214</v>
      </c>
    </row>
    <row r="5217" spans="1:19" x14ac:dyDescent="0.4">
      <c r="A5217" s="291"/>
      <c r="B5217" s="292"/>
      <c r="C5217" s="312"/>
      <c r="D5217" s="292"/>
      <c r="E5217" s="489"/>
      <c r="F5217" s="489"/>
      <c r="G5217" s="490"/>
      <c r="H5217" s="520"/>
      <c r="I5217" s="523"/>
      <c r="J5217" s="521"/>
      <c r="K5217" s="522"/>
      <c r="M5217" s="301" t="str">
        <f>N5217&amp;AS[[#This Row],[Insurer Code]]&amp;"; "&amp;O5217&amp;AS[[#This Row],[Reporting Year]]&amp;"; "&amp;P5217&amp;AS[[#This Row],[Insurance Category Code]]&amp;"; "&amp;Q5217&amp;AS[[#This Row],[Large Provider Entity Code]]&amp;"; "&amp;R5217&amp;AS[[#This Row],[Age Band Code]]&amp;"; "&amp;S5217&amp;AS[[#This Row],[Sex Code]]</f>
        <v xml:space="preserve">Insurer Code ; Reporting Year ; Insurance Category Code ; Large Provider Entity Code ; Age Band Code ; Sex Code </v>
      </c>
      <c r="N5217" s="297" t="s">
        <v>197</v>
      </c>
      <c r="O5217" s="297" t="s">
        <v>198</v>
      </c>
      <c r="P5217" s="297" t="s">
        <v>199</v>
      </c>
      <c r="Q5217" s="297" t="s">
        <v>200</v>
      </c>
      <c r="R5217" s="297" t="s">
        <v>213</v>
      </c>
      <c r="S5217" s="297" t="s">
        <v>214</v>
      </c>
    </row>
    <row r="5218" spans="1:19" x14ac:dyDescent="0.4">
      <c r="A5218" s="291"/>
      <c r="B5218" s="292"/>
      <c r="C5218" s="312"/>
      <c r="D5218" s="292"/>
      <c r="E5218" s="489"/>
      <c r="F5218" s="489"/>
      <c r="G5218" s="490"/>
      <c r="H5218" s="520"/>
      <c r="I5218" s="523"/>
      <c r="J5218" s="521"/>
      <c r="K5218" s="522"/>
      <c r="M5218" s="301" t="str">
        <f>N5218&amp;AS[[#This Row],[Insurer Code]]&amp;"; "&amp;O5218&amp;AS[[#This Row],[Reporting Year]]&amp;"; "&amp;P5218&amp;AS[[#This Row],[Insurance Category Code]]&amp;"; "&amp;Q5218&amp;AS[[#This Row],[Large Provider Entity Code]]&amp;"; "&amp;R5218&amp;AS[[#This Row],[Age Band Code]]&amp;"; "&amp;S5218&amp;AS[[#This Row],[Sex Code]]</f>
        <v xml:space="preserve">Insurer Code ; Reporting Year ; Insurance Category Code ; Large Provider Entity Code ; Age Band Code ; Sex Code </v>
      </c>
      <c r="N5218" s="297" t="s">
        <v>197</v>
      </c>
      <c r="O5218" s="297" t="s">
        <v>198</v>
      </c>
      <c r="P5218" s="297" t="s">
        <v>199</v>
      </c>
      <c r="Q5218" s="297" t="s">
        <v>200</v>
      </c>
      <c r="R5218" s="297" t="s">
        <v>213</v>
      </c>
      <c r="S5218" s="297" t="s">
        <v>214</v>
      </c>
    </row>
    <row r="5219" spans="1:19" x14ac:dyDescent="0.4">
      <c r="A5219" s="291"/>
      <c r="B5219" s="292"/>
      <c r="C5219" s="312"/>
      <c r="D5219" s="292"/>
      <c r="E5219" s="489"/>
      <c r="F5219" s="489"/>
      <c r="G5219" s="490"/>
      <c r="H5219" s="520"/>
      <c r="I5219" s="523"/>
      <c r="J5219" s="521"/>
      <c r="K5219" s="522"/>
      <c r="M5219" s="301" t="str">
        <f>N5219&amp;AS[[#This Row],[Insurer Code]]&amp;"; "&amp;O5219&amp;AS[[#This Row],[Reporting Year]]&amp;"; "&amp;P5219&amp;AS[[#This Row],[Insurance Category Code]]&amp;"; "&amp;Q5219&amp;AS[[#This Row],[Large Provider Entity Code]]&amp;"; "&amp;R5219&amp;AS[[#This Row],[Age Band Code]]&amp;"; "&amp;S5219&amp;AS[[#This Row],[Sex Code]]</f>
        <v xml:space="preserve">Insurer Code ; Reporting Year ; Insurance Category Code ; Large Provider Entity Code ; Age Band Code ; Sex Code </v>
      </c>
      <c r="N5219" s="297" t="s">
        <v>197</v>
      </c>
      <c r="O5219" s="297" t="s">
        <v>198</v>
      </c>
      <c r="P5219" s="297" t="s">
        <v>199</v>
      </c>
      <c r="Q5219" s="297" t="s">
        <v>200</v>
      </c>
      <c r="R5219" s="297" t="s">
        <v>213</v>
      </c>
      <c r="S5219" s="297" t="s">
        <v>214</v>
      </c>
    </row>
    <row r="5220" spans="1:19" x14ac:dyDescent="0.4">
      <c r="A5220" s="291"/>
      <c r="B5220" s="292"/>
      <c r="C5220" s="312"/>
      <c r="D5220" s="292"/>
      <c r="E5220" s="489"/>
      <c r="F5220" s="489"/>
      <c r="G5220" s="490"/>
      <c r="H5220" s="520"/>
      <c r="I5220" s="523"/>
      <c r="J5220" s="521"/>
      <c r="K5220" s="522"/>
      <c r="M5220" s="301" t="str">
        <f>N5220&amp;AS[[#This Row],[Insurer Code]]&amp;"; "&amp;O5220&amp;AS[[#This Row],[Reporting Year]]&amp;"; "&amp;P5220&amp;AS[[#This Row],[Insurance Category Code]]&amp;"; "&amp;Q5220&amp;AS[[#This Row],[Large Provider Entity Code]]&amp;"; "&amp;R5220&amp;AS[[#This Row],[Age Band Code]]&amp;"; "&amp;S5220&amp;AS[[#This Row],[Sex Code]]</f>
        <v xml:space="preserve">Insurer Code ; Reporting Year ; Insurance Category Code ; Large Provider Entity Code ; Age Band Code ; Sex Code </v>
      </c>
      <c r="N5220" s="297" t="s">
        <v>197</v>
      </c>
      <c r="O5220" s="297" t="s">
        <v>198</v>
      </c>
      <c r="P5220" s="297" t="s">
        <v>199</v>
      </c>
      <c r="Q5220" s="297" t="s">
        <v>200</v>
      </c>
      <c r="R5220" s="297" t="s">
        <v>213</v>
      </c>
      <c r="S5220" s="297" t="s">
        <v>214</v>
      </c>
    </row>
    <row r="5221" spans="1:19" x14ac:dyDescent="0.4">
      <c r="A5221" s="291"/>
      <c r="B5221" s="292"/>
      <c r="C5221" s="312"/>
      <c r="D5221" s="292"/>
      <c r="E5221" s="489"/>
      <c r="F5221" s="489"/>
      <c r="G5221" s="490"/>
      <c r="H5221" s="520"/>
      <c r="I5221" s="523"/>
      <c r="J5221" s="521"/>
      <c r="K5221" s="522"/>
      <c r="M5221" s="301" t="str">
        <f>N5221&amp;AS[[#This Row],[Insurer Code]]&amp;"; "&amp;O5221&amp;AS[[#This Row],[Reporting Year]]&amp;"; "&amp;P5221&amp;AS[[#This Row],[Insurance Category Code]]&amp;"; "&amp;Q5221&amp;AS[[#This Row],[Large Provider Entity Code]]&amp;"; "&amp;R5221&amp;AS[[#This Row],[Age Band Code]]&amp;"; "&amp;S5221&amp;AS[[#This Row],[Sex Code]]</f>
        <v xml:space="preserve">Insurer Code ; Reporting Year ; Insurance Category Code ; Large Provider Entity Code ; Age Band Code ; Sex Code </v>
      </c>
      <c r="N5221" s="297" t="s">
        <v>197</v>
      </c>
      <c r="O5221" s="297" t="s">
        <v>198</v>
      </c>
      <c r="P5221" s="297" t="s">
        <v>199</v>
      </c>
      <c r="Q5221" s="297" t="s">
        <v>200</v>
      </c>
      <c r="R5221" s="297" t="s">
        <v>213</v>
      </c>
      <c r="S5221" s="297" t="s">
        <v>214</v>
      </c>
    </row>
    <row r="5222" spans="1:19" x14ac:dyDescent="0.4">
      <c r="A5222" s="291"/>
      <c r="B5222" s="292"/>
      <c r="C5222" s="312"/>
      <c r="D5222" s="292"/>
      <c r="E5222" s="489"/>
      <c r="F5222" s="489"/>
      <c r="G5222" s="490"/>
      <c r="H5222" s="520"/>
      <c r="I5222" s="523"/>
      <c r="J5222" s="521"/>
      <c r="K5222" s="522"/>
      <c r="M5222" s="301" t="str">
        <f>N5222&amp;AS[[#This Row],[Insurer Code]]&amp;"; "&amp;O5222&amp;AS[[#This Row],[Reporting Year]]&amp;"; "&amp;P5222&amp;AS[[#This Row],[Insurance Category Code]]&amp;"; "&amp;Q5222&amp;AS[[#This Row],[Large Provider Entity Code]]&amp;"; "&amp;R5222&amp;AS[[#This Row],[Age Band Code]]&amp;"; "&amp;S5222&amp;AS[[#This Row],[Sex Code]]</f>
        <v xml:space="preserve">Insurer Code ; Reporting Year ; Insurance Category Code ; Large Provider Entity Code ; Age Band Code ; Sex Code </v>
      </c>
      <c r="N5222" s="297" t="s">
        <v>197</v>
      </c>
      <c r="O5222" s="297" t="s">
        <v>198</v>
      </c>
      <c r="P5222" s="297" t="s">
        <v>199</v>
      </c>
      <c r="Q5222" s="297" t="s">
        <v>200</v>
      </c>
      <c r="R5222" s="297" t="s">
        <v>213</v>
      </c>
      <c r="S5222" s="297" t="s">
        <v>214</v>
      </c>
    </row>
    <row r="5223" spans="1:19" x14ac:dyDescent="0.4">
      <c r="A5223" s="291"/>
      <c r="B5223" s="292"/>
      <c r="C5223" s="312"/>
      <c r="D5223" s="292"/>
      <c r="E5223" s="489"/>
      <c r="F5223" s="489"/>
      <c r="G5223" s="490"/>
      <c r="H5223" s="520"/>
      <c r="I5223" s="523"/>
      <c r="J5223" s="521"/>
      <c r="K5223" s="522"/>
      <c r="M5223" s="301" t="str">
        <f>N5223&amp;AS[[#This Row],[Insurer Code]]&amp;"; "&amp;O5223&amp;AS[[#This Row],[Reporting Year]]&amp;"; "&amp;P5223&amp;AS[[#This Row],[Insurance Category Code]]&amp;"; "&amp;Q5223&amp;AS[[#This Row],[Large Provider Entity Code]]&amp;"; "&amp;R5223&amp;AS[[#This Row],[Age Band Code]]&amp;"; "&amp;S5223&amp;AS[[#This Row],[Sex Code]]</f>
        <v xml:space="preserve">Insurer Code ; Reporting Year ; Insurance Category Code ; Large Provider Entity Code ; Age Band Code ; Sex Code </v>
      </c>
      <c r="N5223" s="297" t="s">
        <v>197</v>
      </c>
      <c r="O5223" s="297" t="s">
        <v>198</v>
      </c>
      <c r="P5223" s="297" t="s">
        <v>199</v>
      </c>
      <c r="Q5223" s="297" t="s">
        <v>200</v>
      </c>
      <c r="R5223" s="297" t="s">
        <v>213</v>
      </c>
      <c r="S5223" s="297" t="s">
        <v>214</v>
      </c>
    </row>
    <row r="5224" spans="1:19" x14ac:dyDescent="0.4">
      <c r="A5224" s="291"/>
      <c r="B5224" s="292"/>
      <c r="C5224" s="312"/>
      <c r="D5224" s="292"/>
      <c r="E5224" s="489"/>
      <c r="F5224" s="489"/>
      <c r="G5224" s="490"/>
      <c r="H5224" s="520"/>
      <c r="I5224" s="523"/>
      <c r="J5224" s="521"/>
      <c r="K5224" s="522"/>
      <c r="M5224" s="301" t="str">
        <f>N5224&amp;AS[[#This Row],[Insurer Code]]&amp;"; "&amp;O5224&amp;AS[[#This Row],[Reporting Year]]&amp;"; "&amp;P5224&amp;AS[[#This Row],[Insurance Category Code]]&amp;"; "&amp;Q5224&amp;AS[[#This Row],[Large Provider Entity Code]]&amp;"; "&amp;R5224&amp;AS[[#This Row],[Age Band Code]]&amp;"; "&amp;S5224&amp;AS[[#This Row],[Sex Code]]</f>
        <v xml:space="preserve">Insurer Code ; Reporting Year ; Insurance Category Code ; Large Provider Entity Code ; Age Band Code ; Sex Code </v>
      </c>
      <c r="N5224" s="297" t="s">
        <v>197</v>
      </c>
      <c r="O5224" s="297" t="s">
        <v>198</v>
      </c>
      <c r="P5224" s="297" t="s">
        <v>199</v>
      </c>
      <c r="Q5224" s="297" t="s">
        <v>200</v>
      </c>
      <c r="R5224" s="297" t="s">
        <v>213</v>
      </c>
      <c r="S5224" s="297" t="s">
        <v>214</v>
      </c>
    </row>
    <row r="5225" spans="1:19" x14ac:dyDescent="0.4">
      <c r="A5225" s="291"/>
      <c r="B5225" s="292"/>
      <c r="C5225" s="312"/>
      <c r="D5225" s="292"/>
      <c r="E5225" s="489"/>
      <c r="F5225" s="489"/>
      <c r="G5225" s="490"/>
      <c r="H5225" s="520"/>
      <c r="I5225" s="523"/>
      <c r="J5225" s="521"/>
      <c r="K5225" s="522"/>
      <c r="M5225" s="301" t="str">
        <f>N5225&amp;AS[[#This Row],[Insurer Code]]&amp;"; "&amp;O5225&amp;AS[[#This Row],[Reporting Year]]&amp;"; "&amp;P5225&amp;AS[[#This Row],[Insurance Category Code]]&amp;"; "&amp;Q5225&amp;AS[[#This Row],[Large Provider Entity Code]]&amp;"; "&amp;R5225&amp;AS[[#This Row],[Age Band Code]]&amp;"; "&amp;S5225&amp;AS[[#This Row],[Sex Code]]</f>
        <v xml:space="preserve">Insurer Code ; Reporting Year ; Insurance Category Code ; Large Provider Entity Code ; Age Band Code ; Sex Code </v>
      </c>
      <c r="N5225" s="297" t="s">
        <v>197</v>
      </c>
      <c r="O5225" s="297" t="s">
        <v>198</v>
      </c>
      <c r="P5225" s="297" t="s">
        <v>199</v>
      </c>
      <c r="Q5225" s="297" t="s">
        <v>200</v>
      </c>
      <c r="R5225" s="297" t="s">
        <v>213</v>
      </c>
      <c r="S5225" s="297" t="s">
        <v>214</v>
      </c>
    </row>
    <row r="5226" spans="1:19" x14ac:dyDescent="0.4">
      <c r="A5226" s="291"/>
      <c r="B5226" s="292"/>
      <c r="C5226" s="312"/>
      <c r="D5226" s="292"/>
      <c r="E5226" s="489"/>
      <c r="F5226" s="489"/>
      <c r="G5226" s="490"/>
      <c r="H5226" s="520"/>
      <c r="I5226" s="523"/>
      <c r="J5226" s="521"/>
      <c r="K5226" s="522"/>
      <c r="M5226" s="301" t="str">
        <f>N5226&amp;AS[[#This Row],[Insurer Code]]&amp;"; "&amp;O5226&amp;AS[[#This Row],[Reporting Year]]&amp;"; "&amp;P5226&amp;AS[[#This Row],[Insurance Category Code]]&amp;"; "&amp;Q5226&amp;AS[[#This Row],[Large Provider Entity Code]]&amp;"; "&amp;R5226&amp;AS[[#This Row],[Age Band Code]]&amp;"; "&amp;S5226&amp;AS[[#This Row],[Sex Code]]</f>
        <v xml:space="preserve">Insurer Code ; Reporting Year ; Insurance Category Code ; Large Provider Entity Code ; Age Band Code ; Sex Code </v>
      </c>
      <c r="N5226" s="297" t="s">
        <v>197</v>
      </c>
      <c r="O5226" s="297" t="s">
        <v>198</v>
      </c>
      <c r="P5226" s="297" t="s">
        <v>199</v>
      </c>
      <c r="Q5226" s="297" t="s">
        <v>200</v>
      </c>
      <c r="R5226" s="297" t="s">
        <v>213</v>
      </c>
      <c r="S5226" s="297" t="s">
        <v>214</v>
      </c>
    </row>
    <row r="5227" spans="1:19" x14ac:dyDescent="0.4">
      <c r="A5227" s="291"/>
      <c r="B5227" s="292"/>
      <c r="C5227" s="312"/>
      <c r="D5227" s="292"/>
      <c r="E5227" s="489"/>
      <c r="F5227" s="489"/>
      <c r="G5227" s="490"/>
      <c r="H5227" s="520"/>
      <c r="I5227" s="523"/>
      <c r="J5227" s="521"/>
      <c r="K5227" s="522"/>
      <c r="M5227" s="301" t="str">
        <f>N5227&amp;AS[[#This Row],[Insurer Code]]&amp;"; "&amp;O5227&amp;AS[[#This Row],[Reporting Year]]&amp;"; "&amp;P5227&amp;AS[[#This Row],[Insurance Category Code]]&amp;"; "&amp;Q5227&amp;AS[[#This Row],[Large Provider Entity Code]]&amp;"; "&amp;R5227&amp;AS[[#This Row],[Age Band Code]]&amp;"; "&amp;S5227&amp;AS[[#This Row],[Sex Code]]</f>
        <v xml:space="preserve">Insurer Code ; Reporting Year ; Insurance Category Code ; Large Provider Entity Code ; Age Band Code ; Sex Code </v>
      </c>
      <c r="N5227" s="297" t="s">
        <v>197</v>
      </c>
      <c r="O5227" s="297" t="s">
        <v>198</v>
      </c>
      <c r="P5227" s="297" t="s">
        <v>199</v>
      </c>
      <c r="Q5227" s="297" t="s">
        <v>200</v>
      </c>
      <c r="R5227" s="297" t="s">
        <v>213</v>
      </c>
      <c r="S5227" s="297" t="s">
        <v>214</v>
      </c>
    </row>
    <row r="5228" spans="1:19" x14ac:dyDescent="0.4">
      <c r="A5228" s="291"/>
      <c r="B5228" s="292"/>
      <c r="C5228" s="312"/>
      <c r="D5228" s="292"/>
      <c r="E5228" s="489"/>
      <c r="F5228" s="489"/>
      <c r="G5228" s="490"/>
      <c r="H5228" s="520"/>
      <c r="I5228" s="523"/>
      <c r="J5228" s="521"/>
      <c r="K5228" s="522"/>
      <c r="M5228" s="301" t="str">
        <f>N5228&amp;AS[[#This Row],[Insurer Code]]&amp;"; "&amp;O5228&amp;AS[[#This Row],[Reporting Year]]&amp;"; "&amp;P5228&amp;AS[[#This Row],[Insurance Category Code]]&amp;"; "&amp;Q5228&amp;AS[[#This Row],[Large Provider Entity Code]]&amp;"; "&amp;R5228&amp;AS[[#This Row],[Age Band Code]]&amp;"; "&amp;S5228&amp;AS[[#This Row],[Sex Code]]</f>
        <v xml:space="preserve">Insurer Code ; Reporting Year ; Insurance Category Code ; Large Provider Entity Code ; Age Band Code ; Sex Code </v>
      </c>
      <c r="N5228" s="297" t="s">
        <v>197</v>
      </c>
      <c r="O5228" s="297" t="s">
        <v>198</v>
      </c>
      <c r="P5228" s="297" t="s">
        <v>199</v>
      </c>
      <c r="Q5228" s="297" t="s">
        <v>200</v>
      </c>
      <c r="R5228" s="297" t="s">
        <v>213</v>
      </c>
      <c r="S5228" s="297" t="s">
        <v>214</v>
      </c>
    </row>
    <row r="5229" spans="1:19" x14ac:dyDescent="0.4">
      <c r="A5229" s="291"/>
      <c r="B5229" s="292"/>
      <c r="C5229" s="312"/>
      <c r="D5229" s="292"/>
      <c r="E5229" s="489"/>
      <c r="F5229" s="489"/>
      <c r="G5229" s="490"/>
      <c r="H5229" s="520"/>
      <c r="I5229" s="523"/>
      <c r="J5229" s="521"/>
      <c r="K5229" s="522"/>
      <c r="M5229" s="301" t="str">
        <f>N5229&amp;AS[[#This Row],[Insurer Code]]&amp;"; "&amp;O5229&amp;AS[[#This Row],[Reporting Year]]&amp;"; "&amp;P5229&amp;AS[[#This Row],[Insurance Category Code]]&amp;"; "&amp;Q5229&amp;AS[[#This Row],[Large Provider Entity Code]]&amp;"; "&amp;R5229&amp;AS[[#This Row],[Age Band Code]]&amp;"; "&amp;S5229&amp;AS[[#This Row],[Sex Code]]</f>
        <v xml:space="preserve">Insurer Code ; Reporting Year ; Insurance Category Code ; Large Provider Entity Code ; Age Band Code ; Sex Code </v>
      </c>
      <c r="N5229" s="297" t="s">
        <v>197</v>
      </c>
      <c r="O5229" s="297" t="s">
        <v>198</v>
      </c>
      <c r="P5229" s="297" t="s">
        <v>199</v>
      </c>
      <c r="Q5229" s="297" t="s">
        <v>200</v>
      </c>
      <c r="R5229" s="297" t="s">
        <v>213</v>
      </c>
      <c r="S5229" s="297" t="s">
        <v>214</v>
      </c>
    </row>
    <row r="5230" spans="1:19" x14ac:dyDescent="0.4">
      <c r="A5230" s="291"/>
      <c r="B5230" s="292"/>
      <c r="C5230" s="312"/>
      <c r="D5230" s="292"/>
      <c r="E5230" s="489"/>
      <c r="F5230" s="489"/>
      <c r="G5230" s="490"/>
      <c r="H5230" s="520"/>
      <c r="I5230" s="523"/>
      <c r="J5230" s="521"/>
      <c r="K5230" s="522"/>
      <c r="M5230" s="301" t="str">
        <f>N5230&amp;AS[[#This Row],[Insurer Code]]&amp;"; "&amp;O5230&amp;AS[[#This Row],[Reporting Year]]&amp;"; "&amp;P5230&amp;AS[[#This Row],[Insurance Category Code]]&amp;"; "&amp;Q5230&amp;AS[[#This Row],[Large Provider Entity Code]]&amp;"; "&amp;R5230&amp;AS[[#This Row],[Age Band Code]]&amp;"; "&amp;S5230&amp;AS[[#This Row],[Sex Code]]</f>
        <v xml:space="preserve">Insurer Code ; Reporting Year ; Insurance Category Code ; Large Provider Entity Code ; Age Band Code ; Sex Code </v>
      </c>
      <c r="N5230" s="297" t="s">
        <v>197</v>
      </c>
      <c r="O5230" s="297" t="s">
        <v>198</v>
      </c>
      <c r="P5230" s="297" t="s">
        <v>199</v>
      </c>
      <c r="Q5230" s="297" t="s">
        <v>200</v>
      </c>
      <c r="R5230" s="297" t="s">
        <v>213</v>
      </c>
      <c r="S5230" s="297" t="s">
        <v>214</v>
      </c>
    </row>
    <row r="5231" spans="1:19" x14ac:dyDescent="0.4">
      <c r="A5231" s="291"/>
      <c r="B5231" s="292"/>
      <c r="C5231" s="312"/>
      <c r="D5231" s="292"/>
      <c r="E5231" s="489"/>
      <c r="F5231" s="489"/>
      <c r="G5231" s="490"/>
      <c r="H5231" s="520"/>
      <c r="I5231" s="523"/>
      <c r="J5231" s="521"/>
      <c r="K5231" s="522"/>
      <c r="M5231" s="301" t="str">
        <f>N5231&amp;AS[[#This Row],[Insurer Code]]&amp;"; "&amp;O5231&amp;AS[[#This Row],[Reporting Year]]&amp;"; "&amp;P5231&amp;AS[[#This Row],[Insurance Category Code]]&amp;"; "&amp;Q5231&amp;AS[[#This Row],[Large Provider Entity Code]]&amp;"; "&amp;R5231&amp;AS[[#This Row],[Age Band Code]]&amp;"; "&amp;S5231&amp;AS[[#This Row],[Sex Code]]</f>
        <v xml:space="preserve">Insurer Code ; Reporting Year ; Insurance Category Code ; Large Provider Entity Code ; Age Band Code ; Sex Code </v>
      </c>
      <c r="N5231" s="297" t="s">
        <v>197</v>
      </c>
      <c r="O5231" s="297" t="s">
        <v>198</v>
      </c>
      <c r="P5231" s="297" t="s">
        <v>199</v>
      </c>
      <c r="Q5231" s="297" t="s">
        <v>200</v>
      </c>
      <c r="R5231" s="297" t="s">
        <v>213</v>
      </c>
      <c r="S5231" s="297" t="s">
        <v>214</v>
      </c>
    </row>
    <row r="5232" spans="1:19" x14ac:dyDescent="0.4">
      <c r="A5232" s="291"/>
      <c r="B5232" s="292"/>
      <c r="C5232" s="312"/>
      <c r="D5232" s="292"/>
      <c r="E5232" s="489"/>
      <c r="F5232" s="489"/>
      <c r="G5232" s="490"/>
      <c r="H5232" s="520"/>
      <c r="I5232" s="523"/>
      <c r="J5232" s="521"/>
      <c r="K5232" s="522"/>
      <c r="M5232" s="301" t="str">
        <f>N5232&amp;AS[[#This Row],[Insurer Code]]&amp;"; "&amp;O5232&amp;AS[[#This Row],[Reporting Year]]&amp;"; "&amp;P5232&amp;AS[[#This Row],[Insurance Category Code]]&amp;"; "&amp;Q5232&amp;AS[[#This Row],[Large Provider Entity Code]]&amp;"; "&amp;R5232&amp;AS[[#This Row],[Age Band Code]]&amp;"; "&amp;S5232&amp;AS[[#This Row],[Sex Code]]</f>
        <v xml:space="preserve">Insurer Code ; Reporting Year ; Insurance Category Code ; Large Provider Entity Code ; Age Band Code ; Sex Code </v>
      </c>
      <c r="N5232" s="297" t="s">
        <v>197</v>
      </c>
      <c r="O5232" s="297" t="s">
        <v>198</v>
      </c>
      <c r="P5232" s="297" t="s">
        <v>199</v>
      </c>
      <c r="Q5232" s="297" t="s">
        <v>200</v>
      </c>
      <c r="R5232" s="297" t="s">
        <v>213</v>
      </c>
      <c r="S5232" s="297" t="s">
        <v>214</v>
      </c>
    </row>
    <row r="5233" spans="1:19" x14ac:dyDescent="0.4">
      <c r="A5233" s="291"/>
      <c r="B5233" s="292"/>
      <c r="C5233" s="312"/>
      <c r="D5233" s="292"/>
      <c r="E5233" s="489"/>
      <c r="F5233" s="489"/>
      <c r="G5233" s="490"/>
      <c r="H5233" s="520"/>
      <c r="I5233" s="523"/>
      <c r="J5233" s="521"/>
      <c r="K5233" s="522"/>
      <c r="M5233" s="301" t="str">
        <f>N5233&amp;AS[[#This Row],[Insurer Code]]&amp;"; "&amp;O5233&amp;AS[[#This Row],[Reporting Year]]&amp;"; "&amp;P5233&amp;AS[[#This Row],[Insurance Category Code]]&amp;"; "&amp;Q5233&amp;AS[[#This Row],[Large Provider Entity Code]]&amp;"; "&amp;R5233&amp;AS[[#This Row],[Age Band Code]]&amp;"; "&amp;S5233&amp;AS[[#This Row],[Sex Code]]</f>
        <v xml:space="preserve">Insurer Code ; Reporting Year ; Insurance Category Code ; Large Provider Entity Code ; Age Band Code ; Sex Code </v>
      </c>
      <c r="N5233" s="297" t="s">
        <v>197</v>
      </c>
      <c r="O5233" s="297" t="s">
        <v>198</v>
      </c>
      <c r="P5233" s="297" t="s">
        <v>199</v>
      </c>
      <c r="Q5233" s="297" t="s">
        <v>200</v>
      </c>
      <c r="R5233" s="297" t="s">
        <v>213</v>
      </c>
      <c r="S5233" s="297" t="s">
        <v>214</v>
      </c>
    </row>
    <row r="5234" spans="1:19" x14ac:dyDescent="0.4">
      <c r="A5234" s="291"/>
      <c r="B5234" s="292"/>
      <c r="C5234" s="312"/>
      <c r="D5234" s="292"/>
      <c r="E5234" s="489"/>
      <c r="F5234" s="489"/>
      <c r="G5234" s="490"/>
      <c r="H5234" s="520"/>
      <c r="I5234" s="523"/>
      <c r="J5234" s="521"/>
      <c r="K5234" s="522"/>
      <c r="M5234" s="301" t="str">
        <f>N5234&amp;AS[[#This Row],[Insurer Code]]&amp;"; "&amp;O5234&amp;AS[[#This Row],[Reporting Year]]&amp;"; "&amp;P5234&amp;AS[[#This Row],[Insurance Category Code]]&amp;"; "&amp;Q5234&amp;AS[[#This Row],[Large Provider Entity Code]]&amp;"; "&amp;R5234&amp;AS[[#This Row],[Age Band Code]]&amp;"; "&amp;S5234&amp;AS[[#This Row],[Sex Code]]</f>
        <v xml:space="preserve">Insurer Code ; Reporting Year ; Insurance Category Code ; Large Provider Entity Code ; Age Band Code ; Sex Code </v>
      </c>
      <c r="N5234" s="297" t="s">
        <v>197</v>
      </c>
      <c r="O5234" s="297" t="s">
        <v>198</v>
      </c>
      <c r="P5234" s="297" t="s">
        <v>199</v>
      </c>
      <c r="Q5234" s="297" t="s">
        <v>200</v>
      </c>
      <c r="R5234" s="297" t="s">
        <v>213</v>
      </c>
      <c r="S5234" s="297" t="s">
        <v>214</v>
      </c>
    </row>
    <row r="5235" spans="1:19" x14ac:dyDescent="0.4">
      <c r="A5235" s="291"/>
      <c r="B5235" s="292"/>
      <c r="C5235" s="312"/>
      <c r="D5235" s="292"/>
      <c r="E5235" s="489"/>
      <c r="F5235" s="489"/>
      <c r="G5235" s="490"/>
      <c r="H5235" s="520"/>
      <c r="I5235" s="523"/>
      <c r="J5235" s="521"/>
      <c r="K5235" s="522"/>
      <c r="M5235" s="301" t="str">
        <f>N5235&amp;AS[[#This Row],[Insurer Code]]&amp;"; "&amp;O5235&amp;AS[[#This Row],[Reporting Year]]&amp;"; "&amp;P5235&amp;AS[[#This Row],[Insurance Category Code]]&amp;"; "&amp;Q5235&amp;AS[[#This Row],[Large Provider Entity Code]]&amp;"; "&amp;R5235&amp;AS[[#This Row],[Age Band Code]]&amp;"; "&amp;S5235&amp;AS[[#This Row],[Sex Code]]</f>
        <v xml:space="preserve">Insurer Code ; Reporting Year ; Insurance Category Code ; Large Provider Entity Code ; Age Band Code ; Sex Code </v>
      </c>
      <c r="N5235" s="297" t="s">
        <v>197</v>
      </c>
      <c r="O5235" s="297" t="s">
        <v>198</v>
      </c>
      <c r="P5235" s="297" t="s">
        <v>199</v>
      </c>
      <c r="Q5235" s="297" t="s">
        <v>200</v>
      </c>
      <c r="R5235" s="297" t="s">
        <v>213</v>
      </c>
      <c r="S5235" s="297" t="s">
        <v>214</v>
      </c>
    </row>
    <row r="5236" spans="1:19" x14ac:dyDescent="0.4">
      <c r="A5236" s="291"/>
      <c r="B5236" s="292"/>
      <c r="C5236" s="312"/>
      <c r="D5236" s="292"/>
      <c r="E5236" s="489"/>
      <c r="F5236" s="489"/>
      <c r="G5236" s="490"/>
      <c r="H5236" s="520"/>
      <c r="I5236" s="523"/>
      <c r="J5236" s="521"/>
      <c r="K5236" s="522"/>
      <c r="M5236" s="301" t="str">
        <f>N5236&amp;AS[[#This Row],[Insurer Code]]&amp;"; "&amp;O5236&amp;AS[[#This Row],[Reporting Year]]&amp;"; "&amp;P5236&amp;AS[[#This Row],[Insurance Category Code]]&amp;"; "&amp;Q5236&amp;AS[[#This Row],[Large Provider Entity Code]]&amp;"; "&amp;R5236&amp;AS[[#This Row],[Age Band Code]]&amp;"; "&amp;S5236&amp;AS[[#This Row],[Sex Code]]</f>
        <v xml:space="preserve">Insurer Code ; Reporting Year ; Insurance Category Code ; Large Provider Entity Code ; Age Band Code ; Sex Code </v>
      </c>
      <c r="N5236" s="297" t="s">
        <v>197</v>
      </c>
      <c r="O5236" s="297" t="s">
        <v>198</v>
      </c>
      <c r="P5236" s="297" t="s">
        <v>199</v>
      </c>
      <c r="Q5236" s="297" t="s">
        <v>200</v>
      </c>
      <c r="R5236" s="297" t="s">
        <v>213</v>
      </c>
      <c r="S5236" s="297" t="s">
        <v>214</v>
      </c>
    </row>
    <row r="5237" spans="1:19" x14ac:dyDescent="0.4">
      <c r="A5237" s="291"/>
      <c r="B5237" s="292"/>
      <c r="C5237" s="312"/>
      <c r="D5237" s="292"/>
      <c r="E5237" s="489"/>
      <c r="F5237" s="489"/>
      <c r="G5237" s="490"/>
      <c r="H5237" s="520"/>
      <c r="I5237" s="523"/>
      <c r="J5237" s="521"/>
      <c r="K5237" s="522"/>
      <c r="M5237" s="301" t="str">
        <f>N5237&amp;AS[[#This Row],[Insurer Code]]&amp;"; "&amp;O5237&amp;AS[[#This Row],[Reporting Year]]&amp;"; "&amp;P5237&amp;AS[[#This Row],[Insurance Category Code]]&amp;"; "&amp;Q5237&amp;AS[[#This Row],[Large Provider Entity Code]]&amp;"; "&amp;R5237&amp;AS[[#This Row],[Age Band Code]]&amp;"; "&amp;S5237&amp;AS[[#This Row],[Sex Code]]</f>
        <v xml:space="preserve">Insurer Code ; Reporting Year ; Insurance Category Code ; Large Provider Entity Code ; Age Band Code ; Sex Code </v>
      </c>
      <c r="N5237" s="297" t="s">
        <v>197</v>
      </c>
      <c r="O5237" s="297" t="s">
        <v>198</v>
      </c>
      <c r="P5237" s="297" t="s">
        <v>199</v>
      </c>
      <c r="Q5237" s="297" t="s">
        <v>200</v>
      </c>
      <c r="R5237" s="297" t="s">
        <v>213</v>
      </c>
      <c r="S5237" s="297" t="s">
        <v>214</v>
      </c>
    </row>
    <row r="5238" spans="1:19" x14ac:dyDescent="0.4">
      <c r="A5238" s="291"/>
      <c r="B5238" s="292"/>
      <c r="C5238" s="312"/>
      <c r="D5238" s="292"/>
      <c r="E5238" s="489"/>
      <c r="F5238" s="489"/>
      <c r="G5238" s="490"/>
      <c r="H5238" s="520"/>
      <c r="I5238" s="523"/>
      <c r="J5238" s="521"/>
      <c r="K5238" s="522"/>
      <c r="M5238" s="301" t="str">
        <f>N5238&amp;AS[[#This Row],[Insurer Code]]&amp;"; "&amp;O5238&amp;AS[[#This Row],[Reporting Year]]&amp;"; "&amp;P5238&amp;AS[[#This Row],[Insurance Category Code]]&amp;"; "&amp;Q5238&amp;AS[[#This Row],[Large Provider Entity Code]]&amp;"; "&amp;R5238&amp;AS[[#This Row],[Age Band Code]]&amp;"; "&amp;S5238&amp;AS[[#This Row],[Sex Code]]</f>
        <v xml:space="preserve">Insurer Code ; Reporting Year ; Insurance Category Code ; Large Provider Entity Code ; Age Band Code ; Sex Code </v>
      </c>
      <c r="N5238" s="297" t="s">
        <v>197</v>
      </c>
      <c r="O5238" s="297" t="s">
        <v>198</v>
      </c>
      <c r="P5238" s="297" t="s">
        <v>199</v>
      </c>
      <c r="Q5238" s="297" t="s">
        <v>200</v>
      </c>
      <c r="R5238" s="297" t="s">
        <v>213</v>
      </c>
      <c r="S5238" s="297" t="s">
        <v>214</v>
      </c>
    </row>
    <row r="5239" spans="1:19" x14ac:dyDescent="0.4">
      <c r="A5239" s="291"/>
      <c r="B5239" s="292"/>
      <c r="C5239" s="312"/>
      <c r="D5239" s="292"/>
      <c r="E5239" s="489"/>
      <c r="F5239" s="489"/>
      <c r="G5239" s="490"/>
      <c r="H5239" s="520"/>
      <c r="I5239" s="523"/>
      <c r="J5239" s="521"/>
      <c r="K5239" s="522"/>
      <c r="M5239" s="301" t="str">
        <f>N5239&amp;AS[[#This Row],[Insurer Code]]&amp;"; "&amp;O5239&amp;AS[[#This Row],[Reporting Year]]&amp;"; "&amp;P5239&amp;AS[[#This Row],[Insurance Category Code]]&amp;"; "&amp;Q5239&amp;AS[[#This Row],[Large Provider Entity Code]]&amp;"; "&amp;R5239&amp;AS[[#This Row],[Age Band Code]]&amp;"; "&amp;S5239&amp;AS[[#This Row],[Sex Code]]</f>
        <v xml:space="preserve">Insurer Code ; Reporting Year ; Insurance Category Code ; Large Provider Entity Code ; Age Band Code ; Sex Code </v>
      </c>
      <c r="N5239" s="297" t="s">
        <v>197</v>
      </c>
      <c r="O5239" s="297" t="s">
        <v>198</v>
      </c>
      <c r="P5239" s="297" t="s">
        <v>199</v>
      </c>
      <c r="Q5239" s="297" t="s">
        <v>200</v>
      </c>
      <c r="R5239" s="297" t="s">
        <v>213</v>
      </c>
      <c r="S5239" s="297" t="s">
        <v>214</v>
      </c>
    </row>
    <row r="5240" spans="1:19" x14ac:dyDescent="0.4">
      <c r="A5240" s="291"/>
      <c r="B5240" s="292"/>
      <c r="C5240" s="312"/>
      <c r="D5240" s="292"/>
      <c r="E5240" s="489"/>
      <c r="F5240" s="489"/>
      <c r="G5240" s="490"/>
      <c r="H5240" s="520"/>
      <c r="I5240" s="523"/>
      <c r="J5240" s="521"/>
      <c r="K5240" s="522"/>
      <c r="M5240" s="301" t="str">
        <f>N5240&amp;AS[[#This Row],[Insurer Code]]&amp;"; "&amp;O5240&amp;AS[[#This Row],[Reporting Year]]&amp;"; "&amp;P5240&amp;AS[[#This Row],[Insurance Category Code]]&amp;"; "&amp;Q5240&amp;AS[[#This Row],[Large Provider Entity Code]]&amp;"; "&amp;R5240&amp;AS[[#This Row],[Age Band Code]]&amp;"; "&amp;S5240&amp;AS[[#This Row],[Sex Code]]</f>
        <v xml:space="preserve">Insurer Code ; Reporting Year ; Insurance Category Code ; Large Provider Entity Code ; Age Band Code ; Sex Code </v>
      </c>
      <c r="N5240" s="297" t="s">
        <v>197</v>
      </c>
      <c r="O5240" s="297" t="s">
        <v>198</v>
      </c>
      <c r="P5240" s="297" t="s">
        <v>199</v>
      </c>
      <c r="Q5240" s="297" t="s">
        <v>200</v>
      </c>
      <c r="R5240" s="297" t="s">
        <v>213</v>
      </c>
      <c r="S5240" s="297" t="s">
        <v>214</v>
      </c>
    </row>
    <row r="5241" spans="1:19" x14ac:dyDescent="0.4">
      <c r="A5241" s="291"/>
      <c r="B5241" s="292"/>
      <c r="C5241" s="312"/>
      <c r="D5241" s="292"/>
      <c r="E5241" s="489"/>
      <c r="F5241" s="489"/>
      <c r="G5241" s="490"/>
      <c r="H5241" s="520"/>
      <c r="I5241" s="523"/>
      <c r="J5241" s="521"/>
      <c r="K5241" s="522"/>
      <c r="M5241" s="301" t="str">
        <f>N5241&amp;AS[[#This Row],[Insurer Code]]&amp;"; "&amp;O5241&amp;AS[[#This Row],[Reporting Year]]&amp;"; "&amp;P5241&amp;AS[[#This Row],[Insurance Category Code]]&amp;"; "&amp;Q5241&amp;AS[[#This Row],[Large Provider Entity Code]]&amp;"; "&amp;R5241&amp;AS[[#This Row],[Age Band Code]]&amp;"; "&amp;S5241&amp;AS[[#This Row],[Sex Code]]</f>
        <v xml:space="preserve">Insurer Code ; Reporting Year ; Insurance Category Code ; Large Provider Entity Code ; Age Band Code ; Sex Code </v>
      </c>
      <c r="N5241" s="297" t="s">
        <v>197</v>
      </c>
      <c r="O5241" s="297" t="s">
        <v>198</v>
      </c>
      <c r="P5241" s="297" t="s">
        <v>199</v>
      </c>
      <c r="Q5241" s="297" t="s">
        <v>200</v>
      </c>
      <c r="R5241" s="297" t="s">
        <v>213</v>
      </c>
      <c r="S5241" s="297" t="s">
        <v>214</v>
      </c>
    </row>
    <row r="5242" spans="1:19" x14ac:dyDescent="0.4">
      <c r="A5242" s="291"/>
      <c r="B5242" s="292"/>
      <c r="C5242" s="312"/>
      <c r="D5242" s="292"/>
      <c r="E5242" s="489"/>
      <c r="F5242" s="489"/>
      <c r="G5242" s="490"/>
      <c r="H5242" s="520"/>
      <c r="I5242" s="523"/>
      <c r="J5242" s="521"/>
      <c r="K5242" s="522"/>
      <c r="M5242" s="301" t="str">
        <f>N5242&amp;AS[[#This Row],[Insurer Code]]&amp;"; "&amp;O5242&amp;AS[[#This Row],[Reporting Year]]&amp;"; "&amp;P5242&amp;AS[[#This Row],[Insurance Category Code]]&amp;"; "&amp;Q5242&amp;AS[[#This Row],[Large Provider Entity Code]]&amp;"; "&amp;R5242&amp;AS[[#This Row],[Age Band Code]]&amp;"; "&amp;S5242&amp;AS[[#This Row],[Sex Code]]</f>
        <v xml:space="preserve">Insurer Code ; Reporting Year ; Insurance Category Code ; Large Provider Entity Code ; Age Band Code ; Sex Code </v>
      </c>
      <c r="N5242" s="297" t="s">
        <v>197</v>
      </c>
      <c r="O5242" s="297" t="s">
        <v>198</v>
      </c>
      <c r="P5242" s="297" t="s">
        <v>199</v>
      </c>
      <c r="Q5242" s="297" t="s">
        <v>200</v>
      </c>
      <c r="R5242" s="297" t="s">
        <v>213</v>
      </c>
      <c r="S5242" s="297" t="s">
        <v>214</v>
      </c>
    </row>
    <row r="5243" spans="1:19" x14ac:dyDescent="0.4">
      <c r="A5243" s="291"/>
      <c r="B5243" s="292"/>
      <c r="C5243" s="312"/>
      <c r="D5243" s="292"/>
      <c r="E5243" s="489"/>
      <c r="F5243" s="489"/>
      <c r="G5243" s="490"/>
      <c r="H5243" s="520"/>
      <c r="I5243" s="523"/>
      <c r="J5243" s="521"/>
      <c r="K5243" s="522"/>
      <c r="M5243" s="301" t="str">
        <f>N5243&amp;AS[[#This Row],[Insurer Code]]&amp;"; "&amp;O5243&amp;AS[[#This Row],[Reporting Year]]&amp;"; "&amp;P5243&amp;AS[[#This Row],[Insurance Category Code]]&amp;"; "&amp;Q5243&amp;AS[[#This Row],[Large Provider Entity Code]]&amp;"; "&amp;R5243&amp;AS[[#This Row],[Age Band Code]]&amp;"; "&amp;S5243&amp;AS[[#This Row],[Sex Code]]</f>
        <v xml:space="preserve">Insurer Code ; Reporting Year ; Insurance Category Code ; Large Provider Entity Code ; Age Band Code ; Sex Code </v>
      </c>
      <c r="N5243" s="297" t="s">
        <v>197</v>
      </c>
      <c r="O5243" s="297" t="s">
        <v>198</v>
      </c>
      <c r="P5243" s="297" t="s">
        <v>199</v>
      </c>
      <c r="Q5243" s="297" t="s">
        <v>200</v>
      </c>
      <c r="R5243" s="297" t="s">
        <v>213</v>
      </c>
      <c r="S5243" s="297" t="s">
        <v>214</v>
      </c>
    </row>
    <row r="5244" spans="1:19" x14ac:dyDescent="0.4">
      <c r="A5244" s="291"/>
      <c r="B5244" s="292"/>
      <c r="C5244" s="312"/>
      <c r="D5244" s="292"/>
      <c r="E5244" s="489"/>
      <c r="F5244" s="489"/>
      <c r="G5244" s="490"/>
      <c r="H5244" s="520"/>
      <c r="I5244" s="523"/>
      <c r="J5244" s="521"/>
      <c r="K5244" s="522"/>
      <c r="M5244" s="301" t="str">
        <f>N5244&amp;AS[[#This Row],[Insurer Code]]&amp;"; "&amp;O5244&amp;AS[[#This Row],[Reporting Year]]&amp;"; "&amp;P5244&amp;AS[[#This Row],[Insurance Category Code]]&amp;"; "&amp;Q5244&amp;AS[[#This Row],[Large Provider Entity Code]]&amp;"; "&amp;R5244&amp;AS[[#This Row],[Age Band Code]]&amp;"; "&amp;S5244&amp;AS[[#This Row],[Sex Code]]</f>
        <v xml:space="preserve">Insurer Code ; Reporting Year ; Insurance Category Code ; Large Provider Entity Code ; Age Band Code ; Sex Code </v>
      </c>
      <c r="N5244" s="297" t="s">
        <v>197</v>
      </c>
      <c r="O5244" s="297" t="s">
        <v>198</v>
      </c>
      <c r="P5244" s="297" t="s">
        <v>199</v>
      </c>
      <c r="Q5244" s="297" t="s">
        <v>200</v>
      </c>
      <c r="R5244" s="297" t="s">
        <v>213</v>
      </c>
      <c r="S5244" s="297" t="s">
        <v>214</v>
      </c>
    </row>
    <row r="5245" spans="1:19" x14ac:dyDescent="0.4">
      <c r="A5245" s="291"/>
      <c r="B5245" s="292"/>
      <c r="C5245" s="312"/>
      <c r="D5245" s="292"/>
      <c r="E5245" s="489"/>
      <c r="F5245" s="489"/>
      <c r="G5245" s="490"/>
      <c r="H5245" s="520"/>
      <c r="I5245" s="523"/>
      <c r="J5245" s="521"/>
      <c r="K5245" s="522"/>
      <c r="M5245" s="301" t="str">
        <f>N5245&amp;AS[[#This Row],[Insurer Code]]&amp;"; "&amp;O5245&amp;AS[[#This Row],[Reporting Year]]&amp;"; "&amp;P5245&amp;AS[[#This Row],[Insurance Category Code]]&amp;"; "&amp;Q5245&amp;AS[[#This Row],[Large Provider Entity Code]]&amp;"; "&amp;R5245&amp;AS[[#This Row],[Age Band Code]]&amp;"; "&amp;S5245&amp;AS[[#This Row],[Sex Code]]</f>
        <v xml:space="preserve">Insurer Code ; Reporting Year ; Insurance Category Code ; Large Provider Entity Code ; Age Band Code ; Sex Code </v>
      </c>
      <c r="N5245" s="297" t="s">
        <v>197</v>
      </c>
      <c r="O5245" s="297" t="s">
        <v>198</v>
      </c>
      <c r="P5245" s="297" t="s">
        <v>199</v>
      </c>
      <c r="Q5245" s="297" t="s">
        <v>200</v>
      </c>
      <c r="R5245" s="297" t="s">
        <v>213</v>
      </c>
      <c r="S5245" s="297" t="s">
        <v>214</v>
      </c>
    </row>
    <row r="5246" spans="1:19" x14ac:dyDescent="0.4">
      <c r="A5246" s="291"/>
      <c r="B5246" s="292"/>
      <c r="C5246" s="312"/>
      <c r="D5246" s="292"/>
      <c r="E5246" s="489"/>
      <c r="F5246" s="489"/>
      <c r="G5246" s="490"/>
      <c r="H5246" s="520"/>
      <c r="I5246" s="523"/>
      <c r="J5246" s="521"/>
      <c r="K5246" s="522"/>
      <c r="M5246" s="301" t="str">
        <f>N5246&amp;AS[[#This Row],[Insurer Code]]&amp;"; "&amp;O5246&amp;AS[[#This Row],[Reporting Year]]&amp;"; "&amp;P5246&amp;AS[[#This Row],[Insurance Category Code]]&amp;"; "&amp;Q5246&amp;AS[[#This Row],[Large Provider Entity Code]]&amp;"; "&amp;R5246&amp;AS[[#This Row],[Age Band Code]]&amp;"; "&amp;S5246&amp;AS[[#This Row],[Sex Code]]</f>
        <v xml:space="preserve">Insurer Code ; Reporting Year ; Insurance Category Code ; Large Provider Entity Code ; Age Band Code ; Sex Code </v>
      </c>
      <c r="N5246" s="297" t="s">
        <v>197</v>
      </c>
      <c r="O5246" s="297" t="s">
        <v>198</v>
      </c>
      <c r="P5246" s="297" t="s">
        <v>199</v>
      </c>
      <c r="Q5246" s="297" t="s">
        <v>200</v>
      </c>
      <c r="R5246" s="297" t="s">
        <v>213</v>
      </c>
      <c r="S5246" s="297" t="s">
        <v>214</v>
      </c>
    </row>
    <row r="5247" spans="1:19" x14ac:dyDescent="0.4">
      <c r="A5247" s="291"/>
      <c r="B5247" s="292"/>
      <c r="C5247" s="312"/>
      <c r="D5247" s="292"/>
      <c r="E5247" s="489"/>
      <c r="F5247" s="489"/>
      <c r="G5247" s="490"/>
      <c r="H5247" s="520"/>
      <c r="I5247" s="523"/>
      <c r="J5247" s="521"/>
      <c r="K5247" s="522"/>
      <c r="M5247" s="301" t="str">
        <f>N5247&amp;AS[[#This Row],[Insurer Code]]&amp;"; "&amp;O5247&amp;AS[[#This Row],[Reporting Year]]&amp;"; "&amp;P5247&amp;AS[[#This Row],[Insurance Category Code]]&amp;"; "&amp;Q5247&amp;AS[[#This Row],[Large Provider Entity Code]]&amp;"; "&amp;R5247&amp;AS[[#This Row],[Age Band Code]]&amp;"; "&amp;S5247&amp;AS[[#This Row],[Sex Code]]</f>
        <v xml:space="preserve">Insurer Code ; Reporting Year ; Insurance Category Code ; Large Provider Entity Code ; Age Band Code ; Sex Code </v>
      </c>
      <c r="N5247" s="297" t="s">
        <v>197</v>
      </c>
      <c r="O5247" s="297" t="s">
        <v>198</v>
      </c>
      <c r="P5247" s="297" t="s">
        <v>199</v>
      </c>
      <c r="Q5247" s="297" t="s">
        <v>200</v>
      </c>
      <c r="R5247" s="297" t="s">
        <v>213</v>
      </c>
      <c r="S5247" s="297" t="s">
        <v>214</v>
      </c>
    </row>
    <row r="5248" spans="1:19" x14ac:dyDescent="0.4">
      <c r="A5248" s="291"/>
      <c r="B5248" s="292"/>
      <c r="C5248" s="312"/>
      <c r="D5248" s="292"/>
      <c r="E5248" s="489"/>
      <c r="F5248" s="489"/>
      <c r="G5248" s="490"/>
      <c r="H5248" s="520"/>
      <c r="I5248" s="523"/>
      <c r="J5248" s="521"/>
      <c r="K5248" s="522"/>
      <c r="M5248" s="301" t="str">
        <f>N5248&amp;AS[[#This Row],[Insurer Code]]&amp;"; "&amp;O5248&amp;AS[[#This Row],[Reporting Year]]&amp;"; "&amp;P5248&amp;AS[[#This Row],[Insurance Category Code]]&amp;"; "&amp;Q5248&amp;AS[[#This Row],[Large Provider Entity Code]]&amp;"; "&amp;R5248&amp;AS[[#This Row],[Age Band Code]]&amp;"; "&amp;S5248&amp;AS[[#This Row],[Sex Code]]</f>
        <v xml:space="preserve">Insurer Code ; Reporting Year ; Insurance Category Code ; Large Provider Entity Code ; Age Band Code ; Sex Code </v>
      </c>
      <c r="N5248" s="297" t="s">
        <v>197</v>
      </c>
      <c r="O5248" s="297" t="s">
        <v>198</v>
      </c>
      <c r="P5248" s="297" t="s">
        <v>199</v>
      </c>
      <c r="Q5248" s="297" t="s">
        <v>200</v>
      </c>
      <c r="R5248" s="297" t="s">
        <v>213</v>
      </c>
      <c r="S5248" s="297" t="s">
        <v>214</v>
      </c>
    </row>
    <row r="5249" spans="1:19" x14ac:dyDescent="0.4">
      <c r="A5249" s="291"/>
      <c r="B5249" s="292"/>
      <c r="C5249" s="312"/>
      <c r="D5249" s="292"/>
      <c r="E5249" s="489"/>
      <c r="F5249" s="489"/>
      <c r="G5249" s="490"/>
      <c r="H5249" s="520"/>
      <c r="I5249" s="523"/>
      <c r="J5249" s="521"/>
      <c r="K5249" s="522"/>
      <c r="M5249" s="301" t="str">
        <f>N5249&amp;AS[[#This Row],[Insurer Code]]&amp;"; "&amp;O5249&amp;AS[[#This Row],[Reporting Year]]&amp;"; "&amp;P5249&amp;AS[[#This Row],[Insurance Category Code]]&amp;"; "&amp;Q5249&amp;AS[[#This Row],[Large Provider Entity Code]]&amp;"; "&amp;R5249&amp;AS[[#This Row],[Age Band Code]]&amp;"; "&amp;S5249&amp;AS[[#This Row],[Sex Code]]</f>
        <v xml:space="preserve">Insurer Code ; Reporting Year ; Insurance Category Code ; Large Provider Entity Code ; Age Band Code ; Sex Code </v>
      </c>
      <c r="N5249" s="297" t="s">
        <v>197</v>
      </c>
      <c r="O5249" s="297" t="s">
        <v>198</v>
      </c>
      <c r="P5249" s="297" t="s">
        <v>199</v>
      </c>
      <c r="Q5249" s="297" t="s">
        <v>200</v>
      </c>
      <c r="R5249" s="297" t="s">
        <v>213</v>
      </c>
      <c r="S5249" s="297" t="s">
        <v>214</v>
      </c>
    </row>
    <row r="5250" spans="1:19" x14ac:dyDescent="0.4">
      <c r="A5250" s="291"/>
      <c r="B5250" s="292"/>
      <c r="C5250" s="312"/>
      <c r="D5250" s="292"/>
      <c r="E5250" s="489"/>
      <c r="F5250" s="489"/>
      <c r="G5250" s="490"/>
      <c r="H5250" s="520"/>
      <c r="I5250" s="523"/>
      <c r="J5250" s="521"/>
      <c r="K5250" s="522"/>
      <c r="M5250" s="301" t="str">
        <f>N5250&amp;AS[[#This Row],[Insurer Code]]&amp;"; "&amp;O5250&amp;AS[[#This Row],[Reporting Year]]&amp;"; "&amp;P5250&amp;AS[[#This Row],[Insurance Category Code]]&amp;"; "&amp;Q5250&amp;AS[[#This Row],[Large Provider Entity Code]]&amp;"; "&amp;R5250&amp;AS[[#This Row],[Age Band Code]]&amp;"; "&amp;S5250&amp;AS[[#This Row],[Sex Code]]</f>
        <v xml:space="preserve">Insurer Code ; Reporting Year ; Insurance Category Code ; Large Provider Entity Code ; Age Band Code ; Sex Code </v>
      </c>
      <c r="N5250" s="297" t="s">
        <v>197</v>
      </c>
      <c r="O5250" s="297" t="s">
        <v>198</v>
      </c>
      <c r="P5250" s="297" t="s">
        <v>199</v>
      </c>
      <c r="Q5250" s="297" t="s">
        <v>200</v>
      </c>
      <c r="R5250" s="297" t="s">
        <v>213</v>
      </c>
      <c r="S5250" s="297" t="s">
        <v>214</v>
      </c>
    </row>
    <row r="5251" spans="1:19" x14ac:dyDescent="0.4">
      <c r="A5251" s="291"/>
      <c r="B5251" s="292"/>
      <c r="C5251" s="312"/>
      <c r="D5251" s="292"/>
      <c r="E5251" s="489"/>
      <c r="F5251" s="489"/>
      <c r="G5251" s="490"/>
      <c r="H5251" s="520"/>
      <c r="I5251" s="523"/>
      <c r="J5251" s="521"/>
      <c r="K5251" s="522"/>
      <c r="M5251" s="301" t="str">
        <f>N5251&amp;AS[[#This Row],[Insurer Code]]&amp;"; "&amp;O5251&amp;AS[[#This Row],[Reporting Year]]&amp;"; "&amp;P5251&amp;AS[[#This Row],[Insurance Category Code]]&amp;"; "&amp;Q5251&amp;AS[[#This Row],[Large Provider Entity Code]]&amp;"; "&amp;R5251&amp;AS[[#This Row],[Age Band Code]]&amp;"; "&amp;S5251&amp;AS[[#This Row],[Sex Code]]</f>
        <v xml:space="preserve">Insurer Code ; Reporting Year ; Insurance Category Code ; Large Provider Entity Code ; Age Band Code ; Sex Code </v>
      </c>
      <c r="N5251" s="297" t="s">
        <v>197</v>
      </c>
      <c r="O5251" s="297" t="s">
        <v>198</v>
      </c>
      <c r="P5251" s="297" t="s">
        <v>199</v>
      </c>
      <c r="Q5251" s="297" t="s">
        <v>200</v>
      </c>
      <c r="R5251" s="297" t="s">
        <v>213</v>
      </c>
      <c r="S5251" s="297" t="s">
        <v>214</v>
      </c>
    </row>
    <row r="5252" spans="1:19" x14ac:dyDescent="0.4">
      <c r="A5252" s="291"/>
      <c r="B5252" s="292"/>
      <c r="C5252" s="312"/>
      <c r="D5252" s="292"/>
      <c r="E5252" s="489"/>
      <c r="F5252" s="489"/>
      <c r="G5252" s="490"/>
      <c r="H5252" s="520"/>
      <c r="I5252" s="523"/>
      <c r="J5252" s="521"/>
      <c r="K5252" s="522"/>
      <c r="M5252" s="301" t="str">
        <f>N5252&amp;AS[[#This Row],[Insurer Code]]&amp;"; "&amp;O5252&amp;AS[[#This Row],[Reporting Year]]&amp;"; "&amp;P5252&amp;AS[[#This Row],[Insurance Category Code]]&amp;"; "&amp;Q5252&amp;AS[[#This Row],[Large Provider Entity Code]]&amp;"; "&amp;R5252&amp;AS[[#This Row],[Age Band Code]]&amp;"; "&amp;S5252&amp;AS[[#This Row],[Sex Code]]</f>
        <v xml:space="preserve">Insurer Code ; Reporting Year ; Insurance Category Code ; Large Provider Entity Code ; Age Band Code ; Sex Code </v>
      </c>
      <c r="N5252" s="297" t="s">
        <v>197</v>
      </c>
      <c r="O5252" s="297" t="s">
        <v>198</v>
      </c>
      <c r="P5252" s="297" t="s">
        <v>199</v>
      </c>
      <c r="Q5252" s="297" t="s">
        <v>200</v>
      </c>
      <c r="R5252" s="297" t="s">
        <v>213</v>
      </c>
      <c r="S5252" s="297" t="s">
        <v>214</v>
      </c>
    </row>
    <row r="5253" spans="1:19" x14ac:dyDescent="0.4">
      <c r="A5253" s="291"/>
      <c r="B5253" s="292"/>
      <c r="C5253" s="312"/>
      <c r="D5253" s="292"/>
      <c r="E5253" s="489"/>
      <c r="F5253" s="489"/>
      <c r="G5253" s="490"/>
      <c r="H5253" s="520"/>
      <c r="I5253" s="523"/>
      <c r="J5253" s="521"/>
      <c r="K5253" s="522"/>
      <c r="M5253" s="301" t="str">
        <f>N5253&amp;AS[[#This Row],[Insurer Code]]&amp;"; "&amp;O5253&amp;AS[[#This Row],[Reporting Year]]&amp;"; "&amp;P5253&amp;AS[[#This Row],[Insurance Category Code]]&amp;"; "&amp;Q5253&amp;AS[[#This Row],[Large Provider Entity Code]]&amp;"; "&amp;R5253&amp;AS[[#This Row],[Age Band Code]]&amp;"; "&amp;S5253&amp;AS[[#This Row],[Sex Code]]</f>
        <v xml:space="preserve">Insurer Code ; Reporting Year ; Insurance Category Code ; Large Provider Entity Code ; Age Band Code ; Sex Code </v>
      </c>
      <c r="N5253" s="297" t="s">
        <v>197</v>
      </c>
      <c r="O5253" s="297" t="s">
        <v>198</v>
      </c>
      <c r="P5253" s="297" t="s">
        <v>199</v>
      </c>
      <c r="Q5253" s="297" t="s">
        <v>200</v>
      </c>
      <c r="R5253" s="297" t="s">
        <v>213</v>
      </c>
      <c r="S5253" s="297" t="s">
        <v>214</v>
      </c>
    </row>
    <row r="5254" spans="1:19" x14ac:dyDescent="0.4">
      <c r="A5254" s="291"/>
      <c r="B5254" s="292"/>
      <c r="C5254" s="312"/>
      <c r="D5254" s="292"/>
      <c r="E5254" s="489"/>
      <c r="F5254" s="489"/>
      <c r="G5254" s="490"/>
      <c r="H5254" s="520"/>
      <c r="I5254" s="523"/>
      <c r="J5254" s="521"/>
      <c r="K5254" s="522"/>
      <c r="M5254" s="301" t="str">
        <f>N5254&amp;AS[[#This Row],[Insurer Code]]&amp;"; "&amp;O5254&amp;AS[[#This Row],[Reporting Year]]&amp;"; "&amp;P5254&amp;AS[[#This Row],[Insurance Category Code]]&amp;"; "&amp;Q5254&amp;AS[[#This Row],[Large Provider Entity Code]]&amp;"; "&amp;R5254&amp;AS[[#This Row],[Age Band Code]]&amp;"; "&amp;S5254&amp;AS[[#This Row],[Sex Code]]</f>
        <v xml:space="preserve">Insurer Code ; Reporting Year ; Insurance Category Code ; Large Provider Entity Code ; Age Band Code ; Sex Code </v>
      </c>
      <c r="N5254" s="297" t="s">
        <v>197</v>
      </c>
      <c r="O5254" s="297" t="s">
        <v>198</v>
      </c>
      <c r="P5254" s="297" t="s">
        <v>199</v>
      </c>
      <c r="Q5254" s="297" t="s">
        <v>200</v>
      </c>
      <c r="R5254" s="297" t="s">
        <v>213</v>
      </c>
      <c r="S5254" s="297" t="s">
        <v>214</v>
      </c>
    </row>
    <row r="5255" spans="1:19" x14ac:dyDescent="0.4">
      <c r="A5255" s="291"/>
      <c r="B5255" s="292"/>
      <c r="C5255" s="312"/>
      <c r="D5255" s="292"/>
      <c r="E5255" s="489"/>
      <c r="F5255" s="489"/>
      <c r="G5255" s="490"/>
      <c r="H5255" s="520"/>
      <c r="I5255" s="523"/>
      <c r="J5255" s="521"/>
      <c r="K5255" s="522"/>
      <c r="M5255" s="301" t="str">
        <f>N5255&amp;AS[[#This Row],[Insurer Code]]&amp;"; "&amp;O5255&amp;AS[[#This Row],[Reporting Year]]&amp;"; "&amp;P5255&amp;AS[[#This Row],[Insurance Category Code]]&amp;"; "&amp;Q5255&amp;AS[[#This Row],[Large Provider Entity Code]]&amp;"; "&amp;R5255&amp;AS[[#This Row],[Age Band Code]]&amp;"; "&amp;S5255&amp;AS[[#This Row],[Sex Code]]</f>
        <v xml:space="preserve">Insurer Code ; Reporting Year ; Insurance Category Code ; Large Provider Entity Code ; Age Band Code ; Sex Code </v>
      </c>
      <c r="N5255" s="297" t="s">
        <v>197</v>
      </c>
      <c r="O5255" s="297" t="s">
        <v>198</v>
      </c>
      <c r="P5255" s="297" t="s">
        <v>199</v>
      </c>
      <c r="Q5255" s="297" t="s">
        <v>200</v>
      </c>
      <c r="R5255" s="297" t="s">
        <v>213</v>
      </c>
      <c r="S5255" s="297" t="s">
        <v>214</v>
      </c>
    </row>
    <row r="5256" spans="1:19" x14ac:dyDescent="0.4">
      <c r="A5256" s="291"/>
      <c r="B5256" s="292"/>
      <c r="C5256" s="312"/>
      <c r="D5256" s="292"/>
      <c r="E5256" s="489"/>
      <c r="F5256" s="489"/>
      <c r="G5256" s="490"/>
      <c r="H5256" s="520"/>
      <c r="I5256" s="523"/>
      <c r="J5256" s="521"/>
      <c r="K5256" s="522"/>
      <c r="M5256" s="301" t="str">
        <f>N5256&amp;AS[[#This Row],[Insurer Code]]&amp;"; "&amp;O5256&amp;AS[[#This Row],[Reporting Year]]&amp;"; "&amp;P5256&amp;AS[[#This Row],[Insurance Category Code]]&amp;"; "&amp;Q5256&amp;AS[[#This Row],[Large Provider Entity Code]]&amp;"; "&amp;R5256&amp;AS[[#This Row],[Age Band Code]]&amp;"; "&amp;S5256&amp;AS[[#This Row],[Sex Code]]</f>
        <v xml:space="preserve">Insurer Code ; Reporting Year ; Insurance Category Code ; Large Provider Entity Code ; Age Band Code ; Sex Code </v>
      </c>
      <c r="N5256" s="297" t="s">
        <v>197</v>
      </c>
      <c r="O5256" s="297" t="s">
        <v>198</v>
      </c>
      <c r="P5256" s="297" t="s">
        <v>199</v>
      </c>
      <c r="Q5256" s="297" t="s">
        <v>200</v>
      </c>
      <c r="R5256" s="297" t="s">
        <v>213</v>
      </c>
      <c r="S5256" s="297" t="s">
        <v>214</v>
      </c>
    </row>
    <row r="5257" spans="1:19" x14ac:dyDescent="0.4">
      <c r="A5257" s="291"/>
      <c r="B5257" s="292"/>
      <c r="C5257" s="312"/>
      <c r="D5257" s="292"/>
      <c r="E5257" s="489"/>
      <c r="F5257" s="489"/>
      <c r="G5257" s="490"/>
      <c r="H5257" s="520"/>
      <c r="I5257" s="523"/>
      <c r="J5257" s="521"/>
      <c r="K5257" s="522"/>
      <c r="M5257" s="301" t="str">
        <f>N5257&amp;AS[[#This Row],[Insurer Code]]&amp;"; "&amp;O5257&amp;AS[[#This Row],[Reporting Year]]&amp;"; "&amp;P5257&amp;AS[[#This Row],[Insurance Category Code]]&amp;"; "&amp;Q5257&amp;AS[[#This Row],[Large Provider Entity Code]]&amp;"; "&amp;R5257&amp;AS[[#This Row],[Age Band Code]]&amp;"; "&amp;S5257&amp;AS[[#This Row],[Sex Code]]</f>
        <v xml:space="preserve">Insurer Code ; Reporting Year ; Insurance Category Code ; Large Provider Entity Code ; Age Band Code ; Sex Code </v>
      </c>
      <c r="N5257" s="297" t="s">
        <v>197</v>
      </c>
      <c r="O5257" s="297" t="s">
        <v>198</v>
      </c>
      <c r="P5257" s="297" t="s">
        <v>199</v>
      </c>
      <c r="Q5257" s="297" t="s">
        <v>200</v>
      </c>
      <c r="R5257" s="297" t="s">
        <v>213</v>
      </c>
      <c r="S5257" s="297" t="s">
        <v>214</v>
      </c>
    </row>
    <row r="5258" spans="1:19" x14ac:dyDescent="0.4">
      <c r="A5258" s="291"/>
      <c r="B5258" s="292"/>
      <c r="C5258" s="312"/>
      <c r="D5258" s="292"/>
      <c r="E5258" s="489"/>
      <c r="F5258" s="489"/>
      <c r="G5258" s="490"/>
      <c r="H5258" s="520"/>
      <c r="I5258" s="523"/>
      <c r="J5258" s="521"/>
      <c r="K5258" s="522"/>
      <c r="M5258" s="301" t="str">
        <f>N5258&amp;AS[[#This Row],[Insurer Code]]&amp;"; "&amp;O5258&amp;AS[[#This Row],[Reporting Year]]&amp;"; "&amp;P5258&amp;AS[[#This Row],[Insurance Category Code]]&amp;"; "&amp;Q5258&amp;AS[[#This Row],[Large Provider Entity Code]]&amp;"; "&amp;R5258&amp;AS[[#This Row],[Age Band Code]]&amp;"; "&amp;S5258&amp;AS[[#This Row],[Sex Code]]</f>
        <v xml:space="preserve">Insurer Code ; Reporting Year ; Insurance Category Code ; Large Provider Entity Code ; Age Band Code ; Sex Code </v>
      </c>
      <c r="N5258" s="297" t="s">
        <v>197</v>
      </c>
      <c r="O5258" s="297" t="s">
        <v>198</v>
      </c>
      <c r="P5258" s="297" t="s">
        <v>199</v>
      </c>
      <c r="Q5258" s="297" t="s">
        <v>200</v>
      </c>
      <c r="R5258" s="297" t="s">
        <v>213</v>
      </c>
      <c r="S5258" s="297" t="s">
        <v>214</v>
      </c>
    </row>
    <row r="5259" spans="1:19" x14ac:dyDescent="0.4">
      <c r="A5259" s="291"/>
      <c r="B5259" s="292"/>
      <c r="C5259" s="312"/>
      <c r="D5259" s="292"/>
      <c r="E5259" s="489"/>
      <c r="F5259" s="489"/>
      <c r="G5259" s="490"/>
      <c r="H5259" s="520"/>
      <c r="I5259" s="523"/>
      <c r="J5259" s="521"/>
      <c r="K5259" s="522"/>
      <c r="M5259" s="301" t="str">
        <f>N5259&amp;AS[[#This Row],[Insurer Code]]&amp;"; "&amp;O5259&amp;AS[[#This Row],[Reporting Year]]&amp;"; "&amp;P5259&amp;AS[[#This Row],[Insurance Category Code]]&amp;"; "&amp;Q5259&amp;AS[[#This Row],[Large Provider Entity Code]]&amp;"; "&amp;R5259&amp;AS[[#This Row],[Age Band Code]]&amp;"; "&amp;S5259&amp;AS[[#This Row],[Sex Code]]</f>
        <v xml:space="preserve">Insurer Code ; Reporting Year ; Insurance Category Code ; Large Provider Entity Code ; Age Band Code ; Sex Code </v>
      </c>
      <c r="N5259" s="297" t="s">
        <v>197</v>
      </c>
      <c r="O5259" s="297" t="s">
        <v>198</v>
      </c>
      <c r="P5259" s="297" t="s">
        <v>199</v>
      </c>
      <c r="Q5259" s="297" t="s">
        <v>200</v>
      </c>
      <c r="R5259" s="297" t="s">
        <v>213</v>
      </c>
      <c r="S5259" s="297" t="s">
        <v>214</v>
      </c>
    </row>
    <row r="5260" spans="1:19" x14ac:dyDescent="0.4">
      <c r="A5260" s="291"/>
      <c r="B5260" s="292"/>
      <c r="C5260" s="312"/>
      <c r="D5260" s="292"/>
      <c r="E5260" s="489"/>
      <c r="F5260" s="489"/>
      <c r="G5260" s="490"/>
      <c r="H5260" s="520"/>
      <c r="I5260" s="523"/>
      <c r="J5260" s="521"/>
      <c r="K5260" s="522"/>
      <c r="M5260" s="301" t="str">
        <f>N5260&amp;AS[[#This Row],[Insurer Code]]&amp;"; "&amp;O5260&amp;AS[[#This Row],[Reporting Year]]&amp;"; "&amp;P5260&amp;AS[[#This Row],[Insurance Category Code]]&amp;"; "&amp;Q5260&amp;AS[[#This Row],[Large Provider Entity Code]]&amp;"; "&amp;R5260&amp;AS[[#This Row],[Age Band Code]]&amp;"; "&amp;S5260&amp;AS[[#This Row],[Sex Code]]</f>
        <v xml:space="preserve">Insurer Code ; Reporting Year ; Insurance Category Code ; Large Provider Entity Code ; Age Band Code ; Sex Code </v>
      </c>
      <c r="N5260" s="297" t="s">
        <v>197</v>
      </c>
      <c r="O5260" s="297" t="s">
        <v>198</v>
      </c>
      <c r="P5260" s="297" t="s">
        <v>199</v>
      </c>
      <c r="Q5260" s="297" t="s">
        <v>200</v>
      </c>
      <c r="R5260" s="297" t="s">
        <v>213</v>
      </c>
      <c r="S5260" s="297" t="s">
        <v>214</v>
      </c>
    </row>
    <row r="5261" spans="1:19" x14ac:dyDescent="0.4">
      <c r="A5261" s="291"/>
      <c r="B5261" s="292"/>
      <c r="C5261" s="312"/>
      <c r="D5261" s="292"/>
      <c r="E5261" s="489"/>
      <c r="F5261" s="489"/>
      <c r="G5261" s="490"/>
      <c r="H5261" s="520"/>
      <c r="I5261" s="523"/>
      <c r="J5261" s="521"/>
      <c r="K5261" s="522"/>
      <c r="M5261" s="301" t="str">
        <f>N5261&amp;AS[[#This Row],[Insurer Code]]&amp;"; "&amp;O5261&amp;AS[[#This Row],[Reporting Year]]&amp;"; "&amp;P5261&amp;AS[[#This Row],[Insurance Category Code]]&amp;"; "&amp;Q5261&amp;AS[[#This Row],[Large Provider Entity Code]]&amp;"; "&amp;R5261&amp;AS[[#This Row],[Age Band Code]]&amp;"; "&amp;S5261&amp;AS[[#This Row],[Sex Code]]</f>
        <v xml:space="preserve">Insurer Code ; Reporting Year ; Insurance Category Code ; Large Provider Entity Code ; Age Band Code ; Sex Code </v>
      </c>
      <c r="N5261" s="297" t="s">
        <v>197</v>
      </c>
      <c r="O5261" s="297" t="s">
        <v>198</v>
      </c>
      <c r="P5261" s="297" t="s">
        <v>199</v>
      </c>
      <c r="Q5261" s="297" t="s">
        <v>200</v>
      </c>
      <c r="R5261" s="297" t="s">
        <v>213</v>
      </c>
      <c r="S5261" s="297" t="s">
        <v>214</v>
      </c>
    </row>
    <row r="5262" spans="1:19" x14ac:dyDescent="0.4">
      <c r="A5262" s="291"/>
      <c r="B5262" s="292"/>
      <c r="C5262" s="312"/>
      <c r="D5262" s="292"/>
      <c r="E5262" s="489"/>
      <c r="F5262" s="489"/>
      <c r="G5262" s="490"/>
      <c r="H5262" s="520"/>
      <c r="I5262" s="523"/>
      <c r="J5262" s="521"/>
      <c r="K5262" s="522"/>
      <c r="M5262" s="301" t="str">
        <f>N5262&amp;AS[[#This Row],[Insurer Code]]&amp;"; "&amp;O5262&amp;AS[[#This Row],[Reporting Year]]&amp;"; "&amp;P5262&amp;AS[[#This Row],[Insurance Category Code]]&amp;"; "&amp;Q5262&amp;AS[[#This Row],[Large Provider Entity Code]]&amp;"; "&amp;R5262&amp;AS[[#This Row],[Age Band Code]]&amp;"; "&amp;S5262&amp;AS[[#This Row],[Sex Code]]</f>
        <v xml:space="preserve">Insurer Code ; Reporting Year ; Insurance Category Code ; Large Provider Entity Code ; Age Band Code ; Sex Code </v>
      </c>
      <c r="N5262" s="297" t="s">
        <v>197</v>
      </c>
      <c r="O5262" s="297" t="s">
        <v>198</v>
      </c>
      <c r="P5262" s="297" t="s">
        <v>199</v>
      </c>
      <c r="Q5262" s="297" t="s">
        <v>200</v>
      </c>
      <c r="R5262" s="297" t="s">
        <v>213</v>
      </c>
      <c r="S5262" s="297" t="s">
        <v>214</v>
      </c>
    </row>
    <row r="5263" spans="1:19" x14ac:dyDescent="0.4">
      <c r="A5263" s="291"/>
      <c r="B5263" s="292"/>
      <c r="C5263" s="312"/>
      <c r="D5263" s="292"/>
      <c r="E5263" s="489"/>
      <c r="F5263" s="489"/>
      <c r="G5263" s="490"/>
      <c r="H5263" s="520"/>
      <c r="I5263" s="523"/>
      <c r="J5263" s="521"/>
      <c r="K5263" s="522"/>
      <c r="M5263" s="301" t="str">
        <f>N5263&amp;AS[[#This Row],[Insurer Code]]&amp;"; "&amp;O5263&amp;AS[[#This Row],[Reporting Year]]&amp;"; "&amp;P5263&amp;AS[[#This Row],[Insurance Category Code]]&amp;"; "&amp;Q5263&amp;AS[[#This Row],[Large Provider Entity Code]]&amp;"; "&amp;R5263&amp;AS[[#This Row],[Age Band Code]]&amp;"; "&amp;S5263&amp;AS[[#This Row],[Sex Code]]</f>
        <v xml:space="preserve">Insurer Code ; Reporting Year ; Insurance Category Code ; Large Provider Entity Code ; Age Band Code ; Sex Code </v>
      </c>
      <c r="N5263" s="297" t="s">
        <v>197</v>
      </c>
      <c r="O5263" s="297" t="s">
        <v>198</v>
      </c>
      <c r="P5263" s="297" t="s">
        <v>199</v>
      </c>
      <c r="Q5263" s="297" t="s">
        <v>200</v>
      </c>
      <c r="R5263" s="297" t="s">
        <v>213</v>
      </c>
      <c r="S5263" s="297" t="s">
        <v>214</v>
      </c>
    </row>
    <row r="5264" spans="1:19" x14ac:dyDescent="0.4">
      <c r="A5264" s="291"/>
      <c r="B5264" s="292"/>
      <c r="C5264" s="312"/>
      <c r="D5264" s="292"/>
      <c r="E5264" s="489"/>
      <c r="F5264" s="489"/>
      <c r="G5264" s="490"/>
      <c r="H5264" s="520"/>
      <c r="I5264" s="523"/>
      <c r="J5264" s="521"/>
      <c r="K5264" s="522"/>
      <c r="M5264" s="301" t="str">
        <f>N5264&amp;AS[[#This Row],[Insurer Code]]&amp;"; "&amp;O5264&amp;AS[[#This Row],[Reporting Year]]&amp;"; "&amp;P5264&amp;AS[[#This Row],[Insurance Category Code]]&amp;"; "&amp;Q5264&amp;AS[[#This Row],[Large Provider Entity Code]]&amp;"; "&amp;R5264&amp;AS[[#This Row],[Age Band Code]]&amp;"; "&amp;S5264&amp;AS[[#This Row],[Sex Code]]</f>
        <v xml:space="preserve">Insurer Code ; Reporting Year ; Insurance Category Code ; Large Provider Entity Code ; Age Band Code ; Sex Code </v>
      </c>
      <c r="N5264" s="297" t="s">
        <v>197</v>
      </c>
      <c r="O5264" s="297" t="s">
        <v>198</v>
      </c>
      <c r="P5264" s="297" t="s">
        <v>199</v>
      </c>
      <c r="Q5264" s="297" t="s">
        <v>200</v>
      </c>
      <c r="R5264" s="297" t="s">
        <v>213</v>
      </c>
      <c r="S5264" s="297" t="s">
        <v>214</v>
      </c>
    </row>
    <row r="5265" spans="1:19" x14ac:dyDescent="0.4">
      <c r="A5265" s="291"/>
      <c r="B5265" s="292"/>
      <c r="C5265" s="312"/>
      <c r="D5265" s="292"/>
      <c r="E5265" s="489"/>
      <c r="F5265" s="489"/>
      <c r="G5265" s="490"/>
      <c r="H5265" s="520"/>
      <c r="I5265" s="523"/>
      <c r="J5265" s="521"/>
      <c r="K5265" s="522"/>
      <c r="M5265" s="301" t="str">
        <f>N5265&amp;AS[[#This Row],[Insurer Code]]&amp;"; "&amp;O5265&amp;AS[[#This Row],[Reporting Year]]&amp;"; "&amp;P5265&amp;AS[[#This Row],[Insurance Category Code]]&amp;"; "&amp;Q5265&amp;AS[[#This Row],[Large Provider Entity Code]]&amp;"; "&amp;R5265&amp;AS[[#This Row],[Age Band Code]]&amp;"; "&amp;S5265&amp;AS[[#This Row],[Sex Code]]</f>
        <v xml:space="preserve">Insurer Code ; Reporting Year ; Insurance Category Code ; Large Provider Entity Code ; Age Band Code ; Sex Code </v>
      </c>
      <c r="N5265" s="297" t="s">
        <v>197</v>
      </c>
      <c r="O5265" s="297" t="s">
        <v>198</v>
      </c>
      <c r="P5265" s="297" t="s">
        <v>199</v>
      </c>
      <c r="Q5265" s="297" t="s">
        <v>200</v>
      </c>
      <c r="R5265" s="297" t="s">
        <v>213</v>
      </c>
      <c r="S5265" s="297" t="s">
        <v>214</v>
      </c>
    </row>
    <row r="5266" spans="1:19" x14ac:dyDescent="0.4">
      <c r="A5266" s="291"/>
      <c r="B5266" s="292"/>
      <c r="C5266" s="312"/>
      <c r="D5266" s="292"/>
      <c r="E5266" s="489"/>
      <c r="F5266" s="489"/>
      <c r="G5266" s="490"/>
      <c r="H5266" s="520"/>
      <c r="I5266" s="523"/>
      <c r="J5266" s="521"/>
      <c r="K5266" s="522"/>
      <c r="M5266" s="301" t="str">
        <f>N5266&amp;AS[[#This Row],[Insurer Code]]&amp;"; "&amp;O5266&amp;AS[[#This Row],[Reporting Year]]&amp;"; "&amp;P5266&amp;AS[[#This Row],[Insurance Category Code]]&amp;"; "&amp;Q5266&amp;AS[[#This Row],[Large Provider Entity Code]]&amp;"; "&amp;R5266&amp;AS[[#This Row],[Age Band Code]]&amp;"; "&amp;S5266&amp;AS[[#This Row],[Sex Code]]</f>
        <v xml:space="preserve">Insurer Code ; Reporting Year ; Insurance Category Code ; Large Provider Entity Code ; Age Band Code ; Sex Code </v>
      </c>
      <c r="N5266" s="297" t="s">
        <v>197</v>
      </c>
      <c r="O5266" s="297" t="s">
        <v>198</v>
      </c>
      <c r="P5266" s="297" t="s">
        <v>199</v>
      </c>
      <c r="Q5266" s="297" t="s">
        <v>200</v>
      </c>
      <c r="R5266" s="297" t="s">
        <v>213</v>
      </c>
      <c r="S5266" s="297" t="s">
        <v>214</v>
      </c>
    </row>
    <row r="5267" spans="1:19" x14ac:dyDescent="0.4">
      <c r="A5267" s="291"/>
      <c r="B5267" s="292"/>
      <c r="C5267" s="312"/>
      <c r="D5267" s="292"/>
      <c r="E5267" s="489"/>
      <c r="F5267" s="489"/>
      <c r="G5267" s="490"/>
      <c r="H5267" s="520"/>
      <c r="I5267" s="523"/>
      <c r="J5267" s="521"/>
      <c r="K5267" s="522"/>
      <c r="M5267" s="301" t="str">
        <f>N5267&amp;AS[[#This Row],[Insurer Code]]&amp;"; "&amp;O5267&amp;AS[[#This Row],[Reporting Year]]&amp;"; "&amp;P5267&amp;AS[[#This Row],[Insurance Category Code]]&amp;"; "&amp;Q5267&amp;AS[[#This Row],[Large Provider Entity Code]]&amp;"; "&amp;R5267&amp;AS[[#This Row],[Age Band Code]]&amp;"; "&amp;S5267&amp;AS[[#This Row],[Sex Code]]</f>
        <v xml:space="preserve">Insurer Code ; Reporting Year ; Insurance Category Code ; Large Provider Entity Code ; Age Band Code ; Sex Code </v>
      </c>
      <c r="N5267" s="297" t="s">
        <v>197</v>
      </c>
      <c r="O5267" s="297" t="s">
        <v>198</v>
      </c>
      <c r="P5267" s="297" t="s">
        <v>199</v>
      </c>
      <c r="Q5267" s="297" t="s">
        <v>200</v>
      </c>
      <c r="R5267" s="297" t="s">
        <v>213</v>
      </c>
      <c r="S5267" s="297" t="s">
        <v>214</v>
      </c>
    </row>
    <row r="5268" spans="1:19" x14ac:dyDescent="0.4">
      <c r="A5268" s="291"/>
      <c r="B5268" s="292"/>
      <c r="C5268" s="312"/>
      <c r="D5268" s="292"/>
      <c r="E5268" s="489"/>
      <c r="F5268" s="489"/>
      <c r="G5268" s="490"/>
      <c r="H5268" s="520"/>
      <c r="I5268" s="523"/>
      <c r="J5268" s="521"/>
      <c r="K5268" s="522"/>
      <c r="M5268" s="301" t="str">
        <f>N5268&amp;AS[[#This Row],[Insurer Code]]&amp;"; "&amp;O5268&amp;AS[[#This Row],[Reporting Year]]&amp;"; "&amp;P5268&amp;AS[[#This Row],[Insurance Category Code]]&amp;"; "&amp;Q5268&amp;AS[[#This Row],[Large Provider Entity Code]]&amp;"; "&amp;R5268&amp;AS[[#This Row],[Age Band Code]]&amp;"; "&amp;S5268&amp;AS[[#This Row],[Sex Code]]</f>
        <v xml:space="preserve">Insurer Code ; Reporting Year ; Insurance Category Code ; Large Provider Entity Code ; Age Band Code ; Sex Code </v>
      </c>
      <c r="N5268" s="297" t="s">
        <v>197</v>
      </c>
      <c r="O5268" s="297" t="s">
        <v>198</v>
      </c>
      <c r="P5268" s="297" t="s">
        <v>199</v>
      </c>
      <c r="Q5268" s="297" t="s">
        <v>200</v>
      </c>
      <c r="R5268" s="297" t="s">
        <v>213</v>
      </c>
      <c r="S5268" s="297" t="s">
        <v>214</v>
      </c>
    </row>
    <row r="5269" spans="1:19" x14ac:dyDescent="0.4">
      <c r="A5269" s="548"/>
      <c r="B5269" s="292"/>
      <c r="C5269" s="292"/>
      <c r="D5269" s="292"/>
      <c r="E5269" s="549"/>
      <c r="F5269" s="549"/>
      <c r="G5269" s="550"/>
      <c r="H5269" s="551"/>
      <c r="I5269" s="552"/>
      <c r="J5269" s="553"/>
      <c r="K5269" s="554"/>
      <c r="M5269" s="301" t="str">
        <f>N5269&amp;AS[[#This Row],[Insurer Code]]&amp;"; "&amp;O5269&amp;AS[[#This Row],[Reporting Year]]&amp;"; "&amp;P5269&amp;AS[[#This Row],[Insurance Category Code]]&amp;"; "&amp;Q5269&amp;AS[[#This Row],[Large Provider Entity Code]]&amp;"; "&amp;R5269&amp;AS[[#This Row],[Age Band Code]]&amp;"; "&amp;S5269&amp;AS[[#This Row],[Sex Code]]</f>
        <v xml:space="preserve">Insurer Code ; Reporting Year ; Insurance Category Code ; Large Provider Entity Code ; Age Band Code ; Sex Code </v>
      </c>
      <c r="N5269" s="297" t="s">
        <v>197</v>
      </c>
      <c r="O5269" s="297" t="s">
        <v>198</v>
      </c>
      <c r="P5269" s="297" t="s">
        <v>199</v>
      </c>
      <c r="Q5269" s="297" t="s">
        <v>200</v>
      </c>
      <c r="R5269" s="297" t="s">
        <v>213</v>
      </c>
      <c r="S5269" s="297" t="s">
        <v>214</v>
      </c>
    </row>
    <row r="5270" spans="1:19" x14ac:dyDescent="0.4">
      <c r="A5270" s="548"/>
      <c r="B5270" s="292"/>
      <c r="C5270" s="292"/>
      <c r="D5270" s="292"/>
      <c r="E5270" s="549"/>
      <c r="F5270" s="549"/>
      <c r="G5270" s="550"/>
      <c r="H5270" s="551"/>
      <c r="I5270" s="552"/>
      <c r="J5270" s="553"/>
      <c r="K5270" s="554"/>
      <c r="M5270" s="301" t="str">
        <f>N5270&amp;AS[[#This Row],[Insurer Code]]&amp;"; "&amp;O5270&amp;AS[[#This Row],[Reporting Year]]&amp;"; "&amp;P5270&amp;AS[[#This Row],[Insurance Category Code]]&amp;"; "&amp;Q5270&amp;AS[[#This Row],[Large Provider Entity Code]]&amp;"; "&amp;R5270&amp;AS[[#This Row],[Age Band Code]]&amp;"; "&amp;S5270&amp;AS[[#This Row],[Sex Code]]</f>
        <v xml:space="preserve">Insurer Code ; Reporting Year ; Insurance Category Code ; Large Provider Entity Code ; Age Band Code ; Sex Code </v>
      </c>
      <c r="N5270" s="297" t="s">
        <v>197</v>
      </c>
      <c r="O5270" s="297" t="s">
        <v>198</v>
      </c>
      <c r="P5270" s="297" t="s">
        <v>199</v>
      </c>
      <c r="Q5270" s="297" t="s">
        <v>200</v>
      </c>
      <c r="R5270" s="297" t="s">
        <v>213</v>
      </c>
      <c r="S5270" s="297" t="s">
        <v>214</v>
      </c>
    </row>
    <row r="5271" spans="1:19" x14ac:dyDescent="0.4">
      <c r="A5271" s="548"/>
      <c r="B5271" s="292"/>
      <c r="C5271" s="292"/>
      <c r="D5271" s="292"/>
      <c r="E5271" s="549"/>
      <c r="F5271" s="549"/>
      <c r="G5271" s="550"/>
      <c r="H5271" s="551"/>
      <c r="I5271" s="552"/>
      <c r="J5271" s="553"/>
      <c r="K5271" s="554"/>
      <c r="M5271" s="301" t="str">
        <f>N5271&amp;AS[[#This Row],[Insurer Code]]&amp;"; "&amp;O5271&amp;AS[[#This Row],[Reporting Year]]&amp;"; "&amp;P5271&amp;AS[[#This Row],[Insurance Category Code]]&amp;"; "&amp;Q5271&amp;AS[[#This Row],[Large Provider Entity Code]]&amp;"; "&amp;R5271&amp;AS[[#This Row],[Age Band Code]]&amp;"; "&amp;S5271&amp;AS[[#This Row],[Sex Code]]</f>
        <v xml:space="preserve">Insurer Code ; Reporting Year ; Insurance Category Code ; Large Provider Entity Code ; Age Band Code ; Sex Code </v>
      </c>
      <c r="N5271" s="297" t="s">
        <v>197</v>
      </c>
      <c r="O5271" s="297" t="s">
        <v>198</v>
      </c>
      <c r="P5271" s="297" t="s">
        <v>199</v>
      </c>
      <c r="Q5271" s="297" t="s">
        <v>200</v>
      </c>
      <c r="R5271" s="297" t="s">
        <v>213</v>
      </c>
      <c r="S5271" s="297" t="s">
        <v>214</v>
      </c>
    </row>
    <row r="5272" spans="1:19" x14ac:dyDescent="0.4">
      <c r="A5272" s="548"/>
      <c r="B5272" s="292"/>
      <c r="C5272" s="292"/>
      <c r="D5272" s="292"/>
      <c r="E5272" s="549"/>
      <c r="F5272" s="549"/>
      <c r="G5272" s="550"/>
      <c r="H5272" s="551"/>
      <c r="I5272" s="552"/>
      <c r="J5272" s="553"/>
      <c r="K5272" s="554"/>
      <c r="M5272" s="301" t="str">
        <f>N5272&amp;AS[[#This Row],[Insurer Code]]&amp;"; "&amp;O5272&amp;AS[[#This Row],[Reporting Year]]&amp;"; "&amp;P5272&amp;AS[[#This Row],[Insurance Category Code]]&amp;"; "&amp;Q5272&amp;AS[[#This Row],[Large Provider Entity Code]]&amp;"; "&amp;R5272&amp;AS[[#This Row],[Age Band Code]]&amp;"; "&amp;S5272&amp;AS[[#This Row],[Sex Code]]</f>
        <v xml:space="preserve">Insurer Code ; Reporting Year ; Insurance Category Code ; Large Provider Entity Code ; Age Band Code ; Sex Code </v>
      </c>
      <c r="N5272" s="297" t="s">
        <v>197</v>
      </c>
      <c r="O5272" s="297" t="s">
        <v>198</v>
      </c>
      <c r="P5272" s="297" t="s">
        <v>199</v>
      </c>
      <c r="Q5272" s="297" t="s">
        <v>200</v>
      </c>
      <c r="R5272" s="297" t="s">
        <v>213</v>
      </c>
      <c r="S5272" s="297" t="s">
        <v>214</v>
      </c>
    </row>
    <row r="5273" spans="1:19" x14ac:dyDescent="0.4">
      <c r="A5273" s="548"/>
      <c r="B5273" s="292"/>
      <c r="C5273" s="292"/>
      <c r="D5273" s="292"/>
      <c r="E5273" s="549"/>
      <c r="F5273" s="549"/>
      <c r="G5273" s="550"/>
      <c r="H5273" s="551"/>
      <c r="I5273" s="552"/>
      <c r="J5273" s="553"/>
      <c r="K5273" s="554"/>
      <c r="M5273" s="301" t="str">
        <f>N5273&amp;AS[[#This Row],[Insurer Code]]&amp;"; "&amp;O5273&amp;AS[[#This Row],[Reporting Year]]&amp;"; "&amp;P5273&amp;AS[[#This Row],[Insurance Category Code]]&amp;"; "&amp;Q5273&amp;AS[[#This Row],[Large Provider Entity Code]]&amp;"; "&amp;R5273&amp;AS[[#This Row],[Age Band Code]]&amp;"; "&amp;S5273&amp;AS[[#This Row],[Sex Code]]</f>
        <v xml:space="preserve">Insurer Code ; Reporting Year ; Insurance Category Code ; Large Provider Entity Code ; Age Band Code ; Sex Code </v>
      </c>
      <c r="N5273" s="297" t="s">
        <v>197</v>
      </c>
      <c r="O5273" s="297" t="s">
        <v>198</v>
      </c>
      <c r="P5273" s="297" t="s">
        <v>199</v>
      </c>
      <c r="Q5273" s="297" t="s">
        <v>200</v>
      </c>
      <c r="R5273" s="297" t="s">
        <v>213</v>
      </c>
      <c r="S5273" s="297" t="s">
        <v>214</v>
      </c>
    </row>
    <row r="5274" spans="1:19" x14ac:dyDescent="0.4">
      <c r="A5274" s="548"/>
      <c r="B5274" s="292"/>
      <c r="C5274" s="292"/>
      <c r="D5274" s="292"/>
      <c r="E5274" s="549"/>
      <c r="F5274" s="549"/>
      <c r="G5274" s="550"/>
      <c r="H5274" s="551"/>
      <c r="I5274" s="552"/>
      <c r="J5274" s="553"/>
      <c r="K5274" s="554"/>
      <c r="M5274" s="301" t="str">
        <f>N5274&amp;AS[[#This Row],[Insurer Code]]&amp;"; "&amp;O5274&amp;AS[[#This Row],[Reporting Year]]&amp;"; "&amp;P5274&amp;AS[[#This Row],[Insurance Category Code]]&amp;"; "&amp;Q5274&amp;AS[[#This Row],[Large Provider Entity Code]]&amp;"; "&amp;R5274&amp;AS[[#This Row],[Age Band Code]]&amp;"; "&amp;S5274&amp;AS[[#This Row],[Sex Code]]</f>
        <v xml:space="preserve">Insurer Code ; Reporting Year ; Insurance Category Code ; Large Provider Entity Code ; Age Band Code ; Sex Code </v>
      </c>
      <c r="N5274" s="297" t="s">
        <v>197</v>
      </c>
      <c r="O5274" s="297" t="s">
        <v>198</v>
      </c>
      <c r="P5274" s="297" t="s">
        <v>199</v>
      </c>
      <c r="Q5274" s="297" t="s">
        <v>200</v>
      </c>
      <c r="R5274" s="297" t="s">
        <v>213</v>
      </c>
      <c r="S5274" s="297" t="s">
        <v>214</v>
      </c>
    </row>
    <row r="5275" spans="1:19" x14ac:dyDescent="0.4">
      <c r="A5275" s="548"/>
      <c r="B5275" s="292"/>
      <c r="C5275" s="292"/>
      <c r="D5275" s="292"/>
      <c r="E5275" s="549"/>
      <c r="F5275" s="549"/>
      <c r="G5275" s="550"/>
      <c r="H5275" s="551"/>
      <c r="I5275" s="552"/>
      <c r="J5275" s="553"/>
      <c r="K5275" s="554"/>
      <c r="M5275" s="301" t="str">
        <f>N5275&amp;AS[[#This Row],[Insurer Code]]&amp;"; "&amp;O5275&amp;AS[[#This Row],[Reporting Year]]&amp;"; "&amp;P5275&amp;AS[[#This Row],[Insurance Category Code]]&amp;"; "&amp;Q5275&amp;AS[[#This Row],[Large Provider Entity Code]]&amp;"; "&amp;R5275&amp;AS[[#This Row],[Age Band Code]]&amp;"; "&amp;S5275&amp;AS[[#This Row],[Sex Code]]</f>
        <v xml:space="preserve">Insurer Code ; Reporting Year ; Insurance Category Code ; Large Provider Entity Code ; Age Band Code ; Sex Code </v>
      </c>
      <c r="N5275" s="297" t="s">
        <v>197</v>
      </c>
      <c r="O5275" s="297" t="s">
        <v>198</v>
      </c>
      <c r="P5275" s="297" t="s">
        <v>199</v>
      </c>
      <c r="Q5275" s="297" t="s">
        <v>200</v>
      </c>
      <c r="R5275" s="297" t="s">
        <v>213</v>
      </c>
      <c r="S5275" s="297" t="s">
        <v>214</v>
      </c>
    </row>
    <row r="5276" spans="1:19" x14ac:dyDescent="0.4">
      <c r="A5276" s="548"/>
      <c r="B5276" s="292"/>
      <c r="C5276" s="292"/>
      <c r="D5276" s="292"/>
      <c r="E5276" s="549"/>
      <c r="F5276" s="549"/>
      <c r="G5276" s="550"/>
      <c r="H5276" s="551"/>
      <c r="I5276" s="552"/>
      <c r="J5276" s="553"/>
      <c r="K5276" s="554"/>
      <c r="M5276" s="301" t="str">
        <f>N5276&amp;AS[[#This Row],[Insurer Code]]&amp;"; "&amp;O5276&amp;AS[[#This Row],[Reporting Year]]&amp;"; "&amp;P5276&amp;AS[[#This Row],[Insurance Category Code]]&amp;"; "&amp;Q5276&amp;AS[[#This Row],[Large Provider Entity Code]]&amp;"; "&amp;R5276&amp;AS[[#This Row],[Age Band Code]]&amp;"; "&amp;S5276&amp;AS[[#This Row],[Sex Code]]</f>
        <v xml:space="preserve">Insurer Code ; Reporting Year ; Insurance Category Code ; Large Provider Entity Code ; Age Band Code ; Sex Code </v>
      </c>
      <c r="N5276" s="297" t="s">
        <v>197</v>
      </c>
      <c r="O5276" s="297" t="s">
        <v>198</v>
      </c>
      <c r="P5276" s="297" t="s">
        <v>199</v>
      </c>
      <c r="Q5276" s="297" t="s">
        <v>200</v>
      </c>
      <c r="R5276" s="297" t="s">
        <v>213</v>
      </c>
      <c r="S5276" s="297" t="s">
        <v>214</v>
      </c>
    </row>
    <row r="5277" spans="1:19" x14ac:dyDescent="0.4">
      <c r="A5277" s="548"/>
      <c r="B5277" s="292"/>
      <c r="C5277" s="292"/>
      <c r="D5277" s="292"/>
      <c r="E5277" s="549"/>
      <c r="F5277" s="549"/>
      <c r="G5277" s="550"/>
      <c r="H5277" s="551"/>
      <c r="I5277" s="552"/>
      <c r="J5277" s="553"/>
      <c r="K5277" s="554"/>
      <c r="M5277" s="301" t="str">
        <f>N5277&amp;AS[[#This Row],[Insurer Code]]&amp;"; "&amp;O5277&amp;AS[[#This Row],[Reporting Year]]&amp;"; "&amp;P5277&amp;AS[[#This Row],[Insurance Category Code]]&amp;"; "&amp;Q5277&amp;AS[[#This Row],[Large Provider Entity Code]]&amp;"; "&amp;R5277&amp;AS[[#This Row],[Age Band Code]]&amp;"; "&amp;S5277&amp;AS[[#This Row],[Sex Code]]</f>
        <v xml:space="preserve">Insurer Code ; Reporting Year ; Insurance Category Code ; Large Provider Entity Code ; Age Band Code ; Sex Code </v>
      </c>
      <c r="N5277" s="297" t="s">
        <v>197</v>
      </c>
      <c r="O5277" s="297" t="s">
        <v>198</v>
      </c>
      <c r="P5277" s="297" t="s">
        <v>199</v>
      </c>
      <c r="Q5277" s="297" t="s">
        <v>200</v>
      </c>
      <c r="R5277" s="297" t="s">
        <v>213</v>
      </c>
      <c r="S5277" s="297" t="s">
        <v>214</v>
      </c>
    </row>
    <row r="5278" spans="1:19" x14ac:dyDescent="0.4">
      <c r="A5278" s="548"/>
      <c r="B5278" s="292"/>
      <c r="C5278" s="292"/>
      <c r="D5278" s="292"/>
      <c r="E5278" s="549"/>
      <c r="F5278" s="549"/>
      <c r="G5278" s="550"/>
      <c r="H5278" s="551"/>
      <c r="I5278" s="552"/>
      <c r="J5278" s="553"/>
      <c r="K5278" s="554"/>
      <c r="M5278" s="301" t="str">
        <f>N5278&amp;AS[[#This Row],[Insurer Code]]&amp;"; "&amp;O5278&amp;AS[[#This Row],[Reporting Year]]&amp;"; "&amp;P5278&amp;AS[[#This Row],[Insurance Category Code]]&amp;"; "&amp;Q5278&amp;AS[[#This Row],[Large Provider Entity Code]]&amp;"; "&amp;R5278&amp;AS[[#This Row],[Age Band Code]]&amp;"; "&amp;S5278&amp;AS[[#This Row],[Sex Code]]</f>
        <v xml:space="preserve">Insurer Code ; Reporting Year ; Insurance Category Code ; Large Provider Entity Code ; Age Band Code ; Sex Code </v>
      </c>
      <c r="N5278" s="297" t="s">
        <v>197</v>
      </c>
      <c r="O5278" s="297" t="s">
        <v>198</v>
      </c>
      <c r="P5278" s="297" t="s">
        <v>199</v>
      </c>
      <c r="Q5278" s="297" t="s">
        <v>200</v>
      </c>
      <c r="R5278" s="297" t="s">
        <v>213</v>
      </c>
      <c r="S5278" s="297" t="s">
        <v>214</v>
      </c>
    </row>
    <row r="5279" spans="1:19" x14ac:dyDescent="0.4">
      <c r="A5279" s="548"/>
      <c r="B5279" s="292"/>
      <c r="C5279" s="292"/>
      <c r="D5279" s="292"/>
      <c r="E5279" s="549"/>
      <c r="F5279" s="549"/>
      <c r="G5279" s="550"/>
      <c r="H5279" s="551"/>
      <c r="I5279" s="552"/>
      <c r="J5279" s="553"/>
      <c r="K5279" s="554"/>
      <c r="M5279" s="301" t="str">
        <f>N5279&amp;AS[[#This Row],[Insurer Code]]&amp;"; "&amp;O5279&amp;AS[[#This Row],[Reporting Year]]&amp;"; "&amp;P5279&amp;AS[[#This Row],[Insurance Category Code]]&amp;"; "&amp;Q5279&amp;AS[[#This Row],[Large Provider Entity Code]]&amp;"; "&amp;R5279&amp;AS[[#This Row],[Age Band Code]]&amp;"; "&amp;S5279&amp;AS[[#This Row],[Sex Code]]</f>
        <v xml:space="preserve">Insurer Code ; Reporting Year ; Insurance Category Code ; Large Provider Entity Code ; Age Band Code ; Sex Code </v>
      </c>
      <c r="N5279" s="297" t="s">
        <v>197</v>
      </c>
      <c r="O5279" s="297" t="s">
        <v>198</v>
      </c>
      <c r="P5279" s="297" t="s">
        <v>199</v>
      </c>
      <c r="Q5279" s="297" t="s">
        <v>200</v>
      </c>
      <c r="R5279" s="297" t="s">
        <v>213</v>
      </c>
      <c r="S5279" s="297" t="s">
        <v>214</v>
      </c>
    </row>
    <row r="5280" spans="1:19" x14ac:dyDescent="0.4">
      <c r="A5280" s="548"/>
      <c r="B5280" s="292"/>
      <c r="C5280" s="292"/>
      <c r="D5280" s="292"/>
      <c r="E5280" s="549"/>
      <c r="F5280" s="549"/>
      <c r="G5280" s="550"/>
      <c r="H5280" s="551"/>
      <c r="I5280" s="552"/>
      <c r="J5280" s="553"/>
      <c r="K5280" s="554"/>
      <c r="M5280" s="301" t="str">
        <f>N5280&amp;AS[[#This Row],[Insurer Code]]&amp;"; "&amp;O5280&amp;AS[[#This Row],[Reporting Year]]&amp;"; "&amp;P5280&amp;AS[[#This Row],[Insurance Category Code]]&amp;"; "&amp;Q5280&amp;AS[[#This Row],[Large Provider Entity Code]]&amp;"; "&amp;R5280&amp;AS[[#This Row],[Age Band Code]]&amp;"; "&amp;S5280&amp;AS[[#This Row],[Sex Code]]</f>
        <v xml:space="preserve">Insurer Code ; Reporting Year ; Insurance Category Code ; Large Provider Entity Code ; Age Band Code ; Sex Code </v>
      </c>
      <c r="N5280" s="297" t="s">
        <v>197</v>
      </c>
      <c r="O5280" s="297" t="s">
        <v>198</v>
      </c>
      <c r="P5280" s="297" t="s">
        <v>199</v>
      </c>
      <c r="Q5280" s="297" t="s">
        <v>200</v>
      </c>
      <c r="R5280" s="297" t="s">
        <v>213</v>
      </c>
      <c r="S5280" s="297" t="s">
        <v>214</v>
      </c>
    </row>
    <row r="5281" spans="1:19" x14ac:dyDescent="0.4">
      <c r="A5281" s="548"/>
      <c r="B5281" s="292"/>
      <c r="C5281" s="292"/>
      <c r="D5281" s="292"/>
      <c r="E5281" s="549"/>
      <c r="F5281" s="549"/>
      <c r="G5281" s="550"/>
      <c r="H5281" s="551"/>
      <c r="I5281" s="552"/>
      <c r="J5281" s="553"/>
      <c r="K5281" s="554"/>
      <c r="M5281" s="301" t="str">
        <f>N5281&amp;AS[[#This Row],[Insurer Code]]&amp;"; "&amp;O5281&amp;AS[[#This Row],[Reporting Year]]&amp;"; "&amp;P5281&amp;AS[[#This Row],[Insurance Category Code]]&amp;"; "&amp;Q5281&amp;AS[[#This Row],[Large Provider Entity Code]]&amp;"; "&amp;R5281&amp;AS[[#This Row],[Age Band Code]]&amp;"; "&amp;S5281&amp;AS[[#This Row],[Sex Code]]</f>
        <v xml:space="preserve">Insurer Code ; Reporting Year ; Insurance Category Code ; Large Provider Entity Code ; Age Band Code ; Sex Code </v>
      </c>
      <c r="N5281" s="297" t="s">
        <v>197</v>
      </c>
      <c r="O5281" s="297" t="s">
        <v>198</v>
      </c>
      <c r="P5281" s="297" t="s">
        <v>199</v>
      </c>
      <c r="Q5281" s="297" t="s">
        <v>200</v>
      </c>
      <c r="R5281" s="297" t="s">
        <v>213</v>
      </c>
      <c r="S5281" s="297" t="s">
        <v>214</v>
      </c>
    </row>
    <row r="5282" spans="1:19" x14ac:dyDescent="0.4">
      <c r="A5282" s="548"/>
      <c r="B5282" s="292"/>
      <c r="C5282" s="292"/>
      <c r="D5282" s="292"/>
      <c r="E5282" s="549"/>
      <c r="F5282" s="549"/>
      <c r="G5282" s="550"/>
      <c r="H5282" s="551"/>
      <c r="I5282" s="552"/>
      <c r="J5282" s="553"/>
      <c r="K5282" s="554"/>
      <c r="M5282" s="301" t="str">
        <f>N5282&amp;AS[[#This Row],[Insurer Code]]&amp;"; "&amp;O5282&amp;AS[[#This Row],[Reporting Year]]&amp;"; "&amp;P5282&amp;AS[[#This Row],[Insurance Category Code]]&amp;"; "&amp;Q5282&amp;AS[[#This Row],[Large Provider Entity Code]]&amp;"; "&amp;R5282&amp;AS[[#This Row],[Age Band Code]]&amp;"; "&amp;S5282&amp;AS[[#This Row],[Sex Code]]</f>
        <v xml:space="preserve">Insurer Code ; Reporting Year ; Insurance Category Code ; Large Provider Entity Code ; Age Band Code ; Sex Code </v>
      </c>
      <c r="N5282" s="297" t="s">
        <v>197</v>
      </c>
      <c r="O5282" s="297" t="s">
        <v>198</v>
      </c>
      <c r="P5282" s="297" t="s">
        <v>199</v>
      </c>
      <c r="Q5282" s="297" t="s">
        <v>200</v>
      </c>
      <c r="R5282" s="297" t="s">
        <v>213</v>
      </c>
      <c r="S5282" s="297" t="s">
        <v>214</v>
      </c>
    </row>
    <row r="5283" spans="1:19" x14ac:dyDescent="0.4">
      <c r="A5283" s="548"/>
      <c r="B5283" s="292"/>
      <c r="C5283" s="292"/>
      <c r="D5283" s="292"/>
      <c r="E5283" s="549"/>
      <c r="F5283" s="549"/>
      <c r="G5283" s="550"/>
      <c r="H5283" s="551"/>
      <c r="I5283" s="552"/>
      <c r="J5283" s="553"/>
      <c r="K5283" s="554"/>
      <c r="M5283" s="301" t="str">
        <f>N5283&amp;AS[[#This Row],[Insurer Code]]&amp;"; "&amp;O5283&amp;AS[[#This Row],[Reporting Year]]&amp;"; "&amp;P5283&amp;AS[[#This Row],[Insurance Category Code]]&amp;"; "&amp;Q5283&amp;AS[[#This Row],[Large Provider Entity Code]]&amp;"; "&amp;R5283&amp;AS[[#This Row],[Age Band Code]]&amp;"; "&amp;S5283&amp;AS[[#This Row],[Sex Code]]</f>
        <v xml:space="preserve">Insurer Code ; Reporting Year ; Insurance Category Code ; Large Provider Entity Code ; Age Band Code ; Sex Code </v>
      </c>
      <c r="N5283" s="297" t="s">
        <v>197</v>
      </c>
      <c r="O5283" s="297" t="s">
        <v>198</v>
      </c>
      <c r="P5283" s="297" t="s">
        <v>199</v>
      </c>
      <c r="Q5283" s="297" t="s">
        <v>200</v>
      </c>
      <c r="R5283" s="297" t="s">
        <v>213</v>
      </c>
      <c r="S5283" s="297" t="s">
        <v>214</v>
      </c>
    </row>
    <row r="5284" spans="1:19" x14ac:dyDescent="0.4">
      <c r="A5284" s="548"/>
      <c r="B5284" s="292"/>
      <c r="C5284" s="292"/>
      <c r="D5284" s="292"/>
      <c r="E5284" s="549"/>
      <c r="F5284" s="549"/>
      <c r="G5284" s="550"/>
      <c r="H5284" s="551"/>
      <c r="I5284" s="552"/>
      <c r="J5284" s="553"/>
      <c r="K5284" s="554"/>
      <c r="M5284" s="301" t="str">
        <f>N5284&amp;AS[[#This Row],[Insurer Code]]&amp;"; "&amp;O5284&amp;AS[[#This Row],[Reporting Year]]&amp;"; "&amp;P5284&amp;AS[[#This Row],[Insurance Category Code]]&amp;"; "&amp;Q5284&amp;AS[[#This Row],[Large Provider Entity Code]]&amp;"; "&amp;R5284&amp;AS[[#This Row],[Age Band Code]]&amp;"; "&amp;S5284&amp;AS[[#This Row],[Sex Code]]</f>
        <v xml:space="preserve">Insurer Code ; Reporting Year ; Insurance Category Code ; Large Provider Entity Code ; Age Band Code ; Sex Code </v>
      </c>
      <c r="N5284" s="297" t="s">
        <v>197</v>
      </c>
      <c r="O5284" s="297" t="s">
        <v>198</v>
      </c>
      <c r="P5284" s="297" t="s">
        <v>199</v>
      </c>
      <c r="Q5284" s="297" t="s">
        <v>200</v>
      </c>
      <c r="R5284" s="297" t="s">
        <v>213</v>
      </c>
      <c r="S5284" s="297" t="s">
        <v>214</v>
      </c>
    </row>
    <row r="5285" spans="1:19" x14ac:dyDescent="0.4">
      <c r="A5285" s="548"/>
      <c r="B5285" s="292"/>
      <c r="C5285" s="292"/>
      <c r="D5285" s="292"/>
      <c r="E5285" s="549"/>
      <c r="F5285" s="549"/>
      <c r="G5285" s="550"/>
      <c r="H5285" s="551"/>
      <c r="I5285" s="552"/>
      <c r="J5285" s="553"/>
      <c r="K5285" s="554"/>
      <c r="M5285" s="301" t="str">
        <f>N5285&amp;AS[[#This Row],[Insurer Code]]&amp;"; "&amp;O5285&amp;AS[[#This Row],[Reporting Year]]&amp;"; "&amp;P5285&amp;AS[[#This Row],[Insurance Category Code]]&amp;"; "&amp;Q5285&amp;AS[[#This Row],[Large Provider Entity Code]]&amp;"; "&amp;R5285&amp;AS[[#This Row],[Age Band Code]]&amp;"; "&amp;S5285&amp;AS[[#This Row],[Sex Code]]</f>
        <v xml:space="preserve">Insurer Code ; Reporting Year ; Insurance Category Code ; Large Provider Entity Code ; Age Band Code ; Sex Code </v>
      </c>
      <c r="N5285" s="297" t="s">
        <v>197</v>
      </c>
      <c r="O5285" s="297" t="s">
        <v>198</v>
      </c>
      <c r="P5285" s="297" t="s">
        <v>199</v>
      </c>
      <c r="Q5285" s="297" t="s">
        <v>200</v>
      </c>
      <c r="R5285" s="297" t="s">
        <v>213</v>
      </c>
      <c r="S5285" s="297" t="s">
        <v>214</v>
      </c>
    </row>
    <row r="5286" spans="1:19" x14ac:dyDescent="0.4">
      <c r="A5286" s="548"/>
      <c r="B5286" s="292"/>
      <c r="C5286" s="292"/>
      <c r="D5286" s="292"/>
      <c r="E5286" s="549"/>
      <c r="F5286" s="549"/>
      <c r="G5286" s="550"/>
      <c r="H5286" s="551"/>
      <c r="I5286" s="552"/>
      <c r="J5286" s="553"/>
      <c r="K5286" s="554"/>
      <c r="M5286" s="301" t="str">
        <f>N5286&amp;AS[[#This Row],[Insurer Code]]&amp;"; "&amp;O5286&amp;AS[[#This Row],[Reporting Year]]&amp;"; "&amp;P5286&amp;AS[[#This Row],[Insurance Category Code]]&amp;"; "&amp;Q5286&amp;AS[[#This Row],[Large Provider Entity Code]]&amp;"; "&amp;R5286&amp;AS[[#This Row],[Age Band Code]]&amp;"; "&amp;S5286&amp;AS[[#This Row],[Sex Code]]</f>
        <v xml:space="preserve">Insurer Code ; Reporting Year ; Insurance Category Code ; Large Provider Entity Code ; Age Band Code ; Sex Code </v>
      </c>
      <c r="N5286" s="297" t="s">
        <v>197</v>
      </c>
      <c r="O5286" s="297" t="s">
        <v>198</v>
      </c>
      <c r="P5286" s="297" t="s">
        <v>199</v>
      </c>
      <c r="Q5286" s="297" t="s">
        <v>200</v>
      </c>
      <c r="R5286" s="297" t="s">
        <v>213</v>
      </c>
      <c r="S5286" s="297" t="s">
        <v>214</v>
      </c>
    </row>
    <row r="5287" spans="1:19" x14ac:dyDescent="0.4">
      <c r="A5287" s="548"/>
      <c r="B5287" s="292"/>
      <c r="C5287" s="292"/>
      <c r="D5287" s="292"/>
      <c r="E5287" s="549"/>
      <c r="F5287" s="549"/>
      <c r="G5287" s="550"/>
      <c r="H5287" s="551"/>
      <c r="I5287" s="552"/>
      <c r="J5287" s="553"/>
      <c r="K5287" s="554"/>
      <c r="M5287" s="301" t="str">
        <f>N5287&amp;AS[[#This Row],[Insurer Code]]&amp;"; "&amp;O5287&amp;AS[[#This Row],[Reporting Year]]&amp;"; "&amp;P5287&amp;AS[[#This Row],[Insurance Category Code]]&amp;"; "&amp;Q5287&amp;AS[[#This Row],[Large Provider Entity Code]]&amp;"; "&amp;R5287&amp;AS[[#This Row],[Age Band Code]]&amp;"; "&amp;S5287&amp;AS[[#This Row],[Sex Code]]</f>
        <v xml:space="preserve">Insurer Code ; Reporting Year ; Insurance Category Code ; Large Provider Entity Code ; Age Band Code ; Sex Code </v>
      </c>
      <c r="N5287" s="297" t="s">
        <v>197</v>
      </c>
      <c r="O5287" s="297" t="s">
        <v>198</v>
      </c>
      <c r="P5287" s="297" t="s">
        <v>199</v>
      </c>
      <c r="Q5287" s="297" t="s">
        <v>200</v>
      </c>
      <c r="R5287" s="297" t="s">
        <v>213</v>
      </c>
      <c r="S5287" s="297" t="s">
        <v>214</v>
      </c>
    </row>
    <row r="5288" spans="1:19" x14ac:dyDescent="0.4">
      <c r="A5288" s="548"/>
      <c r="B5288" s="292"/>
      <c r="C5288" s="292"/>
      <c r="D5288" s="292"/>
      <c r="E5288" s="549"/>
      <c r="F5288" s="549"/>
      <c r="G5288" s="550"/>
      <c r="H5288" s="551"/>
      <c r="I5288" s="552"/>
      <c r="J5288" s="553"/>
      <c r="K5288" s="554"/>
      <c r="M5288" s="301" t="str">
        <f>N5288&amp;AS[[#This Row],[Insurer Code]]&amp;"; "&amp;O5288&amp;AS[[#This Row],[Reporting Year]]&amp;"; "&amp;P5288&amp;AS[[#This Row],[Insurance Category Code]]&amp;"; "&amp;Q5288&amp;AS[[#This Row],[Large Provider Entity Code]]&amp;"; "&amp;R5288&amp;AS[[#This Row],[Age Band Code]]&amp;"; "&amp;S5288&amp;AS[[#This Row],[Sex Code]]</f>
        <v xml:space="preserve">Insurer Code ; Reporting Year ; Insurance Category Code ; Large Provider Entity Code ; Age Band Code ; Sex Code </v>
      </c>
      <c r="N5288" s="297" t="s">
        <v>197</v>
      </c>
      <c r="O5288" s="297" t="s">
        <v>198</v>
      </c>
      <c r="P5288" s="297" t="s">
        <v>199</v>
      </c>
      <c r="Q5288" s="297" t="s">
        <v>200</v>
      </c>
      <c r="R5288" s="297" t="s">
        <v>213</v>
      </c>
      <c r="S5288" s="297" t="s">
        <v>214</v>
      </c>
    </row>
    <row r="5289" spans="1:19" x14ac:dyDescent="0.4">
      <c r="A5289" s="548"/>
      <c r="B5289" s="292"/>
      <c r="C5289" s="292"/>
      <c r="D5289" s="292"/>
      <c r="E5289" s="549"/>
      <c r="F5289" s="549"/>
      <c r="G5289" s="550"/>
      <c r="H5289" s="551"/>
      <c r="I5289" s="552"/>
      <c r="J5289" s="553"/>
      <c r="K5289" s="554"/>
      <c r="M5289" s="301" t="str">
        <f>N5289&amp;AS[[#This Row],[Insurer Code]]&amp;"; "&amp;O5289&amp;AS[[#This Row],[Reporting Year]]&amp;"; "&amp;P5289&amp;AS[[#This Row],[Insurance Category Code]]&amp;"; "&amp;Q5289&amp;AS[[#This Row],[Large Provider Entity Code]]&amp;"; "&amp;R5289&amp;AS[[#This Row],[Age Band Code]]&amp;"; "&amp;S5289&amp;AS[[#This Row],[Sex Code]]</f>
        <v xml:space="preserve">Insurer Code ; Reporting Year ; Insurance Category Code ; Large Provider Entity Code ; Age Band Code ; Sex Code </v>
      </c>
      <c r="N5289" s="297" t="s">
        <v>197</v>
      </c>
      <c r="O5289" s="297" t="s">
        <v>198</v>
      </c>
      <c r="P5289" s="297" t="s">
        <v>199</v>
      </c>
      <c r="Q5289" s="297" t="s">
        <v>200</v>
      </c>
      <c r="R5289" s="297" t="s">
        <v>213</v>
      </c>
      <c r="S5289" s="297" t="s">
        <v>214</v>
      </c>
    </row>
    <row r="5290" spans="1:19" x14ac:dyDescent="0.4">
      <c r="A5290" s="548"/>
      <c r="B5290" s="292"/>
      <c r="C5290" s="292"/>
      <c r="D5290" s="292"/>
      <c r="E5290" s="549"/>
      <c r="F5290" s="549"/>
      <c r="G5290" s="550"/>
      <c r="H5290" s="551"/>
      <c r="I5290" s="552"/>
      <c r="J5290" s="553"/>
      <c r="K5290" s="554"/>
      <c r="M5290" s="301" t="str">
        <f>N5290&amp;AS[[#This Row],[Insurer Code]]&amp;"; "&amp;O5290&amp;AS[[#This Row],[Reporting Year]]&amp;"; "&amp;P5290&amp;AS[[#This Row],[Insurance Category Code]]&amp;"; "&amp;Q5290&amp;AS[[#This Row],[Large Provider Entity Code]]&amp;"; "&amp;R5290&amp;AS[[#This Row],[Age Band Code]]&amp;"; "&amp;S5290&amp;AS[[#This Row],[Sex Code]]</f>
        <v xml:space="preserve">Insurer Code ; Reporting Year ; Insurance Category Code ; Large Provider Entity Code ; Age Band Code ; Sex Code </v>
      </c>
      <c r="N5290" s="297" t="s">
        <v>197</v>
      </c>
      <c r="O5290" s="297" t="s">
        <v>198</v>
      </c>
      <c r="P5290" s="297" t="s">
        <v>199</v>
      </c>
      <c r="Q5290" s="297" t="s">
        <v>200</v>
      </c>
      <c r="R5290" s="297" t="s">
        <v>213</v>
      </c>
      <c r="S5290" s="297" t="s">
        <v>214</v>
      </c>
    </row>
    <row r="5291" spans="1:19" x14ac:dyDescent="0.4">
      <c r="A5291" s="548"/>
      <c r="B5291" s="292"/>
      <c r="C5291" s="292"/>
      <c r="D5291" s="292"/>
      <c r="E5291" s="549"/>
      <c r="F5291" s="549"/>
      <c r="G5291" s="550"/>
      <c r="H5291" s="551"/>
      <c r="I5291" s="552"/>
      <c r="J5291" s="553"/>
      <c r="K5291" s="554"/>
      <c r="M5291" s="301" t="str">
        <f>N5291&amp;AS[[#This Row],[Insurer Code]]&amp;"; "&amp;O5291&amp;AS[[#This Row],[Reporting Year]]&amp;"; "&amp;P5291&amp;AS[[#This Row],[Insurance Category Code]]&amp;"; "&amp;Q5291&amp;AS[[#This Row],[Large Provider Entity Code]]&amp;"; "&amp;R5291&amp;AS[[#This Row],[Age Band Code]]&amp;"; "&amp;S5291&amp;AS[[#This Row],[Sex Code]]</f>
        <v xml:space="preserve">Insurer Code ; Reporting Year ; Insurance Category Code ; Large Provider Entity Code ; Age Band Code ; Sex Code </v>
      </c>
      <c r="N5291" s="297" t="s">
        <v>197</v>
      </c>
      <c r="O5291" s="297" t="s">
        <v>198</v>
      </c>
      <c r="P5291" s="297" t="s">
        <v>199</v>
      </c>
      <c r="Q5291" s="297" t="s">
        <v>200</v>
      </c>
      <c r="R5291" s="297" t="s">
        <v>213</v>
      </c>
      <c r="S5291" s="297" t="s">
        <v>214</v>
      </c>
    </row>
    <row r="5292" spans="1:19" x14ac:dyDescent="0.4">
      <c r="A5292" s="548"/>
      <c r="B5292" s="292"/>
      <c r="C5292" s="292"/>
      <c r="D5292" s="292"/>
      <c r="E5292" s="549"/>
      <c r="F5292" s="549"/>
      <c r="G5292" s="550"/>
      <c r="H5292" s="551"/>
      <c r="I5292" s="552"/>
      <c r="J5292" s="553"/>
      <c r="K5292" s="554"/>
      <c r="M5292" s="301" t="str">
        <f>N5292&amp;AS[[#This Row],[Insurer Code]]&amp;"; "&amp;O5292&amp;AS[[#This Row],[Reporting Year]]&amp;"; "&amp;P5292&amp;AS[[#This Row],[Insurance Category Code]]&amp;"; "&amp;Q5292&amp;AS[[#This Row],[Large Provider Entity Code]]&amp;"; "&amp;R5292&amp;AS[[#This Row],[Age Band Code]]&amp;"; "&amp;S5292&amp;AS[[#This Row],[Sex Code]]</f>
        <v xml:space="preserve">Insurer Code ; Reporting Year ; Insurance Category Code ; Large Provider Entity Code ; Age Band Code ; Sex Code </v>
      </c>
      <c r="N5292" s="297" t="s">
        <v>197</v>
      </c>
      <c r="O5292" s="297" t="s">
        <v>198</v>
      </c>
      <c r="P5292" s="297" t="s">
        <v>199</v>
      </c>
      <c r="Q5292" s="297" t="s">
        <v>200</v>
      </c>
      <c r="R5292" s="297" t="s">
        <v>213</v>
      </c>
      <c r="S5292" s="297" t="s">
        <v>214</v>
      </c>
    </row>
    <row r="5293" spans="1:19" x14ac:dyDescent="0.4">
      <c r="A5293" s="548"/>
      <c r="B5293" s="292"/>
      <c r="C5293" s="292"/>
      <c r="D5293" s="292"/>
      <c r="E5293" s="549"/>
      <c r="F5293" s="549"/>
      <c r="G5293" s="550"/>
      <c r="H5293" s="551"/>
      <c r="I5293" s="552"/>
      <c r="J5293" s="553"/>
      <c r="K5293" s="554"/>
      <c r="M5293" s="301" t="str">
        <f>N5293&amp;AS[[#This Row],[Insurer Code]]&amp;"; "&amp;O5293&amp;AS[[#This Row],[Reporting Year]]&amp;"; "&amp;P5293&amp;AS[[#This Row],[Insurance Category Code]]&amp;"; "&amp;Q5293&amp;AS[[#This Row],[Large Provider Entity Code]]&amp;"; "&amp;R5293&amp;AS[[#This Row],[Age Band Code]]&amp;"; "&amp;S5293&amp;AS[[#This Row],[Sex Code]]</f>
        <v xml:space="preserve">Insurer Code ; Reporting Year ; Insurance Category Code ; Large Provider Entity Code ; Age Band Code ; Sex Code </v>
      </c>
      <c r="N5293" s="297" t="s">
        <v>197</v>
      </c>
      <c r="O5293" s="297" t="s">
        <v>198</v>
      </c>
      <c r="P5293" s="297" t="s">
        <v>199</v>
      </c>
      <c r="Q5293" s="297" t="s">
        <v>200</v>
      </c>
      <c r="R5293" s="297" t="s">
        <v>213</v>
      </c>
      <c r="S5293" s="297" t="s">
        <v>214</v>
      </c>
    </row>
    <row r="5294" spans="1:19" x14ac:dyDescent="0.4">
      <c r="A5294" s="548"/>
      <c r="B5294" s="292"/>
      <c r="C5294" s="292"/>
      <c r="D5294" s="292"/>
      <c r="E5294" s="549"/>
      <c r="F5294" s="549"/>
      <c r="G5294" s="550"/>
      <c r="H5294" s="551"/>
      <c r="I5294" s="552"/>
      <c r="J5294" s="553"/>
      <c r="K5294" s="554"/>
      <c r="M5294" s="301" t="str">
        <f>N5294&amp;AS[[#This Row],[Insurer Code]]&amp;"; "&amp;O5294&amp;AS[[#This Row],[Reporting Year]]&amp;"; "&amp;P5294&amp;AS[[#This Row],[Insurance Category Code]]&amp;"; "&amp;Q5294&amp;AS[[#This Row],[Large Provider Entity Code]]&amp;"; "&amp;R5294&amp;AS[[#This Row],[Age Band Code]]&amp;"; "&amp;S5294&amp;AS[[#This Row],[Sex Code]]</f>
        <v xml:space="preserve">Insurer Code ; Reporting Year ; Insurance Category Code ; Large Provider Entity Code ; Age Band Code ; Sex Code </v>
      </c>
      <c r="N5294" s="297" t="s">
        <v>197</v>
      </c>
      <c r="O5294" s="297" t="s">
        <v>198</v>
      </c>
      <c r="P5294" s="297" t="s">
        <v>199</v>
      </c>
      <c r="Q5294" s="297" t="s">
        <v>200</v>
      </c>
      <c r="R5294" s="297" t="s">
        <v>213</v>
      </c>
      <c r="S5294" s="297" t="s">
        <v>214</v>
      </c>
    </row>
    <row r="5295" spans="1:19" x14ac:dyDescent="0.4">
      <c r="A5295" s="548"/>
      <c r="B5295" s="292"/>
      <c r="C5295" s="292"/>
      <c r="D5295" s="292"/>
      <c r="E5295" s="549"/>
      <c r="F5295" s="549"/>
      <c r="G5295" s="550"/>
      <c r="H5295" s="551"/>
      <c r="I5295" s="552"/>
      <c r="J5295" s="553"/>
      <c r="K5295" s="554"/>
      <c r="M5295" s="301" t="str">
        <f>N5295&amp;AS[[#This Row],[Insurer Code]]&amp;"; "&amp;O5295&amp;AS[[#This Row],[Reporting Year]]&amp;"; "&amp;P5295&amp;AS[[#This Row],[Insurance Category Code]]&amp;"; "&amp;Q5295&amp;AS[[#This Row],[Large Provider Entity Code]]&amp;"; "&amp;R5295&amp;AS[[#This Row],[Age Band Code]]&amp;"; "&amp;S5295&amp;AS[[#This Row],[Sex Code]]</f>
        <v xml:space="preserve">Insurer Code ; Reporting Year ; Insurance Category Code ; Large Provider Entity Code ; Age Band Code ; Sex Code </v>
      </c>
      <c r="N5295" s="297" t="s">
        <v>197</v>
      </c>
      <c r="O5295" s="297" t="s">
        <v>198</v>
      </c>
      <c r="P5295" s="297" t="s">
        <v>199</v>
      </c>
      <c r="Q5295" s="297" t="s">
        <v>200</v>
      </c>
      <c r="R5295" s="297" t="s">
        <v>213</v>
      </c>
      <c r="S5295" s="297" t="s">
        <v>214</v>
      </c>
    </row>
    <row r="5296" spans="1:19" x14ac:dyDescent="0.4">
      <c r="A5296" s="548"/>
      <c r="B5296" s="292"/>
      <c r="C5296" s="292"/>
      <c r="D5296" s="292"/>
      <c r="E5296" s="549"/>
      <c r="F5296" s="549"/>
      <c r="G5296" s="550"/>
      <c r="H5296" s="551"/>
      <c r="I5296" s="552"/>
      <c r="J5296" s="553"/>
      <c r="K5296" s="554"/>
      <c r="M5296" s="301" t="str">
        <f>N5296&amp;AS[[#This Row],[Insurer Code]]&amp;"; "&amp;O5296&amp;AS[[#This Row],[Reporting Year]]&amp;"; "&amp;P5296&amp;AS[[#This Row],[Insurance Category Code]]&amp;"; "&amp;Q5296&amp;AS[[#This Row],[Large Provider Entity Code]]&amp;"; "&amp;R5296&amp;AS[[#This Row],[Age Band Code]]&amp;"; "&amp;S5296&amp;AS[[#This Row],[Sex Code]]</f>
        <v xml:space="preserve">Insurer Code ; Reporting Year ; Insurance Category Code ; Large Provider Entity Code ; Age Band Code ; Sex Code </v>
      </c>
      <c r="N5296" s="297" t="s">
        <v>197</v>
      </c>
      <c r="O5296" s="297" t="s">
        <v>198</v>
      </c>
      <c r="P5296" s="297" t="s">
        <v>199</v>
      </c>
      <c r="Q5296" s="297" t="s">
        <v>200</v>
      </c>
      <c r="R5296" s="297" t="s">
        <v>213</v>
      </c>
      <c r="S5296" s="297" t="s">
        <v>214</v>
      </c>
    </row>
    <row r="5297" spans="1:19" x14ac:dyDescent="0.4">
      <c r="A5297" s="548"/>
      <c r="B5297" s="292"/>
      <c r="C5297" s="292"/>
      <c r="D5297" s="292"/>
      <c r="E5297" s="549"/>
      <c r="F5297" s="549"/>
      <c r="G5297" s="550"/>
      <c r="H5297" s="551"/>
      <c r="I5297" s="552"/>
      <c r="J5297" s="553"/>
      <c r="K5297" s="554"/>
      <c r="M5297" s="301" t="str">
        <f>N5297&amp;AS[[#This Row],[Insurer Code]]&amp;"; "&amp;O5297&amp;AS[[#This Row],[Reporting Year]]&amp;"; "&amp;P5297&amp;AS[[#This Row],[Insurance Category Code]]&amp;"; "&amp;Q5297&amp;AS[[#This Row],[Large Provider Entity Code]]&amp;"; "&amp;R5297&amp;AS[[#This Row],[Age Band Code]]&amp;"; "&amp;S5297&amp;AS[[#This Row],[Sex Code]]</f>
        <v xml:space="preserve">Insurer Code ; Reporting Year ; Insurance Category Code ; Large Provider Entity Code ; Age Band Code ; Sex Code </v>
      </c>
      <c r="N5297" s="297" t="s">
        <v>197</v>
      </c>
      <c r="O5297" s="297" t="s">
        <v>198</v>
      </c>
      <c r="P5297" s="297" t="s">
        <v>199</v>
      </c>
      <c r="Q5297" s="297" t="s">
        <v>200</v>
      </c>
      <c r="R5297" s="297" t="s">
        <v>213</v>
      </c>
      <c r="S5297" s="297" t="s">
        <v>214</v>
      </c>
    </row>
    <row r="5298" spans="1:19" x14ac:dyDescent="0.4">
      <c r="A5298" s="548"/>
      <c r="B5298" s="292"/>
      <c r="C5298" s="292"/>
      <c r="D5298" s="292"/>
      <c r="E5298" s="549"/>
      <c r="F5298" s="549"/>
      <c r="G5298" s="550"/>
      <c r="H5298" s="551"/>
      <c r="I5298" s="552"/>
      <c r="J5298" s="553"/>
      <c r="K5298" s="554"/>
      <c r="M5298" s="301" t="str">
        <f>N5298&amp;AS[[#This Row],[Insurer Code]]&amp;"; "&amp;O5298&amp;AS[[#This Row],[Reporting Year]]&amp;"; "&amp;P5298&amp;AS[[#This Row],[Insurance Category Code]]&amp;"; "&amp;Q5298&amp;AS[[#This Row],[Large Provider Entity Code]]&amp;"; "&amp;R5298&amp;AS[[#This Row],[Age Band Code]]&amp;"; "&amp;S5298&amp;AS[[#This Row],[Sex Code]]</f>
        <v xml:space="preserve">Insurer Code ; Reporting Year ; Insurance Category Code ; Large Provider Entity Code ; Age Band Code ; Sex Code </v>
      </c>
      <c r="N5298" s="297" t="s">
        <v>197</v>
      </c>
      <c r="O5298" s="297" t="s">
        <v>198</v>
      </c>
      <c r="P5298" s="297" t="s">
        <v>199</v>
      </c>
      <c r="Q5298" s="297" t="s">
        <v>200</v>
      </c>
      <c r="R5298" s="297" t="s">
        <v>213</v>
      </c>
      <c r="S5298" s="297" t="s">
        <v>214</v>
      </c>
    </row>
    <row r="5299" spans="1:19" x14ac:dyDescent="0.4">
      <c r="A5299" s="548"/>
      <c r="B5299" s="292"/>
      <c r="C5299" s="292"/>
      <c r="D5299" s="292"/>
      <c r="E5299" s="549"/>
      <c r="F5299" s="549"/>
      <c r="G5299" s="550"/>
      <c r="H5299" s="551"/>
      <c r="I5299" s="552"/>
      <c r="J5299" s="553"/>
      <c r="K5299" s="554"/>
      <c r="M5299" s="301" t="str">
        <f>N5299&amp;AS[[#This Row],[Insurer Code]]&amp;"; "&amp;O5299&amp;AS[[#This Row],[Reporting Year]]&amp;"; "&amp;P5299&amp;AS[[#This Row],[Insurance Category Code]]&amp;"; "&amp;Q5299&amp;AS[[#This Row],[Large Provider Entity Code]]&amp;"; "&amp;R5299&amp;AS[[#This Row],[Age Band Code]]&amp;"; "&amp;S5299&amp;AS[[#This Row],[Sex Code]]</f>
        <v xml:space="preserve">Insurer Code ; Reporting Year ; Insurance Category Code ; Large Provider Entity Code ; Age Band Code ; Sex Code </v>
      </c>
      <c r="N5299" s="297" t="s">
        <v>197</v>
      </c>
      <c r="O5299" s="297" t="s">
        <v>198</v>
      </c>
      <c r="P5299" s="297" t="s">
        <v>199</v>
      </c>
      <c r="Q5299" s="297" t="s">
        <v>200</v>
      </c>
      <c r="R5299" s="297" t="s">
        <v>213</v>
      </c>
      <c r="S5299" s="297" t="s">
        <v>214</v>
      </c>
    </row>
    <row r="5300" spans="1:19" x14ac:dyDescent="0.4">
      <c r="A5300" s="548"/>
      <c r="B5300" s="292"/>
      <c r="C5300" s="292"/>
      <c r="D5300" s="292"/>
      <c r="E5300" s="549"/>
      <c r="F5300" s="549"/>
      <c r="G5300" s="550"/>
      <c r="H5300" s="551"/>
      <c r="I5300" s="552"/>
      <c r="J5300" s="553"/>
      <c r="K5300" s="554"/>
      <c r="M5300" s="301" t="str">
        <f>N5300&amp;AS[[#This Row],[Insurer Code]]&amp;"; "&amp;O5300&amp;AS[[#This Row],[Reporting Year]]&amp;"; "&amp;P5300&amp;AS[[#This Row],[Insurance Category Code]]&amp;"; "&amp;Q5300&amp;AS[[#This Row],[Large Provider Entity Code]]&amp;"; "&amp;R5300&amp;AS[[#This Row],[Age Band Code]]&amp;"; "&amp;S5300&amp;AS[[#This Row],[Sex Code]]</f>
        <v xml:space="preserve">Insurer Code ; Reporting Year ; Insurance Category Code ; Large Provider Entity Code ; Age Band Code ; Sex Code </v>
      </c>
      <c r="N5300" s="297" t="s">
        <v>197</v>
      </c>
      <c r="O5300" s="297" t="s">
        <v>198</v>
      </c>
      <c r="P5300" s="297" t="s">
        <v>199</v>
      </c>
      <c r="Q5300" s="297" t="s">
        <v>200</v>
      </c>
      <c r="R5300" s="297" t="s">
        <v>213</v>
      </c>
      <c r="S5300" s="297" t="s">
        <v>214</v>
      </c>
    </row>
    <row r="5301" spans="1:19" x14ac:dyDescent="0.4">
      <c r="A5301" s="548"/>
      <c r="B5301" s="292"/>
      <c r="C5301" s="292"/>
      <c r="D5301" s="292"/>
      <c r="E5301" s="549"/>
      <c r="F5301" s="549"/>
      <c r="G5301" s="550"/>
      <c r="H5301" s="551"/>
      <c r="I5301" s="552"/>
      <c r="J5301" s="553"/>
      <c r="K5301" s="554"/>
      <c r="M5301" s="301" t="str">
        <f>N5301&amp;AS[[#This Row],[Insurer Code]]&amp;"; "&amp;O5301&amp;AS[[#This Row],[Reporting Year]]&amp;"; "&amp;P5301&amp;AS[[#This Row],[Insurance Category Code]]&amp;"; "&amp;Q5301&amp;AS[[#This Row],[Large Provider Entity Code]]&amp;"; "&amp;R5301&amp;AS[[#This Row],[Age Band Code]]&amp;"; "&amp;S5301&amp;AS[[#This Row],[Sex Code]]</f>
        <v xml:space="preserve">Insurer Code ; Reporting Year ; Insurance Category Code ; Large Provider Entity Code ; Age Band Code ; Sex Code </v>
      </c>
      <c r="N5301" s="297" t="s">
        <v>197</v>
      </c>
      <c r="O5301" s="297" t="s">
        <v>198</v>
      </c>
      <c r="P5301" s="297" t="s">
        <v>199</v>
      </c>
      <c r="Q5301" s="297" t="s">
        <v>200</v>
      </c>
      <c r="R5301" s="297" t="s">
        <v>213</v>
      </c>
      <c r="S5301" s="297" t="s">
        <v>214</v>
      </c>
    </row>
    <row r="5302" spans="1:19" x14ac:dyDescent="0.4">
      <c r="A5302" s="548"/>
      <c r="B5302" s="292"/>
      <c r="C5302" s="292"/>
      <c r="D5302" s="292"/>
      <c r="E5302" s="549"/>
      <c r="F5302" s="549"/>
      <c r="G5302" s="550"/>
      <c r="H5302" s="551"/>
      <c r="I5302" s="552"/>
      <c r="J5302" s="553"/>
      <c r="K5302" s="554"/>
      <c r="M5302" s="301" t="str">
        <f>N5302&amp;AS[[#This Row],[Insurer Code]]&amp;"; "&amp;O5302&amp;AS[[#This Row],[Reporting Year]]&amp;"; "&amp;P5302&amp;AS[[#This Row],[Insurance Category Code]]&amp;"; "&amp;Q5302&amp;AS[[#This Row],[Large Provider Entity Code]]&amp;"; "&amp;R5302&amp;AS[[#This Row],[Age Band Code]]&amp;"; "&amp;S5302&amp;AS[[#This Row],[Sex Code]]</f>
        <v xml:space="preserve">Insurer Code ; Reporting Year ; Insurance Category Code ; Large Provider Entity Code ; Age Band Code ; Sex Code </v>
      </c>
      <c r="N5302" s="297" t="s">
        <v>197</v>
      </c>
      <c r="O5302" s="297" t="s">
        <v>198</v>
      </c>
      <c r="P5302" s="297" t="s">
        <v>199</v>
      </c>
      <c r="Q5302" s="297" t="s">
        <v>200</v>
      </c>
      <c r="R5302" s="297" t="s">
        <v>213</v>
      </c>
      <c r="S5302" s="297" t="s">
        <v>214</v>
      </c>
    </row>
    <row r="5303" spans="1:19" x14ac:dyDescent="0.4">
      <c r="A5303" s="548"/>
      <c r="B5303" s="292"/>
      <c r="C5303" s="292"/>
      <c r="D5303" s="292"/>
      <c r="E5303" s="549"/>
      <c r="F5303" s="549"/>
      <c r="G5303" s="550"/>
      <c r="H5303" s="551"/>
      <c r="I5303" s="552"/>
      <c r="J5303" s="553"/>
      <c r="K5303" s="554"/>
      <c r="M5303" s="301" t="str">
        <f>N5303&amp;AS[[#This Row],[Insurer Code]]&amp;"; "&amp;O5303&amp;AS[[#This Row],[Reporting Year]]&amp;"; "&amp;P5303&amp;AS[[#This Row],[Insurance Category Code]]&amp;"; "&amp;Q5303&amp;AS[[#This Row],[Large Provider Entity Code]]&amp;"; "&amp;R5303&amp;AS[[#This Row],[Age Band Code]]&amp;"; "&amp;S5303&amp;AS[[#This Row],[Sex Code]]</f>
        <v xml:space="preserve">Insurer Code ; Reporting Year ; Insurance Category Code ; Large Provider Entity Code ; Age Band Code ; Sex Code </v>
      </c>
      <c r="N5303" s="297" t="s">
        <v>197</v>
      </c>
      <c r="O5303" s="297" t="s">
        <v>198</v>
      </c>
      <c r="P5303" s="297" t="s">
        <v>199</v>
      </c>
      <c r="Q5303" s="297" t="s">
        <v>200</v>
      </c>
      <c r="R5303" s="297" t="s">
        <v>213</v>
      </c>
      <c r="S5303" s="297" t="s">
        <v>214</v>
      </c>
    </row>
    <row r="5304" spans="1:19" x14ac:dyDescent="0.4">
      <c r="A5304" s="548"/>
      <c r="B5304" s="292"/>
      <c r="C5304" s="292"/>
      <c r="D5304" s="292"/>
      <c r="E5304" s="549"/>
      <c r="F5304" s="549"/>
      <c r="G5304" s="550"/>
      <c r="H5304" s="551"/>
      <c r="I5304" s="552"/>
      <c r="J5304" s="553"/>
      <c r="K5304" s="554"/>
      <c r="M5304" s="301" t="str">
        <f>N5304&amp;AS[[#This Row],[Insurer Code]]&amp;"; "&amp;O5304&amp;AS[[#This Row],[Reporting Year]]&amp;"; "&amp;P5304&amp;AS[[#This Row],[Insurance Category Code]]&amp;"; "&amp;Q5304&amp;AS[[#This Row],[Large Provider Entity Code]]&amp;"; "&amp;R5304&amp;AS[[#This Row],[Age Band Code]]&amp;"; "&amp;S5304&amp;AS[[#This Row],[Sex Code]]</f>
        <v xml:space="preserve">Insurer Code ; Reporting Year ; Insurance Category Code ; Large Provider Entity Code ; Age Band Code ; Sex Code </v>
      </c>
      <c r="N5304" s="297" t="s">
        <v>197</v>
      </c>
      <c r="O5304" s="297" t="s">
        <v>198</v>
      </c>
      <c r="P5304" s="297" t="s">
        <v>199</v>
      </c>
      <c r="Q5304" s="297" t="s">
        <v>200</v>
      </c>
      <c r="R5304" s="297" t="s">
        <v>213</v>
      </c>
      <c r="S5304" s="297" t="s">
        <v>214</v>
      </c>
    </row>
    <row r="5305" spans="1:19" x14ac:dyDescent="0.4">
      <c r="A5305" s="548"/>
      <c r="B5305" s="292"/>
      <c r="C5305" s="292"/>
      <c r="D5305" s="292"/>
      <c r="E5305" s="549"/>
      <c r="F5305" s="549"/>
      <c r="G5305" s="550"/>
      <c r="H5305" s="551"/>
      <c r="I5305" s="552"/>
      <c r="J5305" s="553"/>
      <c r="K5305" s="554"/>
      <c r="M5305" s="301" t="str">
        <f>N5305&amp;AS[[#This Row],[Insurer Code]]&amp;"; "&amp;O5305&amp;AS[[#This Row],[Reporting Year]]&amp;"; "&amp;P5305&amp;AS[[#This Row],[Insurance Category Code]]&amp;"; "&amp;Q5305&amp;AS[[#This Row],[Large Provider Entity Code]]&amp;"; "&amp;R5305&amp;AS[[#This Row],[Age Band Code]]&amp;"; "&amp;S5305&amp;AS[[#This Row],[Sex Code]]</f>
        <v xml:space="preserve">Insurer Code ; Reporting Year ; Insurance Category Code ; Large Provider Entity Code ; Age Band Code ; Sex Code </v>
      </c>
      <c r="N5305" s="297" t="s">
        <v>197</v>
      </c>
      <c r="O5305" s="297" t="s">
        <v>198</v>
      </c>
      <c r="P5305" s="297" t="s">
        <v>199</v>
      </c>
      <c r="Q5305" s="297" t="s">
        <v>200</v>
      </c>
      <c r="R5305" s="297" t="s">
        <v>213</v>
      </c>
      <c r="S5305" s="297" t="s">
        <v>214</v>
      </c>
    </row>
    <row r="5306" spans="1:19" x14ac:dyDescent="0.4">
      <c r="A5306" s="548"/>
      <c r="B5306" s="292"/>
      <c r="C5306" s="292"/>
      <c r="D5306" s="292"/>
      <c r="E5306" s="549"/>
      <c r="F5306" s="549"/>
      <c r="G5306" s="550"/>
      <c r="H5306" s="551"/>
      <c r="I5306" s="552"/>
      <c r="J5306" s="553"/>
      <c r="K5306" s="554"/>
      <c r="M5306" s="301" t="str">
        <f>N5306&amp;AS[[#This Row],[Insurer Code]]&amp;"; "&amp;O5306&amp;AS[[#This Row],[Reporting Year]]&amp;"; "&amp;P5306&amp;AS[[#This Row],[Insurance Category Code]]&amp;"; "&amp;Q5306&amp;AS[[#This Row],[Large Provider Entity Code]]&amp;"; "&amp;R5306&amp;AS[[#This Row],[Age Band Code]]&amp;"; "&amp;S5306&amp;AS[[#This Row],[Sex Code]]</f>
        <v xml:space="preserve">Insurer Code ; Reporting Year ; Insurance Category Code ; Large Provider Entity Code ; Age Band Code ; Sex Code </v>
      </c>
      <c r="N5306" s="297" t="s">
        <v>197</v>
      </c>
      <c r="O5306" s="297" t="s">
        <v>198</v>
      </c>
      <c r="P5306" s="297" t="s">
        <v>199</v>
      </c>
      <c r="Q5306" s="297" t="s">
        <v>200</v>
      </c>
      <c r="R5306" s="297" t="s">
        <v>213</v>
      </c>
      <c r="S5306" s="297" t="s">
        <v>214</v>
      </c>
    </row>
    <row r="5307" spans="1:19" x14ac:dyDescent="0.4">
      <c r="A5307" s="548"/>
      <c r="B5307" s="292"/>
      <c r="C5307" s="292"/>
      <c r="D5307" s="292"/>
      <c r="E5307" s="549"/>
      <c r="F5307" s="549"/>
      <c r="G5307" s="550"/>
      <c r="H5307" s="551"/>
      <c r="I5307" s="552"/>
      <c r="J5307" s="553"/>
      <c r="K5307" s="554"/>
      <c r="M5307" s="301" t="str">
        <f>N5307&amp;AS[[#This Row],[Insurer Code]]&amp;"; "&amp;O5307&amp;AS[[#This Row],[Reporting Year]]&amp;"; "&amp;P5307&amp;AS[[#This Row],[Insurance Category Code]]&amp;"; "&amp;Q5307&amp;AS[[#This Row],[Large Provider Entity Code]]&amp;"; "&amp;R5307&amp;AS[[#This Row],[Age Band Code]]&amp;"; "&amp;S5307&amp;AS[[#This Row],[Sex Code]]</f>
        <v xml:space="preserve">Insurer Code ; Reporting Year ; Insurance Category Code ; Large Provider Entity Code ; Age Band Code ; Sex Code </v>
      </c>
      <c r="N5307" s="297" t="s">
        <v>197</v>
      </c>
      <c r="O5307" s="297" t="s">
        <v>198</v>
      </c>
      <c r="P5307" s="297" t="s">
        <v>199</v>
      </c>
      <c r="Q5307" s="297" t="s">
        <v>200</v>
      </c>
      <c r="R5307" s="297" t="s">
        <v>213</v>
      </c>
      <c r="S5307" s="297" t="s">
        <v>214</v>
      </c>
    </row>
    <row r="5308" spans="1:19" x14ac:dyDescent="0.4">
      <c r="A5308" s="548"/>
      <c r="B5308" s="292"/>
      <c r="C5308" s="292"/>
      <c r="D5308" s="292"/>
      <c r="E5308" s="549"/>
      <c r="F5308" s="549"/>
      <c r="G5308" s="550"/>
      <c r="H5308" s="551"/>
      <c r="I5308" s="552"/>
      <c r="J5308" s="553"/>
      <c r="K5308" s="554"/>
      <c r="M5308" s="301" t="str">
        <f>N5308&amp;AS[[#This Row],[Insurer Code]]&amp;"; "&amp;O5308&amp;AS[[#This Row],[Reporting Year]]&amp;"; "&amp;P5308&amp;AS[[#This Row],[Insurance Category Code]]&amp;"; "&amp;Q5308&amp;AS[[#This Row],[Large Provider Entity Code]]&amp;"; "&amp;R5308&amp;AS[[#This Row],[Age Band Code]]&amp;"; "&amp;S5308&amp;AS[[#This Row],[Sex Code]]</f>
        <v xml:space="preserve">Insurer Code ; Reporting Year ; Insurance Category Code ; Large Provider Entity Code ; Age Band Code ; Sex Code </v>
      </c>
      <c r="N5308" s="297" t="s">
        <v>197</v>
      </c>
      <c r="O5308" s="297" t="s">
        <v>198</v>
      </c>
      <c r="P5308" s="297" t="s">
        <v>199</v>
      </c>
      <c r="Q5308" s="297" t="s">
        <v>200</v>
      </c>
      <c r="R5308" s="297" t="s">
        <v>213</v>
      </c>
      <c r="S5308" s="297" t="s">
        <v>214</v>
      </c>
    </row>
    <row r="5309" spans="1:19" x14ac:dyDescent="0.4">
      <c r="A5309" s="548"/>
      <c r="B5309" s="292"/>
      <c r="C5309" s="292"/>
      <c r="D5309" s="292"/>
      <c r="E5309" s="549"/>
      <c r="F5309" s="549"/>
      <c r="G5309" s="550"/>
      <c r="H5309" s="551"/>
      <c r="I5309" s="552"/>
      <c r="J5309" s="553"/>
      <c r="K5309" s="554"/>
      <c r="M5309" s="301" t="str">
        <f>N5309&amp;AS[[#This Row],[Insurer Code]]&amp;"; "&amp;O5309&amp;AS[[#This Row],[Reporting Year]]&amp;"; "&amp;P5309&amp;AS[[#This Row],[Insurance Category Code]]&amp;"; "&amp;Q5309&amp;AS[[#This Row],[Large Provider Entity Code]]&amp;"; "&amp;R5309&amp;AS[[#This Row],[Age Band Code]]&amp;"; "&amp;S5309&amp;AS[[#This Row],[Sex Code]]</f>
        <v xml:space="preserve">Insurer Code ; Reporting Year ; Insurance Category Code ; Large Provider Entity Code ; Age Band Code ; Sex Code </v>
      </c>
      <c r="N5309" s="297" t="s">
        <v>197</v>
      </c>
      <c r="O5309" s="297" t="s">
        <v>198</v>
      </c>
      <c r="P5309" s="297" t="s">
        <v>199</v>
      </c>
      <c r="Q5309" s="297" t="s">
        <v>200</v>
      </c>
      <c r="R5309" s="297" t="s">
        <v>213</v>
      </c>
      <c r="S5309" s="297" t="s">
        <v>214</v>
      </c>
    </row>
    <row r="5310" spans="1:19" x14ac:dyDescent="0.4">
      <c r="A5310" s="548"/>
      <c r="B5310" s="292"/>
      <c r="C5310" s="292"/>
      <c r="D5310" s="292"/>
      <c r="E5310" s="549"/>
      <c r="F5310" s="549"/>
      <c r="G5310" s="550"/>
      <c r="H5310" s="551"/>
      <c r="I5310" s="552"/>
      <c r="J5310" s="553"/>
      <c r="K5310" s="554"/>
      <c r="M5310" s="301" t="str">
        <f>N5310&amp;AS[[#This Row],[Insurer Code]]&amp;"; "&amp;O5310&amp;AS[[#This Row],[Reporting Year]]&amp;"; "&amp;P5310&amp;AS[[#This Row],[Insurance Category Code]]&amp;"; "&amp;Q5310&amp;AS[[#This Row],[Large Provider Entity Code]]&amp;"; "&amp;R5310&amp;AS[[#This Row],[Age Band Code]]&amp;"; "&amp;S5310&amp;AS[[#This Row],[Sex Code]]</f>
        <v xml:space="preserve">Insurer Code ; Reporting Year ; Insurance Category Code ; Large Provider Entity Code ; Age Band Code ; Sex Code </v>
      </c>
      <c r="N5310" s="297" t="s">
        <v>197</v>
      </c>
      <c r="O5310" s="297" t="s">
        <v>198</v>
      </c>
      <c r="P5310" s="297" t="s">
        <v>199</v>
      </c>
      <c r="Q5310" s="297" t="s">
        <v>200</v>
      </c>
      <c r="R5310" s="297" t="s">
        <v>213</v>
      </c>
      <c r="S5310" s="297" t="s">
        <v>214</v>
      </c>
    </row>
    <row r="5311" spans="1:19" x14ac:dyDescent="0.4">
      <c r="A5311" s="548"/>
      <c r="B5311" s="292"/>
      <c r="C5311" s="292"/>
      <c r="D5311" s="292"/>
      <c r="E5311" s="549"/>
      <c r="F5311" s="549"/>
      <c r="G5311" s="550"/>
      <c r="H5311" s="551"/>
      <c r="I5311" s="552"/>
      <c r="J5311" s="553"/>
      <c r="K5311" s="554"/>
      <c r="M5311" s="301" t="str">
        <f>N5311&amp;AS[[#This Row],[Insurer Code]]&amp;"; "&amp;O5311&amp;AS[[#This Row],[Reporting Year]]&amp;"; "&amp;P5311&amp;AS[[#This Row],[Insurance Category Code]]&amp;"; "&amp;Q5311&amp;AS[[#This Row],[Large Provider Entity Code]]&amp;"; "&amp;R5311&amp;AS[[#This Row],[Age Band Code]]&amp;"; "&amp;S5311&amp;AS[[#This Row],[Sex Code]]</f>
        <v xml:space="preserve">Insurer Code ; Reporting Year ; Insurance Category Code ; Large Provider Entity Code ; Age Band Code ; Sex Code </v>
      </c>
      <c r="N5311" s="297" t="s">
        <v>197</v>
      </c>
      <c r="O5311" s="297" t="s">
        <v>198</v>
      </c>
      <c r="P5311" s="297" t="s">
        <v>199</v>
      </c>
      <c r="Q5311" s="297" t="s">
        <v>200</v>
      </c>
      <c r="R5311" s="297" t="s">
        <v>213</v>
      </c>
      <c r="S5311" s="297" t="s">
        <v>214</v>
      </c>
    </row>
    <row r="5312" spans="1:19" x14ac:dyDescent="0.4">
      <c r="A5312" s="548"/>
      <c r="B5312" s="292"/>
      <c r="C5312" s="292"/>
      <c r="D5312" s="292"/>
      <c r="E5312" s="549"/>
      <c r="F5312" s="549"/>
      <c r="G5312" s="550"/>
      <c r="H5312" s="551"/>
      <c r="I5312" s="552"/>
      <c r="J5312" s="553"/>
      <c r="K5312" s="554"/>
      <c r="M5312" s="301" t="str">
        <f>N5312&amp;AS[[#This Row],[Insurer Code]]&amp;"; "&amp;O5312&amp;AS[[#This Row],[Reporting Year]]&amp;"; "&amp;P5312&amp;AS[[#This Row],[Insurance Category Code]]&amp;"; "&amp;Q5312&amp;AS[[#This Row],[Large Provider Entity Code]]&amp;"; "&amp;R5312&amp;AS[[#This Row],[Age Band Code]]&amp;"; "&amp;S5312&amp;AS[[#This Row],[Sex Code]]</f>
        <v xml:space="preserve">Insurer Code ; Reporting Year ; Insurance Category Code ; Large Provider Entity Code ; Age Band Code ; Sex Code </v>
      </c>
      <c r="N5312" s="297" t="s">
        <v>197</v>
      </c>
      <c r="O5312" s="297" t="s">
        <v>198</v>
      </c>
      <c r="P5312" s="297" t="s">
        <v>199</v>
      </c>
      <c r="Q5312" s="297" t="s">
        <v>200</v>
      </c>
      <c r="R5312" s="297" t="s">
        <v>213</v>
      </c>
      <c r="S5312" s="297" t="s">
        <v>214</v>
      </c>
    </row>
    <row r="5313" spans="1:19" x14ac:dyDescent="0.4">
      <c r="A5313" s="548"/>
      <c r="B5313" s="292"/>
      <c r="C5313" s="292"/>
      <c r="D5313" s="292"/>
      <c r="E5313" s="549"/>
      <c r="F5313" s="549"/>
      <c r="G5313" s="550"/>
      <c r="H5313" s="551"/>
      <c r="I5313" s="552"/>
      <c r="J5313" s="553"/>
      <c r="K5313" s="554"/>
      <c r="M5313" s="301" t="str">
        <f>N5313&amp;AS[[#This Row],[Insurer Code]]&amp;"; "&amp;O5313&amp;AS[[#This Row],[Reporting Year]]&amp;"; "&amp;P5313&amp;AS[[#This Row],[Insurance Category Code]]&amp;"; "&amp;Q5313&amp;AS[[#This Row],[Large Provider Entity Code]]&amp;"; "&amp;R5313&amp;AS[[#This Row],[Age Band Code]]&amp;"; "&amp;S5313&amp;AS[[#This Row],[Sex Code]]</f>
        <v xml:space="preserve">Insurer Code ; Reporting Year ; Insurance Category Code ; Large Provider Entity Code ; Age Band Code ; Sex Code </v>
      </c>
      <c r="N5313" s="297" t="s">
        <v>197</v>
      </c>
      <c r="O5313" s="297" t="s">
        <v>198</v>
      </c>
      <c r="P5313" s="297" t="s">
        <v>199</v>
      </c>
      <c r="Q5313" s="297" t="s">
        <v>200</v>
      </c>
      <c r="R5313" s="297" t="s">
        <v>213</v>
      </c>
      <c r="S5313" s="297" t="s">
        <v>214</v>
      </c>
    </row>
    <row r="5314" spans="1:19" x14ac:dyDescent="0.4">
      <c r="A5314" s="548"/>
      <c r="B5314" s="292"/>
      <c r="C5314" s="292"/>
      <c r="D5314" s="292"/>
      <c r="E5314" s="549"/>
      <c r="F5314" s="549"/>
      <c r="G5314" s="550"/>
      <c r="H5314" s="551"/>
      <c r="I5314" s="552"/>
      <c r="J5314" s="553"/>
      <c r="K5314" s="554"/>
      <c r="M5314" s="301" t="str">
        <f>N5314&amp;AS[[#This Row],[Insurer Code]]&amp;"; "&amp;O5314&amp;AS[[#This Row],[Reporting Year]]&amp;"; "&amp;P5314&amp;AS[[#This Row],[Insurance Category Code]]&amp;"; "&amp;Q5314&amp;AS[[#This Row],[Large Provider Entity Code]]&amp;"; "&amp;R5314&amp;AS[[#This Row],[Age Band Code]]&amp;"; "&amp;S5314&amp;AS[[#This Row],[Sex Code]]</f>
        <v xml:space="preserve">Insurer Code ; Reporting Year ; Insurance Category Code ; Large Provider Entity Code ; Age Band Code ; Sex Code </v>
      </c>
      <c r="N5314" s="297" t="s">
        <v>197</v>
      </c>
      <c r="O5314" s="297" t="s">
        <v>198</v>
      </c>
      <c r="P5314" s="297" t="s">
        <v>199</v>
      </c>
      <c r="Q5314" s="297" t="s">
        <v>200</v>
      </c>
      <c r="R5314" s="297" t="s">
        <v>213</v>
      </c>
      <c r="S5314" s="297" t="s">
        <v>214</v>
      </c>
    </row>
    <row r="5315" spans="1:19" x14ac:dyDescent="0.4">
      <c r="A5315" s="548"/>
      <c r="B5315" s="292"/>
      <c r="C5315" s="292"/>
      <c r="D5315" s="292"/>
      <c r="E5315" s="549"/>
      <c r="F5315" s="549"/>
      <c r="G5315" s="550"/>
      <c r="H5315" s="551"/>
      <c r="I5315" s="552"/>
      <c r="J5315" s="553"/>
      <c r="K5315" s="554"/>
      <c r="M5315" s="301" t="str">
        <f>N5315&amp;AS[[#This Row],[Insurer Code]]&amp;"; "&amp;O5315&amp;AS[[#This Row],[Reporting Year]]&amp;"; "&amp;P5315&amp;AS[[#This Row],[Insurance Category Code]]&amp;"; "&amp;Q5315&amp;AS[[#This Row],[Large Provider Entity Code]]&amp;"; "&amp;R5315&amp;AS[[#This Row],[Age Band Code]]&amp;"; "&amp;S5315&amp;AS[[#This Row],[Sex Code]]</f>
        <v xml:space="preserve">Insurer Code ; Reporting Year ; Insurance Category Code ; Large Provider Entity Code ; Age Band Code ; Sex Code </v>
      </c>
      <c r="N5315" s="297" t="s">
        <v>197</v>
      </c>
      <c r="O5315" s="297" t="s">
        <v>198</v>
      </c>
      <c r="P5315" s="297" t="s">
        <v>199</v>
      </c>
      <c r="Q5315" s="297" t="s">
        <v>200</v>
      </c>
      <c r="R5315" s="297" t="s">
        <v>213</v>
      </c>
      <c r="S5315" s="297" t="s">
        <v>214</v>
      </c>
    </row>
    <row r="5316" spans="1:19" x14ac:dyDescent="0.4">
      <c r="A5316" s="548"/>
      <c r="B5316" s="292"/>
      <c r="C5316" s="292"/>
      <c r="D5316" s="292"/>
      <c r="E5316" s="549"/>
      <c r="F5316" s="549"/>
      <c r="G5316" s="550"/>
      <c r="H5316" s="551"/>
      <c r="I5316" s="552"/>
      <c r="J5316" s="553"/>
      <c r="K5316" s="554"/>
      <c r="M5316" s="301" t="str">
        <f>N5316&amp;AS[[#This Row],[Insurer Code]]&amp;"; "&amp;O5316&amp;AS[[#This Row],[Reporting Year]]&amp;"; "&amp;P5316&amp;AS[[#This Row],[Insurance Category Code]]&amp;"; "&amp;Q5316&amp;AS[[#This Row],[Large Provider Entity Code]]&amp;"; "&amp;R5316&amp;AS[[#This Row],[Age Band Code]]&amp;"; "&amp;S5316&amp;AS[[#This Row],[Sex Code]]</f>
        <v xml:space="preserve">Insurer Code ; Reporting Year ; Insurance Category Code ; Large Provider Entity Code ; Age Band Code ; Sex Code </v>
      </c>
      <c r="N5316" s="297" t="s">
        <v>197</v>
      </c>
      <c r="O5316" s="297" t="s">
        <v>198</v>
      </c>
      <c r="P5316" s="297" t="s">
        <v>199</v>
      </c>
      <c r="Q5316" s="297" t="s">
        <v>200</v>
      </c>
      <c r="R5316" s="297" t="s">
        <v>213</v>
      </c>
      <c r="S5316" s="297" t="s">
        <v>214</v>
      </c>
    </row>
    <row r="5317" spans="1:19" x14ac:dyDescent="0.4">
      <c r="A5317" s="548"/>
      <c r="B5317" s="292"/>
      <c r="C5317" s="292"/>
      <c r="D5317" s="292"/>
      <c r="E5317" s="549"/>
      <c r="F5317" s="549"/>
      <c r="G5317" s="550"/>
      <c r="H5317" s="551"/>
      <c r="I5317" s="552"/>
      <c r="J5317" s="553"/>
      <c r="K5317" s="554"/>
      <c r="M5317" s="301" t="str">
        <f>N5317&amp;AS[[#This Row],[Insurer Code]]&amp;"; "&amp;O5317&amp;AS[[#This Row],[Reporting Year]]&amp;"; "&amp;P5317&amp;AS[[#This Row],[Insurance Category Code]]&amp;"; "&amp;Q5317&amp;AS[[#This Row],[Large Provider Entity Code]]&amp;"; "&amp;R5317&amp;AS[[#This Row],[Age Band Code]]&amp;"; "&amp;S5317&amp;AS[[#This Row],[Sex Code]]</f>
        <v xml:space="preserve">Insurer Code ; Reporting Year ; Insurance Category Code ; Large Provider Entity Code ; Age Band Code ; Sex Code </v>
      </c>
      <c r="N5317" s="297" t="s">
        <v>197</v>
      </c>
      <c r="O5317" s="297" t="s">
        <v>198</v>
      </c>
      <c r="P5317" s="297" t="s">
        <v>199</v>
      </c>
      <c r="Q5317" s="297" t="s">
        <v>200</v>
      </c>
      <c r="R5317" s="297" t="s">
        <v>213</v>
      </c>
      <c r="S5317" s="297" t="s">
        <v>214</v>
      </c>
    </row>
    <row r="5318" spans="1:19" x14ac:dyDescent="0.4">
      <c r="A5318" s="548"/>
      <c r="B5318" s="292"/>
      <c r="C5318" s="292"/>
      <c r="D5318" s="292"/>
      <c r="E5318" s="549"/>
      <c r="F5318" s="549"/>
      <c r="G5318" s="550"/>
      <c r="H5318" s="551"/>
      <c r="I5318" s="552"/>
      <c r="J5318" s="553"/>
      <c r="K5318" s="554"/>
      <c r="M5318" s="301" t="str">
        <f>N5318&amp;AS[[#This Row],[Insurer Code]]&amp;"; "&amp;O5318&amp;AS[[#This Row],[Reporting Year]]&amp;"; "&amp;P5318&amp;AS[[#This Row],[Insurance Category Code]]&amp;"; "&amp;Q5318&amp;AS[[#This Row],[Large Provider Entity Code]]&amp;"; "&amp;R5318&amp;AS[[#This Row],[Age Band Code]]&amp;"; "&amp;S5318&amp;AS[[#This Row],[Sex Code]]</f>
        <v xml:space="preserve">Insurer Code ; Reporting Year ; Insurance Category Code ; Large Provider Entity Code ; Age Band Code ; Sex Code </v>
      </c>
      <c r="N5318" s="297" t="s">
        <v>197</v>
      </c>
      <c r="O5318" s="297" t="s">
        <v>198</v>
      </c>
      <c r="P5318" s="297" t="s">
        <v>199</v>
      </c>
      <c r="Q5318" s="297" t="s">
        <v>200</v>
      </c>
      <c r="R5318" s="297" t="s">
        <v>213</v>
      </c>
      <c r="S5318" s="297" t="s">
        <v>214</v>
      </c>
    </row>
    <row r="5319" spans="1:19" x14ac:dyDescent="0.4">
      <c r="A5319" s="548"/>
      <c r="B5319" s="292"/>
      <c r="C5319" s="292"/>
      <c r="D5319" s="292"/>
      <c r="E5319" s="549"/>
      <c r="F5319" s="549"/>
      <c r="G5319" s="550"/>
      <c r="H5319" s="551"/>
      <c r="I5319" s="552"/>
      <c r="J5319" s="553"/>
      <c r="K5319" s="554"/>
      <c r="M5319" s="301" t="str">
        <f>N5319&amp;AS[[#This Row],[Insurer Code]]&amp;"; "&amp;O5319&amp;AS[[#This Row],[Reporting Year]]&amp;"; "&amp;P5319&amp;AS[[#This Row],[Insurance Category Code]]&amp;"; "&amp;Q5319&amp;AS[[#This Row],[Large Provider Entity Code]]&amp;"; "&amp;R5319&amp;AS[[#This Row],[Age Band Code]]&amp;"; "&amp;S5319&amp;AS[[#This Row],[Sex Code]]</f>
        <v xml:space="preserve">Insurer Code ; Reporting Year ; Insurance Category Code ; Large Provider Entity Code ; Age Band Code ; Sex Code </v>
      </c>
      <c r="N5319" s="297" t="s">
        <v>197</v>
      </c>
      <c r="O5319" s="297" t="s">
        <v>198</v>
      </c>
      <c r="P5319" s="297" t="s">
        <v>199</v>
      </c>
      <c r="Q5319" s="297" t="s">
        <v>200</v>
      </c>
      <c r="R5319" s="297" t="s">
        <v>213</v>
      </c>
      <c r="S5319" s="297" t="s">
        <v>214</v>
      </c>
    </row>
    <row r="5320" spans="1:19" x14ac:dyDescent="0.4">
      <c r="A5320" s="548"/>
      <c r="B5320" s="292"/>
      <c r="C5320" s="292"/>
      <c r="D5320" s="292"/>
      <c r="E5320" s="549"/>
      <c r="F5320" s="549"/>
      <c r="G5320" s="550"/>
      <c r="H5320" s="551"/>
      <c r="I5320" s="552"/>
      <c r="J5320" s="553"/>
      <c r="K5320" s="554"/>
      <c r="M5320" s="301" t="str">
        <f>N5320&amp;AS[[#This Row],[Insurer Code]]&amp;"; "&amp;O5320&amp;AS[[#This Row],[Reporting Year]]&amp;"; "&amp;P5320&amp;AS[[#This Row],[Insurance Category Code]]&amp;"; "&amp;Q5320&amp;AS[[#This Row],[Large Provider Entity Code]]&amp;"; "&amp;R5320&amp;AS[[#This Row],[Age Band Code]]&amp;"; "&amp;S5320&amp;AS[[#This Row],[Sex Code]]</f>
        <v xml:space="preserve">Insurer Code ; Reporting Year ; Insurance Category Code ; Large Provider Entity Code ; Age Band Code ; Sex Code </v>
      </c>
      <c r="N5320" s="297" t="s">
        <v>197</v>
      </c>
      <c r="O5320" s="297" t="s">
        <v>198</v>
      </c>
      <c r="P5320" s="297" t="s">
        <v>199</v>
      </c>
      <c r="Q5320" s="297" t="s">
        <v>200</v>
      </c>
      <c r="R5320" s="297" t="s">
        <v>213</v>
      </c>
      <c r="S5320" s="297" t="s">
        <v>214</v>
      </c>
    </row>
    <row r="5321" spans="1:19" x14ac:dyDescent="0.4">
      <c r="A5321" s="548"/>
      <c r="B5321" s="292"/>
      <c r="C5321" s="292"/>
      <c r="D5321" s="292"/>
      <c r="E5321" s="549"/>
      <c r="F5321" s="549"/>
      <c r="G5321" s="550"/>
      <c r="H5321" s="551"/>
      <c r="I5321" s="552"/>
      <c r="J5321" s="553"/>
      <c r="K5321" s="554"/>
      <c r="M5321" s="301" t="str">
        <f>N5321&amp;AS[[#This Row],[Insurer Code]]&amp;"; "&amp;O5321&amp;AS[[#This Row],[Reporting Year]]&amp;"; "&amp;P5321&amp;AS[[#This Row],[Insurance Category Code]]&amp;"; "&amp;Q5321&amp;AS[[#This Row],[Large Provider Entity Code]]&amp;"; "&amp;R5321&amp;AS[[#This Row],[Age Band Code]]&amp;"; "&amp;S5321&amp;AS[[#This Row],[Sex Code]]</f>
        <v xml:space="preserve">Insurer Code ; Reporting Year ; Insurance Category Code ; Large Provider Entity Code ; Age Band Code ; Sex Code </v>
      </c>
      <c r="N5321" s="297" t="s">
        <v>197</v>
      </c>
      <c r="O5321" s="297" t="s">
        <v>198</v>
      </c>
      <c r="P5321" s="297" t="s">
        <v>199</v>
      </c>
      <c r="Q5321" s="297" t="s">
        <v>200</v>
      </c>
      <c r="R5321" s="297" t="s">
        <v>213</v>
      </c>
      <c r="S5321" s="297" t="s">
        <v>214</v>
      </c>
    </row>
    <row r="5322" spans="1:19" x14ac:dyDescent="0.4">
      <c r="A5322" s="548"/>
      <c r="B5322" s="292"/>
      <c r="C5322" s="292"/>
      <c r="D5322" s="292"/>
      <c r="E5322" s="549"/>
      <c r="F5322" s="549"/>
      <c r="G5322" s="550"/>
      <c r="H5322" s="551"/>
      <c r="I5322" s="552"/>
      <c r="J5322" s="553"/>
      <c r="K5322" s="554"/>
      <c r="M5322" s="301" t="str">
        <f>N5322&amp;AS[[#This Row],[Insurer Code]]&amp;"; "&amp;O5322&amp;AS[[#This Row],[Reporting Year]]&amp;"; "&amp;P5322&amp;AS[[#This Row],[Insurance Category Code]]&amp;"; "&amp;Q5322&amp;AS[[#This Row],[Large Provider Entity Code]]&amp;"; "&amp;R5322&amp;AS[[#This Row],[Age Band Code]]&amp;"; "&amp;S5322&amp;AS[[#This Row],[Sex Code]]</f>
        <v xml:space="preserve">Insurer Code ; Reporting Year ; Insurance Category Code ; Large Provider Entity Code ; Age Band Code ; Sex Code </v>
      </c>
      <c r="N5322" s="297" t="s">
        <v>197</v>
      </c>
      <c r="O5322" s="297" t="s">
        <v>198</v>
      </c>
      <c r="P5322" s="297" t="s">
        <v>199</v>
      </c>
      <c r="Q5322" s="297" t="s">
        <v>200</v>
      </c>
      <c r="R5322" s="297" t="s">
        <v>213</v>
      </c>
      <c r="S5322" s="297" t="s">
        <v>214</v>
      </c>
    </row>
    <row r="5323" spans="1:19" x14ac:dyDescent="0.4">
      <c r="A5323" s="548"/>
      <c r="B5323" s="292"/>
      <c r="C5323" s="292"/>
      <c r="D5323" s="292"/>
      <c r="E5323" s="549"/>
      <c r="F5323" s="549"/>
      <c r="G5323" s="550"/>
      <c r="H5323" s="551"/>
      <c r="I5323" s="552"/>
      <c r="J5323" s="553"/>
      <c r="K5323" s="554"/>
      <c r="M5323" s="301" t="str">
        <f>N5323&amp;AS[[#This Row],[Insurer Code]]&amp;"; "&amp;O5323&amp;AS[[#This Row],[Reporting Year]]&amp;"; "&amp;P5323&amp;AS[[#This Row],[Insurance Category Code]]&amp;"; "&amp;Q5323&amp;AS[[#This Row],[Large Provider Entity Code]]&amp;"; "&amp;R5323&amp;AS[[#This Row],[Age Band Code]]&amp;"; "&amp;S5323&amp;AS[[#This Row],[Sex Code]]</f>
        <v xml:space="preserve">Insurer Code ; Reporting Year ; Insurance Category Code ; Large Provider Entity Code ; Age Band Code ; Sex Code </v>
      </c>
      <c r="N5323" s="297" t="s">
        <v>197</v>
      </c>
      <c r="O5323" s="297" t="s">
        <v>198</v>
      </c>
      <c r="P5323" s="297" t="s">
        <v>199</v>
      </c>
      <c r="Q5323" s="297" t="s">
        <v>200</v>
      </c>
      <c r="R5323" s="297" t="s">
        <v>213</v>
      </c>
      <c r="S5323" s="297" t="s">
        <v>214</v>
      </c>
    </row>
    <row r="5324" spans="1:19" x14ac:dyDescent="0.4">
      <c r="A5324" s="548"/>
      <c r="B5324" s="292"/>
      <c r="C5324" s="292"/>
      <c r="D5324" s="292"/>
      <c r="E5324" s="549"/>
      <c r="F5324" s="549"/>
      <c r="G5324" s="550"/>
      <c r="H5324" s="551"/>
      <c r="I5324" s="552"/>
      <c r="J5324" s="553"/>
      <c r="K5324" s="554"/>
      <c r="M5324" s="301" t="str">
        <f>N5324&amp;AS[[#This Row],[Insurer Code]]&amp;"; "&amp;O5324&amp;AS[[#This Row],[Reporting Year]]&amp;"; "&amp;P5324&amp;AS[[#This Row],[Insurance Category Code]]&amp;"; "&amp;Q5324&amp;AS[[#This Row],[Large Provider Entity Code]]&amp;"; "&amp;R5324&amp;AS[[#This Row],[Age Band Code]]&amp;"; "&amp;S5324&amp;AS[[#This Row],[Sex Code]]</f>
        <v xml:space="preserve">Insurer Code ; Reporting Year ; Insurance Category Code ; Large Provider Entity Code ; Age Band Code ; Sex Code </v>
      </c>
      <c r="N5324" s="297" t="s">
        <v>197</v>
      </c>
      <c r="O5324" s="297" t="s">
        <v>198</v>
      </c>
      <c r="P5324" s="297" t="s">
        <v>199</v>
      </c>
      <c r="Q5324" s="297" t="s">
        <v>200</v>
      </c>
      <c r="R5324" s="297" t="s">
        <v>213</v>
      </c>
      <c r="S5324" s="297" t="s">
        <v>214</v>
      </c>
    </row>
    <row r="5325" spans="1:19" x14ac:dyDescent="0.4">
      <c r="A5325" s="548"/>
      <c r="B5325" s="292"/>
      <c r="C5325" s="292"/>
      <c r="D5325" s="292"/>
      <c r="E5325" s="549"/>
      <c r="F5325" s="549"/>
      <c r="G5325" s="550"/>
      <c r="H5325" s="551"/>
      <c r="I5325" s="552"/>
      <c r="J5325" s="553"/>
      <c r="K5325" s="554"/>
      <c r="M5325" s="301" t="str">
        <f>N5325&amp;AS[[#This Row],[Insurer Code]]&amp;"; "&amp;O5325&amp;AS[[#This Row],[Reporting Year]]&amp;"; "&amp;P5325&amp;AS[[#This Row],[Insurance Category Code]]&amp;"; "&amp;Q5325&amp;AS[[#This Row],[Large Provider Entity Code]]&amp;"; "&amp;R5325&amp;AS[[#This Row],[Age Band Code]]&amp;"; "&amp;S5325&amp;AS[[#This Row],[Sex Code]]</f>
        <v xml:space="preserve">Insurer Code ; Reporting Year ; Insurance Category Code ; Large Provider Entity Code ; Age Band Code ; Sex Code </v>
      </c>
      <c r="N5325" s="297" t="s">
        <v>197</v>
      </c>
      <c r="O5325" s="297" t="s">
        <v>198</v>
      </c>
      <c r="P5325" s="297" t="s">
        <v>199</v>
      </c>
      <c r="Q5325" s="297" t="s">
        <v>200</v>
      </c>
      <c r="R5325" s="297" t="s">
        <v>213</v>
      </c>
      <c r="S5325" s="297" t="s">
        <v>214</v>
      </c>
    </row>
    <row r="5326" spans="1:19" x14ac:dyDescent="0.4">
      <c r="A5326" s="548"/>
      <c r="B5326" s="292"/>
      <c r="C5326" s="292"/>
      <c r="D5326" s="292"/>
      <c r="E5326" s="549"/>
      <c r="F5326" s="549"/>
      <c r="G5326" s="550"/>
      <c r="H5326" s="551"/>
      <c r="I5326" s="552"/>
      <c r="J5326" s="553"/>
      <c r="K5326" s="554"/>
      <c r="M5326" s="301" t="str">
        <f>N5326&amp;AS[[#This Row],[Insurer Code]]&amp;"; "&amp;O5326&amp;AS[[#This Row],[Reporting Year]]&amp;"; "&amp;P5326&amp;AS[[#This Row],[Insurance Category Code]]&amp;"; "&amp;Q5326&amp;AS[[#This Row],[Large Provider Entity Code]]&amp;"; "&amp;R5326&amp;AS[[#This Row],[Age Band Code]]&amp;"; "&amp;S5326&amp;AS[[#This Row],[Sex Code]]</f>
        <v xml:space="preserve">Insurer Code ; Reporting Year ; Insurance Category Code ; Large Provider Entity Code ; Age Band Code ; Sex Code </v>
      </c>
      <c r="N5326" s="297" t="s">
        <v>197</v>
      </c>
      <c r="O5326" s="297" t="s">
        <v>198</v>
      </c>
      <c r="P5326" s="297" t="s">
        <v>199</v>
      </c>
      <c r="Q5326" s="297" t="s">
        <v>200</v>
      </c>
      <c r="R5326" s="297" t="s">
        <v>213</v>
      </c>
      <c r="S5326" s="297" t="s">
        <v>214</v>
      </c>
    </row>
    <row r="5327" spans="1:19" x14ac:dyDescent="0.4">
      <c r="A5327" s="548"/>
      <c r="B5327" s="292"/>
      <c r="C5327" s="292"/>
      <c r="D5327" s="292"/>
      <c r="E5327" s="549"/>
      <c r="F5327" s="549"/>
      <c r="G5327" s="550"/>
      <c r="H5327" s="551"/>
      <c r="I5327" s="552"/>
      <c r="J5327" s="553"/>
      <c r="K5327" s="554"/>
      <c r="M5327" s="301" t="str">
        <f>N5327&amp;AS[[#This Row],[Insurer Code]]&amp;"; "&amp;O5327&amp;AS[[#This Row],[Reporting Year]]&amp;"; "&amp;P5327&amp;AS[[#This Row],[Insurance Category Code]]&amp;"; "&amp;Q5327&amp;AS[[#This Row],[Large Provider Entity Code]]&amp;"; "&amp;R5327&amp;AS[[#This Row],[Age Band Code]]&amp;"; "&amp;S5327&amp;AS[[#This Row],[Sex Code]]</f>
        <v xml:space="preserve">Insurer Code ; Reporting Year ; Insurance Category Code ; Large Provider Entity Code ; Age Band Code ; Sex Code </v>
      </c>
      <c r="N5327" s="297" t="s">
        <v>197</v>
      </c>
      <c r="O5327" s="297" t="s">
        <v>198</v>
      </c>
      <c r="P5327" s="297" t="s">
        <v>199</v>
      </c>
      <c r="Q5327" s="297" t="s">
        <v>200</v>
      </c>
      <c r="R5327" s="297" t="s">
        <v>213</v>
      </c>
      <c r="S5327" s="297" t="s">
        <v>214</v>
      </c>
    </row>
    <row r="5328" spans="1:19" x14ac:dyDescent="0.4">
      <c r="A5328" s="548"/>
      <c r="B5328" s="292"/>
      <c r="C5328" s="292"/>
      <c r="D5328" s="292"/>
      <c r="E5328" s="549"/>
      <c r="F5328" s="549"/>
      <c r="G5328" s="550"/>
      <c r="H5328" s="551"/>
      <c r="I5328" s="552"/>
      <c r="J5328" s="553"/>
      <c r="K5328" s="554"/>
      <c r="M5328" s="301" t="str">
        <f>N5328&amp;AS[[#This Row],[Insurer Code]]&amp;"; "&amp;O5328&amp;AS[[#This Row],[Reporting Year]]&amp;"; "&amp;P5328&amp;AS[[#This Row],[Insurance Category Code]]&amp;"; "&amp;Q5328&amp;AS[[#This Row],[Large Provider Entity Code]]&amp;"; "&amp;R5328&amp;AS[[#This Row],[Age Band Code]]&amp;"; "&amp;S5328&amp;AS[[#This Row],[Sex Code]]</f>
        <v xml:space="preserve">Insurer Code ; Reporting Year ; Insurance Category Code ; Large Provider Entity Code ; Age Band Code ; Sex Code </v>
      </c>
      <c r="N5328" s="297" t="s">
        <v>197</v>
      </c>
      <c r="O5328" s="297" t="s">
        <v>198</v>
      </c>
      <c r="P5328" s="297" t="s">
        <v>199</v>
      </c>
      <c r="Q5328" s="297" t="s">
        <v>200</v>
      </c>
      <c r="R5328" s="297" t="s">
        <v>213</v>
      </c>
      <c r="S5328" s="297" t="s">
        <v>214</v>
      </c>
    </row>
    <row r="5329" spans="1:19" x14ac:dyDescent="0.4">
      <c r="A5329" s="548"/>
      <c r="B5329" s="292"/>
      <c r="C5329" s="292"/>
      <c r="D5329" s="292"/>
      <c r="E5329" s="549"/>
      <c r="F5329" s="549"/>
      <c r="G5329" s="550"/>
      <c r="H5329" s="551"/>
      <c r="I5329" s="552"/>
      <c r="J5329" s="553"/>
      <c r="K5329" s="554"/>
      <c r="M5329" s="301" t="str">
        <f>N5329&amp;AS[[#This Row],[Insurer Code]]&amp;"; "&amp;O5329&amp;AS[[#This Row],[Reporting Year]]&amp;"; "&amp;P5329&amp;AS[[#This Row],[Insurance Category Code]]&amp;"; "&amp;Q5329&amp;AS[[#This Row],[Large Provider Entity Code]]&amp;"; "&amp;R5329&amp;AS[[#This Row],[Age Band Code]]&amp;"; "&amp;S5329&amp;AS[[#This Row],[Sex Code]]</f>
        <v xml:space="preserve">Insurer Code ; Reporting Year ; Insurance Category Code ; Large Provider Entity Code ; Age Band Code ; Sex Code </v>
      </c>
      <c r="N5329" s="297" t="s">
        <v>197</v>
      </c>
      <c r="O5329" s="297" t="s">
        <v>198</v>
      </c>
      <c r="P5329" s="297" t="s">
        <v>199</v>
      </c>
      <c r="Q5329" s="297" t="s">
        <v>200</v>
      </c>
      <c r="R5329" s="297" t="s">
        <v>213</v>
      </c>
      <c r="S5329" s="297" t="s">
        <v>214</v>
      </c>
    </row>
    <row r="5330" spans="1:19" x14ac:dyDescent="0.4">
      <c r="A5330" s="548"/>
      <c r="B5330" s="292"/>
      <c r="C5330" s="292"/>
      <c r="D5330" s="292"/>
      <c r="E5330" s="549"/>
      <c r="F5330" s="549"/>
      <c r="G5330" s="550"/>
      <c r="H5330" s="551"/>
      <c r="I5330" s="552"/>
      <c r="J5330" s="553"/>
      <c r="K5330" s="554"/>
      <c r="M5330" s="301" t="str">
        <f>N5330&amp;AS[[#This Row],[Insurer Code]]&amp;"; "&amp;O5330&amp;AS[[#This Row],[Reporting Year]]&amp;"; "&amp;P5330&amp;AS[[#This Row],[Insurance Category Code]]&amp;"; "&amp;Q5330&amp;AS[[#This Row],[Large Provider Entity Code]]&amp;"; "&amp;R5330&amp;AS[[#This Row],[Age Band Code]]&amp;"; "&amp;S5330&amp;AS[[#This Row],[Sex Code]]</f>
        <v xml:space="preserve">Insurer Code ; Reporting Year ; Insurance Category Code ; Large Provider Entity Code ; Age Band Code ; Sex Code </v>
      </c>
      <c r="N5330" s="297" t="s">
        <v>197</v>
      </c>
      <c r="O5330" s="297" t="s">
        <v>198</v>
      </c>
      <c r="P5330" s="297" t="s">
        <v>199</v>
      </c>
      <c r="Q5330" s="297" t="s">
        <v>200</v>
      </c>
      <c r="R5330" s="297" t="s">
        <v>213</v>
      </c>
      <c r="S5330" s="297" t="s">
        <v>214</v>
      </c>
    </row>
    <row r="5331" spans="1:19" x14ac:dyDescent="0.4">
      <c r="A5331" s="548"/>
      <c r="B5331" s="292"/>
      <c r="C5331" s="292"/>
      <c r="D5331" s="292"/>
      <c r="E5331" s="549"/>
      <c r="F5331" s="549"/>
      <c r="G5331" s="550"/>
      <c r="H5331" s="551"/>
      <c r="I5331" s="552"/>
      <c r="J5331" s="553"/>
      <c r="K5331" s="554"/>
      <c r="M5331" s="301" t="str">
        <f>N5331&amp;AS[[#This Row],[Insurer Code]]&amp;"; "&amp;O5331&amp;AS[[#This Row],[Reporting Year]]&amp;"; "&amp;P5331&amp;AS[[#This Row],[Insurance Category Code]]&amp;"; "&amp;Q5331&amp;AS[[#This Row],[Large Provider Entity Code]]&amp;"; "&amp;R5331&amp;AS[[#This Row],[Age Band Code]]&amp;"; "&amp;S5331&amp;AS[[#This Row],[Sex Code]]</f>
        <v xml:space="preserve">Insurer Code ; Reporting Year ; Insurance Category Code ; Large Provider Entity Code ; Age Band Code ; Sex Code </v>
      </c>
      <c r="N5331" s="297" t="s">
        <v>197</v>
      </c>
      <c r="O5331" s="297" t="s">
        <v>198</v>
      </c>
      <c r="P5331" s="297" t="s">
        <v>199</v>
      </c>
      <c r="Q5331" s="297" t="s">
        <v>200</v>
      </c>
      <c r="R5331" s="297" t="s">
        <v>213</v>
      </c>
      <c r="S5331" s="297" t="s">
        <v>214</v>
      </c>
    </row>
    <row r="5332" spans="1:19" x14ac:dyDescent="0.4">
      <c r="A5332" s="548"/>
      <c r="B5332" s="292"/>
      <c r="C5332" s="292"/>
      <c r="D5332" s="292"/>
      <c r="E5332" s="549"/>
      <c r="F5332" s="549"/>
      <c r="G5332" s="550"/>
      <c r="H5332" s="551"/>
      <c r="I5332" s="552"/>
      <c r="J5332" s="553"/>
      <c r="K5332" s="554"/>
      <c r="M5332" s="301" t="str">
        <f>N5332&amp;AS[[#This Row],[Insurer Code]]&amp;"; "&amp;O5332&amp;AS[[#This Row],[Reporting Year]]&amp;"; "&amp;P5332&amp;AS[[#This Row],[Insurance Category Code]]&amp;"; "&amp;Q5332&amp;AS[[#This Row],[Large Provider Entity Code]]&amp;"; "&amp;R5332&amp;AS[[#This Row],[Age Band Code]]&amp;"; "&amp;S5332&amp;AS[[#This Row],[Sex Code]]</f>
        <v xml:space="preserve">Insurer Code ; Reporting Year ; Insurance Category Code ; Large Provider Entity Code ; Age Band Code ; Sex Code </v>
      </c>
      <c r="N5332" s="297" t="s">
        <v>197</v>
      </c>
      <c r="O5332" s="297" t="s">
        <v>198</v>
      </c>
      <c r="P5332" s="297" t="s">
        <v>199</v>
      </c>
      <c r="Q5332" s="297" t="s">
        <v>200</v>
      </c>
      <c r="R5332" s="297" t="s">
        <v>213</v>
      </c>
      <c r="S5332" s="297" t="s">
        <v>214</v>
      </c>
    </row>
    <row r="5333" spans="1:19" x14ac:dyDescent="0.4">
      <c r="A5333" s="548"/>
      <c r="B5333" s="292"/>
      <c r="C5333" s="292"/>
      <c r="D5333" s="292"/>
      <c r="E5333" s="549"/>
      <c r="F5333" s="549"/>
      <c r="G5333" s="550"/>
      <c r="H5333" s="551"/>
      <c r="I5333" s="552"/>
      <c r="J5333" s="553"/>
      <c r="K5333" s="554"/>
      <c r="M5333" s="301" t="str">
        <f>N5333&amp;AS[[#This Row],[Insurer Code]]&amp;"; "&amp;O5333&amp;AS[[#This Row],[Reporting Year]]&amp;"; "&amp;P5333&amp;AS[[#This Row],[Insurance Category Code]]&amp;"; "&amp;Q5333&amp;AS[[#This Row],[Large Provider Entity Code]]&amp;"; "&amp;R5333&amp;AS[[#This Row],[Age Band Code]]&amp;"; "&amp;S5333&amp;AS[[#This Row],[Sex Code]]</f>
        <v xml:space="preserve">Insurer Code ; Reporting Year ; Insurance Category Code ; Large Provider Entity Code ; Age Band Code ; Sex Code </v>
      </c>
      <c r="N5333" s="297" t="s">
        <v>197</v>
      </c>
      <c r="O5333" s="297" t="s">
        <v>198</v>
      </c>
      <c r="P5333" s="297" t="s">
        <v>199</v>
      </c>
      <c r="Q5333" s="297" t="s">
        <v>200</v>
      </c>
      <c r="R5333" s="297" t="s">
        <v>213</v>
      </c>
      <c r="S5333" s="297" t="s">
        <v>214</v>
      </c>
    </row>
    <row r="5334" spans="1:19" x14ac:dyDescent="0.4">
      <c r="A5334" s="548"/>
      <c r="B5334" s="292"/>
      <c r="C5334" s="292"/>
      <c r="D5334" s="292"/>
      <c r="E5334" s="549"/>
      <c r="F5334" s="549"/>
      <c r="G5334" s="550"/>
      <c r="H5334" s="551"/>
      <c r="I5334" s="552"/>
      <c r="J5334" s="553"/>
      <c r="K5334" s="554"/>
      <c r="M5334" s="301" t="str">
        <f>N5334&amp;AS[[#This Row],[Insurer Code]]&amp;"; "&amp;O5334&amp;AS[[#This Row],[Reporting Year]]&amp;"; "&amp;P5334&amp;AS[[#This Row],[Insurance Category Code]]&amp;"; "&amp;Q5334&amp;AS[[#This Row],[Large Provider Entity Code]]&amp;"; "&amp;R5334&amp;AS[[#This Row],[Age Band Code]]&amp;"; "&amp;S5334&amp;AS[[#This Row],[Sex Code]]</f>
        <v xml:space="preserve">Insurer Code ; Reporting Year ; Insurance Category Code ; Large Provider Entity Code ; Age Band Code ; Sex Code </v>
      </c>
      <c r="N5334" s="297" t="s">
        <v>197</v>
      </c>
      <c r="O5334" s="297" t="s">
        <v>198</v>
      </c>
      <c r="P5334" s="297" t="s">
        <v>199</v>
      </c>
      <c r="Q5334" s="297" t="s">
        <v>200</v>
      </c>
      <c r="R5334" s="297" t="s">
        <v>213</v>
      </c>
      <c r="S5334" s="297" t="s">
        <v>214</v>
      </c>
    </row>
    <row r="5335" spans="1:19" x14ac:dyDescent="0.4">
      <c r="A5335" s="548"/>
      <c r="B5335" s="292"/>
      <c r="C5335" s="292"/>
      <c r="D5335" s="292"/>
      <c r="E5335" s="549"/>
      <c r="F5335" s="549"/>
      <c r="G5335" s="550"/>
      <c r="H5335" s="551"/>
      <c r="I5335" s="552"/>
      <c r="J5335" s="553"/>
      <c r="K5335" s="554"/>
      <c r="M5335" s="301" t="str">
        <f>N5335&amp;AS[[#This Row],[Insurer Code]]&amp;"; "&amp;O5335&amp;AS[[#This Row],[Reporting Year]]&amp;"; "&amp;P5335&amp;AS[[#This Row],[Insurance Category Code]]&amp;"; "&amp;Q5335&amp;AS[[#This Row],[Large Provider Entity Code]]&amp;"; "&amp;R5335&amp;AS[[#This Row],[Age Band Code]]&amp;"; "&amp;S5335&amp;AS[[#This Row],[Sex Code]]</f>
        <v xml:space="preserve">Insurer Code ; Reporting Year ; Insurance Category Code ; Large Provider Entity Code ; Age Band Code ; Sex Code </v>
      </c>
      <c r="N5335" s="297" t="s">
        <v>197</v>
      </c>
      <c r="O5335" s="297" t="s">
        <v>198</v>
      </c>
      <c r="P5335" s="297" t="s">
        <v>199</v>
      </c>
      <c r="Q5335" s="297" t="s">
        <v>200</v>
      </c>
      <c r="R5335" s="297" t="s">
        <v>213</v>
      </c>
      <c r="S5335" s="297" t="s">
        <v>214</v>
      </c>
    </row>
    <row r="5336" spans="1:19" x14ac:dyDescent="0.4">
      <c r="A5336" s="548"/>
      <c r="B5336" s="292"/>
      <c r="C5336" s="292"/>
      <c r="D5336" s="292"/>
      <c r="E5336" s="549"/>
      <c r="F5336" s="549"/>
      <c r="G5336" s="550"/>
      <c r="H5336" s="551"/>
      <c r="I5336" s="552"/>
      <c r="J5336" s="553"/>
      <c r="K5336" s="554"/>
      <c r="M5336" s="301" t="str">
        <f>N5336&amp;AS[[#This Row],[Insurer Code]]&amp;"; "&amp;O5336&amp;AS[[#This Row],[Reporting Year]]&amp;"; "&amp;P5336&amp;AS[[#This Row],[Insurance Category Code]]&amp;"; "&amp;Q5336&amp;AS[[#This Row],[Large Provider Entity Code]]&amp;"; "&amp;R5336&amp;AS[[#This Row],[Age Band Code]]&amp;"; "&amp;S5336&amp;AS[[#This Row],[Sex Code]]</f>
        <v xml:space="preserve">Insurer Code ; Reporting Year ; Insurance Category Code ; Large Provider Entity Code ; Age Band Code ; Sex Code </v>
      </c>
      <c r="N5336" s="297" t="s">
        <v>197</v>
      </c>
      <c r="O5336" s="297" t="s">
        <v>198</v>
      </c>
      <c r="P5336" s="297" t="s">
        <v>199</v>
      </c>
      <c r="Q5336" s="297" t="s">
        <v>200</v>
      </c>
      <c r="R5336" s="297" t="s">
        <v>213</v>
      </c>
      <c r="S5336" s="297" t="s">
        <v>214</v>
      </c>
    </row>
    <row r="5337" spans="1:19" x14ac:dyDescent="0.4">
      <c r="A5337" s="548"/>
      <c r="B5337" s="292"/>
      <c r="C5337" s="292"/>
      <c r="D5337" s="292"/>
      <c r="E5337" s="549"/>
      <c r="F5337" s="549"/>
      <c r="G5337" s="550"/>
      <c r="H5337" s="551"/>
      <c r="I5337" s="552"/>
      <c r="J5337" s="553"/>
      <c r="K5337" s="554"/>
      <c r="M5337" s="301" t="str">
        <f>N5337&amp;AS[[#This Row],[Insurer Code]]&amp;"; "&amp;O5337&amp;AS[[#This Row],[Reporting Year]]&amp;"; "&amp;P5337&amp;AS[[#This Row],[Insurance Category Code]]&amp;"; "&amp;Q5337&amp;AS[[#This Row],[Large Provider Entity Code]]&amp;"; "&amp;R5337&amp;AS[[#This Row],[Age Band Code]]&amp;"; "&amp;S5337&amp;AS[[#This Row],[Sex Code]]</f>
        <v xml:space="preserve">Insurer Code ; Reporting Year ; Insurance Category Code ; Large Provider Entity Code ; Age Band Code ; Sex Code </v>
      </c>
      <c r="N5337" s="297" t="s">
        <v>197</v>
      </c>
      <c r="O5337" s="297" t="s">
        <v>198</v>
      </c>
      <c r="P5337" s="297" t="s">
        <v>199</v>
      </c>
      <c r="Q5337" s="297" t="s">
        <v>200</v>
      </c>
      <c r="R5337" s="297" t="s">
        <v>213</v>
      </c>
      <c r="S5337" s="297" t="s">
        <v>214</v>
      </c>
    </row>
    <row r="5338" spans="1:19" x14ac:dyDescent="0.4">
      <c r="A5338" s="548"/>
      <c r="B5338" s="292"/>
      <c r="C5338" s="292"/>
      <c r="D5338" s="292"/>
      <c r="E5338" s="549"/>
      <c r="F5338" s="549"/>
      <c r="G5338" s="550"/>
      <c r="H5338" s="551"/>
      <c r="I5338" s="552"/>
      <c r="J5338" s="553"/>
      <c r="K5338" s="554"/>
      <c r="M5338" s="301" t="str">
        <f>N5338&amp;AS[[#This Row],[Insurer Code]]&amp;"; "&amp;O5338&amp;AS[[#This Row],[Reporting Year]]&amp;"; "&amp;P5338&amp;AS[[#This Row],[Insurance Category Code]]&amp;"; "&amp;Q5338&amp;AS[[#This Row],[Large Provider Entity Code]]&amp;"; "&amp;R5338&amp;AS[[#This Row],[Age Band Code]]&amp;"; "&amp;S5338&amp;AS[[#This Row],[Sex Code]]</f>
        <v xml:space="preserve">Insurer Code ; Reporting Year ; Insurance Category Code ; Large Provider Entity Code ; Age Band Code ; Sex Code </v>
      </c>
      <c r="N5338" s="297" t="s">
        <v>197</v>
      </c>
      <c r="O5338" s="297" t="s">
        <v>198</v>
      </c>
      <c r="P5338" s="297" t="s">
        <v>199</v>
      </c>
      <c r="Q5338" s="297" t="s">
        <v>200</v>
      </c>
      <c r="R5338" s="297" t="s">
        <v>213</v>
      </c>
      <c r="S5338" s="297" t="s">
        <v>214</v>
      </c>
    </row>
    <row r="5339" spans="1:19" x14ac:dyDescent="0.4">
      <c r="A5339" s="548"/>
      <c r="B5339" s="292"/>
      <c r="C5339" s="292"/>
      <c r="D5339" s="292"/>
      <c r="E5339" s="549"/>
      <c r="F5339" s="549"/>
      <c r="G5339" s="550"/>
      <c r="H5339" s="551"/>
      <c r="I5339" s="552"/>
      <c r="J5339" s="553"/>
      <c r="K5339" s="554"/>
      <c r="M5339" s="301" t="str">
        <f>N5339&amp;AS[[#This Row],[Insurer Code]]&amp;"; "&amp;O5339&amp;AS[[#This Row],[Reporting Year]]&amp;"; "&amp;P5339&amp;AS[[#This Row],[Insurance Category Code]]&amp;"; "&amp;Q5339&amp;AS[[#This Row],[Large Provider Entity Code]]&amp;"; "&amp;R5339&amp;AS[[#This Row],[Age Band Code]]&amp;"; "&amp;S5339&amp;AS[[#This Row],[Sex Code]]</f>
        <v xml:space="preserve">Insurer Code ; Reporting Year ; Insurance Category Code ; Large Provider Entity Code ; Age Band Code ; Sex Code </v>
      </c>
      <c r="N5339" s="297" t="s">
        <v>197</v>
      </c>
      <c r="O5339" s="297" t="s">
        <v>198</v>
      </c>
      <c r="P5339" s="297" t="s">
        <v>199</v>
      </c>
      <c r="Q5339" s="297" t="s">
        <v>200</v>
      </c>
      <c r="R5339" s="297" t="s">
        <v>213</v>
      </c>
      <c r="S5339" s="297" t="s">
        <v>214</v>
      </c>
    </row>
    <row r="5340" spans="1:19" x14ac:dyDescent="0.4">
      <c r="A5340" s="548"/>
      <c r="B5340" s="292"/>
      <c r="C5340" s="292"/>
      <c r="D5340" s="292"/>
      <c r="E5340" s="549"/>
      <c r="F5340" s="549"/>
      <c r="G5340" s="550"/>
      <c r="H5340" s="551"/>
      <c r="I5340" s="552"/>
      <c r="J5340" s="553"/>
      <c r="K5340" s="554"/>
      <c r="M5340" s="301" t="str">
        <f>N5340&amp;AS[[#This Row],[Insurer Code]]&amp;"; "&amp;O5340&amp;AS[[#This Row],[Reporting Year]]&amp;"; "&amp;P5340&amp;AS[[#This Row],[Insurance Category Code]]&amp;"; "&amp;Q5340&amp;AS[[#This Row],[Large Provider Entity Code]]&amp;"; "&amp;R5340&amp;AS[[#This Row],[Age Band Code]]&amp;"; "&amp;S5340&amp;AS[[#This Row],[Sex Code]]</f>
        <v xml:space="preserve">Insurer Code ; Reporting Year ; Insurance Category Code ; Large Provider Entity Code ; Age Band Code ; Sex Code </v>
      </c>
      <c r="N5340" s="297" t="s">
        <v>197</v>
      </c>
      <c r="O5340" s="297" t="s">
        <v>198</v>
      </c>
      <c r="P5340" s="297" t="s">
        <v>199</v>
      </c>
      <c r="Q5340" s="297" t="s">
        <v>200</v>
      </c>
      <c r="R5340" s="297" t="s">
        <v>213</v>
      </c>
      <c r="S5340" s="297" t="s">
        <v>214</v>
      </c>
    </row>
    <row r="5341" spans="1:19" x14ac:dyDescent="0.4">
      <c r="A5341" s="548"/>
      <c r="B5341" s="292"/>
      <c r="C5341" s="292"/>
      <c r="D5341" s="292"/>
      <c r="E5341" s="549"/>
      <c r="F5341" s="549"/>
      <c r="G5341" s="550"/>
      <c r="H5341" s="551"/>
      <c r="I5341" s="552"/>
      <c r="J5341" s="553"/>
      <c r="K5341" s="554"/>
      <c r="M5341" s="301" t="str">
        <f>N5341&amp;AS[[#This Row],[Insurer Code]]&amp;"; "&amp;O5341&amp;AS[[#This Row],[Reporting Year]]&amp;"; "&amp;P5341&amp;AS[[#This Row],[Insurance Category Code]]&amp;"; "&amp;Q5341&amp;AS[[#This Row],[Large Provider Entity Code]]&amp;"; "&amp;R5341&amp;AS[[#This Row],[Age Band Code]]&amp;"; "&amp;S5341&amp;AS[[#This Row],[Sex Code]]</f>
        <v xml:space="preserve">Insurer Code ; Reporting Year ; Insurance Category Code ; Large Provider Entity Code ; Age Band Code ; Sex Code </v>
      </c>
      <c r="N5341" s="297" t="s">
        <v>197</v>
      </c>
      <c r="O5341" s="297" t="s">
        <v>198</v>
      </c>
      <c r="P5341" s="297" t="s">
        <v>199</v>
      </c>
      <c r="Q5341" s="297" t="s">
        <v>200</v>
      </c>
      <c r="R5341" s="297" t="s">
        <v>213</v>
      </c>
      <c r="S5341" s="297" t="s">
        <v>214</v>
      </c>
    </row>
    <row r="5342" spans="1:19" x14ac:dyDescent="0.4">
      <c r="A5342" s="548"/>
      <c r="B5342" s="292"/>
      <c r="C5342" s="292"/>
      <c r="D5342" s="292"/>
      <c r="E5342" s="549"/>
      <c r="F5342" s="549"/>
      <c r="G5342" s="550"/>
      <c r="H5342" s="551"/>
      <c r="I5342" s="552"/>
      <c r="J5342" s="553"/>
      <c r="K5342" s="554"/>
      <c r="M5342" s="301" t="str">
        <f>N5342&amp;AS[[#This Row],[Insurer Code]]&amp;"; "&amp;O5342&amp;AS[[#This Row],[Reporting Year]]&amp;"; "&amp;P5342&amp;AS[[#This Row],[Insurance Category Code]]&amp;"; "&amp;Q5342&amp;AS[[#This Row],[Large Provider Entity Code]]&amp;"; "&amp;R5342&amp;AS[[#This Row],[Age Band Code]]&amp;"; "&amp;S5342&amp;AS[[#This Row],[Sex Code]]</f>
        <v xml:space="preserve">Insurer Code ; Reporting Year ; Insurance Category Code ; Large Provider Entity Code ; Age Band Code ; Sex Code </v>
      </c>
      <c r="N5342" s="297" t="s">
        <v>197</v>
      </c>
      <c r="O5342" s="297" t="s">
        <v>198</v>
      </c>
      <c r="P5342" s="297" t="s">
        <v>199</v>
      </c>
      <c r="Q5342" s="297" t="s">
        <v>200</v>
      </c>
      <c r="R5342" s="297" t="s">
        <v>213</v>
      </c>
      <c r="S5342" s="297" t="s">
        <v>214</v>
      </c>
    </row>
    <row r="5343" spans="1:19" x14ac:dyDescent="0.4">
      <c r="A5343" s="548"/>
      <c r="B5343" s="292"/>
      <c r="C5343" s="292"/>
      <c r="D5343" s="292"/>
      <c r="E5343" s="549"/>
      <c r="F5343" s="549"/>
      <c r="G5343" s="550"/>
      <c r="H5343" s="551"/>
      <c r="I5343" s="552"/>
      <c r="J5343" s="553"/>
      <c r="K5343" s="554"/>
      <c r="M5343" s="301" t="str">
        <f>N5343&amp;AS[[#This Row],[Insurer Code]]&amp;"; "&amp;O5343&amp;AS[[#This Row],[Reporting Year]]&amp;"; "&amp;P5343&amp;AS[[#This Row],[Insurance Category Code]]&amp;"; "&amp;Q5343&amp;AS[[#This Row],[Large Provider Entity Code]]&amp;"; "&amp;R5343&amp;AS[[#This Row],[Age Band Code]]&amp;"; "&amp;S5343&amp;AS[[#This Row],[Sex Code]]</f>
        <v xml:space="preserve">Insurer Code ; Reporting Year ; Insurance Category Code ; Large Provider Entity Code ; Age Band Code ; Sex Code </v>
      </c>
      <c r="N5343" s="297" t="s">
        <v>197</v>
      </c>
      <c r="O5343" s="297" t="s">
        <v>198</v>
      </c>
      <c r="P5343" s="297" t="s">
        <v>199</v>
      </c>
      <c r="Q5343" s="297" t="s">
        <v>200</v>
      </c>
      <c r="R5343" s="297" t="s">
        <v>213</v>
      </c>
      <c r="S5343" s="297" t="s">
        <v>214</v>
      </c>
    </row>
    <row r="5344" spans="1:19" x14ac:dyDescent="0.4">
      <c r="A5344" s="548"/>
      <c r="B5344" s="292"/>
      <c r="C5344" s="292"/>
      <c r="D5344" s="292"/>
      <c r="E5344" s="549"/>
      <c r="F5344" s="549"/>
      <c r="G5344" s="550"/>
      <c r="H5344" s="551"/>
      <c r="I5344" s="552"/>
      <c r="J5344" s="553"/>
      <c r="K5344" s="554"/>
      <c r="M5344" s="301" t="str">
        <f>N5344&amp;AS[[#This Row],[Insurer Code]]&amp;"; "&amp;O5344&amp;AS[[#This Row],[Reporting Year]]&amp;"; "&amp;P5344&amp;AS[[#This Row],[Insurance Category Code]]&amp;"; "&amp;Q5344&amp;AS[[#This Row],[Large Provider Entity Code]]&amp;"; "&amp;R5344&amp;AS[[#This Row],[Age Band Code]]&amp;"; "&amp;S5344&amp;AS[[#This Row],[Sex Code]]</f>
        <v xml:space="preserve">Insurer Code ; Reporting Year ; Insurance Category Code ; Large Provider Entity Code ; Age Band Code ; Sex Code </v>
      </c>
      <c r="N5344" s="297" t="s">
        <v>197</v>
      </c>
      <c r="O5344" s="297" t="s">
        <v>198</v>
      </c>
      <c r="P5344" s="297" t="s">
        <v>199</v>
      </c>
      <c r="Q5344" s="297" t="s">
        <v>200</v>
      </c>
      <c r="R5344" s="297" t="s">
        <v>213</v>
      </c>
      <c r="S5344" s="297" t="s">
        <v>214</v>
      </c>
    </row>
    <row r="5345" spans="1:19" x14ac:dyDescent="0.4">
      <c r="A5345" s="548"/>
      <c r="B5345" s="292"/>
      <c r="C5345" s="292"/>
      <c r="D5345" s="292"/>
      <c r="E5345" s="549"/>
      <c r="F5345" s="549"/>
      <c r="G5345" s="550"/>
      <c r="H5345" s="551"/>
      <c r="I5345" s="552"/>
      <c r="J5345" s="553"/>
      <c r="K5345" s="554"/>
      <c r="M5345" s="301" t="str">
        <f>N5345&amp;AS[[#This Row],[Insurer Code]]&amp;"; "&amp;O5345&amp;AS[[#This Row],[Reporting Year]]&amp;"; "&amp;P5345&amp;AS[[#This Row],[Insurance Category Code]]&amp;"; "&amp;Q5345&amp;AS[[#This Row],[Large Provider Entity Code]]&amp;"; "&amp;R5345&amp;AS[[#This Row],[Age Band Code]]&amp;"; "&amp;S5345&amp;AS[[#This Row],[Sex Code]]</f>
        <v xml:space="preserve">Insurer Code ; Reporting Year ; Insurance Category Code ; Large Provider Entity Code ; Age Band Code ; Sex Code </v>
      </c>
      <c r="N5345" s="297" t="s">
        <v>197</v>
      </c>
      <c r="O5345" s="297" t="s">
        <v>198</v>
      </c>
      <c r="P5345" s="297" t="s">
        <v>199</v>
      </c>
      <c r="Q5345" s="297" t="s">
        <v>200</v>
      </c>
      <c r="R5345" s="297" t="s">
        <v>213</v>
      </c>
      <c r="S5345" s="297" t="s">
        <v>214</v>
      </c>
    </row>
    <row r="5346" spans="1:19" x14ac:dyDescent="0.4">
      <c r="A5346" s="548"/>
      <c r="B5346" s="292"/>
      <c r="C5346" s="292"/>
      <c r="D5346" s="292"/>
      <c r="E5346" s="549"/>
      <c r="F5346" s="549"/>
      <c r="G5346" s="550"/>
      <c r="H5346" s="551"/>
      <c r="I5346" s="552"/>
      <c r="J5346" s="553"/>
      <c r="K5346" s="554"/>
      <c r="M5346" s="301" t="str">
        <f>N5346&amp;AS[[#This Row],[Insurer Code]]&amp;"; "&amp;O5346&amp;AS[[#This Row],[Reporting Year]]&amp;"; "&amp;P5346&amp;AS[[#This Row],[Insurance Category Code]]&amp;"; "&amp;Q5346&amp;AS[[#This Row],[Large Provider Entity Code]]&amp;"; "&amp;R5346&amp;AS[[#This Row],[Age Band Code]]&amp;"; "&amp;S5346&amp;AS[[#This Row],[Sex Code]]</f>
        <v xml:space="preserve">Insurer Code ; Reporting Year ; Insurance Category Code ; Large Provider Entity Code ; Age Band Code ; Sex Code </v>
      </c>
      <c r="N5346" s="297" t="s">
        <v>197</v>
      </c>
      <c r="O5346" s="297" t="s">
        <v>198</v>
      </c>
      <c r="P5346" s="297" t="s">
        <v>199</v>
      </c>
      <c r="Q5346" s="297" t="s">
        <v>200</v>
      </c>
      <c r="R5346" s="297" t="s">
        <v>213</v>
      </c>
      <c r="S5346" s="297" t="s">
        <v>214</v>
      </c>
    </row>
    <row r="5347" spans="1:19" x14ac:dyDescent="0.4">
      <c r="A5347" s="548"/>
      <c r="B5347" s="292"/>
      <c r="C5347" s="292"/>
      <c r="D5347" s="292"/>
      <c r="E5347" s="549"/>
      <c r="F5347" s="549"/>
      <c r="G5347" s="550"/>
      <c r="H5347" s="551"/>
      <c r="I5347" s="552"/>
      <c r="J5347" s="553"/>
      <c r="K5347" s="554"/>
      <c r="M5347" s="301" t="str">
        <f>N5347&amp;AS[[#This Row],[Insurer Code]]&amp;"; "&amp;O5347&amp;AS[[#This Row],[Reporting Year]]&amp;"; "&amp;P5347&amp;AS[[#This Row],[Insurance Category Code]]&amp;"; "&amp;Q5347&amp;AS[[#This Row],[Large Provider Entity Code]]&amp;"; "&amp;R5347&amp;AS[[#This Row],[Age Band Code]]&amp;"; "&amp;S5347&amp;AS[[#This Row],[Sex Code]]</f>
        <v xml:space="preserve">Insurer Code ; Reporting Year ; Insurance Category Code ; Large Provider Entity Code ; Age Band Code ; Sex Code </v>
      </c>
      <c r="N5347" s="297" t="s">
        <v>197</v>
      </c>
      <c r="O5347" s="297" t="s">
        <v>198</v>
      </c>
      <c r="P5347" s="297" t="s">
        <v>199</v>
      </c>
      <c r="Q5347" s="297" t="s">
        <v>200</v>
      </c>
      <c r="R5347" s="297" t="s">
        <v>213</v>
      </c>
      <c r="S5347" s="297" t="s">
        <v>214</v>
      </c>
    </row>
    <row r="5348" spans="1:19" x14ac:dyDescent="0.4">
      <c r="A5348" s="548"/>
      <c r="B5348" s="292"/>
      <c r="C5348" s="292"/>
      <c r="D5348" s="292"/>
      <c r="E5348" s="549"/>
      <c r="F5348" s="549"/>
      <c r="G5348" s="550"/>
      <c r="H5348" s="551"/>
      <c r="I5348" s="552"/>
      <c r="J5348" s="553"/>
      <c r="K5348" s="554"/>
      <c r="M5348" s="301" t="str">
        <f>N5348&amp;AS[[#This Row],[Insurer Code]]&amp;"; "&amp;O5348&amp;AS[[#This Row],[Reporting Year]]&amp;"; "&amp;P5348&amp;AS[[#This Row],[Insurance Category Code]]&amp;"; "&amp;Q5348&amp;AS[[#This Row],[Large Provider Entity Code]]&amp;"; "&amp;R5348&amp;AS[[#This Row],[Age Band Code]]&amp;"; "&amp;S5348&amp;AS[[#This Row],[Sex Code]]</f>
        <v xml:space="preserve">Insurer Code ; Reporting Year ; Insurance Category Code ; Large Provider Entity Code ; Age Band Code ; Sex Code </v>
      </c>
      <c r="N5348" s="297" t="s">
        <v>197</v>
      </c>
      <c r="O5348" s="297" t="s">
        <v>198</v>
      </c>
      <c r="P5348" s="297" t="s">
        <v>199</v>
      </c>
      <c r="Q5348" s="297" t="s">
        <v>200</v>
      </c>
      <c r="R5348" s="297" t="s">
        <v>213</v>
      </c>
      <c r="S5348" s="297" t="s">
        <v>214</v>
      </c>
    </row>
    <row r="5349" spans="1:19" x14ac:dyDescent="0.4">
      <c r="A5349" s="548"/>
      <c r="B5349" s="292"/>
      <c r="C5349" s="292"/>
      <c r="D5349" s="292"/>
      <c r="E5349" s="549"/>
      <c r="F5349" s="549"/>
      <c r="G5349" s="550"/>
      <c r="H5349" s="551"/>
      <c r="I5349" s="552"/>
      <c r="J5349" s="553"/>
      <c r="K5349" s="554"/>
      <c r="M5349" s="301" t="str">
        <f>N5349&amp;AS[[#This Row],[Insurer Code]]&amp;"; "&amp;O5349&amp;AS[[#This Row],[Reporting Year]]&amp;"; "&amp;P5349&amp;AS[[#This Row],[Insurance Category Code]]&amp;"; "&amp;Q5349&amp;AS[[#This Row],[Large Provider Entity Code]]&amp;"; "&amp;R5349&amp;AS[[#This Row],[Age Band Code]]&amp;"; "&amp;S5349&amp;AS[[#This Row],[Sex Code]]</f>
        <v xml:space="preserve">Insurer Code ; Reporting Year ; Insurance Category Code ; Large Provider Entity Code ; Age Band Code ; Sex Code </v>
      </c>
      <c r="N5349" s="297" t="s">
        <v>197</v>
      </c>
      <c r="O5349" s="297" t="s">
        <v>198</v>
      </c>
      <c r="P5349" s="297" t="s">
        <v>199</v>
      </c>
      <c r="Q5349" s="297" t="s">
        <v>200</v>
      </c>
      <c r="R5349" s="297" t="s">
        <v>213</v>
      </c>
      <c r="S5349" s="297" t="s">
        <v>214</v>
      </c>
    </row>
    <row r="5350" spans="1:19" x14ac:dyDescent="0.4">
      <c r="A5350" s="548"/>
      <c r="B5350" s="292"/>
      <c r="C5350" s="292"/>
      <c r="D5350" s="292"/>
      <c r="E5350" s="549"/>
      <c r="F5350" s="549"/>
      <c r="G5350" s="550"/>
      <c r="H5350" s="551"/>
      <c r="I5350" s="552"/>
      <c r="J5350" s="553"/>
      <c r="K5350" s="554"/>
      <c r="M5350" s="301" t="str">
        <f>N5350&amp;AS[[#This Row],[Insurer Code]]&amp;"; "&amp;O5350&amp;AS[[#This Row],[Reporting Year]]&amp;"; "&amp;P5350&amp;AS[[#This Row],[Insurance Category Code]]&amp;"; "&amp;Q5350&amp;AS[[#This Row],[Large Provider Entity Code]]&amp;"; "&amp;R5350&amp;AS[[#This Row],[Age Band Code]]&amp;"; "&amp;S5350&amp;AS[[#This Row],[Sex Code]]</f>
        <v xml:space="preserve">Insurer Code ; Reporting Year ; Insurance Category Code ; Large Provider Entity Code ; Age Band Code ; Sex Code </v>
      </c>
      <c r="N5350" s="297" t="s">
        <v>197</v>
      </c>
      <c r="O5350" s="297" t="s">
        <v>198</v>
      </c>
      <c r="P5350" s="297" t="s">
        <v>199</v>
      </c>
      <c r="Q5350" s="297" t="s">
        <v>200</v>
      </c>
      <c r="R5350" s="297" t="s">
        <v>213</v>
      </c>
      <c r="S5350" s="297" t="s">
        <v>214</v>
      </c>
    </row>
    <row r="5351" spans="1:19" x14ac:dyDescent="0.4">
      <c r="A5351" s="548"/>
      <c r="B5351" s="292"/>
      <c r="C5351" s="292"/>
      <c r="D5351" s="292"/>
      <c r="E5351" s="549"/>
      <c r="F5351" s="549"/>
      <c r="G5351" s="550"/>
      <c r="H5351" s="551"/>
      <c r="I5351" s="552"/>
      <c r="J5351" s="553"/>
      <c r="K5351" s="554"/>
      <c r="M5351" s="301" t="str">
        <f>N5351&amp;AS[[#This Row],[Insurer Code]]&amp;"; "&amp;O5351&amp;AS[[#This Row],[Reporting Year]]&amp;"; "&amp;P5351&amp;AS[[#This Row],[Insurance Category Code]]&amp;"; "&amp;Q5351&amp;AS[[#This Row],[Large Provider Entity Code]]&amp;"; "&amp;R5351&amp;AS[[#This Row],[Age Band Code]]&amp;"; "&amp;S5351&amp;AS[[#This Row],[Sex Code]]</f>
        <v xml:space="preserve">Insurer Code ; Reporting Year ; Insurance Category Code ; Large Provider Entity Code ; Age Band Code ; Sex Code </v>
      </c>
      <c r="N5351" s="297" t="s">
        <v>197</v>
      </c>
      <c r="O5351" s="297" t="s">
        <v>198</v>
      </c>
      <c r="P5351" s="297" t="s">
        <v>199</v>
      </c>
      <c r="Q5351" s="297" t="s">
        <v>200</v>
      </c>
      <c r="R5351" s="297" t="s">
        <v>213</v>
      </c>
      <c r="S5351" s="297" t="s">
        <v>214</v>
      </c>
    </row>
    <row r="5352" spans="1:19" x14ac:dyDescent="0.4">
      <c r="A5352" s="548"/>
      <c r="B5352" s="292"/>
      <c r="C5352" s="292"/>
      <c r="D5352" s="292"/>
      <c r="E5352" s="549"/>
      <c r="F5352" s="549"/>
      <c r="G5352" s="550"/>
      <c r="H5352" s="551"/>
      <c r="I5352" s="552"/>
      <c r="J5352" s="553"/>
      <c r="K5352" s="554"/>
      <c r="M5352" s="301" t="str">
        <f>N5352&amp;AS[[#This Row],[Insurer Code]]&amp;"; "&amp;O5352&amp;AS[[#This Row],[Reporting Year]]&amp;"; "&amp;P5352&amp;AS[[#This Row],[Insurance Category Code]]&amp;"; "&amp;Q5352&amp;AS[[#This Row],[Large Provider Entity Code]]&amp;"; "&amp;R5352&amp;AS[[#This Row],[Age Band Code]]&amp;"; "&amp;S5352&amp;AS[[#This Row],[Sex Code]]</f>
        <v xml:space="preserve">Insurer Code ; Reporting Year ; Insurance Category Code ; Large Provider Entity Code ; Age Band Code ; Sex Code </v>
      </c>
      <c r="N5352" s="297" t="s">
        <v>197</v>
      </c>
      <c r="O5352" s="297" t="s">
        <v>198</v>
      </c>
      <c r="P5352" s="297" t="s">
        <v>199</v>
      </c>
      <c r="Q5352" s="297" t="s">
        <v>200</v>
      </c>
      <c r="R5352" s="297" t="s">
        <v>213</v>
      </c>
      <c r="S5352" s="297" t="s">
        <v>214</v>
      </c>
    </row>
    <row r="5353" spans="1:19" x14ac:dyDescent="0.4">
      <c r="A5353" s="548"/>
      <c r="B5353" s="292"/>
      <c r="C5353" s="292"/>
      <c r="D5353" s="292"/>
      <c r="E5353" s="549"/>
      <c r="F5353" s="549"/>
      <c r="G5353" s="550"/>
      <c r="H5353" s="551"/>
      <c r="I5353" s="552"/>
      <c r="J5353" s="553"/>
      <c r="K5353" s="554"/>
      <c r="M5353" s="301" t="str">
        <f>N5353&amp;AS[[#This Row],[Insurer Code]]&amp;"; "&amp;O5353&amp;AS[[#This Row],[Reporting Year]]&amp;"; "&amp;P5353&amp;AS[[#This Row],[Insurance Category Code]]&amp;"; "&amp;Q5353&amp;AS[[#This Row],[Large Provider Entity Code]]&amp;"; "&amp;R5353&amp;AS[[#This Row],[Age Band Code]]&amp;"; "&amp;S5353&amp;AS[[#This Row],[Sex Code]]</f>
        <v xml:space="preserve">Insurer Code ; Reporting Year ; Insurance Category Code ; Large Provider Entity Code ; Age Band Code ; Sex Code </v>
      </c>
      <c r="N5353" s="297" t="s">
        <v>197</v>
      </c>
      <c r="O5353" s="297" t="s">
        <v>198</v>
      </c>
      <c r="P5353" s="297" t="s">
        <v>199</v>
      </c>
      <c r="Q5353" s="297" t="s">
        <v>200</v>
      </c>
      <c r="R5353" s="297" t="s">
        <v>213</v>
      </c>
      <c r="S5353" s="297" t="s">
        <v>214</v>
      </c>
    </row>
    <row r="5354" spans="1:19" x14ac:dyDescent="0.4">
      <c r="A5354" s="548"/>
      <c r="B5354" s="292"/>
      <c r="C5354" s="292"/>
      <c r="D5354" s="292"/>
      <c r="E5354" s="549"/>
      <c r="F5354" s="549"/>
      <c r="G5354" s="550"/>
      <c r="H5354" s="551"/>
      <c r="I5354" s="552"/>
      <c r="J5354" s="553"/>
      <c r="K5354" s="554"/>
      <c r="M5354" s="301" t="str">
        <f>N5354&amp;AS[[#This Row],[Insurer Code]]&amp;"; "&amp;O5354&amp;AS[[#This Row],[Reporting Year]]&amp;"; "&amp;P5354&amp;AS[[#This Row],[Insurance Category Code]]&amp;"; "&amp;Q5354&amp;AS[[#This Row],[Large Provider Entity Code]]&amp;"; "&amp;R5354&amp;AS[[#This Row],[Age Band Code]]&amp;"; "&amp;S5354&amp;AS[[#This Row],[Sex Code]]</f>
        <v xml:space="preserve">Insurer Code ; Reporting Year ; Insurance Category Code ; Large Provider Entity Code ; Age Band Code ; Sex Code </v>
      </c>
      <c r="N5354" s="297" t="s">
        <v>197</v>
      </c>
      <c r="O5354" s="297" t="s">
        <v>198</v>
      </c>
      <c r="P5354" s="297" t="s">
        <v>199</v>
      </c>
      <c r="Q5354" s="297" t="s">
        <v>200</v>
      </c>
      <c r="R5354" s="297" t="s">
        <v>213</v>
      </c>
      <c r="S5354" s="297" t="s">
        <v>214</v>
      </c>
    </row>
    <row r="5355" spans="1:19" x14ac:dyDescent="0.4">
      <c r="A5355" s="548"/>
      <c r="B5355" s="292"/>
      <c r="C5355" s="292"/>
      <c r="D5355" s="292"/>
      <c r="E5355" s="549"/>
      <c r="F5355" s="549"/>
      <c r="G5355" s="550"/>
      <c r="H5355" s="551"/>
      <c r="I5355" s="552"/>
      <c r="J5355" s="553"/>
      <c r="K5355" s="554"/>
      <c r="M5355" s="301" t="str">
        <f>N5355&amp;AS[[#This Row],[Insurer Code]]&amp;"; "&amp;O5355&amp;AS[[#This Row],[Reporting Year]]&amp;"; "&amp;P5355&amp;AS[[#This Row],[Insurance Category Code]]&amp;"; "&amp;Q5355&amp;AS[[#This Row],[Large Provider Entity Code]]&amp;"; "&amp;R5355&amp;AS[[#This Row],[Age Band Code]]&amp;"; "&amp;S5355&amp;AS[[#This Row],[Sex Code]]</f>
        <v xml:space="preserve">Insurer Code ; Reporting Year ; Insurance Category Code ; Large Provider Entity Code ; Age Band Code ; Sex Code </v>
      </c>
      <c r="N5355" s="297" t="s">
        <v>197</v>
      </c>
      <c r="O5355" s="297" t="s">
        <v>198</v>
      </c>
      <c r="P5355" s="297" t="s">
        <v>199</v>
      </c>
      <c r="Q5355" s="297" t="s">
        <v>200</v>
      </c>
      <c r="R5355" s="297" t="s">
        <v>213</v>
      </c>
      <c r="S5355" s="297" t="s">
        <v>214</v>
      </c>
    </row>
    <row r="5356" spans="1:19" x14ac:dyDescent="0.4">
      <c r="A5356" s="548"/>
      <c r="B5356" s="292"/>
      <c r="C5356" s="292"/>
      <c r="D5356" s="292"/>
      <c r="E5356" s="549"/>
      <c r="F5356" s="549"/>
      <c r="G5356" s="550"/>
      <c r="H5356" s="551"/>
      <c r="I5356" s="552"/>
      <c r="J5356" s="553"/>
      <c r="K5356" s="554"/>
      <c r="M5356" s="301" t="str">
        <f>N5356&amp;AS[[#This Row],[Insurer Code]]&amp;"; "&amp;O5356&amp;AS[[#This Row],[Reporting Year]]&amp;"; "&amp;P5356&amp;AS[[#This Row],[Insurance Category Code]]&amp;"; "&amp;Q5356&amp;AS[[#This Row],[Large Provider Entity Code]]&amp;"; "&amp;R5356&amp;AS[[#This Row],[Age Band Code]]&amp;"; "&amp;S5356&amp;AS[[#This Row],[Sex Code]]</f>
        <v xml:space="preserve">Insurer Code ; Reporting Year ; Insurance Category Code ; Large Provider Entity Code ; Age Band Code ; Sex Code </v>
      </c>
      <c r="N5356" s="297" t="s">
        <v>197</v>
      </c>
      <c r="O5356" s="297" t="s">
        <v>198</v>
      </c>
      <c r="P5356" s="297" t="s">
        <v>199</v>
      </c>
      <c r="Q5356" s="297" t="s">
        <v>200</v>
      </c>
      <c r="R5356" s="297" t="s">
        <v>213</v>
      </c>
      <c r="S5356" s="297" t="s">
        <v>214</v>
      </c>
    </row>
    <row r="5357" spans="1:19" x14ac:dyDescent="0.4">
      <c r="A5357" s="548"/>
      <c r="B5357" s="292"/>
      <c r="C5357" s="292"/>
      <c r="D5357" s="292"/>
      <c r="E5357" s="549"/>
      <c r="F5357" s="549"/>
      <c r="G5357" s="550"/>
      <c r="H5357" s="551"/>
      <c r="I5357" s="552"/>
      <c r="J5357" s="553"/>
      <c r="K5357" s="554"/>
      <c r="M5357" s="301" t="str">
        <f>N5357&amp;AS[[#This Row],[Insurer Code]]&amp;"; "&amp;O5357&amp;AS[[#This Row],[Reporting Year]]&amp;"; "&amp;P5357&amp;AS[[#This Row],[Insurance Category Code]]&amp;"; "&amp;Q5357&amp;AS[[#This Row],[Large Provider Entity Code]]&amp;"; "&amp;R5357&amp;AS[[#This Row],[Age Band Code]]&amp;"; "&amp;S5357&amp;AS[[#This Row],[Sex Code]]</f>
        <v xml:space="preserve">Insurer Code ; Reporting Year ; Insurance Category Code ; Large Provider Entity Code ; Age Band Code ; Sex Code </v>
      </c>
      <c r="N5357" s="297" t="s">
        <v>197</v>
      </c>
      <c r="O5357" s="297" t="s">
        <v>198</v>
      </c>
      <c r="P5357" s="297" t="s">
        <v>199</v>
      </c>
      <c r="Q5357" s="297" t="s">
        <v>200</v>
      </c>
      <c r="R5357" s="297" t="s">
        <v>213</v>
      </c>
      <c r="S5357" s="297" t="s">
        <v>214</v>
      </c>
    </row>
    <row r="5358" spans="1:19" x14ac:dyDescent="0.4">
      <c r="A5358" s="548"/>
      <c r="B5358" s="292"/>
      <c r="C5358" s="292"/>
      <c r="D5358" s="292"/>
      <c r="E5358" s="549"/>
      <c r="F5358" s="549"/>
      <c r="G5358" s="550"/>
      <c r="H5358" s="551"/>
      <c r="I5358" s="552"/>
      <c r="J5358" s="553"/>
      <c r="K5358" s="554"/>
      <c r="M5358" s="301" t="str">
        <f>N5358&amp;AS[[#This Row],[Insurer Code]]&amp;"; "&amp;O5358&amp;AS[[#This Row],[Reporting Year]]&amp;"; "&amp;P5358&amp;AS[[#This Row],[Insurance Category Code]]&amp;"; "&amp;Q5358&amp;AS[[#This Row],[Large Provider Entity Code]]&amp;"; "&amp;R5358&amp;AS[[#This Row],[Age Band Code]]&amp;"; "&amp;S5358&amp;AS[[#This Row],[Sex Code]]</f>
        <v xml:space="preserve">Insurer Code ; Reporting Year ; Insurance Category Code ; Large Provider Entity Code ; Age Band Code ; Sex Code </v>
      </c>
      <c r="N5358" s="297" t="s">
        <v>197</v>
      </c>
      <c r="O5358" s="297" t="s">
        <v>198</v>
      </c>
      <c r="P5358" s="297" t="s">
        <v>199</v>
      </c>
      <c r="Q5358" s="297" t="s">
        <v>200</v>
      </c>
      <c r="R5358" s="297" t="s">
        <v>213</v>
      </c>
      <c r="S5358" s="297" t="s">
        <v>214</v>
      </c>
    </row>
    <row r="5359" spans="1:19" x14ac:dyDescent="0.4">
      <c r="A5359" s="548"/>
      <c r="B5359" s="292"/>
      <c r="C5359" s="292"/>
      <c r="D5359" s="292"/>
      <c r="E5359" s="549"/>
      <c r="F5359" s="549"/>
      <c r="G5359" s="550"/>
      <c r="H5359" s="551"/>
      <c r="I5359" s="552"/>
      <c r="J5359" s="553"/>
      <c r="K5359" s="554"/>
      <c r="M5359" s="301" t="str">
        <f>N5359&amp;AS[[#This Row],[Insurer Code]]&amp;"; "&amp;O5359&amp;AS[[#This Row],[Reporting Year]]&amp;"; "&amp;P5359&amp;AS[[#This Row],[Insurance Category Code]]&amp;"; "&amp;Q5359&amp;AS[[#This Row],[Large Provider Entity Code]]&amp;"; "&amp;R5359&amp;AS[[#This Row],[Age Band Code]]&amp;"; "&amp;S5359&amp;AS[[#This Row],[Sex Code]]</f>
        <v xml:space="preserve">Insurer Code ; Reporting Year ; Insurance Category Code ; Large Provider Entity Code ; Age Band Code ; Sex Code </v>
      </c>
      <c r="N5359" s="297" t="s">
        <v>197</v>
      </c>
      <c r="O5359" s="297" t="s">
        <v>198</v>
      </c>
      <c r="P5359" s="297" t="s">
        <v>199</v>
      </c>
      <c r="Q5359" s="297" t="s">
        <v>200</v>
      </c>
      <c r="R5359" s="297" t="s">
        <v>213</v>
      </c>
      <c r="S5359" s="297" t="s">
        <v>214</v>
      </c>
    </row>
    <row r="5360" spans="1:19" x14ac:dyDescent="0.4">
      <c r="A5360" s="548"/>
      <c r="B5360" s="292"/>
      <c r="C5360" s="292"/>
      <c r="D5360" s="292"/>
      <c r="E5360" s="549"/>
      <c r="F5360" s="549"/>
      <c r="G5360" s="550"/>
      <c r="H5360" s="551"/>
      <c r="I5360" s="552"/>
      <c r="J5360" s="553"/>
      <c r="K5360" s="554"/>
      <c r="M5360" s="301" t="str">
        <f>N5360&amp;AS[[#This Row],[Insurer Code]]&amp;"; "&amp;O5360&amp;AS[[#This Row],[Reporting Year]]&amp;"; "&amp;P5360&amp;AS[[#This Row],[Insurance Category Code]]&amp;"; "&amp;Q5360&amp;AS[[#This Row],[Large Provider Entity Code]]&amp;"; "&amp;R5360&amp;AS[[#This Row],[Age Band Code]]&amp;"; "&amp;S5360&amp;AS[[#This Row],[Sex Code]]</f>
        <v xml:space="preserve">Insurer Code ; Reporting Year ; Insurance Category Code ; Large Provider Entity Code ; Age Band Code ; Sex Code </v>
      </c>
      <c r="N5360" s="297" t="s">
        <v>197</v>
      </c>
      <c r="O5360" s="297" t="s">
        <v>198</v>
      </c>
      <c r="P5360" s="297" t="s">
        <v>199</v>
      </c>
      <c r="Q5360" s="297" t="s">
        <v>200</v>
      </c>
      <c r="R5360" s="297" t="s">
        <v>213</v>
      </c>
      <c r="S5360" s="297" t="s">
        <v>214</v>
      </c>
    </row>
    <row r="5361" spans="1:19" x14ac:dyDescent="0.4">
      <c r="A5361" s="548"/>
      <c r="B5361" s="292"/>
      <c r="C5361" s="292"/>
      <c r="D5361" s="292"/>
      <c r="E5361" s="549"/>
      <c r="F5361" s="549"/>
      <c r="G5361" s="550"/>
      <c r="H5361" s="551"/>
      <c r="I5361" s="552"/>
      <c r="J5361" s="553"/>
      <c r="K5361" s="554"/>
      <c r="M5361" s="301" t="str">
        <f>N5361&amp;AS[[#This Row],[Insurer Code]]&amp;"; "&amp;O5361&amp;AS[[#This Row],[Reporting Year]]&amp;"; "&amp;P5361&amp;AS[[#This Row],[Insurance Category Code]]&amp;"; "&amp;Q5361&amp;AS[[#This Row],[Large Provider Entity Code]]&amp;"; "&amp;R5361&amp;AS[[#This Row],[Age Band Code]]&amp;"; "&amp;S5361&amp;AS[[#This Row],[Sex Code]]</f>
        <v xml:space="preserve">Insurer Code ; Reporting Year ; Insurance Category Code ; Large Provider Entity Code ; Age Band Code ; Sex Code </v>
      </c>
      <c r="N5361" s="297" t="s">
        <v>197</v>
      </c>
      <c r="O5361" s="297" t="s">
        <v>198</v>
      </c>
      <c r="P5361" s="297" t="s">
        <v>199</v>
      </c>
      <c r="Q5361" s="297" t="s">
        <v>200</v>
      </c>
      <c r="R5361" s="297" t="s">
        <v>213</v>
      </c>
      <c r="S5361" s="297" t="s">
        <v>214</v>
      </c>
    </row>
    <row r="5362" spans="1:19" x14ac:dyDescent="0.4">
      <c r="A5362" s="548"/>
      <c r="B5362" s="292"/>
      <c r="C5362" s="292"/>
      <c r="D5362" s="292"/>
      <c r="E5362" s="549"/>
      <c r="F5362" s="549"/>
      <c r="G5362" s="550"/>
      <c r="H5362" s="551"/>
      <c r="I5362" s="552"/>
      <c r="J5362" s="553"/>
      <c r="K5362" s="554"/>
      <c r="M5362" s="301" t="str">
        <f>N5362&amp;AS[[#This Row],[Insurer Code]]&amp;"; "&amp;O5362&amp;AS[[#This Row],[Reporting Year]]&amp;"; "&amp;P5362&amp;AS[[#This Row],[Insurance Category Code]]&amp;"; "&amp;Q5362&amp;AS[[#This Row],[Large Provider Entity Code]]&amp;"; "&amp;R5362&amp;AS[[#This Row],[Age Band Code]]&amp;"; "&amp;S5362&amp;AS[[#This Row],[Sex Code]]</f>
        <v xml:space="preserve">Insurer Code ; Reporting Year ; Insurance Category Code ; Large Provider Entity Code ; Age Band Code ; Sex Code </v>
      </c>
      <c r="N5362" s="297" t="s">
        <v>197</v>
      </c>
      <c r="O5362" s="297" t="s">
        <v>198</v>
      </c>
      <c r="P5362" s="297" t="s">
        <v>199</v>
      </c>
      <c r="Q5362" s="297" t="s">
        <v>200</v>
      </c>
      <c r="R5362" s="297" t="s">
        <v>213</v>
      </c>
      <c r="S5362" s="297" t="s">
        <v>214</v>
      </c>
    </row>
    <row r="5363" spans="1:19" x14ac:dyDescent="0.4">
      <c r="A5363" s="548"/>
      <c r="B5363" s="292"/>
      <c r="C5363" s="292"/>
      <c r="D5363" s="292"/>
      <c r="E5363" s="549"/>
      <c r="F5363" s="549"/>
      <c r="G5363" s="550"/>
      <c r="H5363" s="551"/>
      <c r="I5363" s="552"/>
      <c r="J5363" s="553"/>
      <c r="K5363" s="554"/>
      <c r="M5363" s="301" t="str">
        <f>N5363&amp;AS[[#This Row],[Insurer Code]]&amp;"; "&amp;O5363&amp;AS[[#This Row],[Reporting Year]]&amp;"; "&amp;P5363&amp;AS[[#This Row],[Insurance Category Code]]&amp;"; "&amp;Q5363&amp;AS[[#This Row],[Large Provider Entity Code]]&amp;"; "&amp;R5363&amp;AS[[#This Row],[Age Band Code]]&amp;"; "&amp;S5363&amp;AS[[#This Row],[Sex Code]]</f>
        <v xml:space="preserve">Insurer Code ; Reporting Year ; Insurance Category Code ; Large Provider Entity Code ; Age Band Code ; Sex Code </v>
      </c>
      <c r="N5363" s="297" t="s">
        <v>197</v>
      </c>
      <c r="O5363" s="297" t="s">
        <v>198</v>
      </c>
      <c r="P5363" s="297" t="s">
        <v>199</v>
      </c>
      <c r="Q5363" s="297" t="s">
        <v>200</v>
      </c>
      <c r="R5363" s="297" t="s">
        <v>213</v>
      </c>
      <c r="S5363" s="297" t="s">
        <v>214</v>
      </c>
    </row>
    <row r="5364" spans="1:19" x14ac:dyDescent="0.4">
      <c r="A5364" s="548"/>
      <c r="B5364" s="292"/>
      <c r="C5364" s="292"/>
      <c r="D5364" s="292"/>
      <c r="E5364" s="549"/>
      <c r="F5364" s="549"/>
      <c r="G5364" s="550"/>
      <c r="H5364" s="551"/>
      <c r="I5364" s="552"/>
      <c r="J5364" s="553"/>
      <c r="K5364" s="554"/>
      <c r="M5364" s="301" t="str">
        <f>N5364&amp;AS[[#This Row],[Insurer Code]]&amp;"; "&amp;O5364&amp;AS[[#This Row],[Reporting Year]]&amp;"; "&amp;P5364&amp;AS[[#This Row],[Insurance Category Code]]&amp;"; "&amp;Q5364&amp;AS[[#This Row],[Large Provider Entity Code]]&amp;"; "&amp;R5364&amp;AS[[#This Row],[Age Band Code]]&amp;"; "&amp;S5364&amp;AS[[#This Row],[Sex Code]]</f>
        <v xml:space="preserve">Insurer Code ; Reporting Year ; Insurance Category Code ; Large Provider Entity Code ; Age Band Code ; Sex Code </v>
      </c>
      <c r="N5364" s="297" t="s">
        <v>197</v>
      </c>
      <c r="O5364" s="297" t="s">
        <v>198</v>
      </c>
      <c r="P5364" s="297" t="s">
        <v>199</v>
      </c>
      <c r="Q5364" s="297" t="s">
        <v>200</v>
      </c>
      <c r="R5364" s="297" t="s">
        <v>213</v>
      </c>
      <c r="S5364" s="297" t="s">
        <v>214</v>
      </c>
    </row>
    <row r="5365" spans="1:19" x14ac:dyDescent="0.4">
      <c r="A5365" s="548"/>
      <c r="B5365" s="292"/>
      <c r="C5365" s="292"/>
      <c r="D5365" s="292"/>
      <c r="E5365" s="549"/>
      <c r="F5365" s="549"/>
      <c r="G5365" s="550"/>
      <c r="H5365" s="551"/>
      <c r="I5365" s="552"/>
      <c r="J5365" s="553"/>
      <c r="K5365" s="554"/>
      <c r="M5365" s="301" t="str">
        <f>N5365&amp;AS[[#This Row],[Insurer Code]]&amp;"; "&amp;O5365&amp;AS[[#This Row],[Reporting Year]]&amp;"; "&amp;P5365&amp;AS[[#This Row],[Insurance Category Code]]&amp;"; "&amp;Q5365&amp;AS[[#This Row],[Large Provider Entity Code]]&amp;"; "&amp;R5365&amp;AS[[#This Row],[Age Band Code]]&amp;"; "&amp;S5365&amp;AS[[#This Row],[Sex Code]]</f>
        <v xml:space="preserve">Insurer Code ; Reporting Year ; Insurance Category Code ; Large Provider Entity Code ; Age Band Code ; Sex Code </v>
      </c>
      <c r="N5365" s="297" t="s">
        <v>197</v>
      </c>
      <c r="O5365" s="297" t="s">
        <v>198</v>
      </c>
      <c r="P5365" s="297" t="s">
        <v>199</v>
      </c>
      <c r="Q5365" s="297" t="s">
        <v>200</v>
      </c>
      <c r="R5365" s="297" t="s">
        <v>213</v>
      </c>
      <c r="S5365" s="297" t="s">
        <v>214</v>
      </c>
    </row>
    <row r="5366" spans="1:19" x14ac:dyDescent="0.4">
      <c r="A5366" s="548"/>
      <c r="B5366" s="292"/>
      <c r="C5366" s="292"/>
      <c r="D5366" s="292"/>
      <c r="E5366" s="549"/>
      <c r="F5366" s="549"/>
      <c r="G5366" s="550"/>
      <c r="H5366" s="551"/>
      <c r="I5366" s="552"/>
      <c r="J5366" s="553"/>
      <c r="K5366" s="554"/>
      <c r="M5366" s="301" t="str">
        <f>N5366&amp;AS[[#This Row],[Insurer Code]]&amp;"; "&amp;O5366&amp;AS[[#This Row],[Reporting Year]]&amp;"; "&amp;P5366&amp;AS[[#This Row],[Insurance Category Code]]&amp;"; "&amp;Q5366&amp;AS[[#This Row],[Large Provider Entity Code]]&amp;"; "&amp;R5366&amp;AS[[#This Row],[Age Band Code]]&amp;"; "&amp;S5366&amp;AS[[#This Row],[Sex Code]]</f>
        <v xml:space="preserve">Insurer Code ; Reporting Year ; Insurance Category Code ; Large Provider Entity Code ; Age Band Code ; Sex Code </v>
      </c>
      <c r="N5366" s="297" t="s">
        <v>197</v>
      </c>
      <c r="O5366" s="297" t="s">
        <v>198</v>
      </c>
      <c r="P5366" s="297" t="s">
        <v>199</v>
      </c>
      <c r="Q5366" s="297" t="s">
        <v>200</v>
      </c>
      <c r="R5366" s="297" t="s">
        <v>213</v>
      </c>
      <c r="S5366" s="297" t="s">
        <v>214</v>
      </c>
    </row>
    <row r="5367" spans="1:19" x14ac:dyDescent="0.4">
      <c r="A5367" s="548"/>
      <c r="B5367" s="292"/>
      <c r="C5367" s="292"/>
      <c r="D5367" s="292"/>
      <c r="E5367" s="549"/>
      <c r="F5367" s="549"/>
      <c r="G5367" s="550"/>
      <c r="H5367" s="551"/>
      <c r="I5367" s="552"/>
      <c r="J5367" s="553"/>
      <c r="K5367" s="554"/>
      <c r="M5367" s="301" t="str">
        <f>N5367&amp;AS[[#This Row],[Insurer Code]]&amp;"; "&amp;O5367&amp;AS[[#This Row],[Reporting Year]]&amp;"; "&amp;P5367&amp;AS[[#This Row],[Insurance Category Code]]&amp;"; "&amp;Q5367&amp;AS[[#This Row],[Large Provider Entity Code]]&amp;"; "&amp;R5367&amp;AS[[#This Row],[Age Band Code]]&amp;"; "&amp;S5367&amp;AS[[#This Row],[Sex Code]]</f>
        <v xml:space="preserve">Insurer Code ; Reporting Year ; Insurance Category Code ; Large Provider Entity Code ; Age Band Code ; Sex Code </v>
      </c>
      <c r="N5367" s="297" t="s">
        <v>197</v>
      </c>
      <c r="O5367" s="297" t="s">
        <v>198</v>
      </c>
      <c r="P5367" s="297" t="s">
        <v>199</v>
      </c>
      <c r="Q5367" s="297" t="s">
        <v>200</v>
      </c>
      <c r="R5367" s="297" t="s">
        <v>213</v>
      </c>
      <c r="S5367" s="297" t="s">
        <v>214</v>
      </c>
    </row>
    <row r="5368" spans="1:19" x14ac:dyDescent="0.4">
      <c r="A5368" s="548"/>
      <c r="B5368" s="292"/>
      <c r="C5368" s="292"/>
      <c r="D5368" s="292"/>
      <c r="E5368" s="549"/>
      <c r="F5368" s="549"/>
      <c r="G5368" s="550"/>
      <c r="H5368" s="551"/>
      <c r="I5368" s="552"/>
      <c r="J5368" s="553"/>
      <c r="K5368" s="554"/>
      <c r="M5368" s="301" t="str">
        <f>N5368&amp;AS[[#This Row],[Insurer Code]]&amp;"; "&amp;O5368&amp;AS[[#This Row],[Reporting Year]]&amp;"; "&amp;P5368&amp;AS[[#This Row],[Insurance Category Code]]&amp;"; "&amp;Q5368&amp;AS[[#This Row],[Large Provider Entity Code]]&amp;"; "&amp;R5368&amp;AS[[#This Row],[Age Band Code]]&amp;"; "&amp;S5368&amp;AS[[#This Row],[Sex Code]]</f>
        <v xml:space="preserve">Insurer Code ; Reporting Year ; Insurance Category Code ; Large Provider Entity Code ; Age Band Code ; Sex Code </v>
      </c>
      <c r="N5368" s="297" t="s">
        <v>197</v>
      </c>
      <c r="O5368" s="297" t="s">
        <v>198</v>
      </c>
      <c r="P5368" s="297" t="s">
        <v>199</v>
      </c>
      <c r="Q5368" s="297" t="s">
        <v>200</v>
      </c>
      <c r="R5368" s="297" t="s">
        <v>213</v>
      </c>
      <c r="S5368" s="297" t="s">
        <v>214</v>
      </c>
    </row>
    <row r="5369" spans="1:19" x14ac:dyDescent="0.4">
      <c r="A5369" s="548"/>
      <c r="B5369" s="292"/>
      <c r="C5369" s="292"/>
      <c r="D5369" s="292"/>
      <c r="E5369" s="549"/>
      <c r="F5369" s="549"/>
      <c r="G5369" s="550"/>
      <c r="H5369" s="551"/>
      <c r="I5369" s="552"/>
      <c r="J5369" s="553"/>
      <c r="K5369" s="554"/>
      <c r="M5369" s="301" t="str">
        <f>N5369&amp;AS[[#This Row],[Insurer Code]]&amp;"; "&amp;O5369&amp;AS[[#This Row],[Reporting Year]]&amp;"; "&amp;P5369&amp;AS[[#This Row],[Insurance Category Code]]&amp;"; "&amp;Q5369&amp;AS[[#This Row],[Large Provider Entity Code]]&amp;"; "&amp;R5369&amp;AS[[#This Row],[Age Band Code]]&amp;"; "&amp;S5369&amp;AS[[#This Row],[Sex Code]]</f>
        <v xml:space="preserve">Insurer Code ; Reporting Year ; Insurance Category Code ; Large Provider Entity Code ; Age Band Code ; Sex Code </v>
      </c>
      <c r="N5369" s="297" t="s">
        <v>197</v>
      </c>
      <c r="O5369" s="297" t="s">
        <v>198</v>
      </c>
      <c r="P5369" s="297" t="s">
        <v>199</v>
      </c>
      <c r="Q5369" s="297" t="s">
        <v>200</v>
      </c>
      <c r="R5369" s="297" t="s">
        <v>213</v>
      </c>
      <c r="S5369" s="297" t="s">
        <v>214</v>
      </c>
    </row>
    <row r="5370" spans="1:19" x14ac:dyDescent="0.4">
      <c r="A5370" s="548"/>
      <c r="B5370" s="292"/>
      <c r="C5370" s="292"/>
      <c r="D5370" s="292"/>
      <c r="E5370" s="549"/>
      <c r="F5370" s="549"/>
      <c r="G5370" s="550"/>
      <c r="H5370" s="551"/>
      <c r="I5370" s="552"/>
      <c r="J5370" s="553"/>
      <c r="K5370" s="554"/>
      <c r="M5370" s="301" t="str">
        <f>N5370&amp;AS[[#This Row],[Insurer Code]]&amp;"; "&amp;O5370&amp;AS[[#This Row],[Reporting Year]]&amp;"; "&amp;P5370&amp;AS[[#This Row],[Insurance Category Code]]&amp;"; "&amp;Q5370&amp;AS[[#This Row],[Large Provider Entity Code]]&amp;"; "&amp;R5370&amp;AS[[#This Row],[Age Band Code]]&amp;"; "&amp;S5370&amp;AS[[#This Row],[Sex Code]]</f>
        <v xml:space="preserve">Insurer Code ; Reporting Year ; Insurance Category Code ; Large Provider Entity Code ; Age Band Code ; Sex Code </v>
      </c>
      <c r="N5370" s="297" t="s">
        <v>197</v>
      </c>
      <c r="O5370" s="297" t="s">
        <v>198</v>
      </c>
      <c r="P5370" s="297" t="s">
        <v>199</v>
      </c>
      <c r="Q5370" s="297" t="s">
        <v>200</v>
      </c>
      <c r="R5370" s="297" t="s">
        <v>213</v>
      </c>
      <c r="S5370" s="297" t="s">
        <v>214</v>
      </c>
    </row>
    <row r="5371" spans="1:19" x14ac:dyDescent="0.4">
      <c r="A5371" s="548"/>
      <c r="B5371" s="292"/>
      <c r="C5371" s="292"/>
      <c r="D5371" s="292"/>
      <c r="E5371" s="549"/>
      <c r="F5371" s="549"/>
      <c r="G5371" s="550"/>
      <c r="H5371" s="551"/>
      <c r="I5371" s="552"/>
      <c r="J5371" s="553"/>
      <c r="K5371" s="554"/>
      <c r="M5371" s="301" t="str">
        <f>N5371&amp;AS[[#This Row],[Insurer Code]]&amp;"; "&amp;O5371&amp;AS[[#This Row],[Reporting Year]]&amp;"; "&amp;P5371&amp;AS[[#This Row],[Insurance Category Code]]&amp;"; "&amp;Q5371&amp;AS[[#This Row],[Large Provider Entity Code]]&amp;"; "&amp;R5371&amp;AS[[#This Row],[Age Band Code]]&amp;"; "&amp;S5371&amp;AS[[#This Row],[Sex Code]]</f>
        <v xml:space="preserve">Insurer Code ; Reporting Year ; Insurance Category Code ; Large Provider Entity Code ; Age Band Code ; Sex Code </v>
      </c>
      <c r="N5371" s="297" t="s">
        <v>197</v>
      </c>
      <c r="O5371" s="297" t="s">
        <v>198</v>
      </c>
      <c r="P5371" s="297" t="s">
        <v>199</v>
      </c>
      <c r="Q5371" s="297" t="s">
        <v>200</v>
      </c>
      <c r="R5371" s="297" t="s">
        <v>213</v>
      </c>
      <c r="S5371" s="297" t="s">
        <v>214</v>
      </c>
    </row>
    <row r="5372" spans="1:19" x14ac:dyDescent="0.4">
      <c r="A5372" s="548"/>
      <c r="B5372" s="292"/>
      <c r="C5372" s="292"/>
      <c r="D5372" s="292"/>
      <c r="E5372" s="549"/>
      <c r="F5372" s="549"/>
      <c r="G5372" s="550"/>
      <c r="H5372" s="551"/>
      <c r="I5372" s="552"/>
      <c r="J5372" s="553"/>
      <c r="K5372" s="554"/>
      <c r="M5372" s="301" t="str">
        <f>N5372&amp;AS[[#This Row],[Insurer Code]]&amp;"; "&amp;O5372&amp;AS[[#This Row],[Reporting Year]]&amp;"; "&amp;P5372&amp;AS[[#This Row],[Insurance Category Code]]&amp;"; "&amp;Q5372&amp;AS[[#This Row],[Large Provider Entity Code]]&amp;"; "&amp;R5372&amp;AS[[#This Row],[Age Band Code]]&amp;"; "&amp;S5372&amp;AS[[#This Row],[Sex Code]]</f>
        <v xml:space="preserve">Insurer Code ; Reporting Year ; Insurance Category Code ; Large Provider Entity Code ; Age Band Code ; Sex Code </v>
      </c>
      <c r="N5372" s="297" t="s">
        <v>197</v>
      </c>
      <c r="O5372" s="297" t="s">
        <v>198</v>
      </c>
      <c r="P5372" s="297" t="s">
        <v>199</v>
      </c>
      <c r="Q5372" s="297" t="s">
        <v>200</v>
      </c>
      <c r="R5372" s="297" t="s">
        <v>213</v>
      </c>
      <c r="S5372" s="297" t="s">
        <v>214</v>
      </c>
    </row>
    <row r="5373" spans="1:19" x14ac:dyDescent="0.4">
      <c r="A5373" s="548"/>
      <c r="B5373" s="292"/>
      <c r="C5373" s="292"/>
      <c r="D5373" s="292"/>
      <c r="E5373" s="549"/>
      <c r="F5373" s="549"/>
      <c r="G5373" s="550"/>
      <c r="H5373" s="551"/>
      <c r="I5373" s="552"/>
      <c r="J5373" s="553"/>
      <c r="K5373" s="554"/>
      <c r="M5373" s="301" t="str">
        <f>N5373&amp;AS[[#This Row],[Insurer Code]]&amp;"; "&amp;O5373&amp;AS[[#This Row],[Reporting Year]]&amp;"; "&amp;P5373&amp;AS[[#This Row],[Insurance Category Code]]&amp;"; "&amp;Q5373&amp;AS[[#This Row],[Large Provider Entity Code]]&amp;"; "&amp;R5373&amp;AS[[#This Row],[Age Band Code]]&amp;"; "&amp;S5373&amp;AS[[#This Row],[Sex Code]]</f>
        <v xml:space="preserve">Insurer Code ; Reporting Year ; Insurance Category Code ; Large Provider Entity Code ; Age Band Code ; Sex Code </v>
      </c>
      <c r="N5373" s="297" t="s">
        <v>197</v>
      </c>
      <c r="O5373" s="297" t="s">
        <v>198</v>
      </c>
      <c r="P5373" s="297" t="s">
        <v>199</v>
      </c>
      <c r="Q5373" s="297" t="s">
        <v>200</v>
      </c>
      <c r="R5373" s="297" t="s">
        <v>213</v>
      </c>
      <c r="S5373" s="297" t="s">
        <v>214</v>
      </c>
    </row>
    <row r="5374" spans="1:19" x14ac:dyDescent="0.4">
      <c r="A5374" s="548"/>
      <c r="B5374" s="292"/>
      <c r="C5374" s="292"/>
      <c r="D5374" s="292"/>
      <c r="E5374" s="549"/>
      <c r="F5374" s="549"/>
      <c r="G5374" s="550"/>
      <c r="H5374" s="551"/>
      <c r="I5374" s="552"/>
      <c r="J5374" s="553"/>
      <c r="K5374" s="554"/>
      <c r="M5374" s="301" t="str">
        <f>N5374&amp;AS[[#This Row],[Insurer Code]]&amp;"; "&amp;O5374&amp;AS[[#This Row],[Reporting Year]]&amp;"; "&amp;P5374&amp;AS[[#This Row],[Insurance Category Code]]&amp;"; "&amp;Q5374&amp;AS[[#This Row],[Large Provider Entity Code]]&amp;"; "&amp;R5374&amp;AS[[#This Row],[Age Band Code]]&amp;"; "&amp;S5374&amp;AS[[#This Row],[Sex Code]]</f>
        <v xml:space="preserve">Insurer Code ; Reporting Year ; Insurance Category Code ; Large Provider Entity Code ; Age Band Code ; Sex Code </v>
      </c>
      <c r="N5374" s="297" t="s">
        <v>197</v>
      </c>
      <c r="O5374" s="297" t="s">
        <v>198</v>
      </c>
      <c r="P5374" s="297" t="s">
        <v>199</v>
      </c>
      <c r="Q5374" s="297" t="s">
        <v>200</v>
      </c>
      <c r="R5374" s="297" t="s">
        <v>213</v>
      </c>
      <c r="S5374" s="297" t="s">
        <v>214</v>
      </c>
    </row>
    <row r="5375" spans="1:19" x14ac:dyDescent="0.4">
      <c r="A5375" s="548"/>
      <c r="B5375" s="292"/>
      <c r="C5375" s="292"/>
      <c r="D5375" s="292"/>
      <c r="E5375" s="549"/>
      <c r="F5375" s="549"/>
      <c r="G5375" s="550"/>
      <c r="H5375" s="551"/>
      <c r="I5375" s="552"/>
      <c r="J5375" s="553"/>
      <c r="K5375" s="554"/>
      <c r="M5375" s="301" t="str">
        <f>N5375&amp;AS[[#This Row],[Insurer Code]]&amp;"; "&amp;O5375&amp;AS[[#This Row],[Reporting Year]]&amp;"; "&amp;P5375&amp;AS[[#This Row],[Insurance Category Code]]&amp;"; "&amp;Q5375&amp;AS[[#This Row],[Large Provider Entity Code]]&amp;"; "&amp;R5375&amp;AS[[#This Row],[Age Band Code]]&amp;"; "&amp;S5375&amp;AS[[#This Row],[Sex Code]]</f>
        <v xml:space="preserve">Insurer Code ; Reporting Year ; Insurance Category Code ; Large Provider Entity Code ; Age Band Code ; Sex Code </v>
      </c>
      <c r="N5375" s="297" t="s">
        <v>197</v>
      </c>
      <c r="O5375" s="297" t="s">
        <v>198</v>
      </c>
      <c r="P5375" s="297" t="s">
        <v>199</v>
      </c>
      <c r="Q5375" s="297" t="s">
        <v>200</v>
      </c>
      <c r="R5375" s="297" t="s">
        <v>213</v>
      </c>
      <c r="S5375" s="297" t="s">
        <v>214</v>
      </c>
    </row>
    <row r="5376" spans="1:19" x14ac:dyDescent="0.4">
      <c r="A5376" s="548"/>
      <c r="B5376" s="292"/>
      <c r="C5376" s="292"/>
      <c r="D5376" s="292"/>
      <c r="E5376" s="549"/>
      <c r="F5376" s="549"/>
      <c r="G5376" s="550"/>
      <c r="H5376" s="551"/>
      <c r="I5376" s="552"/>
      <c r="J5376" s="553"/>
      <c r="K5376" s="554"/>
      <c r="M5376" s="301" t="str">
        <f>N5376&amp;AS[[#This Row],[Insurer Code]]&amp;"; "&amp;O5376&amp;AS[[#This Row],[Reporting Year]]&amp;"; "&amp;P5376&amp;AS[[#This Row],[Insurance Category Code]]&amp;"; "&amp;Q5376&amp;AS[[#This Row],[Large Provider Entity Code]]&amp;"; "&amp;R5376&amp;AS[[#This Row],[Age Band Code]]&amp;"; "&amp;S5376&amp;AS[[#This Row],[Sex Code]]</f>
        <v xml:space="preserve">Insurer Code ; Reporting Year ; Insurance Category Code ; Large Provider Entity Code ; Age Band Code ; Sex Code </v>
      </c>
      <c r="N5376" s="297" t="s">
        <v>197</v>
      </c>
      <c r="O5376" s="297" t="s">
        <v>198</v>
      </c>
      <c r="P5376" s="297" t="s">
        <v>199</v>
      </c>
      <c r="Q5376" s="297" t="s">
        <v>200</v>
      </c>
      <c r="R5376" s="297" t="s">
        <v>213</v>
      </c>
      <c r="S5376" s="297" t="s">
        <v>214</v>
      </c>
    </row>
    <row r="5377" spans="1:19" x14ac:dyDescent="0.4">
      <c r="A5377" s="548"/>
      <c r="B5377" s="292"/>
      <c r="C5377" s="292"/>
      <c r="D5377" s="292"/>
      <c r="E5377" s="549"/>
      <c r="F5377" s="549"/>
      <c r="G5377" s="550"/>
      <c r="H5377" s="551"/>
      <c r="I5377" s="552"/>
      <c r="J5377" s="553"/>
      <c r="K5377" s="554"/>
      <c r="M5377" s="301" t="str">
        <f>N5377&amp;AS[[#This Row],[Insurer Code]]&amp;"; "&amp;O5377&amp;AS[[#This Row],[Reporting Year]]&amp;"; "&amp;P5377&amp;AS[[#This Row],[Insurance Category Code]]&amp;"; "&amp;Q5377&amp;AS[[#This Row],[Large Provider Entity Code]]&amp;"; "&amp;R5377&amp;AS[[#This Row],[Age Band Code]]&amp;"; "&amp;S5377&amp;AS[[#This Row],[Sex Code]]</f>
        <v xml:space="preserve">Insurer Code ; Reporting Year ; Insurance Category Code ; Large Provider Entity Code ; Age Band Code ; Sex Code </v>
      </c>
      <c r="N5377" s="297" t="s">
        <v>197</v>
      </c>
      <c r="O5377" s="297" t="s">
        <v>198</v>
      </c>
      <c r="P5377" s="297" t="s">
        <v>199</v>
      </c>
      <c r="Q5377" s="297" t="s">
        <v>200</v>
      </c>
      <c r="R5377" s="297" t="s">
        <v>213</v>
      </c>
      <c r="S5377" s="297" t="s">
        <v>214</v>
      </c>
    </row>
    <row r="5378" spans="1:19" x14ac:dyDescent="0.4">
      <c r="A5378" s="548"/>
      <c r="B5378" s="292"/>
      <c r="C5378" s="292"/>
      <c r="D5378" s="292"/>
      <c r="E5378" s="549"/>
      <c r="F5378" s="549"/>
      <c r="G5378" s="550"/>
      <c r="H5378" s="551"/>
      <c r="I5378" s="552"/>
      <c r="J5378" s="553"/>
      <c r="K5378" s="554"/>
      <c r="M5378" s="301" t="str">
        <f>N5378&amp;AS[[#This Row],[Insurer Code]]&amp;"; "&amp;O5378&amp;AS[[#This Row],[Reporting Year]]&amp;"; "&amp;P5378&amp;AS[[#This Row],[Insurance Category Code]]&amp;"; "&amp;Q5378&amp;AS[[#This Row],[Large Provider Entity Code]]&amp;"; "&amp;R5378&amp;AS[[#This Row],[Age Band Code]]&amp;"; "&amp;S5378&amp;AS[[#This Row],[Sex Code]]</f>
        <v xml:space="preserve">Insurer Code ; Reporting Year ; Insurance Category Code ; Large Provider Entity Code ; Age Band Code ; Sex Code </v>
      </c>
      <c r="N5378" s="297" t="s">
        <v>197</v>
      </c>
      <c r="O5378" s="297" t="s">
        <v>198</v>
      </c>
      <c r="P5378" s="297" t="s">
        <v>199</v>
      </c>
      <c r="Q5378" s="297" t="s">
        <v>200</v>
      </c>
      <c r="R5378" s="297" t="s">
        <v>213</v>
      </c>
      <c r="S5378" s="297" t="s">
        <v>214</v>
      </c>
    </row>
    <row r="5379" spans="1:19" x14ac:dyDescent="0.4">
      <c r="A5379" s="548"/>
      <c r="B5379" s="292"/>
      <c r="C5379" s="292"/>
      <c r="D5379" s="292"/>
      <c r="E5379" s="549"/>
      <c r="F5379" s="549"/>
      <c r="G5379" s="550"/>
      <c r="H5379" s="551"/>
      <c r="I5379" s="552"/>
      <c r="J5379" s="553"/>
      <c r="K5379" s="554"/>
      <c r="M5379" s="301" t="str">
        <f>N5379&amp;AS[[#This Row],[Insurer Code]]&amp;"; "&amp;O5379&amp;AS[[#This Row],[Reporting Year]]&amp;"; "&amp;P5379&amp;AS[[#This Row],[Insurance Category Code]]&amp;"; "&amp;Q5379&amp;AS[[#This Row],[Large Provider Entity Code]]&amp;"; "&amp;R5379&amp;AS[[#This Row],[Age Band Code]]&amp;"; "&amp;S5379&amp;AS[[#This Row],[Sex Code]]</f>
        <v xml:space="preserve">Insurer Code ; Reporting Year ; Insurance Category Code ; Large Provider Entity Code ; Age Band Code ; Sex Code </v>
      </c>
      <c r="N5379" s="297" t="s">
        <v>197</v>
      </c>
      <c r="O5379" s="297" t="s">
        <v>198</v>
      </c>
      <c r="P5379" s="297" t="s">
        <v>199</v>
      </c>
      <c r="Q5379" s="297" t="s">
        <v>200</v>
      </c>
      <c r="R5379" s="297" t="s">
        <v>213</v>
      </c>
      <c r="S5379" s="297" t="s">
        <v>214</v>
      </c>
    </row>
    <row r="5380" spans="1:19" x14ac:dyDescent="0.4">
      <c r="A5380" s="548"/>
      <c r="B5380" s="292"/>
      <c r="C5380" s="292"/>
      <c r="D5380" s="292"/>
      <c r="E5380" s="549"/>
      <c r="F5380" s="549"/>
      <c r="G5380" s="550"/>
      <c r="H5380" s="551"/>
      <c r="I5380" s="552"/>
      <c r="J5380" s="553"/>
      <c r="K5380" s="554"/>
      <c r="M5380" s="301" t="str">
        <f>N5380&amp;AS[[#This Row],[Insurer Code]]&amp;"; "&amp;O5380&amp;AS[[#This Row],[Reporting Year]]&amp;"; "&amp;P5380&amp;AS[[#This Row],[Insurance Category Code]]&amp;"; "&amp;Q5380&amp;AS[[#This Row],[Large Provider Entity Code]]&amp;"; "&amp;R5380&amp;AS[[#This Row],[Age Band Code]]&amp;"; "&amp;S5380&amp;AS[[#This Row],[Sex Code]]</f>
        <v xml:space="preserve">Insurer Code ; Reporting Year ; Insurance Category Code ; Large Provider Entity Code ; Age Band Code ; Sex Code </v>
      </c>
      <c r="N5380" s="297" t="s">
        <v>197</v>
      </c>
      <c r="O5380" s="297" t="s">
        <v>198</v>
      </c>
      <c r="P5380" s="297" t="s">
        <v>199</v>
      </c>
      <c r="Q5380" s="297" t="s">
        <v>200</v>
      </c>
      <c r="R5380" s="297" t="s">
        <v>213</v>
      </c>
      <c r="S5380" s="297" t="s">
        <v>214</v>
      </c>
    </row>
    <row r="5381" spans="1:19" x14ac:dyDescent="0.4">
      <c r="A5381" s="548"/>
      <c r="B5381" s="292"/>
      <c r="C5381" s="292"/>
      <c r="D5381" s="292"/>
      <c r="E5381" s="549"/>
      <c r="F5381" s="549"/>
      <c r="G5381" s="550"/>
      <c r="H5381" s="551"/>
      <c r="I5381" s="552"/>
      <c r="J5381" s="553"/>
      <c r="K5381" s="554"/>
      <c r="M5381" s="301" t="str">
        <f>N5381&amp;AS[[#This Row],[Insurer Code]]&amp;"; "&amp;O5381&amp;AS[[#This Row],[Reporting Year]]&amp;"; "&amp;P5381&amp;AS[[#This Row],[Insurance Category Code]]&amp;"; "&amp;Q5381&amp;AS[[#This Row],[Large Provider Entity Code]]&amp;"; "&amp;R5381&amp;AS[[#This Row],[Age Band Code]]&amp;"; "&amp;S5381&amp;AS[[#This Row],[Sex Code]]</f>
        <v xml:space="preserve">Insurer Code ; Reporting Year ; Insurance Category Code ; Large Provider Entity Code ; Age Band Code ; Sex Code </v>
      </c>
      <c r="N5381" s="297" t="s">
        <v>197</v>
      </c>
      <c r="O5381" s="297" t="s">
        <v>198</v>
      </c>
      <c r="P5381" s="297" t="s">
        <v>199</v>
      </c>
      <c r="Q5381" s="297" t="s">
        <v>200</v>
      </c>
      <c r="R5381" s="297" t="s">
        <v>213</v>
      </c>
      <c r="S5381" s="297" t="s">
        <v>214</v>
      </c>
    </row>
    <row r="5382" spans="1:19" x14ac:dyDescent="0.4">
      <c r="A5382" s="548"/>
      <c r="B5382" s="292"/>
      <c r="C5382" s="292"/>
      <c r="D5382" s="292"/>
      <c r="E5382" s="549"/>
      <c r="F5382" s="549"/>
      <c r="G5382" s="550"/>
      <c r="H5382" s="551"/>
      <c r="I5382" s="552"/>
      <c r="J5382" s="553"/>
      <c r="K5382" s="554"/>
      <c r="M5382" s="301" t="str">
        <f>N5382&amp;AS[[#This Row],[Insurer Code]]&amp;"; "&amp;O5382&amp;AS[[#This Row],[Reporting Year]]&amp;"; "&amp;P5382&amp;AS[[#This Row],[Insurance Category Code]]&amp;"; "&amp;Q5382&amp;AS[[#This Row],[Large Provider Entity Code]]&amp;"; "&amp;R5382&amp;AS[[#This Row],[Age Band Code]]&amp;"; "&amp;S5382&amp;AS[[#This Row],[Sex Code]]</f>
        <v xml:space="preserve">Insurer Code ; Reporting Year ; Insurance Category Code ; Large Provider Entity Code ; Age Band Code ; Sex Code </v>
      </c>
      <c r="N5382" s="297" t="s">
        <v>197</v>
      </c>
      <c r="O5382" s="297" t="s">
        <v>198</v>
      </c>
      <c r="P5382" s="297" t="s">
        <v>199</v>
      </c>
      <c r="Q5382" s="297" t="s">
        <v>200</v>
      </c>
      <c r="R5382" s="297" t="s">
        <v>213</v>
      </c>
      <c r="S5382" s="297" t="s">
        <v>214</v>
      </c>
    </row>
    <row r="5383" spans="1:19" x14ac:dyDescent="0.4">
      <c r="A5383" s="548"/>
      <c r="B5383" s="292"/>
      <c r="C5383" s="292"/>
      <c r="D5383" s="292"/>
      <c r="E5383" s="549"/>
      <c r="F5383" s="549"/>
      <c r="G5383" s="550"/>
      <c r="H5383" s="551"/>
      <c r="I5383" s="552"/>
      <c r="J5383" s="553"/>
      <c r="K5383" s="554"/>
      <c r="M5383" s="301" t="str">
        <f>N5383&amp;AS[[#This Row],[Insurer Code]]&amp;"; "&amp;O5383&amp;AS[[#This Row],[Reporting Year]]&amp;"; "&amp;P5383&amp;AS[[#This Row],[Insurance Category Code]]&amp;"; "&amp;Q5383&amp;AS[[#This Row],[Large Provider Entity Code]]&amp;"; "&amp;R5383&amp;AS[[#This Row],[Age Band Code]]&amp;"; "&amp;S5383&amp;AS[[#This Row],[Sex Code]]</f>
        <v xml:space="preserve">Insurer Code ; Reporting Year ; Insurance Category Code ; Large Provider Entity Code ; Age Band Code ; Sex Code </v>
      </c>
      <c r="N5383" s="297" t="s">
        <v>197</v>
      </c>
      <c r="O5383" s="297" t="s">
        <v>198</v>
      </c>
      <c r="P5383" s="297" t="s">
        <v>199</v>
      </c>
      <c r="Q5383" s="297" t="s">
        <v>200</v>
      </c>
      <c r="R5383" s="297" t="s">
        <v>213</v>
      </c>
      <c r="S5383" s="297" t="s">
        <v>214</v>
      </c>
    </row>
    <row r="5384" spans="1:19" x14ac:dyDescent="0.4">
      <c r="A5384" s="548"/>
      <c r="B5384" s="292"/>
      <c r="C5384" s="292"/>
      <c r="D5384" s="292"/>
      <c r="E5384" s="549"/>
      <c r="F5384" s="549"/>
      <c r="G5384" s="550"/>
      <c r="H5384" s="551"/>
      <c r="I5384" s="552"/>
      <c r="J5384" s="553"/>
      <c r="K5384" s="554"/>
      <c r="M5384" s="301" t="str">
        <f>N5384&amp;AS[[#This Row],[Insurer Code]]&amp;"; "&amp;O5384&amp;AS[[#This Row],[Reporting Year]]&amp;"; "&amp;P5384&amp;AS[[#This Row],[Insurance Category Code]]&amp;"; "&amp;Q5384&amp;AS[[#This Row],[Large Provider Entity Code]]&amp;"; "&amp;R5384&amp;AS[[#This Row],[Age Band Code]]&amp;"; "&amp;S5384&amp;AS[[#This Row],[Sex Code]]</f>
        <v xml:space="preserve">Insurer Code ; Reporting Year ; Insurance Category Code ; Large Provider Entity Code ; Age Band Code ; Sex Code </v>
      </c>
      <c r="N5384" s="297" t="s">
        <v>197</v>
      </c>
      <c r="O5384" s="297" t="s">
        <v>198</v>
      </c>
      <c r="P5384" s="297" t="s">
        <v>199</v>
      </c>
      <c r="Q5384" s="297" t="s">
        <v>200</v>
      </c>
      <c r="R5384" s="297" t="s">
        <v>213</v>
      </c>
      <c r="S5384" s="297" t="s">
        <v>214</v>
      </c>
    </row>
    <row r="5385" spans="1:19" x14ac:dyDescent="0.4">
      <c r="A5385" s="548"/>
      <c r="B5385" s="292"/>
      <c r="C5385" s="292"/>
      <c r="D5385" s="292"/>
      <c r="E5385" s="549"/>
      <c r="F5385" s="549"/>
      <c r="G5385" s="550"/>
      <c r="H5385" s="551"/>
      <c r="I5385" s="552"/>
      <c r="J5385" s="553"/>
      <c r="K5385" s="554"/>
      <c r="M5385" s="301" t="str">
        <f>N5385&amp;AS[[#This Row],[Insurer Code]]&amp;"; "&amp;O5385&amp;AS[[#This Row],[Reporting Year]]&amp;"; "&amp;P5385&amp;AS[[#This Row],[Insurance Category Code]]&amp;"; "&amp;Q5385&amp;AS[[#This Row],[Large Provider Entity Code]]&amp;"; "&amp;R5385&amp;AS[[#This Row],[Age Band Code]]&amp;"; "&amp;S5385&amp;AS[[#This Row],[Sex Code]]</f>
        <v xml:space="preserve">Insurer Code ; Reporting Year ; Insurance Category Code ; Large Provider Entity Code ; Age Band Code ; Sex Code </v>
      </c>
      <c r="N5385" s="297" t="s">
        <v>197</v>
      </c>
      <c r="O5385" s="297" t="s">
        <v>198</v>
      </c>
      <c r="P5385" s="297" t="s">
        <v>199</v>
      </c>
      <c r="Q5385" s="297" t="s">
        <v>200</v>
      </c>
      <c r="R5385" s="297" t="s">
        <v>213</v>
      </c>
      <c r="S5385" s="297" t="s">
        <v>214</v>
      </c>
    </row>
    <row r="5386" spans="1:19" x14ac:dyDescent="0.4">
      <c r="A5386" s="548"/>
      <c r="B5386" s="292"/>
      <c r="C5386" s="292"/>
      <c r="D5386" s="292"/>
      <c r="E5386" s="549"/>
      <c r="F5386" s="549"/>
      <c r="G5386" s="550"/>
      <c r="H5386" s="551"/>
      <c r="I5386" s="552"/>
      <c r="J5386" s="553"/>
      <c r="K5386" s="554"/>
      <c r="M5386" s="301" t="str">
        <f>N5386&amp;AS[[#This Row],[Insurer Code]]&amp;"; "&amp;O5386&amp;AS[[#This Row],[Reporting Year]]&amp;"; "&amp;P5386&amp;AS[[#This Row],[Insurance Category Code]]&amp;"; "&amp;Q5386&amp;AS[[#This Row],[Large Provider Entity Code]]&amp;"; "&amp;R5386&amp;AS[[#This Row],[Age Band Code]]&amp;"; "&amp;S5386&amp;AS[[#This Row],[Sex Code]]</f>
        <v xml:space="preserve">Insurer Code ; Reporting Year ; Insurance Category Code ; Large Provider Entity Code ; Age Band Code ; Sex Code </v>
      </c>
      <c r="N5386" s="297" t="s">
        <v>197</v>
      </c>
      <c r="O5386" s="297" t="s">
        <v>198</v>
      </c>
      <c r="P5386" s="297" t="s">
        <v>199</v>
      </c>
      <c r="Q5386" s="297" t="s">
        <v>200</v>
      </c>
      <c r="R5386" s="297" t="s">
        <v>213</v>
      </c>
      <c r="S5386" s="297" t="s">
        <v>214</v>
      </c>
    </row>
    <row r="5387" spans="1:19" x14ac:dyDescent="0.4">
      <c r="A5387" s="548"/>
      <c r="B5387" s="292"/>
      <c r="C5387" s="292"/>
      <c r="D5387" s="292"/>
      <c r="E5387" s="549"/>
      <c r="F5387" s="549"/>
      <c r="G5387" s="550"/>
      <c r="H5387" s="551"/>
      <c r="I5387" s="552"/>
      <c r="J5387" s="553"/>
      <c r="K5387" s="554"/>
      <c r="M5387" s="301" t="str">
        <f>N5387&amp;AS[[#This Row],[Insurer Code]]&amp;"; "&amp;O5387&amp;AS[[#This Row],[Reporting Year]]&amp;"; "&amp;P5387&amp;AS[[#This Row],[Insurance Category Code]]&amp;"; "&amp;Q5387&amp;AS[[#This Row],[Large Provider Entity Code]]&amp;"; "&amp;R5387&amp;AS[[#This Row],[Age Band Code]]&amp;"; "&amp;S5387&amp;AS[[#This Row],[Sex Code]]</f>
        <v xml:space="preserve">Insurer Code ; Reporting Year ; Insurance Category Code ; Large Provider Entity Code ; Age Band Code ; Sex Code </v>
      </c>
      <c r="N5387" s="297" t="s">
        <v>197</v>
      </c>
      <c r="O5387" s="297" t="s">
        <v>198</v>
      </c>
      <c r="P5387" s="297" t="s">
        <v>199</v>
      </c>
      <c r="Q5387" s="297" t="s">
        <v>200</v>
      </c>
      <c r="R5387" s="297" t="s">
        <v>213</v>
      </c>
      <c r="S5387" s="297" t="s">
        <v>214</v>
      </c>
    </row>
    <row r="5388" spans="1:19" x14ac:dyDescent="0.4">
      <c r="A5388" s="548"/>
      <c r="B5388" s="292"/>
      <c r="C5388" s="292"/>
      <c r="D5388" s="292"/>
      <c r="E5388" s="549"/>
      <c r="F5388" s="549"/>
      <c r="G5388" s="550"/>
      <c r="H5388" s="551"/>
      <c r="I5388" s="552"/>
      <c r="J5388" s="553"/>
      <c r="K5388" s="554"/>
      <c r="M5388" s="301" t="str">
        <f>N5388&amp;AS[[#This Row],[Insurer Code]]&amp;"; "&amp;O5388&amp;AS[[#This Row],[Reporting Year]]&amp;"; "&amp;P5388&amp;AS[[#This Row],[Insurance Category Code]]&amp;"; "&amp;Q5388&amp;AS[[#This Row],[Large Provider Entity Code]]&amp;"; "&amp;R5388&amp;AS[[#This Row],[Age Band Code]]&amp;"; "&amp;S5388&amp;AS[[#This Row],[Sex Code]]</f>
        <v xml:space="preserve">Insurer Code ; Reporting Year ; Insurance Category Code ; Large Provider Entity Code ; Age Band Code ; Sex Code </v>
      </c>
      <c r="N5388" s="297" t="s">
        <v>197</v>
      </c>
      <c r="O5388" s="297" t="s">
        <v>198</v>
      </c>
      <c r="P5388" s="297" t="s">
        <v>199</v>
      </c>
      <c r="Q5388" s="297" t="s">
        <v>200</v>
      </c>
      <c r="R5388" s="297" t="s">
        <v>213</v>
      </c>
      <c r="S5388" s="297" t="s">
        <v>214</v>
      </c>
    </row>
    <row r="5389" spans="1:19" x14ac:dyDescent="0.4">
      <c r="A5389" s="548"/>
      <c r="B5389" s="292"/>
      <c r="C5389" s="292"/>
      <c r="D5389" s="292"/>
      <c r="E5389" s="549"/>
      <c r="F5389" s="549"/>
      <c r="G5389" s="550"/>
      <c r="H5389" s="551"/>
      <c r="I5389" s="552"/>
      <c r="J5389" s="553"/>
      <c r="K5389" s="554"/>
      <c r="M5389" s="301" t="str">
        <f>N5389&amp;AS[[#This Row],[Insurer Code]]&amp;"; "&amp;O5389&amp;AS[[#This Row],[Reporting Year]]&amp;"; "&amp;P5389&amp;AS[[#This Row],[Insurance Category Code]]&amp;"; "&amp;Q5389&amp;AS[[#This Row],[Large Provider Entity Code]]&amp;"; "&amp;R5389&amp;AS[[#This Row],[Age Band Code]]&amp;"; "&amp;S5389&amp;AS[[#This Row],[Sex Code]]</f>
        <v xml:space="preserve">Insurer Code ; Reporting Year ; Insurance Category Code ; Large Provider Entity Code ; Age Band Code ; Sex Code </v>
      </c>
      <c r="N5389" s="297" t="s">
        <v>197</v>
      </c>
      <c r="O5389" s="297" t="s">
        <v>198</v>
      </c>
      <c r="P5389" s="297" t="s">
        <v>199</v>
      </c>
      <c r="Q5389" s="297" t="s">
        <v>200</v>
      </c>
      <c r="R5389" s="297" t="s">
        <v>213</v>
      </c>
      <c r="S5389" s="297" t="s">
        <v>214</v>
      </c>
    </row>
    <row r="5390" spans="1:19" x14ac:dyDescent="0.4">
      <c r="A5390" s="548"/>
      <c r="B5390" s="292"/>
      <c r="C5390" s="292"/>
      <c r="D5390" s="292"/>
      <c r="E5390" s="549"/>
      <c r="F5390" s="549"/>
      <c r="G5390" s="550"/>
      <c r="H5390" s="551"/>
      <c r="I5390" s="552"/>
      <c r="J5390" s="553"/>
      <c r="K5390" s="554"/>
      <c r="M5390" s="301" t="str">
        <f>N5390&amp;AS[[#This Row],[Insurer Code]]&amp;"; "&amp;O5390&amp;AS[[#This Row],[Reporting Year]]&amp;"; "&amp;P5390&amp;AS[[#This Row],[Insurance Category Code]]&amp;"; "&amp;Q5390&amp;AS[[#This Row],[Large Provider Entity Code]]&amp;"; "&amp;R5390&amp;AS[[#This Row],[Age Band Code]]&amp;"; "&amp;S5390&amp;AS[[#This Row],[Sex Code]]</f>
        <v xml:space="preserve">Insurer Code ; Reporting Year ; Insurance Category Code ; Large Provider Entity Code ; Age Band Code ; Sex Code </v>
      </c>
      <c r="N5390" s="297" t="s">
        <v>197</v>
      </c>
      <c r="O5390" s="297" t="s">
        <v>198</v>
      </c>
      <c r="P5390" s="297" t="s">
        <v>199</v>
      </c>
      <c r="Q5390" s="297" t="s">
        <v>200</v>
      </c>
      <c r="R5390" s="297" t="s">
        <v>213</v>
      </c>
      <c r="S5390" s="297" t="s">
        <v>214</v>
      </c>
    </row>
    <row r="5391" spans="1:19" x14ac:dyDescent="0.4">
      <c r="A5391" s="548"/>
      <c r="B5391" s="292"/>
      <c r="C5391" s="292"/>
      <c r="D5391" s="292"/>
      <c r="E5391" s="549"/>
      <c r="F5391" s="549"/>
      <c r="G5391" s="550"/>
      <c r="H5391" s="551"/>
      <c r="I5391" s="552"/>
      <c r="J5391" s="553"/>
      <c r="K5391" s="554"/>
      <c r="M5391" s="301" t="str">
        <f>N5391&amp;AS[[#This Row],[Insurer Code]]&amp;"; "&amp;O5391&amp;AS[[#This Row],[Reporting Year]]&amp;"; "&amp;P5391&amp;AS[[#This Row],[Insurance Category Code]]&amp;"; "&amp;Q5391&amp;AS[[#This Row],[Large Provider Entity Code]]&amp;"; "&amp;R5391&amp;AS[[#This Row],[Age Band Code]]&amp;"; "&amp;S5391&amp;AS[[#This Row],[Sex Code]]</f>
        <v xml:space="preserve">Insurer Code ; Reporting Year ; Insurance Category Code ; Large Provider Entity Code ; Age Band Code ; Sex Code </v>
      </c>
      <c r="N5391" s="297" t="s">
        <v>197</v>
      </c>
      <c r="O5391" s="297" t="s">
        <v>198</v>
      </c>
      <c r="P5391" s="297" t="s">
        <v>199</v>
      </c>
      <c r="Q5391" s="297" t="s">
        <v>200</v>
      </c>
      <c r="R5391" s="297" t="s">
        <v>213</v>
      </c>
      <c r="S5391" s="297" t="s">
        <v>214</v>
      </c>
    </row>
    <row r="5392" spans="1:19" x14ac:dyDescent="0.4">
      <c r="A5392" s="548"/>
      <c r="B5392" s="292"/>
      <c r="C5392" s="292"/>
      <c r="D5392" s="292"/>
      <c r="E5392" s="549"/>
      <c r="F5392" s="549"/>
      <c r="G5392" s="550"/>
      <c r="H5392" s="551"/>
      <c r="I5392" s="552"/>
      <c r="J5392" s="553"/>
      <c r="K5392" s="554"/>
      <c r="M5392" s="301" t="str">
        <f>N5392&amp;AS[[#This Row],[Insurer Code]]&amp;"; "&amp;O5392&amp;AS[[#This Row],[Reporting Year]]&amp;"; "&amp;P5392&amp;AS[[#This Row],[Insurance Category Code]]&amp;"; "&amp;Q5392&amp;AS[[#This Row],[Large Provider Entity Code]]&amp;"; "&amp;R5392&amp;AS[[#This Row],[Age Band Code]]&amp;"; "&amp;S5392&amp;AS[[#This Row],[Sex Code]]</f>
        <v xml:space="preserve">Insurer Code ; Reporting Year ; Insurance Category Code ; Large Provider Entity Code ; Age Band Code ; Sex Code </v>
      </c>
      <c r="N5392" s="297" t="s">
        <v>197</v>
      </c>
      <c r="O5392" s="297" t="s">
        <v>198</v>
      </c>
      <c r="P5392" s="297" t="s">
        <v>199</v>
      </c>
      <c r="Q5392" s="297" t="s">
        <v>200</v>
      </c>
      <c r="R5392" s="297" t="s">
        <v>213</v>
      </c>
      <c r="S5392" s="297" t="s">
        <v>214</v>
      </c>
    </row>
    <row r="5393" spans="1:19" x14ac:dyDescent="0.4">
      <c r="A5393" s="548"/>
      <c r="B5393" s="292"/>
      <c r="C5393" s="292"/>
      <c r="D5393" s="292"/>
      <c r="E5393" s="549"/>
      <c r="F5393" s="549"/>
      <c r="G5393" s="550"/>
      <c r="H5393" s="551"/>
      <c r="I5393" s="552"/>
      <c r="J5393" s="553"/>
      <c r="K5393" s="554"/>
      <c r="M5393" s="301" t="str">
        <f>N5393&amp;AS[[#This Row],[Insurer Code]]&amp;"; "&amp;O5393&amp;AS[[#This Row],[Reporting Year]]&amp;"; "&amp;P5393&amp;AS[[#This Row],[Insurance Category Code]]&amp;"; "&amp;Q5393&amp;AS[[#This Row],[Large Provider Entity Code]]&amp;"; "&amp;R5393&amp;AS[[#This Row],[Age Band Code]]&amp;"; "&amp;S5393&amp;AS[[#This Row],[Sex Code]]</f>
        <v xml:space="preserve">Insurer Code ; Reporting Year ; Insurance Category Code ; Large Provider Entity Code ; Age Band Code ; Sex Code </v>
      </c>
      <c r="N5393" s="297" t="s">
        <v>197</v>
      </c>
      <c r="O5393" s="297" t="s">
        <v>198</v>
      </c>
      <c r="P5393" s="297" t="s">
        <v>199</v>
      </c>
      <c r="Q5393" s="297" t="s">
        <v>200</v>
      </c>
      <c r="R5393" s="297" t="s">
        <v>213</v>
      </c>
      <c r="S5393" s="297" t="s">
        <v>214</v>
      </c>
    </row>
    <row r="5394" spans="1:19" x14ac:dyDescent="0.4">
      <c r="A5394" s="548"/>
      <c r="B5394" s="292"/>
      <c r="C5394" s="292"/>
      <c r="D5394" s="292"/>
      <c r="E5394" s="549"/>
      <c r="F5394" s="549"/>
      <c r="G5394" s="550"/>
      <c r="H5394" s="551"/>
      <c r="I5394" s="552"/>
      <c r="J5394" s="553"/>
      <c r="K5394" s="554"/>
      <c r="M5394" s="301" t="str">
        <f>N5394&amp;AS[[#This Row],[Insurer Code]]&amp;"; "&amp;O5394&amp;AS[[#This Row],[Reporting Year]]&amp;"; "&amp;P5394&amp;AS[[#This Row],[Insurance Category Code]]&amp;"; "&amp;Q5394&amp;AS[[#This Row],[Large Provider Entity Code]]&amp;"; "&amp;R5394&amp;AS[[#This Row],[Age Band Code]]&amp;"; "&amp;S5394&amp;AS[[#This Row],[Sex Code]]</f>
        <v xml:space="preserve">Insurer Code ; Reporting Year ; Insurance Category Code ; Large Provider Entity Code ; Age Band Code ; Sex Code </v>
      </c>
      <c r="N5394" s="297" t="s">
        <v>197</v>
      </c>
      <c r="O5394" s="297" t="s">
        <v>198</v>
      </c>
      <c r="P5394" s="297" t="s">
        <v>199</v>
      </c>
      <c r="Q5394" s="297" t="s">
        <v>200</v>
      </c>
      <c r="R5394" s="297" t="s">
        <v>213</v>
      </c>
      <c r="S5394" s="297" t="s">
        <v>214</v>
      </c>
    </row>
    <row r="5395" spans="1:19" x14ac:dyDescent="0.4">
      <c r="A5395" s="548"/>
      <c r="B5395" s="292"/>
      <c r="C5395" s="292"/>
      <c r="D5395" s="292"/>
      <c r="E5395" s="549"/>
      <c r="F5395" s="549"/>
      <c r="G5395" s="550"/>
      <c r="H5395" s="551"/>
      <c r="I5395" s="552"/>
      <c r="J5395" s="553"/>
      <c r="K5395" s="554"/>
      <c r="M5395" s="301" t="str">
        <f>N5395&amp;AS[[#This Row],[Insurer Code]]&amp;"; "&amp;O5395&amp;AS[[#This Row],[Reporting Year]]&amp;"; "&amp;P5395&amp;AS[[#This Row],[Insurance Category Code]]&amp;"; "&amp;Q5395&amp;AS[[#This Row],[Large Provider Entity Code]]&amp;"; "&amp;R5395&amp;AS[[#This Row],[Age Band Code]]&amp;"; "&amp;S5395&amp;AS[[#This Row],[Sex Code]]</f>
        <v xml:space="preserve">Insurer Code ; Reporting Year ; Insurance Category Code ; Large Provider Entity Code ; Age Band Code ; Sex Code </v>
      </c>
      <c r="N5395" s="297" t="s">
        <v>197</v>
      </c>
      <c r="O5395" s="297" t="s">
        <v>198</v>
      </c>
      <c r="P5395" s="297" t="s">
        <v>199</v>
      </c>
      <c r="Q5395" s="297" t="s">
        <v>200</v>
      </c>
      <c r="R5395" s="297" t="s">
        <v>213</v>
      </c>
      <c r="S5395" s="297" t="s">
        <v>214</v>
      </c>
    </row>
    <row r="5396" spans="1:19" x14ac:dyDescent="0.4">
      <c r="A5396" s="548"/>
      <c r="B5396" s="292"/>
      <c r="C5396" s="292"/>
      <c r="D5396" s="292"/>
      <c r="E5396" s="549"/>
      <c r="F5396" s="549"/>
      <c r="G5396" s="550"/>
      <c r="H5396" s="551"/>
      <c r="I5396" s="552"/>
      <c r="J5396" s="553"/>
      <c r="K5396" s="554"/>
      <c r="M5396" s="301" t="str">
        <f>N5396&amp;AS[[#This Row],[Insurer Code]]&amp;"; "&amp;O5396&amp;AS[[#This Row],[Reporting Year]]&amp;"; "&amp;P5396&amp;AS[[#This Row],[Insurance Category Code]]&amp;"; "&amp;Q5396&amp;AS[[#This Row],[Large Provider Entity Code]]&amp;"; "&amp;R5396&amp;AS[[#This Row],[Age Band Code]]&amp;"; "&amp;S5396&amp;AS[[#This Row],[Sex Code]]</f>
        <v xml:space="preserve">Insurer Code ; Reporting Year ; Insurance Category Code ; Large Provider Entity Code ; Age Band Code ; Sex Code </v>
      </c>
      <c r="N5396" s="297" t="s">
        <v>197</v>
      </c>
      <c r="O5396" s="297" t="s">
        <v>198</v>
      </c>
      <c r="P5396" s="297" t="s">
        <v>199</v>
      </c>
      <c r="Q5396" s="297" t="s">
        <v>200</v>
      </c>
      <c r="R5396" s="297" t="s">
        <v>213</v>
      </c>
      <c r="S5396" s="297" t="s">
        <v>214</v>
      </c>
    </row>
    <row r="5397" spans="1:19" x14ac:dyDescent="0.4">
      <c r="A5397" s="548"/>
      <c r="B5397" s="292"/>
      <c r="C5397" s="292"/>
      <c r="D5397" s="292"/>
      <c r="E5397" s="549"/>
      <c r="F5397" s="549"/>
      <c r="G5397" s="550"/>
      <c r="H5397" s="551"/>
      <c r="I5397" s="552"/>
      <c r="J5397" s="553"/>
      <c r="K5397" s="554"/>
      <c r="M5397" s="301" t="str">
        <f>N5397&amp;AS[[#This Row],[Insurer Code]]&amp;"; "&amp;O5397&amp;AS[[#This Row],[Reporting Year]]&amp;"; "&amp;P5397&amp;AS[[#This Row],[Insurance Category Code]]&amp;"; "&amp;Q5397&amp;AS[[#This Row],[Large Provider Entity Code]]&amp;"; "&amp;R5397&amp;AS[[#This Row],[Age Band Code]]&amp;"; "&amp;S5397&amp;AS[[#This Row],[Sex Code]]</f>
        <v xml:space="preserve">Insurer Code ; Reporting Year ; Insurance Category Code ; Large Provider Entity Code ; Age Band Code ; Sex Code </v>
      </c>
      <c r="N5397" s="297" t="s">
        <v>197</v>
      </c>
      <c r="O5397" s="297" t="s">
        <v>198</v>
      </c>
      <c r="P5397" s="297" t="s">
        <v>199</v>
      </c>
      <c r="Q5397" s="297" t="s">
        <v>200</v>
      </c>
      <c r="R5397" s="297" t="s">
        <v>213</v>
      </c>
      <c r="S5397" s="297" t="s">
        <v>214</v>
      </c>
    </row>
    <row r="5398" spans="1:19" x14ac:dyDescent="0.4">
      <c r="A5398" s="548"/>
      <c r="B5398" s="292"/>
      <c r="C5398" s="292"/>
      <c r="D5398" s="292"/>
      <c r="E5398" s="549"/>
      <c r="F5398" s="549"/>
      <c r="G5398" s="550"/>
      <c r="H5398" s="551"/>
      <c r="I5398" s="552"/>
      <c r="J5398" s="553"/>
      <c r="K5398" s="554"/>
      <c r="M5398" s="301" t="str">
        <f>N5398&amp;AS[[#This Row],[Insurer Code]]&amp;"; "&amp;O5398&amp;AS[[#This Row],[Reporting Year]]&amp;"; "&amp;P5398&amp;AS[[#This Row],[Insurance Category Code]]&amp;"; "&amp;Q5398&amp;AS[[#This Row],[Large Provider Entity Code]]&amp;"; "&amp;R5398&amp;AS[[#This Row],[Age Band Code]]&amp;"; "&amp;S5398&amp;AS[[#This Row],[Sex Code]]</f>
        <v xml:space="preserve">Insurer Code ; Reporting Year ; Insurance Category Code ; Large Provider Entity Code ; Age Band Code ; Sex Code </v>
      </c>
      <c r="N5398" s="297" t="s">
        <v>197</v>
      </c>
      <c r="O5398" s="297" t="s">
        <v>198</v>
      </c>
      <c r="P5398" s="297" t="s">
        <v>199</v>
      </c>
      <c r="Q5398" s="297" t="s">
        <v>200</v>
      </c>
      <c r="R5398" s="297" t="s">
        <v>213</v>
      </c>
      <c r="S5398" s="297" t="s">
        <v>214</v>
      </c>
    </row>
    <row r="5399" spans="1:19" x14ac:dyDescent="0.4">
      <c r="A5399" s="548"/>
      <c r="B5399" s="292"/>
      <c r="C5399" s="292"/>
      <c r="D5399" s="292"/>
      <c r="E5399" s="549"/>
      <c r="F5399" s="549"/>
      <c r="G5399" s="550"/>
      <c r="H5399" s="551"/>
      <c r="I5399" s="552"/>
      <c r="J5399" s="553"/>
      <c r="K5399" s="554"/>
      <c r="M5399" s="301" t="str">
        <f>N5399&amp;AS[[#This Row],[Insurer Code]]&amp;"; "&amp;O5399&amp;AS[[#This Row],[Reporting Year]]&amp;"; "&amp;P5399&amp;AS[[#This Row],[Insurance Category Code]]&amp;"; "&amp;Q5399&amp;AS[[#This Row],[Large Provider Entity Code]]&amp;"; "&amp;R5399&amp;AS[[#This Row],[Age Band Code]]&amp;"; "&amp;S5399&amp;AS[[#This Row],[Sex Code]]</f>
        <v xml:space="preserve">Insurer Code ; Reporting Year ; Insurance Category Code ; Large Provider Entity Code ; Age Band Code ; Sex Code </v>
      </c>
      <c r="N5399" s="297" t="s">
        <v>197</v>
      </c>
      <c r="O5399" s="297" t="s">
        <v>198</v>
      </c>
      <c r="P5399" s="297" t="s">
        <v>199</v>
      </c>
      <c r="Q5399" s="297" t="s">
        <v>200</v>
      </c>
      <c r="R5399" s="297" t="s">
        <v>213</v>
      </c>
      <c r="S5399" s="297" t="s">
        <v>214</v>
      </c>
    </row>
    <row r="5400" spans="1:19" x14ac:dyDescent="0.4">
      <c r="A5400" s="548"/>
      <c r="B5400" s="292"/>
      <c r="C5400" s="292"/>
      <c r="D5400" s="292"/>
      <c r="E5400" s="549"/>
      <c r="F5400" s="549"/>
      <c r="G5400" s="550"/>
      <c r="H5400" s="551"/>
      <c r="I5400" s="552"/>
      <c r="J5400" s="553"/>
      <c r="K5400" s="554"/>
      <c r="M5400" s="301" t="str">
        <f>N5400&amp;AS[[#This Row],[Insurer Code]]&amp;"; "&amp;O5400&amp;AS[[#This Row],[Reporting Year]]&amp;"; "&amp;P5400&amp;AS[[#This Row],[Insurance Category Code]]&amp;"; "&amp;Q5400&amp;AS[[#This Row],[Large Provider Entity Code]]&amp;"; "&amp;R5400&amp;AS[[#This Row],[Age Band Code]]&amp;"; "&amp;S5400&amp;AS[[#This Row],[Sex Code]]</f>
        <v xml:space="preserve">Insurer Code ; Reporting Year ; Insurance Category Code ; Large Provider Entity Code ; Age Band Code ; Sex Code </v>
      </c>
      <c r="N5400" s="297" t="s">
        <v>197</v>
      </c>
      <c r="O5400" s="297" t="s">
        <v>198</v>
      </c>
      <c r="P5400" s="297" t="s">
        <v>199</v>
      </c>
      <c r="Q5400" s="297" t="s">
        <v>200</v>
      </c>
      <c r="R5400" s="297" t="s">
        <v>213</v>
      </c>
      <c r="S5400" s="297" t="s">
        <v>214</v>
      </c>
    </row>
    <row r="5401" spans="1:19" x14ac:dyDescent="0.4">
      <c r="A5401" s="548"/>
      <c r="B5401" s="292"/>
      <c r="C5401" s="292"/>
      <c r="D5401" s="292"/>
      <c r="E5401" s="549"/>
      <c r="F5401" s="549"/>
      <c r="G5401" s="550"/>
      <c r="H5401" s="551"/>
      <c r="I5401" s="552"/>
      <c r="J5401" s="553"/>
      <c r="K5401" s="554"/>
      <c r="M5401" s="301" t="str">
        <f>N5401&amp;AS[[#This Row],[Insurer Code]]&amp;"; "&amp;O5401&amp;AS[[#This Row],[Reporting Year]]&amp;"; "&amp;P5401&amp;AS[[#This Row],[Insurance Category Code]]&amp;"; "&amp;Q5401&amp;AS[[#This Row],[Large Provider Entity Code]]&amp;"; "&amp;R5401&amp;AS[[#This Row],[Age Band Code]]&amp;"; "&amp;S5401&amp;AS[[#This Row],[Sex Code]]</f>
        <v xml:space="preserve">Insurer Code ; Reporting Year ; Insurance Category Code ; Large Provider Entity Code ; Age Band Code ; Sex Code </v>
      </c>
      <c r="N5401" s="297" t="s">
        <v>197</v>
      </c>
      <c r="O5401" s="297" t="s">
        <v>198</v>
      </c>
      <c r="P5401" s="297" t="s">
        <v>199</v>
      </c>
      <c r="Q5401" s="297" t="s">
        <v>200</v>
      </c>
      <c r="R5401" s="297" t="s">
        <v>213</v>
      </c>
      <c r="S5401" s="297" t="s">
        <v>214</v>
      </c>
    </row>
    <row r="5402" spans="1:19" x14ac:dyDescent="0.4">
      <c r="A5402" s="548"/>
      <c r="B5402" s="292"/>
      <c r="C5402" s="292"/>
      <c r="D5402" s="292"/>
      <c r="E5402" s="549"/>
      <c r="F5402" s="549"/>
      <c r="G5402" s="550"/>
      <c r="H5402" s="551"/>
      <c r="I5402" s="552"/>
      <c r="J5402" s="553"/>
      <c r="K5402" s="554"/>
      <c r="M5402" s="301" t="str">
        <f>N5402&amp;AS[[#This Row],[Insurer Code]]&amp;"; "&amp;O5402&amp;AS[[#This Row],[Reporting Year]]&amp;"; "&amp;P5402&amp;AS[[#This Row],[Insurance Category Code]]&amp;"; "&amp;Q5402&amp;AS[[#This Row],[Large Provider Entity Code]]&amp;"; "&amp;R5402&amp;AS[[#This Row],[Age Band Code]]&amp;"; "&amp;S5402&amp;AS[[#This Row],[Sex Code]]</f>
        <v xml:space="preserve">Insurer Code ; Reporting Year ; Insurance Category Code ; Large Provider Entity Code ; Age Band Code ; Sex Code </v>
      </c>
      <c r="N5402" s="297" t="s">
        <v>197</v>
      </c>
      <c r="O5402" s="297" t="s">
        <v>198</v>
      </c>
      <c r="P5402" s="297" t="s">
        <v>199</v>
      </c>
      <c r="Q5402" s="297" t="s">
        <v>200</v>
      </c>
      <c r="R5402" s="297" t="s">
        <v>213</v>
      </c>
      <c r="S5402" s="297" t="s">
        <v>214</v>
      </c>
    </row>
    <row r="5403" spans="1:19" x14ac:dyDescent="0.4">
      <c r="A5403" s="548"/>
      <c r="B5403" s="292"/>
      <c r="C5403" s="292"/>
      <c r="D5403" s="292"/>
      <c r="E5403" s="549"/>
      <c r="F5403" s="549"/>
      <c r="G5403" s="550"/>
      <c r="H5403" s="551"/>
      <c r="I5403" s="552"/>
      <c r="J5403" s="553"/>
      <c r="K5403" s="554"/>
      <c r="M5403" s="301" t="str">
        <f>N5403&amp;AS[[#This Row],[Insurer Code]]&amp;"; "&amp;O5403&amp;AS[[#This Row],[Reporting Year]]&amp;"; "&amp;P5403&amp;AS[[#This Row],[Insurance Category Code]]&amp;"; "&amp;Q5403&amp;AS[[#This Row],[Large Provider Entity Code]]&amp;"; "&amp;R5403&amp;AS[[#This Row],[Age Band Code]]&amp;"; "&amp;S5403&amp;AS[[#This Row],[Sex Code]]</f>
        <v xml:space="preserve">Insurer Code ; Reporting Year ; Insurance Category Code ; Large Provider Entity Code ; Age Band Code ; Sex Code </v>
      </c>
      <c r="N5403" s="297" t="s">
        <v>197</v>
      </c>
      <c r="O5403" s="297" t="s">
        <v>198</v>
      </c>
      <c r="P5403" s="297" t="s">
        <v>199</v>
      </c>
      <c r="Q5403" s="297" t="s">
        <v>200</v>
      </c>
      <c r="R5403" s="297" t="s">
        <v>213</v>
      </c>
      <c r="S5403" s="297" t="s">
        <v>214</v>
      </c>
    </row>
    <row r="5404" spans="1:19" x14ac:dyDescent="0.4">
      <c r="A5404" s="548"/>
      <c r="B5404" s="292"/>
      <c r="C5404" s="292"/>
      <c r="D5404" s="292"/>
      <c r="E5404" s="549"/>
      <c r="F5404" s="549"/>
      <c r="G5404" s="550"/>
      <c r="H5404" s="551"/>
      <c r="I5404" s="552"/>
      <c r="J5404" s="553"/>
      <c r="K5404" s="554"/>
      <c r="M5404" s="301" t="str">
        <f>N5404&amp;AS[[#This Row],[Insurer Code]]&amp;"; "&amp;O5404&amp;AS[[#This Row],[Reporting Year]]&amp;"; "&amp;P5404&amp;AS[[#This Row],[Insurance Category Code]]&amp;"; "&amp;Q5404&amp;AS[[#This Row],[Large Provider Entity Code]]&amp;"; "&amp;R5404&amp;AS[[#This Row],[Age Band Code]]&amp;"; "&amp;S5404&amp;AS[[#This Row],[Sex Code]]</f>
        <v xml:space="preserve">Insurer Code ; Reporting Year ; Insurance Category Code ; Large Provider Entity Code ; Age Band Code ; Sex Code </v>
      </c>
      <c r="N5404" s="297" t="s">
        <v>197</v>
      </c>
      <c r="O5404" s="297" t="s">
        <v>198</v>
      </c>
      <c r="P5404" s="297" t="s">
        <v>199</v>
      </c>
      <c r="Q5404" s="297" t="s">
        <v>200</v>
      </c>
      <c r="R5404" s="297" t="s">
        <v>213</v>
      </c>
      <c r="S5404" s="297" t="s">
        <v>214</v>
      </c>
    </row>
    <row r="5405" spans="1:19" x14ac:dyDescent="0.4">
      <c r="A5405" s="548"/>
      <c r="B5405" s="292"/>
      <c r="C5405" s="292"/>
      <c r="D5405" s="292"/>
      <c r="E5405" s="549"/>
      <c r="F5405" s="549"/>
      <c r="G5405" s="550"/>
      <c r="H5405" s="551"/>
      <c r="I5405" s="552"/>
      <c r="J5405" s="553"/>
      <c r="K5405" s="554"/>
      <c r="M5405" s="301" t="str">
        <f>N5405&amp;AS[[#This Row],[Insurer Code]]&amp;"; "&amp;O5405&amp;AS[[#This Row],[Reporting Year]]&amp;"; "&amp;P5405&amp;AS[[#This Row],[Insurance Category Code]]&amp;"; "&amp;Q5405&amp;AS[[#This Row],[Large Provider Entity Code]]&amp;"; "&amp;R5405&amp;AS[[#This Row],[Age Band Code]]&amp;"; "&amp;S5405&amp;AS[[#This Row],[Sex Code]]</f>
        <v xml:space="preserve">Insurer Code ; Reporting Year ; Insurance Category Code ; Large Provider Entity Code ; Age Band Code ; Sex Code </v>
      </c>
      <c r="N5405" s="297" t="s">
        <v>197</v>
      </c>
      <c r="O5405" s="297" t="s">
        <v>198</v>
      </c>
      <c r="P5405" s="297" t="s">
        <v>199</v>
      </c>
      <c r="Q5405" s="297" t="s">
        <v>200</v>
      </c>
      <c r="R5405" s="297" t="s">
        <v>213</v>
      </c>
      <c r="S5405" s="297" t="s">
        <v>214</v>
      </c>
    </row>
    <row r="5406" spans="1:19" x14ac:dyDescent="0.4">
      <c r="A5406" s="548"/>
      <c r="B5406" s="292"/>
      <c r="C5406" s="292"/>
      <c r="D5406" s="292"/>
      <c r="E5406" s="549"/>
      <c r="F5406" s="549"/>
      <c r="G5406" s="550"/>
      <c r="H5406" s="551"/>
      <c r="I5406" s="552"/>
      <c r="J5406" s="553"/>
      <c r="K5406" s="554"/>
      <c r="M5406" s="301" t="str">
        <f>N5406&amp;AS[[#This Row],[Insurer Code]]&amp;"; "&amp;O5406&amp;AS[[#This Row],[Reporting Year]]&amp;"; "&amp;P5406&amp;AS[[#This Row],[Insurance Category Code]]&amp;"; "&amp;Q5406&amp;AS[[#This Row],[Large Provider Entity Code]]&amp;"; "&amp;R5406&amp;AS[[#This Row],[Age Band Code]]&amp;"; "&amp;S5406&amp;AS[[#This Row],[Sex Code]]</f>
        <v xml:space="preserve">Insurer Code ; Reporting Year ; Insurance Category Code ; Large Provider Entity Code ; Age Band Code ; Sex Code </v>
      </c>
      <c r="N5406" s="297" t="s">
        <v>197</v>
      </c>
      <c r="O5406" s="297" t="s">
        <v>198</v>
      </c>
      <c r="P5406" s="297" t="s">
        <v>199</v>
      </c>
      <c r="Q5406" s="297" t="s">
        <v>200</v>
      </c>
      <c r="R5406" s="297" t="s">
        <v>213</v>
      </c>
      <c r="S5406" s="297" t="s">
        <v>214</v>
      </c>
    </row>
    <row r="5407" spans="1:19" x14ac:dyDescent="0.4">
      <c r="A5407" s="548"/>
      <c r="B5407" s="292"/>
      <c r="C5407" s="292"/>
      <c r="D5407" s="292"/>
      <c r="E5407" s="549"/>
      <c r="F5407" s="549"/>
      <c r="G5407" s="550"/>
      <c r="H5407" s="551"/>
      <c r="I5407" s="552"/>
      <c r="J5407" s="553"/>
      <c r="K5407" s="554"/>
      <c r="M5407" s="301" t="str">
        <f>N5407&amp;AS[[#This Row],[Insurer Code]]&amp;"; "&amp;O5407&amp;AS[[#This Row],[Reporting Year]]&amp;"; "&amp;P5407&amp;AS[[#This Row],[Insurance Category Code]]&amp;"; "&amp;Q5407&amp;AS[[#This Row],[Large Provider Entity Code]]&amp;"; "&amp;R5407&amp;AS[[#This Row],[Age Band Code]]&amp;"; "&amp;S5407&amp;AS[[#This Row],[Sex Code]]</f>
        <v xml:space="preserve">Insurer Code ; Reporting Year ; Insurance Category Code ; Large Provider Entity Code ; Age Band Code ; Sex Code </v>
      </c>
      <c r="N5407" s="297" t="s">
        <v>197</v>
      </c>
      <c r="O5407" s="297" t="s">
        <v>198</v>
      </c>
      <c r="P5407" s="297" t="s">
        <v>199</v>
      </c>
      <c r="Q5407" s="297" t="s">
        <v>200</v>
      </c>
      <c r="R5407" s="297" t="s">
        <v>213</v>
      </c>
      <c r="S5407" s="297" t="s">
        <v>214</v>
      </c>
    </row>
    <row r="5408" spans="1:19" x14ac:dyDescent="0.4">
      <c r="A5408" s="548"/>
      <c r="B5408" s="292"/>
      <c r="C5408" s="292"/>
      <c r="D5408" s="292"/>
      <c r="E5408" s="549"/>
      <c r="F5408" s="549"/>
      <c r="G5408" s="550"/>
      <c r="H5408" s="551"/>
      <c r="I5408" s="552"/>
      <c r="J5408" s="553"/>
      <c r="K5408" s="554"/>
      <c r="M5408" s="301" t="str">
        <f>N5408&amp;AS[[#This Row],[Insurer Code]]&amp;"; "&amp;O5408&amp;AS[[#This Row],[Reporting Year]]&amp;"; "&amp;P5408&amp;AS[[#This Row],[Insurance Category Code]]&amp;"; "&amp;Q5408&amp;AS[[#This Row],[Large Provider Entity Code]]&amp;"; "&amp;R5408&amp;AS[[#This Row],[Age Band Code]]&amp;"; "&amp;S5408&amp;AS[[#This Row],[Sex Code]]</f>
        <v xml:space="preserve">Insurer Code ; Reporting Year ; Insurance Category Code ; Large Provider Entity Code ; Age Band Code ; Sex Code </v>
      </c>
      <c r="N5408" s="297" t="s">
        <v>197</v>
      </c>
      <c r="O5408" s="297" t="s">
        <v>198</v>
      </c>
      <c r="P5408" s="297" t="s">
        <v>199</v>
      </c>
      <c r="Q5408" s="297" t="s">
        <v>200</v>
      </c>
      <c r="R5408" s="297" t="s">
        <v>213</v>
      </c>
      <c r="S5408" s="297" t="s">
        <v>214</v>
      </c>
    </row>
    <row r="5409" spans="1:19" x14ac:dyDescent="0.4">
      <c r="A5409" s="548"/>
      <c r="B5409" s="292"/>
      <c r="C5409" s="292"/>
      <c r="D5409" s="292"/>
      <c r="E5409" s="549"/>
      <c r="F5409" s="549"/>
      <c r="G5409" s="550"/>
      <c r="H5409" s="551"/>
      <c r="I5409" s="552"/>
      <c r="J5409" s="553"/>
      <c r="K5409" s="554"/>
      <c r="M5409" s="301" t="str">
        <f>N5409&amp;AS[[#This Row],[Insurer Code]]&amp;"; "&amp;O5409&amp;AS[[#This Row],[Reporting Year]]&amp;"; "&amp;P5409&amp;AS[[#This Row],[Insurance Category Code]]&amp;"; "&amp;Q5409&amp;AS[[#This Row],[Large Provider Entity Code]]&amp;"; "&amp;R5409&amp;AS[[#This Row],[Age Band Code]]&amp;"; "&amp;S5409&amp;AS[[#This Row],[Sex Code]]</f>
        <v xml:space="preserve">Insurer Code ; Reporting Year ; Insurance Category Code ; Large Provider Entity Code ; Age Band Code ; Sex Code </v>
      </c>
      <c r="N5409" s="297" t="s">
        <v>197</v>
      </c>
      <c r="O5409" s="297" t="s">
        <v>198</v>
      </c>
      <c r="P5409" s="297" t="s">
        <v>199</v>
      </c>
      <c r="Q5409" s="297" t="s">
        <v>200</v>
      </c>
      <c r="R5409" s="297" t="s">
        <v>213</v>
      </c>
      <c r="S5409" s="297" t="s">
        <v>214</v>
      </c>
    </row>
    <row r="5410" spans="1:19" x14ac:dyDescent="0.4">
      <c r="A5410" s="548"/>
      <c r="B5410" s="292"/>
      <c r="C5410" s="292"/>
      <c r="D5410" s="292"/>
      <c r="E5410" s="549"/>
      <c r="F5410" s="549"/>
      <c r="G5410" s="550"/>
      <c r="H5410" s="551"/>
      <c r="I5410" s="552"/>
      <c r="J5410" s="553"/>
      <c r="K5410" s="554"/>
      <c r="M5410" s="301" t="str">
        <f>N5410&amp;AS[[#This Row],[Insurer Code]]&amp;"; "&amp;O5410&amp;AS[[#This Row],[Reporting Year]]&amp;"; "&amp;P5410&amp;AS[[#This Row],[Insurance Category Code]]&amp;"; "&amp;Q5410&amp;AS[[#This Row],[Large Provider Entity Code]]&amp;"; "&amp;R5410&amp;AS[[#This Row],[Age Band Code]]&amp;"; "&amp;S5410&amp;AS[[#This Row],[Sex Code]]</f>
        <v xml:space="preserve">Insurer Code ; Reporting Year ; Insurance Category Code ; Large Provider Entity Code ; Age Band Code ; Sex Code </v>
      </c>
      <c r="N5410" s="297" t="s">
        <v>197</v>
      </c>
      <c r="O5410" s="297" t="s">
        <v>198</v>
      </c>
      <c r="P5410" s="297" t="s">
        <v>199</v>
      </c>
      <c r="Q5410" s="297" t="s">
        <v>200</v>
      </c>
      <c r="R5410" s="297" t="s">
        <v>213</v>
      </c>
      <c r="S5410" s="297" t="s">
        <v>214</v>
      </c>
    </row>
    <row r="5411" spans="1:19" x14ac:dyDescent="0.4">
      <c r="A5411" s="548"/>
      <c r="B5411" s="292"/>
      <c r="C5411" s="292"/>
      <c r="D5411" s="292"/>
      <c r="E5411" s="549"/>
      <c r="F5411" s="549"/>
      <c r="G5411" s="550"/>
      <c r="H5411" s="551"/>
      <c r="I5411" s="552"/>
      <c r="J5411" s="553"/>
      <c r="K5411" s="554"/>
      <c r="M5411" s="301" t="str">
        <f>N5411&amp;AS[[#This Row],[Insurer Code]]&amp;"; "&amp;O5411&amp;AS[[#This Row],[Reporting Year]]&amp;"; "&amp;P5411&amp;AS[[#This Row],[Insurance Category Code]]&amp;"; "&amp;Q5411&amp;AS[[#This Row],[Large Provider Entity Code]]&amp;"; "&amp;R5411&amp;AS[[#This Row],[Age Band Code]]&amp;"; "&amp;S5411&amp;AS[[#This Row],[Sex Code]]</f>
        <v xml:space="preserve">Insurer Code ; Reporting Year ; Insurance Category Code ; Large Provider Entity Code ; Age Band Code ; Sex Code </v>
      </c>
      <c r="N5411" s="297" t="s">
        <v>197</v>
      </c>
      <c r="O5411" s="297" t="s">
        <v>198</v>
      </c>
      <c r="P5411" s="297" t="s">
        <v>199</v>
      </c>
      <c r="Q5411" s="297" t="s">
        <v>200</v>
      </c>
      <c r="R5411" s="297" t="s">
        <v>213</v>
      </c>
      <c r="S5411" s="297" t="s">
        <v>214</v>
      </c>
    </row>
    <row r="5412" spans="1:19" x14ac:dyDescent="0.4">
      <c r="A5412" s="548"/>
      <c r="B5412" s="292"/>
      <c r="C5412" s="292"/>
      <c r="D5412" s="292"/>
      <c r="E5412" s="549"/>
      <c r="F5412" s="549"/>
      <c r="G5412" s="550"/>
      <c r="H5412" s="551"/>
      <c r="I5412" s="552"/>
      <c r="J5412" s="553"/>
      <c r="K5412" s="554"/>
      <c r="M5412" s="301" t="str">
        <f>N5412&amp;AS[[#This Row],[Insurer Code]]&amp;"; "&amp;O5412&amp;AS[[#This Row],[Reporting Year]]&amp;"; "&amp;P5412&amp;AS[[#This Row],[Insurance Category Code]]&amp;"; "&amp;Q5412&amp;AS[[#This Row],[Large Provider Entity Code]]&amp;"; "&amp;R5412&amp;AS[[#This Row],[Age Band Code]]&amp;"; "&amp;S5412&amp;AS[[#This Row],[Sex Code]]</f>
        <v xml:space="preserve">Insurer Code ; Reporting Year ; Insurance Category Code ; Large Provider Entity Code ; Age Band Code ; Sex Code </v>
      </c>
      <c r="N5412" s="297" t="s">
        <v>197</v>
      </c>
      <c r="O5412" s="297" t="s">
        <v>198</v>
      </c>
      <c r="P5412" s="297" t="s">
        <v>199</v>
      </c>
      <c r="Q5412" s="297" t="s">
        <v>200</v>
      </c>
      <c r="R5412" s="297" t="s">
        <v>213</v>
      </c>
      <c r="S5412" s="297" t="s">
        <v>214</v>
      </c>
    </row>
    <row r="5413" spans="1:19" x14ac:dyDescent="0.4">
      <c r="A5413" s="548"/>
      <c r="B5413" s="292"/>
      <c r="C5413" s="292"/>
      <c r="D5413" s="292"/>
      <c r="E5413" s="549"/>
      <c r="F5413" s="549"/>
      <c r="G5413" s="550"/>
      <c r="H5413" s="551"/>
      <c r="I5413" s="552"/>
      <c r="J5413" s="553"/>
      <c r="K5413" s="554"/>
      <c r="M5413" s="301" t="str">
        <f>N5413&amp;AS[[#This Row],[Insurer Code]]&amp;"; "&amp;O5413&amp;AS[[#This Row],[Reporting Year]]&amp;"; "&amp;P5413&amp;AS[[#This Row],[Insurance Category Code]]&amp;"; "&amp;Q5413&amp;AS[[#This Row],[Large Provider Entity Code]]&amp;"; "&amp;R5413&amp;AS[[#This Row],[Age Band Code]]&amp;"; "&amp;S5413&amp;AS[[#This Row],[Sex Code]]</f>
        <v xml:space="preserve">Insurer Code ; Reporting Year ; Insurance Category Code ; Large Provider Entity Code ; Age Band Code ; Sex Code </v>
      </c>
      <c r="N5413" s="297" t="s">
        <v>197</v>
      </c>
      <c r="O5413" s="297" t="s">
        <v>198</v>
      </c>
      <c r="P5413" s="297" t="s">
        <v>199</v>
      </c>
      <c r="Q5413" s="297" t="s">
        <v>200</v>
      </c>
      <c r="R5413" s="297" t="s">
        <v>213</v>
      </c>
      <c r="S5413" s="297" t="s">
        <v>214</v>
      </c>
    </row>
    <row r="5414" spans="1:19" x14ac:dyDescent="0.4">
      <c r="A5414" s="548"/>
      <c r="B5414" s="292"/>
      <c r="C5414" s="292"/>
      <c r="D5414" s="292"/>
      <c r="E5414" s="549"/>
      <c r="F5414" s="549"/>
      <c r="G5414" s="550"/>
      <c r="H5414" s="551"/>
      <c r="I5414" s="552"/>
      <c r="J5414" s="553"/>
      <c r="K5414" s="554"/>
      <c r="M5414" s="301" t="str">
        <f>N5414&amp;AS[[#This Row],[Insurer Code]]&amp;"; "&amp;O5414&amp;AS[[#This Row],[Reporting Year]]&amp;"; "&amp;P5414&amp;AS[[#This Row],[Insurance Category Code]]&amp;"; "&amp;Q5414&amp;AS[[#This Row],[Large Provider Entity Code]]&amp;"; "&amp;R5414&amp;AS[[#This Row],[Age Band Code]]&amp;"; "&amp;S5414&amp;AS[[#This Row],[Sex Code]]</f>
        <v xml:space="preserve">Insurer Code ; Reporting Year ; Insurance Category Code ; Large Provider Entity Code ; Age Band Code ; Sex Code </v>
      </c>
      <c r="N5414" s="297" t="s">
        <v>197</v>
      </c>
      <c r="O5414" s="297" t="s">
        <v>198</v>
      </c>
      <c r="P5414" s="297" t="s">
        <v>199</v>
      </c>
      <c r="Q5414" s="297" t="s">
        <v>200</v>
      </c>
      <c r="R5414" s="297" t="s">
        <v>213</v>
      </c>
      <c r="S5414" s="297" t="s">
        <v>214</v>
      </c>
    </row>
    <row r="5415" spans="1:19" x14ac:dyDescent="0.4">
      <c r="A5415" s="548"/>
      <c r="B5415" s="292"/>
      <c r="C5415" s="292"/>
      <c r="D5415" s="292"/>
      <c r="E5415" s="549"/>
      <c r="F5415" s="549"/>
      <c r="G5415" s="550"/>
      <c r="H5415" s="551"/>
      <c r="I5415" s="552"/>
      <c r="J5415" s="553"/>
      <c r="K5415" s="554"/>
      <c r="M5415" s="301" t="str">
        <f>N5415&amp;AS[[#This Row],[Insurer Code]]&amp;"; "&amp;O5415&amp;AS[[#This Row],[Reporting Year]]&amp;"; "&amp;P5415&amp;AS[[#This Row],[Insurance Category Code]]&amp;"; "&amp;Q5415&amp;AS[[#This Row],[Large Provider Entity Code]]&amp;"; "&amp;R5415&amp;AS[[#This Row],[Age Band Code]]&amp;"; "&amp;S5415&amp;AS[[#This Row],[Sex Code]]</f>
        <v xml:space="preserve">Insurer Code ; Reporting Year ; Insurance Category Code ; Large Provider Entity Code ; Age Band Code ; Sex Code </v>
      </c>
      <c r="N5415" s="297" t="s">
        <v>197</v>
      </c>
      <c r="O5415" s="297" t="s">
        <v>198</v>
      </c>
      <c r="P5415" s="297" t="s">
        <v>199</v>
      </c>
      <c r="Q5415" s="297" t="s">
        <v>200</v>
      </c>
      <c r="R5415" s="297" t="s">
        <v>213</v>
      </c>
      <c r="S5415" s="297" t="s">
        <v>214</v>
      </c>
    </row>
    <row r="5416" spans="1:19" x14ac:dyDescent="0.4">
      <c r="A5416" s="548"/>
      <c r="B5416" s="292"/>
      <c r="C5416" s="292"/>
      <c r="D5416" s="292"/>
      <c r="E5416" s="549"/>
      <c r="F5416" s="549"/>
      <c r="G5416" s="550"/>
      <c r="H5416" s="551"/>
      <c r="I5416" s="552"/>
      <c r="J5416" s="553"/>
      <c r="K5416" s="554"/>
      <c r="M5416" s="301" t="str">
        <f>N5416&amp;AS[[#This Row],[Insurer Code]]&amp;"; "&amp;O5416&amp;AS[[#This Row],[Reporting Year]]&amp;"; "&amp;P5416&amp;AS[[#This Row],[Insurance Category Code]]&amp;"; "&amp;Q5416&amp;AS[[#This Row],[Large Provider Entity Code]]&amp;"; "&amp;R5416&amp;AS[[#This Row],[Age Band Code]]&amp;"; "&amp;S5416&amp;AS[[#This Row],[Sex Code]]</f>
        <v xml:space="preserve">Insurer Code ; Reporting Year ; Insurance Category Code ; Large Provider Entity Code ; Age Band Code ; Sex Code </v>
      </c>
      <c r="N5416" s="297" t="s">
        <v>197</v>
      </c>
      <c r="O5416" s="297" t="s">
        <v>198</v>
      </c>
      <c r="P5416" s="297" t="s">
        <v>199</v>
      </c>
      <c r="Q5416" s="297" t="s">
        <v>200</v>
      </c>
      <c r="R5416" s="297" t="s">
        <v>213</v>
      </c>
      <c r="S5416" s="297" t="s">
        <v>214</v>
      </c>
    </row>
    <row r="5417" spans="1:19" x14ac:dyDescent="0.4">
      <c r="A5417" s="548"/>
      <c r="B5417" s="292"/>
      <c r="C5417" s="292"/>
      <c r="D5417" s="292"/>
      <c r="E5417" s="549"/>
      <c r="F5417" s="549"/>
      <c r="G5417" s="550"/>
      <c r="H5417" s="551"/>
      <c r="I5417" s="552"/>
      <c r="J5417" s="553"/>
      <c r="K5417" s="554"/>
      <c r="M5417" s="301" t="str">
        <f>N5417&amp;AS[[#This Row],[Insurer Code]]&amp;"; "&amp;O5417&amp;AS[[#This Row],[Reporting Year]]&amp;"; "&amp;P5417&amp;AS[[#This Row],[Insurance Category Code]]&amp;"; "&amp;Q5417&amp;AS[[#This Row],[Large Provider Entity Code]]&amp;"; "&amp;R5417&amp;AS[[#This Row],[Age Band Code]]&amp;"; "&amp;S5417&amp;AS[[#This Row],[Sex Code]]</f>
        <v xml:space="preserve">Insurer Code ; Reporting Year ; Insurance Category Code ; Large Provider Entity Code ; Age Band Code ; Sex Code </v>
      </c>
      <c r="N5417" s="297" t="s">
        <v>197</v>
      </c>
      <c r="O5417" s="297" t="s">
        <v>198</v>
      </c>
      <c r="P5417" s="297" t="s">
        <v>199</v>
      </c>
      <c r="Q5417" s="297" t="s">
        <v>200</v>
      </c>
      <c r="R5417" s="297" t="s">
        <v>213</v>
      </c>
      <c r="S5417" s="297" t="s">
        <v>214</v>
      </c>
    </row>
    <row r="5418" spans="1:19" x14ac:dyDescent="0.4">
      <c r="A5418" s="548"/>
      <c r="B5418" s="292"/>
      <c r="C5418" s="292"/>
      <c r="D5418" s="292"/>
      <c r="E5418" s="549"/>
      <c r="F5418" s="549"/>
      <c r="G5418" s="550"/>
      <c r="H5418" s="551"/>
      <c r="I5418" s="552"/>
      <c r="J5418" s="553"/>
      <c r="K5418" s="554"/>
      <c r="M5418" s="301" t="str">
        <f>N5418&amp;AS[[#This Row],[Insurer Code]]&amp;"; "&amp;O5418&amp;AS[[#This Row],[Reporting Year]]&amp;"; "&amp;P5418&amp;AS[[#This Row],[Insurance Category Code]]&amp;"; "&amp;Q5418&amp;AS[[#This Row],[Large Provider Entity Code]]&amp;"; "&amp;R5418&amp;AS[[#This Row],[Age Band Code]]&amp;"; "&amp;S5418&amp;AS[[#This Row],[Sex Code]]</f>
        <v xml:space="preserve">Insurer Code ; Reporting Year ; Insurance Category Code ; Large Provider Entity Code ; Age Band Code ; Sex Code </v>
      </c>
      <c r="N5418" s="297" t="s">
        <v>197</v>
      </c>
      <c r="O5418" s="297" t="s">
        <v>198</v>
      </c>
      <c r="P5418" s="297" t="s">
        <v>199</v>
      </c>
      <c r="Q5418" s="297" t="s">
        <v>200</v>
      </c>
      <c r="R5418" s="297" t="s">
        <v>213</v>
      </c>
      <c r="S5418" s="297" t="s">
        <v>214</v>
      </c>
    </row>
    <row r="5419" spans="1:19" x14ac:dyDescent="0.4">
      <c r="A5419" s="548"/>
      <c r="B5419" s="292"/>
      <c r="C5419" s="292"/>
      <c r="D5419" s="292"/>
      <c r="E5419" s="549"/>
      <c r="F5419" s="549"/>
      <c r="G5419" s="550"/>
      <c r="H5419" s="551"/>
      <c r="I5419" s="552"/>
      <c r="J5419" s="553"/>
      <c r="K5419" s="554"/>
      <c r="M5419" s="301" t="str">
        <f>N5419&amp;AS[[#This Row],[Insurer Code]]&amp;"; "&amp;O5419&amp;AS[[#This Row],[Reporting Year]]&amp;"; "&amp;P5419&amp;AS[[#This Row],[Insurance Category Code]]&amp;"; "&amp;Q5419&amp;AS[[#This Row],[Large Provider Entity Code]]&amp;"; "&amp;R5419&amp;AS[[#This Row],[Age Band Code]]&amp;"; "&amp;S5419&amp;AS[[#This Row],[Sex Code]]</f>
        <v xml:space="preserve">Insurer Code ; Reporting Year ; Insurance Category Code ; Large Provider Entity Code ; Age Band Code ; Sex Code </v>
      </c>
      <c r="N5419" s="297" t="s">
        <v>197</v>
      </c>
      <c r="O5419" s="297" t="s">
        <v>198</v>
      </c>
      <c r="P5419" s="297" t="s">
        <v>199</v>
      </c>
      <c r="Q5419" s="297" t="s">
        <v>200</v>
      </c>
      <c r="R5419" s="297" t="s">
        <v>213</v>
      </c>
      <c r="S5419" s="297" t="s">
        <v>214</v>
      </c>
    </row>
    <row r="5420" spans="1:19" x14ac:dyDescent="0.4">
      <c r="A5420" s="548"/>
      <c r="B5420" s="292"/>
      <c r="C5420" s="292"/>
      <c r="D5420" s="292"/>
      <c r="E5420" s="549"/>
      <c r="F5420" s="549"/>
      <c r="G5420" s="550"/>
      <c r="H5420" s="551"/>
      <c r="I5420" s="552"/>
      <c r="J5420" s="553"/>
      <c r="K5420" s="554"/>
      <c r="M5420" s="301" t="str">
        <f>N5420&amp;AS[[#This Row],[Insurer Code]]&amp;"; "&amp;O5420&amp;AS[[#This Row],[Reporting Year]]&amp;"; "&amp;P5420&amp;AS[[#This Row],[Insurance Category Code]]&amp;"; "&amp;Q5420&amp;AS[[#This Row],[Large Provider Entity Code]]&amp;"; "&amp;R5420&amp;AS[[#This Row],[Age Band Code]]&amp;"; "&amp;S5420&amp;AS[[#This Row],[Sex Code]]</f>
        <v xml:space="preserve">Insurer Code ; Reporting Year ; Insurance Category Code ; Large Provider Entity Code ; Age Band Code ; Sex Code </v>
      </c>
      <c r="N5420" s="297" t="s">
        <v>197</v>
      </c>
      <c r="O5420" s="297" t="s">
        <v>198</v>
      </c>
      <c r="P5420" s="297" t="s">
        <v>199</v>
      </c>
      <c r="Q5420" s="297" t="s">
        <v>200</v>
      </c>
      <c r="R5420" s="297" t="s">
        <v>213</v>
      </c>
      <c r="S5420" s="297" t="s">
        <v>214</v>
      </c>
    </row>
    <row r="5421" spans="1:19" x14ac:dyDescent="0.4">
      <c r="A5421" s="548"/>
      <c r="B5421" s="292"/>
      <c r="C5421" s="292"/>
      <c r="D5421" s="292"/>
      <c r="E5421" s="549"/>
      <c r="F5421" s="549"/>
      <c r="G5421" s="550"/>
      <c r="H5421" s="551"/>
      <c r="I5421" s="552"/>
      <c r="J5421" s="553"/>
      <c r="K5421" s="554"/>
      <c r="M5421" s="301" t="str">
        <f>N5421&amp;AS[[#This Row],[Insurer Code]]&amp;"; "&amp;O5421&amp;AS[[#This Row],[Reporting Year]]&amp;"; "&amp;P5421&amp;AS[[#This Row],[Insurance Category Code]]&amp;"; "&amp;Q5421&amp;AS[[#This Row],[Large Provider Entity Code]]&amp;"; "&amp;R5421&amp;AS[[#This Row],[Age Band Code]]&amp;"; "&amp;S5421&amp;AS[[#This Row],[Sex Code]]</f>
        <v xml:space="preserve">Insurer Code ; Reporting Year ; Insurance Category Code ; Large Provider Entity Code ; Age Band Code ; Sex Code </v>
      </c>
      <c r="N5421" s="297" t="s">
        <v>197</v>
      </c>
      <c r="O5421" s="297" t="s">
        <v>198</v>
      </c>
      <c r="P5421" s="297" t="s">
        <v>199</v>
      </c>
      <c r="Q5421" s="297" t="s">
        <v>200</v>
      </c>
      <c r="R5421" s="297" t="s">
        <v>213</v>
      </c>
      <c r="S5421" s="297" t="s">
        <v>214</v>
      </c>
    </row>
    <row r="5422" spans="1:19" x14ac:dyDescent="0.4">
      <c r="A5422" s="548"/>
      <c r="B5422" s="292"/>
      <c r="C5422" s="292"/>
      <c r="D5422" s="292"/>
      <c r="E5422" s="549"/>
      <c r="F5422" s="549"/>
      <c r="G5422" s="550"/>
      <c r="H5422" s="551"/>
      <c r="I5422" s="552"/>
      <c r="J5422" s="553"/>
      <c r="K5422" s="554"/>
      <c r="M5422" s="301" t="str">
        <f>N5422&amp;AS[[#This Row],[Insurer Code]]&amp;"; "&amp;O5422&amp;AS[[#This Row],[Reporting Year]]&amp;"; "&amp;P5422&amp;AS[[#This Row],[Insurance Category Code]]&amp;"; "&amp;Q5422&amp;AS[[#This Row],[Large Provider Entity Code]]&amp;"; "&amp;R5422&amp;AS[[#This Row],[Age Band Code]]&amp;"; "&amp;S5422&amp;AS[[#This Row],[Sex Code]]</f>
        <v xml:space="preserve">Insurer Code ; Reporting Year ; Insurance Category Code ; Large Provider Entity Code ; Age Band Code ; Sex Code </v>
      </c>
      <c r="N5422" s="297" t="s">
        <v>197</v>
      </c>
      <c r="O5422" s="297" t="s">
        <v>198</v>
      </c>
      <c r="P5422" s="297" t="s">
        <v>199</v>
      </c>
      <c r="Q5422" s="297" t="s">
        <v>200</v>
      </c>
      <c r="R5422" s="297" t="s">
        <v>213</v>
      </c>
      <c r="S5422" s="297" t="s">
        <v>214</v>
      </c>
    </row>
    <row r="5423" spans="1:19" x14ac:dyDescent="0.4">
      <c r="A5423" s="548"/>
      <c r="B5423" s="292"/>
      <c r="C5423" s="292"/>
      <c r="D5423" s="292"/>
      <c r="E5423" s="549"/>
      <c r="F5423" s="549"/>
      <c r="G5423" s="550"/>
      <c r="H5423" s="551"/>
      <c r="I5423" s="552"/>
      <c r="J5423" s="553"/>
      <c r="K5423" s="554"/>
      <c r="M5423" s="301" t="str">
        <f>N5423&amp;AS[[#This Row],[Insurer Code]]&amp;"; "&amp;O5423&amp;AS[[#This Row],[Reporting Year]]&amp;"; "&amp;P5423&amp;AS[[#This Row],[Insurance Category Code]]&amp;"; "&amp;Q5423&amp;AS[[#This Row],[Large Provider Entity Code]]&amp;"; "&amp;R5423&amp;AS[[#This Row],[Age Band Code]]&amp;"; "&amp;S5423&amp;AS[[#This Row],[Sex Code]]</f>
        <v xml:space="preserve">Insurer Code ; Reporting Year ; Insurance Category Code ; Large Provider Entity Code ; Age Band Code ; Sex Code </v>
      </c>
      <c r="N5423" s="297" t="s">
        <v>197</v>
      </c>
      <c r="O5423" s="297" t="s">
        <v>198</v>
      </c>
      <c r="P5423" s="297" t="s">
        <v>199</v>
      </c>
      <c r="Q5423" s="297" t="s">
        <v>200</v>
      </c>
      <c r="R5423" s="297" t="s">
        <v>213</v>
      </c>
      <c r="S5423" s="297" t="s">
        <v>214</v>
      </c>
    </row>
    <row r="5424" spans="1:19" x14ac:dyDescent="0.4">
      <c r="A5424" s="548"/>
      <c r="B5424" s="292"/>
      <c r="C5424" s="292"/>
      <c r="D5424" s="292"/>
      <c r="E5424" s="549"/>
      <c r="F5424" s="549"/>
      <c r="G5424" s="550"/>
      <c r="H5424" s="551"/>
      <c r="I5424" s="552"/>
      <c r="J5424" s="553"/>
      <c r="K5424" s="554"/>
      <c r="M5424" s="301" t="str">
        <f>N5424&amp;AS[[#This Row],[Insurer Code]]&amp;"; "&amp;O5424&amp;AS[[#This Row],[Reporting Year]]&amp;"; "&amp;P5424&amp;AS[[#This Row],[Insurance Category Code]]&amp;"; "&amp;Q5424&amp;AS[[#This Row],[Large Provider Entity Code]]&amp;"; "&amp;R5424&amp;AS[[#This Row],[Age Band Code]]&amp;"; "&amp;S5424&amp;AS[[#This Row],[Sex Code]]</f>
        <v xml:space="preserve">Insurer Code ; Reporting Year ; Insurance Category Code ; Large Provider Entity Code ; Age Band Code ; Sex Code </v>
      </c>
      <c r="N5424" s="297" t="s">
        <v>197</v>
      </c>
      <c r="O5424" s="297" t="s">
        <v>198</v>
      </c>
      <c r="P5424" s="297" t="s">
        <v>199</v>
      </c>
      <c r="Q5424" s="297" t="s">
        <v>200</v>
      </c>
      <c r="R5424" s="297" t="s">
        <v>213</v>
      </c>
      <c r="S5424" s="297" t="s">
        <v>214</v>
      </c>
    </row>
    <row r="5425" spans="1:19" x14ac:dyDescent="0.4">
      <c r="A5425" s="548"/>
      <c r="B5425" s="292"/>
      <c r="C5425" s="292"/>
      <c r="D5425" s="292"/>
      <c r="E5425" s="549"/>
      <c r="F5425" s="549"/>
      <c r="G5425" s="550"/>
      <c r="H5425" s="551"/>
      <c r="I5425" s="552"/>
      <c r="J5425" s="553"/>
      <c r="K5425" s="554"/>
      <c r="M5425" s="301" t="str">
        <f>N5425&amp;AS[[#This Row],[Insurer Code]]&amp;"; "&amp;O5425&amp;AS[[#This Row],[Reporting Year]]&amp;"; "&amp;P5425&amp;AS[[#This Row],[Insurance Category Code]]&amp;"; "&amp;Q5425&amp;AS[[#This Row],[Large Provider Entity Code]]&amp;"; "&amp;R5425&amp;AS[[#This Row],[Age Band Code]]&amp;"; "&amp;S5425&amp;AS[[#This Row],[Sex Code]]</f>
        <v xml:space="preserve">Insurer Code ; Reporting Year ; Insurance Category Code ; Large Provider Entity Code ; Age Band Code ; Sex Code </v>
      </c>
      <c r="N5425" s="297" t="s">
        <v>197</v>
      </c>
      <c r="O5425" s="297" t="s">
        <v>198</v>
      </c>
      <c r="P5425" s="297" t="s">
        <v>199</v>
      </c>
      <c r="Q5425" s="297" t="s">
        <v>200</v>
      </c>
      <c r="R5425" s="297" t="s">
        <v>213</v>
      </c>
      <c r="S5425" s="297" t="s">
        <v>214</v>
      </c>
    </row>
    <row r="5426" spans="1:19" x14ac:dyDescent="0.4">
      <c r="A5426" s="548"/>
      <c r="B5426" s="292"/>
      <c r="C5426" s="292"/>
      <c r="D5426" s="292"/>
      <c r="E5426" s="549"/>
      <c r="F5426" s="549"/>
      <c r="G5426" s="550"/>
      <c r="H5426" s="551"/>
      <c r="I5426" s="552"/>
      <c r="J5426" s="553"/>
      <c r="K5426" s="554"/>
      <c r="M5426" s="301" t="str">
        <f>N5426&amp;AS[[#This Row],[Insurer Code]]&amp;"; "&amp;O5426&amp;AS[[#This Row],[Reporting Year]]&amp;"; "&amp;P5426&amp;AS[[#This Row],[Insurance Category Code]]&amp;"; "&amp;Q5426&amp;AS[[#This Row],[Large Provider Entity Code]]&amp;"; "&amp;R5426&amp;AS[[#This Row],[Age Band Code]]&amp;"; "&amp;S5426&amp;AS[[#This Row],[Sex Code]]</f>
        <v xml:space="preserve">Insurer Code ; Reporting Year ; Insurance Category Code ; Large Provider Entity Code ; Age Band Code ; Sex Code </v>
      </c>
      <c r="N5426" s="297" t="s">
        <v>197</v>
      </c>
      <c r="O5426" s="297" t="s">
        <v>198</v>
      </c>
      <c r="P5426" s="297" t="s">
        <v>199</v>
      </c>
      <c r="Q5426" s="297" t="s">
        <v>200</v>
      </c>
      <c r="R5426" s="297" t="s">
        <v>213</v>
      </c>
      <c r="S5426" s="297" t="s">
        <v>214</v>
      </c>
    </row>
    <row r="5427" spans="1:19" x14ac:dyDescent="0.4">
      <c r="A5427" s="548"/>
      <c r="B5427" s="292"/>
      <c r="C5427" s="292"/>
      <c r="D5427" s="292"/>
      <c r="E5427" s="549"/>
      <c r="F5427" s="549"/>
      <c r="G5427" s="550"/>
      <c r="H5427" s="551"/>
      <c r="I5427" s="552"/>
      <c r="J5427" s="553"/>
      <c r="K5427" s="554"/>
      <c r="M5427" s="301" t="str">
        <f>N5427&amp;AS[[#This Row],[Insurer Code]]&amp;"; "&amp;O5427&amp;AS[[#This Row],[Reporting Year]]&amp;"; "&amp;P5427&amp;AS[[#This Row],[Insurance Category Code]]&amp;"; "&amp;Q5427&amp;AS[[#This Row],[Large Provider Entity Code]]&amp;"; "&amp;R5427&amp;AS[[#This Row],[Age Band Code]]&amp;"; "&amp;S5427&amp;AS[[#This Row],[Sex Code]]</f>
        <v xml:space="preserve">Insurer Code ; Reporting Year ; Insurance Category Code ; Large Provider Entity Code ; Age Band Code ; Sex Code </v>
      </c>
      <c r="N5427" s="297" t="s">
        <v>197</v>
      </c>
      <c r="O5427" s="297" t="s">
        <v>198</v>
      </c>
      <c r="P5427" s="297" t="s">
        <v>199</v>
      </c>
      <c r="Q5427" s="297" t="s">
        <v>200</v>
      </c>
      <c r="R5427" s="297" t="s">
        <v>213</v>
      </c>
      <c r="S5427" s="297" t="s">
        <v>214</v>
      </c>
    </row>
    <row r="5428" spans="1:19" x14ac:dyDescent="0.4">
      <c r="A5428" s="548"/>
      <c r="B5428" s="292"/>
      <c r="C5428" s="292"/>
      <c r="D5428" s="292"/>
      <c r="E5428" s="549"/>
      <c r="F5428" s="549"/>
      <c r="G5428" s="550"/>
      <c r="H5428" s="551"/>
      <c r="I5428" s="552"/>
      <c r="J5428" s="553"/>
      <c r="K5428" s="554"/>
      <c r="M5428" s="301" t="str">
        <f>N5428&amp;AS[[#This Row],[Insurer Code]]&amp;"; "&amp;O5428&amp;AS[[#This Row],[Reporting Year]]&amp;"; "&amp;P5428&amp;AS[[#This Row],[Insurance Category Code]]&amp;"; "&amp;Q5428&amp;AS[[#This Row],[Large Provider Entity Code]]&amp;"; "&amp;R5428&amp;AS[[#This Row],[Age Band Code]]&amp;"; "&amp;S5428&amp;AS[[#This Row],[Sex Code]]</f>
        <v xml:space="preserve">Insurer Code ; Reporting Year ; Insurance Category Code ; Large Provider Entity Code ; Age Band Code ; Sex Code </v>
      </c>
      <c r="N5428" s="297" t="s">
        <v>197</v>
      </c>
      <c r="O5428" s="297" t="s">
        <v>198</v>
      </c>
      <c r="P5428" s="297" t="s">
        <v>199</v>
      </c>
      <c r="Q5428" s="297" t="s">
        <v>200</v>
      </c>
      <c r="R5428" s="297" t="s">
        <v>213</v>
      </c>
      <c r="S5428" s="297" t="s">
        <v>214</v>
      </c>
    </row>
    <row r="5429" spans="1:19" x14ac:dyDescent="0.4">
      <c r="A5429" s="548"/>
      <c r="B5429" s="292"/>
      <c r="C5429" s="292"/>
      <c r="D5429" s="292"/>
      <c r="E5429" s="549"/>
      <c r="F5429" s="549"/>
      <c r="G5429" s="550"/>
      <c r="H5429" s="551"/>
      <c r="I5429" s="552"/>
      <c r="J5429" s="553"/>
      <c r="K5429" s="554"/>
      <c r="M5429" s="301" t="str">
        <f>N5429&amp;AS[[#This Row],[Insurer Code]]&amp;"; "&amp;O5429&amp;AS[[#This Row],[Reporting Year]]&amp;"; "&amp;P5429&amp;AS[[#This Row],[Insurance Category Code]]&amp;"; "&amp;Q5429&amp;AS[[#This Row],[Large Provider Entity Code]]&amp;"; "&amp;R5429&amp;AS[[#This Row],[Age Band Code]]&amp;"; "&amp;S5429&amp;AS[[#This Row],[Sex Code]]</f>
        <v xml:space="preserve">Insurer Code ; Reporting Year ; Insurance Category Code ; Large Provider Entity Code ; Age Band Code ; Sex Code </v>
      </c>
      <c r="N5429" s="297" t="s">
        <v>197</v>
      </c>
      <c r="O5429" s="297" t="s">
        <v>198</v>
      </c>
      <c r="P5429" s="297" t="s">
        <v>199</v>
      </c>
      <c r="Q5429" s="297" t="s">
        <v>200</v>
      </c>
      <c r="R5429" s="297" t="s">
        <v>213</v>
      </c>
      <c r="S5429" s="297" t="s">
        <v>214</v>
      </c>
    </row>
    <row r="5430" spans="1:19" x14ac:dyDescent="0.4">
      <c r="A5430" s="548"/>
      <c r="B5430" s="292"/>
      <c r="C5430" s="292"/>
      <c r="D5430" s="292"/>
      <c r="E5430" s="549"/>
      <c r="F5430" s="549"/>
      <c r="G5430" s="550"/>
      <c r="H5430" s="551"/>
      <c r="I5430" s="552"/>
      <c r="J5430" s="553"/>
      <c r="K5430" s="554"/>
      <c r="M5430" s="301" t="str">
        <f>N5430&amp;AS[[#This Row],[Insurer Code]]&amp;"; "&amp;O5430&amp;AS[[#This Row],[Reporting Year]]&amp;"; "&amp;P5430&amp;AS[[#This Row],[Insurance Category Code]]&amp;"; "&amp;Q5430&amp;AS[[#This Row],[Large Provider Entity Code]]&amp;"; "&amp;R5430&amp;AS[[#This Row],[Age Band Code]]&amp;"; "&amp;S5430&amp;AS[[#This Row],[Sex Code]]</f>
        <v xml:space="preserve">Insurer Code ; Reporting Year ; Insurance Category Code ; Large Provider Entity Code ; Age Band Code ; Sex Code </v>
      </c>
      <c r="N5430" s="297" t="s">
        <v>197</v>
      </c>
      <c r="O5430" s="297" t="s">
        <v>198</v>
      </c>
      <c r="P5430" s="297" t="s">
        <v>199</v>
      </c>
      <c r="Q5430" s="297" t="s">
        <v>200</v>
      </c>
      <c r="R5430" s="297" t="s">
        <v>213</v>
      </c>
      <c r="S5430" s="297" t="s">
        <v>214</v>
      </c>
    </row>
    <row r="5431" spans="1:19" x14ac:dyDescent="0.4">
      <c r="A5431" s="548"/>
      <c r="B5431" s="292"/>
      <c r="C5431" s="292"/>
      <c r="D5431" s="292"/>
      <c r="E5431" s="549"/>
      <c r="F5431" s="549"/>
      <c r="G5431" s="550"/>
      <c r="H5431" s="551"/>
      <c r="I5431" s="552"/>
      <c r="J5431" s="553"/>
      <c r="K5431" s="554"/>
      <c r="M5431" s="301" t="str">
        <f>N5431&amp;AS[[#This Row],[Insurer Code]]&amp;"; "&amp;O5431&amp;AS[[#This Row],[Reporting Year]]&amp;"; "&amp;P5431&amp;AS[[#This Row],[Insurance Category Code]]&amp;"; "&amp;Q5431&amp;AS[[#This Row],[Large Provider Entity Code]]&amp;"; "&amp;R5431&amp;AS[[#This Row],[Age Band Code]]&amp;"; "&amp;S5431&amp;AS[[#This Row],[Sex Code]]</f>
        <v xml:space="preserve">Insurer Code ; Reporting Year ; Insurance Category Code ; Large Provider Entity Code ; Age Band Code ; Sex Code </v>
      </c>
      <c r="N5431" s="297" t="s">
        <v>197</v>
      </c>
      <c r="O5431" s="297" t="s">
        <v>198</v>
      </c>
      <c r="P5431" s="297" t="s">
        <v>199</v>
      </c>
      <c r="Q5431" s="297" t="s">
        <v>200</v>
      </c>
      <c r="R5431" s="297" t="s">
        <v>213</v>
      </c>
      <c r="S5431" s="297" t="s">
        <v>214</v>
      </c>
    </row>
    <row r="5432" spans="1:19" x14ac:dyDescent="0.4">
      <c r="A5432" s="548"/>
      <c r="B5432" s="292"/>
      <c r="C5432" s="292"/>
      <c r="D5432" s="292"/>
      <c r="E5432" s="549"/>
      <c r="F5432" s="549"/>
      <c r="G5432" s="550"/>
      <c r="H5432" s="551"/>
      <c r="I5432" s="552"/>
      <c r="J5432" s="553"/>
      <c r="K5432" s="554"/>
      <c r="M5432" s="301" t="str">
        <f>N5432&amp;AS[[#This Row],[Insurer Code]]&amp;"; "&amp;O5432&amp;AS[[#This Row],[Reporting Year]]&amp;"; "&amp;P5432&amp;AS[[#This Row],[Insurance Category Code]]&amp;"; "&amp;Q5432&amp;AS[[#This Row],[Large Provider Entity Code]]&amp;"; "&amp;R5432&amp;AS[[#This Row],[Age Band Code]]&amp;"; "&amp;S5432&amp;AS[[#This Row],[Sex Code]]</f>
        <v xml:space="preserve">Insurer Code ; Reporting Year ; Insurance Category Code ; Large Provider Entity Code ; Age Band Code ; Sex Code </v>
      </c>
      <c r="N5432" s="297" t="s">
        <v>197</v>
      </c>
      <c r="O5432" s="297" t="s">
        <v>198</v>
      </c>
      <c r="P5432" s="297" t="s">
        <v>199</v>
      </c>
      <c r="Q5432" s="297" t="s">
        <v>200</v>
      </c>
      <c r="R5432" s="297" t="s">
        <v>213</v>
      </c>
      <c r="S5432" s="297" t="s">
        <v>214</v>
      </c>
    </row>
    <row r="5433" spans="1:19" x14ac:dyDescent="0.4">
      <c r="A5433" s="548"/>
      <c r="B5433" s="292"/>
      <c r="C5433" s="292"/>
      <c r="D5433" s="292"/>
      <c r="E5433" s="549"/>
      <c r="F5433" s="549"/>
      <c r="G5433" s="550"/>
      <c r="H5433" s="551"/>
      <c r="I5433" s="552"/>
      <c r="J5433" s="553"/>
      <c r="K5433" s="554"/>
      <c r="M5433" s="301" t="str">
        <f>N5433&amp;AS[[#This Row],[Insurer Code]]&amp;"; "&amp;O5433&amp;AS[[#This Row],[Reporting Year]]&amp;"; "&amp;P5433&amp;AS[[#This Row],[Insurance Category Code]]&amp;"; "&amp;Q5433&amp;AS[[#This Row],[Large Provider Entity Code]]&amp;"; "&amp;R5433&amp;AS[[#This Row],[Age Band Code]]&amp;"; "&amp;S5433&amp;AS[[#This Row],[Sex Code]]</f>
        <v xml:space="preserve">Insurer Code ; Reporting Year ; Insurance Category Code ; Large Provider Entity Code ; Age Band Code ; Sex Code </v>
      </c>
      <c r="N5433" s="297" t="s">
        <v>197</v>
      </c>
      <c r="O5433" s="297" t="s">
        <v>198</v>
      </c>
      <c r="P5433" s="297" t="s">
        <v>199</v>
      </c>
      <c r="Q5433" s="297" t="s">
        <v>200</v>
      </c>
      <c r="R5433" s="297" t="s">
        <v>213</v>
      </c>
      <c r="S5433" s="297" t="s">
        <v>214</v>
      </c>
    </row>
    <row r="5434" spans="1:19" x14ac:dyDescent="0.4">
      <c r="A5434" s="548"/>
      <c r="B5434" s="292"/>
      <c r="C5434" s="292"/>
      <c r="D5434" s="292"/>
      <c r="E5434" s="549"/>
      <c r="F5434" s="549"/>
      <c r="G5434" s="550"/>
      <c r="H5434" s="551"/>
      <c r="I5434" s="552"/>
      <c r="J5434" s="553"/>
      <c r="K5434" s="554"/>
      <c r="M5434" s="301" t="str">
        <f>N5434&amp;AS[[#This Row],[Insurer Code]]&amp;"; "&amp;O5434&amp;AS[[#This Row],[Reporting Year]]&amp;"; "&amp;P5434&amp;AS[[#This Row],[Insurance Category Code]]&amp;"; "&amp;Q5434&amp;AS[[#This Row],[Large Provider Entity Code]]&amp;"; "&amp;R5434&amp;AS[[#This Row],[Age Band Code]]&amp;"; "&amp;S5434&amp;AS[[#This Row],[Sex Code]]</f>
        <v xml:space="preserve">Insurer Code ; Reporting Year ; Insurance Category Code ; Large Provider Entity Code ; Age Band Code ; Sex Code </v>
      </c>
      <c r="N5434" s="297" t="s">
        <v>197</v>
      </c>
      <c r="O5434" s="297" t="s">
        <v>198</v>
      </c>
      <c r="P5434" s="297" t="s">
        <v>199</v>
      </c>
      <c r="Q5434" s="297" t="s">
        <v>200</v>
      </c>
      <c r="R5434" s="297" t="s">
        <v>213</v>
      </c>
      <c r="S5434" s="297" t="s">
        <v>214</v>
      </c>
    </row>
    <row r="5435" spans="1:19" x14ac:dyDescent="0.4">
      <c r="A5435" s="548"/>
      <c r="B5435" s="292"/>
      <c r="C5435" s="292"/>
      <c r="D5435" s="292"/>
      <c r="E5435" s="549"/>
      <c r="F5435" s="549"/>
      <c r="G5435" s="550"/>
      <c r="H5435" s="551"/>
      <c r="I5435" s="552"/>
      <c r="J5435" s="553"/>
      <c r="K5435" s="554"/>
      <c r="M5435" s="301" t="str">
        <f>N5435&amp;AS[[#This Row],[Insurer Code]]&amp;"; "&amp;O5435&amp;AS[[#This Row],[Reporting Year]]&amp;"; "&amp;P5435&amp;AS[[#This Row],[Insurance Category Code]]&amp;"; "&amp;Q5435&amp;AS[[#This Row],[Large Provider Entity Code]]&amp;"; "&amp;R5435&amp;AS[[#This Row],[Age Band Code]]&amp;"; "&amp;S5435&amp;AS[[#This Row],[Sex Code]]</f>
        <v xml:space="preserve">Insurer Code ; Reporting Year ; Insurance Category Code ; Large Provider Entity Code ; Age Band Code ; Sex Code </v>
      </c>
      <c r="N5435" s="297" t="s">
        <v>197</v>
      </c>
      <c r="O5435" s="297" t="s">
        <v>198</v>
      </c>
      <c r="P5435" s="297" t="s">
        <v>199</v>
      </c>
      <c r="Q5435" s="297" t="s">
        <v>200</v>
      </c>
      <c r="R5435" s="297" t="s">
        <v>213</v>
      </c>
      <c r="S5435" s="297" t="s">
        <v>214</v>
      </c>
    </row>
    <row r="5436" spans="1:19" x14ac:dyDescent="0.4">
      <c r="A5436" s="548"/>
      <c r="B5436" s="292"/>
      <c r="C5436" s="292"/>
      <c r="D5436" s="292"/>
      <c r="E5436" s="549"/>
      <c r="F5436" s="549"/>
      <c r="G5436" s="550"/>
      <c r="H5436" s="551"/>
      <c r="I5436" s="552"/>
      <c r="J5436" s="553"/>
      <c r="K5436" s="554"/>
      <c r="M5436" s="301" t="str">
        <f>N5436&amp;AS[[#This Row],[Insurer Code]]&amp;"; "&amp;O5436&amp;AS[[#This Row],[Reporting Year]]&amp;"; "&amp;P5436&amp;AS[[#This Row],[Insurance Category Code]]&amp;"; "&amp;Q5436&amp;AS[[#This Row],[Large Provider Entity Code]]&amp;"; "&amp;R5436&amp;AS[[#This Row],[Age Band Code]]&amp;"; "&amp;S5436&amp;AS[[#This Row],[Sex Code]]</f>
        <v xml:space="preserve">Insurer Code ; Reporting Year ; Insurance Category Code ; Large Provider Entity Code ; Age Band Code ; Sex Code </v>
      </c>
      <c r="N5436" s="297" t="s">
        <v>197</v>
      </c>
      <c r="O5436" s="297" t="s">
        <v>198</v>
      </c>
      <c r="P5436" s="297" t="s">
        <v>199</v>
      </c>
      <c r="Q5436" s="297" t="s">
        <v>200</v>
      </c>
      <c r="R5436" s="297" t="s">
        <v>213</v>
      </c>
      <c r="S5436" s="297" t="s">
        <v>214</v>
      </c>
    </row>
    <row r="5437" spans="1:19" x14ac:dyDescent="0.4">
      <c r="A5437" s="548"/>
      <c r="B5437" s="292"/>
      <c r="C5437" s="292"/>
      <c r="D5437" s="292"/>
      <c r="E5437" s="549"/>
      <c r="F5437" s="549"/>
      <c r="G5437" s="550"/>
      <c r="H5437" s="551"/>
      <c r="I5437" s="552"/>
      <c r="J5437" s="553"/>
      <c r="K5437" s="554"/>
      <c r="M5437" s="301" t="str">
        <f>N5437&amp;AS[[#This Row],[Insurer Code]]&amp;"; "&amp;O5437&amp;AS[[#This Row],[Reporting Year]]&amp;"; "&amp;P5437&amp;AS[[#This Row],[Insurance Category Code]]&amp;"; "&amp;Q5437&amp;AS[[#This Row],[Large Provider Entity Code]]&amp;"; "&amp;R5437&amp;AS[[#This Row],[Age Band Code]]&amp;"; "&amp;S5437&amp;AS[[#This Row],[Sex Code]]</f>
        <v xml:space="preserve">Insurer Code ; Reporting Year ; Insurance Category Code ; Large Provider Entity Code ; Age Band Code ; Sex Code </v>
      </c>
      <c r="N5437" s="297" t="s">
        <v>197</v>
      </c>
      <c r="O5437" s="297" t="s">
        <v>198</v>
      </c>
      <c r="P5437" s="297" t="s">
        <v>199</v>
      </c>
      <c r="Q5437" s="297" t="s">
        <v>200</v>
      </c>
      <c r="R5437" s="297" t="s">
        <v>213</v>
      </c>
      <c r="S5437" s="297" t="s">
        <v>214</v>
      </c>
    </row>
    <row r="5438" spans="1:19" x14ac:dyDescent="0.4">
      <c r="A5438" s="548"/>
      <c r="B5438" s="292"/>
      <c r="C5438" s="292"/>
      <c r="D5438" s="292"/>
      <c r="E5438" s="549"/>
      <c r="F5438" s="549"/>
      <c r="G5438" s="550"/>
      <c r="H5438" s="551"/>
      <c r="I5438" s="552"/>
      <c r="J5438" s="553"/>
      <c r="K5438" s="554"/>
      <c r="M5438" s="301" t="str">
        <f>N5438&amp;AS[[#This Row],[Insurer Code]]&amp;"; "&amp;O5438&amp;AS[[#This Row],[Reporting Year]]&amp;"; "&amp;P5438&amp;AS[[#This Row],[Insurance Category Code]]&amp;"; "&amp;Q5438&amp;AS[[#This Row],[Large Provider Entity Code]]&amp;"; "&amp;R5438&amp;AS[[#This Row],[Age Band Code]]&amp;"; "&amp;S5438&amp;AS[[#This Row],[Sex Code]]</f>
        <v xml:space="preserve">Insurer Code ; Reporting Year ; Insurance Category Code ; Large Provider Entity Code ; Age Band Code ; Sex Code </v>
      </c>
      <c r="N5438" s="297" t="s">
        <v>197</v>
      </c>
      <c r="O5438" s="297" t="s">
        <v>198</v>
      </c>
      <c r="P5438" s="297" t="s">
        <v>199</v>
      </c>
      <c r="Q5438" s="297" t="s">
        <v>200</v>
      </c>
      <c r="R5438" s="297" t="s">
        <v>213</v>
      </c>
      <c r="S5438" s="297" t="s">
        <v>214</v>
      </c>
    </row>
    <row r="5439" spans="1:19" x14ac:dyDescent="0.4">
      <c r="A5439" s="548"/>
      <c r="B5439" s="292"/>
      <c r="C5439" s="292"/>
      <c r="D5439" s="292"/>
      <c r="E5439" s="549"/>
      <c r="F5439" s="549"/>
      <c r="G5439" s="550"/>
      <c r="H5439" s="551"/>
      <c r="I5439" s="552"/>
      <c r="J5439" s="553"/>
      <c r="K5439" s="554"/>
      <c r="M5439" s="301" t="str">
        <f>N5439&amp;AS[[#This Row],[Insurer Code]]&amp;"; "&amp;O5439&amp;AS[[#This Row],[Reporting Year]]&amp;"; "&amp;P5439&amp;AS[[#This Row],[Insurance Category Code]]&amp;"; "&amp;Q5439&amp;AS[[#This Row],[Large Provider Entity Code]]&amp;"; "&amp;R5439&amp;AS[[#This Row],[Age Band Code]]&amp;"; "&amp;S5439&amp;AS[[#This Row],[Sex Code]]</f>
        <v xml:space="preserve">Insurer Code ; Reporting Year ; Insurance Category Code ; Large Provider Entity Code ; Age Band Code ; Sex Code </v>
      </c>
      <c r="N5439" s="297" t="s">
        <v>197</v>
      </c>
      <c r="O5439" s="297" t="s">
        <v>198</v>
      </c>
      <c r="P5439" s="297" t="s">
        <v>199</v>
      </c>
      <c r="Q5439" s="297" t="s">
        <v>200</v>
      </c>
      <c r="R5439" s="297" t="s">
        <v>213</v>
      </c>
      <c r="S5439" s="297" t="s">
        <v>214</v>
      </c>
    </row>
    <row r="5440" spans="1:19" x14ac:dyDescent="0.4">
      <c r="A5440" s="548"/>
      <c r="B5440" s="292"/>
      <c r="C5440" s="292"/>
      <c r="D5440" s="292"/>
      <c r="E5440" s="549"/>
      <c r="F5440" s="549"/>
      <c r="G5440" s="550"/>
      <c r="H5440" s="551"/>
      <c r="I5440" s="552"/>
      <c r="J5440" s="553"/>
      <c r="K5440" s="554"/>
      <c r="M5440" s="301" t="str">
        <f>N5440&amp;AS[[#This Row],[Insurer Code]]&amp;"; "&amp;O5440&amp;AS[[#This Row],[Reporting Year]]&amp;"; "&amp;P5440&amp;AS[[#This Row],[Insurance Category Code]]&amp;"; "&amp;Q5440&amp;AS[[#This Row],[Large Provider Entity Code]]&amp;"; "&amp;R5440&amp;AS[[#This Row],[Age Band Code]]&amp;"; "&amp;S5440&amp;AS[[#This Row],[Sex Code]]</f>
        <v xml:space="preserve">Insurer Code ; Reporting Year ; Insurance Category Code ; Large Provider Entity Code ; Age Band Code ; Sex Code </v>
      </c>
      <c r="N5440" s="297" t="s">
        <v>197</v>
      </c>
      <c r="O5440" s="297" t="s">
        <v>198</v>
      </c>
      <c r="P5440" s="297" t="s">
        <v>199</v>
      </c>
      <c r="Q5440" s="297" t="s">
        <v>200</v>
      </c>
      <c r="R5440" s="297" t="s">
        <v>213</v>
      </c>
      <c r="S5440" s="297" t="s">
        <v>214</v>
      </c>
    </row>
    <row r="5441" spans="1:19" x14ac:dyDescent="0.4">
      <c r="A5441" s="548"/>
      <c r="B5441" s="292"/>
      <c r="C5441" s="292"/>
      <c r="D5441" s="292"/>
      <c r="E5441" s="549"/>
      <c r="F5441" s="549"/>
      <c r="G5441" s="550"/>
      <c r="H5441" s="551"/>
      <c r="I5441" s="552"/>
      <c r="J5441" s="553"/>
      <c r="K5441" s="554"/>
      <c r="M5441" s="301" t="str">
        <f>N5441&amp;AS[[#This Row],[Insurer Code]]&amp;"; "&amp;O5441&amp;AS[[#This Row],[Reporting Year]]&amp;"; "&amp;P5441&amp;AS[[#This Row],[Insurance Category Code]]&amp;"; "&amp;Q5441&amp;AS[[#This Row],[Large Provider Entity Code]]&amp;"; "&amp;R5441&amp;AS[[#This Row],[Age Band Code]]&amp;"; "&amp;S5441&amp;AS[[#This Row],[Sex Code]]</f>
        <v xml:space="preserve">Insurer Code ; Reporting Year ; Insurance Category Code ; Large Provider Entity Code ; Age Band Code ; Sex Code </v>
      </c>
      <c r="N5441" s="297" t="s">
        <v>197</v>
      </c>
      <c r="O5441" s="297" t="s">
        <v>198</v>
      </c>
      <c r="P5441" s="297" t="s">
        <v>199</v>
      </c>
      <c r="Q5441" s="297" t="s">
        <v>200</v>
      </c>
      <c r="R5441" s="297" t="s">
        <v>213</v>
      </c>
      <c r="S5441" s="297" t="s">
        <v>214</v>
      </c>
    </row>
    <row r="5442" spans="1:19" x14ac:dyDescent="0.4">
      <c r="A5442" s="548"/>
      <c r="B5442" s="292"/>
      <c r="C5442" s="292"/>
      <c r="D5442" s="292"/>
      <c r="E5442" s="549"/>
      <c r="F5442" s="549"/>
      <c r="G5442" s="550"/>
      <c r="H5442" s="551"/>
      <c r="I5442" s="552"/>
      <c r="J5442" s="553"/>
      <c r="K5442" s="554"/>
      <c r="M5442" s="301" t="str">
        <f>N5442&amp;AS[[#This Row],[Insurer Code]]&amp;"; "&amp;O5442&amp;AS[[#This Row],[Reporting Year]]&amp;"; "&amp;P5442&amp;AS[[#This Row],[Insurance Category Code]]&amp;"; "&amp;Q5442&amp;AS[[#This Row],[Large Provider Entity Code]]&amp;"; "&amp;R5442&amp;AS[[#This Row],[Age Band Code]]&amp;"; "&amp;S5442&amp;AS[[#This Row],[Sex Code]]</f>
        <v xml:space="preserve">Insurer Code ; Reporting Year ; Insurance Category Code ; Large Provider Entity Code ; Age Band Code ; Sex Code </v>
      </c>
      <c r="N5442" s="297" t="s">
        <v>197</v>
      </c>
      <c r="O5442" s="297" t="s">
        <v>198</v>
      </c>
      <c r="P5442" s="297" t="s">
        <v>199</v>
      </c>
      <c r="Q5442" s="297" t="s">
        <v>200</v>
      </c>
      <c r="R5442" s="297" t="s">
        <v>213</v>
      </c>
      <c r="S5442" s="297" t="s">
        <v>214</v>
      </c>
    </row>
    <row r="5443" spans="1:19" x14ac:dyDescent="0.4">
      <c r="A5443" s="548"/>
      <c r="B5443" s="292"/>
      <c r="C5443" s="292"/>
      <c r="D5443" s="292"/>
      <c r="E5443" s="549"/>
      <c r="F5443" s="549"/>
      <c r="G5443" s="550"/>
      <c r="H5443" s="551"/>
      <c r="I5443" s="552"/>
      <c r="J5443" s="553"/>
      <c r="K5443" s="554"/>
      <c r="M5443" s="301" t="str">
        <f>N5443&amp;AS[[#This Row],[Insurer Code]]&amp;"; "&amp;O5443&amp;AS[[#This Row],[Reporting Year]]&amp;"; "&amp;P5443&amp;AS[[#This Row],[Insurance Category Code]]&amp;"; "&amp;Q5443&amp;AS[[#This Row],[Large Provider Entity Code]]&amp;"; "&amp;R5443&amp;AS[[#This Row],[Age Band Code]]&amp;"; "&amp;S5443&amp;AS[[#This Row],[Sex Code]]</f>
        <v xml:space="preserve">Insurer Code ; Reporting Year ; Insurance Category Code ; Large Provider Entity Code ; Age Band Code ; Sex Code </v>
      </c>
      <c r="N5443" s="297" t="s">
        <v>197</v>
      </c>
      <c r="O5443" s="297" t="s">
        <v>198</v>
      </c>
      <c r="P5443" s="297" t="s">
        <v>199</v>
      </c>
      <c r="Q5443" s="297" t="s">
        <v>200</v>
      </c>
      <c r="R5443" s="297" t="s">
        <v>213</v>
      </c>
      <c r="S5443" s="297" t="s">
        <v>214</v>
      </c>
    </row>
    <row r="5444" spans="1:19" x14ac:dyDescent="0.4">
      <c r="A5444" s="548"/>
      <c r="B5444" s="292"/>
      <c r="C5444" s="292"/>
      <c r="D5444" s="292"/>
      <c r="E5444" s="549"/>
      <c r="F5444" s="549"/>
      <c r="G5444" s="550"/>
      <c r="H5444" s="551"/>
      <c r="I5444" s="552"/>
      <c r="J5444" s="553"/>
      <c r="K5444" s="554"/>
      <c r="M5444" s="301" t="str">
        <f>N5444&amp;AS[[#This Row],[Insurer Code]]&amp;"; "&amp;O5444&amp;AS[[#This Row],[Reporting Year]]&amp;"; "&amp;P5444&amp;AS[[#This Row],[Insurance Category Code]]&amp;"; "&amp;Q5444&amp;AS[[#This Row],[Large Provider Entity Code]]&amp;"; "&amp;R5444&amp;AS[[#This Row],[Age Band Code]]&amp;"; "&amp;S5444&amp;AS[[#This Row],[Sex Code]]</f>
        <v xml:space="preserve">Insurer Code ; Reporting Year ; Insurance Category Code ; Large Provider Entity Code ; Age Band Code ; Sex Code </v>
      </c>
      <c r="N5444" s="297" t="s">
        <v>197</v>
      </c>
      <c r="O5444" s="297" t="s">
        <v>198</v>
      </c>
      <c r="P5444" s="297" t="s">
        <v>199</v>
      </c>
      <c r="Q5444" s="297" t="s">
        <v>200</v>
      </c>
      <c r="R5444" s="297" t="s">
        <v>213</v>
      </c>
      <c r="S5444" s="297" t="s">
        <v>214</v>
      </c>
    </row>
    <row r="5445" spans="1:19" x14ac:dyDescent="0.4">
      <c r="A5445" s="548"/>
      <c r="B5445" s="292"/>
      <c r="C5445" s="292"/>
      <c r="D5445" s="292"/>
      <c r="E5445" s="549"/>
      <c r="F5445" s="549"/>
      <c r="G5445" s="550"/>
      <c r="H5445" s="551"/>
      <c r="I5445" s="552"/>
      <c r="J5445" s="553"/>
      <c r="K5445" s="554"/>
      <c r="M5445" s="301" t="str">
        <f>N5445&amp;AS[[#This Row],[Insurer Code]]&amp;"; "&amp;O5445&amp;AS[[#This Row],[Reporting Year]]&amp;"; "&amp;P5445&amp;AS[[#This Row],[Insurance Category Code]]&amp;"; "&amp;Q5445&amp;AS[[#This Row],[Large Provider Entity Code]]&amp;"; "&amp;R5445&amp;AS[[#This Row],[Age Band Code]]&amp;"; "&amp;S5445&amp;AS[[#This Row],[Sex Code]]</f>
        <v xml:space="preserve">Insurer Code ; Reporting Year ; Insurance Category Code ; Large Provider Entity Code ; Age Band Code ; Sex Code </v>
      </c>
      <c r="N5445" s="297" t="s">
        <v>197</v>
      </c>
      <c r="O5445" s="297" t="s">
        <v>198</v>
      </c>
      <c r="P5445" s="297" t="s">
        <v>199</v>
      </c>
      <c r="Q5445" s="297" t="s">
        <v>200</v>
      </c>
      <c r="R5445" s="297" t="s">
        <v>213</v>
      </c>
      <c r="S5445" s="297" t="s">
        <v>214</v>
      </c>
    </row>
    <row r="5446" spans="1:19" x14ac:dyDescent="0.4">
      <c r="A5446" s="548"/>
      <c r="B5446" s="292"/>
      <c r="C5446" s="292"/>
      <c r="D5446" s="292"/>
      <c r="E5446" s="549"/>
      <c r="F5446" s="549"/>
      <c r="G5446" s="550"/>
      <c r="H5446" s="551"/>
      <c r="I5446" s="552"/>
      <c r="J5446" s="553"/>
      <c r="K5446" s="554"/>
      <c r="M5446" s="301" t="str">
        <f>N5446&amp;AS[[#This Row],[Insurer Code]]&amp;"; "&amp;O5446&amp;AS[[#This Row],[Reporting Year]]&amp;"; "&amp;P5446&amp;AS[[#This Row],[Insurance Category Code]]&amp;"; "&amp;Q5446&amp;AS[[#This Row],[Large Provider Entity Code]]&amp;"; "&amp;R5446&amp;AS[[#This Row],[Age Band Code]]&amp;"; "&amp;S5446&amp;AS[[#This Row],[Sex Code]]</f>
        <v xml:space="preserve">Insurer Code ; Reporting Year ; Insurance Category Code ; Large Provider Entity Code ; Age Band Code ; Sex Code </v>
      </c>
      <c r="N5446" s="297" t="s">
        <v>197</v>
      </c>
      <c r="O5446" s="297" t="s">
        <v>198</v>
      </c>
      <c r="P5446" s="297" t="s">
        <v>199</v>
      </c>
      <c r="Q5446" s="297" t="s">
        <v>200</v>
      </c>
      <c r="R5446" s="297" t="s">
        <v>213</v>
      </c>
      <c r="S5446" s="297" t="s">
        <v>214</v>
      </c>
    </row>
    <row r="5447" spans="1:19" x14ac:dyDescent="0.4">
      <c r="A5447" s="548"/>
      <c r="B5447" s="292"/>
      <c r="C5447" s="292"/>
      <c r="D5447" s="292"/>
      <c r="E5447" s="549"/>
      <c r="F5447" s="549"/>
      <c r="G5447" s="550"/>
      <c r="H5447" s="551"/>
      <c r="I5447" s="552"/>
      <c r="J5447" s="553"/>
      <c r="K5447" s="554"/>
      <c r="M5447" s="301" t="str">
        <f>N5447&amp;AS[[#This Row],[Insurer Code]]&amp;"; "&amp;O5447&amp;AS[[#This Row],[Reporting Year]]&amp;"; "&amp;P5447&amp;AS[[#This Row],[Insurance Category Code]]&amp;"; "&amp;Q5447&amp;AS[[#This Row],[Large Provider Entity Code]]&amp;"; "&amp;R5447&amp;AS[[#This Row],[Age Band Code]]&amp;"; "&amp;S5447&amp;AS[[#This Row],[Sex Code]]</f>
        <v xml:space="preserve">Insurer Code ; Reporting Year ; Insurance Category Code ; Large Provider Entity Code ; Age Band Code ; Sex Code </v>
      </c>
      <c r="N5447" s="297" t="s">
        <v>197</v>
      </c>
      <c r="O5447" s="297" t="s">
        <v>198</v>
      </c>
      <c r="P5447" s="297" t="s">
        <v>199</v>
      </c>
      <c r="Q5447" s="297" t="s">
        <v>200</v>
      </c>
      <c r="R5447" s="297" t="s">
        <v>213</v>
      </c>
      <c r="S5447" s="297" t="s">
        <v>214</v>
      </c>
    </row>
    <row r="5448" spans="1:19" x14ac:dyDescent="0.4">
      <c r="A5448" s="548"/>
      <c r="B5448" s="292"/>
      <c r="C5448" s="292"/>
      <c r="D5448" s="292"/>
      <c r="E5448" s="549"/>
      <c r="F5448" s="549"/>
      <c r="G5448" s="550"/>
      <c r="H5448" s="551"/>
      <c r="I5448" s="552"/>
      <c r="J5448" s="553"/>
      <c r="K5448" s="554"/>
      <c r="M5448" s="301" t="str">
        <f>N5448&amp;AS[[#This Row],[Insurer Code]]&amp;"; "&amp;O5448&amp;AS[[#This Row],[Reporting Year]]&amp;"; "&amp;P5448&amp;AS[[#This Row],[Insurance Category Code]]&amp;"; "&amp;Q5448&amp;AS[[#This Row],[Large Provider Entity Code]]&amp;"; "&amp;R5448&amp;AS[[#This Row],[Age Band Code]]&amp;"; "&amp;S5448&amp;AS[[#This Row],[Sex Code]]</f>
        <v xml:space="preserve">Insurer Code ; Reporting Year ; Insurance Category Code ; Large Provider Entity Code ; Age Band Code ; Sex Code </v>
      </c>
      <c r="N5448" s="297" t="s">
        <v>197</v>
      </c>
      <c r="O5448" s="297" t="s">
        <v>198</v>
      </c>
      <c r="P5448" s="297" t="s">
        <v>199</v>
      </c>
      <c r="Q5448" s="297" t="s">
        <v>200</v>
      </c>
      <c r="R5448" s="297" t="s">
        <v>213</v>
      </c>
      <c r="S5448" s="297" t="s">
        <v>214</v>
      </c>
    </row>
    <row r="5449" spans="1:19" x14ac:dyDescent="0.4">
      <c r="A5449" s="548"/>
      <c r="B5449" s="292"/>
      <c r="C5449" s="292"/>
      <c r="D5449" s="292"/>
      <c r="E5449" s="549"/>
      <c r="F5449" s="549"/>
      <c r="G5449" s="550"/>
      <c r="H5449" s="551"/>
      <c r="I5449" s="552"/>
      <c r="J5449" s="553"/>
      <c r="K5449" s="554"/>
      <c r="M5449" s="301" t="str">
        <f>N5449&amp;AS[[#This Row],[Insurer Code]]&amp;"; "&amp;O5449&amp;AS[[#This Row],[Reporting Year]]&amp;"; "&amp;P5449&amp;AS[[#This Row],[Insurance Category Code]]&amp;"; "&amp;Q5449&amp;AS[[#This Row],[Large Provider Entity Code]]&amp;"; "&amp;R5449&amp;AS[[#This Row],[Age Band Code]]&amp;"; "&amp;S5449&amp;AS[[#This Row],[Sex Code]]</f>
        <v xml:space="preserve">Insurer Code ; Reporting Year ; Insurance Category Code ; Large Provider Entity Code ; Age Band Code ; Sex Code </v>
      </c>
      <c r="N5449" s="297" t="s">
        <v>197</v>
      </c>
      <c r="O5449" s="297" t="s">
        <v>198</v>
      </c>
      <c r="P5449" s="297" t="s">
        <v>199</v>
      </c>
      <c r="Q5449" s="297" t="s">
        <v>200</v>
      </c>
      <c r="R5449" s="297" t="s">
        <v>213</v>
      </c>
      <c r="S5449" s="297" t="s">
        <v>214</v>
      </c>
    </row>
    <row r="5450" spans="1:19" x14ac:dyDescent="0.4">
      <c r="A5450" s="548"/>
      <c r="B5450" s="292"/>
      <c r="C5450" s="292"/>
      <c r="D5450" s="292"/>
      <c r="E5450" s="549"/>
      <c r="F5450" s="549"/>
      <c r="G5450" s="550"/>
      <c r="H5450" s="551"/>
      <c r="I5450" s="552"/>
      <c r="J5450" s="553"/>
      <c r="K5450" s="554"/>
      <c r="M5450" s="301" t="str">
        <f>N5450&amp;AS[[#This Row],[Insurer Code]]&amp;"; "&amp;O5450&amp;AS[[#This Row],[Reporting Year]]&amp;"; "&amp;P5450&amp;AS[[#This Row],[Insurance Category Code]]&amp;"; "&amp;Q5450&amp;AS[[#This Row],[Large Provider Entity Code]]&amp;"; "&amp;R5450&amp;AS[[#This Row],[Age Band Code]]&amp;"; "&amp;S5450&amp;AS[[#This Row],[Sex Code]]</f>
        <v xml:space="preserve">Insurer Code ; Reporting Year ; Insurance Category Code ; Large Provider Entity Code ; Age Band Code ; Sex Code </v>
      </c>
      <c r="N5450" s="297" t="s">
        <v>197</v>
      </c>
      <c r="O5450" s="297" t="s">
        <v>198</v>
      </c>
      <c r="P5450" s="297" t="s">
        <v>199</v>
      </c>
      <c r="Q5450" s="297" t="s">
        <v>200</v>
      </c>
      <c r="R5450" s="297" t="s">
        <v>213</v>
      </c>
      <c r="S5450" s="297" t="s">
        <v>214</v>
      </c>
    </row>
    <row r="5451" spans="1:19" x14ac:dyDescent="0.4">
      <c r="A5451" s="548"/>
      <c r="B5451" s="292"/>
      <c r="C5451" s="292"/>
      <c r="D5451" s="292"/>
      <c r="E5451" s="549"/>
      <c r="F5451" s="549"/>
      <c r="G5451" s="550"/>
      <c r="H5451" s="551"/>
      <c r="I5451" s="552"/>
      <c r="J5451" s="553"/>
      <c r="K5451" s="554"/>
      <c r="M5451" s="301" t="str">
        <f>N5451&amp;AS[[#This Row],[Insurer Code]]&amp;"; "&amp;O5451&amp;AS[[#This Row],[Reporting Year]]&amp;"; "&amp;P5451&amp;AS[[#This Row],[Insurance Category Code]]&amp;"; "&amp;Q5451&amp;AS[[#This Row],[Large Provider Entity Code]]&amp;"; "&amp;R5451&amp;AS[[#This Row],[Age Band Code]]&amp;"; "&amp;S5451&amp;AS[[#This Row],[Sex Code]]</f>
        <v xml:space="preserve">Insurer Code ; Reporting Year ; Insurance Category Code ; Large Provider Entity Code ; Age Band Code ; Sex Code </v>
      </c>
      <c r="N5451" s="297" t="s">
        <v>197</v>
      </c>
      <c r="O5451" s="297" t="s">
        <v>198</v>
      </c>
      <c r="P5451" s="297" t="s">
        <v>199</v>
      </c>
      <c r="Q5451" s="297" t="s">
        <v>200</v>
      </c>
      <c r="R5451" s="297" t="s">
        <v>213</v>
      </c>
      <c r="S5451" s="297" t="s">
        <v>214</v>
      </c>
    </row>
    <row r="5452" spans="1:19" x14ac:dyDescent="0.4">
      <c r="A5452" s="548"/>
      <c r="B5452" s="292"/>
      <c r="C5452" s="292"/>
      <c r="D5452" s="292"/>
      <c r="E5452" s="549"/>
      <c r="F5452" s="549"/>
      <c r="G5452" s="550"/>
      <c r="H5452" s="551"/>
      <c r="I5452" s="552"/>
      <c r="J5452" s="553"/>
      <c r="K5452" s="554"/>
      <c r="M5452" s="301" t="str">
        <f>N5452&amp;AS[[#This Row],[Insurer Code]]&amp;"; "&amp;O5452&amp;AS[[#This Row],[Reporting Year]]&amp;"; "&amp;P5452&amp;AS[[#This Row],[Insurance Category Code]]&amp;"; "&amp;Q5452&amp;AS[[#This Row],[Large Provider Entity Code]]&amp;"; "&amp;R5452&amp;AS[[#This Row],[Age Band Code]]&amp;"; "&amp;S5452&amp;AS[[#This Row],[Sex Code]]</f>
        <v xml:space="preserve">Insurer Code ; Reporting Year ; Insurance Category Code ; Large Provider Entity Code ; Age Band Code ; Sex Code </v>
      </c>
      <c r="N5452" s="297" t="s">
        <v>197</v>
      </c>
      <c r="O5452" s="297" t="s">
        <v>198</v>
      </c>
      <c r="P5452" s="297" t="s">
        <v>199</v>
      </c>
      <c r="Q5452" s="297" t="s">
        <v>200</v>
      </c>
      <c r="R5452" s="297" t="s">
        <v>213</v>
      </c>
      <c r="S5452" s="297" t="s">
        <v>214</v>
      </c>
    </row>
    <row r="5453" spans="1:19" x14ac:dyDescent="0.4">
      <c r="A5453" s="548"/>
      <c r="B5453" s="292"/>
      <c r="C5453" s="292"/>
      <c r="D5453" s="292"/>
      <c r="E5453" s="549"/>
      <c r="F5453" s="549"/>
      <c r="G5453" s="550"/>
      <c r="H5453" s="551"/>
      <c r="I5453" s="552"/>
      <c r="J5453" s="553"/>
      <c r="K5453" s="554"/>
      <c r="M5453" s="301" t="str">
        <f>N5453&amp;AS[[#This Row],[Insurer Code]]&amp;"; "&amp;O5453&amp;AS[[#This Row],[Reporting Year]]&amp;"; "&amp;P5453&amp;AS[[#This Row],[Insurance Category Code]]&amp;"; "&amp;Q5453&amp;AS[[#This Row],[Large Provider Entity Code]]&amp;"; "&amp;R5453&amp;AS[[#This Row],[Age Band Code]]&amp;"; "&amp;S5453&amp;AS[[#This Row],[Sex Code]]</f>
        <v xml:space="preserve">Insurer Code ; Reporting Year ; Insurance Category Code ; Large Provider Entity Code ; Age Band Code ; Sex Code </v>
      </c>
      <c r="N5453" s="297" t="s">
        <v>197</v>
      </c>
      <c r="O5453" s="297" t="s">
        <v>198</v>
      </c>
      <c r="P5453" s="297" t="s">
        <v>199</v>
      </c>
      <c r="Q5453" s="297" t="s">
        <v>200</v>
      </c>
      <c r="R5453" s="297" t="s">
        <v>213</v>
      </c>
      <c r="S5453" s="297" t="s">
        <v>214</v>
      </c>
    </row>
    <row r="5454" spans="1:19" x14ac:dyDescent="0.4">
      <c r="A5454" s="548"/>
      <c r="B5454" s="292"/>
      <c r="C5454" s="292"/>
      <c r="D5454" s="292"/>
      <c r="E5454" s="549"/>
      <c r="F5454" s="549"/>
      <c r="G5454" s="550"/>
      <c r="H5454" s="551"/>
      <c r="I5454" s="552"/>
      <c r="J5454" s="553"/>
      <c r="K5454" s="554"/>
      <c r="M5454" s="301" t="str">
        <f>N5454&amp;AS[[#This Row],[Insurer Code]]&amp;"; "&amp;O5454&amp;AS[[#This Row],[Reporting Year]]&amp;"; "&amp;P5454&amp;AS[[#This Row],[Insurance Category Code]]&amp;"; "&amp;Q5454&amp;AS[[#This Row],[Large Provider Entity Code]]&amp;"; "&amp;R5454&amp;AS[[#This Row],[Age Band Code]]&amp;"; "&amp;S5454&amp;AS[[#This Row],[Sex Code]]</f>
        <v xml:space="preserve">Insurer Code ; Reporting Year ; Insurance Category Code ; Large Provider Entity Code ; Age Band Code ; Sex Code </v>
      </c>
      <c r="N5454" s="297" t="s">
        <v>197</v>
      </c>
      <c r="O5454" s="297" t="s">
        <v>198</v>
      </c>
      <c r="P5454" s="297" t="s">
        <v>199</v>
      </c>
      <c r="Q5454" s="297" t="s">
        <v>200</v>
      </c>
      <c r="R5454" s="297" t="s">
        <v>213</v>
      </c>
      <c r="S5454" s="297" t="s">
        <v>214</v>
      </c>
    </row>
    <row r="5455" spans="1:19" x14ac:dyDescent="0.4">
      <c r="A5455" s="548"/>
      <c r="B5455" s="292"/>
      <c r="C5455" s="292"/>
      <c r="D5455" s="292"/>
      <c r="E5455" s="549"/>
      <c r="F5455" s="549"/>
      <c r="G5455" s="550"/>
      <c r="H5455" s="551"/>
      <c r="I5455" s="552"/>
      <c r="J5455" s="553"/>
      <c r="K5455" s="554"/>
      <c r="M5455" s="301" t="str">
        <f>N5455&amp;AS[[#This Row],[Insurer Code]]&amp;"; "&amp;O5455&amp;AS[[#This Row],[Reporting Year]]&amp;"; "&amp;P5455&amp;AS[[#This Row],[Insurance Category Code]]&amp;"; "&amp;Q5455&amp;AS[[#This Row],[Large Provider Entity Code]]&amp;"; "&amp;R5455&amp;AS[[#This Row],[Age Band Code]]&amp;"; "&amp;S5455&amp;AS[[#This Row],[Sex Code]]</f>
        <v xml:space="preserve">Insurer Code ; Reporting Year ; Insurance Category Code ; Large Provider Entity Code ; Age Band Code ; Sex Code </v>
      </c>
      <c r="N5455" s="297" t="s">
        <v>197</v>
      </c>
      <c r="O5455" s="297" t="s">
        <v>198</v>
      </c>
      <c r="P5455" s="297" t="s">
        <v>199</v>
      </c>
      <c r="Q5455" s="297" t="s">
        <v>200</v>
      </c>
      <c r="R5455" s="297" t="s">
        <v>213</v>
      </c>
      <c r="S5455" s="297" t="s">
        <v>214</v>
      </c>
    </row>
    <row r="5456" spans="1:19" x14ac:dyDescent="0.4">
      <c r="A5456" s="548"/>
      <c r="B5456" s="292"/>
      <c r="C5456" s="292"/>
      <c r="D5456" s="292"/>
      <c r="E5456" s="549"/>
      <c r="F5456" s="549"/>
      <c r="G5456" s="550"/>
      <c r="H5456" s="551"/>
      <c r="I5456" s="552"/>
      <c r="J5456" s="553"/>
      <c r="K5456" s="554"/>
      <c r="M5456" s="301" t="str">
        <f>N5456&amp;AS[[#This Row],[Insurer Code]]&amp;"; "&amp;O5456&amp;AS[[#This Row],[Reporting Year]]&amp;"; "&amp;P5456&amp;AS[[#This Row],[Insurance Category Code]]&amp;"; "&amp;Q5456&amp;AS[[#This Row],[Large Provider Entity Code]]&amp;"; "&amp;R5456&amp;AS[[#This Row],[Age Band Code]]&amp;"; "&amp;S5456&amp;AS[[#This Row],[Sex Code]]</f>
        <v xml:space="preserve">Insurer Code ; Reporting Year ; Insurance Category Code ; Large Provider Entity Code ; Age Band Code ; Sex Code </v>
      </c>
      <c r="N5456" s="297" t="s">
        <v>197</v>
      </c>
      <c r="O5456" s="297" t="s">
        <v>198</v>
      </c>
      <c r="P5456" s="297" t="s">
        <v>199</v>
      </c>
      <c r="Q5456" s="297" t="s">
        <v>200</v>
      </c>
      <c r="R5456" s="297" t="s">
        <v>213</v>
      </c>
      <c r="S5456" s="297" t="s">
        <v>214</v>
      </c>
    </row>
    <row r="5457" spans="1:19" x14ac:dyDescent="0.4">
      <c r="A5457" s="548"/>
      <c r="B5457" s="292"/>
      <c r="C5457" s="292"/>
      <c r="D5457" s="292"/>
      <c r="E5457" s="549"/>
      <c r="F5457" s="549"/>
      <c r="G5457" s="550"/>
      <c r="H5457" s="551"/>
      <c r="I5457" s="552"/>
      <c r="J5457" s="553"/>
      <c r="K5457" s="554"/>
      <c r="M5457" s="301" t="str">
        <f>N5457&amp;AS[[#This Row],[Insurer Code]]&amp;"; "&amp;O5457&amp;AS[[#This Row],[Reporting Year]]&amp;"; "&amp;P5457&amp;AS[[#This Row],[Insurance Category Code]]&amp;"; "&amp;Q5457&amp;AS[[#This Row],[Large Provider Entity Code]]&amp;"; "&amp;R5457&amp;AS[[#This Row],[Age Band Code]]&amp;"; "&amp;S5457&amp;AS[[#This Row],[Sex Code]]</f>
        <v xml:space="preserve">Insurer Code ; Reporting Year ; Insurance Category Code ; Large Provider Entity Code ; Age Band Code ; Sex Code </v>
      </c>
      <c r="N5457" s="297" t="s">
        <v>197</v>
      </c>
      <c r="O5457" s="297" t="s">
        <v>198</v>
      </c>
      <c r="P5457" s="297" t="s">
        <v>199</v>
      </c>
      <c r="Q5457" s="297" t="s">
        <v>200</v>
      </c>
      <c r="R5457" s="297" t="s">
        <v>213</v>
      </c>
      <c r="S5457" s="297" t="s">
        <v>214</v>
      </c>
    </row>
    <row r="5458" spans="1:19" x14ac:dyDescent="0.4">
      <c r="A5458" s="548"/>
      <c r="B5458" s="292"/>
      <c r="C5458" s="292"/>
      <c r="D5458" s="292"/>
      <c r="E5458" s="549"/>
      <c r="F5458" s="549"/>
      <c r="G5458" s="550"/>
      <c r="H5458" s="551"/>
      <c r="I5458" s="552"/>
      <c r="J5458" s="553"/>
      <c r="K5458" s="554"/>
      <c r="M5458" s="301" t="str">
        <f>N5458&amp;AS[[#This Row],[Insurer Code]]&amp;"; "&amp;O5458&amp;AS[[#This Row],[Reporting Year]]&amp;"; "&amp;P5458&amp;AS[[#This Row],[Insurance Category Code]]&amp;"; "&amp;Q5458&amp;AS[[#This Row],[Large Provider Entity Code]]&amp;"; "&amp;R5458&amp;AS[[#This Row],[Age Band Code]]&amp;"; "&amp;S5458&amp;AS[[#This Row],[Sex Code]]</f>
        <v xml:space="preserve">Insurer Code ; Reporting Year ; Insurance Category Code ; Large Provider Entity Code ; Age Band Code ; Sex Code </v>
      </c>
      <c r="N5458" s="297" t="s">
        <v>197</v>
      </c>
      <c r="O5458" s="297" t="s">
        <v>198</v>
      </c>
      <c r="P5458" s="297" t="s">
        <v>199</v>
      </c>
      <c r="Q5458" s="297" t="s">
        <v>200</v>
      </c>
      <c r="R5458" s="297" t="s">
        <v>213</v>
      </c>
      <c r="S5458" s="297" t="s">
        <v>214</v>
      </c>
    </row>
    <row r="5459" spans="1:19" x14ac:dyDescent="0.4">
      <c r="A5459" s="548"/>
      <c r="B5459" s="292"/>
      <c r="C5459" s="292"/>
      <c r="D5459" s="292"/>
      <c r="E5459" s="549"/>
      <c r="F5459" s="549"/>
      <c r="G5459" s="550"/>
      <c r="H5459" s="551"/>
      <c r="I5459" s="552"/>
      <c r="J5459" s="553"/>
      <c r="K5459" s="554"/>
      <c r="M5459" s="301" t="str">
        <f>N5459&amp;AS[[#This Row],[Insurer Code]]&amp;"; "&amp;O5459&amp;AS[[#This Row],[Reporting Year]]&amp;"; "&amp;P5459&amp;AS[[#This Row],[Insurance Category Code]]&amp;"; "&amp;Q5459&amp;AS[[#This Row],[Large Provider Entity Code]]&amp;"; "&amp;R5459&amp;AS[[#This Row],[Age Band Code]]&amp;"; "&amp;S5459&amp;AS[[#This Row],[Sex Code]]</f>
        <v xml:space="preserve">Insurer Code ; Reporting Year ; Insurance Category Code ; Large Provider Entity Code ; Age Band Code ; Sex Code </v>
      </c>
      <c r="N5459" s="297" t="s">
        <v>197</v>
      </c>
      <c r="O5459" s="297" t="s">
        <v>198</v>
      </c>
      <c r="P5459" s="297" t="s">
        <v>199</v>
      </c>
      <c r="Q5459" s="297" t="s">
        <v>200</v>
      </c>
      <c r="R5459" s="297" t="s">
        <v>213</v>
      </c>
      <c r="S5459" s="297" t="s">
        <v>214</v>
      </c>
    </row>
    <row r="5460" spans="1:19" x14ac:dyDescent="0.4">
      <c r="A5460" s="548"/>
      <c r="B5460" s="292"/>
      <c r="C5460" s="292"/>
      <c r="D5460" s="292"/>
      <c r="E5460" s="549"/>
      <c r="F5460" s="549"/>
      <c r="G5460" s="550"/>
      <c r="H5460" s="551"/>
      <c r="I5460" s="552"/>
      <c r="J5460" s="553"/>
      <c r="K5460" s="554"/>
      <c r="M5460" s="301" t="str">
        <f>N5460&amp;AS[[#This Row],[Insurer Code]]&amp;"; "&amp;O5460&amp;AS[[#This Row],[Reporting Year]]&amp;"; "&amp;P5460&amp;AS[[#This Row],[Insurance Category Code]]&amp;"; "&amp;Q5460&amp;AS[[#This Row],[Large Provider Entity Code]]&amp;"; "&amp;R5460&amp;AS[[#This Row],[Age Band Code]]&amp;"; "&amp;S5460&amp;AS[[#This Row],[Sex Code]]</f>
        <v xml:space="preserve">Insurer Code ; Reporting Year ; Insurance Category Code ; Large Provider Entity Code ; Age Band Code ; Sex Code </v>
      </c>
      <c r="N5460" s="297" t="s">
        <v>197</v>
      </c>
      <c r="O5460" s="297" t="s">
        <v>198</v>
      </c>
      <c r="P5460" s="297" t="s">
        <v>199</v>
      </c>
      <c r="Q5460" s="297" t="s">
        <v>200</v>
      </c>
      <c r="R5460" s="297" t="s">
        <v>213</v>
      </c>
      <c r="S5460" s="297" t="s">
        <v>214</v>
      </c>
    </row>
    <row r="5461" spans="1:19" x14ac:dyDescent="0.4">
      <c r="A5461" s="548"/>
      <c r="B5461" s="292"/>
      <c r="C5461" s="292"/>
      <c r="D5461" s="292"/>
      <c r="E5461" s="549"/>
      <c r="F5461" s="549"/>
      <c r="G5461" s="550"/>
      <c r="H5461" s="551"/>
      <c r="I5461" s="552"/>
      <c r="J5461" s="553"/>
      <c r="K5461" s="554"/>
      <c r="M5461" s="301" t="str">
        <f>N5461&amp;AS[[#This Row],[Insurer Code]]&amp;"; "&amp;O5461&amp;AS[[#This Row],[Reporting Year]]&amp;"; "&amp;P5461&amp;AS[[#This Row],[Insurance Category Code]]&amp;"; "&amp;Q5461&amp;AS[[#This Row],[Large Provider Entity Code]]&amp;"; "&amp;R5461&amp;AS[[#This Row],[Age Band Code]]&amp;"; "&amp;S5461&amp;AS[[#This Row],[Sex Code]]</f>
        <v xml:space="preserve">Insurer Code ; Reporting Year ; Insurance Category Code ; Large Provider Entity Code ; Age Band Code ; Sex Code </v>
      </c>
      <c r="N5461" s="297" t="s">
        <v>197</v>
      </c>
      <c r="O5461" s="297" t="s">
        <v>198</v>
      </c>
      <c r="P5461" s="297" t="s">
        <v>199</v>
      </c>
      <c r="Q5461" s="297" t="s">
        <v>200</v>
      </c>
      <c r="R5461" s="297" t="s">
        <v>213</v>
      </c>
      <c r="S5461" s="297" t="s">
        <v>214</v>
      </c>
    </row>
    <row r="5462" spans="1:19" x14ac:dyDescent="0.4">
      <c r="A5462" s="548"/>
      <c r="B5462" s="292"/>
      <c r="C5462" s="292"/>
      <c r="D5462" s="292"/>
      <c r="E5462" s="549"/>
      <c r="F5462" s="549"/>
      <c r="G5462" s="550"/>
      <c r="H5462" s="551"/>
      <c r="I5462" s="552"/>
      <c r="J5462" s="553"/>
      <c r="K5462" s="554"/>
      <c r="M5462" s="301" t="str">
        <f>N5462&amp;AS[[#This Row],[Insurer Code]]&amp;"; "&amp;O5462&amp;AS[[#This Row],[Reporting Year]]&amp;"; "&amp;P5462&amp;AS[[#This Row],[Insurance Category Code]]&amp;"; "&amp;Q5462&amp;AS[[#This Row],[Large Provider Entity Code]]&amp;"; "&amp;R5462&amp;AS[[#This Row],[Age Band Code]]&amp;"; "&amp;S5462&amp;AS[[#This Row],[Sex Code]]</f>
        <v xml:space="preserve">Insurer Code ; Reporting Year ; Insurance Category Code ; Large Provider Entity Code ; Age Band Code ; Sex Code </v>
      </c>
      <c r="N5462" s="297" t="s">
        <v>197</v>
      </c>
      <c r="O5462" s="297" t="s">
        <v>198</v>
      </c>
      <c r="P5462" s="297" t="s">
        <v>199</v>
      </c>
      <c r="Q5462" s="297" t="s">
        <v>200</v>
      </c>
      <c r="R5462" s="297" t="s">
        <v>213</v>
      </c>
      <c r="S5462" s="297" t="s">
        <v>214</v>
      </c>
    </row>
    <row r="5463" spans="1:19" x14ac:dyDescent="0.4">
      <c r="A5463" s="548"/>
      <c r="B5463" s="292"/>
      <c r="C5463" s="292"/>
      <c r="D5463" s="292"/>
      <c r="E5463" s="549"/>
      <c r="F5463" s="549"/>
      <c r="G5463" s="550"/>
      <c r="H5463" s="551"/>
      <c r="I5463" s="552"/>
      <c r="J5463" s="553"/>
      <c r="K5463" s="554"/>
      <c r="M5463" s="301" t="str">
        <f>N5463&amp;AS[[#This Row],[Insurer Code]]&amp;"; "&amp;O5463&amp;AS[[#This Row],[Reporting Year]]&amp;"; "&amp;P5463&amp;AS[[#This Row],[Insurance Category Code]]&amp;"; "&amp;Q5463&amp;AS[[#This Row],[Large Provider Entity Code]]&amp;"; "&amp;R5463&amp;AS[[#This Row],[Age Band Code]]&amp;"; "&amp;S5463&amp;AS[[#This Row],[Sex Code]]</f>
        <v xml:space="preserve">Insurer Code ; Reporting Year ; Insurance Category Code ; Large Provider Entity Code ; Age Band Code ; Sex Code </v>
      </c>
      <c r="N5463" s="297" t="s">
        <v>197</v>
      </c>
      <c r="O5463" s="297" t="s">
        <v>198</v>
      </c>
      <c r="P5463" s="297" t="s">
        <v>199</v>
      </c>
      <c r="Q5463" s="297" t="s">
        <v>200</v>
      </c>
      <c r="R5463" s="297" t="s">
        <v>213</v>
      </c>
      <c r="S5463" s="297" t="s">
        <v>214</v>
      </c>
    </row>
    <row r="5464" spans="1:19" x14ac:dyDescent="0.4">
      <c r="A5464" s="548"/>
      <c r="B5464" s="292"/>
      <c r="C5464" s="292"/>
      <c r="D5464" s="292"/>
      <c r="E5464" s="549"/>
      <c r="F5464" s="549"/>
      <c r="G5464" s="550"/>
      <c r="H5464" s="551"/>
      <c r="I5464" s="552"/>
      <c r="J5464" s="553"/>
      <c r="K5464" s="554"/>
      <c r="M5464" s="301" t="str">
        <f>N5464&amp;AS[[#This Row],[Insurer Code]]&amp;"; "&amp;O5464&amp;AS[[#This Row],[Reporting Year]]&amp;"; "&amp;P5464&amp;AS[[#This Row],[Insurance Category Code]]&amp;"; "&amp;Q5464&amp;AS[[#This Row],[Large Provider Entity Code]]&amp;"; "&amp;R5464&amp;AS[[#This Row],[Age Band Code]]&amp;"; "&amp;S5464&amp;AS[[#This Row],[Sex Code]]</f>
        <v xml:space="preserve">Insurer Code ; Reporting Year ; Insurance Category Code ; Large Provider Entity Code ; Age Band Code ; Sex Code </v>
      </c>
      <c r="N5464" s="297" t="s">
        <v>197</v>
      </c>
      <c r="O5464" s="297" t="s">
        <v>198</v>
      </c>
      <c r="P5464" s="297" t="s">
        <v>199</v>
      </c>
      <c r="Q5464" s="297" t="s">
        <v>200</v>
      </c>
      <c r="R5464" s="297" t="s">
        <v>213</v>
      </c>
      <c r="S5464" s="297" t="s">
        <v>214</v>
      </c>
    </row>
    <row r="5465" spans="1:19" x14ac:dyDescent="0.4">
      <c r="A5465" s="548"/>
      <c r="B5465" s="292"/>
      <c r="C5465" s="292"/>
      <c r="D5465" s="292"/>
      <c r="E5465" s="549"/>
      <c r="F5465" s="549"/>
      <c r="G5465" s="550"/>
      <c r="H5465" s="551"/>
      <c r="I5465" s="552"/>
      <c r="J5465" s="553"/>
      <c r="K5465" s="554"/>
      <c r="M5465" s="301" t="str">
        <f>N5465&amp;AS[[#This Row],[Insurer Code]]&amp;"; "&amp;O5465&amp;AS[[#This Row],[Reporting Year]]&amp;"; "&amp;P5465&amp;AS[[#This Row],[Insurance Category Code]]&amp;"; "&amp;Q5465&amp;AS[[#This Row],[Large Provider Entity Code]]&amp;"; "&amp;R5465&amp;AS[[#This Row],[Age Band Code]]&amp;"; "&amp;S5465&amp;AS[[#This Row],[Sex Code]]</f>
        <v xml:space="preserve">Insurer Code ; Reporting Year ; Insurance Category Code ; Large Provider Entity Code ; Age Band Code ; Sex Code </v>
      </c>
      <c r="N5465" s="297" t="s">
        <v>197</v>
      </c>
      <c r="O5465" s="297" t="s">
        <v>198</v>
      </c>
      <c r="P5465" s="297" t="s">
        <v>199</v>
      </c>
      <c r="Q5465" s="297" t="s">
        <v>200</v>
      </c>
      <c r="R5465" s="297" t="s">
        <v>213</v>
      </c>
      <c r="S5465" s="297" t="s">
        <v>214</v>
      </c>
    </row>
    <row r="5466" spans="1:19" x14ac:dyDescent="0.4">
      <c r="A5466" s="548"/>
      <c r="B5466" s="292"/>
      <c r="C5466" s="292"/>
      <c r="D5466" s="292"/>
      <c r="E5466" s="549"/>
      <c r="F5466" s="549"/>
      <c r="G5466" s="550"/>
      <c r="H5466" s="551"/>
      <c r="I5466" s="552"/>
      <c r="J5466" s="553"/>
      <c r="K5466" s="554"/>
      <c r="M5466" s="301" t="str">
        <f>N5466&amp;AS[[#This Row],[Insurer Code]]&amp;"; "&amp;O5466&amp;AS[[#This Row],[Reporting Year]]&amp;"; "&amp;P5466&amp;AS[[#This Row],[Insurance Category Code]]&amp;"; "&amp;Q5466&amp;AS[[#This Row],[Large Provider Entity Code]]&amp;"; "&amp;R5466&amp;AS[[#This Row],[Age Band Code]]&amp;"; "&amp;S5466&amp;AS[[#This Row],[Sex Code]]</f>
        <v xml:space="preserve">Insurer Code ; Reporting Year ; Insurance Category Code ; Large Provider Entity Code ; Age Band Code ; Sex Code </v>
      </c>
      <c r="N5466" s="297" t="s">
        <v>197</v>
      </c>
      <c r="O5466" s="297" t="s">
        <v>198</v>
      </c>
      <c r="P5466" s="297" t="s">
        <v>199</v>
      </c>
      <c r="Q5466" s="297" t="s">
        <v>200</v>
      </c>
      <c r="R5466" s="297" t="s">
        <v>213</v>
      </c>
      <c r="S5466" s="297" t="s">
        <v>214</v>
      </c>
    </row>
    <row r="5467" spans="1:19" x14ac:dyDescent="0.4">
      <c r="A5467" s="548"/>
      <c r="B5467" s="292"/>
      <c r="C5467" s="292"/>
      <c r="D5467" s="292"/>
      <c r="E5467" s="549"/>
      <c r="F5467" s="549"/>
      <c r="G5467" s="550"/>
      <c r="H5467" s="551"/>
      <c r="I5467" s="552"/>
      <c r="J5467" s="553"/>
      <c r="K5467" s="554"/>
      <c r="M5467" s="301" t="str">
        <f>N5467&amp;AS[[#This Row],[Insurer Code]]&amp;"; "&amp;O5467&amp;AS[[#This Row],[Reporting Year]]&amp;"; "&amp;P5467&amp;AS[[#This Row],[Insurance Category Code]]&amp;"; "&amp;Q5467&amp;AS[[#This Row],[Large Provider Entity Code]]&amp;"; "&amp;R5467&amp;AS[[#This Row],[Age Band Code]]&amp;"; "&amp;S5467&amp;AS[[#This Row],[Sex Code]]</f>
        <v xml:space="preserve">Insurer Code ; Reporting Year ; Insurance Category Code ; Large Provider Entity Code ; Age Band Code ; Sex Code </v>
      </c>
      <c r="N5467" s="297" t="s">
        <v>197</v>
      </c>
      <c r="O5467" s="297" t="s">
        <v>198</v>
      </c>
      <c r="P5467" s="297" t="s">
        <v>199</v>
      </c>
      <c r="Q5467" s="297" t="s">
        <v>200</v>
      </c>
      <c r="R5467" s="297" t="s">
        <v>213</v>
      </c>
      <c r="S5467" s="297" t="s">
        <v>214</v>
      </c>
    </row>
    <row r="5468" spans="1:19" x14ac:dyDescent="0.4">
      <c r="A5468" s="548"/>
      <c r="B5468" s="292"/>
      <c r="C5468" s="292"/>
      <c r="D5468" s="292"/>
      <c r="E5468" s="549"/>
      <c r="F5468" s="549"/>
      <c r="G5468" s="550"/>
      <c r="H5468" s="551"/>
      <c r="I5468" s="552"/>
      <c r="J5468" s="553"/>
      <c r="K5468" s="554"/>
      <c r="M5468" s="301" t="str">
        <f>N5468&amp;AS[[#This Row],[Insurer Code]]&amp;"; "&amp;O5468&amp;AS[[#This Row],[Reporting Year]]&amp;"; "&amp;P5468&amp;AS[[#This Row],[Insurance Category Code]]&amp;"; "&amp;Q5468&amp;AS[[#This Row],[Large Provider Entity Code]]&amp;"; "&amp;R5468&amp;AS[[#This Row],[Age Band Code]]&amp;"; "&amp;S5468&amp;AS[[#This Row],[Sex Code]]</f>
        <v xml:space="preserve">Insurer Code ; Reporting Year ; Insurance Category Code ; Large Provider Entity Code ; Age Band Code ; Sex Code </v>
      </c>
      <c r="N5468" s="297" t="s">
        <v>197</v>
      </c>
      <c r="O5468" s="297" t="s">
        <v>198</v>
      </c>
      <c r="P5468" s="297" t="s">
        <v>199</v>
      </c>
      <c r="Q5468" s="297" t="s">
        <v>200</v>
      </c>
      <c r="R5468" s="297" t="s">
        <v>213</v>
      </c>
      <c r="S5468" s="297" t="s">
        <v>214</v>
      </c>
    </row>
    <row r="5469" spans="1:19" x14ac:dyDescent="0.4">
      <c r="A5469" s="548"/>
      <c r="B5469" s="292"/>
      <c r="C5469" s="292"/>
      <c r="D5469" s="292"/>
      <c r="E5469" s="549"/>
      <c r="F5469" s="549"/>
      <c r="G5469" s="550"/>
      <c r="H5469" s="551"/>
      <c r="I5469" s="552"/>
      <c r="J5469" s="553"/>
      <c r="K5469" s="554"/>
      <c r="M5469" s="301" t="str">
        <f>N5469&amp;AS[[#This Row],[Insurer Code]]&amp;"; "&amp;O5469&amp;AS[[#This Row],[Reporting Year]]&amp;"; "&amp;P5469&amp;AS[[#This Row],[Insurance Category Code]]&amp;"; "&amp;Q5469&amp;AS[[#This Row],[Large Provider Entity Code]]&amp;"; "&amp;R5469&amp;AS[[#This Row],[Age Band Code]]&amp;"; "&amp;S5469&amp;AS[[#This Row],[Sex Code]]</f>
        <v xml:space="preserve">Insurer Code ; Reporting Year ; Insurance Category Code ; Large Provider Entity Code ; Age Band Code ; Sex Code </v>
      </c>
      <c r="N5469" s="297" t="s">
        <v>197</v>
      </c>
      <c r="O5469" s="297" t="s">
        <v>198</v>
      </c>
      <c r="P5469" s="297" t="s">
        <v>199</v>
      </c>
      <c r="Q5469" s="297" t="s">
        <v>200</v>
      </c>
      <c r="R5469" s="297" t="s">
        <v>213</v>
      </c>
      <c r="S5469" s="297" t="s">
        <v>214</v>
      </c>
    </row>
    <row r="5470" spans="1:19" x14ac:dyDescent="0.4">
      <c r="A5470" s="548"/>
      <c r="B5470" s="292"/>
      <c r="C5470" s="292"/>
      <c r="D5470" s="292"/>
      <c r="E5470" s="549"/>
      <c r="F5470" s="549"/>
      <c r="G5470" s="550"/>
      <c r="H5470" s="551"/>
      <c r="I5470" s="552"/>
      <c r="J5470" s="553"/>
      <c r="K5470" s="554"/>
      <c r="M5470" s="301" t="str">
        <f>N5470&amp;AS[[#This Row],[Insurer Code]]&amp;"; "&amp;O5470&amp;AS[[#This Row],[Reporting Year]]&amp;"; "&amp;P5470&amp;AS[[#This Row],[Insurance Category Code]]&amp;"; "&amp;Q5470&amp;AS[[#This Row],[Large Provider Entity Code]]&amp;"; "&amp;R5470&amp;AS[[#This Row],[Age Band Code]]&amp;"; "&amp;S5470&amp;AS[[#This Row],[Sex Code]]</f>
        <v xml:space="preserve">Insurer Code ; Reporting Year ; Insurance Category Code ; Large Provider Entity Code ; Age Band Code ; Sex Code </v>
      </c>
      <c r="N5470" s="297" t="s">
        <v>197</v>
      </c>
      <c r="O5470" s="297" t="s">
        <v>198</v>
      </c>
      <c r="P5470" s="297" t="s">
        <v>199</v>
      </c>
      <c r="Q5470" s="297" t="s">
        <v>200</v>
      </c>
      <c r="R5470" s="297" t="s">
        <v>213</v>
      </c>
      <c r="S5470" s="297" t="s">
        <v>214</v>
      </c>
    </row>
    <row r="5471" spans="1:19" x14ac:dyDescent="0.4">
      <c r="A5471" s="548"/>
      <c r="B5471" s="292"/>
      <c r="C5471" s="292"/>
      <c r="D5471" s="292"/>
      <c r="E5471" s="549"/>
      <c r="F5471" s="549"/>
      <c r="G5471" s="550"/>
      <c r="H5471" s="551"/>
      <c r="I5471" s="552"/>
      <c r="J5471" s="553"/>
      <c r="K5471" s="554"/>
      <c r="M5471" s="301" t="str">
        <f>N5471&amp;AS[[#This Row],[Insurer Code]]&amp;"; "&amp;O5471&amp;AS[[#This Row],[Reporting Year]]&amp;"; "&amp;P5471&amp;AS[[#This Row],[Insurance Category Code]]&amp;"; "&amp;Q5471&amp;AS[[#This Row],[Large Provider Entity Code]]&amp;"; "&amp;R5471&amp;AS[[#This Row],[Age Band Code]]&amp;"; "&amp;S5471&amp;AS[[#This Row],[Sex Code]]</f>
        <v xml:space="preserve">Insurer Code ; Reporting Year ; Insurance Category Code ; Large Provider Entity Code ; Age Band Code ; Sex Code </v>
      </c>
      <c r="N5471" s="297" t="s">
        <v>197</v>
      </c>
      <c r="O5471" s="297" t="s">
        <v>198</v>
      </c>
      <c r="P5471" s="297" t="s">
        <v>199</v>
      </c>
      <c r="Q5471" s="297" t="s">
        <v>200</v>
      </c>
      <c r="R5471" s="297" t="s">
        <v>213</v>
      </c>
      <c r="S5471" s="297" t="s">
        <v>214</v>
      </c>
    </row>
    <row r="5472" spans="1:19" x14ac:dyDescent="0.4">
      <c r="A5472" s="548"/>
      <c r="B5472" s="292"/>
      <c r="C5472" s="292"/>
      <c r="D5472" s="292"/>
      <c r="E5472" s="549"/>
      <c r="F5472" s="549"/>
      <c r="G5472" s="550"/>
      <c r="H5472" s="551"/>
      <c r="I5472" s="552"/>
      <c r="J5472" s="553"/>
      <c r="K5472" s="554"/>
      <c r="M5472" s="301" t="str">
        <f>N5472&amp;AS[[#This Row],[Insurer Code]]&amp;"; "&amp;O5472&amp;AS[[#This Row],[Reporting Year]]&amp;"; "&amp;P5472&amp;AS[[#This Row],[Insurance Category Code]]&amp;"; "&amp;Q5472&amp;AS[[#This Row],[Large Provider Entity Code]]&amp;"; "&amp;R5472&amp;AS[[#This Row],[Age Band Code]]&amp;"; "&amp;S5472&amp;AS[[#This Row],[Sex Code]]</f>
        <v xml:space="preserve">Insurer Code ; Reporting Year ; Insurance Category Code ; Large Provider Entity Code ; Age Band Code ; Sex Code </v>
      </c>
      <c r="N5472" s="297" t="s">
        <v>197</v>
      </c>
      <c r="O5472" s="297" t="s">
        <v>198</v>
      </c>
      <c r="P5472" s="297" t="s">
        <v>199</v>
      </c>
      <c r="Q5472" s="297" t="s">
        <v>200</v>
      </c>
      <c r="R5472" s="297" t="s">
        <v>213</v>
      </c>
      <c r="S5472" s="297" t="s">
        <v>214</v>
      </c>
    </row>
    <row r="5473" spans="1:19" x14ac:dyDescent="0.4">
      <c r="A5473" s="548"/>
      <c r="B5473" s="292"/>
      <c r="C5473" s="292"/>
      <c r="D5473" s="292"/>
      <c r="E5473" s="549"/>
      <c r="F5473" s="549"/>
      <c r="G5473" s="550"/>
      <c r="H5473" s="551"/>
      <c r="I5473" s="552"/>
      <c r="J5473" s="553"/>
      <c r="K5473" s="554"/>
      <c r="M5473" s="301" t="str">
        <f>N5473&amp;AS[[#This Row],[Insurer Code]]&amp;"; "&amp;O5473&amp;AS[[#This Row],[Reporting Year]]&amp;"; "&amp;P5473&amp;AS[[#This Row],[Insurance Category Code]]&amp;"; "&amp;Q5473&amp;AS[[#This Row],[Large Provider Entity Code]]&amp;"; "&amp;R5473&amp;AS[[#This Row],[Age Band Code]]&amp;"; "&amp;S5473&amp;AS[[#This Row],[Sex Code]]</f>
        <v xml:space="preserve">Insurer Code ; Reporting Year ; Insurance Category Code ; Large Provider Entity Code ; Age Band Code ; Sex Code </v>
      </c>
      <c r="N5473" s="297" t="s">
        <v>197</v>
      </c>
      <c r="O5473" s="297" t="s">
        <v>198</v>
      </c>
      <c r="P5473" s="297" t="s">
        <v>199</v>
      </c>
      <c r="Q5473" s="297" t="s">
        <v>200</v>
      </c>
      <c r="R5473" s="297" t="s">
        <v>213</v>
      </c>
      <c r="S5473" s="297" t="s">
        <v>214</v>
      </c>
    </row>
    <row r="5474" spans="1:19" x14ac:dyDescent="0.4">
      <c r="A5474" s="548"/>
      <c r="B5474" s="292"/>
      <c r="C5474" s="292"/>
      <c r="D5474" s="292"/>
      <c r="E5474" s="549"/>
      <c r="F5474" s="549"/>
      <c r="G5474" s="550"/>
      <c r="H5474" s="551"/>
      <c r="I5474" s="552"/>
      <c r="J5474" s="553"/>
      <c r="K5474" s="554"/>
      <c r="M5474" s="301" t="str">
        <f>N5474&amp;AS[[#This Row],[Insurer Code]]&amp;"; "&amp;O5474&amp;AS[[#This Row],[Reporting Year]]&amp;"; "&amp;P5474&amp;AS[[#This Row],[Insurance Category Code]]&amp;"; "&amp;Q5474&amp;AS[[#This Row],[Large Provider Entity Code]]&amp;"; "&amp;R5474&amp;AS[[#This Row],[Age Band Code]]&amp;"; "&amp;S5474&amp;AS[[#This Row],[Sex Code]]</f>
        <v xml:space="preserve">Insurer Code ; Reporting Year ; Insurance Category Code ; Large Provider Entity Code ; Age Band Code ; Sex Code </v>
      </c>
      <c r="N5474" s="297" t="s">
        <v>197</v>
      </c>
      <c r="O5474" s="297" t="s">
        <v>198</v>
      </c>
      <c r="P5474" s="297" t="s">
        <v>199</v>
      </c>
      <c r="Q5474" s="297" t="s">
        <v>200</v>
      </c>
      <c r="R5474" s="297" t="s">
        <v>213</v>
      </c>
      <c r="S5474" s="297" t="s">
        <v>214</v>
      </c>
    </row>
    <row r="5475" spans="1:19" x14ac:dyDescent="0.4">
      <c r="A5475" s="548"/>
      <c r="B5475" s="292"/>
      <c r="C5475" s="292"/>
      <c r="D5475" s="292"/>
      <c r="E5475" s="549"/>
      <c r="F5475" s="549"/>
      <c r="G5475" s="550"/>
      <c r="H5475" s="551"/>
      <c r="I5475" s="552"/>
      <c r="J5475" s="553"/>
      <c r="K5475" s="554"/>
      <c r="M5475" s="301" t="str">
        <f>N5475&amp;AS[[#This Row],[Insurer Code]]&amp;"; "&amp;O5475&amp;AS[[#This Row],[Reporting Year]]&amp;"; "&amp;P5475&amp;AS[[#This Row],[Insurance Category Code]]&amp;"; "&amp;Q5475&amp;AS[[#This Row],[Large Provider Entity Code]]&amp;"; "&amp;R5475&amp;AS[[#This Row],[Age Band Code]]&amp;"; "&amp;S5475&amp;AS[[#This Row],[Sex Code]]</f>
        <v xml:space="preserve">Insurer Code ; Reporting Year ; Insurance Category Code ; Large Provider Entity Code ; Age Band Code ; Sex Code </v>
      </c>
      <c r="N5475" s="297" t="s">
        <v>197</v>
      </c>
      <c r="O5475" s="297" t="s">
        <v>198</v>
      </c>
      <c r="P5475" s="297" t="s">
        <v>199</v>
      </c>
      <c r="Q5475" s="297" t="s">
        <v>200</v>
      </c>
      <c r="R5475" s="297" t="s">
        <v>213</v>
      </c>
      <c r="S5475" s="297" t="s">
        <v>214</v>
      </c>
    </row>
    <row r="5476" spans="1:19" x14ac:dyDescent="0.4">
      <c r="A5476" s="548"/>
      <c r="B5476" s="292"/>
      <c r="C5476" s="292"/>
      <c r="D5476" s="292"/>
      <c r="E5476" s="549"/>
      <c r="F5476" s="549"/>
      <c r="G5476" s="550"/>
      <c r="H5476" s="551"/>
      <c r="I5476" s="552"/>
      <c r="J5476" s="553"/>
      <c r="K5476" s="554"/>
      <c r="M5476" s="301" t="str">
        <f>N5476&amp;AS[[#This Row],[Insurer Code]]&amp;"; "&amp;O5476&amp;AS[[#This Row],[Reporting Year]]&amp;"; "&amp;P5476&amp;AS[[#This Row],[Insurance Category Code]]&amp;"; "&amp;Q5476&amp;AS[[#This Row],[Large Provider Entity Code]]&amp;"; "&amp;R5476&amp;AS[[#This Row],[Age Band Code]]&amp;"; "&amp;S5476&amp;AS[[#This Row],[Sex Code]]</f>
        <v xml:space="preserve">Insurer Code ; Reporting Year ; Insurance Category Code ; Large Provider Entity Code ; Age Band Code ; Sex Code </v>
      </c>
      <c r="N5476" s="297" t="s">
        <v>197</v>
      </c>
      <c r="O5476" s="297" t="s">
        <v>198</v>
      </c>
      <c r="P5476" s="297" t="s">
        <v>199</v>
      </c>
      <c r="Q5476" s="297" t="s">
        <v>200</v>
      </c>
      <c r="R5476" s="297" t="s">
        <v>213</v>
      </c>
      <c r="S5476" s="297" t="s">
        <v>214</v>
      </c>
    </row>
    <row r="5477" spans="1:19" x14ac:dyDescent="0.4">
      <c r="A5477" s="548"/>
      <c r="B5477" s="292"/>
      <c r="C5477" s="292"/>
      <c r="D5477" s="292"/>
      <c r="E5477" s="549"/>
      <c r="F5477" s="549"/>
      <c r="G5477" s="550"/>
      <c r="H5477" s="551"/>
      <c r="I5477" s="552"/>
      <c r="J5477" s="553"/>
      <c r="K5477" s="554"/>
      <c r="M5477" s="301" t="str">
        <f>N5477&amp;AS[[#This Row],[Insurer Code]]&amp;"; "&amp;O5477&amp;AS[[#This Row],[Reporting Year]]&amp;"; "&amp;P5477&amp;AS[[#This Row],[Insurance Category Code]]&amp;"; "&amp;Q5477&amp;AS[[#This Row],[Large Provider Entity Code]]&amp;"; "&amp;R5477&amp;AS[[#This Row],[Age Band Code]]&amp;"; "&amp;S5477&amp;AS[[#This Row],[Sex Code]]</f>
        <v xml:space="preserve">Insurer Code ; Reporting Year ; Insurance Category Code ; Large Provider Entity Code ; Age Band Code ; Sex Code </v>
      </c>
      <c r="N5477" s="297" t="s">
        <v>197</v>
      </c>
      <c r="O5477" s="297" t="s">
        <v>198</v>
      </c>
      <c r="P5477" s="297" t="s">
        <v>199</v>
      </c>
      <c r="Q5477" s="297" t="s">
        <v>200</v>
      </c>
      <c r="R5477" s="297" t="s">
        <v>213</v>
      </c>
      <c r="S5477" s="297" t="s">
        <v>214</v>
      </c>
    </row>
    <row r="5478" spans="1:19" x14ac:dyDescent="0.4">
      <c r="A5478" s="548"/>
      <c r="B5478" s="292"/>
      <c r="C5478" s="292"/>
      <c r="D5478" s="292"/>
      <c r="E5478" s="549"/>
      <c r="F5478" s="549"/>
      <c r="G5478" s="550"/>
      <c r="H5478" s="551"/>
      <c r="I5478" s="552"/>
      <c r="J5478" s="553"/>
      <c r="K5478" s="554"/>
      <c r="M5478" s="301" t="str">
        <f>N5478&amp;AS[[#This Row],[Insurer Code]]&amp;"; "&amp;O5478&amp;AS[[#This Row],[Reporting Year]]&amp;"; "&amp;P5478&amp;AS[[#This Row],[Insurance Category Code]]&amp;"; "&amp;Q5478&amp;AS[[#This Row],[Large Provider Entity Code]]&amp;"; "&amp;R5478&amp;AS[[#This Row],[Age Band Code]]&amp;"; "&amp;S5478&amp;AS[[#This Row],[Sex Code]]</f>
        <v xml:space="preserve">Insurer Code ; Reporting Year ; Insurance Category Code ; Large Provider Entity Code ; Age Band Code ; Sex Code </v>
      </c>
      <c r="N5478" s="297" t="s">
        <v>197</v>
      </c>
      <c r="O5478" s="297" t="s">
        <v>198</v>
      </c>
      <c r="P5478" s="297" t="s">
        <v>199</v>
      </c>
      <c r="Q5478" s="297" t="s">
        <v>200</v>
      </c>
      <c r="R5478" s="297" t="s">
        <v>213</v>
      </c>
      <c r="S5478" s="297" t="s">
        <v>214</v>
      </c>
    </row>
    <row r="5479" spans="1:19" x14ac:dyDescent="0.4">
      <c r="A5479" s="548"/>
      <c r="B5479" s="292"/>
      <c r="C5479" s="292"/>
      <c r="D5479" s="292"/>
      <c r="E5479" s="549"/>
      <c r="F5479" s="549"/>
      <c r="G5479" s="550"/>
      <c r="H5479" s="551"/>
      <c r="I5479" s="552"/>
      <c r="J5479" s="553"/>
      <c r="K5479" s="554"/>
      <c r="M5479" s="301" t="str">
        <f>N5479&amp;AS[[#This Row],[Insurer Code]]&amp;"; "&amp;O5479&amp;AS[[#This Row],[Reporting Year]]&amp;"; "&amp;P5479&amp;AS[[#This Row],[Insurance Category Code]]&amp;"; "&amp;Q5479&amp;AS[[#This Row],[Large Provider Entity Code]]&amp;"; "&amp;R5479&amp;AS[[#This Row],[Age Band Code]]&amp;"; "&amp;S5479&amp;AS[[#This Row],[Sex Code]]</f>
        <v xml:space="preserve">Insurer Code ; Reporting Year ; Insurance Category Code ; Large Provider Entity Code ; Age Band Code ; Sex Code </v>
      </c>
      <c r="N5479" s="297" t="s">
        <v>197</v>
      </c>
      <c r="O5479" s="297" t="s">
        <v>198</v>
      </c>
      <c r="P5479" s="297" t="s">
        <v>199</v>
      </c>
      <c r="Q5479" s="297" t="s">
        <v>200</v>
      </c>
      <c r="R5479" s="297" t="s">
        <v>213</v>
      </c>
      <c r="S5479" s="297" t="s">
        <v>214</v>
      </c>
    </row>
    <row r="5480" spans="1:19" x14ac:dyDescent="0.4">
      <c r="A5480" s="548"/>
      <c r="B5480" s="292"/>
      <c r="C5480" s="292"/>
      <c r="D5480" s="292"/>
      <c r="E5480" s="549"/>
      <c r="F5480" s="549"/>
      <c r="G5480" s="550"/>
      <c r="H5480" s="551"/>
      <c r="I5480" s="552"/>
      <c r="J5480" s="553"/>
      <c r="K5480" s="554"/>
      <c r="M5480" s="301" t="str">
        <f>N5480&amp;AS[[#This Row],[Insurer Code]]&amp;"; "&amp;O5480&amp;AS[[#This Row],[Reporting Year]]&amp;"; "&amp;P5480&amp;AS[[#This Row],[Insurance Category Code]]&amp;"; "&amp;Q5480&amp;AS[[#This Row],[Large Provider Entity Code]]&amp;"; "&amp;R5480&amp;AS[[#This Row],[Age Band Code]]&amp;"; "&amp;S5480&amp;AS[[#This Row],[Sex Code]]</f>
        <v xml:space="preserve">Insurer Code ; Reporting Year ; Insurance Category Code ; Large Provider Entity Code ; Age Band Code ; Sex Code </v>
      </c>
      <c r="N5480" s="297" t="s">
        <v>197</v>
      </c>
      <c r="O5480" s="297" t="s">
        <v>198</v>
      </c>
      <c r="P5480" s="297" t="s">
        <v>199</v>
      </c>
      <c r="Q5480" s="297" t="s">
        <v>200</v>
      </c>
      <c r="R5480" s="297" t="s">
        <v>213</v>
      </c>
      <c r="S5480" s="297" t="s">
        <v>214</v>
      </c>
    </row>
    <row r="5481" spans="1:19" x14ac:dyDescent="0.4">
      <c r="A5481" s="548"/>
      <c r="B5481" s="292"/>
      <c r="C5481" s="292"/>
      <c r="D5481" s="292"/>
      <c r="E5481" s="549"/>
      <c r="F5481" s="549"/>
      <c r="G5481" s="550"/>
      <c r="H5481" s="551"/>
      <c r="I5481" s="552"/>
      <c r="J5481" s="553"/>
      <c r="K5481" s="554"/>
      <c r="M5481" s="301" t="str">
        <f>N5481&amp;AS[[#This Row],[Insurer Code]]&amp;"; "&amp;O5481&amp;AS[[#This Row],[Reporting Year]]&amp;"; "&amp;P5481&amp;AS[[#This Row],[Insurance Category Code]]&amp;"; "&amp;Q5481&amp;AS[[#This Row],[Large Provider Entity Code]]&amp;"; "&amp;R5481&amp;AS[[#This Row],[Age Band Code]]&amp;"; "&amp;S5481&amp;AS[[#This Row],[Sex Code]]</f>
        <v xml:space="preserve">Insurer Code ; Reporting Year ; Insurance Category Code ; Large Provider Entity Code ; Age Band Code ; Sex Code </v>
      </c>
      <c r="N5481" s="297" t="s">
        <v>197</v>
      </c>
      <c r="O5481" s="297" t="s">
        <v>198</v>
      </c>
      <c r="P5481" s="297" t="s">
        <v>199</v>
      </c>
      <c r="Q5481" s="297" t="s">
        <v>200</v>
      </c>
      <c r="R5481" s="297" t="s">
        <v>213</v>
      </c>
      <c r="S5481" s="297" t="s">
        <v>214</v>
      </c>
    </row>
    <row r="5482" spans="1:19" x14ac:dyDescent="0.4">
      <c r="A5482" s="548"/>
      <c r="B5482" s="292"/>
      <c r="C5482" s="292"/>
      <c r="D5482" s="292"/>
      <c r="E5482" s="549"/>
      <c r="F5482" s="549"/>
      <c r="G5482" s="550"/>
      <c r="H5482" s="551"/>
      <c r="I5482" s="552"/>
      <c r="J5482" s="553"/>
      <c r="K5482" s="554"/>
      <c r="M5482" s="301" t="str">
        <f>N5482&amp;AS[[#This Row],[Insurer Code]]&amp;"; "&amp;O5482&amp;AS[[#This Row],[Reporting Year]]&amp;"; "&amp;P5482&amp;AS[[#This Row],[Insurance Category Code]]&amp;"; "&amp;Q5482&amp;AS[[#This Row],[Large Provider Entity Code]]&amp;"; "&amp;R5482&amp;AS[[#This Row],[Age Band Code]]&amp;"; "&amp;S5482&amp;AS[[#This Row],[Sex Code]]</f>
        <v xml:space="preserve">Insurer Code ; Reporting Year ; Insurance Category Code ; Large Provider Entity Code ; Age Band Code ; Sex Code </v>
      </c>
      <c r="N5482" s="297" t="s">
        <v>197</v>
      </c>
      <c r="O5482" s="297" t="s">
        <v>198</v>
      </c>
      <c r="P5482" s="297" t="s">
        <v>199</v>
      </c>
      <c r="Q5482" s="297" t="s">
        <v>200</v>
      </c>
      <c r="R5482" s="297" t="s">
        <v>213</v>
      </c>
      <c r="S5482" s="297" t="s">
        <v>214</v>
      </c>
    </row>
    <row r="5483" spans="1:19" x14ac:dyDescent="0.4">
      <c r="A5483" s="548"/>
      <c r="B5483" s="292"/>
      <c r="C5483" s="292"/>
      <c r="D5483" s="292"/>
      <c r="E5483" s="549"/>
      <c r="F5483" s="549"/>
      <c r="G5483" s="550"/>
      <c r="H5483" s="551"/>
      <c r="I5483" s="552"/>
      <c r="J5483" s="553"/>
      <c r="K5483" s="554"/>
      <c r="M5483" s="301" t="str">
        <f>N5483&amp;AS[[#This Row],[Insurer Code]]&amp;"; "&amp;O5483&amp;AS[[#This Row],[Reporting Year]]&amp;"; "&amp;P5483&amp;AS[[#This Row],[Insurance Category Code]]&amp;"; "&amp;Q5483&amp;AS[[#This Row],[Large Provider Entity Code]]&amp;"; "&amp;R5483&amp;AS[[#This Row],[Age Band Code]]&amp;"; "&amp;S5483&amp;AS[[#This Row],[Sex Code]]</f>
        <v xml:space="preserve">Insurer Code ; Reporting Year ; Insurance Category Code ; Large Provider Entity Code ; Age Band Code ; Sex Code </v>
      </c>
      <c r="N5483" s="297" t="s">
        <v>197</v>
      </c>
      <c r="O5483" s="297" t="s">
        <v>198</v>
      </c>
      <c r="P5483" s="297" t="s">
        <v>199</v>
      </c>
      <c r="Q5483" s="297" t="s">
        <v>200</v>
      </c>
      <c r="R5483" s="297" t="s">
        <v>213</v>
      </c>
      <c r="S5483" s="297" t="s">
        <v>214</v>
      </c>
    </row>
    <row r="5484" spans="1:19" x14ac:dyDescent="0.4">
      <c r="A5484" s="548"/>
      <c r="B5484" s="292"/>
      <c r="C5484" s="292"/>
      <c r="D5484" s="292"/>
      <c r="E5484" s="549"/>
      <c r="F5484" s="549"/>
      <c r="G5484" s="550"/>
      <c r="H5484" s="551"/>
      <c r="I5484" s="552"/>
      <c r="J5484" s="553"/>
      <c r="K5484" s="554"/>
      <c r="M5484" s="301" t="str">
        <f>N5484&amp;AS[[#This Row],[Insurer Code]]&amp;"; "&amp;O5484&amp;AS[[#This Row],[Reporting Year]]&amp;"; "&amp;P5484&amp;AS[[#This Row],[Insurance Category Code]]&amp;"; "&amp;Q5484&amp;AS[[#This Row],[Large Provider Entity Code]]&amp;"; "&amp;R5484&amp;AS[[#This Row],[Age Band Code]]&amp;"; "&amp;S5484&amp;AS[[#This Row],[Sex Code]]</f>
        <v xml:space="preserve">Insurer Code ; Reporting Year ; Insurance Category Code ; Large Provider Entity Code ; Age Band Code ; Sex Code </v>
      </c>
      <c r="N5484" s="297" t="s">
        <v>197</v>
      </c>
      <c r="O5484" s="297" t="s">
        <v>198</v>
      </c>
      <c r="P5484" s="297" t="s">
        <v>199</v>
      </c>
      <c r="Q5484" s="297" t="s">
        <v>200</v>
      </c>
      <c r="R5484" s="297" t="s">
        <v>213</v>
      </c>
      <c r="S5484" s="297" t="s">
        <v>214</v>
      </c>
    </row>
    <row r="5485" spans="1:19" x14ac:dyDescent="0.4">
      <c r="A5485" s="548"/>
      <c r="B5485" s="292"/>
      <c r="C5485" s="292"/>
      <c r="D5485" s="292"/>
      <c r="E5485" s="549"/>
      <c r="F5485" s="549"/>
      <c r="G5485" s="550"/>
      <c r="H5485" s="551"/>
      <c r="I5485" s="552"/>
      <c r="J5485" s="553"/>
      <c r="K5485" s="554"/>
      <c r="M5485" s="301" t="str">
        <f>N5485&amp;AS[[#This Row],[Insurer Code]]&amp;"; "&amp;O5485&amp;AS[[#This Row],[Reporting Year]]&amp;"; "&amp;P5485&amp;AS[[#This Row],[Insurance Category Code]]&amp;"; "&amp;Q5485&amp;AS[[#This Row],[Large Provider Entity Code]]&amp;"; "&amp;R5485&amp;AS[[#This Row],[Age Band Code]]&amp;"; "&amp;S5485&amp;AS[[#This Row],[Sex Code]]</f>
        <v xml:space="preserve">Insurer Code ; Reporting Year ; Insurance Category Code ; Large Provider Entity Code ; Age Band Code ; Sex Code </v>
      </c>
      <c r="N5485" s="297" t="s">
        <v>197</v>
      </c>
      <c r="O5485" s="297" t="s">
        <v>198</v>
      </c>
      <c r="P5485" s="297" t="s">
        <v>199</v>
      </c>
      <c r="Q5485" s="297" t="s">
        <v>200</v>
      </c>
      <c r="R5485" s="297" t="s">
        <v>213</v>
      </c>
      <c r="S5485" s="297" t="s">
        <v>214</v>
      </c>
    </row>
    <row r="5486" spans="1:19" x14ac:dyDescent="0.4">
      <c r="A5486" s="548"/>
      <c r="B5486" s="292"/>
      <c r="C5486" s="292"/>
      <c r="D5486" s="292"/>
      <c r="E5486" s="549"/>
      <c r="F5486" s="549"/>
      <c r="G5486" s="550"/>
      <c r="H5486" s="551"/>
      <c r="I5486" s="552"/>
      <c r="J5486" s="553"/>
      <c r="K5486" s="554"/>
      <c r="M5486" s="301" t="str">
        <f>N5486&amp;AS[[#This Row],[Insurer Code]]&amp;"; "&amp;O5486&amp;AS[[#This Row],[Reporting Year]]&amp;"; "&amp;P5486&amp;AS[[#This Row],[Insurance Category Code]]&amp;"; "&amp;Q5486&amp;AS[[#This Row],[Large Provider Entity Code]]&amp;"; "&amp;R5486&amp;AS[[#This Row],[Age Band Code]]&amp;"; "&amp;S5486&amp;AS[[#This Row],[Sex Code]]</f>
        <v xml:space="preserve">Insurer Code ; Reporting Year ; Insurance Category Code ; Large Provider Entity Code ; Age Band Code ; Sex Code </v>
      </c>
      <c r="N5486" s="297" t="s">
        <v>197</v>
      </c>
      <c r="O5486" s="297" t="s">
        <v>198</v>
      </c>
      <c r="P5486" s="297" t="s">
        <v>199</v>
      </c>
      <c r="Q5486" s="297" t="s">
        <v>200</v>
      </c>
      <c r="R5486" s="297" t="s">
        <v>213</v>
      </c>
      <c r="S5486" s="297" t="s">
        <v>214</v>
      </c>
    </row>
    <row r="5487" spans="1:19" x14ac:dyDescent="0.4">
      <c r="A5487" s="548"/>
      <c r="B5487" s="292"/>
      <c r="C5487" s="292"/>
      <c r="D5487" s="292"/>
      <c r="E5487" s="549"/>
      <c r="F5487" s="549"/>
      <c r="G5487" s="550"/>
      <c r="H5487" s="551"/>
      <c r="I5487" s="552"/>
      <c r="J5487" s="553"/>
      <c r="K5487" s="554"/>
      <c r="M5487" s="301" t="str">
        <f>N5487&amp;AS[[#This Row],[Insurer Code]]&amp;"; "&amp;O5487&amp;AS[[#This Row],[Reporting Year]]&amp;"; "&amp;P5487&amp;AS[[#This Row],[Insurance Category Code]]&amp;"; "&amp;Q5487&amp;AS[[#This Row],[Large Provider Entity Code]]&amp;"; "&amp;R5487&amp;AS[[#This Row],[Age Band Code]]&amp;"; "&amp;S5487&amp;AS[[#This Row],[Sex Code]]</f>
        <v xml:space="preserve">Insurer Code ; Reporting Year ; Insurance Category Code ; Large Provider Entity Code ; Age Band Code ; Sex Code </v>
      </c>
      <c r="N5487" s="297" t="s">
        <v>197</v>
      </c>
      <c r="O5487" s="297" t="s">
        <v>198</v>
      </c>
      <c r="P5487" s="297" t="s">
        <v>199</v>
      </c>
      <c r="Q5487" s="297" t="s">
        <v>200</v>
      </c>
      <c r="R5487" s="297" t="s">
        <v>213</v>
      </c>
      <c r="S5487" s="297" t="s">
        <v>214</v>
      </c>
    </row>
    <row r="5488" spans="1:19" x14ac:dyDescent="0.4">
      <c r="A5488" s="548"/>
      <c r="B5488" s="292"/>
      <c r="C5488" s="292"/>
      <c r="D5488" s="292"/>
      <c r="E5488" s="549"/>
      <c r="F5488" s="549"/>
      <c r="G5488" s="550"/>
      <c r="H5488" s="551"/>
      <c r="I5488" s="552"/>
      <c r="J5488" s="553"/>
      <c r="K5488" s="554"/>
      <c r="M5488" s="301" t="str">
        <f>N5488&amp;AS[[#This Row],[Insurer Code]]&amp;"; "&amp;O5488&amp;AS[[#This Row],[Reporting Year]]&amp;"; "&amp;P5488&amp;AS[[#This Row],[Insurance Category Code]]&amp;"; "&amp;Q5488&amp;AS[[#This Row],[Large Provider Entity Code]]&amp;"; "&amp;R5488&amp;AS[[#This Row],[Age Band Code]]&amp;"; "&amp;S5488&amp;AS[[#This Row],[Sex Code]]</f>
        <v xml:space="preserve">Insurer Code ; Reporting Year ; Insurance Category Code ; Large Provider Entity Code ; Age Band Code ; Sex Code </v>
      </c>
      <c r="N5488" s="297" t="s">
        <v>197</v>
      </c>
      <c r="O5488" s="297" t="s">
        <v>198</v>
      </c>
      <c r="P5488" s="297" t="s">
        <v>199</v>
      </c>
      <c r="Q5488" s="297" t="s">
        <v>200</v>
      </c>
      <c r="R5488" s="297" t="s">
        <v>213</v>
      </c>
      <c r="S5488" s="297" t="s">
        <v>214</v>
      </c>
    </row>
    <row r="5489" spans="1:19" x14ac:dyDescent="0.4">
      <c r="A5489" s="548"/>
      <c r="B5489" s="292"/>
      <c r="C5489" s="292"/>
      <c r="D5489" s="292"/>
      <c r="E5489" s="549"/>
      <c r="F5489" s="549"/>
      <c r="G5489" s="550"/>
      <c r="H5489" s="551"/>
      <c r="I5489" s="552"/>
      <c r="J5489" s="553"/>
      <c r="K5489" s="554"/>
      <c r="M5489" s="301" t="str">
        <f>N5489&amp;AS[[#This Row],[Insurer Code]]&amp;"; "&amp;O5489&amp;AS[[#This Row],[Reporting Year]]&amp;"; "&amp;P5489&amp;AS[[#This Row],[Insurance Category Code]]&amp;"; "&amp;Q5489&amp;AS[[#This Row],[Large Provider Entity Code]]&amp;"; "&amp;R5489&amp;AS[[#This Row],[Age Band Code]]&amp;"; "&amp;S5489&amp;AS[[#This Row],[Sex Code]]</f>
        <v xml:space="preserve">Insurer Code ; Reporting Year ; Insurance Category Code ; Large Provider Entity Code ; Age Band Code ; Sex Code </v>
      </c>
      <c r="N5489" s="297" t="s">
        <v>197</v>
      </c>
      <c r="O5489" s="297" t="s">
        <v>198</v>
      </c>
      <c r="P5489" s="297" t="s">
        <v>199</v>
      </c>
      <c r="Q5489" s="297" t="s">
        <v>200</v>
      </c>
      <c r="R5489" s="297" t="s">
        <v>213</v>
      </c>
      <c r="S5489" s="297" t="s">
        <v>214</v>
      </c>
    </row>
    <row r="5490" spans="1:19" x14ac:dyDescent="0.4">
      <c r="A5490" s="548"/>
      <c r="B5490" s="292"/>
      <c r="C5490" s="292"/>
      <c r="D5490" s="292"/>
      <c r="E5490" s="549"/>
      <c r="F5490" s="549"/>
      <c r="G5490" s="550"/>
      <c r="H5490" s="551"/>
      <c r="I5490" s="552"/>
      <c r="J5490" s="553"/>
      <c r="K5490" s="554"/>
      <c r="M5490" s="301" t="str">
        <f>N5490&amp;AS[[#This Row],[Insurer Code]]&amp;"; "&amp;O5490&amp;AS[[#This Row],[Reporting Year]]&amp;"; "&amp;P5490&amp;AS[[#This Row],[Insurance Category Code]]&amp;"; "&amp;Q5490&amp;AS[[#This Row],[Large Provider Entity Code]]&amp;"; "&amp;R5490&amp;AS[[#This Row],[Age Band Code]]&amp;"; "&amp;S5490&amp;AS[[#This Row],[Sex Code]]</f>
        <v xml:space="preserve">Insurer Code ; Reporting Year ; Insurance Category Code ; Large Provider Entity Code ; Age Band Code ; Sex Code </v>
      </c>
      <c r="N5490" s="297" t="s">
        <v>197</v>
      </c>
      <c r="O5490" s="297" t="s">
        <v>198</v>
      </c>
      <c r="P5490" s="297" t="s">
        <v>199</v>
      </c>
      <c r="Q5490" s="297" t="s">
        <v>200</v>
      </c>
      <c r="R5490" s="297" t="s">
        <v>213</v>
      </c>
      <c r="S5490" s="297" t="s">
        <v>214</v>
      </c>
    </row>
    <row r="5491" spans="1:19" x14ac:dyDescent="0.4">
      <c r="A5491" s="548"/>
      <c r="B5491" s="292"/>
      <c r="C5491" s="292"/>
      <c r="D5491" s="292"/>
      <c r="E5491" s="549"/>
      <c r="F5491" s="549"/>
      <c r="G5491" s="550"/>
      <c r="H5491" s="551"/>
      <c r="I5491" s="552"/>
      <c r="J5491" s="553"/>
      <c r="K5491" s="554"/>
      <c r="M5491" s="301" t="str">
        <f>N5491&amp;AS[[#This Row],[Insurer Code]]&amp;"; "&amp;O5491&amp;AS[[#This Row],[Reporting Year]]&amp;"; "&amp;P5491&amp;AS[[#This Row],[Insurance Category Code]]&amp;"; "&amp;Q5491&amp;AS[[#This Row],[Large Provider Entity Code]]&amp;"; "&amp;R5491&amp;AS[[#This Row],[Age Band Code]]&amp;"; "&amp;S5491&amp;AS[[#This Row],[Sex Code]]</f>
        <v xml:space="preserve">Insurer Code ; Reporting Year ; Insurance Category Code ; Large Provider Entity Code ; Age Band Code ; Sex Code </v>
      </c>
      <c r="N5491" s="297" t="s">
        <v>197</v>
      </c>
      <c r="O5491" s="297" t="s">
        <v>198</v>
      </c>
      <c r="P5491" s="297" t="s">
        <v>199</v>
      </c>
      <c r="Q5491" s="297" t="s">
        <v>200</v>
      </c>
      <c r="R5491" s="297" t="s">
        <v>213</v>
      </c>
      <c r="S5491" s="297" t="s">
        <v>214</v>
      </c>
    </row>
    <row r="5492" spans="1:19" x14ac:dyDescent="0.4">
      <c r="A5492" s="548"/>
      <c r="B5492" s="292"/>
      <c r="C5492" s="292"/>
      <c r="D5492" s="292"/>
      <c r="E5492" s="549"/>
      <c r="F5492" s="549"/>
      <c r="G5492" s="550"/>
      <c r="H5492" s="551"/>
      <c r="I5492" s="552"/>
      <c r="J5492" s="553"/>
      <c r="K5492" s="554"/>
      <c r="M5492" s="301" t="str">
        <f>N5492&amp;AS[[#This Row],[Insurer Code]]&amp;"; "&amp;O5492&amp;AS[[#This Row],[Reporting Year]]&amp;"; "&amp;P5492&amp;AS[[#This Row],[Insurance Category Code]]&amp;"; "&amp;Q5492&amp;AS[[#This Row],[Large Provider Entity Code]]&amp;"; "&amp;R5492&amp;AS[[#This Row],[Age Band Code]]&amp;"; "&amp;S5492&amp;AS[[#This Row],[Sex Code]]</f>
        <v xml:space="preserve">Insurer Code ; Reporting Year ; Insurance Category Code ; Large Provider Entity Code ; Age Band Code ; Sex Code </v>
      </c>
      <c r="N5492" s="297" t="s">
        <v>197</v>
      </c>
      <c r="O5492" s="297" t="s">
        <v>198</v>
      </c>
      <c r="P5492" s="297" t="s">
        <v>199</v>
      </c>
      <c r="Q5492" s="297" t="s">
        <v>200</v>
      </c>
      <c r="R5492" s="297" t="s">
        <v>213</v>
      </c>
      <c r="S5492" s="297" t="s">
        <v>214</v>
      </c>
    </row>
    <row r="5493" spans="1:19" x14ac:dyDescent="0.4">
      <c r="A5493" s="548"/>
      <c r="B5493" s="292"/>
      <c r="C5493" s="292"/>
      <c r="D5493" s="292"/>
      <c r="E5493" s="549"/>
      <c r="F5493" s="549"/>
      <c r="G5493" s="550"/>
      <c r="H5493" s="551"/>
      <c r="I5493" s="552"/>
      <c r="J5493" s="553"/>
      <c r="K5493" s="554"/>
      <c r="M5493" s="301" t="str">
        <f>N5493&amp;AS[[#This Row],[Insurer Code]]&amp;"; "&amp;O5493&amp;AS[[#This Row],[Reporting Year]]&amp;"; "&amp;P5493&amp;AS[[#This Row],[Insurance Category Code]]&amp;"; "&amp;Q5493&amp;AS[[#This Row],[Large Provider Entity Code]]&amp;"; "&amp;R5493&amp;AS[[#This Row],[Age Band Code]]&amp;"; "&amp;S5493&amp;AS[[#This Row],[Sex Code]]</f>
        <v xml:space="preserve">Insurer Code ; Reporting Year ; Insurance Category Code ; Large Provider Entity Code ; Age Band Code ; Sex Code </v>
      </c>
      <c r="N5493" s="297" t="s">
        <v>197</v>
      </c>
      <c r="O5493" s="297" t="s">
        <v>198</v>
      </c>
      <c r="P5493" s="297" t="s">
        <v>199</v>
      </c>
      <c r="Q5493" s="297" t="s">
        <v>200</v>
      </c>
      <c r="R5493" s="297" t="s">
        <v>213</v>
      </c>
      <c r="S5493" s="297" t="s">
        <v>214</v>
      </c>
    </row>
    <row r="5494" spans="1:19" x14ac:dyDescent="0.4">
      <c r="A5494" s="548"/>
      <c r="B5494" s="292"/>
      <c r="C5494" s="292"/>
      <c r="D5494" s="292"/>
      <c r="E5494" s="549"/>
      <c r="F5494" s="549"/>
      <c r="G5494" s="550"/>
      <c r="H5494" s="551"/>
      <c r="I5494" s="552"/>
      <c r="J5494" s="553"/>
      <c r="K5494" s="554"/>
      <c r="M5494" s="301" t="str">
        <f>N5494&amp;AS[[#This Row],[Insurer Code]]&amp;"; "&amp;O5494&amp;AS[[#This Row],[Reporting Year]]&amp;"; "&amp;P5494&amp;AS[[#This Row],[Insurance Category Code]]&amp;"; "&amp;Q5494&amp;AS[[#This Row],[Large Provider Entity Code]]&amp;"; "&amp;R5494&amp;AS[[#This Row],[Age Band Code]]&amp;"; "&amp;S5494&amp;AS[[#This Row],[Sex Code]]</f>
        <v xml:space="preserve">Insurer Code ; Reporting Year ; Insurance Category Code ; Large Provider Entity Code ; Age Band Code ; Sex Code </v>
      </c>
      <c r="N5494" s="297" t="s">
        <v>197</v>
      </c>
      <c r="O5494" s="297" t="s">
        <v>198</v>
      </c>
      <c r="P5494" s="297" t="s">
        <v>199</v>
      </c>
      <c r="Q5494" s="297" t="s">
        <v>200</v>
      </c>
      <c r="R5494" s="297" t="s">
        <v>213</v>
      </c>
      <c r="S5494" s="297" t="s">
        <v>214</v>
      </c>
    </row>
    <row r="5495" spans="1:19" x14ac:dyDescent="0.4">
      <c r="A5495" s="548"/>
      <c r="B5495" s="292"/>
      <c r="C5495" s="292"/>
      <c r="D5495" s="292"/>
      <c r="E5495" s="549"/>
      <c r="F5495" s="549"/>
      <c r="G5495" s="550"/>
      <c r="H5495" s="551"/>
      <c r="I5495" s="552"/>
      <c r="J5495" s="553"/>
      <c r="K5495" s="554"/>
      <c r="M5495" s="301" t="str">
        <f>N5495&amp;AS[[#This Row],[Insurer Code]]&amp;"; "&amp;O5495&amp;AS[[#This Row],[Reporting Year]]&amp;"; "&amp;P5495&amp;AS[[#This Row],[Insurance Category Code]]&amp;"; "&amp;Q5495&amp;AS[[#This Row],[Large Provider Entity Code]]&amp;"; "&amp;R5495&amp;AS[[#This Row],[Age Band Code]]&amp;"; "&amp;S5495&amp;AS[[#This Row],[Sex Code]]</f>
        <v xml:space="preserve">Insurer Code ; Reporting Year ; Insurance Category Code ; Large Provider Entity Code ; Age Band Code ; Sex Code </v>
      </c>
      <c r="N5495" s="297" t="s">
        <v>197</v>
      </c>
      <c r="O5495" s="297" t="s">
        <v>198</v>
      </c>
      <c r="P5495" s="297" t="s">
        <v>199</v>
      </c>
      <c r="Q5495" s="297" t="s">
        <v>200</v>
      </c>
      <c r="R5495" s="297" t="s">
        <v>213</v>
      </c>
      <c r="S5495" s="297" t="s">
        <v>214</v>
      </c>
    </row>
    <row r="5496" spans="1:19" x14ac:dyDescent="0.4">
      <c r="A5496" s="548"/>
      <c r="B5496" s="292"/>
      <c r="C5496" s="292"/>
      <c r="D5496" s="292"/>
      <c r="E5496" s="549"/>
      <c r="F5496" s="549"/>
      <c r="G5496" s="550"/>
      <c r="H5496" s="551"/>
      <c r="I5496" s="552"/>
      <c r="J5496" s="553"/>
      <c r="K5496" s="554"/>
      <c r="M5496" s="301" t="str">
        <f>N5496&amp;AS[[#This Row],[Insurer Code]]&amp;"; "&amp;O5496&amp;AS[[#This Row],[Reporting Year]]&amp;"; "&amp;P5496&amp;AS[[#This Row],[Insurance Category Code]]&amp;"; "&amp;Q5496&amp;AS[[#This Row],[Large Provider Entity Code]]&amp;"; "&amp;R5496&amp;AS[[#This Row],[Age Band Code]]&amp;"; "&amp;S5496&amp;AS[[#This Row],[Sex Code]]</f>
        <v xml:space="preserve">Insurer Code ; Reporting Year ; Insurance Category Code ; Large Provider Entity Code ; Age Band Code ; Sex Code </v>
      </c>
      <c r="N5496" s="297" t="s">
        <v>197</v>
      </c>
      <c r="O5496" s="297" t="s">
        <v>198</v>
      </c>
      <c r="P5496" s="297" t="s">
        <v>199</v>
      </c>
      <c r="Q5496" s="297" t="s">
        <v>200</v>
      </c>
      <c r="R5496" s="297" t="s">
        <v>213</v>
      </c>
      <c r="S5496" s="297" t="s">
        <v>214</v>
      </c>
    </row>
    <row r="5497" spans="1:19" x14ac:dyDescent="0.4">
      <c r="A5497" s="548"/>
      <c r="B5497" s="292"/>
      <c r="C5497" s="292"/>
      <c r="D5497" s="292"/>
      <c r="E5497" s="549"/>
      <c r="F5497" s="549"/>
      <c r="G5497" s="550"/>
      <c r="H5497" s="551"/>
      <c r="I5497" s="552"/>
      <c r="J5497" s="553"/>
      <c r="K5497" s="554"/>
      <c r="M5497" s="301" t="str">
        <f>N5497&amp;AS[[#This Row],[Insurer Code]]&amp;"; "&amp;O5497&amp;AS[[#This Row],[Reporting Year]]&amp;"; "&amp;P5497&amp;AS[[#This Row],[Insurance Category Code]]&amp;"; "&amp;Q5497&amp;AS[[#This Row],[Large Provider Entity Code]]&amp;"; "&amp;R5497&amp;AS[[#This Row],[Age Band Code]]&amp;"; "&amp;S5497&amp;AS[[#This Row],[Sex Code]]</f>
        <v xml:space="preserve">Insurer Code ; Reporting Year ; Insurance Category Code ; Large Provider Entity Code ; Age Band Code ; Sex Code </v>
      </c>
      <c r="N5497" s="297" t="s">
        <v>197</v>
      </c>
      <c r="O5497" s="297" t="s">
        <v>198</v>
      </c>
      <c r="P5497" s="297" t="s">
        <v>199</v>
      </c>
      <c r="Q5497" s="297" t="s">
        <v>200</v>
      </c>
      <c r="R5497" s="297" t="s">
        <v>213</v>
      </c>
      <c r="S5497" s="297" t="s">
        <v>214</v>
      </c>
    </row>
    <row r="5498" spans="1:19" x14ac:dyDescent="0.4">
      <c r="A5498" s="548"/>
      <c r="B5498" s="292"/>
      <c r="C5498" s="292"/>
      <c r="D5498" s="292"/>
      <c r="E5498" s="549"/>
      <c r="F5498" s="549"/>
      <c r="G5498" s="550"/>
      <c r="H5498" s="551"/>
      <c r="I5498" s="552"/>
      <c r="J5498" s="553"/>
      <c r="K5498" s="554"/>
      <c r="M5498" s="301" t="str">
        <f>N5498&amp;AS[[#This Row],[Insurer Code]]&amp;"; "&amp;O5498&amp;AS[[#This Row],[Reporting Year]]&amp;"; "&amp;P5498&amp;AS[[#This Row],[Insurance Category Code]]&amp;"; "&amp;Q5498&amp;AS[[#This Row],[Large Provider Entity Code]]&amp;"; "&amp;R5498&amp;AS[[#This Row],[Age Band Code]]&amp;"; "&amp;S5498&amp;AS[[#This Row],[Sex Code]]</f>
        <v xml:space="preserve">Insurer Code ; Reporting Year ; Insurance Category Code ; Large Provider Entity Code ; Age Band Code ; Sex Code </v>
      </c>
      <c r="N5498" s="297" t="s">
        <v>197</v>
      </c>
      <c r="O5498" s="297" t="s">
        <v>198</v>
      </c>
      <c r="P5498" s="297" t="s">
        <v>199</v>
      </c>
      <c r="Q5498" s="297" t="s">
        <v>200</v>
      </c>
      <c r="R5498" s="297" t="s">
        <v>213</v>
      </c>
      <c r="S5498" s="297" t="s">
        <v>214</v>
      </c>
    </row>
    <row r="5499" spans="1:19" x14ac:dyDescent="0.4">
      <c r="A5499" s="548"/>
      <c r="B5499" s="292"/>
      <c r="C5499" s="292"/>
      <c r="D5499" s="292"/>
      <c r="E5499" s="549"/>
      <c r="F5499" s="549"/>
      <c r="G5499" s="550"/>
      <c r="H5499" s="551"/>
      <c r="I5499" s="552"/>
      <c r="J5499" s="553"/>
      <c r="K5499" s="554"/>
      <c r="M5499" s="301" t="str">
        <f>N5499&amp;AS[[#This Row],[Insurer Code]]&amp;"; "&amp;O5499&amp;AS[[#This Row],[Reporting Year]]&amp;"; "&amp;P5499&amp;AS[[#This Row],[Insurance Category Code]]&amp;"; "&amp;Q5499&amp;AS[[#This Row],[Large Provider Entity Code]]&amp;"; "&amp;R5499&amp;AS[[#This Row],[Age Band Code]]&amp;"; "&amp;S5499&amp;AS[[#This Row],[Sex Code]]</f>
        <v xml:space="preserve">Insurer Code ; Reporting Year ; Insurance Category Code ; Large Provider Entity Code ; Age Band Code ; Sex Code </v>
      </c>
      <c r="N5499" s="297" t="s">
        <v>197</v>
      </c>
      <c r="O5499" s="297" t="s">
        <v>198</v>
      </c>
      <c r="P5499" s="297" t="s">
        <v>199</v>
      </c>
      <c r="Q5499" s="297" t="s">
        <v>200</v>
      </c>
      <c r="R5499" s="297" t="s">
        <v>213</v>
      </c>
      <c r="S5499" s="297" t="s">
        <v>214</v>
      </c>
    </row>
    <row r="5500" spans="1:19" x14ac:dyDescent="0.4">
      <c r="A5500" s="548"/>
      <c r="B5500" s="292"/>
      <c r="C5500" s="292"/>
      <c r="D5500" s="292"/>
      <c r="E5500" s="549"/>
      <c r="F5500" s="549"/>
      <c r="G5500" s="550"/>
      <c r="H5500" s="551"/>
      <c r="I5500" s="552"/>
      <c r="J5500" s="553"/>
      <c r="K5500" s="554"/>
      <c r="M5500" s="301" t="str">
        <f>N5500&amp;AS[[#This Row],[Insurer Code]]&amp;"; "&amp;O5500&amp;AS[[#This Row],[Reporting Year]]&amp;"; "&amp;P5500&amp;AS[[#This Row],[Insurance Category Code]]&amp;"; "&amp;Q5500&amp;AS[[#This Row],[Large Provider Entity Code]]&amp;"; "&amp;R5500&amp;AS[[#This Row],[Age Band Code]]&amp;"; "&amp;S5500&amp;AS[[#This Row],[Sex Code]]</f>
        <v xml:space="preserve">Insurer Code ; Reporting Year ; Insurance Category Code ; Large Provider Entity Code ; Age Band Code ; Sex Code </v>
      </c>
      <c r="N5500" s="297" t="s">
        <v>197</v>
      </c>
      <c r="O5500" s="297" t="s">
        <v>198</v>
      </c>
      <c r="P5500" s="297" t="s">
        <v>199</v>
      </c>
      <c r="Q5500" s="297" t="s">
        <v>200</v>
      </c>
      <c r="R5500" s="297" t="s">
        <v>213</v>
      </c>
      <c r="S5500" s="297" t="s">
        <v>214</v>
      </c>
    </row>
    <row r="5501" spans="1:19" x14ac:dyDescent="0.4">
      <c r="A5501" s="548"/>
      <c r="B5501" s="292"/>
      <c r="C5501" s="292"/>
      <c r="D5501" s="292"/>
      <c r="E5501" s="549"/>
      <c r="F5501" s="549"/>
      <c r="G5501" s="550"/>
      <c r="H5501" s="551"/>
      <c r="I5501" s="552"/>
      <c r="J5501" s="553"/>
      <c r="K5501" s="554"/>
      <c r="M5501" s="301" t="str">
        <f>N5501&amp;AS[[#This Row],[Insurer Code]]&amp;"; "&amp;O5501&amp;AS[[#This Row],[Reporting Year]]&amp;"; "&amp;P5501&amp;AS[[#This Row],[Insurance Category Code]]&amp;"; "&amp;Q5501&amp;AS[[#This Row],[Large Provider Entity Code]]&amp;"; "&amp;R5501&amp;AS[[#This Row],[Age Band Code]]&amp;"; "&amp;S5501&amp;AS[[#This Row],[Sex Code]]</f>
        <v xml:space="preserve">Insurer Code ; Reporting Year ; Insurance Category Code ; Large Provider Entity Code ; Age Band Code ; Sex Code </v>
      </c>
      <c r="N5501" s="297" t="s">
        <v>197</v>
      </c>
      <c r="O5501" s="297" t="s">
        <v>198</v>
      </c>
      <c r="P5501" s="297" t="s">
        <v>199</v>
      </c>
      <c r="Q5501" s="297" t="s">
        <v>200</v>
      </c>
      <c r="R5501" s="297" t="s">
        <v>213</v>
      </c>
      <c r="S5501" s="297" t="s">
        <v>214</v>
      </c>
    </row>
    <row r="5502" spans="1:19" x14ac:dyDescent="0.4">
      <c r="A5502" s="548"/>
      <c r="B5502" s="292"/>
      <c r="C5502" s="292"/>
      <c r="D5502" s="292"/>
      <c r="E5502" s="549"/>
      <c r="F5502" s="549"/>
      <c r="G5502" s="550"/>
      <c r="H5502" s="551"/>
      <c r="I5502" s="552"/>
      <c r="J5502" s="553"/>
      <c r="K5502" s="554"/>
      <c r="M5502" s="301" t="str">
        <f>N5502&amp;AS[[#This Row],[Insurer Code]]&amp;"; "&amp;O5502&amp;AS[[#This Row],[Reporting Year]]&amp;"; "&amp;P5502&amp;AS[[#This Row],[Insurance Category Code]]&amp;"; "&amp;Q5502&amp;AS[[#This Row],[Large Provider Entity Code]]&amp;"; "&amp;R5502&amp;AS[[#This Row],[Age Band Code]]&amp;"; "&amp;S5502&amp;AS[[#This Row],[Sex Code]]</f>
        <v xml:space="preserve">Insurer Code ; Reporting Year ; Insurance Category Code ; Large Provider Entity Code ; Age Band Code ; Sex Code </v>
      </c>
      <c r="N5502" s="297" t="s">
        <v>197</v>
      </c>
      <c r="O5502" s="297" t="s">
        <v>198</v>
      </c>
      <c r="P5502" s="297" t="s">
        <v>199</v>
      </c>
      <c r="Q5502" s="297" t="s">
        <v>200</v>
      </c>
      <c r="R5502" s="297" t="s">
        <v>213</v>
      </c>
      <c r="S5502" s="297" t="s">
        <v>214</v>
      </c>
    </row>
    <row r="5503" spans="1:19" x14ac:dyDescent="0.4">
      <c r="A5503" s="548"/>
      <c r="B5503" s="292"/>
      <c r="C5503" s="292"/>
      <c r="D5503" s="292"/>
      <c r="E5503" s="549"/>
      <c r="F5503" s="549"/>
      <c r="G5503" s="550"/>
      <c r="H5503" s="551"/>
      <c r="I5503" s="552"/>
      <c r="J5503" s="553"/>
      <c r="K5503" s="554"/>
      <c r="M5503" s="301" t="str">
        <f>N5503&amp;AS[[#This Row],[Insurer Code]]&amp;"; "&amp;O5503&amp;AS[[#This Row],[Reporting Year]]&amp;"; "&amp;P5503&amp;AS[[#This Row],[Insurance Category Code]]&amp;"; "&amp;Q5503&amp;AS[[#This Row],[Large Provider Entity Code]]&amp;"; "&amp;R5503&amp;AS[[#This Row],[Age Band Code]]&amp;"; "&amp;S5503&amp;AS[[#This Row],[Sex Code]]</f>
        <v xml:space="preserve">Insurer Code ; Reporting Year ; Insurance Category Code ; Large Provider Entity Code ; Age Band Code ; Sex Code </v>
      </c>
      <c r="N5503" s="297" t="s">
        <v>197</v>
      </c>
      <c r="O5503" s="297" t="s">
        <v>198</v>
      </c>
      <c r="P5503" s="297" t="s">
        <v>199</v>
      </c>
      <c r="Q5503" s="297" t="s">
        <v>200</v>
      </c>
      <c r="R5503" s="297" t="s">
        <v>213</v>
      </c>
      <c r="S5503" s="297" t="s">
        <v>214</v>
      </c>
    </row>
    <row r="5504" spans="1:19" x14ac:dyDescent="0.4">
      <c r="A5504" s="548"/>
      <c r="B5504" s="292"/>
      <c r="C5504" s="292"/>
      <c r="D5504" s="292"/>
      <c r="E5504" s="549"/>
      <c r="F5504" s="549"/>
      <c r="G5504" s="550"/>
      <c r="H5504" s="551"/>
      <c r="I5504" s="552"/>
      <c r="J5504" s="553"/>
      <c r="K5504" s="554"/>
      <c r="M5504" s="301" t="str">
        <f>N5504&amp;AS[[#This Row],[Insurer Code]]&amp;"; "&amp;O5504&amp;AS[[#This Row],[Reporting Year]]&amp;"; "&amp;P5504&amp;AS[[#This Row],[Insurance Category Code]]&amp;"; "&amp;Q5504&amp;AS[[#This Row],[Large Provider Entity Code]]&amp;"; "&amp;R5504&amp;AS[[#This Row],[Age Band Code]]&amp;"; "&amp;S5504&amp;AS[[#This Row],[Sex Code]]</f>
        <v xml:space="preserve">Insurer Code ; Reporting Year ; Insurance Category Code ; Large Provider Entity Code ; Age Band Code ; Sex Code </v>
      </c>
      <c r="N5504" s="297" t="s">
        <v>197</v>
      </c>
      <c r="O5504" s="297" t="s">
        <v>198</v>
      </c>
      <c r="P5504" s="297" t="s">
        <v>199</v>
      </c>
      <c r="Q5504" s="297" t="s">
        <v>200</v>
      </c>
      <c r="R5504" s="297" t="s">
        <v>213</v>
      </c>
      <c r="S5504" s="297" t="s">
        <v>214</v>
      </c>
    </row>
    <row r="5505" spans="1:19" x14ac:dyDescent="0.4">
      <c r="A5505" s="548"/>
      <c r="B5505" s="292"/>
      <c r="C5505" s="292"/>
      <c r="D5505" s="292"/>
      <c r="E5505" s="549"/>
      <c r="F5505" s="549"/>
      <c r="G5505" s="550"/>
      <c r="H5505" s="551"/>
      <c r="I5505" s="552"/>
      <c r="J5505" s="553"/>
      <c r="K5505" s="554"/>
      <c r="M5505" s="301" t="str">
        <f>N5505&amp;AS[[#This Row],[Insurer Code]]&amp;"; "&amp;O5505&amp;AS[[#This Row],[Reporting Year]]&amp;"; "&amp;P5505&amp;AS[[#This Row],[Insurance Category Code]]&amp;"; "&amp;Q5505&amp;AS[[#This Row],[Large Provider Entity Code]]&amp;"; "&amp;R5505&amp;AS[[#This Row],[Age Band Code]]&amp;"; "&amp;S5505&amp;AS[[#This Row],[Sex Code]]</f>
        <v xml:space="preserve">Insurer Code ; Reporting Year ; Insurance Category Code ; Large Provider Entity Code ; Age Band Code ; Sex Code </v>
      </c>
      <c r="N5505" s="297" t="s">
        <v>197</v>
      </c>
      <c r="O5505" s="297" t="s">
        <v>198</v>
      </c>
      <c r="P5505" s="297" t="s">
        <v>199</v>
      </c>
      <c r="Q5505" s="297" t="s">
        <v>200</v>
      </c>
      <c r="R5505" s="297" t="s">
        <v>213</v>
      </c>
      <c r="S5505" s="297" t="s">
        <v>214</v>
      </c>
    </row>
    <row r="5506" spans="1:19" x14ac:dyDescent="0.4">
      <c r="A5506" s="548"/>
      <c r="B5506" s="292"/>
      <c r="C5506" s="292"/>
      <c r="D5506" s="292"/>
      <c r="E5506" s="549"/>
      <c r="F5506" s="549"/>
      <c r="G5506" s="550"/>
      <c r="H5506" s="551"/>
      <c r="I5506" s="552"/>
      <c r="J5506" s="553"/>
      <c r="K5506" s="554"/>
      <c r="M5506" s="301" t="str">
        <f>N5506&amp;AS[[#This Row],[Insurer Code]]&amp;"; "&amp;O5506&amp;AS[[#This Row],[Reporting Year]]&amp;"; "&amp;P5506&amp;AS[[#This Row],[Insurance Category Code]]&amp;"; "&amp;Q5506&amp;AS[[#This Row],[Large Provider Entity Code]]&amp;"; "&amp;R5506&amp;AS[[#This Row],[Age Band Code]]&amp;"; "&amp;S5506&amp;AS[[#This Row],[Sex Code]]</f>
        <v xml:space="preserve">Insurer Code ; Reporting Year ; Insurance Category Code ; Large Provider Entity Code ; Age Band Code ; Sex Code </v>
      </c>
      <c r="N5506" s="297" t="s">
        <v>197</v>
      </c>
      <c r="O5506" s="297" t="s">
        <v>198</v>
      </c>
      <c r="P5506" s="297" t="s">
        <v>199</v>
      </c>
      <c r="Q5506" s="297" t="s">
        <v>200</v>
      </c>
      <c r="R5506" s="297" t="s">
        <v>213</v>
      </c>
      <c r="S5506" s="297" t="s">
        <v>214</v>
      </c>
    </row>
    <row r="5507" spans="1:19" x14ac:dyDescent="0.4">
      <c r="A5507" s="548"/>
      <c r="B5507" s="292"/>
      <c r="C5507" s="292"/>
      <c r="D5507" s="292"/>
      <c r="E5507" s="549"/>
      <c r="F5507" s="549"/>
      <c r="G5507" s="550"/>
      <c r="H5507" s="551"/>
      <c r="I5507" s="552"/>
      <c r="J5507" s="553"/>
      <c r="K5507" s="554"/>
      <c r="M5507" s="301" t="str">
        <f>N5507&amp;AS[[#This Row],[Insurer Code]]&amp;"; "&amp;O5507&amp;AS[[#This Row],[Reporting Year]]&amp;"; "&amp;P5507&amp;AS[[#This Row],[Insurance Category Code]]&amp;"; "&amp;Q5507&amp;AS[[#This Row],[Large Provider Entity Code]]&amp;"; "&amp;R5507&amp;AS[[#This Row],[Age Band Code]]&amp;"; "&amp;S5507&amp;AS[[#This Row],[Sex Code]]</f>
        <v xml:space="preserve">Insurer Code ; Reporting Year ; Insurance Category Code ; Large Provider Entity Code ; Age Band Code ; Sex Code </v>
      </c>
      <c r="N5507" s="297" t="s">
        <v>197</v>
      </c>
      <c r="O5507" s="297" t="s">
        <v>198</v>
      </c>
      <c r="P5507" s="297" t="s">
        <v>199</v>
      </c>
      <c r="Q5507" s="297" t="s">
        <v>200</v>
      </c>
      <c r="R5507" s="297" t="s">
        <v>213</v>
      </c>
      <c r="S5507" s="297" t="s">
        <v>214</v>
      </c>
    </row>
    <row r="5508" spans="1:19" x14ac:dyDescent="0.4">
      <c r="A5508" s="548"/>
      <c r="B5508" s="292"/>
      <c r="C5508" s="292"/>
      <c r="D5508" s="292"/>
      <c r="E5508" s="549"/>
      <c r="F5508" s="549"/>
      <c r="G5508" s="550"/>
      <c r="H5508" s="551"/>
      <c r="I5508" s="552"/>
      <c r="J5508" s="553"/>
      <c r="K5508" s="554"/>
      <c r="M5508" s="301" t="str">
        <f>N5508&amp;AS[[#This Row],[Insurer Code]]&amp;"; "&amp;O5508&amp;AS[[#This Row],[Reporting Year]]&amp;"; "&amp;P5508&amp;AS[[#This Row],[Insurance Category Code]]&amp;"; "&amp;Q5508&amp;AS[[#This Row],[Large Provider Entity Code]]&amp;"; "&amp;R5508&amp;AS[[#This Row],[Age Band Code]]&amp;"; "&amp;S5508&amp;AS[[#This Row],[Sex Code]]</f>
        <v xml:space="preserve">Insurer Code ; Reporting Year ; Insurance Category Code ; Large Provider Entity Code ; Age Band Code ; Sex Code </v>
      </c>
      <c r="N5508" s="297" t="s">
        <v>197</v>
      </c>
      <c r="O5508" s="297" t="s">
        <v>198</v>
      </c>
      <c r="P5508" s="297" t="s">
        <v>199</v>
      </c>
      <c r="Q5508" s="297" t="s">
        <v>200</v>
      </c>
      <c r="R5508" s="297" t="s">
        <v>213</v>
      </c>
      <c r="S5508" s="297" t="s">
        <v>214</v>
      </c>
    </row>
    <row r="5509" spans="1:19" x14ac:dyDescent="0.4">
      <c r="A5509" s="548"/>
      <c r="B5509" s="292"/>
      <c r="C5509" s="292"/>
      <c r="D5509" s="292"/>
      <c r="E5509" s="549"/>
      <c r="F5509" s="549"/>
      <c r="G5509" s="550"/>
      <c r="H5509" s="551"/>
      <c r="I5509" s="552"/>
      <c r="J5509" s="553"/>
      <c r="K5509" s="554"/>
      <c r="M5509" s="301" t="str">
        <f>N5509&amp;AS[[#This Row],[Insurer Code]]&amp;"; "&amp;O5509&amp;AS[[#This Row],[Reporting Year]]&amp;"; "&amp;P5509&amp;AS[[#This Row],[Insurance Category Code]]&amp;"; "&amp;Q5509&amp;AS[[#This Row],[Large Provider Entity Code]]&amp;"; "&amp;R5509&amp;AS[[#This Row],[Age Band Code]]&amp;"; "&amp;S5509&amp;AS[[#This Row],[Sex Code]]</f>
        <v xml:space="preserve">Insurer Code ; Reporting Year ; Insurance Category Code ; Large Provider Entity Code ; Age Band Code ; Sex Code </v>
      </c>
      <c r="N5509" s="297" t="s">
        <v>197</v>
      </c>
      <c r="O5509" s="297" t="s">
        <v>198</v>
      </c>
      <c r="P5509" s="297" t="s">
        <v>199</v>
      </c>
      <c r="Q5509" s="297" t="s">
        <v>200</v>
      </c>
      <c r="R5509" s="297" t="s">
        <v>213</v>
      </c>
      <c r="S5509" s="297" t="s">
        <v>214</v>
      </c>
    </row>
    <row r="5510" spans="1:19" x14ac:dyDescent="0.4">
      <c r="A5510" s="548"/>
      <c r="B5510" s="292"/>
      <c r="C5510" s="292"/>
      <c r="D5510" s="292"/>
      <c r="E5510" s="549"/>
      <c r="F5510" s="549"/>
      <c r="G5510" s="550"/>
      <c r="H5510" s="551"/>
      <c r="I5510" s="552"/>
      <c r="J5510" s="553"/>
      <c r="K5510" s="554"/>
      <c r="M5510" s="301" t="str">
        <f>N5510&amp;AS[[#This Row],[Insurer Code]]&amp;"; "&amp;O5510&amp;AS[[#This Row],[Reporting Year]]&amp;"; "&amp;P5510&amp;AS[[#This Row],[Insurance Category Code]]&amp;"; "&amp;Q5510&amp;AS[[#This Row],[Large Provider Entity Code]]&amp;"; "&amp;R5510&amp;AS[[#This Row],[Age Band Code]]&amp;"; "&amp;S5510&amp;AS[[#This Row],[Sex Code]]</f>
        <v xml:space="preserve">Insurer Code ; Reporting Year ; Insurance Category Code ; Large Provider Entity Code ; Age Band Code ; Sex Code </v>
      </c>
      <c r="N5510" s="297" t="s">
        <v>197</v>
      </c>
      <c r="O5510" s="297" t="s">
        <v>198</v>
      </c>
      <c r="P5510" s="297" t="s">
        <v>199</v>
      </c>
      <c r="Q5510" s="297" t="s">
        <v>200</v>
      </c>
      <c r="R5510" s="297" t="s">
        <v>213</v>
      </c>
      <c r="S5510" s="297" t="s">
        <v>214</v>
      </c>
    </row>
    <row r="5511" spans="1:19" x14ac:dyDescent="0.4">
      <c r="A5511" s="548"/>
      <c r="B5511" s="292"/>
      <c r="C5511" s="292"/>
      <c r="D5511" s="292"/>
      <c r="E5511" s="549"/>
      <c r="F5511" s="549"/>
      <c r="G5511" s="550"/>
      <c r="H5511" s="551"/>
      <c r="I5511" s="552"/>
      <c r="J5511" s="553"/>
      <c r="K5511" s="554"/>
      <c r="M5511" s="301" t="str">
        <f>N5511&amp;AS[[#This Row],[Insurer Code]]&amp;"; "&amp;O5511&amp;AS[[#This Row],[Reporting Year]]&amp;"; "&amp;P5511&amp;AS[[#This Row],[Insurance Category Code]]&amp;"; "&amp;Q5511&amp;AS[[#This Row],[Large Provider Entity Code]]&amp;"; "&amp;R5511&amp;AS[[#This Row],[Age Band Code]]&amp;"; "&amp;S5511&amp;AS[[#This Row],[Sex Code]]</f>
        <v xml:space="preserve">Insurer Code ; Reporting Year ; Insurance Category Code ; Large Provider Entity Code ; Age Band Code ; Sex Code </v>
      </c>
      <c r="N5511" s="297" t="s">
        <v>197</v>
      </c>
      <c r="O5511" s="297" t="s">
        <v>198</v>
      </c>
      <c r="P5511" s="297" t="s">
        <v>199</v>
      </c>
      <c r="Q5511" s="297" t="s">
        <v>200</v>
      </c>
      <c r="R5511" s="297" t="s">
        <v>213</v>
      </c>
      <c r="S5511" s="297" t="s">
        <v>214</v>
      </c>
    </row>
    <row r="5512" spans="1:19" x14ac:dyDescent="0.4">
      <c r="A5512" s="548"/>
      <c r="B5512" s="292"/>
      <c r="C5512" s="292"/>
      <c r="D5512" s="292"/>
      <c r="E5512" s="549"/>
      <c r="F5512" s="549"/>
      <c r="G5512" s="550"/>
      <c r="H5512" s="551"/>
      <c r="I5512" s="552"/>
      <c r="J5512" s="553"/>
      <c r="K5512" s="554"/>
      <c r="M5512" s="301" t="str">
        <f>N5512&amp;AS[[#This Row],[Insurer Code]]&amp;"; "&amp;O5512&amp;AS[[#This Row],[Reporting Year]]&amp;"; "&amp;P5512&amp;AS[[#This Row],[Insurance Category Code]]&amp;"; "&amp;Q5512&amp;AS[[#This Row],[Large Provider Entity Code]]&amp;"; "&amp;R5512&amp;AS[[#This Row],[Age Band Code]]&amp;"; "&amp;S5512&amp;AS[[#This Row],[Sex Code]]</f>
        <v xml:space="preserve">Insurer Code ; Reporting Year ; Insurance Category Code ; Large Provider Entity Code ; Age Band Code ; Sex Code </v>
      </c>
      <c r="N5512" s="297" t="s">
        <v>197</v>
      </c>
      <c r="O5512" s="297" t="s">
        <v>198</v>
      </c>
      <c r="P5512" s="297" t="s">
        <v>199</v>
      </c>
      <c r="Q5512" s="297" t="s">
        <v>200</v>
      </c>
      <c r="R5512" s="297" t="s">
        <v>213</v>
      </c>
      <c r="S5512" s="297" t="s">
        <v>214</v>
      </c>
    </row>
    <row r="5513" spans="1:19" x14ac:dyDescent="0.4">
      <c r="A5513" s="548"/>
      <c r="B5513" s="292"/>
      <c r="C5513" s="292"/>
      <c r="D5513" s="292"/>
      <c r="E5513" s="549"/>
      <c r="F5513" s="549"/>
      <c r="G5513" s="550"/>
      <c r="H5513" s="551"/>
      <c r="I5513" s="552"/>
      <c r="J5513" s="553"/>
      <c r="K5513" s="554"/>
      <c r="M5513" s="301" t="str">
        <f>N5513&amp;AS[[#This Row],[Insurer Code]]&amp;"; "&amp;O5513&amp;AS[[#This Row],[Reporting Year]]&amp;"; "&amp;P5513&amp;AS[[#This Row],[Insurance Category Code]]&amp;"; "&amp;Q5513&amp;AS[[#This Row],[Large Provider Entity Code]]&amp;"; "&amp;R5513&amp;AS[[#This Row],[Age Band Code]]&amp;"; "&amp;S5513&amp;AS[[#This Row],[Sex Code]]</f>
        <v xml:space="preserve">Insurer Code ; Reporting Year ; Insurance Category Code ; Large Provider Entity Code ; Age Band Code ; Sex Code </v>
      </c>
      <c r="N5513" s="297" t="s">
        <v>197</v>
      </c>
      <c r="O5513" s="297" t="s">
        <v>198</v>
      </c>
      <c r="P5513" s="297" t="s">
        <v>199</v>
      </c>
      <c r="Q5513" s="297" t="s">
        <v>200</v>
      </c>
      <c r="R5513" s="297" t="s">
        <v>213</v>
      </c>
      <c r="S5513" s="297" t="s">
        <v>214</v>
      </c>
    </row>
    <row r="5514" spans="1:19" x14ac:dyDescent="0.4">
      <c r="A5514" s="548"/>
      <c r="B5514" s="292"/>
      <c r="C5514" s="292"/>
      <c r="D5514" s="292"/>
      <c r="E5514" s="549"/>
      <c r="F5514" s="549"/>
      <c r="G5514" s="550"/>
      <c r="H5514" s="551"/>
      <c r="I5514" s="552"/>
      <c r="J5514" s="553"/>
      <c r="K5514" s="554"/>
      <c r="M5514" s="301" t="str">
        <f>N5514&amp;AS[[#This Row],[Insurer Code]]&amp;"; "&amp;O5514&amp;AS[[#This Row],[Reporting Year]]&amp;"; "&amp;P5514&amp;AS[[#This Row],[Insurance Category Code]]&amp;"; "&amp;Q5514&amp;AS[[#This Row],[Large Provider Entity Code]]&amp;"; "&amp;R5514&amp;AS[[#This Row],[Age Band Code]]&amp;"; "&amp;S5514&amp;AS[[#This Row],[Sex Code]]</f>
        <v xml:space="preserve">Insurer Code ; Reporting Year ; Insurance Category Code ; Large Provider Entity Code ; Age Band Code ; Sex Code </v>
      </c>
      <c r="N5514" s="297" t="s">
        <v>197</v>
      </c>
      <c r="O5514" s="297" t="s">
        <v>198</v>
      </c>
      <c r="P5514" s="297" t="s">
        <v>199</v>
      </c>
      <c r="Q5514" s="297" t="s">
        <v>200</v>
      </c>
      <c r="R5514" s="297" t="s">
        <v>213</v>
      </c>
      <c r="S5514" s="297" t="s">
        <v>214</v>
      </c>
    </row>
    <row r="5515" spans="1:19" x14ac:dyDescent="0.4">
      <c r="A5515" s="548"/>
      <c r="B5515" s="292"/>
      <c r="C5515" s="292"/>
      <c r="D5515" s="292"/>
      <c r="E5515" s="549"/>
      <c r="F5515" s="549"/>
      <c r="G5515" s="550"/>
      <c r="H5515" s="551"/>
      <c r="I5515" s="552"/>
      <c r="J5515" s="553"/>
      <c r="K5515" s="554"/>
      <c r="M5515" s="301" t="str">
        <f>N5515&amp;AS[[#This Row],[Insurer Code]]&amp;"; "&amp;O5515&amp;AS[[#This Row],[Reporting Year]]&amp;"; "&amp;P5515&amp;AS[[#This Row],[Insurance Category Code]]&amp;"; "&amp;Q5515&amp;AS[[#This Row],[Large Provider Entity Code]]&amp;"; "&amp;R5515&amp;AS[[#This Row],[Age Band Code]]&amp;"; "&amp;S5515&amp;AS[[#This Row],[Sex Code]]</f>
        <v xml:space="preserve">Insurer Code ; Reporting Year ; Insurance Category Code ; Large Provider Entity Code ; Age Band Code ; Sex Code </v>
      </c>
      <c r="N5515" s="297" t="s">
        <v>197</v>
      </c>
      <c r="O5515" s="297" t="s">
        <v>198</v>
      </c>
      <c r="P5515" s="297" t="s">
        <v>199</v>
      </c>
      <c r="Q5515" s="297" t="s">
        <v>200</v>
      </c>
      <c r="R5515" s="297" t="s">
        <v>213</v>
      </c>
      <c r="S5515" s="297" t="s">
        <v>214</v>
      </c>
    </row>
    <row r="5516" spans="1:19" x14ac:dyDescent="0.4">
      <c r="A5516" s="548"/>
      <c r="B5516" s="292"/>
      <c r="C5516" s="292"/>
      <c r="D5516" s="292"/>
      <c r="E5516" s="549"/>
      <c r="F5516" s="549"/>
      <c r="G5516" s="550"/>
      <c r="H5516" s="551"/>
      <c r="I5516" s="552"/>
      <c r="J5516" s="553"/>
      <c r="K5516" s="554"/>
      <c r="M5516" s="301" t="str">
        <f>N5516&amp;AS[[#This Row],[Insurer Code]]&amp;"; "&amp;O5516&amp;AS[[#This Row],[Reporting Year]]&amp;"; "&amp;P5516&amp;AS[[#This Row],[Insurance Category Code]]&amp;"; "&amp;Q5516&amp;AS[[#This Row],[Large Provider Entity Code]]&amp;"; "&amp;R5516&amp;AS[[#This Row],[Age Band Code]]&amp;"; "&amp;S5516&amp;AS[[#This Row],[Sex Code]]</f>
        <v xml:space="preserve">Insurer Code ; Reporting Year ; Insurance Category Code ; Large Provider Entity Code ; Age Band Code ; Sex Code </v>
      </c>
      <c r="N5516" s="297" t="s">
        <v>197</v>
      </c>
      <c r="O5516" s="297" t="s">
        <v>198</v>
      </c>
      <c r="P5516" s="297" t="s">
        <v>199</v>
      </c>
      <c r="Q5516" s="297" t="s">
        <v>200</v>
      </c>
      <c r="R5516" s="297" t="s">
        <v>213</v>
      </c>
      <c r="S5516" s="297" t="s">
        <v>214</v>
      </c>
    </row>
    <row r="5517" spans="1:19" x14ac:dyDescent="0.4">
      <c r="A5517" s="548"/>
      <c r="B5517" s="292"/>
      <c r="C5517" s="292"/>
      <c r="D5517" s="292"/>
      <c r="E5517" s="549"/>
      <c r="F5517" s="549"/>
      <c r="G5517" s="550"/>
      <c r="H5517" s="551"/>
      <c r="I5517" s="552"/>
      <c r="J5517" s="553"/>
      <c r="K5517" s="554"/>
      <c r="M5517" s="301" t="str">
        <f>N5517&amp;AS[[#This Row],[Insurer Code]]&amp;"; "&amp;O5517&amp;AS[[#This Row],[Reporting Year]]&amp;"; "&amp;P5517&amp;AS[[#This Row],[Insurance Category Code]]&amp;"; "&amp;Q5517&amp;AS[[#This Row],[Large Provider Entity Code]]&amp;"; "&amp;R5517&amp;AS[[#This Row],[Age Band Code]]&amp;"; "&amp;S5517&amp;AS[[#This Row],[Sex Code]]</f>
        <v xml:space="preserve">Insurer Code ; Reporting Year ; Insurance Category Code ; Large Provider Entity Code ; Age Band Code ; Sex Code </v>
      </c>
      <c r="N5517" s="297" t="s">
        <v>197</v>
      </c>
      <c r="O5517" s="297" t="s">
        <v>198</v>
      </c>
      <c r="P5517" s="297" t="s">
        <v>199</v>
      </c>
      <c r="Q5517" s="297" t="s">
        <v>200</v>
      </c>
      <c r="R5517" s="297" t="s">
        <v>213</v>
      </c>
      <c r="S5517" s="297" t="s">
        <v>214</v>
      </c>
    </row>
    <row r="5518" spans="1:19" x14ac:dyDescent="0.4">
      <c r="A5518" s="548"/>
      <c r="B5518" s="292"/>
      <c r="C5518" s="292"/>
      <c r="D5518" s="292"/>
      <c r="E5518" s="549"/>
      <c r="F5518" s="549"/>
      <c r="G5518" s="550"/>
      <c r="H5518" s="551"/>
      <c r="I5518" s="552"/>
      <c r="J5518" s="553"/>
      <c r="K5518" s="554"/>
      <c r="M5518" s="301" t="str">
        <f>N5518&amp;AS[[#This Row],[Insurer Code]]&amp;"; "&amp;O5518&amp;AS[[#This Row],[Reporting Year]]&amp;"; "&amp;P5518&amp;AS[[#This Row],[Insurance Category Code]]&amp;"; "&amp;Q5518&amp;AS[[#This Row],[Large Provider Entity Code]]&amp;"; "&amp;R5518&amp;AS[[#This Row],[Age Band Code]]&amp;"; "&amp;S5518&amp;AS[[#This Row],[Sex Code]]</f>
        <v xml:space="preserve">Insurer Code ; Reporting Year ; Insurance Category Code ; Large Provider Entity Code ; Age Band Code ; Sex Code </v>
      </c>
      <c r="N5518" s="297" t="s">
        <v>197</v>
      </c>
      <c r="O5518" s="297" t="s">
        <v>198</v>
      </c>
      <c r="P5518" s="297" t="s">
        <v>199</v>
      </c>
      <c r="Q5518" s="297" t="s">
        <v>200</v>
      </c>
      <c r="R5518" s="297" t="s">
        <v>213</v>
      </c>
      <c r="S5518" s="297" t="s">
        <v>214</v>
      </c>
    </row>
    <row r="5519" spans="1:19" x14ac:dyDescent="0.4">
      <c r="A5519" s="548"/>
      <c r="B5519" s="292"/>
      <c r="C5519" s="292"/>
      <c r="D5519" s="292"/>
      <c r="E5519" s="549"/>
      <c r="F5519" s="549"/>
      <c r="G5519" s="550"/>
      <c r="H5519" s="551"/>
      <c r="I5519" s="552"/>
      <c r="J5519" s="553"/>
      <c r="K5519" s="554"/>
      <c r="M5519" s="301" t="str">
        <f>N5519&amp;AS[[#This Row],[Insurer Code]]&amp;"; "&amp;O5519&amp;AS[[#This Row],[Reporting Year]]&amp;"; "&amp;P5519&amp;AS[[#This Row],[Insurance Category Code]]&amp;"; "&amp;Q5519&amp;AS[[#This Row],[Large Provider Entity Code]]&amp;"; "&amp;R5519&amp;AS[[#This Row],[Age Band Code]]&amp;"; "&amp;S5519&amp;AS[[#This Row],[Sex Code]]</f>
        <v xml:space="preserve">Insurer Code ; Reporting Year ; Insurance Category Code ; Large Provider Entity Code ; Age Band Code ; Sex Code </v>
      </c>
      <c r="N5519" s="297" t="s">
        <v>197</v>
      </c>
      <c r="O5519" s="297" t="s">
        <v>198</v>
      </c>
      <c r="P5519" s="297" t="s">
        <v>199</v>
      </c>
      <c r="Q5519" s="297" t="s">
        <v>200</v>
      </c>
      <c r="R5519" s="297" t="s">
        <v>213</v>
      </c>
      <c r="S5519" s="297" t="s">
        <v>214</v>
      </c>
    </row>
    <row r="5520" spans="1:19" x14ac:dyDescent="0.4">
      <c r="A5520" s="548"/>
      <c r="B5520" s="292"/>
      <c r="C5520" s="292"/>
      <c r="D5520" s="292"/>
      <c r="E5520" s="549"/>
      <c r="F5520" s="549"/>
      <c r="G5520" s="550"/>
      <c r="H5520" s="551"/>
      <c r="I5520" s="552"/>
      <c r="J5520" s="553"/>
      <c r="K5520" s="554"/>
      <c r="M5520" s="301" t="str">
        <f>N5520&amp;AS[[#This Row],[Insurer Code]]&amp;"; "&amp;O5520&amp;AS[[#This Row],[Reporting Year]]&amp;"; "&amp;P5520&amp;AS[[#This Row],[Insurance Category Code]]&amp;"; "&amp;Q5520&amp;AS[[#This Row],[Large Provider Entity Code]]&amp;"; "&amp;R5520&amp;AS[[#This Row],[Age Band Code]]&amp;"; "&amp;S5520&amp;AS[[#This Row],[Sex Code]]</f>
        <v xml:space="preserve">Insurer Code ; Reporting Year ; Insurance Category Code ; Large Provider Entity Code ; Age Band Code ; Sex Code </v>
      </c>
      <c r="N5520" s="297" t="s">
        <v>197</v>
      </c>
      <c r="O5520" s="297" t="s">
        <v>198</v>
      </c>
      <c r="P5520" s="297" t="s">
        <v>199</v>
      </c>
      <c r="Q5520" s="297" t="s">
        <v>200</v>
      </c>
      <c r="R5520" s="297" t="s">
        <v>213</v>
      </c>
      <c r="S5520" s="297" t="s">
        <v>214</v>
      </c>
    </row>
    <row r="5521" spans="1:19" x14ac:dyDescent="0.4">
      <c r="A5521" s="548"/>
      <c r="B5521" s="292"/>
      <c r="C5521" s="292"/>
      <c r="D5521" s="292"/>
      <c r="E5521" s="549"/>
      <c r="F5521" s="549"/>
      <c r="G5521" s="550"/>
      <c r="H5521" s="551"/>
      <c r="I5521" s="552"/>
      <c r="J5521" s="553"/>
      <c r="K5521" s="554"/>
      <c r="M5521" s="301" t="str">
        <f>N5521&amp;AS[[#This Row],[Insurer Code]]&amp;"; "&amp;O5521&amp;AS[[#This Row],[Reporting Year]]&amp;"; "&amp;P5521&amp;AS[[#This Row],[Insurance Category Code]]&amp;"; "&amp;Q5521&amp;AS[[#This Row],[Large Provider Entity Code]]&amp;"; "&amp;R5521&amp;AS[[#This Row],[Age Band Code]]&amp;"; "&amp;S5521&amp;AS[[#This Row],[Sex Code]]</f>
        <v xml:space="preserve">Insurer Code ; Reporting Year ; Insurance Category Code ; Large Provider Entity Code ; Age Band Code ; Sex Code </v>
      </c>
      <c r="N5521" s="297" t="s">
        <v>197</v>
      </c>
      <c r="O5521" s="297" t="s">
        <v>198</v>
      </c>
      <c r="P5521" s="297" t="s">
        <v>199</v>
      </c>
      <c r="Q5521" s="297" t="s">
        <v>200</v>
      </c>
      <c r="R5521" s="297" t="s">
        <v>213</v>
      </c>
      <c r="S5521" s="297" t="s">
        <v>214</v>
      </c>
    </row>
    <row r="5522" spans="1:19" x14ac:dyDescent="0.4">
      <c r="A5522" s="548"/>
      <c r="B5522" s="292"/>
      <c r="C5522" s="292"/>
      <c r="D5522" s="292"/>
      <c r="E5522" s="549"/>
      <c r="F5522" s="549"/>
      <c r="G5522" s="550"/>
      <c r="H5522" s="551"/>
      <c r="I5522" s="552"/>
      <c r="J5522" s="553"/>
      <c r="K5522" s="554"/>
      <c r="M5522" s="301" t="str">
        <f>N5522&amp;AS[[#This Row],[Insurer Code]]&amp;"; "&amp;O5522&amp;AS[[#This Row],[Reporting Year]]&amp;"; "&amp;P5522&amp;AS[[#This Row],[Insurance Category Code]]&amp;"; "&amp;Q5522&amp;AS[[#This Row],[Large Provider Entity Code]]&amp;"; "&amp;R5522&amp;AS[[#This Row],[Age Band Code]]&amp;"; "&amp;S5522&amp;AS[[#This Row],[Sex Code]]</f>
        <v xml:space="preserve">Insurer Code ; Reporting Year ; Insurance Category Code ; Large Provider Entity Code ; Age Band Code ; Sex Code </v>
      </c>
      <c r="N5522" s="297" t="s">
        <v>197</v>
      </c>
      <c r="O5522" s="297" t="s">
        <v>198</v>
      </c>
      <c r="P5522" s="297" t="s">
        <v>199</v>
      </c>
      <c r="Q5522" s="297" t="s">
        <v>200</v>
      </c>
      <c r="R5522" s="297" t="s">
        <v>213</v>
      </c>
      <c r="S5522" s="297" t="s">
        <v>214</v>
      </c>
    </row>
    <row r="5523" spans="1:19" x14ac:dyDescent="0.4">
      <c r="A5523" s="548"/>
      <c r="B5523" s="292"/>
      <c r="C5523" s="292"/>
      <c r="D5523" s="292"/>
      <c r="E5523" s="549"/>
      <c r="F5523" s="549"/>
      <c r="G5523" s="550"/>
      <c r="H5523" s="551"/>
      <c r="I5523" s="552"/>
      <c r="J5523" s="553"/>
      <c r="K5523" s="554"/>
      <c r="M5523" s="301" t="str">
        <f>N5523&amp;AS[[#This Row],[Insurer Code]]&amp;"; "&amp;O5523&amp;AS[[#This Row],[Reporting Year]]&amp;"; "&amp;P5523&amp;AS[[#This Row],[Insurance Category Code]]&amp;"; "&amp;Q5523&amp;AS[[#This Row],[Large Provider Entity Code]]&amp;"; "&amp;R5523&amp;AS[[#This Row],[Age Band Code]]&amp;"; "&amp;S5523&amp;AS[[#This Row],[Sex Code]]</f>
        <v xml:space="preserve">Insurer Code ; Reporting Year ; Insurance Category Code ; Large Provider Entity Code ; Age Band Code ; Sex Code </v>
      </c>
      <c r="N5523" s="297" t="s">
        <v>197</v>
      </c>
      <c r="O5523" s="297" t="s">
        <v>198</v>
      </c>
      <c r="P5523" s="297" t="s">
        <v>199</v>
      </c>
      <c r="Q5523" s="297" t="s">
        <v>200</v>
      </c>
      <c r="R5523" s="297" t="s">
        <v>213</v>
      </c>
      <c r="S5523" s="297" t="s">
        <v>214</v>
      </c>
    </row>
    <row r="5524" spans="1:19" x14ac:dyDescent="0.4">
      <c r="A5524" s="548"/>
      <c r="B5524" s="292"/>
      <c r="C5524" s="292"/>
      <c r="D5524" s="292"/>
      <c r="E5524" s="549"/>
      <c r="F5524" s="549"/>
      <c r="G5524" s="550"/>
      <c r="H5524" s="551"/>
      <c r="I5524" s="552"/>
      <c r="J5524" s="553"/>
      <c r="K5524" s="554"/>
      <c r="M5524" s="301" t="str">
        <f>N5524&amp;AS[[#This Row],[Insurer Code]]&amp;"; "&amp;O5524&amp;AS[[#This Row],[Reporting Year]]&amp;"; "&amp;P5524&amp;AS[[#This Row],[Insurance Category Code]]&amp;"; "&amp;Q5524&amp;AS[[#This Row],[Large Provider Entity Code]]&amp;"; "&amp;R5524&amp;AS[[#This Row],[Age Band Code]]&amp;"; "&amp;S5524&amp;AS[[#This Row],[Sex Code]]</f>
        <v xml:space="preserve">Insurer Code ; Reporting Year ; Insurance Category Code ; Large Provider Entity Code ; Age Band Code ; Sex Code </v>
      </c>
      <c r="N5524" s="297" t="s">
        <v>197</v>
      </c>
      <c r="O5524" s="297" t="s">
        <v>198</v>
      </c>
      <c r="P5524" s="297" t="s">
        <v>199</v>
      </c>
      <c r="Q5524" s="297" t="s">
        <v>200</v>
      </c>
      <c r="R5524" s="297" t="s">
        <v>213</v>
      </c>
      <c r="S5524" s="297" t="s">
        <v>214</v>
      </c>
    </row>
    <row r="5525" spans="1:19" x14ac:dyDescent="0.4">
      <c r="A5525" s="548"/>
      <c r="B5525" s="292"/>
      <c r="C5525" s="292"/>
      <c r="D5525" s="292"/>
      <c r="E5525" s="549"/>
      <c r="F5525" s="549"/>
      <c r="G5525" s="550"/>
      <c r="H5525" s="551"/>
      <c r="I5525" s="552"/>
      <c r="J5525" s="553"/>
      <c r="K5525" s="554"/>
      <c r="M5525" s="301" t="str">
        <f>N5525&amp;AS[[#This Row],[Insurer Code]]&amp;"; "&amp;O5525&amp;AS[[#This Row],[Reporting Year]]&amp;"; "&amp;P5525&amp;AS[[#This Row],[Insurance Category Code]]&amp;"; "&amp;Q5525&amp;AS[[#This Row],[Large Provider Entity Code]]&amp;"; "&amp;R5525&amp;AS[[#This Row],[Age Band Code]]&amp;"; "&amp;S5525&amp;AS[[#This Row],[Sex Code]]</f>
        <v xml:space="preserve">Insurer Code ; Reporting Year ; Insurance Category Code ; Large Provider Entity Code ; Age Band Code ; Sex Code </v>
      </c>
      <c r="N5525" s="297" t="s">
        <v>197</v>
      </c>
      <c r="O5525" s="297" t="s">
        <v>198</v>
      </c>
      <c r="P5525" s="297" t="s">
        <v>199</v>
      </c>
      <c r="Q5525" s="297" t="s">
        <v>200</v>
      </c>
      <c r="R5525" s="297" t="s">
        <v>213</v>
      </c>
      <c r="S5525" s="297" t="s">
        <v>214</v>
      </c>
    </row>
    <row r="5526" spans="1:19" x14ac:dyDescent="0.4">
      <c r="A5526" s="548"/>
      <c r="B5526" s="292"/>
      <c r="C5526" s="292"/>
      <c r="D5526" s="292"/>
      <c r="E5526" s="549"/>
      <c r="F5526" s="549"/>
      <c r="G5526" s="550"/>
      <c r="H5526" s="551"/>
      <c r="I5526" s="552"/>
      <c r="J5526" s="553"/>
      <c r="K5526" s="554"/>
      <c r="M5526" s="301" t="str">
        <f>N5526&amp;AS[[#This Row],[Insurer Code]]&amp;"; "&amp;O5526&amp;AS[[#This Row],[Reporting Year]]&amp;"; "&amp;P5526&amp;AS[[#This Row],[Insurance Category Code]]&amp;"; "&amp;Q5526&amp;AS[[#This Row],[Large Provider Entity Code]]&amp;"; "&amp;R5526&amp;AS[[#This Row],[Age Band Code]]&amp;"; "&amp;S5526&amp;AS[[#This Row],[Sex Code]]</f>
        <v xml:space="preserve">Insurer Code ; Reporting Year ; Insurance Category Code ; Large Provider Entity Code ; Age Band Code ; Sex Code </v>
      </c>
      <c r="N5526" s="297" t="s">
        <v>197</v>
      </c>
      <c r="O5526" s="297" t="s">
        <v>198</v>
      </c>
      <c r="P5526" s="297" t="s">
        <v>199</v>
      </c>
      <c r="Q5526" s="297" t="s">
        <v>200</v>
      </c>
      <c r="R5526" s="297" t="s">
        <v>213</v>
      </c>
      <c r="S5526" s="297" t="s">
        <v>214</v>
      </c>
    </row>
    <row r="5527" spans="1:19" x14ac:dyDescent="0.4">
      <c r="A5527" s="548"/>
      <c r="B5527" s="292"/>
      <c r="C5527" s="292"/>
      <c r="D5527" s="292"/>
      <c r="E5527" s="549"/>
      <c r="F5527" s="549"/>
      <c r="G5527" s="550"/>
      <c r="H5527" s="551"/>
      <c r="I5527" s="552"/>
      <c r="J5527" s="553"/>
      <c r="K5527" s="554"/>
      <c r="M5527" s="301" t="str">
        <f>N5527&amp;AS[[#This Row],[Insurer Code]]&amp;"; "&amp;O5527&amp;AS[[#This Row],[Reporting Year]]&amp;"; "&amp;P5527&amp;AS[[#This Row],[Insurance Category Code]]&amp;"; "&amp;Q5527&amp;AS[[#This Row],[Large Provider Entity Code]]&amp;"; "&amp;R5527&amp;AS[[#This Row],[Age Band Code]]&amp;"; "&amp;S5527&amp;AS[[#This Row],[Sex Code]]</f>
        <v xml:space="preserve">Insurer Code ; Reporting Year ; Insurance Category Code ; Large Provider Entity Code ; Age Band Code ; Sex Code </v>
      </c>
      <c r="N5527" s="297" t="s">
        <v>197</v>
      </c>
      <c r="O5527" s="297" t="s">
        <v>198</v>
      </c>
      <c r="P5527" s="297" t="s">
        <v>199</v>
      </c>
      <c r="Q5527" s="297" t="s">
        <v>200</v>
      </c>
      <c r="R5527" s="297" t="s">
        <v>213</v>
      </c>
      <c r="S5527" s="297" t="s">
        <v>214</v>
      </c>
    </row>
    <row r="5528" spans="1:19" x14ac:dyDescent="0.4">
      <c r="A5528" s="548"/>
      <c r="B5528" s="292"/>
      <c r="C5528" s="292"/>
      <c r="D5528" s="292"/>
      <c r="E5528" s="549"/>
      <c r="F5528" s="549"/>
      <c r="G5528" s="550"/>
      <c r="H5528" s="551"/>
      <c r="I5528" s="552"/>
      <c r="J5528" s="553"/>
      <c r="K5528" s="554"/>
      <c r="M5528" s="301" t="str">
        <f>N5528&amp;AS[[#This Row],[Insurer Code]]&amp;"; "&amp;O5528&amp;AS[[#This Row],[Reporting Year]]&amp;"; "&amp;P5528&amp;AS[[#This Row],[Insurance Category Code]]&amp;"; "&amp;Q5528&amp;AS[[#This Row],[Large Provider Entity Code]]&amp;"; "&amp;R5528&amp;AS[[#This Row],[Age Band Code]]&amp;"; "&amp;S5528&amp;AS[[#This Row],[Sex Code]]</f>
        <v xml:space="preserve">Insurer Code ; Reporting Year ; Insurance Category Code ; Large Provider Entity Code ; Age Band Code ; Sex Code </v>
      </c>
      <c r="N5528" s="297" t="s">
        <v>197</v>
      </c>
      <c r="O5528" s="297" t="s">
        <v>198</v>
      </c>
      <c r="P5528" s="297" t="s">
        <v>199</v>
      </c>
      <c r="Q5528" s="297" t="s">
        <v>200</v>
      </c>
      <c r="R5528" s="297" t="s">
        <v>213</v>
      </c>
      <c r="S5528" s="297" t="s">
        <v>214</v>
      </c>
    </row>
    <row r="5529" spans="1:19" x14ac:dyDescent="0.4">
      <c r="A5529" s="548"/>
      <c r="B5529" s="292"/>
      <c r="C5529" s="292"/>
      <c r="D5529" s="292"/>
      <c r="E5529" s="549"/>
      <c r="F5529" s="549"/>
      <c r="G5529" s="550"/>
      <c r="H5529" s="551"/>
      <c r="I5529" s="552"/>
      <c r="J5529" s="553"/>
      <c r="K5529" s="554"/>
      <c r="M5529" s="301" t="str">
        <f>N5529&amp;AS[[#This Row],[Insurer Code]]&amp;"; "&amp;O5529&amp;AS[[#This Row],[Reporting Year]]&amp;"; "&amp;P5529&amp;AS[[#This Row],[Insurance Category Code]]&amp;"; "&amp;Q5529&amp;AS[[#This Row],[Large Provider Entity Code]]&amp;"; "&amp;R5529&amp;AS[[#This Row],[Age Band Code]]&amp;"; "&amp;S5529&amp;AS[[#This Row],[Sex Code]]</f>
        <v xml:space="preserve">Insurer Code ; Reporting Year ; Insurance Category Code ; Large Provider Entity Code ; Age Band Code ; Sex Code </v>
      </c>
      <c r="N5529" s="297" t="s">
        <v>197</v>
      </c>
      <c r="O5529" s="297" t="s">
        <v>198</v>
      </c>
      <c r="P5529" s="297" t="s">
        <v>199</v>
      </c>
      <c r="Q5529" s="297" t="s">
        <v>200</v>
      </c>
      <c r="R5529" s="297" t="s">
        <v>213</v>
      </c>
      <c r="S5529" s="297" t="s">
        <v>214</v>
      </c>
    </row>
    <row r="5530" spans="1:19" x14ac:dyDescent="0.4">
      <c r="A5530" s="548"/>
      <c r="B5530" s="292"/>
      <c r="C5530" s="292"/>
      <c r="D5530" s="292"/>
      <c r="E5530" s="549"/>
      <c r="F5530" s="549"/>
      <c r="G5530" s="550"/>
      <c r="H5530" s="551"/>
      <c r="I5530" s="552"/>
      <c r="J5530" s="553"/>
      <c r="K5530" s="554"/>
      <c r="M5530" s="301" t="str">
        <f>N5530&amp;AS[[#This Row],[Insurer Code]]&amp;"; "&amp;O5530&amp;AS[[#This Row],[Reporting Year]]&amp;"; "&amp;P5530&amp;AS[[#This Row],[Insurance Category Code]]&amp;"; "&amp;Q5530&amp;AS[[#This Row],[Large Provider Entity Code]]&amp;"; "&amp;R5530&amp;AS[[#This Row],[Age Band Code]]&amp;"; "&amp;S5530&amp;AS[[#This Row],[Sex Code]]</f>
        <v xml:space="preserve">Insurer Code ; Reporting Year ; Insurance Category Code ; Large Provider Entity Code ; Age Band Code ; Sex Code </v>
      </c>
      <c r="N5530" s="297" t="s">
        <v>197</v>
      </c>
      <c r="O5530" s="297" t="s">
        <v>198</v>
      </c>
      <c r="P5530" s="297" t="s">
        <v>199</v>
      </c>
      <c r="Q5530" s="297" t="s">
        <v>200</v>
      </c>
      <c r="R5530" s="297" t="s">
        <v>213</v>
      </c>
      <c r="S5530" s="297" t="s">
        <v>214</v>
      </c>
    </row>
    <row r="5531" spans="1:19" x14ac:dyDescent="0.4">
      <c r="A5531" s="548"/>
      <c r="B5531" s="292"/>
      <c r="C5531" s="292"/>
      <c r="D5531" s="292"/>
      <c r="E5531" s="549"/>
      <c r="F5531" s="549"/>
      <c r="G5531" s="550"/>
      <c r="H5531" s="551"/>
      <c r="I5531" s="552"/>
      <c r="J5531" s="553"/>
      <c r="K5531" s="554"/>
      <c r="M5531" s="301" t="str">
        <f>N5531&amp;AS[[#This Row],[Insurer Code]]&amp;"; "&amp;O5531&amp;AS[[#This Row],[Reporting Year]]&amp;"; "&amp;P5531&amp;AS[[#This Row],[Insurance Category Code]]&amp;"; "&amp;Q5531&amp;AS[[#This Row],[Large Provider Entity Code]]&amp;"; "&amp;R5531&amp;AS[[#This Row],[Age Band Code]]&amp;"; "&amp;S5531&amp;AS[[#This Row],[Sex Code]]</f>
        <v xml:space="preserve">Insurer Code ; Reporting Year ; Insurance Category Code ; Large Provider Entity Code ; Age Band Code ; Sex Code </v>
      </c>
      <c r="N5531" s="297" t="s">
        <v>197</v>
      </c>
      <c r="O5531" s="297" t="s">
        <v>198</v>
      </c>
      <c r="P5531" s="297" t="s">
        <v>199</v>
      </c>
      <c r="Q5531" s="297" t="s">
        <v>200</v>
      </c>
      <c r="R5531" s="297" t="s">
        <v>213</v>
      </c>
      <c r="S5531" s="297" t="s">
        <v>214</v>
      </c>
    </row>
    <row r="5532" spans="1:19" x14ac:dyDescent="0.4">
      <c r="A5532" s="548"/>
      <c r="B5532" s="292"/>
      <c r="C5532" s="292"/>
      <c r="D5532" s="292"/>
      <c r="E5532" s="549"/>
      <c r="F5532" s="549"/>
      <c r="G5532" s="550"/>
      <c r="H5532" s="551"/>
      <c r="I5532" s="552"/>
      <c r="J5532" s="553"/>
      <c r="K5532" s="554"/>
      <c r="M5532" s="301" t="str">
        <f>N5532&amp;AS[[#This Row],[Insurer Code]]&amp;"; "&amp;O5532&amp;AS[[#This Row],[Reporting Year]]&amp;"; "&amp;P5532&amp;AS[[#This Row],[Insurance Category Code]]&amp;"; "&amp;Q5532&amp;AS[[#This Row],[Large Provider Entity Code]]&amp;"; "&amp;R5532&amp;AS[[#This Row],[Age Band Code]]&amp;"; "&amp;S5532&amp;AS[[#This Row],[Sex Code]]</f>
        <v xml:space="preserve">Insurer Code ; Reporting Year ; Insurance Category Code ; Large Provider Entity Code ; Age Band Code ; Sex Code </v>
      </c>
      <c r="N5532" s="297" t="s">
        <v>197</v>
      </c>
      <c r="O5532" s="297" t="s">
        <v>198</v>
      </c>
      <c r="P5532" s="297" t="s">
        <v>199</v>
      </c>
      <c r="Q5532" s="297" t="s">
        <v>200</v>
      </c>
      <c r="R5532" s="297" t="s">
        <v>213</v>
      </c>
      <c r="S5532" s="297" t="s">
        <v>214</v>
      </c>
    </row>
    <row r="5533" spans="1:19" x14ac:dyDescent="0.4">
      <c r="A5533" s="548"/>
      <c r="B5533" s="292"/>
      <c r="C5533" s="292"/>
      <c r="D5533" s="292"/>
      <c r="E5533" s="549"/>
      <c r="F5533" s="549"/>
      <c r="G5533" s="550"/>
      <c r="H5533" s="551"/>
      <c r="I5533" s="552"/>
      <c r="J5533" s="553"/>
      <c r="K5533" s="554"/>
      <c r="M5533" s="301" t="str">
        <f>N5533&amp;AS[[#This Row],[Insurer Code]]&amp;"; "&amp;O5533&amp;AS[[#This Row],[Reporting Year]]&amp;"; "&amp;P5533&amp;AS[[#This Row],[Insurance Category Code]]&amp;"; "&amp;Q5533&amp;AS[[#This Row],[Large Provider Entity Code]]&amp;"; "&amp;R5533&amp;AS[[#This Row],[Age Band Code]]&amp;"; "&amp;S5533&amp;AS[[#This Row],[Sex Code]]</f>
        <v xml:space="preserve">Insurer Code ; Reporting Year ; Insurance Category Code ; Large Provider Entity Code ; Age Band Code ; Sex Code </v>
      </c>
      <c r="N5533" s="297" t="s">
        <v>197</v>
      </c>
      <c r="O5533" s="297" t="s">
        <v>198</v>
      </c>
      <c r="P5533" s="297" t="s">
        <v>199</v>
      </c>
      <c r="Q5533" s="297" t="s">
        <v>200</v>
      </c>
      <c r="R5533" s="297" t="s">
        <v>213</v>
      </c>
      <c r="S5533" s="297" t="s">
        <v>214</v>
      </c>
    </row>
    <row r="5534" spans="1:19" x14ac:dyDescent="0.4">
      <c r="A5534" s="548"/>
      <c r="B5534" s="292"/>
      <c r="C5534" s="292"/>
      <c r="D5534" s="292"/>
      <c r="E5534" s="549"/>
      <c r="F5534" s="549"/>
      <c r="G5534" s="550"/>
      <c r="H5534" s="551"/>
      <c r="I5534" s="552"/>
      <c r="J5534" s="553"/>
      <c r="K5534" s="554"/>
      <c r="M5534" s="301" t="str">
        <f>N5534&amp;AS[[#This Row],[Insurer Code]]&amp;"; "&amp;O5534&amp;AS[[#This Row],[Reporting Year]]&amp;"; "&amp;P5534&amp;AS[[#This Row],[Insurance Category Code]]&amp;"; "&amp;Q5534&amp;AS[[#This Row],[Large Provider Entity Code]]&amp;"; "&amp;R5534&amp;AS[[#This Row],[Age Band Code]]&amp;"; "&amp;S5534&amp;AS[[#This Row],[Sex Code]]</f>
        <v xml:space="preserve">Insurer Code ; Reporting Year ; Insurance Category Code ; Large Provider Entity Code ; Age Band Code ; Sex Code </v>
      </c>
      <c r="N5534" s="297" t="s">
        <v>197</v>
      </c>
      <c r="O5534" s="297" t="s">
        <v>198</v>
      </c>
      <c r="P5534" s="297" t="s">
        <v>199</v>
      </c>
      <c r="Q5534" s="297" t="s">
        <v>200</v>
      </c>
      <c r="R5534" s="297" t="s">
        <v>213</v>
      </c>
      <c r="S5534" s="297" t="s">
        <v>214</v>
      </c>
    </row>
    <row r="5535" spans="1:19" x14ac:dyDescent="0.4">
      <c r="A5535" s="548"/>
      <c r="B5535" s="292"/>
      <c r="C5535" s="292"/>
      <c r="D5535" s="292"/>
      <c r="E5535" s="549"/>
      <c r="F5535" s="549"/>
      <c r="G5535" s="550"/>
      <c r="H5535" s="551"/>
      <c r="I5535" s="552"/>
      <c r="J5535" s="553"/>
      <c r="K5535" s="554"/>
      <c r="M5535" s="301" t="str">
        <f>N5535&amp;AS[[#This Row],[Insurer Code]]&amp;"; "&amp;O5535&amp;AS[[#This Row],[Reporting Year]]&amp;"; "&amp;P5535&amp;AS[[#This Row],[Insurance Category Code]]&amp;"; "&amp;Q5535&amp;AS[[#This Row],[Large Provider Entity Code]]&amp;"; "&amp;R5535&amp;AS[[#This Row],[Age Band Code]]&amp;"; "&amp;S5535&amp;AS[[#This Row],[Sex Code]]</f>
        <v xml:space="preserve">Insurer Code ; Reporting Year ; Insurance Category Code ; Large Provider Entity Code ; Age Band Code ; Sex Code </v>
      </c>
      <c r="N5535" s="297" t="s">
        <v>197</v>
      </c>
      <c r="O5535" s="297" t="s">
        <v>198</v>
      </c>
      <c r="P5535" s="297" t="s">
        <v>199</v>
      </c>
      <c r="Q5535" s="297" t="s">
        <v>200</v>
      </c>
      <c r="R5535" s="297" t="s">
        <v>213</v>
      </c>
      <c r="S5535" s="297" t="s">
        <v>214</v>
      </c>
    </row>
    <row r="5536" spans="1:19" x14ac:dyDescent="0.4">
      <c r="A5536" s="548"/>
      <c r="B5536" s="292"/>
      <c r="C5536" s="292"/>
      <c r="D5536" s="292"/>
      <c r="E5536" s="549"/>
      <c r="F5536" s="549"/>
      <c r="G5536" s="550"/>
      <c r="H5536" s="551"/>
      <c r="I5536" s="552"/>
      <c r="J5536" s="553"/>
      <c r="K5536" s="554"/>
      <c r="M5536" s="301" t="str">
        <f>N5536&amp;AS[[#This Row],[Insurer Code]]&amp;"; "&amp;O5536&amp;AS[[#This Row],[Reporting Year]]&amp;"; "&amp;P5536&amp;AS[[#This Row],[Insurance Category Code]]&amp;"; "&amp;Q5536&amp;AS[[#This Row],[Large Provider Entity Code]]&amp;"; "&amp;R5536&amp;AS[[#This Row],[Age Band Code]]&amp;"; "&amp;S5536&amp;AS[[#This Row],[Sex Code]]</f>
        <v xml:space="preserve">Insurer Code ; Reporting Year ; Insurance Category Code ; Large Provider Entity Code ; Age Band Code ; Sex Code </v>
      </c>
      <c r="N5536" s="297" t="s">
        <v>197</v>
      </c>
      <c r="O5536" s="297" t="s">
        <v>198</v>
      </c>
      <c r="P5536" s="297" t="s">
        <v>199</v>
      </c>
      <c r="Q5536" s="297" t="s">
        <v>200</v>
      </c>
      <c r="R5536" s="297" t="s">
        <v>213</v>
      </c>
      <c r="S5536" s="297" t="s">
        <v>214</v>
      </c>
    </row>
    <row r="5537" spans="1:19" x14ac:dyDescent="0.4">
      <c r="A5537" s="548"/>
      <c r="B5537" s="292"/>
      <c r="C5537" s="292"/>
      <c r="D5537" s="292"/>
      <c r="E5537" s="549"/>
      <c r="F5537" s="549"/>
      <c r="G5537" s="550"/>
      <c r="H5537" s="551"/>
      <c r="I5537" s="552"/>
      <c r="J5537" s="553"/>
      <c r="K5537" s="554"/>
      <c r="M5537" s="301" t="str">
        <f>N5537&amp;AS[[#This Row],[Insurer Code]]&amp;"; "&amp;O5537&amp;AS[[#This Row],[Reporting Year]]&amp;"; "&amp;P5537&amp;AS[[#This Row],[Insurance Category Code]]&amp;"; "&amp;Q5537&amp;AS[[#This Row],[Large Provider Entity Code]]&amp;"; "&amp;R5537&amp;AS[[#This Row],[Age Band Code]]&amp;"; "&amp;S5537&amp;AS[[#This Row],[Sex Code]]</f>
        <v xml:space="preserve">Insurer Code ; Reporting Year ; Insurance Category Code ; Large Provider Entity Code ; Age Band Code ; Sex Code </v>
      </c>
      <c r="N5537" s="297" t="s">
        <v>197</v>
      </c>
      <c r="O5537" s="297" t="s">
        <v>198</v>
      </c>
      <c r="P5537" s="297" t="s">
        <v>199</v>
      </c>
      <c r="Q5537" s="297" t="s">
        <v>200</v>
      </c>
      <c r="R5537" s="297" t="s">
        <v>213</v>
      </c>
      <c r="S5537" s="297" t="s">
        <v>214</v>
      </c>
    </row>
    <row r="5538" spans="1:19" x14ac:dyDescent="0.4">
      <c r="A5538" s="548"/>
      <c r="B5538" s="292"/>
      <c r="C5538" s="292"/>
      <c r="D5538" s="292"/>
      <c r="E5538" s="549"/>
      <c r="F5538" s="549"/>
      <c r="G5538" s="550"/>
      <c r="H5538" s="551"/>
      <c r="I5538" s="552"/>
      <c r="J5538" s="553"/>
      <c r="K5538" s="554"/>
      <c r="M5538" s="301" t="str">
        <f>N5538&amp;AS[[#This Row],[Insurer Code]]&amp;"; "&amp;O5538&amp;AS[[#This Row],[Reporting Year]]&amp;"; "&amp;P5538&amp;AS[[#This Row],[Insurance Category Code]]&amp;"; "&amp;Q5538&amp;AS[[#This Row],[Large Provider Entity Code]]&amp;"; "&amp;R5538&amp;AS[[#This Row],[Age Band Code]]&amp;"; "&amp;S5538&amp;AS[[#This Row],[Sex Code]]</f>
        <v xml:space="preserve">Insurer Code ; Reporting Year ; Insurance Category Code ; Large Provider Entity Code ; Age Band Code ; Sex Code </v>
      </c>
      <c r="N5538" s="297" t="s">
        <v>197</v>
      </c>
      <c r="O5538" s="297" t="s">
        <v>198</v>
      </c>
      <c r="P5538" s="297" t="s">
        <v>199</v>
      </c>
      <c r="Q5538" s="297" t="s">
        <v>200</v>
      </c>
      <c r="R5538" s="297" t="s">
        <v>213</v>
      </c>
      <c r="S5538" s="297" t="s">
        <v>214</v>
      </c>
    </row>
    <row r="5539" spans="1:19" x14ac:dyDescent="0.4">
      <c r="A5539" s="548"/>
      <c r="B5539" s="292"/>
      <c r="C5539" s="292"/>
      <c r="D5539" s="292"/>
      <c r="E5539" s="549"/>
      <c r="F5539" s="549"/>
      <c r="G5539" s="550"/>
      <c r="H5539" s="551"/>
      <c r="I5539" s="552"/>
      <c r="J5539" s="553"/>
      <c r="K5539" s="554"/>
      <c r="M5539" s="301" t="str">
        <f>N5539&amp;AS[[#This Row],[Insurer Code]]&amp;"; "&amp;O5539&amp;AS[[#This Row],[Reporting Year]]&amp;"; "&amp;P5539&amp;AS[[#This Row],[Insurance Category Code]]&amp;"; "&amp;Q5539&amp;AS[[#This Row],[Large Provider Entity Code]]&amp;"; "&amp;R5539&amp;AS[[#This Row],[Age Band Code]]&amp;"; "&amp;S5539&amp;AS[[#This Row],[Sex Code]]</f>
        <v xml:space="preserve">Insurer Code ; Reporting Year ; Insurance Category Code ; Large Provider Entity Code ; Age Band Code ; Sex Code </v>
      </c>
      <c r="N5539" s="297" t="s">
        <v>197</v>
      </c>
      <c r="O5539" s="297" t="s">
        <v>198</v>
      </c>
      <c r="P5539" s="297" t="s">
        <v>199</v>
      </c>
      <c r="Q5539" s="297" t="s">
        <v>200</v>
      </c>
      <c r="R5539" s="297" t="s">
        <v>213</v>
      </c>
      <c r="S5539" s="297" t="s">
        <v>214</v>
      </c>
    </row>
    <row r="5540" spans="1:19" x14ac:dyDescent="0.4">
      <c r="A5540" s="548"/>
      <c r="B5540" s="292"/>
      <c r="C5540" s="292"/>
      <c r="D5540" s="292"/>
      <c r="E5540" s="549"/>
      <c r="F5540" s="549"/>
      <c r="G5540" s="550"/>
      <c r="H5540" s="551"/>
      <c r="I5540" s="552"/>
      <c r="J5540" s="553"/>
      <c r="K5540" s="554"/>
      <c r="M5540" s="301" t="str">
        <f>N5540&amp;AS[[#This Row],[Insurer Code]]&amp;"; "&amp;O5540&amp;AS[[#This Row],[Reporting Year]]&amp;"; "&amp;P5540&amp;AS[[#This Row],[Insurance Category Code]]&amp;"; "&amp;Q5540&amp;AS[[#This Row],[Large Provider Entity Code]]&amp;"; "&amp;R5540&amp;AS[[#This Row],[Age Band Code]]&amp;"; "&amp;S5540&amp;AS[[#This Row],[Sex Code]]</f>
        <v xml:space="preserve">Insurer Code ; Reporting Year ; Insurance Category Code ; Large Provider Entity Code ; Age Band Code ; Sex Code </v>
      </c>
      <c r="N5540" s="297" t="s">
        <v>197</v>
      </c>
      <c r="O5540" s="297" t="s">
        <v>198</v>
      </c>
      <c r="P5540" s="297" t="s">
        <v>199</v>
      </c>
      <c r="Q5540" s="297" t="s">
        <v>200</v>
      </c>
      <c r="R5540" s="297" t="s">
        <v>213</v>
      </c>
      <c r="S5540" s="297" t="s">
        <v>214</v>
      </c>
    </row>
    <row r="5541" spans="1:19" x14ac:dyDescent="0.4">
      <c r="A5541" s="548"/>
      <c r="B5541" s="292"/>
      <c r="C5541" s="292"/>
      <c r="D5541" s="292"/>
      <c r="E5541" s="549"/>
      <c r="F5541" s="549"/>
      <c r="G5541" s="550"/>
      <c r="H5541" s="551"/>
      <c r="I5541" s="552"/>
      <c r="J5541" s="553"/>
      <c r="K5541" s="554"/>
      <c r="M5541" s="301" t="str">
        <f>N5541&amp;AS[[#This Row],[Insurer Code]]&amp;"; "&amp;O5541&amp;AS[[#This Row],[Reporting Year]]&amp;"; "&amp;P5541&amp;AS[[#This Row],[Insurance Category Code]]&amp;"; "&amp;Q5541&amp;AS[[#This Row],[Large Provider Entity Code]]&amp;"; "&amp;R5541&amp;AS[[#This Row],[Age Band Code]]&amp;"; "&amp;S5541&amp;AS[[#This Row],[Sex Code]]</f>
        <v xml:space="preserve">Insurer Code ; Reporting Year ; Insurance Category Code ; Large Provider Entity Code ; Age Band Code ; Sex Code </v>
      </c>
      <c r="N5541" s="297" t="s">
        <v>197</v>
      </c>
      <c r="O5541" s="297" t="s">
        <v>198</v>
      </c>
      <c r="P5541" s="297" t="s">
        <v>199</v>
      </c>
      <c r="Q5541" s="297" t="s">
        <v>200</v>
      </c>
      <c r="R5541" s="297" t="s">
        <v>213</v>
      </c>
      <c r="S5541" s="297" t="s">
        <v>214</v>
      </c>
    </row>
    <row r="5542" spans="1:19" x14ac:dyDescent="0.4">
      <c r="A5542" s="548"/>
      <c r="B5542" s="292"/>
      <c r="C5542" s="292"/>
      <c r="D5542" s="292"/>
      <c r="E5542" s="549"/>
      <c r="F5542" s="549"/>
      <c r="G5542" s="550"/>
      <c r="H5542" s="551"/>
      <c r="I5542" s="552"/>
      <c r="J5542" s="553"/>
      <c r="K5542" s="554"/>
      <c r="M5542" s="301" t="str">
        <f>N5542&amp;AS[[#This Row],[Insurer Code]]&amp;"; "&amp;O5542&amp;AS[[#This Row],[Reporting Year]]&amp;"; "&amp;P5542&amp;AS[[#This Row],[Insurance Category Code]]&amp;"; "&amp;Q5542&amp;AS[[#This Row],[Large Provider Entity Code]]&amp;"; "&amp;R5542&amp;AS[[#This Row],[Age Band Code]]&amp;"; "&amp;S5542&amp;AS[[#This Row],[Sex Code]]</f>
        <v xml:space="preserve">Insurer Code ; Reporting Year ; Insurance Category Code ; Large Provider Entity Code ; Age Band Code ; Sex Code </v>
      </c>
      <c r="N5542" s="297" t="s">
        <v>197</v>
      </c>
      <c r="O5542" s="297" t="s">
        <v>198</v>
      </c>
      <c r="P5542" s="297" t="s">
        <v>199</v>
      </c>
      <c r="Q5542" s="297" t="s">
        <v>200</v>
      </c>
      <c r="R5542" s="297" t="s">
        <v>213</v>
      </c>
      <c r="S5542" s="297" t="s">
        <v>214</v>
      </c>
    </row>
    <row r="5543" spans="1:19" x14ac:dyDescent="0.4">
      <c r="A5543" s="548"/>
      <c r="B5543" s="292"/>
      <c r="C5543" s="292"/>
      <c r="D5543" s="292"/>
      <c r="E5543" s="549"/>
      <c r="F5543" s="549"/>
      <c r="G5543" s="550"/>
      <c r="H5543" s="551"/>
      <c r="I5543" s="552"/>
      <c r="J5543" s="553"/>
      <c r="K5543" s="554"/>
      <c r="M5543" s="301" t="str">
        <f>N5543&amp;AS[[#This Row],[Insurer Code]]&amp;"; "&amp;O5543&amp;AS[[#This Row],[Reporting Year]]&amp;"; "&amp;P5543&amp;AS[[#This Row],[Insurance Category Code]]&amp;"; "&amp;Q5543&amp;AS[[#This Row],[Large Provider Entity Code]]&amp;"; "&amp;R5543&amp;AS[[#This Row],[Age Band Code]]&amp;"; "&amp;S5543&amp;AS[[#This Row],[Sex Code]]</f>
        <v xml:space="preserve">Insurer Code ; Reporting Year ; Insurance Category Code ; Large Provider Entity Code ; Age Band Code ; Sex Code </v>
      </c>
      <c r="N5543" s="297" t="s">
        <v>197</v>
      </c>
      <c r="O5543" s="297" t="s">
        <v>198</v>
      </c>
      <c r="P5543" s="297" t="s">
        <v>199</v>
      </c>
      <c r="Q5543" s="297" t="s">
        <v>200</v>
      </c>
      <c r="R5543" s="297" t="s">
        <v>213</v>
      </c>
      <c r="S5543" s="297" t="s">
        <v>214</v>
      </c>
    </row>
    <row r="5544" spans="1:19" x14ac:dyDescent="0.4">
      <c r="A5544" s="548"/>
      <c r="B5544" s="292"/>
      <c r="C5544" s="292"/>
      <c r="D5544" s="292"/>
      <c r="E5544" s="549"/>
      <c r="F5544" s="549"/>
      <c r="G5544" s="550"/>
      <c r="H5544" s="551"/>
      <c r="I5544" s="552"/>
      <c r="J5544" s="553"/>
      <c r="K5544" s="554"/>
      <c r="M5544" s="301" t="str">
        <f>N5544&amp;AS[[#This Row],[Insurer Code]]&amp;"; "&amp;O5544&amp;AS[[#This Row],[Reporting Year]]&amp;"; "&amp;P5544&amp;AS[[#This Row],[Insurance Category Code]]&amp;"; "&amp;Q5544&amp;AS[[#This Row],[Large Provider Entity Code]]&amp;"; "&amp;R5544&amp;AS[[#This Row],[Age Band Code]]&amp;"; "&amp;S5544&amp;AS[[#This Row],[Sex Code]]</f>
        <v xml:space="preserve">Insurer Code ; Reporting Year ; Insurance Category Code ; Large Provider Entity Code ; Age Band Code ; Sex Code </v>
      </c>
      <c r="N5544" s="297" t="s">
        <v>197</v>
      </c>
      <c r="O5544" s="297" t="s">
        <v>198</v>
      </c>
      <c r="P5544" s="297" t="s">
        <v>199</v>
      </c>
      <c r="Q5544" s="297" t="s">
        <v>200</v>
      </c>
      <c r="R5544" s="297" t="s">
        <v>213</v>
      </c>
      <c r="S5544" s="297" t="s">
        <v>214</v>
      </c>
    </row>
    <row r="5545" spans="1:19" x14ac:dyDescent="0.4">
      <c r="A5545" s="548"/>
      <c r="B5545" s="292"/>
      <c r="C5545" s="292"/>
      <c r="D5545" s="292"/>
      <c r="E5545" s="549"/>
      <c r="F5545" s="549"/>
      <c r="G5545" s="550"/>
      <c r="H5545" s="551"/>
      <c r="I5545" s="552"/>
      <c r="J5545" s="553"/>
      <c r="K5545" s="554"/>
      <c r="M5545" s="301" t="str">
        <f>N5545&amp;AS[[#This Row],[Insurer Code]]&amp;"; "&amp;O5545&amp;AS[[#This Row],[Reporting Year]]&amp;"; "&amp;P5545&amp;AS[[#This Row],[Insurance Category Code]]&amp;"; "&amp;Q5545&amp;AS[[#This Row],[Large Provider Entity Code]]&amp;"; "&amp;R5545&amp;AS[[#This Row],[Age Band Code]]&amp;"; "&amp;S5545&amp;AS[[#This Row],[Sex Code]]</f>
        <v xml:space="preserve">Insurer Code ; Reporting Year ; Insurance Category Code ; Large Provider Entity Code ; Age Band Code ; Sex Code </v>
      </c>
      <c r="N5545" s="297" t="s">
        <v>197</v>
      </c>
      <c r="O5545" s="297" t="s">
        <v>198</v>
      </c>
      <c r="P5545" s="297" t="s">
        <v>199</v>
      </c>
      <c r="Q5545" s="297" t="s">
        <v>200</v>
      </c>
      <c r="R5545" s="297" t="s">
        <v>213</v>
      </c>
      <c r="S5545" s="297" t="s">
        <v>214</v>
      </c>
    </row>
    <row r="5546" spans="1:19" x14ac:dyDescent="0.4">
      <c r="A5546" s="548"/>
      <c r="B5546" s="292"/>
      <c r="C5546" s="292"/>
      <c r="D5546" s="292"/>
      <c r="E5546" s="549"/>
      <c r="F5546" s="549"/>
      <c r="G5546" s="550"/>
      <c r="H5546" s="551"/>
      <c r="I5546" s="552"/>
      <c r="J5546" s="553"/>
      <c r="K5546" s="554"/>
      <c r="M5546" s="301" t="str">
        <f>N5546&amp;AS[[#This Row],[Insurer Code]]&amp;"; "&amp;O5546&amp;AS[[#This Row],[Reporting Year]]&amp;"; "&amp;P5546&amp;AS[[#This Row],[Insurance Category Code]]&amp;"; "&amp;Q5546&amp;AS[[#This Row],[Large Provider Entity Code]]&amp;"; "&amp;R5546&amp;AS[[#This Row],[Age Band Code]]&amp;"; "&amp;S5546&amp;AS[[#This Row],[Sex Code]]</f>
        <v xml:space="preserve">Insurer Code ; Reporting Year ; Insurance Category Code ; Large Provider Entity Code ; Age Band Code ; Sex Code </v>
      </c>
      <c r="N5546" s="297" t="s">
        <v>197</v>
      </c>
      <c r="O5546" s="297" t="s">
        <v>198</v>
      </c>
      <c r="P5546" s="297" t="s">
        <v>199</v>
      </c>
      <c r="Q5546" s="297" t="s">
        <v>200</v>
      </c>
      <c r="R5546" s="297" t="s">
        <v>213</v>
      </c>
      <c r="S5546" s="297" t="s">
        <v>214</v>
      </c>
    </row>
    <row r="5547" spans="1:19" x14ac:dyDescent="0.4">
      <c r="A5547" s="548"/>
      <c r="B5547" s="292"/>
      <c r="C5547" s="292"/>
      <c r="D5547" s="292"/>
      <c r="E5547" s="549"/>
      <c r="F5547" s="549"/>
      <c r="G5547" s="550"/>
      <c r="H5547" s="551"/>
      <c r="I5547" s="552"/>
      <c r="J5547" s="553"/>
      <c r="K5547" s="554"/>
      <c r="M5547" s="301" t="str">
        <f>N5547&amp;AS[[#This Row],[Insurer Code]]&amp;"; "&amp;O5547&amp;AS[[#This Row],[Reporting Year]]&amp;"; "&amp;P5547&amp;AS[[#This Row],[Insurance Category Code]]&amp;"; "&amp;Q5547&amp;AS[[#This Row],[Large Provider Entity Code]]&amp;"; "&amp;R5547&amp;AS[[#This Row],[Age Band Code]]&amp;"; "&amp;S5547&amp;AS[[#This Row],[Sex Code]]</f>
        <v xml:space="preserve">Insurer Code ; Reporting Year ; Insurance Category Code ; Large Provider Entity Code ; Age Band Code ; Sex Code </v>
      </c>
      <c r="N5547" s="297" t="s">
        <v>197</v>
      </c>
      <c r="O5547" s="297" t="s">
        <v>198</v>
      </c>
      <c r="P5547" s="297" t="s">
        <v>199</v>
      </c>
      <c r="Q5547" s="297" t="s">
        <v>200</v>
      </c>
      <c r="R5547" s="297" t="s">
        <v>213</v>
      </c>
      <c r="S5547" s="297" t="s">
        <v>214</v>
      </c>
    </row>
    <row r="5548" spans="1:19" x14ac:dyDescent="0.4">
      <c r="A5548" s="548"/>
      <c r="B5548" s="292"/>
      <c r="C5548" s="292"/>
      <c r="D5548" s="292"/>
      <c r="E5548" s="549"/>
      <c r="F5548" s="549"/>
      <c r="G5548" s="550"/>
      <c r="H5548" s="551"/>
      <c r="I5548" s="552"/>
      <c r="J5548" s="553"/>
      <c r="K5548" s="554"/>
      <c r="M5548" s="301" t="str">
        <f>N5548&amp;AS[[#This Row],[Insurer Code]]&amp;"; "&amp;O5548&amp;AS[[#This Row],[Reporting Year]]&amp;"; "&amp;P5548&amp;AS[[#This Row],[Insurance Category Code]]&amp;"; "&amp;Q5548&amp;AS[[#This Row],[Large Provider Entity Code]]&amp;"; "&amp;R5548&amp;AS[[#This Row],[Age Band Code]]&amp;"; "&amp;S5548&amp;AS[[#This Row],[Sex Code]]</f>
        <v xml:space="preserve">Insurer Code ; Reporting Year ; Insurance Category Code ; Large Provider Entity Code ; Age Band Code ; Sex Code </v>
      </c>
      <c r="N5548" s="297" t="s">
        <v>197</v>
      </c>
      <c r="O5548" s="297" t="s">
        <v>198</v>
      </c>
      <c r="P5548" s="297" t="s">
        <v>199</v>
      </c>
      <c r="Q5548" s="297" t="s">
        <v>200</v>
      </c>
      <c r="R5548" s="297" t="s">
        <v>213</v>
      </c>
      <c r="S5548" s="297" t="s">
        <v>214</v>
      </c>
    </row>
    <row r="5549" spans="1:19" x14ac:dyDescent="0.4">
      <c r="A5549" s="548"/>
      <c r="B5549" s="292"/>
      <c r="C5549" s="292"/>
      <c r="D5549" s="292"/>
      <c r="E5549" s="549"/>
      <c r="F5549" s="549"/>
      <c r="G5549" s="550"/>
      <c r="H5549" s="551"/>
      <c r="I5549" s="552"/>
      <c r="J5549" s="553"/>
      <c r="K5549" s="554"/>
      <c r="M5549" s="301" t="str">
        <f>N5549&amp;AS[[#This Row],[Insurer Code]]&amp;"; "&amp;O5549&amp;AS[[#This Row],[Reporting Year]]&amp;"; "&amp;P5549&amp;AS[[#This Row],[Insurance Category Code]]&amp;"; "&amp;Q5549&amp;AS[[#This Row],[Large Provider Entity Code]]&amp;"; "&amp;R5549&amp;AS[[#This Row],[Age Band Code]]&amp;"; "&amp;S5549&amp;AS[[#This Row],[Sex Code]]</f>
        <v xml:space="preserve">Insurer Code ; Reporting Year ; Insurance Category Code ; Large Provider Entity Code ; Age Band Code ; Sex Code </v>
      </c>
      <c r="N5549" s="297" t="s">
        <v>197</v>
      </c>
      <c r="O5549" s="297" t="s">
        <v>198</v>
      </c>
      <c r="P5549" s="297" t="s">
        <v>199</v>
      </c>
      <c r="Q5549" s="297" t="s">
        <v>200</v>
      </c>
      <c r="R5549" s="297" t="s">
        <v>213</v>
      </c>
      <c r="S5549" s="297" t="s">
        <v>214</v>
      </c>
    </row>
    <row r="5550" spans="1:19" x14ac:dyDescent="0.4">
      <c r="A5550" s="548"/>
      <c r="B5550" s="292"/>
      <c r="C5550" s="292"/>
      <c r="D5550" s="292"/>
      <c r="E5550" s="549"/>
      <c r="F5550" s="549"/>
      <c r="G5550" s="550"/>
      <c r="H5550" s="551"/>
      <c r="I5550" s="552"/>
      <c r="J5550" s="553"/>
      <c r="K5550" s="554"/>
      <c r="M5550" s="301" t="str">
        <f>N5550&amp;AS[[#This Row],[Insurer Code]]&amp;"; "&amp;O5550&amp;AS[[#This Row],[Reporting Year]]&amp;"; "&amp;P5550&amp;AS[[#This Row],[Insurance Category Code]]&amp;"; "&amp;Q5550&amp;AS[[#This Row],[Large Provider Entity Code]]&amp;"; "&amp;R5550&amp;AS[[#This Row],[Age Band Code]]&amp;"; "&amp;S5550&amp;AS[[#This Row],[Sex Code]]</f>
        <v xml:space="preserve">Insurer Code ; Reporting Year ; Insurance Category Code ; Large Provider Entity Code ; Age Band Code ; Sex Code </v>
      </c>
      <c r="N5550" s="297" t="s">
        <v>197</v>
      </c>
      <c r="O5550" s="297" t="s">
        <v>198</v>
      </c>
      <c r="P5550" s="297" t="s">
        <v>199</v>
      </c>
      <c r="Q5550" s="297" t="s">
        <v>200</v>
      </c>
      <c r="R5550" s="297" t="s">
        <v>213</v>
      </c>
      <c r="S5550" s="297" t="s">
        <v>214</v>
      </c>
    </row>
    <row r="5551" spans="1:19" x14ac:dyDescent="0.4">
      <c r="A5551" s="548"/>
      <c r="B5551" s="292"/>
      <c r="C5551" s="292"/>
      <c r="D5551" s="292"/>
      <c r="E5551" s="549"/>
      <c r="F5551" s="549"/>
      <c r="G5551" s="550"/>
      <c r="H5551" s="551"/>
      <c r="I5551" s="552"/>
      <c r="J5551" s="553"/>
      <c r="K5551" s="554"/>
      <c r="M5551" s="301" t="str">
        <f>N5551&amp;AS[[#This Row],[Insurer Code]]&amp;"; "&amp;O5551&amp;AS[[#This Row],[Reporting Year]]&amp;"; "&amp;P5551&amp;AS[[#This Row],[Insurance Category Code]]&amp;"; "&amp;Q5551&amp;AS[[#This Row],[Large Provider Entity Code]]&amp;"; "&amp;R5551&amp;AS[[#This Row],[Age Band Code]]&amp;"; "&amp;S5551&amp;AS[[#This Row],[Sex Code]]</f>
        <v xml:space="preserve">Insurer Code ; Reporting Year ; Insurance Category Code ; Large Provider Entity Code ; Age Band Code ; Sex Code </v>
      </c>
      <c r="N5551" s="297" t="s">
        <v>197</v>
      </c>
      <c r="O5551" s="297" t="s">
        <v>198</v>
      </c>
      <c r="P5551" s="297" t="s">
        <v>199</v>
      </c>
      <c r="Q5551" s="297" t="s">
        <v>200</v>
      </c>
      <c r="R5551" s="297" t="s">
        <v>213</v>
      </c>
      <c r="S5551" s="297" t="s">
        <v>214</v>
      </c>
    </row>
    <row r="5552" spans="1:19" x14ac:dyDescent="0.4">
      <c r="A5552" s="548"/>
      <c r="B5552" s="292"/>
      <c r="C5552" s="292"/>
      <c r="D5552" s="292"/>
      <c r="E5552" s="549"/>
      <c r="F5552" s="549"/>
      <c r="G5552" s="550"/>
      <c r="H5552" s="551"/>
      <c r="I5552" s="552"/>
      <c r="J5552" s="553"/>
      <c r="K5552" s="554"/>
      <c r="M5552" s="301" t="str">
        <f>N5552&amp;AS[[#This Row],[Insurer Code]]&amp;"; "&amp;O5552&amp;AS[[#This Row],[Reporting Year]]&amp;"; "&amp;P5552&amp;AS[[#This Row],[Insurance Category Code]]&amp;"; "&amp;Q5552&amp;AS[[#This Row],[Large Provider Entity Code]]&amp;"; "&amp;R5552&amp;AS[[#This Row],[Age Band Code]]&amp;"; "&amp;S5552&amp;AS[[#This Row],[Sex Code]]</f>
        <v xml:space="preserve">Insurer Code ; Reporting Year ; Insurance Category Code ; Large Provider Entity Code ; Age Band Code ; Sex Code </v>
      </c>
      <c r="N5552" s="297" t="s">
        <v>197</v>
      </c>
      <c r="O5552" s="297" t="s">
        <v>198</v>
      </c>
      <c r="P5552" s="297" t="s">
        <v>199</v>
      </c>
      <c r="Q5552" s="297" t="s">
        <v>200</v>
      </c>
      <c r="R5552" s="297" t="s">
        <v>213</v>
      </c>
      <c r="S5552" s="297" t="s">
        <v>214</v>
      </c>
    </row>
    <row r="5553" spans="1:19" x14ac:dyDescent="0.4">
      <c r="A5553" s="548"/>
      <c r="B5553" s="292"/>
      <c r="C5553" s="292"/>
      <c r="D5553" s="292"/>
      <c r="E5553" s="549"/>
      <c r="F5553" s="549"/>
      <c r="G5553" s="550"/>
      <c r="H5553" s="551"/>
      <c r="I5553" s="552"/>
      <c r="J5553" s="553"/>
      <c r="K5553" s="554"/>
      <c r="M5553" s="301" t="str">
        <f>N5553&amp;AS[[#This Row],[Insurer Code]]&amp;"; "&amp;O5553&amp;AS[[#This Row],[Reporting Year]]&amp;"; "&amp;P5553&amp;AS[[#This Row],[Insurance Category Code]]&amp;"; "&amp;Q5553&amp;AS[[#This Row],[Large Provider Entity Code]]&amp;"; "&amp;R5553&amp;AS[[#This Row],[Age Band Code]]&amp;"; "&amp;S5553&amp;AS[[#This Row],[Sex Code]]</f>
        <v xml:space="preserve">Insurer Code ; Reporting Year ; Insurance Category Code ; Large Provider Entity Code ; Age Band Code ; Sex Code </v>
      </c>
      <c r="N5553" s="297" t="s">
        <v>197</v>
      </c>
      <c r="O5553" s="297" t="s">
        <v>198</v>
      </c>
      <c r="P5553" s="297" t="s">
        <v>199</v>
      </c>
      <c r="Q5553" s="297" t="s">
        <v>200</v>
      </c>
      <c r="R5553" s="297" t="s">
        <v>213</v>
      </c>
      <c r="S5553" s="297" t="s">
        <v>214</v>
      </c>
    </row>
    <row r="5554" spans="1:19" x14ac:dyDescent="0.4">
      <c r="A5554" s="548"/>
      <c r="B5554" s="292"/>
      <c r="C5554" s="292"/>
      <c r="D5554" s="292"/>
      <c r="E5554" s="549"/>
      <c r="F5554" s="549"/>
      <c r="G5554" s="550"/>
      <c r="H5554" s="551"/>
      <c r="I5554" s="552"/>
      <c r="J5554" s="553"/>
      <c r="K5554" s="554"/>
      <c r="M5554" s="301" t="str">
        <f>N5554&amp;AS[[#This Row],[Insurer Code]]&amp;"; "&amp;O5554&amp;AS[[#This Row],[Reporting Year]]&amp;"; "&amp;P5554&amp;AS[[#This Row],[Insurance Category Code]]&amp;"; "&amp;Q5554&amp;AS[[#This Row],[Large Provider Entity Code]]&amp;"; "&amp;R5554&amp;AS[[#This Row],[Age Band Code]]&amp;"; "&amp;S5554&amp;AS[[#This Row],[Sex Code]]</f>
        <v xml:space="preserve">Insurer Code ; Reporting Year ; Insurance Category Code ; Large Provider Entity Code ; Age Band Code ; Sex Code </v>
      </c>
      <c r="N5554" s="297" t="s">
        <v>197</v>
      </c>
      <c r="O5554" s="297" t="s">
        <v>198</v>
      </c>
      <c r="P5554" s="297" t="s">
        <v>199</v>
      </c>
      <c r="Q5554" s="297" t="s">
        <v>200</v>
      </c>
      <c r="R5554" s="297" t="s">
        <v>213</v>
      </c>
      <c r="S5554" s="297" t="s">
        <v>214</v>
      </c>
    </row>
    <row r="5555" spans="1:19" x14ac:dyDescent="0.4">
      <c r="A5555" s="548"/>
      <c r="B5555" s="292"/>
      <c r="C5555" s="292"/>
      <c r="D5555" s="292"/>
      <c r="E5555" s="549"/>
      <c r="F5555" s="549"/>
      <c r="G5555" s="550"/>
      <c r="H5555" s="551"/>
      <c r="I5555" s="552"/>
      <c r="J5555" s="553"/>
      <c r="K5555" s="554"/>
      <c r="M5555" s="301" t="str">
        <f>N5555&amp;AS[[#This Row],[Insurer Code]]&amp;"; "&amp;O5555&amp;AS[[#This Row],[Reporting Year]]&amp;"; "&amp;P5555&amp;AS[[#This Row],[Insurance Category Code]]&amp;"; "&amp;Q5555&amp;AS[[#This Row],[Large Provider Entity Code]]&amp;"; "&amp;R5555&amp;AS[[#This Row],[Age Band Code]]&amp;"; "&amp;S5555&amp;AS[[#This Row],[Sex Code]]</f>
        <v xml:space="preserve">Insurer Code ; Reporting Year ; Insurance Category Code ; Large Provider Entity Code ; Age Band Code ; Sex Code </v>
      </c>
      <c r="N5555" s="297" t="s">
        <v>197</v>
      </c>
      <c r="O5555" s="297" t="s">
        <v>198</v>
      </c>
      <c r="P5555" s="297" t="s">
        <v>199</v>
      </c>
      <c r="Q5555" s="297" t="s">
        <v>200</v>
      </c>
      <c r="R5555" s="297" t="s">
        <v>213</v>
      </c>
      <c r="S5555" s="297" t="s">
        <v>214</v>
      </c>
    </row>
    <row r="5556" spans="1:19" x14ac:dyDescent="0.4">
      <c r="A5556" s="548"/>
      <c r="B5556" s="292"/>
      <c r="C5556" s="292"/>
      <c r="D5556" s="292"/>
      <c r="E5556" s="549"/>
      <c r="F5556" s="549"/>
      <c r="G5556" s="550"/>
      <c r="H5556" s="551"/>
      <c r="I5556" s="552"/>
      <c r="J5556" s="553"/>
      <c r="K5556" s="554"/>
      <c r="M5556" s="301" t="str">
        <f>N5556&amp;AS[[#This Row],[Insurer Code]]&amp;"; "&amp;O5556&amp;AS[[#This Row],[Reporting Year]]&amp;"; "&amp;P5556&amp;AS[[#This Row],[Insurance Category Code]]&amp;"; "&amp;Q5556&amp;AS[[#This Row],[Large Provider Entity Code]]&amp;"; "&amp;R5556&amp;AS[[#This Row],[Age Band Code]]&amp;"; "&amp;S5556&amp;AS[[#This Row],[Sex Code]]</f>
        <v xml:space="preserve">Insurer Code ; Reporting Year ; Insurance Category Code ; Large Provider Entity Code ; Age Band Code ; Sex Code </v>
      </c>
      <c r="N5556" s="297" t="s">
        <v>197</v>
      </c>
      <c r="O5556" s="297" t="s">
        <v>198</v>
      </c>
      <c r="P5556" s="297" t="s">
        <v>199</v>
      </c>
      <c r="Q5556" s="297" t="s">
        <v>200</v>
      </c>
      <c r="R5556" s="297" t="s">
        <v>213</v>
      </c>
      <c r="S5556" s="297" t="s">
        <v>214</v>
      </c>
    </row>
    <row r="5557" spans="1:19" x14ac:dyDescent="0.4">
      <c r="A5557" s="548"/>
      <c r="B5557" s="292"/>
      <c r="C5557" s="292"/>
      <c r="D5557" s="292"/>
      <c r="E5557" s="549"/>
      <c r="F5557" s="549"/>
      <c r="G5557" s="550"/>
      <c r="H5557" s="551"/>
      <c r="I5557" s="552"/>
      <c r="J5557" s="553"/>
      <c r="K5557" s="554"/>
      <c r="M5557" s="301" t="str">
        <f>N5557&amp;AS[[#This Row],[Insurer Code]]&amp;"; "&amp;O5557&amp;AS[[#This Row],[Reporting Year]]&amp;"; "&amp;P5557&amp;AS[[#This Row],[Insurance Category Code]]&amp;"; "&amp;Q5557&amp;AS[[#This Row],[Large Provider Entity Code]]&amp;"; "&amp;R5557&amp;AS[[#This Row],[Age Band Code]]&amp;"; "&amp;S5557&amp;AS[[#This Row],[Sex Code]]</f>
        <v xml:space="preserve">Insurer Code ; Reporting Year ; Insurance Category Code ; Large Provider Entity Code ; Age Band Code ; Sex Code </v>
      </c>
      <c r="N5557" s="297" t="s">
        <v>197</v>
      </c>
      <c r="O5557" s="297" t="s">
        <v>198</v>
      </c>
      <c r="P5557" s="297" t="s">
        <v>199</v>
      </c>
      <c r="Q5557" s="297" t="s">
        <v>200</v>
      </c>
      <c r="R5557" s="297" t="s">
        <v>213</v>
      </c>
      <c r="S5557" s="297" t="s">
        <v>214</v>
      </c>
    </row>
    <row r="5558" spans="1:19" x14ac:dyDescent="0.4">
      <c r="A5558" s="548"/>
      <c r="B5558" s="292"/>
      <c r="C5558" s="292"/>
      <c r="D5558" s="292"/>
      <c r="E5558" s="549"/>
      <c r="F5558" s="549"/>
      <c r="G5558" s="550"/>
      <c r="H5558" s="551"/>
      <c r="I5558" s="552"/>
      <c r="J5558" s="553"/>
      <c r="K5558" s="554"/>
      <c r="M5558" s="301" t="str">
        <f>N5558&amp;AS[[#This Row],[Insurer Code]]&amp;"; "&amp;O5558&amp;AS[[#This Row],[Reporting Year]]&amp;"; "&amp;P5558&amp;AS[[#This Row],[Insurance Category Code]]&amp;"; "&amp;Q5558&amp;AS[[#This Row],[Large Provider Entity Code]]&amp;"; "&amp;R5558&amp;AS[[#This Row],[Age Band Code]]&amp;"; "&amp;S5558&amp;AS[[#This Row],[Sex Code]]</f>
        <v xml:space="preserve">Insurer Code ; Reporting Year ; Insurance Category Code ; Large Provider Entity Code ; Age Band Code ; Sex Code </v>
      </c>
      <c r="N5558" s="297" t="s">
        <v>197</v>
      </c>
      <c r="O5558" s="297" t="s">
        <v>198</v>
      </c>
      <c r="P5558" s="297" t="s">
        <v>199</v>
      </c>
      <c r="Q5558" s="297" t="s">
        <v>200</v>
      </c>
      <c r="R5558" s="297" t="s">
        <v>213</v>
      </c>
      <c r="S5558" s="297" t="s">
        <v>214</v>
      </c>
    </row>
    <row r="5559" spans="1:19" x14ac:dyDescent="0.4">
      <c r="A5559" s="548"/>
      <c r="B5559" s="292"/>
      <c r="C5559" s="292"/>
      <c r="D5559" s="292"/>
      <c r="E5559" s="549"/>
      <c r="F5559" s="549"/>
      <c r="G5559" s="550"/>
      <c r="H5559" s="551"/>
      <c r="I5559" s="552"/>
      <c r="J5559" s="553"/>
      <c r="K5559" s="554"/>
      <c r="M5559" s="301" t="str">
        <f>N5559&amp;AS[[#This Row],[Insurer Code]]&amp;"; "&amp;O5559&amp;AS[[#This Row],[Reporting Year]]&amp;"; "&amp;P5559&amp;AS[[#This Row],[Insurance Category Code]]&amp;"; "&amp;Q5559&amp;AS[[#This Row],[Large Provider Entity Code]]&amp;"; "&amp;R5559&amp;AS[[#This Row],[Age Band Code]]&amp;"; "&amp;S5559&amp;AS[[#This Row],[Sex Code]]</f>
        <v xml:space="preserve">Insurer Code ; Reporting Year ; Insurance Category Code ; Large Provider Entity Code ; Age Band Code ; Sex Code </v>
      </c>
      <c r="N5559" s="297" t="s">
        <v>197</v>
      </c>
      <c r="O5559" s="297" t="s">
        <v>198</v>
      </c>
      <c r="P5559" s="297" t="s">
        <v>199</v>
      </c>
      <c r="Q5559" s="297" t="s">
        <v>200</v>
      </c>
      <c r="R5559" s="297" t="s">
        <v>213</v>
      </c>
      <c r="S5559" s="297" t="s">
        <v>214</v>
      </c>
    </row>
    <row r="5560" spans="1:19" x14ac:dyDescent="0.4">
      <c r="A5560" s="548"/>
      <c r="B5560" s="292"/>
      <c r="C5560" s="292"/>
      <c r="D5560" s="292"/>
      <c r="E5560" s="549"/>
      <c r="F5560" s="549"/>
      <c r="G5560" s="550"/>
      <c r="H5560" s="551"/>
      <c r="I5560" s="552"/>
      <c r="J5560" s="553"/>
      <c r="K5560" s="554"/>
      <c r="M5560" s="301" t="str">
        <f>N5560&amp;AS[[#This Row],[Insurer Code]]&amp;"; "&amp;O5560&amp;AS[[#This Row],[Reporting Year]]&amp;"; "&amp;P5560&amp;AS[[#This Row],[Insurance Category Code]]&amp;"; "&amp;Q5560&amp;AS[[#This Row],[Large Provider Entity Code]]&amp;"; "&amp;R5560&amp;AS[[#This Row],[Age Band Code]]&amp;"; "&amp;S5560&amp;AS[[#This Row],[Sex Code]]</f>
        <v xml:space="preserve">Insurer Code ; Reporting Year ; Insurance Category Code ; Large Provider Entity Code ; Age Band Code ; Sex Code </v>
      </c>
      <c r="N5560" s="297" t="s">
        <v>197</v>
      </c>
      <c r="O5560" s="297" t="s">
        <v>198</v>
      </c>
      <c r="P5560" s="297" t="s">
        <v>199</v>
      </c>
      <c r="Q5560" s="297" t="s">
        <v>200</v>
      </c>
      <c r="R5560" s="297" t="s">
        <v>213</v>
      </c>
      <c r="S5560" s="297" t="s">
        <v>214</v>
      </c>
    </row>
    <row r="5561" spans="1:19" x14ac:dyDescent="0.4">
      <c r="A5561" s="548"/>
      <c r="B5561" s="292"/>
      <c r="C5561" s="292"/>
      <c r="D5561" s="292"/>
      <c r="E5561" s="549"/>
      <c r="F5561" s="549"/>
      <c r="G5561" s="550"/>
      <c r="H5561" s="551"/>
      <c r="I5561" s="552"/>
      <c r="J5561" s="553"/>
      <c r="K5561" s="554"/>
      <c r="M5561" s="301" t="str">
        <f>N5561&amp;AS[[#This Row],[Insurer Code]]&amp;"; "&amp;O5561&amp;AS[[#This Row],[Reporting Year]]&amp;"; "&amp;P5561&amp;AS[[#This Row],[Insurance Category Code]]&amp;"; "&amp;Q5561&amp;AS[[#This Row],[Large Provider Entity Code]]&amp;"; "&amp;R5561&amp;AS[[#This Row],[Age Band Code]]&amp;"; "&amp;S5561&amp;AS[[#This Row],[Sex Code]]</f>
        <v xml:space="preserve">Insurer Code ; Reporting Year ; Insurance Category Code ; Large Provider Entity Code ; Age Band Code ; Sex Code </v>
      </c>
      <c r="N5561" s="297" t="s">
        <v>197</v>
      </c>
      <c r="O5561" s="297" t="s">
        <v>198</v>
      </c>
      <c r="P5561" s="297" t="s">
        <v>199</v>
      </c>
      <c r="Q5561" s="297" t="s">
        <v>200</v>
      </c>
      <c r="R5561" s="297" t="s">
        <v>213</v>
      </c>
      <c r="S5561" s="297" t="s">
        <v>214</v>
      </c>
    </row>
    <row r="5562" spans="1:19" x14ac:dyDescent="0.4">
      <c r="A5562" s="548"/>
      <c r="B5562" s="292"/>
      <c r="C5562" s="292"/>
      <c r="D5562" s="292"/>
      <c r="E5562" s="549"/>
      <c r="F5562" s="549"/>
      <c r="G5562" s="550"/>
      <c r="H5562" s="551"/>
      <c r="I5562" s="552"/>
      <c r="J5562" s="553"/>
      <c r="K5562" s="554"/>
      <c r="M5562" s="301" t="str">
        <f>N5562&amp;AS[[#This Row],[Insurer Code]]&amp;"; "&amp;O5562&amp;AS[[#This Row],[Reporting Year]]&amp;"; "&amp;P5562&amp;AS[[#This Row],[Insurance Category Code]]&amp;"; "&amp;Q5562&amp;AS[[#This Row],[Large Provider Entity Code]]&amp;"; "&amp;R5562&amp;AS[[#This Row],[Age Band Code]]&amp;"; "&amp;S5562&amp;AS[[#This Row],[Sex Code]]</f>
        <v xml:space="preserve">Insurer Code ; Reporting Year ; Insurance Category Code ; Large Provider Entity Code ; Age Band Code ; Sex Code </v>
      </c>
      <c r="N5562" s="297" t="s">
        <v>197</v>
      </c>
      <c r="O5562" s="297" t="s">
        <v>198</v>
      </c>
      <c r="P5562" s="297" t="s">
        <v>199</v>
      </c>
      <c r="Q5562" s="297" t="s">
        <v>200</v>
      </c>
      <c r="R5562" s="297" t="s">
        <v>213</v>
      </c>
      <c r="S5562" s="297" t="s">
        <v>214</v>
      </c>
    </row>
    <row r="5563" spans="1:19" x14ac:dyDescent="0.4">
      <c r="A5563" s="548"/>
      <c r="B5563" s="292"/>
      <c r="C5563" s="292"/>
      <c r="D5563" s="292"/>
      <c r="E5563" s="549"/>
      <c r="F5563" s="549"/>
      <c r="G5563" s="550"/>
      <c r="H5563" s="551"/>
      <c r="I5563" s="552"/>
      <c r="J5563" s="553"/>
      <c r="K5563" s="554"/>
      <c r="M5563" s="301" t="str">
        <f>N5563&amp;AS[[#This Row],[Insurer Code]]&amp;"; "&amp;O5563&amp;AS[[#This Row],[Reporting Year]]&amp;"; "&amp;P5563&amp;AS[[#This Row],[Insurance Category Code]]&amp;"; "&amp;Q5563&amp;AS[[#This Row],[Large Provider Entity Code]]&amp;"; "&amp;R5563&amp;AS[[#This Row],[Age Band Code]]&amp;"; "&amp;S5563&amp;AS[[#This Row],[Sex Code]]</f>
        <v xml:space="preserve">Insurer Code ; Reporting Year ; Insurance Category Code ; Large Provider Entity Code ; Age Band Code ; Sex Code </v>
      </c>
      <c r="N5563" s="297" t="s">
        <v>197</v>
      </c>
      <c r="O5563" s="297" t="s">
        <v>198</v>
      </c>
      <c r="P5563" s="297" t="s">
        <v>199</v>
      </c>
      <c r="Q5563" s="297" t="s">
        <v>200</v>
      </c>
      <c r="R5563" s="297" t="s">
        <v>213</v>
      </c>
      <c r="S5563" s="297" t="s">
        <v>214</v>
      </c>
    </row>
    <row r="5564" spans="1:19" x14ac:dyDescent="0.4">
      <c r="A5564" s="548"/>
      <c r="B5564" s="292"/>
      <c r="C5564" s="292"/>
      <c r="D5564" s="292"/>
      <c r="E5564" s="549"/>
      <c r="F5564" s="549"/>
      <c r="G5564" s="550"/>
      <c r="H5564" s="551"/>
      <c r="I5564" s="552"/>
      <c r="J5564" s="553"/>
      <c r="K5564" s="554"/>
      <c r="M5564" s="301" t="str">
        <f>N5564&amp;AS[[#This Row],[Insurer Code]]&amp;"; "&amp;O5564&amp;AS[[#This Row],[Reporting Year]]&amp;"; "&amp;P5564&amp;AS[[#This Row],[Insurance Category Code]]&amp;"; "&amp;Q5564&amp;AS[[#This Row],[Large Provider Entity Code]]&amp;"; "&amp;R5564&amp;AS[[#This Row],[Age Band Code]]&amp;"; "&amp;S5564&amp;AS[[#This Row],[Sex Code]]</f>
        <v xml:space="preserve">Insurer Code ; Reporting Year ; Insurance Category Code ; Large Provider Entity Code ; Age Band Code ; Sex Code </v>
      </c>
      <c r="N5564" s="297" t="s">
        <v>197</v>
      </c>
      <c r="O5564" s="297" t="s">
        <v>198</v>
      </c>
      <c r="P5564" s="297" t="s">
        <v>199</v>
      </c>
      <c r="Q5564" s="297" t="s">
        <v>200</v>
      </c>
      <c r="R5564" s="297" t="s">
        <v>213</v>
      </c>
      <c r="S5564" s="297" t="s">
        <v>214</v>
      </c>
    </row>
    <row r="5565" spans="1:19" x14ac:dyDescent="0.4">
      <c r="A5565" s="548"/>
      <c r="B5565" s="292"/>
      <c r="C5565" s="292"/>
      <c r="D5565" s="292"/>
      <c r="E5565" s="549"/>
      <c r="F5565" s="549"/>
      <c r="G5565" s="550"/>
      <c r="H5565" s="551"/>
      <c r="I5565" s="552"/>
      <c r="J5565" s="553"/>
      <c r="K5565" s="554"/>
      <c r="M5565" s="301" t="str">
        <f>N5565&amp;AS[[#This Row],[Insurer Code]]&amp;"; "&amp;O5565&amp;AS[[#This Row],[Reporting Year]]&amp;"; "&amp;P5565&amp;AS[[#This Row],[Insurance Category Code]]&amp;"; "&amp;Q5565&amp;AS[[#This Row],[Large Provider Entity Code]]&amp;"; "&amp;R5565&amp;AS[[#This Row],[Age Band Code]]&amp;"; "&amp;S5565&amp;AS[[#This Row],[Sex Code]]</f>
        <v xml:space="preserve">Insurer Code ; Reporting Year ; Insurance Category Code ; Large Provider Entity Code ; Age Band Code ; Sex Code </v>
      </c>
      <c r="N5565" s="297" t="s">
        <v>197</v>
      </c>
      <c r="O5565" s="297" t="s">
        <v>198</v>
      </c>
      <c r="P5565" s="297" t="s">
        <v>199</v>
      </c>
      <c r="Q5565" s="297" t="s">
        <v>200</v>
      </c>
      <c r="R5565" s="297" t="s">
        <v>213</v>
      </c>
      <c r="S5565" s="297" t="s">
        <v>214</v>
      </c>
    </row>
    <row r="5566" spans="1:19" x14ac:dyDescent="0.4">
      <c r="A5566" s="548"/>
      <c r="B5566" s="292"/>
      <c r="C5566" s="292"/>
      <c r="D5566" s="292"/>
      <c r="E5566" s="549"/>
      <c r="F5566" s="549"/>
      <c r="G5566" s="550"/>
      <c r="H5566" s="551"/>
      <c r="I5566" s="552"/>
      <c r="J5566" s="553"/>
      <c r="K5566" s="554"/>
      <c r="M5566" s="301" t="str">
        <f>N5566&amp;AS[[#This Row],[Insurer Code]]&amp;"; "&amp;O5566&amp;AS[[#This Row],[Reporting Year]]&amp;"; "&amp;P5566&amp;AS[[#This Row],[Insurance Category Code]]&amp;"; "&amp;Q5566&amp;AS[[#This Row],[Large Provider Entity Code]]&amp;"; "&amp;R5566&amp;AS[[#This Row],[Age Band Code]]&amp;"; "&amp;S5566&amp;AS[[#This Row],[Sex Code]]</f>
        <v xml:space="preserve">Insurer Code ; Reporting Year ; Insurance Category Code ; Large Provider Entity Code ; Age Band Code ; Sex Code </v>
      </c>
      <c r="N5566" s="297" t="s">
        <v>197</v>
      </c>
      <c r="O5566" s="297" t="s">
        <v>198</v>
      </c>
      <c r="P5566" s="297" t="s">
        <v>199</v>
      </c>
      <c r="Q5566" s="297" t="s">
        <v>200</v>
      </c>
      <c r="R5566" s="297" t="s">
        <v>213</v>
      </c>
      <c r="S5566" s="297" t="s">
        <v>214</v>
      </c>
    </row>
    <row r="5567" spans="1:19" x14ac:dyDescent="0.4">
      <c r="A5567" s="548"/>
      <c r="B5567" s="292"/>
      <c r="C5567" s="292"/>
      <c r="D5567" s="292"/>
      <c r="E5567" s="549"/>
      <c r="F5567" s="549"/>
      <c r="G5567" s="550"/>
      <c r="H5567" s="551"/>
      <c r="I5567" s="552"/>
      <c r="J5567" s="553"/>
      <c r="K5567" s="554"/>
      <c r="M5567" s="301" t="str">
        <f>N5567&amp;AS[[#This Row],[Insurer Code]]&amp;"; "&amp;O5567&amp;AS[[#This Row],[Reporting Year]]&amp;"; "&amp;P5567&amp;AS[[#This Row],[Insurance Category Code]]&amp;"; "&amp;Q5567&amp;AS[[#This Row],[Large Provider Entity Code]]&amp;"; "&amp;R5567&amp;AS[[#This Row],[Age Band Code]]&amp;"; "&amp;S5567&amp;AS[[#This Row],[Sex Code]]</f>
        <v xml:space="preserve">Insurer Code ; Reporting Year ; Insurance Category Code ; Large Provider Entity Code ; Age Band Code ; Sex Code </v>
      </c>
      <c r="N5567" s="297" t="s">
        <v>197</v>
      </c>
      <c r="O5567" s="297" t="s">
        <v>198</v>
      </c>
      <c r="P5567" s="297" t="s">
        <v>199</v>
      </c>
      <c r="Q5567" s="297" t="s">
        <v>200</v>
      </c>
      <c r="R5567" s="297" t="s">
        <v>213</v>
      </c>
      <c r="S5567" s="297" t="s">
        <v>214</v>
      </c>
    </row>
    <row r="5568" spans="1:19" x14ac:dyDescent="0.4">
      <c r="A5568" s="548"/>
      <c r="B5568" s="292"/>
      <c r="C5568" s="292"/>
      <c r="D5568" s="292"/>
      <c r="E5568" s="549"/>
      <c r="F5568" s="549"/>
      <c r="G5568" s="550"/>
      <c r="H5568" s="551"/>
      <c r="I5568" s="552"/>
      <c r="J5568" s="553"/>
      <c r="K5568" s="554"/>
      <c r="M5568" s="301" t="str">
        <f>N5568&amp;AS[[#This Row],[Insurer Code]]&amp;"; "&amp;O5568&amp;AS[[#This Row],[Reporting Year]]&amp;"; "&amp;P5568&amp;AS[[#This Row],[Insurance Category Code]]&amp;"; "&amp;Q5568&amp;AS[[#This Row],[Large Provider Entity Code]]&amp;"; "&amp;R5568&amp;AS[[#This Row],[Age Band Code]]&amp;"; "&amp;S5568&amp;AS[[#This Row],[Sex Code]]</f>
        <v xml:space="preserve">Insurer Code ; Reporting Year ; Insurance Category Code ; Large Provider Entity Code ; Age Band Code ; Sex Code </v>
      </c>
      <c r="N5568" s="297" t="s">
        <v>197</v>
      </c>
      <c r="O5568" s="297" t="s">
        <v>198</v>
      </c>
      <c r="P5568" s="297" t="s">
        <v>199</v>
      </c>
      <c r="Q5568" s="297" t="s">
        <v>200</v>
      </c>
      <c r="R5568" s="297" t="s">
        <v>213</v>
      </c>
      <c r="S5568" s="297" t="s">
        <v>214</v>
      </c>
    </row>
    <row r="5569" spans="1:19" x14ac:dyDescent="0.4">
      <c r="A5569" s="548"/>
      <c r="B5569" s="292"/>
      <c r="C5569" s="292"/>
      <c r="D5569" s="292"/>
      <c r="E5569" s="549"/>
      <c r="F5569" s="549"/>
      <c r="G5569" s="550"/>
      <c r="H5569" s="551"/>
      <c r="I5569" s="552"/>
      <c r="J5569" s="553"/>
      <c r="K5569" s="554"/>
      <c r="M5569" s="301" t="str">
        <f>N5569&amp;AS[[#This Row],[Insurer Code]]&amp;"; "&amp;O5569&amp;AS[[#This Row],[Reporting Year]]&amp;"; "&amp;P5569&amp;AS[[#This Row],[Insurance Category Code]]&amp;"; "&amp;Q5569&amp;AS[[#This Row],[Large Provider Entity Code]]&amp;"; "&amp;R5569&amp;AS[[#This Row],[Age Band Code]]&amp;"; "&amp;S5569&amp;AS[[#This Row],[Sex Code]]</f>
        <v xml:space="preserve">Insurer Code ; Reporting Year ; Insurance Category Code ; Large Provider Entity Code ; Age Band Code ; Sex Code </v>
      </c>
      <c r="N5569" s="297" t="s">
        <v>197</v>
      </c>
      <c r="O5569" s="297" t="s">
        <v>198</v>
      </c>
      <c r="P5569" s="297" t="s">
        <v>199</v>
      </c>
      <c r="Q5569" s="297" t="s">
        <v>200</v>
      </c>
      <c r="R5569" s="297" t="s">
        <v>213</v>
      </c>
      <c r="S5569" s="297" t="s">
        <v>214</v>
      </c>
    </row>
    <row r="5570" spans="1:19" x14ac:dyDescent="0.4">
      <c r="A5570" s="548"/>
      <c r="B5570" s="292"/>
      <c r="C5570" s="292"/>
      <c r="D5570" s="292"/>
      <c r="E5570" s="549"/>
      <c r="F5570" s="549"/>
      <c r="G5570" s="550"/>
      <c r="H5570" s="551"/>
      <c r="I5570" s="552"/>
      <c r="J5570" s="553"/>
      <c r="K5570" s="554"/>
      <c r="M5570" s="301" t="str">
        <f>N5570&amp;AS[[#This Row],[Insurer Code]]&amp;"; "&amp;O5570&amp;AS[[#This Row],[Reporting Year]]&amp;"; "&amp;P5570&amp;AS[[#This Row],[Insurance Category Code]]&amp;"; "&amp;Q5570&amp;AS[[#This Row],[Large Provider Entity Code]]&amp;"; "&amp;R5570&amp;AS[[#This Row],[Age Band Code]]&amp;"; "&amp;S5570&amp;AS[[#This Row],[Sex Code]]</f>
        <v xml:space="preserve">Insurer Code ; Reporting Year ; Insurance Category Code ; Large Provider Entity Code ; Age Band Code ; Sex Code </v>
      </c>
      <c r="N5570" s="297" t="s">
        <v>197</v>
      </c>
      <c r="O5570" s="297" t="s">
        <v>198</v>
      </c>
      <c r="P5570" s="297" t="s">
        <v>199</v>
      </c>
      <c r="Q5570" s="297" t="s">
        <v>200</v>
      </c>
      <c r="R5570" s="297" t="s">
        <v>213</v>
      </c>
      <c r="S5570" s="297" t="s">
        <v>214</v>
      </c>
    </row>
    <row r="5571" spans="1:19" x14ac:dyDescent="0.4">
      <c r="A5571" s="548"/>
      <c r="B5571" s="292"/>
      <c r="C5571" s="292"/>
      <c r="D5571" s="292"/>
      <c r="E5571" s="549"/>
      <c r="F5571" s="549"/>
      <c r="G5571" s="550"/>
      <c r="H5571" s="551"/>
      <c r="I5571" s="552"/>
      <c r="J5571" s="553"/>
      <c r="K5571" s="554"/>
      <c r="M5571" s="301" t="str">
        <f>N5571&amp;AS[[#This Row],[Insurer Code]]&amp;"; "&amp;O5571&amp;AS[[#This Row],[Reporting Year]]&amp;"; "&amp;P5571&amp;AS[[#This Row],[Insurance Category Code]]&amp;"; "&amp;Q5571&amp;AS[[#This Row],[Large Provider Entity Code]]&amp;"; "&amp;R5571&amp;AS[[#This Row],[Age Band Code]]&amp;"; "&amp;S5571&amp;AS[[#This Row],[Sex Code]]</f>
        <v xml:space="preserve">Insurer Code ; Reporting Year ; Insurance Category Code ; Large Provider Entity Code ; Age Band Code ; Sex Code </v>
      </c>
      <c r="N5571" s="297" t="s">
        <v>197</v>
      </c>
      <c r="O5571" s="297" t="s">
        <v>198</v>
      </c>
      <c r="P5571" s="297" t="s">
        <v>199</v>
      </c>
      <c r="Q5571" s="297" t="s">
        <v>200</v>
      </c>
      <c r="R5571" s="297" t="s">
        <v>213</v>
      </c>
      <c r="S5571" s="297" t="s">
        <v>214</v>
      </c>
    </row>
    <row r="5572" spans="1:19" x14ac:dyDescent="0.4">
      <c r="A5572" s="548"/>
      <c r="B5572" s="292"/>
      <c r="C5572" s="292"/>
      <c r="D5572" s="292"/>
      <c r="E5572" s="549"/>
      <c r="F5572" s="549"/>
      <c r="G5572" s="550"/>
      <c r="H5572" s="551"/>
      <c r="I5572" s="552"/>
      <c r="J5572" s="553"/>
      <c r="K5572" s="554"/>
      <c r="M5572" s="301" t="str">
        <f>N5572&amp;AS[[#This Row],[Insurer Code]]&amp;"; "&amp;O5572&amp;AS[[#This Row],[Reporting Year]]&amp;"; "&amp;P5572&amp;AS[[#This Row],[Insurance Category Code]]&amp;"; "&amp;Q5572&amp;AS[[#This Row],[Large Provider Entity Code]]&amp;"; "&amp;R5572&amp;AS[[#This Row],[Age Band Code]]&amp;"; "&amp;S5572&amp;AS[[#This Row],[Sex Code]]</f>
        <v xml:space="preserve">Insurer Code ; Reporting Year ; Insurance Category Code ; Large Provider Entity Code ; Age Band Code ; Sex Code </v>
      </c>
      <c r="N5572" s="297" t="s">
        <v>197</v>
      </c>
      <c r="O5572" s="297" t="s">
        <v>198</v>
      </c>
      <c r="P5572" s="297" t="s">
        <v>199</v>
      </c>
      <c r="Q5572" s="297" t="s">
        <v>200</v>
      </c>
      <c r="R5572" s="297" t="s">
        <v>213</v>
      </c>
      <c r="S5572" s="297" t="s">
        <v>214</v>
      </c>
    </row>
    <row r="5573" spans="1:19" x14ac:dyDescent="0.4">
      <c r="A5573" s="548"/>
      <c r="B5573" s="292"/>
      <c r="C5573" s="292"/>
      <c r="D5573" s="292"/>
      <c r="E5573" s="549"/>
      <c r="F5573" s="549"/>
      <c r="G5573" s="550"/>
      <c r="H5573" s="551"/>
      <c r="I5573" s="552"/>
      <c r="J5573" s="553"/>
      <c r="K5573" s="554"/>
      <c r="M5573" s="301" t="str">
        <f>N5573&amp;AS[[#This Row],[Insurer Code]]&amp;"; "&amp;O5573&amp;AS[[#This Row],[Reporting Year]]&amp;"; "&amp;P5573&amp;AS[[#This Row],[Insurance Category Code]]&amp;"; "&amp;Q5573&amp;AS[[#This Row],[Large Provider Entity Code]]&amp;"; "&amp;R5573&amp;AS[[#This Row],[Age Band Code]]&amp;"; "&amp;S5573&amp;AS[[#This Row],[Sex Code]]</f>
        <v xml:space="preserve">Insurer Code ; Reporting Year ; Insurance Category Code ; Large Provider Entity Code ; Age Band Code ; Sex Code </v>
      </c>
      <c r="N5573" s="297" t="s">
        <v>197</v>
      </c>
      <c r="O5573" s="297" t="s">
        <v>198</v>
      </c>
      <c r="P5573" s="297" t="s">
        <v>199</v>
      </c>
      <c r="Q5573" s="297" t="s">
        <v>200</v>
      </c>
      <c r="R5573" s="297" t="s">
        <v>213</v>
      </c>
      <c r="S5573" s="297" t="s">
        <v>214</v>
      </c>
    </row>
    <row r="5574" spans="1:19" x14ac:dyDescent="0.4">
      <c r="A5574" s="548"/>
      <c r="B5574" s="292"/>
      <c r="C5574" s="292"/>
      <c r="D5574" s="292"/>
      <c r="E5574" s="549"/>
      <c r="F5574" s="549"/>
      <c r="G5574" s="550"/>
      <c r="H5574" s="551"/>
      <c r="I5574" s="552"/>
      <c r="J5574" s="553"/>
      <c r="K5574" s="554"/>
      <c r="M5574" s="301" t="str">
        <f>N5574&amp;AS[[#This Row],[Insurer Code]]&amp;"; "&amp;O5574&amp;AS[[#This Row],[Reporting Year]]&amp;"; "&amp;P5574&amp;AS[[#This Row],[Insurance Category Code]]&amp;"; "&amp;Q5574&amp;AS[[#This Row],[Large Provider Entity Code]]&amp;"; "&amp;R5574&amp;AS[[#This Row],[Age Band Code]]&amp;"; "&amp;S5574&amp;AS[[#This Row],[Sex Code]]</f>
        <v xml:space="preserve">Insurer Code ; Reporting Year ; Insurance Category Code ; Large Provider Entity Code ; Age Band Code ; Sex Code </v>
      </c>
      <c r="N5574" s="297" t="s">
        <v>197</v>
      </c>
      <c r="O5574" s="297" t="s">
        <v>198</v>
      </c>
      <c r="P5574" s="297" t="s">
        <v>199</v>
      </c>
      <c r="Q5574" s="297" t="s">
        <v>200</v>
      </c>
      <c r="R5574" s="297" t="s">
        <v>213</v>
      </c>
      <c r="S5574" s="297" t="s">
        <v>214</v>
      </c>
    </row>
    <row r="5575" spans="1:19" x14ac:dyDescent="0.4">
      <c r="A5575" s="548"/>
      <c r="B5575" s="292"/>
      <c r="C5575" s="292"/>
      <c r="D5575" s="292"/>
      <c r="E5575" s="549"/>
      <c r="F5575" s="549"/>
      <c r="G5575" s="550"/>
      <c r="H5575" s="551"/>
      <c r="I5575" s="552"/>
      <c r="J5575" s="553"/>
      <c r="K5575" s="554"/>
      <c r="M5575" s="301" t="str">
        <f>N5575&amp;AS[[#This Row],[Insurer Code]]&amp;"; "&amp;O5575&amp;AS[[#This Row],[Reporting Year]]&amp;"; "&amp;P5575&amp;AS[[#This Row],[Insurance Category Code]]&amp;"; "&amp;Q5575&amp;AS[[#This Row],[Large Provider Entity Code]]&amp;"; "&amp;R5575&amp;AS[[#This Row],[Age Band Code]]&amp;"; "&amp;S5575&amp;AS[[#This Row],[Sex Code]]</f>
        <v xml:space="preserve">Insurer Code ; Reporting Year ; Insurance Category Code ; Large Provider Entity Code ; Age Band Code ; Sex Code </v>
      </c>
      <c r="N5575" s="297" t="s">
        <v>197</v>
      </c>
      <c r="O5575" s="297" t="s">
        <v>198</v>
      </c>
      <c r="P5575" s="297" t="s">
        <v>199</v>
      </c>
      <c r="Q5575" s="297" t="s">
        <v>200</v>
      </c>
      <c r="R5575" s="297" t="s">
        <v>213</v>
      </c>
      <c r="S5575" s="297" t="s">
        <v>214</v>
      </c>
    </row>
    <row r="5576" spans="1:19" x14ac:dyDescent="0.4">
      <c r="A5576" s="548"/>
      <c r="B5576" s="292"/>
      <c r="C5576" s="292"/>
      <c r="D5576" s="292"/>
      <c r="E5576" s="549"/>
      <c r="F5576" s="549"/>
      <c r="G5576" s="550"/>
      <c r="H5576" s="551"/>
      <c r="I5576" s="552"/>
      <c r="J5576" s="553"/>
      <c r="K5576" s="554"/>
      <c r="M5576" s="301" t="str">
        <f>N5576&amp;AS[[#This Row],[Insurer Code]]&amp;"; "&amp;O5576&amp;AS[[#This Row],[Reporting Year]]&amp;"; "&amp;P5576&amp;AS[[#This Row],[Insurance Category Code]]&amp;"; "&amp;Q5576&amp;AS[[#This Row],[Large Provider Entity Code]]&amp;"; "&amp;R5576&amp;AS[[#This Row],[Age Band Code]]&amp;"; "&amp;S5576&amp;AS[[#This Row],[Sex Code]]</f>
        <v xml:space="preserve">Insurer Code ; Reporting Year ; Insurance Category Code ; Large Provider Entity Code ; Age Band Code ; Sex Code </v>
      </c>
      <c r="N5576" s="297" t="s">
        <v>197</v>
      </c>
      <c r="O5576" s="297" t="s">
        <v>198</v>
      </c>
      <c r="P5576" s="297" t="s">
        <v>199</v>
      </c>
      <c r="Q5576" s="297" t="s">
        <v>200</v>
      </c>
      <c r="R5576" s="297" t="s">
        <v>213</v>
      </c>
      <c r="S5576" s="297" t="s">
        <v>214</v>
      </c>
    </row>
    <row r="5577" spans="1:19" x14ac:dyDescent="0.4">
      <c r="A5577" s="548"/>
      <c r="B5577" s="292"/>
      <c r="C5577" s="292"/>
      <c r="D5577" s="292"/>
      <c r="E5577" s="549"/>
      <c r="F5577" s="549"/>
      <c r="G5577" s="550"/>
      <c r="H5577" s="551"/>
      <c r="I5577" s="552"/>
      <c r="J5577" s="553"/>
      <c r="K5577" s="554"/>
      <c r="M5577" s="301" t="str">
        <f>N5577&amp;AS[[#This Row],[Insurer Code]]&amp;"; "&amp;O5577&amp;AS[[#This Row],[Reporting Year]]&amp;"; "&amp;P5577&amp;AS[[#This Row],[Insurance Category Code]]&amp;"; "&amp;Q5577&amp;AS[[#This Row],[Large Provider Entity Code]]&amp;"; "&amp;R5577&amp;AS[[#This Row],[Age Band Code]]&amp;"; "&amp;S5577&amp;AS[[#This Row],[Sex Code]]</f>
        <v xml:space="preserve">Insurer Code ; Reporting Year ; Insurance Category Code ; Large Provider Entity Code ; Age Band Code ; Sex Code </v>
      </c>
      <c r="N5577" s="297" t="s">
        <v>197</v>
      </c>
      <c r="O5577" s="297" t="s">
        <v>198</v>
      </c>
      <c r="P5577" s="297" t="s">
        <v>199</v>
      </c>
      <c r="Q5577" s="297" t="s">
        <v>200</v>
      </c>
      <c r="R5577" s="297" t="s">
        <v>213</v>
      </c>
      <c r="S5577" s="297" t="s">
        <v>214</v>
      </c>
    </row>
    <row r="5578" spans="1:19" x14ac:dyDescent="0.4">
      <c r="A5578" s="548"/>
      <c r="B5578" s="292"/>
      <c r="C5578" s="292"/>
      <c r="D5578" s="292"/>
      <c r="E5578" s="549"/>
      <c r="F5578" s="549"/>
      <c r="G5578" s="550"/>
      <c r="H5578" s="551"/>
      <c r="I5578" s="552"/>
      <c r="J5578" s="553"/>
      <c r="K5578" s="554"/>
      <c r="M5578" s="301" t="str">
        <f>N5578&amp;AS[[#This Row],[Insurer Code]]&amp;"; "&amp;O5578&amp;AS[[#This Row],[Reporting Year]]&amp;"; "&amp;P5578&amp;AS[[#This Row],[Insurance Category Code]]&amp;"; "&amp;Q5578&amp;AS[[#This Row],[Large Provider Entity Code]]&amp;"; "&amp;R5578&amp;AS[[#This Row],[Age Band Code]]&amp;"; "&amp;S5578&amp;AS[[#This Row],[Sex Code]]</f>
        <v xml:space="preserve">Insurer Code ; Reporting Year ; Insurance Category Code ; Large Provider Entity Code ; Age Band Code ; Sex Code </v>
      </c>
      <c r="N5578" s="297" t="s">
        <v>197</v>
      </c>
      <c r="O5578" s="297" t="s">
        <v>198</v>
      </c>
      <c r="P5578" s="297" t="s">
        <v>199</v>
      </c>
      <c r="Q5578" s="297" t="s">
        <v>200</v>
      </c>
      <c r="R5578" s="297" t="s">
        <v>213</v>
      </c>
      <c r="S5578" s="297" t="s">
        <v>214</v>
      </c>
    </row>
    <row r="5579" spans="1:19" x14ac:dyDescent="0.4">
      <c r="A5579" s="548"/>
      <c r="B5579" s="292"/>
      <c r="C5579" s="292"/>
      <c r="D5579" s="292"/>
      <c r="E5579" s="549"/>
      <c r="F5579" s="549"/>
      <c r="G5579" s="550"/>
      <c r="H5579" s="551"/>
      <c r="I5579" s="552"/>
      <c r="J5579" s="553"/>
      <c r="K5579" s="554"/>
      <c r="M5579" s="301" t="str">
        <f>N5579&amp;AS[[#This Row],[Insurer Code]]&amp;"; "&amp;O5579&amp;AS[[#This Row],[Reporting Year]]&amp;"; "&amp;P5579&amp;AS[[#This Row],[Insurance Category Code]]&amp;"; "&amp;Q5579&amp;AS[[#This Row],[Large Provider Entity Code]]&amp;"; "&amp;R5579&amp;AS[[#This Row],[Age Band Code]]&amp;"; "&amp;S5579&amp;AS[[#This Row],[Sex Code]]</f>
        <v xml:space="preserve">Insurer Code ; Reporting Year ; Insurance Category Code ; Large Provider Entity Code ; Age Band Code ; Sex Code </v>
      </c>
      <c r="N5579" s="297" t="s">
        <v>197</v>
      </c>
      <c r="O5579" s="297" t="s">
        <v>198</v>
      </c>
      <c r="P5579" s="297" t="s">
        <v>199</v>
      </c>
      <c r="Q5579" s="297" t="s">
        <v>200</v>
      </c>
      <c r="R5579" s="297" t="s">
        <v>213</v>
      </c>
      <c r="S5579" s="297" t="s">
        <v>214</v>
      </c>
    </row>
    <row r="5580" spans="1:19" x14ac:dyDescent="0.4">
      <c r="A5580" s="548"/>
      <c r="B5580" s="292"/>
      <c r="C5580" s="292"/>
      <c r="D5580" s="292"/>
      <c r="E5580" s="549"/>
      <c r="F5580" s="549"/>
      <c r="G5580" s="550"/>
      <c r="H5580" s="551"/>
      <c r="I5580" s="552"/>
      <c r="J5580" s="553"/>
      <c r="K5580" s="554"/>
      <c r="M5580" s="301" t="str">
        <f>N5580&amp;AS[[#This Row],[Insurer Code]]&amp;"; "&amp;O5580&amp;AS[[#This Row],[Reporting Year]]&amp;"; "&amp;P5580&amp;AS[[#This Row],[Insurance Category Code]]&amp;"; "&amp;Q5580&amp;AS[[#This Row],[Large Provider Entity Code]]&amp;"; "&amp;R5580&amp;AS[[#This Row],[Age Band Code]]&amp;"; "&amp;S5580&amp;AS[[#This Row],[Sex Code]]</f>
        <v xml:space="preserve">Insurer Code ; Reporting Year ; Insurance Category Code ; Large Provider Entity Code ; Age Band Code ; Sex Code </v>
      </c>
      <c r="N5580" s="297" t="s">
        <v>197</v>
      </c>
      <c r="O5580" s="297" t="s">
        <v>198</v>
      </c>
      <c r="P5580" s="297" t="s">
        <v>199</v>
      </c>
      <c r="Q5580" s="297" t="s">
        <v>200</v>
      </c>
      <c r="R5580" s="297" t="s">
        <v>213</v>
      </c>
      <c r="S5580" s="297" t="s">
        <v>214</v>
      </c>
    </row>
    <row r="5581" spans="1:19" x14ac:dyDescent="0.4">
      <c r="A5581" s="548"/>
      <c r="B5581" s="292"/>
      <c r="C5581" s="292"/>
      <c r="D5581" s="292"/>
      <c r="E5581" s="549"/>
      <c r="F5581" s="549"/>
      <c r="G5581" s="550"/>
      <c r="H5581" s="551"/>
      <c r="I5581" s="552"/>
      <c r="J5581" s="553"/>
      <c r="K5581" s="554"/>
      <c r="M5581" s="301" t="str">
        <f>N5581&amp;AS[[#This Row],[Insurer Code]]&amp;"; "&amp;O5581&amp;AS[[#This Row],[Reporting Year]]&amp;"; "&amp;P5581&amp;AS[[#This Row],[Insurance Category Code]]&amp;"; "&amp;Q5581&amp;AS[[#This Row],[Large Provider Entity Code]]&amp;"; "&amp;R5581&amp;AS[[#This Row],[Age Band Code]]&amp;"; "&amp;S5581&amp;AS[[#This Row],[Sex Code]]</f>
        <v xml:space="preserve">Insurer Code ; Reporting Year ; Insurance Category Code ; Large Provider Entity Code ; Age Band Code ; Sex Code </v>
      </c>
      <c r="N5581" s="297" t="s">
        <v>197</v>
      </c>
      <c r="O5581" s="297" t="s">
        <v>198</v>
      </c>
      <c r="P5581" s="297" t="s">
        <v>199</v>
      </c>
      <c r="Q5581" s="297" t="s">
        <v>200</v>
      </c>
      <c r="R5581" s="297" t="s">
        <v>213</v>
      </c>
      <c r="S5581" s="297" t="s">
        <v>214</v>
      </c>
    </row>
    <row r="5582" spans="1:19" x14ac:dyDescent="0.4">
      <c r="A5582" s="548"/>
      <c r="B5582" s="292"/>
      <c r="C5582" s="292"/>
      <c r="D5582" s="292"/>
      <c r="E5582" s="549"/>
      <c r="F5582" s="549"/>
      <c r="G5582" s="550"/>
      <c r="H5582" s="551"/>
      <c r="I5582" s="552"/>
      <c r="J5582" s="553"/>
      <c r="K5582" s="554"/>
      <c r="M5582" s="301" t="str">
        <f>N5582&amp;AS[[#This Row],[Insurer Code]]&amp;"; "&amp;O5582&amp;AS[[#This Row],[Reporting Year]]&amp;"; "&amp;P5582&amp;AS[[#This Row],[Insurance Category Code]]&amp;"; "&amp;Q5582&amp;AS[[#This Row],[Large Provider Entity Code]]&amp;"; "&amp;R5582&amp;AS[[#This Row],[Age Band Code]]&amp;"; "&amp;S5582&amp;AS[[#This Row],[Sex Code]]</f>
        <v xml:space="preserve">Insurer Code ; Reporting Year ; Insurance Category Code ; Large Provider Entity Code ; Age Band Code ; Sex Code </v>
      </c>
      <c r="N5582" s="297" t="s">
        <v>197</v>
      </c>
      <c r="O5582" s="297" t="s">
        <v>198</v>
      </c>
      <c r="P5582" s="297" t="s">
        <v>199</v>
      </c>
      <c r="Q5582" s="297" t="s">
        <v>200</v>
      </c>
      <c r="R5582" s="297" t="s">
        <v>213</v>
      </c>
      <c r="S5582" s="297" t="s">
        <v>214</v>
      </c>
    </row>
    <row r="5583" spans="1:19" x14ac:dyDescent="0.4">
      <c r="A5583" s="548"/>
      <c r="B5583" s="292"/>
      <c r="C5583" s="292"/>
      <c r="D5583" s="292"/>
      <c r="E5583" s="549"/>
      <c r="F5583" s="549"/>
      <c r="G5583" s="550"/>
      <c r="H5583" s="551"/>
      <c r="I5583" s="552"/>
      <c r="J5583" s="553"/>
      <c r="K5583" s="554"/>
      <c r="M5583" s="301" t="str">
        <f>N5583&amp;AS[[#This Row],[Insurer Code]]&amp;"; "&amp;O5583&amp;AS[[#This Row],[Reporting Year]]&amp;"; "&amp;P5583&amp;AS[[#This Row],[Insurance Category Code]]&amp;"; "&amp;Q5583&amp;AS[[#This Row],[Large Provider Entity Code]]&amp;"; "&amp;R5583&amp;AS[[#This Row],[Age Band Code]]&amp;"; "&amp;S5583&amp;AS[[#This Row],[Sex Code]]</f>
        <v xml:space="preserve">Insurer Code ; Reporting Year ; Insurance Category Code ; Large Provider Entity Code ; Age Band Code ; Sex Code </v>
      </c>
      <c r="N5583" s="297" t="s">
        <v>197</v>
      </c>
      <c r="O5583" s="297" t="s">
        <v>198</v>
      </c>
      <c r="P5583" s="297" t="s">
        <v>199</v>
      </c>
      <c r="Q5583" s="297" t="s">
        <v>200</v>
      </c>
      <c r="R5583" s="297" t="s">
        <v>213</v>
      </c>
      <c r="S5583" s="297" t="s">
        <v>214</v>
      </c>
    </row>
    <row r="5584" spans="1:19" x14ac:dyDescent="0.4">
      <c r="A5584" s="548"/>
      <c r="B5584" s="292"/>
      <c r="C5584" s="292"/>
      <c r="D5584" s="292"/>
      <c r="E5584" s="549"/>
      <c r="F5584" s="549"/>
      <c r="G5584" s="550"/>
      <c r="H5584" s="551"/>
      <c r="I5584" s="552"/>
      <c r="J5584" s="553"/>
      <c r="K5584" s="554"/>
      <c r="M5584" s="301" t="str">
        <f>N5584&amp;AS[[#This Row],[Insurer Code]]&amp;"; "&amp;O5584&amp;AS[[#This Row],[Reporting Year]]&amp;"; "&amp;P5584&amp;AS[[#This Row],[Insurance Category Code]]&amp;"; "&amp;Q5584&amp;AS[[#This Row],[Large Provider Entity Code]]&amp;"; "&amp;R5584&amp;AS[[#This Row],[Age Band Code]]&amp;"; "&amp;S5584&amp;AS[[#This Row],[Sex Code]]</f>
        <v xml:space="preserve">Insurer Code ; Reporting Year ; Insurance Category Code ; Large Provider Entity Code ; Age Band Code ; Sex Code </v>
      </c>
      <c r="N5584" s="297" t="s">
        <v>197</v>
      </c>
      <c r="O5584" s="297" t="s">
        <v>198</v>
      </c>
      <c r="P5584" s="297" t="s">
        <v>199</v>
      </c>
      <c r="Q5584" s="297" t="s">
        <v>200</v>
      </c>
      <c r="R5584" s="297" t="s">
        <v>213</v>
      </c>
      <c r="S5584" s="297" t="s">
        <v>214</v>
      </c>
    </row>
    <row r="5585" spans="1:19" x14ac:dyDescent="0.4">
      <c r="A5585" s="548"/>
      <c r="B5585" s="292"/>
      <c r="C5585" s="292"/>
      <c r="D5585" s="292"/>
      <c r="E5585" s="549"/>
      <c r="F5585" s="549"/>
      <c r="G5585" s="550"/>
      <c r="H5585" s="551"/>
      <c r="I5585" s="552"/>
      <c r="J5585" s="553"/>
      <c r="K5585" s="554"/>
      <c r="M5585" s="301" t="str">
        <f>N5585&amp;AS[[#This Row],[Insurer Code]]&amp;"; "&amp;O5585&amp;AS[[#This Row],[Reporting Year]]&amp;"; "&amp;P5585&amp;AS[[#This Row],[Insurance Category Code]]&amp;"; "&amp;Q5585&amp;AS[[#This Row],[Large Provider Entity Code]]&amp;"; "&amp;R5585&amp;AS[[#This Row],[Age Band Code]]&amp;"; "&amp;S5585&amp;AS[[#This Row],[Sex Code]]</f>
        <v xml:space="preserve">Insurer Code ; Reporting Year ; Insurance Category Code ; Large Provider Entity Code ; Age Band Code ; Sex Code </v>
      </c>
      <c r="N5585" s="297" t="s">
        <v>197</v>
      </c>
      <c r="O5585" s="297" t="s">
        <v>198</v>
      </c>
      <c r="P5585" s="297" t="s">
        <v>199</v>
      </c>
      <c r="Q5585" s="297" t="s">
        <v>200</v>
      </c>
      <c r="R5585" s="297" t="s">
        <v>213</v>
      </c>
      <c r="S5585" s="297" t="s">
        <v>214</v>
      </c>
    </row>
    <row r="5586" spans="1:19" x14ac:dyDescent="0.4">
      <c r="A5586" s="548"/>
      <c r="B5586" s="292"/>
      <c r="C5586" s="292"/>
      <c r="D5586" s="292"/>
      <c r="E5586" s="549"/>
      <c r="F5586" s="549"/>
      <c r="G5586" s="550"/>
      <c r="H5586" s="551"/>
      <c r="I5586" s="552"/>
      <c r="J5586" s="553"/>
      <c r="K5586" s="554"/>
      <c r="M5586" s="301" t="str">
        <f>N5586&amp;AS[[#This Row],[Insurer Code]]&amp;"; "&amp;O5586&amp;AS[[#This Row],[Reporting Year]]&amp;"; "&amp;P5586&amp;AS[[#This Row],[Insurance Category Code]]&amp;"; "&amp;Q5586&amp;AS[[#This Row],[Large Provider Entity Code]]&amp;"; "&amp;R5586&amp;AS[[#This Row],[Age Band Code]]&amp;"; "&amp;S5586&amp;AS[[#This Row],[Sex Code]]</f>
        <v xml:space="preserve">Insurer Code ; Reporting Year ; Insurance Category Code ; Large Provider Entity Code ; Age Band Code ; Sex Code </v>
      </c>
      <c r="N5586" s="297" t="s">
        <v>197</v>
      </c>
      <c r="O5586" s="297" t="s">
        <v>198</v>
      </c>
      <c r="P5586" s="297" t="s">
        <v>199</v>
      </c>
      <c r="Q5586" s="297" t="s">
        <v>200</v>
      </c>
      <c r="R5586" s="297" t="s">
        <v>213</v>
      </c>
      <c r="S5586" s="297" t="s">
        <v>214</v>
      </c>
    </row>
    <row r="5587" spans="1:19" x14ac:dyDescent="0.4">
      <c r="A5587" s="548"/>
      <c r="B5587" s="292"/>
      <c r="C5587" s="292"/>
      <c r="D5587" s="292"/>
      <c r="E5587" s="549"/>
      <c r="F5587" s="549"/>
      <c r="G5587" s="550"/>
      <c r="H5587" s="551"/>
      <c r="I5587" s="552"/>
      <c r="J5587" s="553"/>
      <c r="K5587" s="554"/>
      <c r="M5587" s="301" t="str">
        <f>N5587&amp;AS[[#This Row],[Insurer Code]]&amp;"; "&amp;O5587&amp;AS[[#This Row],[Reporting Year]]&amp;"; "&amp;P5587&amp;AS[[#This Row],[Insurance Category Code]]&amp;"; "&amp;Q5587&amp;AS[[#This Row],[Large Provider Entity Code]]&amp;"; "&amp;R5587&amp;AS[[#This Row],[Age Band Code]]&amp;"; "&amp;S5587&amp;AS[[#This Row],[Sex Code]]</f>
        <v xml:space="preserve">Insurer Code ; Reporting Year ; Insurance Category Code ; Large Provider Entity Code ; Age Band Code ; Sex Code </v>
      </c>
      <c r="N5587" s="297" t="s">
        <v>197</v>
      </c>
      <c r="O5587" s="297" t="s">
        <v>198</v>
      </c>
      <c r="P5587" s="297" t="s">
        <v>199</v>
      </c>
      <c r="Q5587" s="297" t="s">
        <v>200</v>
      </c>
      <c r="R5587" s="297" t="s">
        <v>213</v>
      </c>
      <c r="S5587" s="297" t="s">
        <v>214</v>
      </c>
    </row>
    <row r="5588" spans="1:19" x14ac:dyDescent="0.4">
      <c r="A5588" s="548"/>
      <c r="B5588" s="292"/>
      <c r="C5588" s="292"/>
      <c r="D5588" s="292"/>
      <c r="E5588" s="549"/>
      <c r="F5588" s="549"/>
      <c r="G5588" s="550"/>
      <c r="H5588" s="551"/>
      <c r="I5588" s="552"/>
      <c r="J5588" s="553"/>
      <c r="K5588" s="554"/>
      <c r="M5588" s="301" t="str">
        <f>N5588&amp;AS[[#This Row],[Insurer Code]]&amp;"; "&amp;O5588&amp;AS[[#This Row],[Reporting Year]]&amp;"; "&amp;P5588&amp;AS[[#This Row],[Insurance Category Code]]&amp;"; "&amp;Q5588&amp;AS[[#This Row],[Large Provider Entity Code]]&amp;"; "&amp;R5588&amp;AS[[#This Row],[Age Band Code]]&amp;"; "&amp;S5588&amp;AS[[#This Row],[Sex Code]]</f>
        <v xml:space="preserve">Insurer Code ; Reporting Year ; Insurance Category Code ; Large Provider Entity Code ; Age Band Code ; Sex Code </v>
      </c>
      <c r="N5588" s="297" t="s">
        <v>197</v>
      </c>
      <c r="O5588" s="297" t="s">
        <v>198</v>
      </c>
      <c r="P5588" s="297" t="s">
        <v>199</v>
      </c>
      <c r="Q5588" s="297" t="s">
        <v>200</v>
      </c>
      <c r="R5588" s="297" t="s">
        <v>213</v>
      </c>
      <c r="S5588" s="297" t="s">
        <v>214</v>
      </c>
    </row>
    <row r="5589" spans="1:19" x14ac:dyDescent="0.4">
      <c r="A5589" s="548"/>
      <c r="B5589" s="292"/>
      <c r="C5589" s="292"/>
      <c r="D5589" s="292"/>
      <c r="E5589" s="549"/>
      <c r="F5589" s="549"/>
      <c r="G5589" s="550"/>
      <c r="H5589" s="551"/>
      <c r="I5589" s="552"/>
      <c r="J5589" s="553"/>
      <c r="K5589" s="554"/>
      <c r="M5589" s="301" t="str">
        <f>N5589&amp;AS[[#This Row],[Insurer Code]]&amp;"; "&amp;O5589&amp;AS[[#This Row],[Reporting Year]]&amp;"; "&amp;P5589&amp;AS[[#This Row],[Insurance Category Code]]&amp;"; "&amp;Q5589&amp;AS[[#This Row],[Large Provider Entity Code]]&amp;"; "&amp;R5589&amp;AS[[#This Row],[Age Band Code]]&amp;"; "&amp;S5589&amp;AS[[#This Row],[Sex Code]]</f>
        <v xml:space="preserve">Insurer Code ; Reporting Year ; Insurance Category Code ; Large Provider Entity Code ; Age Band Code ; Sex Code </v>
      </c>
      <c r="N5589" s="297" t="s">
        <v>197</v>
      </c>
      <c r="O5589" s="297" t="s">
        <v>198</v>
      </c>
      <c r="P5589" s="297" t="s">
        <v>199</v>
      </c>
      <c r="Q5589" s="297" t="s">
        <v>200</v>
      </c>
      <c r="R5589" s="297" t="s">
        <v>213</v>
      </c>
      <c r="S5589" s="297" t="s">
        <v>214</v>
      </c>
    </row>
    <row r="5590" spans="1:19" x14ac:dyDescent="0.4">
      <c r="A5590" s="548"/>
      <c r="B5590" s="292"/>
      <c r="C5590" s="292"/>
      <c r="D5590" s="292"/>
      <c r="E5590" s="549"/>
      <c r="F5590" s="549"/>
      <c r="G5590" s="550"/>
      <c r="H5590" s="551"/>
      <c r="I5590" s="552"/>
      <c r="J5590" s="553"/>
      <c r="K5590" s="554"/>
      <c r="M5590" s="301" t="str">
        <f>N5590&amp;AS[[#This Row],[Insurer Code]]&amp;"; "&amp;O5590&amp;AS[[#This Row],[Reporting Year]]&amp;"; "&amp;P5590&amp;AS[[#This Row],[Insurance Category Code]]&amp;"; "&amp;Q5590&amp;AS[[#This Row],[Large Provider Entity Code]]&amp;"; "&amp;R5590&amp;AS[[#This Row],[Age Band Code]]&amp;"; "&amp;S5590&amp;AS[[#This Row],[Sex Code]]</f>
        <v xml:space="preserve">Insurer Code ; Reporting Year ; Insurance Category Code ; Large Provider Entity Code ; Age Band Code ; Sex Code </v>
      </c>
      <c r="N5590" s="297" t="s">
        <v>197</v>
      </c>
      <c r="O5590" s="297" t="s">
        <v>198</v>
      </c>
      <c r="P5590" s="297" t="s">
        <v>199</v>
      </c>
      <c r="Q5590" s="297" t="s">
        <v>200</v>
      </c>
      <c r="R5590" s="297" t="s">
        <v>213</v>
      </c>
      <c r="S5590" s="297" t="s">
        <v>214</v>
      </c>
    </row>
    <row r="5591" spans="1:19" x14ac:dyDescent="0.4">
      <c r="A5591" s="548"/>
      <c r="B5591" s="292"/>
      <c r="C5591" s="292"/>
      <c r="D5591" s="292"/>
      <c r="E5591" s="549"/>
      <c r="F5591" s="549"/>
      <c r="G5591" s="550"/>
      <c r="H5591" s="551"/>
      <c r="I5591" s="552"/>
      <c r="J5591" s="553"/>
      <c r="K5591" s="554"/>
      <c r="M5591" s="301" t="str">
        <f>N5591&amp;AS[[#This Row],[Insurer Code]]&amp;"; "&amp;O5591&amp;AS[[#This Row],[Reporting Year]]&amp;"; "&amp;P5591&amp;AS[[#This Row],[Insurance Category Code]]&amp;"; "&amp;Q5591&amp;AS[[#This Row],[Large Provider Entity Code]]&amp;"; "&amp;R5591&amp;AS[[#This Row],[Age Band Code]]&amp;"; "&amp;S5591&amp;AS[[#This Row],[Sex Code]]</f>
        <v xml:space="preserve">Insurer Code ; Reporting Year ; Insurance Category Code ; Large Provider Entity Code ; Age Band Code ; Sex Code </v>
      </c>
      <c r="N5591" s="297" t="s">
        <v>197</v>
      </c>
      <c r="O5591" s="297" t="s">
        <v>198</v>
      </c>
      <c r="P5591" s="297" t="s">
        <v>199</v>
      </c>
      <c r="Q5591" s="297" t="s">
        <v>200</v>
      </c>
      <c r="R5591" s="297" t="s">
        <v>213</v>
      </c>
      <c r="S5591" s="297" t="s">
        <v>214</v>
      </c>
    </row>
    <row r="5592" spans="1:19" x14ac:dyDescent="0.4">
      <c r="A5592" s="548"/>
      <c r="B5592" s="292"/>
      <c r="C5592" s="292"/>
      <c r="D5592" s="292"/>
      <c r="E5592" s="549"/>
      <c r="F5592" s="549"/>
      <c r="G5592" s="550"/>
      <c r="H5592" s="551"/>
      <c r="I5592" s="552"/>
      <c r="J5592" s="553"/>
      <c r="K5592" s="554"/>
      <c r="M5592" s="301" t="str">
        <f>N5592&amp;AS[[#This Row],[Insurer Code]]&amp;"; "&amp;O5592&amp;AS[[#This Row],[Reporting Year]]&amp;"; "&amp;P5592&amp;AS[[#This Row],[Insurance Category Code]]&amp;"; "&amp;Q5592&amp;AS[[#This Row],[Large Provider Entity Code]]&amp;"; "&amp;R5592&amp;AS[[#This Row],[Age Band Code]]&amp;"; "&amp;S5592&amp;AS[[#This Row],[Sex Code]]</f>
        <v xml:space="preserve">Insurer Code ; Reporting Year ; Insurance Category Code ; Large Provider Entity Code ; Age Band Code ; Sex Code </v>
      </c>
      <c r="N5592" s="297" t="s">
        <v>197</v>
      </c>
      <c r="O5592" s="297" t="s">
        <v>198</v>
      </c>
      <c r="P5592" s="297" t="s">
        <v>199</v>
      </c>
      <c r="Q5592" s="297" t="s">
        <v>200</v>
      </c>
      <c r="R5592" s="297" t="s">
        <v>213</v>
      </c>
      <c r="S5592" s="297" t="s">
        <v>214</v>
      </c>
    </row>
    <row r="5593" spans="1:19" x14ac:dyDescent="0.4">
      <c r="A5593" s="548"/>
      <c r="B5593" s="292"/>
      <c r="C5593" s="292"/>
      <c r="D5593" s="292"/>
      <c r="E5593" s="549"/>
      <c r="F5593" s="549"/>
      <c r="G5593" s="550"/>
      <c r="H5593" s="551"/>
      <c r="I5593" s="552"/>
      <c r="J5593" s="553"/>
      <c r="K5593" s="554"/>
      <c r="M5593" s="301" t="str">
        <f>N5593&amp;AS[[#This Row],[Insurer Code]]&amp;"; "&amp;O5593&amp;AS[[#This Row],[Reporting Year]]&amp;"; "&amp;P5593&amp;AS[[#This Row],[Insurance Category Code]]&amp;"; "&amp;Q5593&amp;AS[[#This Row],[Large Provider Entity Code]]&amp;"; "&amp;R5593&amp;AS[[#This Row],[Age Band Code]]&amp;"; "&amp;S5593&amp;AS[[#This Row],[Sex Code]]</f>
        <v xml:space="preserve">Insurer Code ; Reporting Year ; Insurance Category Code ; Large Provider Entity Code ; Age Band Code ; Sex Code </v>
      </c>
      <c r="N5593" s="297" t="s">
        <v>197</v>
      </c>
      <c r="O5593" s="297" t="s">
        <v>198</v>
      </c>
      <c r="P5593" s="297" t="s">
        <v>199</v>
      </c>
      <c r="Q5593" s="297" t="s">
        <v>200</v>
      </c>
      <c r="R5593" s="297" t="s">
        <v>213</v>
      </c>
      <c r="S5593" s="297" t="s">
        <v>214</v>
      </c>
    </row>
    <row r="5594" spans="1:19" x14ac:dyDescent="0.4">
      <c r="A5594" s="548"/>
      <c r="B5594" s="292"/>
      <c r="C5594" s="292"/>
      <c r="D5594" s="292"/>
      <c r="E5594" s="549"/>
      <c r="F5594" s="549"/>
      <c r="G5594" s="550"/>
      <c r="H5594" s="551"/>
      <c r="I5594" s="552"/>
      <c r="J5594" s="553"/>
      <c r="K5594" s="554"/>
      <c r="M5594" s="301" t="str">
        <f>N5594&amp;AS[[#This Row],[Insurer Code]]&amp;"; "&amp;O5594&amp;AS[[#This Row],[Reporting Year]]&amp;"; "&amp;P5594&amp;AS[[#This Row],[Insurance Category Code]]&amp;"; "&amp;Q5594&amp;AS[[#This Row],[Large Provider Entity Code]]&amp;"; "&amp;R5594&amp;AS[[#This Row],[Age Band Code]]&amp;"; "&amp;S5594&amp;AS[[#This Row],[Sex Code]]</f>
        <v xml:space="preserve">Insurer Code ; Reporting Year ; Insurance Category Code ; Large Provider Entity Code ; Age Band Code ; Sex Code </v>
      </c>
      <c r="N5594" s="297" t="s">
        <v>197</v>
      </c>
      <c r="O5594" s="297" t="s">
        <v>198</v>
      </c>
      <c r="P5594" s="297" t="s">
        <v>199</v>
      </c>
      <c r="Q5594" s="297" t="s">
        <v>200</v>
      </c>
      <c r="R5594" s="297" t="s">
        <v>213</v>
      </c>
      <c r="S5594" s="297" t="s">
        <v>214</v>
      </c>
    </row>
    <row r="5595" spans="1:19" x14ac:dyDescent="0.4">
      <c r="A5595" s="548"/>
      <c r="B5595" s="292"/>
      <c r="C5595" s="292"/>
      <c r="D5595" s="292"/>
      <c r="E5595" s="549"/>
      <c r="F5595" s="549"/>
      <c r="G5595" s="550"/>
      <c r="H5595" s="551"/>
      <c r="I5595" s="552"/>
      <c r="J5595" s="553"/>
      <c r="K5595" s="554"/>
      <c r="M5595" s="301" t="str">
        <f>N5595&amp;AS[[#This Row],[Insurer Code]]&amp;"; "&amp;O5595&amp;AS[[#This Row],[Reporting Year]]&amp;"; "&amp;P5595&amp;AS[[#This Row],[Insurance Category Code]]&amp;"; "&amp;Q5595&amp;AS[[#This Row],[Large Provider Entity Code]]&amp;"; "&amp;R5595&amp;AS[[#This Row],[Age Band Code]]&amp;"; "&amp;S5595&amp;AS[[#This Row],[Sex Code]]</f>
        <v xml:space="preserve">Insurer Code ; Reporting Year ; Insurance Category Code ; Large Provider Entity Code ; Age Band Code ; Sex Code </v>
      </c>
      <c r="N5595" s="297" t="s">
        <v>197</v>
      </c>
      <c r="O5595" s="297" t="s">
        <v>198</v>
      </c>
      <c r="P5595" s="297" t="s">
        <v>199</v>
      </c>
      <c r="Q5595" s="297" t="s">
        <v>200</v>
      </c>
      <c r="R5595" s="297" t="s">
        <v>213</v>
      </c>
      <c r="S5595" s="297" t="s">
        <v>214</v>
      </c>
    </row>
    <row r="5596" spans="1:19" x14ac:dyDescent="0.4">
      <c r="A5596" s="548"/>
      <c r="B5596" s="292"/>
      <c r="C5596" s="292"/>
      <c r="D5596" s="292"/>
      <c r="E5596" s="549"/>
      <c r="F5596" s="549"/>
      <c r="G5596" s="550"/>
      <c r="H5596" s="551"/>
      <c r="I5596" s="552"/>
      <c r="J5596" s="553"/>
      <c r="K5596" s="554"/>
      <c r="M5596" s="301" t="str">
        <f>N5596&amp;AS[[#This Row],[Insurer Code]]&amp;"; "&amp;O5596&amp;AS[[#This Row],[Reporting Year]]&amp;"; "&amp;P5596&amp;AS[[#This Row],[Insurance Category Code]]&amp;"; "&amp;Q5596&amp;AS[[#This Row],[Large Provider Entity Code]]&amp;"; "&amp;R5596&amp;AS[[#This Row],[Age Band Code]]&amp;"; "&amp;S5596&amp;AS[[#This Row],[Sex Code]]</f>
        <v xml:space="preserve">Insurer Code ; Reporting Year ; Insurance Category Code ; Large Provider Entity Code ; Age Band Code ; Sex Code </v>
      </c>
      <c r="N5596" s="297" t="s">
        <v>197</v>
      </c>
      <c r="O5596" s="297" t="s">
        <v>198</v>
      </c>
      <c r="P5596" s="297" t="s">
        <v>199</v>
      </c>
      <c r="Q5596" s="297" t="s">
        <v>200</v>
      </c>
      <c r="R5596" s="297" t="s">
        <v>213</v>
      </c>
      <c r="S5596" s="297" t="s">
        <v>214</v>
      </c>
    </row>
    <row r="5597" spans="1:19" x14ac:dyDescent="0.4">
      <c r="A5597" s="548"/>
      <c r="B5597" s="292"/>
      <c r="C5597" s="292"/>
      <c r="D5597" s="292"/>
      <c r="E5597" s="549"/>
      <c r="F5597" s="549"/>
      <c r="G5597" s="550"/>
      <c r="H5597" s="551"/>
      <c r="I5597" s="552"/>
      <c r="J5597" s="553"/>
      <c r="K5597" s="554"/>
      <c r="M5597" s="301" t="str">
        <f>N5597&amp;AS[[#This Row],[Insurer Code]]&amp;"; "&amp;O5597&amp;AS[[#This Row],[Reporting Year]]&amp;"; "&amp;P5597&amp;AS[[#This Row],[Insurance Category Code]]&amp;"; "&amp;Q5597&amp;AS[[#This Row],[Large Provider Entity Code]]&amp;"; "&amp;R5597&amp;AS[[#This Row],[Age Band Code]]&amp;"; "&amp;S5597&amp;AS[[#This Row],[Sex Code]]</f>
        <v xml:space="preserve">Insurer Code ; Reporting Year ; Insurance Category Code ; Large Provider Entity Code ; Age Band Code ; Sex Code </v>
      </c>
      <c r="N5597" s="297" t="s">
        <v>197</v>
      </c>
      <c r="O5597" s="297" t="s">
        <v>198</v>
      </c>
      <c r="P5597" s="297" t="s">
        <v>199</v>
      </c>
      <c r="Q5597" s="297" t="s">
        <v>200</v>
      </c>
      <c r="R5597" s="297" t="s">
        <v>213</v>
      </c>
      <c r="S5597" s="297" t="s">
        <v>214</v>
      </c>
    </row>
    <row r="5598" spans="1:19" x14ac:dyDescent="0.4">
      <c r="A5598" s="548"/>
      <c r="B5598" s="292"/>
      <c r="C5598" s="292"/>
      <c r="D5598" s="292"/>
      <c r="E5598" s="549"/>
      <c r="F5598" s="549"/>
      <c r="G5598" s="550"/>
      <c r="H5598" s="551"/>
      <c r="I5598" s="552"/>
      <c r="J5598" s="553"/>
      <c r="K5598" s="554"/>
      <c r="M5598" s="301" t="str">
        <f>N5598&amp;AS[[#This Row],[Insurer Code]]&amp;"; "&amp;O5598&amp;AS[[#This Row],[Reporting Year]]&amp;"; "&amp;P5598&amp;AS[[#This Row],[Insurance Category Code]]&amp;"; "&amp;Q5598&amp;AS[[#This Row],[Large Provider Entity Code]]&amp;"; "&amp;R5598&amp;AS[[#This Row],[Age Band Code]]&amp;"; "&amp;S5598&amp;AS[[#This Row],[Sex Code]]</f>
        <v xml:space="preserve">Insurer Code ; Reporting Year ; Insurance Category Code ; Large Provider Entity Code ; Age Band Code ; Sex Code </v>
      </c>
      <c r="N5598" s="297" t="s">
        <v>197</v>
      </c>
      <c r="O5598" s="297" t="s">
        <v>198</v>
      </c>
      <c r="P5598" s="297" t="s">
        <v>199</v>
      </c>
      <c r="Q5598" s="297" t="s">
        <v>200</v>
      </c>
      <c r="R5598" s="297" t="s">
        <v>213</v>
      </c>
      <c r="S5598" s="297" t="s">
        <v>214</v>
      </c>
    </row>
    <row r="5599" spans="1:19" x14ac:dyDescent="0.4">
      <c r="A5599" s="548"/>
      <c r="B5599" s="292"/>
      <c r="C5599" s="292"/>
      <c r="D5599" s="292"/>
      <c r="E5599" s="549"/>
      <c r="F5599" s="549"/>
      <c r="G5599" s="550"/>
      <c r="H5599" s="551"/>
      <c r="I5599" s="552"/>
      <c r="J5599" s="553"/>
      <c r="K5599" s="554"/>
      <c r="M5599" s="301" t="str">
        <f>N5599&amp;AS[[#This Row],[Insurer Code]]&amp;"; "&amp;O5599&amp;AS[[#This Row],[Reporting Year]]&amp;"; "&amp;P5599&amp;AS[[#This Row],[Insurance Category Code]]&amp;"; "&amp;Q5599&amp;AS[[#This Row],[Large Provider Entity Code]]&amp;"; "&amp;R5599&amp;AS[[#This Row],[Age Band Code]]&amp;"; "&amp;S5599&amp;AS[[#This Row],[Sex Code]]</f>
        <v xml:space="preserve">Insurer Code ; Reporting Year ; Insurance Category Code ; Large Provider Entity Code ; Age Band Code ; Sex Code </v>
      </c>
      <c r="N5599" s="297" t="s">
        <v>197</v>
      </c>
      <c r="O5599" s="297" t="s">
        <v>198</v>
      </c>
      <c r="P5599" s="297" t="s">
        <v>199</v>
      </c>
      <c r="Q5599" s="297" t="s">
        <v>200</v>
      </c>
      <c r="R5599" s="297" t="s">
        <v>213</v>
      </c>
      <c r="S5599" s="297" t="s">
        <v>214</v>
      </c>
    </row>
    <row r="5600" spans="1:19" x14ac:dyDescent="0.4">
      <c r="A5600" s="548"/>
      <c r="B5600" s="292"/>
      <c r="C5600" s="292"/>
      <c r="D5600" s="292"/>
      <c r="E5600" s="549"/>
      <c r="F5600" s="549"/>
      <c r="G5600" s="550"/>
      <c r="H5600" s="551"/>
      <c r="I5600" s="552"/>
      <c r="J5600" s="553"/>
      <c r="K5600" s="554"/>
      <c r="M5600" s="301" t="str">
        <f>N5600&amp;AS[[#This Row],[Insurer Code]]&amp;"; "&amp;O5600&amp;AS[[#This Row],[Reporting Year]]&amp;"; "&amp;P5600&amp;AS[[#This Row],[Insurance Category Code]]&amp;"; "&amp;Q5600&amp;AS[[#This Row],[Large Provider Entity Code]]&amp;"; "&amp;R5600&amp;AS[[#This Row],[Age Band Code]]&amp;"; "&amp;S5600&amp;AS[[#This Row],[Sex Code]]</f>
        <v xml:space="preserve">Insurer Code ; Reporting Year ; Insurance Category Code ; Large Provider Entity Code ; Age Band Code ; Sex Code </v>
      </c>
      <c r="N5600" s="297" t="s">
        <v>197</v>
      </c>
      <c r="O5600" s="297" t="s">
        <v>198</v>
      </c>
      <c r="P5600" s="297" t="s">
        <v>199</v>
      </c>
      <c r="Q5600" s="297" t="s">
        <v>200</v>
      </c>
      <c r="R5600" s="297" t="s">
        <v>213</v>
      </c>
      <c r="S5600" s="297" t="s">
        <v>214</v>
      </c>
    </row>
    <row r="5601" spans="1:19" x14ac:dyDescent="0.4">
      <c r="A5601" s="548"/>
      <c r="B5601" s="292"/>
      <c r="C5601" s="292"/>
      <c r="D5601" s="292"/>
      <c r="E5601" s="549"/>
      <c r="F5601" s="549"/>
      <c r="G5601" s="550"/>
      <c r="H5601" s="551"/>
      <c r="I5601" s="552"/>
      <c r="J5601" s="553"/>
      <c r="K5601" s="554"/>
      <c r="M5601" s="301" t="str">
        <f>N5601&amp;AS[[#This Row],[Insurer Code]]&amp;"; "&amp;O5601&amp;AS[[#This Row],[Reporting Year]]&amp;"; "&amp;P5601&amp;AS[[#This Row],[Insurance Category Code]]&amp;"; "&amp;Q5601&amp;AS[[#This Row],[Large Provider Entity Code]]&amp;"; "&amp;R5601&amp;AS[[#This Row],[Age Band Code]]&amp;"; "&amp;S5601&amp;AS[[#This Row],[Sex Code]]</f>
        <v xml:space="preserve">Insurer Code ; Reporting Year ; Insurance Category Code ; Large Provider Entity Code ; Age Band Code ; Sex Code </v>
      </c>
      <c r="N5601" s="297" t="s">
        <v>197</v>
      </c>
      <c r="O5601" s="297" t="s">
        <v>198</v>
      </c>
      <c r="P5601" s="297" t="s">
        <v>199</v>
      </c>
      <c r="Q5601" s="297" t="s">
        <v>200</v>
      </c>
      <c r="R5601" s="297" t="s">
        <v>213</v>
      </c>
      <c r="S5601" s="297" t="s">
        <v>214</v>
      </c>
    </row>
    <row r="5602" spans="1:19" x14ac:dyDescent="0.4">
      <c r="A5602" s="548"/>
      <c r="B5602" s="292"/>
      <c r="C5602" s="292"/>
      <c r="D5602" s="292"/>
      <c r="E5602" s="549"/>
      <c r="F5602" s="549"/>
      <c r="G5602" s="550"/>
      <c r="H5602" s="551"/>
      <c r="I5602" s="552"/>
      <c r="J5602" s="553"/>
      <c r="K5602" s="554"/>
      <c r="M5602" s="301" t="str">
        <f>N5602&amp;AS[[#This Row],[Insurer Code]]&amp;"; "&amp;O5602&amp;AS[[#This Row],[Reporting Year]]&amp;"; "&amp;P5602&amp;AS[[#This Row],[Insurance Category Code]]&amp;"; "&amp;Q5602&amp;AS[[#This Row],[Large Provider Entity Code]]&amp;"; "&amp;R5602&amp;AS[[#This Row],[Age Band Code]]&amp;"; "&amp;S5602&amp;AS[[#This Row],[Sex Code]]</f>
        <v xml:space="preserve">Insurer Code ; Reporting Year ; Insurance Category Code ; Large Provider Entity Code ; Age Band Code ; Sex Code </v>
      </c>
      <c r="N5602" s="297" t="s">
        <v>197</v>
      </c>
      <c r="O5602" s="297" t="s">
        <v>198</v>
      </c>
      <c r="P5602" s="297" t="s">
        <v>199</v>
      </c>
      <c r="Q5602" s="297" t="s">
        <v>200</v>
      </c>
      <c r="R5602" s="297" t="s">
        <v>213</v>
      </c>
      <c r="S5602" s="297" t="s">
        <v>214</v>
      </c>
    </row>
    <row r="5603" spans="1:19" x14ac:dyDescent="0.4">
      <c r="A5603" s="548"/>
      <c r="B5603" s="292"/>
      <c r="C5603" s="292"/>
      <c r="D5603" s="292"/>
      <c r="E5603" s="549"/>
      <c r="F5603" s="549"/>
      <c r="G5603" s="550"/>
      <c r="H5603" s="551"/>
      <c r="I5603" s="552"/>
      <c r="J5603" s="553"/>
      <c r="K5603" s="554"/>
      <c r="M5603" s="301" t="str">
        <f>N5603&amp;AS[[#This Row],[Insurer Code]]&amp;"; "&amp;O5603&amp;AS[[#This Row],[Reporting Year]]&amp;"; "&amp;P5603&amp;AS[[#This Row],[Insurance Category Code]]&amp;"; "&amp;Q5603&amp;AS[[#This Row],[Large Provider Entity Code]]&amp;"; "&amp;R5603&amp;AS[[#This Row],[Age Band Code]]&amp;"; "&amp;S5603&amp;AS[[#This Row],[Sex Code]]</f>
        <v xml:space="preserve">Insurer Code ; Reporting Year ; Insurance Category Code ; Large Provider Entity Code ; Age Band Code ; Sex Code </v>
      </c>
      <c r="N5603" s="297" t="s">
        <v>197</v>
      </c>
      <c r="O5603" s="297" t="s">
        <v>198</v>
      </c>
      <c r="P5603" s="297" t="s">
        <v>199</v>
      </c>
      <c r="Q5603" s="297" t="s">
        <v>200</v>
      </c>
      <c r="R5603" s="297" t="s">
        <v>213</v>
      </c>
      <c r="S5603" s="297" t="s">
        <v>214</v>
      </c>
    </row>
    <row r="5604" spans="1:19" x14ac:dyDescent="0.4">
      <c r="A5604" s="548"/>
      <c r="B5604" s="292"/>
      <c r="C5604" s="292"/>
      <c r="D5604" s="292"/>
      <c r="E5604" s="549"/>
      <c r="F5604" s="549"/>
      <c r="G5604" s="550"/>
      <c r="H5604" s="551"/>
      <c r="I5604" s="552"/>
      <c r="J5604" s="553"/>
      <c r="K5604" s="554"/>
      <c r="M5604" s="301" t="str">
        <f>N5604&amp;AS[[#This Row],[Insurer Code]]&amp;"; "&amp;O5604&amp;AS[[#This Row],[Reporting Year]]&amp;"; "&amp;P5604&amp;AS[[#This Row],[Insurance Category Code]]&amp;"; "&amp;Q5604&amp;AS[[#This Row],[Large Provider Entity Code]]&amp;"; "&amp;R5604&amp;AS[[#This Row],[Age Band Code]]&amp;"; "&amp;S5604&amp;AS[[#This Row],[Sex Code]]</f>
        <v xml:space="preserve">Insurer Code ; Reporting Year ; Insurance Category Code ; Large Provider Entity Code ; Age Band Code ; Sex Code </v>
      </c>
      <c r="N5604" s="297" t="s">
        <v>197</v>
      </c>
      <c r="O5604" s="297" t="s">
        <v>198</v>
      </c>
      <c r="P5604" s="297" t="s">
        <v>199</v>
      </c>
      <c r="Q5604" s="297" t="s">
        <v>200</v>
      </c>
      <c r="R5604" s="297" t="s">
        <v>213</v>
      </c>
      <c r="S5604" s="297" t="s">
        <v>214</v>
      </c>
    </row>
    <row r="5605" spans="1:19" x14ac:dyDescent="0.4">
      <c r="A5605" s="548"/>
      <c r="B5605" s="292"/>
      <c r="C5605" s="292"/>
      <c r="D5605" s="292"/>
      <c r="E5605" s="549"/>
      <c r="F5605" s="549"/>
      <c r="G5605" s="550"/>
      <c r="H5605" s="551"/>
      <c r="I5605" s="552"/>
      <c r="J5605" s="553"/>
      <c r="K5605" s="554"/>
      <c r="M5605" s="301" t="str">
        <f>N5605&amp;AS[[#This Row],[Insurer Code]]&amp;"; "&amp;O5605&amp;AS[[#This Row],[Reporting Year]]&amp;"; "&amp;P5605&amp;AS[[#This Row],[Insurance Category Code]]&amp;"; "&amp;Q5605&amp;AS[[#This Row],[Large Provider Entity Code]]&amp;"; "&amp;R5605&amp;AS[[#This Row],[Age Band Code]]&amp;"; "&amp;S5605&amp;AS[[#This Row],[Sex Code]]</f>
        <v xml:space="preserve">Insurer Code ; Reporting Year ; Insurance Category Code ; Large Provider Entity Code ; Age Band Code ; Sex Code </v>
      </c>
      <c r="N5605" s="297" t="s">
        <v>197</v>
      </c>
      <c r="O5605" s="297" t="s">
        <v>198</v>
      </c>
      <c r="P5605" s="297" t="s">
        <v>199</v>
      </c>
      <c r="Q5605" s="297" t="s">
        <v>200</v>
      </c>
      <c r="R5605" s="297" t="s">
        <v>213</v>
      </c>
      <c r="S5605" s="297" t="s">
        <v>214</v>
      </c>
    </row>
    <row r="5606" spans="1:19" x14ac:dyDescent="0.4">
      <c r="A5606" s="548"/>
      <c r="B5606" s="292"/>
      <c r="C5606" s="292"/>
      <c r="D5606" s="292"/>
      <c r="E5606" s="549"/>
      <c r="F5606" s="549"/>
      <c r="G5606" s="550"/>
      <c r="H5606" s="551"/>
      <c r="I5606" s="552"/>
      <c r="J5606" s="553"/>
      <c r="K5606" s="554"/>
      <c r="M5606" s="301" t="str">
        <f>N5606&amp;AS[[#This Row],[Insurer Code]]&amp;"; "&amp;O5606&amp;AS[[#This Row],[Reporting Year]]&amp;"; "&amp;P5606&amp;AS[[#This Row],[Insurance Category Code]]&amp;"; "&amp;Q5606&amp;AS[[#This Row],[Large Provider Entity Code]]&amp;"; "&amp;R5606&amp;AS[[#This Row],[Age Band Code]]&amp;"; "&amp;S5606&amp;AS[[#This Row],[Sex Code]]</f>
        <v xml:space="preserve">Insurer Code ; Reporting Year ; Insurance Category Code ; Large Provider Entity Code ; Age Band Code ; Sex Code </v>
      </c>
      <c r="N5606" s="297" t="s">
        <v>197</v>
      </c>
      <c r="O5606" s="297" t="s">
        <v>198</v>
      </c>
      <c r="P5606" s="297" t="s">
        <v>199</v>
      </c>
      <c r="Q5606" s="297" t="s">
        <v>200</v>
      </c>
      <c r="R5606" s="297" t="s">
        <v>213</v>
      </c>
      <c r="S5606" s="297" t="s">
        <v>214</v>
      </c>
    </row>
    <row r="5607" spans="1:19" x14ac:dyDescent="0.4">
      <c r="A5607" s="548"/>
      <c r="B5607" s="292"/>
      <c r="C5607" s="292"/>
      <c r="D5607" s="292"/>
      <c r="E5607" s="549"/>
      <c r="F5607" s="549"/>
      <c r="G5607" s="550"/>
      <c r="H5607" s="551"/>
      <c r="I5607" s="552"/>
      <c r="J5607" s="553"/>
      <c r="K5607" s="554"/>
      <c r="M5607" s="301" t="str">
        <f>N5607&amp;AS[[#This Row],[Insurer Code]]&amp;"; "&amp;O5607&amp;AS[[#This Row],[Reporting Year]]&amp;"; "&amp;P5607&amp;AS[[#This Row],[Insurance Category Code]]&amp;"; "&amp;Q5607&amp;AS[[#This Row],[Large Provider Entity Code]]&amp;"; "&amp;R5607&amp;AS[[#This Row],[Age Band Code]]&amp;"; "&amp;S5607&amp;AS[[#This Row],[Sex Code]]</f>
        <v xml:space="preserve">Insurer Code ; Reporting Year ; Insurance Category Code ; Large Provider Entity Code ; Age Band Code ; Sex Code </v>
      </c>
      <c r="N5607" s="297" t="s">
        <v>197</v>
      </c>
      <c r="O5607" s="297" t="s">
        <v>198</v>
      </c>
      <c r="P5607" s="297" t="s">
        <v>199</v>
      </c>
      <c r="Q5607" s="297" t="s">
        <v>200</v>
      </c>
      <c r="R5607" s="297" t="s">
        <v>213</v>
      </c>
      <c r="S5607" s="297" t="s">
        <v>214</v>
      </c>
    </row>
    <row r="5608" spans="1:19" x14ac:dyDescent="0.4">
      <c r="A5608" s="548"/>
      <c r="B5608" s="292"/>
      <c r="C5608" s="292"/>
      <c r="D5608" s="292"/>
      <c r="E5608" s="549"/>
      <c r="F5608" s="549"/>
      <c r="G5608" s="550"/>
      <c r="H5608" s="551"/>
      <c r="I5608" s="552"/>
      <c r="J5608" s="553"/>
      <c r="K5608" s="554"/>
      <c r="M5608" s="301" t="str">
        <f>N5608&amp;AS[[#This Row],[Insurer Code]]&amp;"; "&amp;O5608&amp;AS[[#This Row],[Reporting Year]]&amp;"; "&amp;P5608&amp;AS[[#This Row],[Insurance Category Code]]&amp;"; "&amp;Q5608&amp;AS[[#This Row],[Large Provider Entity Code]]&amp;"; "&amp;R5608&amp;AS[[#This Row],[Age Band Code]]&amp;"; "&amp;S5608&amp;AS[[#This Row],[Sex Code]]</f>
        <v xml:space="preserve">Insurer Code ; Reporting Year ; Insurance Category Code ; Large Provider Entity Code ; Age Band Code ; Sex Code </v>
      </c>
      <c r="N5608" s="297" t="s">
        <v>197</v>
      </c>
      <c r="O5608" s="297" t="s">
        <v>198</v>
      </c>
      <c r="P5608" s="297" t="s">
        <v>199</v>
      </c>
      <c r="Q5608" s="297" t="s">
        <v>200</v>
      </c>
      <c r="R5608" s="297" t="s">
        <v>213</v>
      </c>
      <c r="S5608" s="297" t="s">
        <v>214</v>
      </c>
    </row>
    <row r="5609" spans="1:19" x14ac:dyDescent="0.4">
      <c r="A5609" s="548"/>
      <c r="B5609" s="292"/>
      <c r="C5609" s="292"/>
      <c r="D5609" s="292"/>
      <c r="E5609" s="549"/>
      <c r="F5609" s="549"/>
      <c r="G5609" s="550"/>
      <c r="H5609" s="551"/>
      <c r="I5609" s="552"/>
      <c r="J5609" s="553"/>
      <c r="K5609" s="554"/>
      <c r="M5609" s="301" t="str">
        <f>N5609&amp;AS[[#This Row],[Insurer Code]]&amp;"; "&amp;O5609&amp;AS[[#This Row],[Reporting Year]]&amp;"; "&amp;P5609&amp;AS[[#This Row],[Insurance Category Code]]&amp;"; "&amp;Q5609&amp;AS[[#This Row],[Large Provider Entity Code]]&amp;"; "&amp;R5609&amp;AS[[#This Row],[Age Band Code]]&amp;"; "&amp;S5609&amp;AS[[#This Row],[Sex Code]]</f>
        <v xml:space="preserve">Insurer Code ; Reporting Year ; Insurance Category Code ; Large Provider Entity Code ; Age Band Code ; Sex Code </v>
      </c>
      <c r="N5609" s="297" t="s">
        <v>197</v>
      </c>
      <c r="O5609" s="297" t="s">
        <v>198</v>
      </c>
      <c r="P5609" s="297" t="s">
        <v>199</v>
      </c>
      <c r="Q5609" s="297" t="s">
        <v>200</v>
      </c>
      <c r="R5609" s="297" t="s">
        <v>213</v>
      </c>
      <c r="S5609" s="297" t="s">
        <v>214</v>
      </c>
    </row>
    <row r="5610" spans="1:19" x14ac:dyDescent="0.4">
      <c r="A5610" s="548"/>
      <c r="B5610" s="292"/>
      <c r="C5610" s="292"/>
      <c r="D5610" s="292"/>
      <c r="E5610" s="549"/>
      <c r="F5610" s="549"/>
      <c r="G5610" s="550"/>
      <c r="H5610" s="551"/>
      <c r="I5610" s="552"/>
      <c r="J5610" s="553"/>
      <c r="K5610" s="554"/>
      <c r="M5610" s="301" t="str">
        <f>N5610&amp;AS[[#This Row],[Insurer Code]]&amp;"; "&amp;O5610&amp;AS[[#This Row],[Reporting Year]]&amp;"; "&amp;P5610&amp;AS[[#This Row],[Insurance Category Code]]&amp;"; "&amp;Q5610&amp;AS[[#This Row],[Large Provider Entity Code]]&amp;"; "&amp;R5610&amp;AS[[#This Row],[Age Band Code]]&amp;"; "&amp;S5610&amp;AS[[#This Row],[Sex Code]]</f>
        <v xml:space="preserve">Insurer Code ; Reporting Year ; Insurance Category Code ; Large Provider Entity Code ; Age Band Code ; Sex Code </v>
      </c>
      <c r="N5610" s="297" t="s">
        <v>197</v>
      </c>
      <c r="O5610" s="297" t="s">
        <v>198</v>
      </c>
      <c r="P5610" s="297" t="s">
        <v>199</v>
      </c>
      <c r="Q5610" s="297" t="s">
        <v>200</v>
      </c>
      <c r="R5610" s="297" t="s">
        <v>213</v>
      </c>
      <c r="S5610" s="297" t="s">
        <v>214</v>
      </c>
    </row>
    <row r="5611" spans="1:19" x14ac:dyDescent="0.4">
      <c r="A5611" s="548"/>
      <c r="B5611" s="292"/>
      <c r="C5611" s="292"/>
      <c r="D5611" s="292"/>
      <c r="E5611" s="549"/>
      <c r="F5611" s="549"/>
      <c r="G5611" s="550"/>
      <c r="H5611" s="551"/>
      <c r="I5611" s="552"/>
      <c r="J5611" s="553"/>
      <c r="K5611" s="554"/>
      <c r="M5611" s="301" t="str">
        <f>N5611&amp;AS[[#This Row],[Insurer Code]]&amp;"; "&amp;O5611&amp;AS[[#This Row],[Reporting Year]]&amp;"; "&amp;P5611&amp;AS[[#This Row],[Insurance Category Code]]&amp;"; "&amp;Q5611&amp;AS[[#This Row],[Large Provider Entity Code]]&amp;"; "&amp;R5611&amp;AS[[#This Row],[Age Band Code]]&amp;"; "&amp;S5611&amp;AS[[#This Row],[Sex Code]]</f>
        <v xml:space="preserve">Insurer Code ; Reporting Year ; Insurance Category Code ; Large Provider Entity Code ; Age Band Code ; Sex Code </v>
      </c>
      <c r="N5611" s="297" t="s">
        <v>197</v>
      </c>
      <c r="O5611" s="297" t="s">
        <v>198</v>
      </c>
      <c r="P5611" s="297" t="s">
        <v>199</v>
      </c>
      <c r="Q5611" s="297" t="s">
        <v>200</v>
      </c>
      <c r="R5611" s="297" t="s">
        <v>213</v>
      </c>
      <c r="S5611" s="297" t="s">
        <v>214</v>
      </c>
    </row>
    <row r="5612" spans="1:19" x14ac:dyDescent="0.4">
      <c r="A5612" s="548"/>
      <c r="B5612" s="292"/>
      <c r="C5612" s="292"/>
      <c r="D5612" s="292"/>
      <c r="E5612" s="549"/>
      <c r="F5612" s="549"/>
      <c r="G5612" s="550"/>
      <c r="H5612" s="551"/>
      <c r="I5612" s="552"/>
      <c r="J5612" s="553"/>
      <c r="K5612" s="554"/>
      <c r="M5612" s="301" t="str">
        <f>N5612&amp;AS[[#This Row],[Insurer Code]]&amp;"; "&amp;O5612&amp;AS[[#This Row],[Reporting Year]]&amp;"; "&amp;P5612&amp;AS[[#This Row],[Insurance Category Code]]&amp;"; "&amp;Q5612&amp;AS[[#This Row],[Large Provider Entity Code]]&amp;"; "&amp;R5612&amp;AS[[#This Row],[Age Band Code]]&amp;"; "&amp;S5612&amp;AS[[#This Row],[Sex Code]]</f>
        <v xml:space="preserve">Insurer Code ; Reporting Year ; Insurance Category Code ; Large Provider Entity Code ; Age Band Code ; Sex Code </v>
      </c>
      <c r="N5612" s="297" t="s">
        <v>197</v>
      </c>
      <c r="O5612" s="297" t="s">
        <v>198</v>
      </c>
      <c r="P5612" s="297" t="s">
        <v>199</v>
      </c>
      <c r="Q5612" s="297" t="s">
        <v>200</v>
      </c>
      <c r="R5612" s="297" t="s">
        <v>213</v>
      </c>
      <c r="S5612" s="297" t="s">
        <v>214</v>
      </c>
    </row>
    <row r="5613" spans="1:19" x14ac:dyDescent="0.4">
      <c r="A5613" s="548"/>
      <c r="B5613" s="292"/>
      <c r="C5613" s="292"/>
      <c r="D5613" s="292"/>
      <c r="E5613" s="549"/>
      <c r="F5613" s="549"/>
      <c r="G5613" s="550"/>
      <c r="H5613" s="551"/>
      <c r="I5613" s="552"/>
      <c r="J5613" s="553"/>
      <c r="K5613" s="554"/>
      <c r="M5613" s="301" t="str">
        <f>N5613&amp;AS[[#This Row],[Insurer Code]]&amp;"; "&amp;O5613&amp;AS[[#This Row],[Reporting Year]]&amp;"; "&amp;P5613&amp;AS[[#This Row],[Insurance Category Code]]&amp;"; "&amp;Q5613&amp;AS[[#This Row],[Large Provider Entity Code]]&amp;"; "&amp;R5613&amp;AS[[#This Row],[Age Band Code]]&amp;"; "&amp;S5613&amp;AS[[#This Row],[Sex Code]]</f>
        <v xml:space="preserve">Insurer Code ; Reporting Year ; Insurance Category Code ; Large Provider Entity Code ; Age Band Code ; Sex Code </v>
      </c>
      <c r="N5613" s="297" t="s">
        <v>197</v>
      </c>
      <c r="O5613" s="297" t="s">
        <v>198</v>
      </c>
      <c r="P5613" s="297" t="s">
        <v>199</v>
      </c>
      <c r="Q5613" s="297" t="s">
        <v>200</v>
      </c>
      <c r="R5613" s="297" t="s">
        <v>213</v>
      </c>
      <c r="S5613" s="297" t="s">
        <v>214</v>
      </c>
    </row>
    <row r="5614" spans="1:19" x14ac:dyDescent="0.4">
      <c r="A5614" s="548"/>
      <c r="B5614" s="292"/>
      <c r="C5614" s="292"/>
      <c r="D5614" s="292"/>
      <c r="E5614" s="549"/>
      <c r="F5614" s="549"/>
      <c r="G5614" s="550"/>
      <c r="H5614" s="551"/>
      <c r="I5614" s="552"/>
      <c r="J5614" s="553"/>
      <c r="K5614" s="554"/>
      <c r="M5614" s="301" t="str">
        <f>N5614&amp;AS[[#This Row],[Insurer Code]]&amp;"; "&amp;O5614&amp;AS[[#This Row],[Reporting Year]]&amp;"; "&amp;P5614&amp;AS[[#This Row],[Insurance Category Code]]&amp;"; "&amp;Q5614&amp;AS[[#This Row],[Large Provider Entity Code]]&amp;"; "&amp;R5614&amp;AS[[#This Row],[Age Band Code]]&amp;"; "&amp;S5614&amp;AS[[#This Row],[Sex Code]]</f>
        <v xml:space="preserve">Insurer Code ; Reporting Year ; Insurance Category Code ; Large Provider Entity Code ; Age Band Code ; Sex Code </v>
      </c>
      <c r="N5614" s="297" t="s">
        <v>197</v>
      </c>
      <c r="O5614" s="297" t="s">
        <v>198</v>
      </c>
      <c r="P5614" s="297" t="s">
        <v>199</v>
      </c>
      <c r="Q5614" s="297" t="s">
        <v>200</v>
      </c>
      <c r="R5614" s="297" t="s">
        <v>213</v>
      </c>
      <c r="S5614" s="297" t="s">
        <v>214</v>
      </c>
    </row>
    <row r="5615" spans="1:19" x14ac:dyDescent="0.4">
      <c r="A5615" s="548"/>
      <c r="B5615" s="292"/>
      <c r="C5615" s="292"/>
      <c r="D5615" s="292"/>
      <c r="E5615" s="549"/>
      <c r="F5615" s="549"/>
      <c r="G5615" s="550"/>
      <c r="H5615" s="551"/>
      <c r="I5615" s="552"/>
      <c r="J5615" s="553"/>
      <c r="K5615" s="554"/>
      <c r="M5615" s="301" t="str">
        <f>N5615&amp;AS[[#This Row],[Insurer Code]]&amp;"; "&amp;O5615&amp;AS[[#This Row],[Reporting Year]]&amp;"; "&amp;P5615&amp;AS[[#This Row],[Insurance Category Code]]&amp;"; "&amp;Q5615&amp;AS[[#This Row],[Large Provider Entity Code]]&amp;"; "&amp;R5615&amp;AS[[#This Row],[Age Band Code]]&amp;"; "&amp;S5615&amp;AS[[#This Row],[Sex Code]]</f>
        <v xml:space="preserve">Insurer Code ; Reporting Year ; Insurance Category Code ; Large Provider Entity Code ; Age Band Code ; Sex Code </v>
      </c>
      <c r="N5615" s="297" t="s">
        <v>197</v>
      </c>
      <c r="O5615" s="297" t="s">
        <v>198</v>
      </c>
      <c r="P5615" s="297" t="s">
        <v>199</v>
      </c>
      <c r="Q5615" s="297" t="s">
        <v>200</v>
      </c>
      <c r="R5615" s="297" t="s">
        <v>213</v>
      </c>
      <c r="S5615" s="297" t="s">
        <v>214</v>
      </c>
    </row>
    <row r="5616" spans="1:19" x14ac:dyDescent="0.4">
      <c r="A5616" s="548"/>
      <c r="B5616" s="292"/>
      <c r="C5616" s="292"/>
      <c r="D5616" s="292"/>
      <c r="E5616" s="549"/>
      <c r="F5616" s="549"/>
      <c r="G5616" s="550"/>
      <c r="H5616" s="551"/>
      <c r="I5616" s="552"/>
      <c r="J5616" s="553"/>
      <c r="K5616" s="554"/>
      <c r="M5616" s="301" t="str">
        <f>N5616&amp;AS[[#This Row],[Insurer Code]]&amp;"; "&amp;O5616&amp;AS[[#This Row],[Reporting Year]]&amp;"; "&amp;P5616&amp;AS[[#This Row],[Insurance Category Code]]&amp;"; "&amp;Q5616&amp;AS[[#This Row],[Large Provider Entity Code]]&amp;"; "&amp;R5616&amp;AS[[#This Row],[Age Band Code]]&amp;"; "&amp;S5616&amp;AS[[#This Row],[Sex Code]]</f>
        <v xml:space="preserve">Insurer Code ; Reporting Year ; Insurance Category Code ; Large Provider Entity Code ; Age Band Code ; Sex Code </v>
      </c>
      <c r="N5616" s="297" t="s">
        <v>197</v>
      </c>
      <c r="O5616" s="297" t="s">
        <v>198</v>
      </c>
      <c r="P5616" s="297" t="s">
        <v>199</v>
      </c>
      <c r="Q5616" s="297" t="s">
        <v>200</v>
      </c>
      <c r="R5616" s="297" t="s">
        <v>213</v>
      </c>
      <c r="S5616" s="297" t="s">
        <v>214</v>
      </c>
    </row>
    <row r="5617" spans="1:19" x14ac:dyDescent="0.4">
      <c r="A5617" s="548"/>
      <c r="B5617" s="292"/>
      <c r="C5617" s="292"/>
      <c r="D5617" s="292"/>
      <c r="E5617" s="549"/>
      <c r="F5617" s="549"/>
      <c r="G5617" s="550"/>
      <c r="H5617" s="551"/>
      <c r="I5617" s="552"/>
      <c r="J5617" s="553"/>
      <c r="K5617" s="554"/>
      <c r="M5617" s="301" t="str">
        <f>N5617&amp;AS[[#This Row],[Insurer Code]]&amp;"; "&amp;O5617&amp;AS[[#This Row],[Reporting Year]]&amp;"; "&amp;P5617&amp;AS[[#This Row],[Insurance Category Code]]&amp;"; "&amp;Q5617&amp;AS[[#This Row],[Large Provider Entity Code]]&amp;"; "&amp;R5617&amp;AS[[#This Row],[Age Band Code]]&amp;"; "&amp;S5617&amp;AS[[#This Row],[Sex Code]]</f>
        <v xml:space="preserve">Insurer Code ; Reporting Year ; Insurance Category Code ; Large Provider Entity Code ; Age Band Code ; Sex Code </v>
      </c>
      <c r="N5617" s="297" t="s">
        <v>197</v>
      </c>
      <c r="O5617" s="297" t="s">
        <v>198</v>
      </c>
      <c r="P5617" s="297" t="s">
        <v>199</v>
      </c>
      <c r="Q5617" s="297" t="s">
        <v>200</v>
      </c>
      <c r="R5617" s="297" t="s">
        <v>213</v>
      </c>
      <c r="S5617" s="297" t="s">
        <v>214</v>
      </c>
    </row>
    <row r="5618" spans="1:19" x14ac:dyDescent="0.4">
      <c r="A5618" s="548"/>
      <c r="B5618" s="292"/>
      <c r="C5618" s="292"/>
      <c r="D5618" s="292"/>
      <c r="E5618" s="549"/>
      <c r="F5618" s="549"/>
      <c r="G5618" s="550"/>
      <c r="H5618" s="551"/>
      <c r="I5618" s="552"/>
      <c r="J5618" s="553"/>
      <c r="K5618" s="554"/>
      <c r="M5618" s="301" t="str">
        <f>N5618&amp;AS[[#This Row],[Insurer Code]]&amp;"; "&amp;O5618&amp;AS[[#This Row],[Reporting Year]]&amp;"; "&amp;P5618&amp;AS[[#This Row],[Insurance Category Code]]&amp;"; "&amp;Q5618&amp;AS[[#This Row],[Large Provider Entity Code]]&amp;"; "&amp;R5618&amp;AS[[#This Row],[Age Band Code]]&amp;"; "&amp;S5618&amp;AS[[#This Row],[Sex Code]]</f>
        <v xml:space="preserve">Insurer Code ; Reporting Year ; Insurance Category Code ; Large Provider Entity Code ; Age Band Code ; Sex Code </v>
      </c>
      <c r="N5618" s="297" t="s">
        <v>197</v>
      </c>
      <c r="O5618" s="297" t="s">
        <v>198</v>
      </c>
      <c r="P5618" s="297" t="s">
        <v>199</v>
      </c>
      <c r="Q5618" s="297" t="s">
        <v>200</v>
      </c>
      <c r="R5618" s="297" t="s">
        <v>213</v>
      </c>
      <c r="S5618" s="297" t="s">
        <v>214</v>
      </c>
    </row>
    <row r="5619" spans="1:19" x14ac:dyDescent="0.4">
      <c r="A5619" s="548"/>
      <c r="B5619" s="292"/>
      <c r="C5619" s="292"/>
      <c r="D5619" s="292"/>
      <c r="E5619" s="549"/>
      <c r="F5619" s="549"/>
      <c r="G5619" s="550"/>
      <c r="H5619" s="551"/>
      <c r="I5619" s="552"/>
      <c r="J5619" s="553"/>
      <c r="K5619" s="554"/>
      <c r="M5619" s="301" t="str">
        <f>N5619&amp;AS[[#This Row],[Insurer Code]]&amp;"; "&amp;O5619&amp;AS[[#This Row],[Reporting Year]]&amp;"; "&amp;P5619&amp;AS[[#This Row],[Insurance Category Code]]&amp;"; "&amp;Q5619&amp;AS[[#This Row],[Large Provider Entity Code]]&amp;"; "&amp;R5619&amp;AS[[#This Row],[Age Band Code]]&amp;"; "&amp;S5619&amp;AS[[#This Row],[Sex Code]]</f>
        <v xml:space="preserve">Insurer Code ; Reporting Year ; Insurance Category Code ; Large Provider Entity Code ; Age Band Code ; Sex Code </v>
      </c>
      <c r="N5619" s="297" t="s">
        <v>197</v>
      </c>
      <c r="O5619" s="297" t="s">
        <v>198</v>
      </c>
      <c r="P5619" s="297" t="s">
        <v>199</v>
      </c>
      <c r="Q5619" s="297" t="s">
        <v>200</v>
      </c>
      <c r="R5619" s="297" t="s">
        <v>213</v>
      </c>
      <c r="S5619" s="297" t="s">
        <v>214</v>
      </c>
    </row>
    <row r="5620" spans="1:19" x14ac:dyDescent="0.4">
      <c r="A5620" s="548"/>
      <c r="B5620" s="292"/>
      <c r="C5620" s="292"/>
      <c r="D5620" s="292"/>
      <c r="E5620" s="549"/>
      <c r="F5620" s="549"/>
      <c r="G5620" s="550"/>
      <c r="H5620" s="551"/>
      <c r="I5620" s="552"/>
      <c r="J5620" s="553"/>
      <c r="K5620" s="554"/>
      <c r="M5620" s="301" t="str">
        <f>N5620&amp;AS[[#This Row],[Insurer Code]]&amp;"; "&amp;O5620&amp;AS[[#This Row],[Reporting Year]]&amp;"; "&amp;P5620&amp;AS[[#This Row],[Insurance Category Code]]&amp;"; "&amp;Q5620&amp;AS[[#This Row],[Large Provider Entity Code]]&amp;"; "&amp;R5620&amp;AS[[#This Row],[Age Band Code]]&amp;"; "&amp;S5620&amp;AS[[#This Row],[Sex Code]]</f>
        <v xml:space="preserve">Insurer Code ; Reporting Year ; Insurance Category Code ; Large Provider Entity Code ; Age Band Code ; Sex Code </v>
      </c>
      <c r="N5620" s="297" t="s">
        <v>197</v>
      </c>
      <c r="O5620" s="297" t="s">
        <v>198</v>
      </c>
      <c r="P5620" s="297" t="s">
        <v>199</v>
      </c>
      <c r="Q5620" s="297" t="s">
        <v>200</v>
      </c>
      <c r="R5620" s="297" t="s">
        <v>213</v>
      </c>
      <c r="S5620" s="297" t="s">
        <v>214</v>
      </c>
    </row>
    <row r="5621" spans="1:19" x14ac:dyDescent="0.4">
      <c r="A5621" s="548"/>
      <c r="B5621" s="292"/>
      <c r="C5621" s="292"/>
      <c r="D5621" s="292"/>
      <c r="E5621" s="549"/>
      <c r="F5621" s="549"/>
      <c r="G5621" s="550"/>
      <c r="H5621" s="551"/>
      <c r="I5621" s="552"/>
      <c r="J5621" s="553"/>
      <c r="K5621" s="554"/>
      <c r="M5621" s="301" t="str">
        <f>N5621&amp;AS[[#This Row],[Insurer Code]]&amp;"; "&amp;O5621&amp;AS[[#This Row],[Reporting Year]]&amp;"; "&amp;P5621&amp;AS[[#This Row],[Insurance Category Code]]&amp;"; "&amp;Q5621&amp;AS[[#This Row],[Large Provider Entity Code]]&amp;"; "&amp;R5621&amp;AS[[#This Row],[Age Band Code]]&amp;"; "&amp;S5621&amp;AS[[#This Row],[Sex Code]]</f>
        <v xml:space="preserve">Insurer Code ; Reporting Year ; Insurance Category Code ; Large Provider Entity Code ; Age Band Code ; Sex Code </v>
      </c>
      <c r="N5621" s="297" t="s">
        <v>197</v>
      </c>
      <c r="O5621" s="297" t="s">
        <v>198</v>
      </c>
      <c r="P5621" s="297" t="s">
        <v>199</v>
      </c>
      <c r="Q5621" s="297" t="s">
        <v>200</v>
      </c>
      <c r="R5621" s="297" t="s">
        <v>213</v>
      </c>
      <c r="S5621" s="297" t="s">
        <v>214</v>
      </c>
    </row>
    <row r="5622" spans="1:19" x14ac:dyDescent="0.4">
      <c r="A5622" s="548"/>
      <c r="B5622" s="292"/>
      <c r="C5622" s="292"/>
      <c r="D5622" s="292"/>
      <c r="E5622" s="549"/>
      <c r="F5622" s="549"/>
      <c r="G5622" s="550"/>
      <c r="H5622" s="551"/>
      <c r="I5622" s="552"/>
      <c r="J5622" s="553"/>
      <c r="K5622" s="554"/>
      <c r="M5622" s="301" t="str">
        <f>N5622&amp;AS[[#This Row],[Insurer Code]]&amp;"; "&amp;O5622&amp;AS[[#This Row],[Reporting Year]]&amp;"; "&amp;P5622&amp;AS[[#This Row],[Insurance Category Code]]&amp;"; "&amp;Q5622&amp;AS[[#This Row],[Large Provider Entity Code]]&amp;"; "&amp;R5622&amp;AS[[#This Row],[Age Band Code]]&amp;"; "&amp;S5622&amp;AS[[#This Row],[Sex Code]]</f>
        <v xml:space="preserve">Insurer Code ; Reporting Year ; Insurance Category Code ; Large Provider Entity Code ; Age Band Code ; Sex Code </v>
      </c>
      <c r="N5622" s="297" t="s">
        <v>197</v>
      </c>
      <c r="O5622" s="297" t="s">
        <v>198</v>
      </c>
      <c r="P5622" s="297" t="s">
        <v>199</v>
      </c>
      <c r="Q5622" s="297" t="s">
        <v>200</v>
      </c>
      <c r="R5622" s="297" t="s">
        <v>213</v>
      </c>
      <c r="S5622" s="297" t="s">
        <v>214</v>
      </c>
    </row>
    <row r="5623" spans="1:19" x14ac:dyDescent="0.4">
      <c r="A5623" s="548"/>
      <c r="B5623" s="292"/>
      <c r="C5623" s="292"/>
      <c r="D5623" s="292"/>
      <c r="E5623" s="549"/>
      <c r="F5623" s="549"/>
      <c r="G5623" s="550"/>
      <c r="H5623" s="551"/>
      <c r="I5623" s="552"/>
      <c r="J5623" s="553"/>
      <c r="K5623" s="554"/>
      <c r="M5623" s="301" t="str">
        <f>N5623&amp;AS[[#This Row],[Insurer Code]]&amp;"; "&amp;O5623&amp;AS[[#This Row],[Reporting Year]]&amp;"; "&amp;P5623&amp;AS[[#This Row],[Insurance Category Code]]&amp;"; "&amp;Q5623&amp;AS[[#This Row],[Large Provider Entity Code]]&amp;"; "&amp;R5623&amp;AS[[#This Row],[Age Band Code]]&amp;"; "&amp;S5623&amp;AS[[#This Row],[Sex Code]]</f>
        <v xml:space="preserve">Insurer Code ; Reporting Year ; Insurance Category Code ; Large Provider Entity Code ; Age Band Code ; Sex Code </v>
      </c>
      <c r="N5623" s="297" t="s">
        <v>197</v>
      </c>
      <c r="O5623" s="297" t="s">
        <v>198</v>
      </c>
      <c r="P5623" s="297" t="s">
        <v>199</v>
      </c>
      <c r="Q5623" s="297" t="s">
        <v>200</v>
      </c>
      <c r="R5623" s="297" t="s">
        <v>213</v>
      </c>
      <c r="S5623" s="297" t="s">
        <v>214</v>
      </c>
    </row>
    <row r="5624" spans="1:19" x14ac:dyDescent="0.4">
      <c r="A5624" s="548"/>
      <c r="B5624" s="292"/>
      <c r="C5624" s="292"/>
      <c r="D5624" s="292"/>
      <c r="E5624" s="549"/>
      <c r="F5624" s="549"/>
      <c r="G5624" s="550"/>
      <c r="H5624" s="551"/>
      <c r="I5624" s="552"/>
      <c r="J5624" s="553"/>
      <c r="K5624" s="554"/>
      <c r="M5624" s="301" t="str">
        <f>N5624&amp;AS[[#This Row],[Insurer Code]]&amp;"; "&amp;O5624&amp;AS[[#This Row],[Reporting Year]]&amp;"; "&amp;P5624&amp;AS[[#This Row],[Insurance Category Code]]&amp;"; "&amp;Q5624&amp;AS[[#This Row],[Large Provider Entity Code]]&amp;"; "&amp;R5624&amp;AS[[#This Row],[Age Band Code]]&amp;"; "&amp;S5624&amp;AS[[#This Row],[Sex Code]]</f>
        <v xml:space="preserve">Insurer Code ; Reporting Year ; Insurance Category Code ; Large Provider Entity Code ; Age Band Code ; Sex Code </v>
      </c>
      <c r="N5624" s="297" t="s">
        <v>197</v>
      </c>
      <c r="O5624" s="297" t="s">
        <v>198</v>
      </c>
      <c r="P5624" s="297" t="s">
        <v>199</v>
      </c>
      <c r="Q5624" s="297" t="s">
        <v>200</v>
      </c>
      <c r="R5624" s="297" t="s">
        <v>213</v>
      </c>
      <c r="S5624" s="297" t="s">
        <v>214</v>
      </c>
    </row>
    <row r="5625" spans="1:19" x14ac:dyDescent="0.4">
      <c r="A5625" s="548"/>
      <c r="B5625" s="292"/>
      <c r="C5625" s="292"/>
      <c r="D5625" s="292"/>
      <c r="E5625" s="549"/>
      <c r="F5625" s="549"/>
      <c r="G5625" s="550"/>
      <c r="H5625" s="551"/>
      <c r="I5625" s="552"/>
      <c r="J5625" s="553"/>
      <c r="K5625" s="554"/>
      <c r="M5625" s="301" t="str">
        <f>N5625&amp;AS[[#This Row],[Insurer Code]]&amp;"; "&amp;O5625&amp;AS[[#This Row],[Reporting Year]]&amp;"; "&amp;P5625&amp;AS[[#This Row],[Insurance Category Code]]&amp;"; "&amp;Q5625&amp;AS[[#This Row],[Large Provider Entity Code]]&amp;"; "&amp;R5625&amp;AS[[#This Row],[Age Band Code]]&amp;"; "&amp;S5625&amp;AS[[#This Row],[Sex Code]]</f>
        <v xml:space="preserve">Insurer Code ; Reporting Year ; Insurance Category Code ; Large Provider Entity Code ; Age Band Code ; Sex Code </v>
      </c>
      <c r="N5625" s="297" t="s">
        <v>197</v>
      </c>
      <c r="O5625" s="297" t="s">
        <v>198</v>
      </c>
      <c r="P5625" s="297" t="s">
        <v>199</v>
      </c>
      <c r="Q5625" s="297" t="s">
        <v>200</v>
      </c>
      <c r="R5625" s="297" t="s">
        <v>213</v>
      </c>
      <c r="S5625" s="297" t="s">
        <v>214</v>
      </c>
    </row>
    <row r="5626" spans="1:19" x14ac:dyDescent="0.4">
      <c r="A5626" s="548"/>
      <c r="B5626" s="292"/>
      <c r="C5626" s="292"/>
      <c r="D5626" s="292"/>
      <c r="E5626" s="549"/>
      <c r="F5626" s="549"/>
      <c r="G5626" s="550"/>
      <c r="H5626" s="551"/>
      <c r="I5626" s="552"/>
      <c r="J5626" s="553"/>
      <c r="K5626" s="554"/>
      <c r="M5626" s="301" t="str">
        <f>N5626&amp;AS[[#This Row],[Insurer Code]]&amp;"; "&amp;O5626&amp;AS[[#This Row],[Reporting Year]]&amp;"; "&amp;P5626&amp;AS[[#This Row],[Insurance Category Code]]&amp;"; "&amp;Q5626&amp;AS[[#This Row],[Large Provider Entity Code]]&amp;"; "&amp;R5626&amp;AS[[#This Row],[Age Band Code]]&amp;"; "&amp;S5626&amp;AS[[#This Row],[Sex Code]]</f>
        <v xml:space="preserve">Insurer Code ; Reporting Year ; Insurance Category Code ; Large Provider Entity Code ; Age Band Code ; Sex Code </v>
      </c>
      <c r="N5626" s="297" t="s">
        <v>197</v>
      </c>
      <c r="O5626" s="297" t="s">
        <v>198</v>
      </c>
      <c r="P5626" s="297" t="s">
        <v>199</v>
      </c>
      <c r="Q5626" s="297" t="s">
        <v>200</v>
      </c>
      <c r="R5626" s="297" t="s">
        <v>213</v>
      </c>
      <c r="S5626" s="297" t="s">
        <v>214</v>
      </c>
    </row>
    <row r="5627" spans="1:19" x14ac:dyDescent="0.4">
      <c r="A5627" s="548"/>
      <c r="B5627" s="292"/>
      <c r="C5627" s="292"/>
      <c r="D5627" s="292"/>
      <c r="E5627" s="549"/>
      <c r="F5627" s="549"/>
      <c r="G5627" s="550"/>
      <c r="H5627" s="551"/>
      <c r="I5627" s="552"/>
      <c r="J5627" s="553"/>
      <c r="K5627" s="554"/>
      <c r="M5627" s="301" t="str">
        <f>N5627&amp;AS[[#This Row],[Insurer Code]]&amp;"; "&amp;O5627&amp;AS[[#This Row],[Reporting Year]]&amp;"; "&amp;P5627&amp;AS[[#This Row],[Insurance Category Code]]&amp;"; "&amp;Q5627&amp;AS[[#This Row],[Large Provider Entity Code]]&amp;"; "&amp;R5627&amp;AS[[#This Row],[Age Band Code]]&amp;"; "&amp;S5627&amp;AS[[#This Row],[Sex Code]]</f>
        <v xml:space="preserve">Insurer Code ; Reporting Year ; Insurance Category Code ; Large Provider Entity Code ; Age Band Code ; Sex Code </v>
      </c>
      <c r="N5627" s="297" t="s">
        <v>197</v>
      </c>
      <c r="O5627" s="297" t="s">
        <v>198</v>
      </c>
      <c r="P5627" s="297" t="s">
        <v>199</v>
      </c>
      <c r="Q5627" s="297" t="s">
        <v>200</v>
      </c>
      <c r="R5627" s="297" t="s">
        <v>213</v>
      </c>
      <c r="S5627" s="297" t="s">
        <v>214</v>
      </c>
    </row>
    <row r="5628" spans="1:19" x14ac:dyDescent="0.4">
      <c r="A5628" s="548"/>
      <c r="B5628" s="292"/>
      <c r="C5628" s="292"/>
      <c r="D5628" s="292"/>
      <c r="E5628" s="549"/>
      <c r="F5628" s="549"/>
      <c r="G5628" s="550"/>
      <c r="H5628" s="551"/>
      <c r="I5628" s="552"/>
      <c r="J5628" s="553"/>
      <c r="K5628" s="554"/>
      <c r="M5628" s="301" t="str">
        <f>N5628&amp;AS[[#This Row],[Insurer Code]]&amp;"; "&amp;O5628&amp;AS[[#This Row],[Reporting Year]]&amp;"; "&amp;P5628&amp;AS[[#This Row],[Insurance Category Code]]&amp;"; "&amp;Q5628&amp;AS[[#This Row],[Large Provider Entity Code]]&amp;"; "&amp;R5628&amp;AS[[#This Row],[Age Band Code]]&amp;"; "&amp;S5628&amp;AS[[#This Row],[Sex Code]]</f>
        <v xml:space="preserve">Insurer Code ; Reporting Year ; Insurance Category Code ; Large Provider Entity Code ; Age Band Code ; Sex Code </v>
      </c>
      <c r="N5628" s="297" t="s">
        <v>197</v>
      </c>
      <c r="O5628" s="297" t="s">
        <v>198</v>
      </c>
      <c r="P5628" s="297" t="s">
        <v>199</v>
      </c>
      <c r="Q5628" s="297" t="s">
        <v>200</v>
      </c>
      <c r="R5628" s="297" t="s">
        <v>213</v>
      </c>
      <c r="S5628" s="297" t="s">
        <v>214</v>
      </c>
    </row>
    <row r="5629" spans="1:19" x14ac:dyDescent="0.4">
      <c r="A5629" s="548"/>
      <c r="B5629" s="292"/>
      <c r="C5629" s="292"/>
      <c r="D5629" s="292"/>
      <c r="E5629" s="549"/>
      <c r="F5629" s="549"/>
      <c r="G5629" s="550"/>
      <c r="H5629" s="551"/>
      <c r="I5629" s="552"/>
      <c r="J5629" s="553"/>
      <c r="K5629" s="554"/>
      <c r="M5629" s="301" t="str">
        <f>N5629&amp;AS[[#This Row],[Insurer Code]]&amp;"; "&amp;O5629&amp;AS[[#This Row],[Reporting Year]]&amp;"; "&amp;P5629&amp;AS[[#This Row],[Insurance Category Code]]&amp;"; "&amp;Q5629&amp;AS[[#This Row],[Large Provider Entity Code]]&amp;"; "&amp;R5629&amp;AS[[#This Row],[Age Band Code]]&amp;"; "&amp;S5629&amp;AS[[#This Row],[Sex Code]]</f>
        <v xml:space="preserve">Insurer Code ; Reporting Year ; Insurance Category Code ; Large Provider Entity Code ; Age Band Code ; Sex Code </v>
      </c>
      <c r="N5629" s="297" t="s">
        <v>197</v>
      </c>
      <c r="O5629" s="297" t="s">
        <v>198</v>
      </c>
      <c r="P5629" s="297" t="s">
        <v>199</v>
      </c>
      <c r="Q5629" s="297" t="s">
        <v>200</v>
      </c>
      <c r="R5629" s="297" t="s">
        <v>213</v>
      </c>
      <c r="S5629" s="297" t="s">
        <v>214</v>
      </c>
    </row>
    <row r="5630" spans="1:19" x14ac:dyDescent="0.4">
      <c r="A5630" s="548"/>
      <c r="B5630" s="292"/>
      <c r="C5630" s="292"/>
      <c r="D5630" s="292"/>
      <c r="E5630" s="549"/>
      <c r="F5630" s="549"/>
      <c r="G5630" s="550"/>
      <c r="H5630" s="551"/>
      <c r="I5630" s="552"/>
      <c r="J5630" s="553"/>
      <c r="K5630" s="554"/>
      <c r="M5630" s="301" t="str">
        <f>N5630&amp;AS[[#This Row],[Insurer Code]]&amp;"; "&amp;O5630&amp;AS[[#This Row],[Reporting Year]]&amp;"; "&amp;P5630&amp;AS[[#This Row],[Insurance Category Code]]&amp;"; "&amp;Q5630&amp;AS[[#This Row],[Large Provider Entity Code]]&amp;"; "&amp;R5630&amp;AS[[#This Row],[Age Band Code]]&amp;"; "&amp;S5630&amp;AS[[#This Row],[Sex Code]]</f>
        <v xml:space="preserve">Insurer Code ; Reporting Year ; Insurance Category Code ; Large Provider Entity Code ; Age Band Code ; Sex Code </v>
      </c>
      <c r="N5630" s="297" t="s">
        <v>197</v>
      </c>
      <c r="O5630" s="297" t="s">
        <v>198</v>
      </c>
      <c r="P5630" s="297" t="s">
        <v>199</v>
      </c>
      <c r="Q5630" s="297" t="s">
        <v>200</v>
      </c>
      <c r="R5630" s="297" t="s">
        <v>213</v>
      </c>
      <c r="S5630" s="297" t="s">
        <v>214</v>
      </c>
    </row>
    <row r="5631" spans="1:19" x14ac:dyDescent="0.4">
      <c r="A5631" s="548"/>
      <c r="B5631" s="292"/>
      <c r="C5631" s="292"/>
      <c r="D5631" s="292"/>
      <c r="E5631" s="549"/>
      <c r="F5631" s="549"/>
      <c r="G5631" s="550"/>
      <c r="H5631" s="551"/>
      <c r="I5631" s="552"/>
      <c r="J5631" s="553"/>
      <c r="K5631" s="554"/>
      <c r="M5631" s="301" t="str">
        <f>N5631&amp;AS[[#This Row],[Insurer Code]]&amp;"; "&amp;O5631&amp;AS[[#This Row],[Reporting Year]]&amp;"; "&amp;P5631&amp;AS[[#This Row],[Insurance Category Code]]&amp;"; "&amp;Q5631&amp;AS[[#This Row],[Large Provider Entity Code]]&amp;"; "&amp;R5631&amp;AS[[#This Row],[Age Band Code]]&amp;"; "&amp;S5631&amp;AS[[#This Row],[Sex Code]]</f>
        <v xml:space="preserve">Insurer Code ; Reporting Year ; Insurance Category Code ; Large Provider Entity Code ; Age Band Code ; Sex Code </v>
      </c>
      <c r="N5631" s="297" t="s">
        <v>197</v>
      </c>
      <c r="O5631" s="297" t="s">
        <v>198</v>
      </c>
      <c r="P5631" s="297" t="s">
        <v>199</v>
      </c>
      <c r="Q5631" s="297" t="s">
        <v>200</v>
      </c>
      <c r="R5631" s="297" t="s">
        <v>213</v>
      </c>
      <c r="S5631" s="297" t="s">
        <v>214</v>
      </c>
    </row>
    <row r="5632" spans="1:19" x14ac:dyDescent="0.4">
      <c r="A5632" s="548"/>
      <c r="B5632" s="292"/>
      <c r="C5632" s="292"/>
      <c r="D5632" s="292"/>
      <c r="E5632" s="549"/>
      <c r="F5632" s="549"/>
      <c r="G5632" s="550"/>
      <c r="H5632" s="551"/>
      <c r="I5632" s="552"/>
      <c r="J5632" s="553"/>
      <c r="K5632" s="554"/>
      <c r="M5632" s="301" t="str">
        <f>N5632&amp;AS[[#This Row],[Insurer Code]]&amp;"; "&amp;O5632&amp;AS[[#This Row],[Reporting Year]]&amp;"; "&amp;P5632&amp;AS[[#This Row],[Insurance Category Code]]&amp;"; "&amp;Q5632&amp;AS[[#This Row],[Large Provider Entity Code]]&amp;"; "&amp;R5632&amp;AS[[#This Row],[Age Band Code]]&amp;"; "&amp;S5632&amp;AS[[#This Row],[Sex Code]]</f>
        <v xml:space="preserve">Insurer Code ; Reporting Year ; Insurance Category Code ; Large Provider Entity Code ; Age Band Code ; Sex Code </v>
      </c>
      <c r="N5632" s="297" t="s">
        <v>197</v>
      </c>
      <c r="O5632" s="297" t="s">
        <v>198</v>
      </c>
      <c r="P5632" s="297" t="s">
        <v>199</v>
      </c>
      <c r="Q5632" s="297" t="s">
        <v>200</v>
      </c>
      <c r="R5632" s="297" t="s">
        <v>213</v>
      </c>
      <c r="S5632" s="297" t="s">
        <v>214</v>
      </c>
    </row>
    <row r="5633" spans="1:19" x14ac:dyDescent="0.4">
      <c r="A5633" s="548"/>
      <c r="B5633" s="292"/>
      <c r="C5633" s="292"/>
      <c r="D5633" s="292"/>
      <c r="E5633" s="549"/>
      <c r="F5633" s="549"/>
      <c r="G5633" s="550"/>
      <c r="H5633" s="551"/>
      <c r="I5633" s="552"/>
      <c r="J5633" s="553"/>
      <c r="K5633" s="554"/>
      <c r="M5633" s="301" t="str">
        <f>N5633&amp;AS[[#This Row],[Insurer Code]]&amp;"; "&amp;O5633&amp;AS[[#This Row],[Reporting Year]]&amp;"; "&amp;P5633&amp;AS[[#This Row],[Insurance Category Code]]&amp;"; "&amp;Q5633&amp;AS[[#This Row],[Large Provider Entity Code]]&amp;"; "&amp;R5633&amp;AS[[#This Row],[Age Band Code]]&amp;"; "&amp;S5633&amp;AS[[#This Row],[Sex Code]]</f>
        <v xml:space="preserve">Insurer Code ; Reporting Year ; Insurance Category Code ; Large Provider Entity Code ; Age Band Code ; Sex Code </v>
      </c>
      <c r="N5633" s="297" t="s">
        <v>197</v>
      </c>
      <c r="O5633" s="297" t="s">
        <v>198</v>
      </c>
      <c r="P5633" s="297" t="s">
        <v>199</v>
      </c>
      <c r="Q5633" s="297" t="s">
        <v>200</v>
      </c>
      <c r="R5633" s="297" t="s">
        <v>213</v>
      </c>
      <c r="S5633" s="297" t="s">
        <v>214</v>
      </c>
    </row>
    <row r="5634" spans="1:19" x14ac:dyDescent="0.4">
      <c r="A5634" s="548"/>
      <c r="B5634" s="292"/>
      <c r="C5634" s="292"/>
      <c r="D5634" s="292"/>
      <c r="E5634" s="549"/>
      <c r="F5634" s="549"/>
      <c r="G5634" s="550"/>
      <c r="H5634" s="551"/>
      <c r="I5634" s="552"/>
      <c r="J5634" s="553"/>
      <c r="K5634" s="554"/>
      <c r="M5634" s="301" t="str">
        <f>N5634&amp;AS[[#This Row],[Insurer Code]]&amp;"; "&amp;O5634&amp;AS[[#This Row],[Reporting Year]]&amp;"; "&amp;P5634&amp;AS[[#This Row],[Insurance Category Code]]&amp;"; "&amp;Q5634&amp;AS[[#This Row],[Large Provider Entity Code]]&amp;"; "&amp;R5634&amp;AS[[#This Row],[Age Band Code]]&amp;"; "&amp;S5634&amp;AS[[#This Row],[Sex Code]]</f>
        <v xml:space="preserve">Insurer Code ; Reporting Year ; Insurance Category Code ; Large Provider Entity Code ; Age Band Code ; Sex Code </v>
      </c>
      <c r="N5634" s="297" t="s">
        <v>197</v>
      </c>
      <c r="O5634" s="297" t="s">
        <v>198</v>
      </c>
      <c r="P5634" s="297" t="s">
        <v>199</v>
      </c>
      <c r="Q5634" s="297" t="s">
        <v>200</v>
      </c>
      <c r="R5634" s="297" t="s">
        <v>213</v>
      </c>
      <c r="S5634" s="297" t="s">
        <v>214</v>
      </c>
    </row>
    <row r="5635" spans="1:19" x14ac:dyDescent="0.4">
      <c r="A5635" s="548"/>
      <c r="B5635" s="292"/>
      <c r="C5635" s="292"/>
      <c r="D5635" s="292"/>
      <c r="E5635" s="549"/>
      <c r="F5635" s="549"/>
      <c r="G5635" s="550"/>
      <c r="H5635" s="551"/>
      <c r="I5635" s="552"/>
      <c r="J5635" s="553"/>
      <c r="K5635" s="554"/>
      <c r="M5635" s="301" t="str">
        <f>N5635&amp;AS[[#This Row],[Insurer Code]]&amp;"; "&amp;O5635&amp;AS[[#This Row],[Reporting Year]]&amp;"; "&amp;P5635&amp;AS[[#This Row],[Insurance Category Code]]&amp;"; "&amp;Q5635&amp;AS[[#This Row],[Large Provider Entity Code]]&amp;"; "&amp;R5635&amp;AS[[#This Row],[Age Band Code]]&amp;"; "&amp;S5635&amp;AS[[#This Row],[Sex Code]]</f>
        <v xml:space="preserve">Insurer Code ; Reporting Year ; Insurance Category Code ; Large Provider Entity Code ; Age Band Code ; Sex Code </v>
      </c>
      <c r="N5635" s="297" t="s">
        <v>197</v>
      </c>
      <c r="O5635" s="297" t="s">
        <v>198</v>
      </c>
      <c r="P5635" s="297" t="s">
        <v>199</v>
      </c>
      <c r="Q5635" s="297" t="s">
        <v>200</v>
      </c>
      <c r="R5635" s="297" t="s">
        <v>213</v>
      </c>
      <c r="S5635" s="297" t="s">
        <v>214</v>
      </c>
    </row>
    <row r="5636" spans="1:19" x14ac:dyDescent="0.4">
      <c r="A5636" s="548"/>
      <c r="B5636" s="292"/>
      <c r="C5636" s="292"/>
      <c r="D5636" s="292"/>
      <c r="E5636" s="549"/>
      <c r="F5636" s="549"/>
      <c r="G5636" s="550"/>
      <c r="H5636" s="551"/>
      <c r="I5636" s="552"/>
      <c r="J5636" s="553"/>
      <c r="K5636" s="554"/>
      <c r="M5636" s="301" t="str">
        <f>N5636&amp;AS[[#This Row],[Insurer Code]]&amp;"; "&amp;O5636&amp;AS[[#This Row],[Reporting Year]]&amp;"; "&amp;P5636&amp;AS[[#This Row],[Insurance Category Code]]&amp;"; "&amp;Q5636&amp;AS[[#This Row],[Large Provider Entity Code]]&amp;"; "&amp;R5636&amp;AS[[#This Row],[Age Band Code]]&amp;"; "&amp;S5636&amp;AS[[#This Row],[Sex Code]]</f>
        <v xml:space="preserve">Insurer Code ; Reporting Year ; Insurance Category Code ; Large Provider Entity Code ; Age Band Code ; Sex Code </v>
      </c>
      <c r="N5636" s="297" t="s">
        <v>197</v>
      </c>
      <c r="O5636" s="297" t="s">
        <v>198</v>
      </c>
      <c r="P5636" s="297" t="s">
        <v>199</v>
      </c>
      <c r="Q5636" s="297" t="s">
        <v>200</v>
      </c>
      <c r="R5636" s="297" t="s">
        <v>213</v>
      </c>
      <c r="S5636" s="297" t="s">
        <v>214</v>
      </c>
    </row>
    <row r="5637" spans="1:19" x14ac:dyDescent="0.4">
      <c r="A5637" s="548"/>
      <c r="B5637" s="292"/>
      <c r="C5637" s="292"/>
      <c r="D5637" s="292"/>
      <c r="E5637" s="549"/>
      <c r="F5637" s="549"/>
      <c r="G5637" s="550"/>
      <c r="H5637" s="551"/>
      <c r="I5637" s="552"/>
      <c r="J5637" s="553"/>
      <c r="K5637" s="554"/>
      <c r="M5637" s="301" t="str">
        <f>N5637&amp;AS[[#This Row],[Insurer Code]]&amp;"; "&amp;O5637&amp;AS[[#This Row],[Reporting Year]]&amp;"; "&amp;P5637&amp;AS[[#This Row],[Insurance Category Code]]&amp;"; "&amp;Q5637&amp;AS[[#This Row],[Large Provider Entity Code]]&amp;"; "&amp;R5637&amp;AS[[#This Row],[Age Band Code]]&amp;"; "&amp;S5637&amp;AS[[#This Row],[Sex Code]]</f>
        <v xml:space="preserve">Insurer Code ; Reporting Year ; Insurance Category Code ; Large Provider Entity Code ; Age Band Code ; Sex Code </v>
      </c>
      <c r="N5637" s="297" t="s">
        <v>197</v>
      </c>
      <c r="O5637" s="297" t="s">
        <v>198</v>
      </c>
      <c r="P5637" s="297" t="s">
        <v>199</v>
      </c>
      <c r="Q5637" s="297" t="s">
        <v>200</v>
      </c>
      <c r="R5637" s="297" t="s">
        <v>213</v>
      </c>
      <c r="S5637" s="297" t="s">
        <v>214</v>
      </c>
    </row>
    <row r="5638" spans="1:19" x14ac:dyDescent="0.4">
      <c r="A5638" s="548"/>
      <c r="B5638" s="292"/>
      <c r="C5638" s="292"/>
      <c r="D5638" s="292"/>
      <c r="E5638" s="549"/>
      <c r="F5638" s="549"/>
      <c r="G5638" s="550"/>
      <c r="H5638" s="551"/>
      <c r="I5638" s="552"/>
      <c r="J5638" s="553"/>
      <c r="K5638" s="554"/>
      <c r="M5638" s="301" t="str">
        <f>N5638&amp;AS[[#This Row],[Insurer Code]]&amp;"; "&amp;O5638&amp;AS[[#This Row],[Reporting Year]]&amp;"; "&amp;P5638&amp;AS[[#This Row],[Insurance Category Code]]&amp;"; "&amp;Q5638&amp;AS[[#This Row],[Large Provider Entity Code]]&amp;"; "&amp;R5638&amp;AS[[#This Row],[Age Band Code]]&amp;"; "&amp;S5638&amp;AS[[#This Row],[Sex Code]]</f>
        <v xml:space="preserve">Insurer Code ; Reporting Year ; Insurance Category Code ; Large Provider Entity Code ; Age Band Code ; Sex Code </v>
      </c>
      <c r="N5638" s="297" t="s">
        <v>197</v>
      </c>
      <c r="O5638" s="297" t="s">
        <v>198</v>
      </c>
      <c r="P5638" s="297" t="s">
        <v>199</v>
      </c>
      <c r="Q5638" s="297" t="s">
        <v>200</v>
      </c>
      <c r="R5638" s="297" t="s">
        <v>213</v>
      </c>
      <c r="S5638" s="297" t="s">
        <v>214</v>
      </c>
    </row>
    <row r="5639" spans="1:19" x14ac:dyDescent="0.4">
      <c r="A5639" s="548"/>
      <c r="B5639" s="292"/>
      <c r="C5639" s="292"/>
      <c r="D5639" s="292"/>
      <c r="E5639" s="549"/>
      <c r="F5639" s="549"/>
      <c r="G5639" s="550"/>
      <c r="H5639" s="551"/>
      <c r="I5639" s="552"/>
      <c r="J5639" s="553"/>
      <c r="K5639" s="554"/>
      <c r="M5639" s="301" t="str">
        <f>N5639&amp;AS[[#This Row],[Insurer Code]]&amp;"; "&amp;O5639&amp;AS[[#This Row],[Reporting Year]]&amp;"; "&amp;P5639&amp;AS[[#This Row],[Insurance Category Code]]&amp;"; "&amp;Q5639&amp;AS[[#This Row],[Large Provider Entity Code]]&amp;"; "&amp;R5639&amp;AS[[#This Row],[Age Band Code]]&amp;"; "&amp;S5639&amp;AS[[#This Row],[Sex Code]]</f>
        <v xml:space="preserve">Insurer Code ; Reporting Year ; Insurance Category Code ; Large Provider Entity Code ; Age Band Code ; Sex Code </v>
      </c>
      <c r="N5639" s="297" t="s">
        <v>197</v>
      </c>
      <c r="O5639" s="297" t="s">
        <v>198</v>
      </c>
      <c r="P5639" s="297" t="s">
        <v>199</v>
      </c>
      <c r="Q5639" s="297" t="s">
        <v>200</v>
      </c>
      <c r="R5639" s="297" t="s">
        <v>213</v>
      </c>
      <c r="S5639" s="297" t="s">
        <v>214</v>
      </c>
    </row>
    <row r="5640" spans="1:19" x14ac:dyDescent="0.4">
      <c r="A5640" s="548"/>
      <c r="B5640" s="292"/>
      <c r="C5640" s="292"/>
      <c r="D5640" s="292"/>
      <c r="E5640" s="549"/>
      <c r="F5640" s="549"/>
      <c r="G5640" s="550"/>
      <c r="H5640" s="551"/>
      <c r="I5640" s="552"/>
      <c r="J5640" s="553"/>
      <c r="K5640" s="554"/>
      <c r="M5640" s="301" t="str">
        <f>N5640&amp;AS[[#This Row],[Insurer Code]]&amp;"; "&amp;O5640&amp;AS[[#This Row],[Reporting Year]]&amp;"; "&amp;P5640&amp;AS[[#This Row],[Insurance Category Code]]&amp;"; "&amp;Q5640&amp;AS[[#This Row],[Large Provider Entity Code]]&amp;"; "&amp;R5640&amp;AS[[#This Row],[Age Band Code]]&amp;"; "&amp;S5640&amp;AS[[#This Row],[Sex Code]]</f>
        <v xml:space="preserve">Insurer Code ; Reporting Year ; Insurance Category Code ; Large Provider Entity Code ; Age Band Code ; Sex Code </v>
      </c>
      <c r="N5640" s="297" t="s">
        <v>197</v>
      </c>
      <c r="O5640" s="297" t="s">
        <v>198</v>
      </c>
      <c r="P5640" s="297" t="s">
        <v>199</v>
      </c>
      <c r="Q5640" s="297" t="s">
        <v>200</v>
      </c>
      <c r="R5640" s="297" t="s">
        <v>213</v>
      </c>
      <c r="S5640" s="297" t="s">
        <v>214</v>
      </c>
    </row>
    <row r="5641" spans="1:19" x14ac:dyDescent="0.4">
      <c r="A5641" s="548"/>
      <c r="B5641" s="292"/>
      <c r="C5641" s="292"/>
      <c r="D5641" s="292"/>
      <c r="E5641" s="549"/>
      <c r="F5641" s="549"/>
      <c r="G5641" s="550"/>
      <c r="H5641" s="551"/>
      <c r="I5641" s="552"/>
      <c r="J5641" s="553"/>
      <c r="K5641" s="554"/>
      <c r="M5641" s="301" t="str">
        <f>N5641&amp;AS[[#This Row],[Insurer Code]]&amp;"; "&amp;O5641&amp;AS[[#This Row],[Reporting Year]]&amp;"; "&amp;P5641&amp;AS[[#This Row],[Insurance Category Code]]&amp;"; "&amp;Q5641&amp;AS[[#This Row],[Large Provider Entity Code]]&amp;"; "&amp;R5641&amp;AS[[#This Row],[Age Band Code]]&amp;"; "&amp;S5641&amp;AS[[#This Row],[Sex Code]]</f>
        <v xml:space="preserve">Insurer Code ; Reporting Year ; Insurance Category Code ; Large Provider Entity Code ; Age Band Code ; Sex Code </v>
      </c>
      <c r="N5641" s="297" t="s">
        <v>197</v>
      </c>
      <c r="O5641" s="297" t="s">
        <v>198</v>
      </c>
      <c r="P5641" s="297" t="s">
        <v>199</v>
      </c>
      <c r="Q5641" s="297" t="s">
        <v>200</v>
      </c>
      <c r="R5641" s="297" t="s">
        <v>213</v>
      </c>
      <c r="S5641" s="297" t="s">
        <v>214</v>
      </c>
    </row>
    <row r="5642" spans="1:19" x14ac:dyDescent="0.4">
      <c r="A5642" s="548"/>
      <c r="B5642" s="292"/>
      <c r="C5642" s="292"/>
      <c r="D5642" s="292"/>
      <c r="E5642" s="549"/>
      <c r="F5642" s="549"/>
      <c r="G5642" s="550"/>
      <c r="H5642" s="551"/>
      <c r="I5642" s="552"/>
      <c r="J5642" s="553"/>
      <c r="K5642" s="554"/>
      <c r="M5642" s="301" t="str">
        <f>N5642&amp;AS[[#This Row],[Insurer Code]]&amp;"; "&amp;O5642&amp;AS[[#This Row],[Reporting Year]]&amp;"; "&amp;P5642&amp;AS[[#This Row],[Insurance Category Code]]&amp;"; "&amp;Q5642&amp;AS[[#This Row],[Large Provider Entity Code]]&amp;"; "&amp;R5642&amp;AS[[#This Row],[Age Band Code]]&amp;"; "&amp;S5642&amp;AS[[#This Row],[Sex Code]]</f>
        <v xml:space="preserve">Insurer Code ; Reporting Year ; Insurance Category Code ; Large Provider Entity Code ; Age Band Code ; Sex Code </v>
      </c>
      <c r="N5642" s="297" t="s">
        <v>197</v>
      </c>
      <c r="O5642" s="297" t="s">
        <v>198</v>
      </c>
      <c r="P5642" s="297" t="s">
        <v>199</v>
      </c>
      <c r="Q5642" s="297" t="s">
        <v>200</v>
      </c>
      <c r="R5642" s="297" t="s">
        <v>213</v>
      </c>
      <c r="S5642" s="297" t="s">
        <v>214</v>
      </c>
    </row>
    <row r="5643" spans="1:19" x14ac:dyDescent="0.4">
      <c r="A5643" s="548"/>
      <c r="B5643" s="292"/>
      <c r="C5643" s="292"/>
      <c r="D5643" s="292"/>
      <c r="E5643" s="549"/>
      <c r="F5643" s="549"/>
      <c r="G5643" s="550"/>
      <c r="H5643" s="551"/>
      <c r="I5643" s="552"/>
      <c r="J5643" s="553"/>
      <c r="K5643" s="554"/>
      <c r="M5643" s="301" t="str">
        <f>N5643&amp;AS[[#This Row],[Insurer Code]]&amp;"; "&amp;O5643&amp;AS[[#This Row],[Reporting Year]]&amp;"; "&amp;P5643&amp;AS[[#This Row],[Insurance Category Code]]&amp;"; "&amp;Q5643&amp;AS[[#This Row],[Large Provider Entity Code]]&amp;"; "&amp;R5643&amp;AS[[#This Row],[Age Band Code]]&amp;"; "&amp;S5643&amp;AS[[#This Row],[Sex Code]]</f>
        <v xml:space="preserve">Insurer Code ; Reporting Year ; Insurance Category Code ; Large Provider Entity Code ; Age Band Code ; Sex Code </v>
      </c>
      <c r="N5643" s="297" t="s">
        <v>197</v>
      </c>
      <c r="O5643" s="297" t="s">
        <v>198</v>
      </c>
      <c r="P5643" s="297" t="s">
        <v>199</v>
      </c>
      <c r="Q5643" s="297" t="s">
        <v>200</v>
      </c>
      <c r="R5643" s="297" t="s">
        <v>213</v>
      </c>
      <c r="S5643" s="297" t="s">
        <v>214</v>
      </c>
    </row>
    <row r="5644" spans="1:19" x14ac:dyDescent="0.4">
      <c r="A5644" s="548"/>
      <c r="B5644" s="292"/>
      <c r="C5644" s="292"/>
      <c r="D5644" s="292"/>
      <c r="E5644" s="549"/>
      <c r="F5644" s="549"/>
      <c r="G5644" s="550"/>
      <c r="H5644" s="551"/>
      <c r="I5644" s="552"/>
      <c r="J5644" s="553"/>
      <c r="K5644" s="554"/>
      <c r="M5644" s="301" t="str">
        <f>N5644&amp;AS[[#This Row],[Insurer Code]]&amp;"; "&amp;O5644&amp;AS[[#This Row],[Reporting Year]]&amp;"; "&amp;P5644&amp;AS[[#This Row],[Insurance Category Code]]&amp;"; "&amp;Q5644&amp;AS[[#This Row],[Large Provider Entity Code]]&amp;"; "&amp;R5644&amp;AS[[#This Row],[Age Band Code]]&amp;"; "&amp;S5644&amp;AS[[#This Row],[Sex Code]]</f>
        <v xml:space="preserve">Insurer Code ; Reporting Year ; Insurance Category Code ; Large Provider Entity Code ; Age Band Code ; Sex Code </v>
      </c>
      <c r="N5644" s="297" t="s">
        <v>197</v>
      </c>
      <c r="O5644" s="297" t="s">
        <v>198</v>
      </c>
      <c r="P5644" s="297" t="s">
        <v>199</v>
      </c>
      <c r="Q5644" s="297" t="s">
        <v>200</v>
      </c>
      <c r="R5644" s="297" t="s">
        <v>213</v>
      </c>
      <c r="S5644" s="297" t="s">
        <v>214</v>
      </c>
    </row>
    <row r="5645" spans="1:19" x14ac:dyDescent="0.4">
      <c r="A5645" s="548"/>
      <c r="B5645" s="292"/>
      <c r="C5645" s="292"/>
      <c r="D5645" s="292"/>
      <c r="E5645" s="549"/>
      <c r="F5645" s="549"/>
      <c r="G5645" s="550"/>
      <c r="H5645" s="551"/>
      <c r="I5645" s="552"/>
      <c r="J5645" s="553"/>
      <c r="K5645" s="554"/>
      <c r="M5645" s="301" t="str">
        <f>N5645&amp;AS[[#This Row],[Insurer Code]]&amp;"; "&amp;O5645&amp;AS[[#This Row],[Reporting Year]]&amp;"; "&amp;P5645&amp;AS[[#This Row],[Insurance Category Code]]&amp;"; "&amp;Q5645&amp;AS[[#This Row],[Large Provider Entity Code]]&amp;"; "&amp;R5645&amp;AS[[#This Row],[Age Band Code]]&amp;"; "&amp;S5645&amp;AS[[#This Row],[Sex Code]]</f>
        <v xml:space="preserve">Insurer Code ; Reporting Year ; Insurance Category Code ; Large Provider Entity Code ; Age Band Code ; Sex Code </v>
      </c>
      <c r="N5645" s="297" t="s">
        <v>197</v>
      </c>
      <c r="O5645" s="297" t="s">
        <v>198</v>
      </c>
      <c r="P5645" s="297" t="s">
        <v>199</v>
      </c>
      <c r="Q5645" s="297" t="s">
        <v>200</v>
      </c>
      <c r="R5645" s="297" t="s">
        <v>213</v>
      </c>
      <c r="S5645" s="297" t="s">
        <v>214</v>
      </c>
    </row>
    <row r="5646" spans="1:19" x14ac:dyDescent="0.4">
      <c r="A5646" s="548"/>
      <c r="B5646" s="292"/>
      <c r="C5646" s="292"/>
      <c r="D5646" s="292"/>
      <c r="E5646" s="549"/>
      <c r="F5646" s="549"/>
      <c r="G5646" s="550"/>
      <c r="H5646" s="551"/>
      <c r="I5646" s="552"/>
      <c r="J5646" s="553"/>
      <c r="K5646" s="554"/>
      <c r="M5646" s="301" t="str">
        <f>N5646&amp;AS[[#This Row],[Insurer Code]]&amp;"; "&amp;O5646&amp;AS[[#This Row],[Reporting Year]]&amp;"; "&amp;P5646&amp;AS[[#This Row],[Insurance Category Code]]&amp;"; "&amp;Q5646&amp;AS[[#This Row],[Large Provider Entity Code]]&amp;"; "&amp;R5646&amp;AS[[#This Row],[Age Band Code]]&amp;"; "&amp;S5646&amp;AS[[#This Row],[Sex Code]]</f>
        <v xml:space="preserve">Insurer Code ; Reporting Year ; Insurance Category Code ; Large Provider Entity Code ; Age Band Code ; Sex Code </v>
      </c>
      <c r="N5646" s="297" t="s">
        <v>197</v>
      </c>
      <c r="O5646" s="297" t="s">
        <v>198</v>
      </c>
      <c r="P5646" s="297" t="s">
        <v>199</v>
      </c>
      <c r="Q5646" s="297" t="s">
        <v>200</v>
      </c>
      <c r="R5646" s="297" t="s">
        <v>213</v>
      </c>
      <c r="S5646" s="297" t="s">
        <v>214</v>
      </c>
    </row>
    <row r="5647" spans="1:19" x14ac:dyDescent="0.4">
      <c r="A5647" s="548"/>
      <c r="B5647" s="292"/>
      <c r="C5647" s="292"/>
      <c r="D5647" s="292"/>
      <c r="E5647" s="549"/>
      <c r="F5647" s="549"/>
      <c r="G5647" s="550"/>
      <c r="H5647" s="551"/>
      <c r="I5647" s="552"/>
      <c r="J5647" s="553"/>
      <c r="K5647" s="554"/>
      <c r="M5647" s="301" t="str">
        <f>N5647&amp;AS[[#This Row],[Insurer Code]]&amp;"; "&amp;O5647&amp;AS[[#This Row],[Reporting Year]]&amp;"; "&amp;P5647&amp;AS[[#This Row],[Insurance Category Code]]&amp;"; "&amp;Q5647&amp;AS[[#This Row],[Large Provider Entity Code]]&amp;"; "&amp;R5647&amp;AS[[#This Row],[Age Band Code]]&amp;"; "&amp;S5647&amp;AS[[#This Row],[Sex Code]]</f>
        <v xml:space="preserve">Insurer Code ; Reporting Year ; Insurance Category Code ; Large Provider Entity Code ; Age Band Code ; Sex Code </v>
      </c>
      <c r="N5647" s="297" t="s">
        <v>197</v>
      </c>
      <c r="O5647" s="297" t="s">
        <v>198</v>
      </c>
      <c r="P5647" s="297" t="s">
        <v>199</v>
      </c>
      <c r="Q5647" s="297" t="s">
        <v>200</v>
      </c>
      <c r="R5647" s="297" t="s">
        <v>213</v>
      </c>
      <c r="S5647" s="297" t="s">
        <v>214</v>
      </c>
    </row>
    <row r="5648" spans="1:19" x14ac:dyDescent="0.4">
      <c r="A5648" s="548"/>
      <c r="B5648" s="292"/>
      <c r="C5648" s="292"/>
      <c r="D5648" s="292"/>
      <c r="E5648" s="549"/>
      <c r="F5648" s="549"/>
      <c r="G5648" s="550"/>
      <c r="H5648" s="551"/>
      <c r="I5648" s="552"/>
      <c r="J5648" s="553"/>
      <c r="K5648" s="554"/>
      <c r="M5648" s="301" t="str">
        <f>N5648&amp;AS[[#This Row],[Insurer Code]]&amp;"; "&amp;O5648&amp;AS[[#This Row],[Reporting Year]]&amp;"; "&amp;P5648&amp;AS[[#This Row],[Insurance Category Code]]&amp;"; "&amp;Q5648&amp;AS[[#This Row],[Large Provider Entity Code]]&amp;"; "&amp;R5648&amp;AS[[#This Row],[Age Band Code]]&amp;"; "&amp;S5648&amp;AS[[#This Row],[Sex Code]]</f>
        <v xml:space="preserve">Insurer Code ; Reporting Year ; Insurance Category Code ; Large Provider Entity Code ; Age Band Code ; Sex Code </v>
      </c>
      <c r="N5648" s="297" t="s">
        <v>197</v>
      </c>
      <c r="O5648" s="297" t="s">
        <v>198</v>
      </c>
      <c r="P5648" s="297" t="s">
        <v>199</v>
      </c>
      <c r="Q5648" s="297" t="s">
        <v>200</v>
      </c>
      <c r="R5648" s="297" t="s">
        <v>213</v>
      </c>
      <c r="S5648" s="297" t="s">
        <v>214</v>
      </c>
    </row>
    <row r="5649" spans="1:19" x14ac:dyDescent="0.4">
      <c r="A5649" s="548"/>
      <c r="B5649" s="292"/>
      <c r="C5649" s="292"/>
      <c r="D5649" s="292"/>
      <c r="E5649" s="549"/>
      <c r="F5649" s="549"/>
      <c r="G5649" s="550"/>
      <c r="H5649" s="551"/>
      <c r="I5649" s="552"/>
      <c r="J5649" s="553"/>
      <c r="K5649" s="554"/>
      <c r="M5649" s="301" t="str">
        <f>N5649&amp;AS[[#This Row],[Insurer Code]]&amp;"; "&amp;O5649&amp;AS[[#This Row],[Reporting Year]]&amp;"; "&amp;P5649&amp;AS[[#This Row],[Insurance Category Code]]&amp;"; "&amp;Q5649&amp;AS[[#This Row],[Large Provider Entity Code]]&amp;"; "&amp;R5649&amp;AS[[#This Row],[Age Band Code]]&amp;"; "&amp;S5649&amp;AS[[#This Row],[Sex Code]]</f>
        <v xml:space="preserve">Insurer Code ; Reporting Year ; Insurance Category Code ; Large Provider Entity Code ; Age Band Code ; Sex Code </v>
      </c>
      <c r="N5649" s="297" t="s">
        <v>197</v>
      </c>
      <c r="O5649" s="297" t="s">
        <v>198</v>
      </c>
      <c r="P5649" s="297" t="s">
        <v>199</v>
      </c>
      <c r="Q5649" s="297" t="s">
        <v>200</v>
      </c>
      <c r="R5649" s="297" t="s">
        <v>213</v>
      </c>
      <c r="S5649" s="297" t="s">
        <v>214</v>
      </c>
    </row>
    <row r="5650" spans="1:19" x14ac:dyDescent="0.4">
      <c r="A5650" s="548"/>
      <c r="B5650" s="292"/>
      <c r="C5650" s="292"/>
      <c r="D5650" s="292"/>
      <c r="E5650" s="549"/>
      <c r="F5650" s="549"/>
      <c r="G5650" s="550"/>
      <c r="H5650" s="551"/>
      <c r="I5650" s="552"/>
      <c r="J5650" s="553"/>
      <c r="K5650" s="554"/>
      <c r="M5650" s="301" t="str">
        <f>N5650&amp;AS[[#This Row],[Insurer Code]]&amp;"; "&amp;O5650&amp;AS[[#This Row],[Reporting Year]]&amp;"; "&amp;P5650&amp;AS[[#This Row],[Insurance Category Code]]&amp;"; "&amp;Q5650&amp;AS[[#This Row],[Large Provider Entity Code]]&amp;"; "&amp;R5650&amp;AS[[#This Row],[Age Band Code]]&amp;"; "&amp;S5650&amp;AS[[#This Row],[Sex Code]]</f>
        <v xml:space="preserve">Insurer Code ; Reporting Year ; Insurance Category Code ; Large Provider Entity Code ; Age Band Code ; Sex Code </v>
      </c>
      <c r="N5650" s="297" t="s">
        <v>197</v>
      </c>
      <c r="O5650" s="297" t="s">
        <v>198</v>
      </c>
      <c r="P5650" s="297" t="s">
        <v>199</v>
      </c>
      <c r="Q5650" s="297" t="s">
        <v>200</v>
      </c>
      <c r="R5650" s="297" t="s">
        <v>213</v>
      </c>
      <c r="S5650" s="297" t="s">
        <v>214</v>
      </c>
    </row>
    <row r="5651" spans="1:19" x14ac:dyDescent="0.4">
      <c r="A5651" s="548"/>
      <c r="B5651" s="292"/>
      <c r="C5651" s="292"/>
      <c r="D5651" s="292"/>
      <c r="E5651" s="549"/>
      <c r="F5651" s="549"/>
      <c r="G5651" s="550"/>
      <c r="H5651" s="551"/>
      <c r="I5651" s="552"/>
      <c r="J5651" s="553"/>
      <c r="K5651" s="554"/>
      <c r="M5651" s="301" t="str">
        <f>N5651&amp;AS[[#This Row],[Insurer Code]]&amp;"; "&amp;O5651&amp;AS[[#This Row],[Reporting Year]]&amp;"; "&amp;P5651&amp;AS[[#This Row],[Insurance Category Code]]&amp;"; "&amp;Q5651&amp;AS[[#This Row],[Large Provider Entity Code]]&amp;"; "&amp;R5651&amp;AS[[#This Row],[Age Band Code]]&amp;"; "&amp;S5651&amp;AS[[#This Row],[Sex Code]]</f>
        <v xml:space="preserve">Insurer Code ; Reporting Year ; Insurance Category Code ; Large Provider Entity Code ; Age Band Code ; Sex Code </v>
      </c>
      <c r="N5651" s="297" t="s">
        <v>197</v>
      </c>
      <c r="O5651" s="297" t="s">
        <v>198</v>
      </c>
      <c r="P5651" s="297" t="s">
        <v>199</v>
      </c>
      <c r="Q5651" s="297" t="s">
        <v>200</v>
      </c>
      <c r="R5651" s="297" t="s">
        <v>213</v>
      </c>
      <c r="S5651" s="297" t="s">
        <v>214</v>
      </c>
    </row>
    <row r="5652" spans="1:19" x14ac:dyDescent="0.4">
      <c r="A5652" s="548"/>
      <c r="B5652" s="292"/>
      <c r="C5652" s="292"/>
      <c r="D5652" s="292"/>
      <c r="E5652" s="549"/>
      <c r="F5652" s="549"/>
      <c r="G5652" s="550"/>
      <c r="H5652" s="551"/>
      <c r="I5652" s="552"/>
      <c r="J5652" s="553"/>
      <c r="K5652" s="554"/>
      <c r="M5652" s="301" t="str">
        <f>N5652&amp;AS[[#This Row],[Insurer Code]]&amp;"; "&amp;O5652&amp;AS[[#This Row],[Reporting Year]]&amp;"; "&amp;P5652&amp;AS[[#This Row],[Insurance Category Code]]&amp;"; "&amp;Q5652&amp;AS[[#This Row],[Large Provider Entity Code]]&amp;"; "&amp;R5652&amp;AS[[#This Row],[Age Band Code]]&amp;"; "&amp;S5652&amp;AS[[#This Row],[Sex Code]]</f>
        <v xml:space="preserve">Insurer Code ; Reporting Year ; Insurance Category Code ; Large Provider Entity Code ; Age Band Code ; Sex Code </v>
      </c>
      <c r="N5652" s="297" t="s">
        <v>197</v>
      </c>
      <c r="O5652" s="297" t="s">
        <v>198</v>
      </c>
      <c r="P5652" s="297" t="s">
        <v>199</v>
      </c>
      <c r="Q5652" s="297" t="s">
        <v>200</v>
      </c>
      <c r="R5652" s="297" t="s">
        <v>213</v>
      </c>
      <c r="S5652" s="297" t="s">
        <v>214</v>
      </c>
    </row>
    <row r="5653" spans="1:19" x14ac:dyDescent="0.4">
      <c r="A5653" s="548"/>
      <c r="B5653" s="292"/>
      <c r="C5653" s="292"/>
      <c r="D5653" s="292"/>
      <c r="E5653" s="549"/>
      <c r="F5653" s="549"/>
      <c r="G5653" s="550"/>
      <c r="H5653" s="551"/>
      <c r="I5653" s="552"/>
      <c r="J5653" s="553"/>
      <c r="K5653" s="554"/>
      <c r="M5653" s="301" t="str">
        <f>N5653&amp;AS[[#This Row],[Insurer Code]]&amp;"; "&amp;O5653&amp;AS[[#This Row],[Reporting Year]]&amp;"; "&amp;P5653&amp;AS[[#This Row],[Insurance Category Code]]&amp;"; "&amp;Q5653&amp;AS[[#This Row],[Large Provider Entity Code]]&amp;"; "&amp;R5653&amp;AS[[#This Row],[Age Band Code]]&amp;"; "&amp;S5653&amp;AS[[#This Row],[Sex Code]]</f>
        <v xml:space="preserve">Insurer Code ; Reporting Year ; Insurance Category Code ; Large Provider Entity Code ; Age Band Code ; Sex Code </v>
      </c>
      <c r="N5653" s="297" t="s">
        <v>197</v>
      </c>
      <c r="O5653" s="297" t="s">
        <v>198</v>
      </c>
      <c r="P5653" s="297" t="s">
        <v>199</v>
      </c>
      <c r="Q5653" s="297" t="s">
        <v>200</v>
      </c>
      <c r="R5653" s="297" t="s">
        <v>213</v>
      </c>
      <c r="S5653" s="297" t="s">
        <v>214</v>
      </c>
    </row>
    <row r="5654" spans="1:19" x14ac:dyDescent="0.4">
      <c r="A5654" s="548"/>
      <c r="B5654" s="292"/>
      <c r="C5654" s="292"/>
      <c r="D5654" s="292"/>
      <c r="E5654" s="549"/>
      <c r="F5654" s="549"/>
      <c r="G5654" s="550"/>
      <c r="H5654" s="551"/>
      <c r="I5654" s="552"/>
      <c r="J5654" s="553"/>
      <c r="K5654" s="554"/>
      <c r="M5654" s="301" t="str">
        <f>N5654&amp;AS[[#This Row],[Insurer Code]]&amp;"; "&amp;O5654&amp;AS[[#This Row],[Reporting Year]]&amp;"; "&amp;P5654&amp;AS[[#This Row],[Insurance Category Code]]&amp;"; "&amp;Q5654&amp;AS[[#This Row],[Large Provider Entity Code]]&amp;"; "&amp;R5654&amp;AS[[#This Row],[Age Band Code]]&amp;"; "&amp;S5654&amp;AS[[#This Row],[Sex Code]]</f>
        <v xml:space="preserve">Insurer Code ; Reporting Year ; Insurance Category Code ; Large Provider Entity Code ; Age Band Code ; Sex Code </v>
      </c>
      <c r="N5654" s="297" t="s">
        <v>197</v>
      </c>
      <c r="O5654" s="297" t="s">
        <v>198</v>
      </c>
      <c r="P5654" s="297" t="s">
        <v>199</v>
      </c>
      <c r="Q5654" s="297" t="s">
        <v>200</v>
      </c>
      <c r="R5654" s="297" t="s">
        <v>213</v>
      </c>
      <c r="S5654" s="297" t="s">
        <v>214</v>
      </c>
    </row>
    <row r="5655" spans="1:19" x14ac:dyDescent="0.4">
      <c r="A5655" s="548"/>
      <c r="B5655" s="292"/>
      <c r="C5655" s="292"/>
      <c r="D5655" s="292"/>
      <c r="E5655" s="549"/>
      <c r="F5655" s="549"/>
      <c r="G5655" s="550"/>
      <c r="H5655" s="551"/>
      <c r="I5655" s="552"/>
      <c r="J5655" s="553"/>
      <c r="K5655" s="554"/>
      <c r="M5655" s="301" t="str">
        <f>N5655&amp;AS[[#This Row],[Insurer Code]]&amp;"; "&amp;O5655&amp;AS[[#This Row],[Reporting Year]]&amp;"; "&amp;P5655&amp;AS[[#This Row],[Insurance Category Code]]&amp;"; "&amp;Q5655&amp;AS[[#This Row],[Large Provider Entity Code]]&amp;"; "&amp;R5655&amp;AS[[#This Row],[Age Band Code]]&amp;"; "&amp;S5655&amp;AS[[#This Row],[Sex Code]]</f>
        <v xml:space="preserve">Insurer Code ; Reporting Year ; Insurance Category Code ; Large Provider Entity Code ; Age Band Code ; Sex Code </v>
      </c>
      <c r="N5655" s="297" t="s">
        <v>197</v>
      </c>
      <c r="O5655" s="297" t="s">
        <v>198</v>
      </c>
      <c r="P5655" s="297" t="s">
        <v>199</v>
      </c>
      <c r="Q5655" s="297" t="s">
        <v>200</v>
      </c>
      <c r="R5655" s="297" t="s">
        <v>213</v>
      </c>
      <c r="S5655" s="297" t="s">
        <v>214</v>
      </c>
    </row>
    <row r="5656" spans="1:19" x14ac:dyDescent="0.4">
      <c r="A5656" s="548"/>
      <c r="B5656" s="292"/>
      <c r="C5656" s="292"/>
      <c r="D5656" s="292"/>
      <c r="E5656" s="549"/>
      <c r="F5656" s="549"/>
      <c r="G5656" s="550"/>
      <c r="H5656" s="551"/>
      <c r="I5656" s="552"/>
      <c r="J5656" s="553"/>
      <c r="K5656" s="554"/>
      <c r="M5656" s="301" t="str">
        <f>N5656&amp;AS[[#This Row],[Insurer Code]]&amp;"; "&amp;O5656&amp;AS[[#This Row],[Reporting Year]]&amp;"; "&amp;P5656&amp;AS[[#This Row],[Insurance Category Code]]&amp;"; "&amp;Q5656&amp;AS[[#This Row],[Large Provider Entity Code]]&amp;"; "&amp;R5656&amp;AS[[#This Row],[Age Band Code]]&amp;"; "&amp;S5656&amp;AS[[#This Row],[Sex Code]]</f>
        <v xml:space="preserve">Insurer Code ; Reporting Year ; Insurance Category Code ; Large Provider Entity Code ; Age Band Code ; Sex Code </v>
      </c>
      <c r="N5656" s="297" t="s">
        <v>197</v>
      </c>
      <c r="O5656" s="297" t="s">
        <v>198</v>
      </c>
      <c r="P5656" s="297" t="s">
        <v>199</v>
      </c>
      <c r="Q5656" s="297" t="s">
        <v>200</v>
      </c>
      <c r="R5656" s="297" t="s">
        <v>213</v>
      </c>
      <c r="S5656" s="297" t="s">
        <v>214</v>
      </c>
    </row>
    <row r="5657" spans="1:19" x14ac:dyDescent="0.4">
      <c r="A5657" s="548"/>
      <c r="B5657" s="292"/>
      <c r="C5657" s="292"/>
      <c r="D5657" s="292"/>
      <c r="E5657" s="549"/>
      <c r="F5657" s="549"/>
      <c r="G5657" s="550"/>
      <c r="H5657" s="551"/>
      <c r="I5657" s="552"/>
      <c r="J5657" s="553"/>
      <c r="K5657" s="554"/>
      <c r="M5657" s="301" t="str">
        <f>N5657&amp;AS[[#This Row],[Insurer Code]]&amp;"; "&amp;O5657&amp;AS[[#This Row],[Reporting Year]]&amp;"; "&amp;P5657&amp;AS[[#This Row],[Insurance Category Code]]&amp;"; "&amp;Q5657&amp;AS[[#This Row],[Large Provider Entity Code]]&amp;"; "&amp;R5657&amp;AS[[#This Row],[Age Band Code]]&amp;"; "&amp;S5657&amp;AS[[#This Row],[Sex Code]]</f>
        <v xml:space="preserve">Insurer Code ; Reporting Year ; Insurance Category Code ; Large Provider Entity Code ; Age Band Code ; Sex Code </v>
      </c>
      <c r="N5657" s="297" t="s">
        <v>197</v>
      </c>
      <c r="O5657" s="297" t="s">
        <v>198</v>
      </c>
      <c r="P5657" s="297" t="s">
        <v>199</v>
      </c>
      <c r="Q5657" s="297" t="s">
        <v>200</v>
      </c>
      <c r="R5657" s="297" t="s">
        <v>213</v>
      </c>
      <c r="S5657" s="297" t="s">
        <v>214</v>
      </c>
    </row>
    <row r="5658" spans="1:19" x14ac:dyDescent="0.4">
      <c r="A5658" s="548"/>
      <c r="B5658" s="292"/>
      <c r="C5658" s="292"/>
      <c r="D5658" s="292"/>
      <c r="E5658" s="549"/>
      <c r="F5658" s="549"/>
      <c r="G5658" s="550"/>
      <c r="H5658" s="551"/>
      <c r="I5658" s="552"/>
      <c r="J5658" s="553"/>
      <c r="K5658" s="554"/>
      <c r="M5658" s="301" t="str">
        <f>N5658&amp;AS[[#This Row],[Insurer Code]]&amp;"; "&amp;O5658&amp;AS[[#This Row],[Reporting Year]]&amp;"; "&amp;P5658&amp;AS[[#This Row],[Insurance Category Code]]&amp;"; "&amp;Q5658&amp;AS[[#This Row],[Large Provider Entity Code]]&amp;"; "&amp;R5658&amp;AS[[#This Row],[Age Band Code]]&amp;"; "&amp;S5658&amp;AS[[#This Row],[Sex Code]]</f>
        <v xml:space="preserve">Insurer Code ; Reporting Year ; Insurance Category Code ; Large Provider Entity Code ; Age Band Code ; Sex Code </v>
      </c>
      <c r="N5658" s="297" t="s">
        <v>197</v>
      </c>
      <c r="O5658" s="297" t="s">
        <v>198</v>
      </c>
      <c r="P5658" s="297" t="s">
        <v>199</v>
      </c>
      <c r="Q5658" s="297" t="s">
        <v>200</v>
      </c>
      <c r="R5658" s="297" t="s">
        <v>213</v>
      </c>
      <c r="S5658" s="297" t="s">
        <v>214</v>
      </c>
    </row>
    <row r="5659" spans="1:19" x14ac:dyDescent="0.4">
      <c r="A5659" s="548"/>
      <c r="B5659" s="292"/>
      <c r="C5659" s="292"/>
      <c r="D5659" s="292"/>
      <c r="E5659" s="549"/>
      <c r="F5659" s="549"/>
      <c r="G5659" s="550"/>
      <c r="H5659" s="551"/>
      <c r="I5659" s="552"/>
      <c r="J5659" s="553"/>
      <c r="K5659" s="554"/>
      <c r="M5659" s="301" t="str">
        <f>N5659&amp;AS[[#This Row],[Insurer Code]]&amp;"; "&amp;O5659&amp;AS[[#This Row],[Reporting Year]]&amp;"; "&amp;P5659&amp;AS[[#This Row],[Insurance Category Code]]&amp;"; "&amp;Q5659&amp;AS[[#This Row],[Large Provider Entity Code]]&amp;"; "&amp;R5659&amp;AS[[#This Row],[Age Band Code]]&amp;"; "&amp;S5659&amp;AS[[#This Row],[Sex Code]]</f>
        <v xml:space="preserve">Insurer Code ; Reporting Year ; Insurance Category Code ; Large Provider Entity Code ; Age Band Code ; Sex Code </v>
      </c>
      <c r="N5659" s="297" t="s">
        <v>197</v>
      </c>
      <c r="O5659" s="297" t="s">
        <v>198</v>
      </c>
      <c r="P5659" s="297" t="s">
        <v>199</v>
      </c>
      <c r="Q5659" s="297" t="s">
        <v>200</v>
      </c>
      <c r="R5659" s="297" t="s">
        <v>213</v>
      </c>
      <c r="S5659" s="297" t="s">
        <v>214</v>
      </c>
    </row>
    <row r="5660" spans="1:19" x14ac:dyDescent="0.4">
      <c r="A5660" s="548"/>
      <c r="B5660" s="292"/>
      <c r="C5660" s="292"/>
      <c r="D5660" s="292"/>
      <c r="E5660" s="549"/>
      <c r="F5660" s="549"/>
      <c r="G5660" s="550"/>
      <c r="H5660" s="551"/>
      <c r="I5660" s="552"/>
      <c r="J5660" s="553"/>
      <c r="K5660" s="554"/>
      <c r="M5660" s="301" t="str">
        <f>N5660&amp;AS[[#This Row],[Insurer Code]]&amp;"; "&amp;O5660&amp;AS[[#This Row],[Reporting Year]]&amp;"; "&amp;P5660&amp;AS[[#This Row],[Insurance Category Code]]&amp;"; "&amp;Q5660&amp;AS[[#This Row],[Large Provider Entity Code]]&amp;"; "&amp;R5660&amp;AS[[#This Row],[Age Band Code]]&amp;"; "&amp;S5660&amp;AS[[#This Row],[Sex Code]]</f>
        <v xml:space="preserve">Insurer Code ; Reporting Year ; Insurance Category Code ; Large Provider Entity Code ; Age Band Code ; Sex Code </v>
      </c>
      <c r="N5660" s="297" t="s">
        <v>197</v>
      </c>
      <c r="O5660" s="297" t="s">
        <v>198</v>
      </c>
      <c r="P5660" s="297" t="s">
        <v>199</v>
      </c>
      <c r="Q5660" s="297" t="s">
        <v>200</v>
      </c>
      <c r="R5660" s="297" t="s">
        <v>213</v>
      </c>
      <c r="S5660" s="297" t="s">
        <v>214</v>
      </c>
    </row>
    <row r="5661" spans="1:19" x14ac:dyDescent="0.4">
      <c r="A5661" s="548"/>
      <c r="B5661" s="292"/>
      <c r="C5661" s="292"/>
      <c r="D5661" s="292"/>
      <c r="E5661" s="549"/>
      <c r="F5661" s="549"/>
      <c r="G5661" s="550"/>
      <c r="H5661" s="551"/>
      <c r="I5661" s="552"/>
      <c r="J5661" s="553"/>
      <c r="K5661" s="554"/>
      <c r="M5661" s="301" t="str">
        <f>N5661&amp;AS[[#This Row],[Insurer Code]]&amp;"; "&amp;O5661&amp;AS[[#This Row],[Reporting Year]]&amp;"; "&amp;P5661&amp;AS[[#This Row],[Insurance Category Code]]&amp;"; "&amp;Q5661&amp;AS[[#This Row],[Large Provider Entity Code]]&amp;"; "&amp;R5661&amp;AS[[#This Row],[Age Band Code]]&amp;"; "&amp;S5661&amp;AS[[#This Row],[Sex Code]]</f>
        <v xml:space="preserve">Insurer Code ; Reporting Year ; Insurance Category Code ; Large Provider Entity Code ; Age Band Code ; Sex Code </v>
      </c>
      <c r="N5661" s="297" t="s">
        <v>197</v>
      </c>
      <c r="O5661" s="297" t="s">
        <v>198</v>
      </c>
      <c r="P5661" s="297" t="s">
        <v>199</v>
      </c>
      <c r="Q5661" s="297" t="s">
        <v>200</v>
      </c>
      <c r="R5661" s="297" t="s">
        <v>213</v>
      </c>
      <c r="S5661" s="297" t="s">
        <v>214</v>
      </c>
    </row>
    <row r="5662" spans="1:19" x14ac:dyDescent="0.4">
      <c r="A5662" s="548"/>
      <c r="B5662" s="292"/>
      <c r="C5662" s="292"/>
      <c r="D5662" s="292"/>
      <c r="E5662" s="549"/>
      <c r="F5662" s="549"/>
      <c r="G5662" s="550"/>
      <c r="H5662" s="551"/>
      <c r="I5662" s="552"/>
      <c r="J5662" s="553"/>
      <c r="K5662" s="554"/>
      <c r="M5662" s="301" t="str">
        <f>N5662&amp;AS[[#This Row],[Insurer Code]]&amp;"; "&amp;O5662&amp;AS[[#This Row],[Reporting Year]]&amp;"; "&amp;P5662&amp;AS[[#This Row],[Insurance Category Code]]&amp;"; "&amp;Q5662&amp;AS[[#This Row],[Large Provider Entity Code]]&amp;"; "&amp;R5662&amp;AS[[#This Row],[Age Band Code]]&amp;"; "&amp;S5662&amp;AS[[#This Row],[Sex Code]]</f>
        <v xml:space="preserve">Insurer Code ; Reporting Year ; Insurance Category Code ; Large Provider Entity Code ; Age Band Code ; Sex Code </v>
      </c>
      <c r="N5662" s="297" t="s">
        <v>197</v>
      </c>
      <c r="O5662" s="297" t="s">
        <v>198</v>
      </c>
      <c r="P5662" s="297" t="s">
        <v>199</v>
      </c>
      <c r="Q5662" s="297" t="s">
        <v>200</v>
      </c>
      <c r="R5662" s="297" t="s">
        <v>213</v>
      </c>
      <c r="S5662" s="297" t="s">
        <v>214</v>
      </c>
    </row>
    <row r="5663" spans="1:19" x14ac:dyDescent="0.4">
      <c r="A5663" s="548"/>
      <c r="B5663" s="292"/>
      <c r="C5663" s="292"/>
      <c r="D5663" s="292"/>
      <c r="E5663" s="549"/>
      <c r="F5663" s="549"/>
      <c r="G5663" s="550"/>
      <c r="H5663" s="551"/>
      <c r="I5663" s="552"/>
      <c r="J5663" s="553"/>
      <c r="K5663" s="554"/>
      <c r="M5663" s="301" t="str">
        <f>N5663&amp;AS[[#This Row],[Insurer Code]]&amp;"; "&amp;O5663&amp;AS[[#This Row],[Reporting Year]]&amp;"; "&amp;P5663&amp;AS[[#This Row],[Insurance Category Code]]&amp;"; "&amp;Q5663&amp;AS[[#This Row],[Large Provider Entity Code]]&amp;"; "&amp;R5663&amp;AS[[#This Row],[Age Band Code]]&amp;"; "&amp;S5663&amp;AS[[#This Row],[Sex Code]]</f>
        <v xml:space="preserve">Insurer Code ; Reporting Year ; Insurance Category Code ; Large Provider Entity Code ; Age Band Code ; Sex Code </v>
      </c>
      <c r="N5663" s="297" t="s">
        <v>197</v>
      </c>
      <c r="O5663" s="297" t="s">
        <v>198</v>
      </c>
      <c r="P5663" s="297" t="s">
        <v>199</v>
      </c>
      <c r="Q5663" s="297" t="s">
        <v>200</v>
      </c>
      <c r="R5663" s="297" t="s">
        <v>213</v>
      </c>
      <c r="S5663" s="297" t="s">
        <v>214</v>
      </c>
    </row>
    <row r="5664" spans="1:19" x14ac:dyDescent="0.4">
      <c r="A5664" s="548"/>
      <c r="B5664" s="292"/>
      <c r="C5664" s="292"/>
      <c r="D5664" s="292"/>
      <c r="E5664" s="549"/>
      <c r="F5664" s="549"/>
      <c r="G5664" s="550"/>
      <c r="H5664" s="551"/>
      <c r="I5664" s="552"/>
      <c r="J5664" s="553"/>
      <c r="K5664" s="554"/>
      <c r="M5664" s="301" t="str">
        <f>N5664&amp;AS[[#This Row],[Insurer Code]]&amp;"; "&amp;O5664&amp;AS[[#This Row],[Reporting Year]]&amp;"; "&amp;P5664&amp;AS[[#This Row],[Insurance Category Code]]&amp;"; "&amp;Q5664&amp;AS[[#This Row],[Large Provider Entity Code]]&amp;"; "&amp;R5664&amp;AS[[#This Row],[Age Band Code]]&amp;"; "&amp;S5664&amp;AS[[#This Row],[Sex Code]]</f>
        <v xml:space="preserve">Insurer Code ; Reporting Year ; Insurance Category Code ; Large Provider Entity Code ; Age Band Code ; Sex Code </v>
      </c>
      <c r="N5664" s="297" t="s">
        <v>197</v>
      </c>
      <c r="O5664" s="297" t="s">
        <v>198</v>
      </c>
      <c r="P5664" s="297" t="s">
        <v>199</v>
      </c>
      <c r="Q5664" s="297" t="s">
        <v>200</v>
      </c>
      <c r="R5664" s="297" t="s">
        <v>213</v>
      </c>
      <c r="S5664" s="297" t="s">
        <v>214</v>
      </c>
    </row>
    <row r="5665" spans="1:19" x14ac:dyDescent="0.4">
      <c r="A5665" s="548"/>
      <c r="B5665" s="292"/>
      <c r="C5665" s="292"/>
      <c r="D5665" s="292"/>
      <c r="E5665" s="549"/>
      <c r="F5665" s="549"/>
      <c r="G5665" s="550"/>
      <c r="H5665" s="551"/>
      <c r="I5665" s="552"/>
      <c r="J5665" s="553"/>
      <c r="K5665" s="554"/>
      <c r="M5665" s="301" t="str">
        <f>N5665&amp;AS[[#This Row],[Insurer Code]]&amp;"; "&amp;O5665&amp;AS[[#This Row],[Reporting Year]]&amp;"; "&amp;P5665&amp;AS[[#This Row],[Insurance Category Code]]&amp;"; "&amp;Q5665&amp;AS[[#This Row],[Large Provider Entity Code]]&amp;"; "&amp;R5665&amp;AS[[#This Row],[Age Band Code]]&amp;"; "&amp;S5665&amp;AS[[#This Row],[Sex Code]]</f>
        <v xml:space="preserve">Insurer Code ; Reporting Year ; Insurance Category Code ; Large Provider Entity Code ; Age Band Code ; Sex Code </v>
      </c>
      <c r="N5665" s="297" t="s">
        <v>197</v>
      </c>
      <c r="O5665" s="297" t="s">
        <v>198</v>
      </c>
      <c r="P5665" s="297" t="s">
        <v>199</v>
      </c>
      <c r="Q5665" s="297" t="s">
        <v>200</v>
      </c>
      <c r="R5665" s="297" t="s">
        <v>213</v>
      </c>
      <c r="S5665" s="297" t="s">
        <v>214</v>
      </c>
    </row>
    <row r="5666" spans="1:19" x14ac:dyDescent="0.4">
      <c r="A5666" s="548"/>
      <c r="B5666" s="292"/>
      <c r="C5666" s="292"/>
      <c r="D5666" s="292"/>
      <c r="E5666" s="549"/>
      <c r="F5666" s="549"/>
      <c r="G5666" s="550"/>
      <c r="H5666" s="551"/>
      <c r="I5666" s="552"/>
      <c r="J5666" s="553"/>
      <c r="K5666" s="554"/>
      <c r="M5666" s="301" t="str">
        <f>N5666&amp;AS[[#This Row],[Insurer Code]]&amp;"; "&amp;O5666&amp;AS[[#This Row],[Reporting Year]]&amp;"; "&amp;P5666&amp;AS[[#This Row],[Insurance Category Code]]&amp;"; "&amp;Q5666&amp;AS[[#This Row],[Large Provider Entity Code]]&amp;"; "&amp;R5666&amp;AS[[#This Row],[Age Band Code]]&amp;"; "&amp;S5666&amp;AS[[#This Row],[Sex Code]]</f>
        <v xml:space="preserve">Insurer Code ; Reporting Year ; Insurance Category Code ; Large Provider Entity Code ; Age Band Code ; Sex Code </v>
      </c>
      <c r="N5666" s="297" t="s">
        <v>197</v>
      </c>
      <c r="O5666" s="297" t="s">
        <v>198</v>
      </c>
      <c r="P5666" s="297" t="s">
        <v>199</v>
      </c>
      <c r="Q5666" s="297" t="s">
        <v>200</v>
      </c>
      <c r="R5666" s="297" t="s">
        <v>213</v>
      </c>
      <c r="S5666" s="297" t="s">
        <v>214</v>
      </c>
    </row>
    <row r="5667" spans="1:19" x14ac:dyDescent="0.4">
      <c r="A5667" s="548"/>
      <c r="B5667" s="292"/>
      <c r="C5667" s="292"/>
      <c r="D5667" s="292"/>
      <c r="E5667" s="549"/>
      <c r="F5667" s="549"/>
      <c r="G5667" s="550"/>
      <c r="H5667" s="551"/>
      <c r="I5667" s="552"/>
      <c r="J5667" s="553"/>
      <c r="K5667" s="554"/>
      <c r="M5667" s="301" t="str">
        <f>N5667&amp;AS[[#This Row],[Insurer Code]]&amp;"; "&amp;O5667&amp;AS[[#This Row],[Reporting Year]]&amp;"; "&amp;P5667&amp;AS[[#This Row],[Insurance Category Code]]&amp;"; "&amp;Q5667&amp;AS[[#This Row],[Large Provider Entity Code]]&amp;"; "&amp;R5667&amp;AS[[#This Row],[Age Band Code]]&amp;"; "&amp;S5667&amp;AS[[#This Row],[Sex Code]]</f>
        <v xml:space="preserve">Insurer Code ; Reporting Year ; Insurance Category Code ; Large Provider Entity Code ; Age Band Code ; Sex Code </v>
      </c>
      <c r="N5667" s="297" t="s">
        <v>197</v>
      </c>
      <c r="O5667" s="297" t="s">
        <v>198</v>
      </c>
      <c r="P5667" s="297" t="s">
        <v>199</v>
      </c>
      <c r="Q5667" s="297" t="s">
        <v>200</v>
      </c>
      <c r="R5667" s="297" t="s">
        <v>213</v>
      </c>
      <c r="S5667" s="297" t="s">
        <v>214</v>
      </c>
    </row>
    <row r="5668" spans="1:19" x14ac:dyDescent="0.4">
      <c r="A5668" s="548"/>
      <c r="B5668" s="292"/>
      <c r="C5668" s="292"/>
      <c r="D5668" s="292"/>
      <c r="E5668" s="549"/>
      <c r="F5668" s="549"/>
      <c r="G5668" s="550"/>
      <c r="H5668" s="551"/>
      <c r="I5668" s="552"/>
      <c r="J5668" s="553"/>
      <c r="K5668" s="554"/>
      <c r="M5668" s="301" t="str">
        <f>N5668&amp;AS[[#This Row],[Insurer Code]]&amp;"; "&amp;O5668&amp;AS[[#This Row],[Reporting Year]]&amp;"; "&amp;P5668&amp;AS[[#This Row],[Insurance Category Code]]&amp;"; "&amp;Q5668&amp;AS[[#This Row],[Large Provider Entity Code]]&amp;"; "&amp;R5668&amp;AS[[#This Row],[Age Band Code]]&amp;"; "&amp;S5668&amp;AS[[#This Row],[Sex Code]]</f>
        <v xml:space="preserve">Insurer Code ; Reporting Year ; Insurance Category Code ; Large Provider Entity Code ; Age Band Code ; Sex Code </v>
      </c>
      <c r="N5668" s="297" t="s">
        <v>197</v>
      </c>
      <c r="O5668" s="297" t="s">
        <v>198</v>
      </c>
      <c r="P5668" s="297" t="s">
        <v>199</v>
      </c>
      <c r="Q5668" s="297" t="s">
        <v>200</v>
      </c>
      <c r="R5668" s="297" t="s">
        <v>213</v>
      </c>
      <c r="S5668" s="297" t="s">
        <v>214</v>
      </c>
    </row>
    <row r="5669" spans="1:19" x14ac:dyDescent="0.4">
      <c r="A5669" s="548"/>
      <c r="B5669" s="292"/>
      <c r="C5669" s="292"/>
      <c r="D5669" s="292"/>
      <c r="E5669" s="549"/>
      <c r="F5669" s="549"/>
      <c r="G5669" s="550"/>
      <c r="H5669" s="551"/>
      <c r="I5669" s="552"/>
      <c r="J5669" s="553"/>
      <c r="K5669" s="554"/>
      <c r="M5669" s="301" t="str">
        <f>N5669&amp;AS[[#This Row],[Insurer Code]]&amp;"; "&amp;O5669&amp;AS[[#This Row],[Reporting Year]]&amp;"; "&amp;P5669&amp;AS[[#This Row],[Insurance Category Code]]&amp;"; "&amp;Q5669&amp;AS[[#This Row],[Large Provider Entity Code]]&amp;"; "&amp;R5669&amp;AS[[#This Row],[Age Band Code]]&amp;"; "&amp;S5669&amp;AS[[#This Row],[Sex Code]]</f>
        <v xml:space="preserve">Insurer Code ; Reporting Year ; Insurance Category Code ; Large Provider Entity Code ; Age Band Code ; Sex Code </v>
      </c>
      <c r="N5669" s="297" t="s">
        <v>197</v>
      </c>
      <c r="O5669" s="297" t="s">
        <v>198</v>
      </c>
      <c r="P5669" s="297" t="s">
        <v>199</v>
      </c>
      <c r="Q5669" s="297" t="s">
        <v>200</v>
      </c>
      <c r="R5669" s="297" t="s">
        <v>213</v>
      </c>
      <c r="S5669" s="297" t="s">
        <v>214</v>
      </c>
    </row>
    <row r="5670" spans="1:19" x14ac:dyDescent="0.4">
      <c r="A5670" s="548"/>
      <c r="B5670" s="292"/>
      <c r="C5670" s="292"/>
      <c r="D5670" s="292"/>
      <c r="E5670" s="549"/>
      <c r="F5670" s="549"/>
      <c r="G5670" s="550"/>
      <c r="H5670" s="551"/>
      <c r="I5670" s="552"/>
      <c r="J5670" s="553"/>
      <c r="K5670" s="554"/>
      <c r="M5670" s="301" t="str">
        <f>N5670&amp;AS[[#This Row],[Insurer Code]]&amp;"; "&amp;O5670&amp;AS[[#This Row],[Reporting Year]]&amp;"; "&amp;P5670&amp;AS[[#This Row],[Insurance Category Code]]&amp;"; "&amp;Q5670&amp;AS[[#This Row],[Large Provider Entity Code]]&amp;"; "&amp;R5670&amp;AS[[#This Row],[Age Band Code]]&amp;"; "&amp;S5670&amp;AS[[#This Row],[Sex Code]]</f>
        <v xml:space="preserve">Insurer Code ; Reporting Year ; Insurance Category Code ; Large Provider Entity Code ; Age Band Code ; Sex Code </v>
      </c>
      <c r="N5670" s="297" t="s">
        <v>197</v>
      </c>
      <c r="O5670" s="297" t="s">
        <v>198</v>
      </c>
      <c r="P5670" s="297" t="s">
        <v>199</v>
      </c>
      <c r="Q5670" s="297" t="s">
        <v>200</v>
      </c>
      <c r="R5670" s="297" t="s">
        <v>213</v>
      </c>
      <c r="S5670" s="297" t="s">
        <v>214</v>
      </c>
    </row>
    <row r="5671" spans="1:19" x14ac:dyDescent="0.4">
      <c r="A5671" s="548"/>
      <c r="B5671" s="292"/>
      <c r="C5671" s="292"/>
      <c r="D5671" s="292"/>
      <c r="E5671" s="549"/>
      <c r="F5671" s="549"/>
      <c r="G5671" s="550"/>
      <c r="H5671" s="551"/>
      <c r="I5671" s="552"/>
      <c r="J5671" s="553"/>
      <c r="K5671" s="554"/>
      <c r="M5671" s="301" t="str">
        <f>N5671&amp;AS[[#This Row],[Insurer Code]]&amp;"; "&amp;O5671&amp;AS[[#This Row],[Reporting Year]]&amp;"; "&amp;P5671&amp;AS[[#This Row],[Insurance Category Code]]&amp;"; "&amp;Q5671&amp;AS[[#This Row],[Large Provider Entity Code]]&amp;"; "&amp;R5671&amp;AS[[#This Row],[Age Band Code]]&amp;"; "&amp;S5671&amp;AS[[#This Row],[Sex Code]]</f>
        <v xml:space="preserve">Insurer Code ; Reporting Year ; Insurance Category Code ; Large Provider Entity Code ; Age Band Code ; Sex Code </v>
      </c>
      <c r="N5671" s="297" t="s">
        <v>197</v>
      </c>
      <c r="O5671" s="297" t="s">
        <v>198</v>
      </c>
      <c r="P5671" s="297" t="s">
        <v>199</v>
      </c>
      <c r="Q5671" s="297" t="s">
        <v>200</v>
      </c>
      <c r="R5671" s="297" t="s">
        <v>213</v>
      </c>
      <c r="S5671" s="297" t="s">
        <v>214</v>
      </c>
    </row>
    <row r="5672" spans="1:19" x14ac:dyDescent="0.4">
      <c r="A5672" s="548"/>
      <c r="B5672" s="292"/>
      <c r="C5672" s="292"/>
      <c r="D5672" s="292"/>
      <c r="E5672" s="549"/>
      <c r="F5672" s="549"/>
      <c r="G5672" s="550"/>
      <c r="H5672" s="551"/>
      <c r="I5672" s="552"/>
      <c r="J5672" s="553"/>
      <c r="K5672" s="554"/>
      <c r="M5672" s="301" t="str">
        <f>N5672&amp;AS[[#This Row],[Insurer Code]]&amp;"; "&amp;O5672&amp;AS[[#This Row],[Reporting Year]]&amp;"; "&amp;P5672&amp;AS[[#This Row],[Insurance Category Code]]&amp;"; "&amp;Q5672&amp;AS[[#This Row],[Large Provider Entity Code]]&amp;"; "&amp;R5672&amp;AS[[#This Row],[Age Band Code]]&amp;"; "&amp;S5672&amp;AS[[#This Row],[Sex Code]]</f>
        <v xml:space="preserve">Insurer Code ; Reporting Year ; Insurance Category Code ; Large Provider Entity Code ; Age Band Code ; Sex Code </v>
      </c>
      <c r="N5672" s="297" t="s">
        <v>197</v>
      </c>
      <c r="O5672" s="297" t="s">
        <v>198</v>
      </c>
      <c r="P5672" s="297" t="s">
        <v>199</v>
      </c>
      <c r="Q5672" s="297" t="s">
        <v>200</v>
      </c>
      <c r="R5672" s="297" t="s">
        <v>213</v>
      </c>
      <c r="S5672" s="297" t="s">
        <v>214</v>
      </c>
    </row>
    <row r="5673" spans="1:19" x14ac:dyDescent="0.4">
      <c r="A5673" s="548"/>
      <c r="B5673" s="292"/>
      <c r="C5673" s="292"/>
      <c r="D5673" s="292"/>
      <c r="E5673" s="549"/>
      <c r="F5673" s="549"/>
      <c r="G5673" s="550"/>
      <c r="H5673" s="551"/>
      <c r="I5673" s="552"/>
      <c r="J5673" s="553"/>
      <c r="K5673" s="554"/>
      <c r="M5673" s="301" t="str">
        <f>N5673&amp;AS[[#This Row],[Insurer Code]]&amp;"; "&amp;O5673&amp;AS[[#This Row],[Reporting Year]]&amp;"; "&amp;P5673&amp;AS[[#This Row],[Insurance Category Code]]&amp;"; "&amp;Q5673&amp;AS[[#This Row],[Large Provider Entity Code]]&amp;"; "&amp;R5673&amp;AS[[#This Row],[Age Band Code]]&amp;"; "&amp;S5673&amp;AS[[#This Row],[Sex Code]]</f>
        <v xml:space="preserve">Insurer Code ; Reporting Year ; Insurance Category Code ; Large Provider Entity Code ; Age Band Code ; Sex Code </v>
      </c>
      <c r="N5673" s="297" t="s">
        <v>197</v>
      </c>
      <c r="O5673" s="297" t="s">
        <v>198</v>
      </c>
      <c r="P5673" s="297" t="s">
        <v>199</v>
      </c>
      <c r="Q5673" s="297" t="s">
        <v>200</v>
      </c>
      <c r="R5673" s="297" t="s">
        <v>213</v>
      </c>
      <c r="S5673" s="297" t="s">
        <v>214</v>
      </c>
    </row>
    <row r="5674" spans="1:19" x14ac:dyDescent="0.4">
      <c r="A5674" s="548"/>
      <c r="B5674" s="292"/>
      <c r="C5674" s="292"/>
      <c r="D5674" s="292"/>
      <c r="E5674" s="549"/>
      <c r="F5674" s="549"/>
      <c r="G5674" s="550"/>
      <c r="H5674" s="551"/>
      <c r="I5674" s="552"/>
      <c r="J5674" s="553"/>
      <c r="K5674" s="554"/>
      <c r="M5674" s="301" t="str">
        <f>N5674&amp;AS[[#This Row],[Insurer Code]]&amp;"; "&amp;O5674&amp;AS[[#This Row],[Reporting Year]]&amp;"; "&amp;P5674&amp;AS[[#This Row],[Insurance Category Code]]&amp;"; "&amp;Q5674&amp;AS[[#This Row],[Large Provider Entity Code]]&amp;"; "&amp;R5674&amp;AS[[#This Row],[Age Band Code]]&amp;"; "&amp;S5674&amp;AS[[#This Row],[Sex Code]]</f>
        <v xml:space="preserve">Insurer Code ; Reporting Year ; Insurance Category Code ; Large Provider Entity Code ; Age Band Code ; Sex Code </v>
      </c>
      <c r="N5674" s="297" t="s">
        <v>197</v>
      </c>
      <c r="O5674" s="297" t="s">
        <v>198</v>
      </c>
      <c r="P5674" s="297" t="s">
        <v>199</v>
      </c>
      <c r="Q5674" s="297" t="s">
        <v>200</v>
      </c>
      <c r="R5674" s="297" t="s">
        <v>213</v>
      </c>
      <c r="S5674" s="297" t="s">
        <v>214</v>
      </c>
    </row>
    <row r="5675" spans="1:19" x14ac:dyDescent="0.4">
      <c r="A5675" s="548"/>
      <c r="B5675" s="292"/>
      <c r="C5675" s="292"/>
      <c r="D5675" s="292"/>
      <c r="E5675" s="549"/>
      <c r="F5675" s="549"/>
      <c r="G5675" s="550"/>
      <c r="H5675" s="551"/>
      <c r="I5675" s="552"/>
      <c r="J5675" s="553"/>
      <c r="K5675" s="554"/>
      <c r="M5675" s="301" t="str">
        <f>N5675&amp;AS[[#This Row],[Insurer Code]]&amp;"; "&amp;O5675&amp;AS[[#This Row],[Reporting Year]]&amp;"; "&amp;P5675&amp;AS[[#This Row],[Insurance Category Code]]&amp;"; "&amp;Q5675&amp;AS[[#This Row],[Large Provider Entity Code]]&amp;"; "&amp;R5675&amp;AS[[#This Row],[Age Band Code]]&amp;"; "&amp;S5675&amp;AS[[#This Row],[Sex Code]]</f>
        <v xml:space="preserve">Insurer Code ; Reporting Year ; Insurance Category Code ; Large Provider Entity Code ; Age Band Code ; Sex Code </v>
      </c>
      <c r="N5675" s="297" t="s">
        <v>197</v>
      </c>
      <c r="O5675" s="297" t="s">
        <v>198</v>
      </c>
      <c r="P5675" s="297" t="s">
        <v>199</v>
      </c>
      <c r="Q5675" s="297" t="s">
        <v>200</v>
      </c>
      <c r="R5675" s="297" t="s">
        <v>213</v>
      </c>
      <c r="S5675" s="297" t="s">
        <v>214</v>
      </c>
    </row>
    <row r="5676" spans="1:19" x14ac:dyDescent="0.4">
      <c r="A5676" s="548"/>
      <c r="B5676" s="292"/>
      <c r="C5676" s="292"/>
      <c r="D5676" s="292"/>
      <c r="E5676" s="549"/>
      <c r="F5676" s="549"/>
      <c r="G5676" s="550"/>
      <c r="H5676" s="551"/>
      <c r="I5676" s="552"/>
      <c r="J5676" s="553"/>
      <c r="K5676" s="554"/>
      <c r="M5676" s="301" t="str">
        <f>N5676&amp;AS[[#This Row],[Insurer Code]]&amp;"; "&amp;O5676&amp;AS[[#This Row],[Reporting Year]]&amp;"; "&amp;P5676&amp;AS[[#This Row],[Insurance Category Code]]&amp;"; "&amp;Q5676&amp;AS[[#This Row],[Large Provider Entity Code]]&amp;"; "&amp;R5676&amp;AS[[#This Row],[Age Band Code]]&amp;"; "&amp;S5676&amp;AS[[#This Row],[Sex Code]]</f>
        <v xml:space="preserve">Insurer Code ; Reporting Year ; Insurance Category Code ; Large Provider Entity Code ; Age Band Code ; Sex Code </v>
      </c>
      <c r="N5676" s="297" t="s">
        <v>197</v>
      </c>
      <c r="O5676" s="297" t="s">
        <v>198</v>
      </c>
      <c r="P5676" s="297" t="s">
        <v>199</v>
      </c>
      <c r="Q5676" s="297" t="s">
        <v>200</v>
      </c>
      <c r="R5676" s="297" t="s">
        <v>213</v>
      </c>
      <c r="S5676" s="297" t="s">
        <v>214</v>
      </c>
    </row>
    <row r="5677" spans="1:19" x14ac:dyDescent="0.4">
      <c r="A5677" s="548"/>
      <c r="B5677" s="292"/>
      <c r="C5677" s="292"/>
      <c r="D5677" s="292"/>
      <c r="E5677" s="549"/>
      <c r="F5677" s="549"/>
      <c r="G5677" s="550"/>
      <c r="H5677" s="551"/>
      <c r="I5677" s="552"/>
      <c r="J5677" s="553"/>
      <c r="K5677" s="554"/>
      <c r="M5677" s="301" t="str">
        <f>N5677&amp;AS[[#This Row],[Insurer Code]]&amp;"; "&amp;O5677&amp;AS[[#This Row],[Reporting Year]]&amp;"; "&amp;P5677&amp;AS[[#This Row],[Insurance Category Code]]&amp;"; "&amp;Q5677&amp;AS[[#This Row],[Large Provider Entity Code]]&amp;"; "&amp;R5677&amp;AS[[#This Row],[Age Band Code]]&amp;"; "&amp;S5677&amp;AS[[#This Row],[Sex Code]]</f>
        <v xml:space="preserve">Insurer Code ; Reporting Year ; Insurance Category Code ; Large Provider Entity Code ; Age Band Code ; Sex Code </v>
      </c>
      <c r="N5677" s="297" t="s">
        <v>197</v>
      </c>
      <c r="O5677" s="297" t="s">
        <v>198</v>
      </c>
      <c r="P5677" s="297" t="s">
        <v>199</v>
      </c>
      <c r="Q5677" s="297" t="s">
        <v>200</v>
      </c>
      <c r="R5677" s="297" t="s">
        <v>213</v>
      </c>
      <c r="S5677" s="297" t="s">
        <v>214</v>
      </c>
    </row>
    <row r="5678" spans="1:19" x14ac:dyDescent="0.4">
      <c r="A5678" s="548"/>
      <c r="B5678" s="292"/>
      <c r="C5678" s="292"/>
      <c r="D5678" s="292"/>
      <c r="E5678" s="549"/>
      <c r="F5678" s="549"/>
      <c r="G5678" s="550"/>
      <c r="H5678" s="551"/>
      <c r="I5678" s="552"/>
      <c r="J5678" s="553"/>
      <c r="K5678" s="554"/>
      <c r="M5678" s="301" t="str">
        <f>N5678&amp;AS[[#This Row],[Insurer Code]]&amp;"; "&amp;O5678&amp;AS[[#This Row],[Reporting Year]]&amp;"; "&amp;P5678&amp;AS[[#This Row],[Insurance Category Code]]&amp;"; "&amp;Q5678&amp;AS[[#This Row],[Large Provider Entity Code]]&amp;"; "&amp;R5678&amp;AS[[#This Row],[Age Band Code]]&amp;"; "&amp;S5678&amp;AS[[#This Row],[Sex Code]]</f>
        <v xml:space="preserve">Insurer Code ; Reporting Year ; Insurance Category Code ; Large Provider Entity Code ; Age Band Code ; Sex Code </v>
      </c>
      <c r="N5678" s="297" t="s">
        <v>197</v>
      </c>
      <c r="O5678" s="297" t="s">
        <v>198</v>
      </c>
      <c r="P5678" s="297" t="s">
        <v>199</v>
      </c>
      <c r="Q5678" s="297" t="s">
        <v>200</v>
      </c>
      <c r="R5678" s="297" t="s">
        <v>213</v>
      </c>
      <c r="S5678" s="297" t="s">
        <v>214</v>
      </c>
    </row>
    <row r="5679" spans="1:19" x14ac:dyDescent="0.4">
      <c r="A5679" s="548"/>
      <c r="B5679" s="292"/>
      <c r="C5679" s="292"/>
      <c r="D5679" s="292"/>
      <c r="E5679" s="549"/>
      <c r="F5679" s="549"/>
      <c r="G5679" s="550"/>
      <c r="H5679" s="551"/>
      <c r="I5679" s="552"/>
      <c r="J5679" s="553"/>
      <c r="K5679" s="554"/>
      <c r="M5679" s="301" t="str">
        <f>N5679&amp;AS[[#This Row],[Insurer Code]]&amp;"; "&amp;O5679&amp;AS[[#This Row],[Reporting Year]]&amp;"; "&amp;P5679&amp;AS[[#This Row],[Insurance Category Code]]&amp;"; "&amp;Q5679&amp;AS[[#This Row],[Large Provider Entity Code]]&amp;"; "&amp;R5679&amp;AS[[#This Row],[Age Band Code]]&amp;"; "&amp;S5679&amp;AS[[#This Row],[Sex Code]]</f>
        <v xml:space="preserve">Insurer Code ; Reporting Year ; Insurance Category Code ; Large Provider Entity Code ; Age Band Code ; Sex Code </v>
      </c>
      <c r="N5679" s="297" t="s">
        <v>197</v>
      </c>
      <c r="O5679" s="297" t="s">
        <v>198</v>
      </c>
      <c r="P5679" s="297" t="s">
        <v>199</v>
      </c>
      <c r="Q5679" s="297" t="s">
        <v>200</v>
      </c>
      <c r="R5679" s="297" t="s">
        <v>213</v>
      </c>
      <c r="S5679" s="297" t="s">
        <v>214</v>
      </c>
    </row>
    <row r="5680" spans="1:19" x14ac:dyDescent="0.4">
      <c r="A5680" s="548"/>
      <c r="B5680" s="292"/>
      <c r="C5680" s="292"/>
      <c r="D5680" s="292"/>
      <c r="E5680" s="549"/>
      <c r="F5680" s="549"/>
      <c r="G5680" s="550"/>
      <c r="H5680" s="551"/>
      <c r="I5680" s="552"/>
      <c r="J5680" s="553"/>
      <c r="K5680" s="554"/>
      <c r="M5680" s="301" t="str">
        <f>N5680&amp;AS[[#This Row],[Insurer Code]]&amp;"; "&amp;O5680&amp;AS[[#This Row],[Reporting Year]]&amp;"; "&amp;P5680&amp;AS[[#This Row],[Insurance Category Code]]&amp;"; "&amp;Q5680&amp;AS[[#This Row],[Large Provider Entity Code]]&amp;"; "&amp;R5680&amp;AS[[#This Row],[Age Band Code]]&amp;"; "&amp;S5680&amp;AS[[#This Row],[Sex Code]]</f>
        <v xml:space="preserve">Insurer Code ; Reporting Year ; Insurance Category Code ; Large Provider Entity Code ; Age Band Code ; Sex Code </v>
      </c>
      <c r="N5680" s="297" t="s">
        <v>197</v>
      </c>
      <c r="O5680" s="297" t="s">
        <v>198</v>
      </c>
      <c r="P5680" s="297" t="s">
        <v>199</v>
      </c>
      <c r="Q5680" s="297" t="s">
        <v>200</v>
      </c>
      <c r="R5680" s="297" t="s">
        <v>213</v>
      </c>
      <c r="S5680" s="297" t="s">
        <v>214</v>
      </c>
    </row>
    <row r="5681" spans="1:19" x14ac:dyDescent="0.4">
      <c r="A5681" s="548"/>
      <c r="B5681" s="292"/>
      <c r="C5681" s="292"/>
      <c r="D5681" s="292"/>
      <c r="E5681" s="549"/>
      <c r="F5681" s="549"/>
      <c r="G5681" s="550"/>
      <c r="H5681" s="551"/>
      <c r="I5681" s="552"/>
      <c r="J5681" s="553"/>
      <c r="K5681" s="554"/>
      <c r="M5681" s="301" t="str">
        <f>N5681&amp;AS[[#This Row],[Insurer Code]]&amp;"; "&amp;O5681&amp;AS[[#This Row],[Reporting Year]]&amp;"; "&amp;P5681&amp;AS[[#This Row],[Insurance Category Code]]&amp;"; "&amp;Q5681&amp;AS[[#This Row],[Large Provider Entity Code]]&amp;"; "&amp;R5681&amp;AS[[#This Row],[Age Band Code]]&amp;"; "&amp;S5681&amp;AS[[#This Row],[Sex Code]]</f>
        <v xml:space="preserve">Insurer Code ; Reporting Year ; Insurance Category Code ; Large Provider Entity Code ; Age Band Code ; Sex Code </v>
      </c>
      <c r="N5681" s="297" t="s">
        <v>197</v>
      </c>
      <c r="O5681" s="297" t="s">
        <v>198</v>
      </c>
      <c r="P5681" s="297" t="s">
        <v>199</v>
      </c>
      <c r="Q5681" s="297" t="s">
        <v>200</v>
      </c>
      <c r="R5681" s="297" t="s">
        <v>213</v>
      </c>
      <c r="S5681" s="297" t="s">
        <v>214</v>
      </c>
    </row>
    <row r="5682" spans="1:19" x14ac:dyDescent="0.4">
      <c r="A5682" s="548"/>
      <c r="B5682" s="292"/>
      <c r="C5682" s="292"/>
      <c r="D5682" s="292"/>
      <c r="E5682" s="549"/>
      <c r="F5682" s="549"/>
      <c r="G5682" s="550"/>
      <c r="H5682" s="551"/>
      <c r="I5682" s="552"/>
      <c r="J5682" s="553"/>
      <c r="K5682" s="554"/>
      <c r="M5682" s="301" t="str">
        <f>N5682&amp;AS[[#This Row],[Insurer Code]]&amp;"; "&amp;O5682&amp;AS[[#This Row],[Reporting Year]]&amp;"; "&amp;P5682&amp;AS[[#This Row],[Insurance Category Code]]&amp;"; "&amp;Q5682&amp;AS[[#This Row],[Large Provider Entity Code]]&amp;"; "&amp;R5682&amp;AS[[#This Row],[Age Band Code]]&amp;"; "&amp;S5682&amp;AS[[#This Row],[Sex Code]]</f>
        <v xml:space="preserve">Insurer Code ; Reporting Year ; Insurance Category Code ; Large Provider Entity Code ; Age Band Code ; Sex Code </v>
      </c>
      <c r="N5682" s="297" t="s">
        <v>197</v>
      </c>
      <c r="O5682" s="297" t="s">
        <v>198</v>
      </c>
      <c r="P5682" s="297" t="s">
        <v>199</v>
      </c>
      <c r="Q5682" s="297" t="s">
        <v>200</v>
      </c>
      <c r="R5682" s="297" t="s">
        <v>213</v>
      </c>
      <c r="S5682" s="297" t="s">
        <v>214</v>
      </c>
    </row>
    <row r="5683" spans="1:19" x14ac:dyDescent="0.4">
      <c r="A5683" s="548"/>
      <c r="B5683" s="292"/>
      <c r="C5683" s="292"/>
      <c r="D5683" s="292"/>
      <c r="E5683" s="549"/>
      <c r="F5683" s="549"/>
      <c r="G5683" s="550"/>
      <c r="H5683" s="551"/>
      <c r="I5683" s="552"/>
      <c r="J5683" s="553"/>
      <c r="K5683" s="554"/>
      <c r="M5683" s="301" t="str">
        <f>N5683&amp;AS[[#This Row],[Insurer Code]]&amp;"; "&amp;O5683&amp;AS[[#This Row],[Reporting Year]]&amp;"; "&amp;P5683&amp;AS[[#This Row],[Insurance Category Code]]&amp;"; "&amp;Q5683&amp;AS[[#This Row],[Large Provider Entity Code]]&amp;"; "&amp;R5683&amp;AS[[#This Row],[Age Band Code]]&amp;"; "&amp;S5683&amp;AS[[#This Row],[Sex Code]]</f>
        <v xml:space="preserve">Insurer Code ; Reporting Year ; Insurance Category Code ; Large Provider Entity Code ; Age Band Code ; Sex Code </v>
      </c>
      <c r="N5683" s="297" t="s">
        <v>197</v>
      </c>
      <c r="O5683" s="297" t="s">
        <v>198</v>
      </c>
      <c r="P5683" s="297" t="s">
        <v>199</v>
      </c>
      <c r="Q5683" s="297" t="s">
        <v>200</v>
      </c>
      <c r="R5683" s="297" t="s">
        <v>213</v>
      </c>
      <c r="S5683" s="297" t="s">
        <v>214</v>
      </c>
    </row>
    <row r="5684" spans="1:19" x14ac:dyDescent="0.4">
      <c r="A5684" s="548"/>
      <c r="B5684" s="292"/>
      <c r="C5684" s="292"/>
      <c r="D5684" s="292"/>
      <c r="E5684" s="549"/>
      <c r="F5684" s="549"/>
      <c r="G5684" s="550"/>
      <c r="H5684" s="551"/>
      <c r="I5684" s="552"/>
      <c r="J5684" s="553"/>
      <c r="K5684" s="554"/>
      <c r="M5684" s="301" t="str">
        <f>N5684&amp;AS[[#This Row],[Insurer Code]]&amp;"; "&amp;O5684&amp;AS[[#This Row],[Reporting Year]]&amp;"; "&amp;P5684&amp;AS[[#This Row],[Insurance Category Code]]&amp;"; "&amp;Q5684&amp;AS[[#This Row],[Large Provider Entity Code]]&amp;"; "&amp;R5684&amp;AS[[#This Row],[Age Band Code]]&amp;"; "&amp;S5684&amp;AS[[#This Row],[Sex Code]]</f>
        <v xml:space="preserve">Insurer Code ; Reporting Year ; Insurance Category Code ; Large Provider Entity Code ; Age Band Code ; Sex Code </v>
      </c>
      <c r="N5684" s="297" t="s">
        <v>197</v>
      </c>
      <c r="O5684" s="297" t="s">
        <v>198</v>
      </c>
      <c r="P5684" s="297" t="s">
        <v>199</v>
      </c>
      <c r="Q5684" s="297" t="s">
        <v>200</v>
      </c>
      <c r="R5684" s="297" t="s">
        <v>213</v>
      </c>
      <c r="S5684" s="297" t="s">
        <v>214</v>
      </c>
    </row>
    <row r="5685" spans="1:19" x14ac:dyDescent="0.4">
      <c r="A5685" s="548"/>
      <c r="B5685" s="292"/>
      <c r="C5685" s="292"/>
      <c r="D5685" s="292"/>
      <c r="E5685" s="549"/>
      <c r="F5685" s="549"/>
      <c r="G5685" s="550"/>
      <c r="H5685" s="551"/>
      <c r="I5685" s="552"/>
      <c r="J5685" s="553"/>
      <c r="K5685" s="554"/>
      <c r="M5685" s="301" t="str">
        <f>N5685&amp;AS[[#This Row],[Insurer Code]]&amp;"; "&amp;O5685&amp;AS[[#This Row],[Reporting Year]]&amp;"; "&amp;P5685&amp;AS[[#This Row],[Insurance Category Code]]&amp;"; "&amp;Q5685&amp;AS[[#This Row],[Large Provider Entity Code]]&amp;"; "&amp;R5685&amp;AS[[#This Row],[Age Band Code]]&amp;"; "&amp;S5685&amp;AS[[#This Row],[Sex Code]]</f>
        <v xml:space="preserve">Insurer Code ; Reporting Year ; Insurance Category Code ; Large Provider Entity Code ; Age Band Code ; Sex Code </v>
      </c>
      <c r="N5685" s="297" t="s">
        <v>197</v>
      </c>
      <c r="O5685" s="297" t="s">
        <v>198</v>
      </c>
      <c r="P5685" s="297" t="s">
        <v>199</v>
      </c>
      <c r="Q5685" s="297" t="s">
        <v>200</v>
      </c>
      <c r="R5685" s="297" t="s">
        <v>213</v>
      </c>
      <c r="S5685" s="297" t="s">
        <v>214</v>
      </c>
    </row>
    <row r="5686" spans="1:19" x14ac:dyDescent="0.4">
      <c r="A5686" s="548"/>
      <c r="B5686" s="292"/>
      <c r="C5686" s="292"/>
      <c r="D5686" s="292"/>
      <c r="E5686" s="549"/>
      <c r="F5686" s="549"/>
      <c r="G5686" s="550"/>
      <c r="H5686" s="551"/>
      <c r="I5686" s="552"/>
      <c r="J5686" s="553"/>
      <c r="K5686" s="554"/>
      <c r="M5686" s="301" t="str">
        <f>N5686&amp;AS[[#This Row],[Insurer Code]]&amp;"; "&amp;O5686&amp;AS[[#This Row],[Reporting Year]]&amp;"; "&amp;P5686&amp;AS[[#This Row],[Insurance Category Code]]&amp;"; "&amp;Q5686&amp;AS[[#This Row],[Large Provider Entity Code]]&amp;"; "&amp;R5686&amp;AS[[#This Row],[Age Band Code]]&amp;"; "&amp;S5686&amp;AS[[#This Row],[Sex Code]]</f>
        <v xml:space="preserve">Insurer Code ; Reporting Year ; Insurance Category Code ; Large Provider Entity Code ; Age Band Code ; Sex Code </v>
      </c>
      <c r="N5686" s="297" t="s">
        <v>197</v>
      </c>
      <c r="O5686" s="297" t="s">
        <v>198</v>
      </c>
      <c r="P5686" s="297" t="s">
        <v>199</v>
      </c>
      <c r="Q5686" s="297" t="s">
        <v>200</v>
      </c>
      <c r="R5686" s="297" t="s">
        <v>213</v>
      </c>
      <c r="S5686" s="297" t="s">
        <v>214</v>
      </c>
    </row>
    <row r="5687" spans="1:19" x14ac:dyDescent="0.4">
      <c r="A5687" s="548"/>
      <c r="B5687" s="292"/>
      <c r="C5687" s="292"/>
      <c r="D5687" s="292"/>
      <c r="E5687" s="549"/>
      <c r="F5687" s="549"/>
      <c r="G5687" s="550"/>
      <c r="H5687" s="551"/>
      <c r="I5687" s="552"/>
      <c r="J5687" s="553"/>
      <c r="K5687" s="554"/>
      <c r="M5687" s="301" t="str">
        <f>N5687&amp;AS[[#This Row],[Insurer Code]]&amp;"; "&amp;O5687&amp;AS[[#This Row],[Reporting Year]]&amp;"; "&amp;P5687&amp;AS[[#This Row],[Insurance Category Code]]&amp;"; "&amp;Q5687&amp;AS[[#This Row],[Large Provider Entity Code]]&amp;"; "&amp;R5687&amp;AS[[#This Row],[Age Band Code]]&amp;"; "&amp;S5687&amp;AS[[#This Row],[Sex Code]]</f>
        <v xml:space="preserve">Insurer Code ; Reporting Year ; Insurance Category Code ; Large Provider Entity Code ; Age Band Code ; Sex Code </v>
      </c>
      <c r="N5687" s="297" t="s">
        <v>197</v>
      </c>
      <c r="O5687" s="297" t="s">
        <v>198</v>
      </c>
      <c r="P5687" s="297" t="s">
        <v>199</v>
      </c>
      <c r="Q5687" s="297" t="s">
        <v>200</v>
      </c>
      <c r="R5687" s="297" t="s">
        <v>213</v>
      </c>
      <c r="S5687" s="297" t="s">
        <v>214</v>
      </c>
    </row>
    <row r="5688" spans="1:19" x14ac:dyDescent="0.4">
      <c r="A5688" s="548"/>
      <c r="B5688" s="292"/>
      <c r="C5688" s="292"/>
      <c r="D5688" s="292"/>
      <c r="E5688" s="549"/>
      <c r="F5688" s="549"/>
      <c r="G5688" s="550"/>
      <c r="H5688" s="551"/>
      <c r="I5688" s="552"/>
      <c r="J5688" s="553"/>
      <c r="K5688" s="554"/>
      <c r="M5688" s="301" t="str">
        <f>N5688&amp;AS[[#This Row],[Insurer Code]]&amp;"; "&amp;O5688&amp;AS[[#This Row],[Reporting Year]]&amp;"; "&amp;P5688&amp;AS[[#This Row],[Insurance Category Code]]&amp;"; "&amp;Q5688&amp;AS[[#This Row],[Large Provider Entity Code]]&amp;"; "&amp;R5688&amp;AS[[#This Row],[Age Band Code]]&amp;"; "&amp;S5688&amp;AS[[#This Row],[Sex Code]]</f>
        <v xml:space="preserve">Insurer Code ; Reporting Year ; Insurance Category Code ; Large Provider Entity Code ; Age Band Code ; Sex Code </v>
      </c>
      <c r="N5688" s="297" t="s">
        <v>197</v>
      </c>
      <c r="O5688" s="297" t="s">
        <v>198</v>
      </c>
      <c r="P5688" s="297" t="s">
        <v>199</v>
      </c>
      <c r="Q5688" s="297" t="s">
        <v>200</v>
      </c>
      <c r="R5688" s="297" t="s">
        <v>213</v>
      </c>
      <c r="S5688" s="297" t="s">
        <v>214</v>
      </c>
    </row>
    <row r="5689" spans="1:19" x14ac:dyDescent="0.4">
      <c r="A5689" s="548"/>
      <c r="B5689" s="292"/>
      <c r="C5689" s="292"/>
      <c r="D5689" s="292"/>
      <c r="E5689" s="549"/>
      <c r="F5689" s="549"/>
      <c r="G5689" s="550"/>
      <c r="H5689" s="551"/>
      <c r="I5689" s="552"/>
      <c r="J5689" s="553"/>
      <c r="K5689" s="554"/>
      <c r="M5689" s="301" t="str">
        <f>N5689&amp;AS[[#This Row],[Insurer Code]]&amp;"; "&amp;O5689&amp;AS[[#This Row],[Reporting Year]]&amp;"; "&amp;P5689&amp;AS[[#This Row],[Insurance Category Code]]&amp;"; "&amp;Q5689&amp;AS[[#This Row],[Large Provider Entity Code]]&amp;"; "&amp;R5689&amp;AS[[#This Row],[Age Band Code]]&amp;"; "&amp;S5689&amp;AS[[#This Row],[Sex Code]]</f>
        <v xml:space="preserve">Insurer Code ; Reporting Year ; Insurance Category Code ; Large Provider Entity Code ; Age Band Code ; Sex Code </v>
      </c>
      <c r="N5689" s="297" t="s">
        <v>197</v>
      </c>
      <c r="O5689" s="297" t="s">
        <v>198</v>
      </c>
      <c r="P5689" s="297" t="s">
        <v>199</v>
      </c>
      <c r="Q5689" s="297" t="s">
        <v>200</v>
      </c>
      <c r="R5689" s="297" t="s">
        <v>213</v>
      </c>
      <c r="S5689" s="297" t="s">
        <v>214</v>
      </c>
    </row>
    <row r="5690" spans="1:19" x14ac:dyDescent="0.4">
      <c r="A5690" s="548"/>
      <c r="B5690" s="292"/>
      <c r="C5690" s="292"/>
      <c r="D5690" s="292"/>
      <c r="E5690" s="549"/>
      <c r="F5690" s="549"/>
      <c r="G5690" s="550"/>
      <c r="H5690" s="551"/>
      <c r="I5690" s="552"/>
      <c r="J5690" s="553"/>
      <c r="K5690" s="554"/>
      <c r="M5690" s="301" t="str">
        <f>N5690&amp;AS[[#This Row],[Insurer Code]]&amp;"; "&amp;O5690&amp;AS[[#This Row],[Reporting Year]]&amp;"; "&amp;P5690&amp;AS[[#This Row],[Insurance Category Code]]&amp;"; "&amp;Q5690&amp;AS[[#This Row],[Large Provider Entity Code]]&amp;"; "&amp;R5690&amp;AS[[#This Row],[Age Band Code]]&amp;"; "&amp;S5690&amp;AS[[#This Row],[Sex Code]]</f>
        <v xml:space="preserve">Insurer Code ; Reporting Year ; Insurance Category Code ; Large Provider Entity Code ; Age Band Code ; Sex Code </v>
      </c>
      <c r="N5690" s="297" t="s">
        <v>197</v>
      </c>
      <c r="O5690" s="297" t="s">
        <v>198</v>
      </c>
      <c r="P5690" s="297" t="s">
        <v>199</v>
      </c>
      <c r="Q5690" s="297" t="s">
        <v>200</v>
      </c>
      <c r="R5690" s="297" t="s">
        <v>213</v>
      </c>
      <c r="S5690" s="297" t="s">
        <v>214</v>
      </c>
    </row>
    <row r="5691" spans="1:19" x14ac:dyDescent="0.4">
      <c r="A5691" s="548"/>
      <c r="B5691" s="292"/>
      <c r="C5691" s="292"/>
      <c r="D5691" s="292"/>
      <c r="E5691" s="549"/>
      <c r="F5691" s="549"/>
      <c r="G5691" s="550"/>
      <c r="H5691" s="551"/>
      <c r="I5691" s="552"/>
      <c r="J5691" s="553"/>
      <c r="K5691" s="554"/>
      <c r="M5691" s="301" t="str">
        <f>N5691&amp;AS[[#This Row],[Insurer Code]]&amp;"; "&amp;O5691&amp;AS[[#This Row],[Reporting Year]]&amp;"; "&amp;P5691&amp;AS[[#This Row],[Insurance Category Code]]&amp;"; "&amp;Q5691&amp;AS[[#This Row],[Large Provider Entity Code]]&amp;"; "&amp;R5691&amp;AS[[#This Row],[Age Band Code]]&amp;"; "&amp;S5691&amp;AS[[#This Row],[Sex Code]]</f>
        <v xml:space="preserve">Insurer Code ; Reporting Year ; Insurance Category Code ; Large Provider Entity Code ; Age Band Code ; Sex Code </v>
      </c>
      <c r="N5691" s="297" t="s">
        <v>197</v>
      </c>
      <c r="O5691" s="297" t="s">
        <v>198</v>
      </c>
      <c r="P5691" s="297" t="s">
        <v>199</v>
      </c>
      <c r="Q5691" s="297" t="s">
        <v>200</v>
      </c>
      <c r="R5691" s="297" t="s">
        <v>213</v>
      </c>
      <c r="S5691" s="297" t="s">
        <v>214</v>
      </c>
    </row>
    <row r="5692" spans="1:19" x14ac:dyDescent="0.4">
      <c r="A5692" s="548"/>
      <c r="B5692" s="292"/>
      <c r="C5692" s="292"/>
      <c r="D5692" s="292"/>
      <c r="E5692" s="549"/>
      <c r="F5692" s="549"/>
      <c r="G5692" s="550"/>
      <c r="H5692" s="551"/>
      <c r="I5692" s="552"/>
      <c r="J5692" s="553"/>
      <c r="K5692" s="554"/>
      <c r="M5692" s="301" t="str">
        <f>N5692&amp;AS[[#This Row],[Insurer Code]]&amp;"; "&amp;O5692&amp;AS[[#This Row],[Reporting Year]]&amp;"; "&amp;P5692&amp;AS[[#This Row],[Insurance Category Code]]&amp;"; "&amp;Q5692&amp;AS[[#This Row],[Large Provider Entity Code]]&amp;"; "&amp;R5692&amp;AS[[#This Row],[Age Band Code]]&amp;"; "&amp;S5692&amp;AS[[#This Row],[Sex Code]]</f>
        <v xml:space="preserve">Insurer Code ; Reporting Year ; Insurance Category Code ; Large Provider Entity Code ; Age Band Code ; Sex Code </v>
      </c>
      <c r="N5692" s="297" t="s">
        <v>197</v>
      </c>
      <c r="O5692" s="297" t="s">
        <v>198</v>
      </c>
      <c r="P5692" s="297" t="s">
        <v>199</v>
      </c>
      <c r="Q5692" s="297" t="s">
        <v>200</v>
      </c>
      <c r="R5692" s="297" t="s">
        <v>213</v>
      </c>
      <c r="S5692" s="297" t="s">
        <v>214</v>
      </c>
    </row>
    <row r="5693" spans="1:19" x14ac:dyDescent="0.4">
      <c r="A5693" s="548"/>
      <c r="B5693" s="292"/>
      <c r="C5693" s="292"/>
      <c r="D5693" s="292"/>
      <c r="E5693" s="549"/>
      <c r="F5693" s="549"/>
      <c r="G5693" s="550"/>
      <c r="H5693" s="551"/>
      <c r="I5693" s="552"/>
      <c r="J5693" s="553"/>
      <c r="K5693" s="554"/>
      <c r="M5693" s="301" t="str">
        <f>N5693&amp;AS[[#This Row],[Insurer Code]]&amp;"; "&amp;O5693&amp;AS[[#This Row],[Reporting Year]]&amp;"; "&amp;P5693&amp;AS[[#This Row],[Insurance Category Code]]&amp;"; "&amp;Q5693&amp;AS[[#This Row],[Large Provider Entity Code]]&amp;"; "&amp;R5693&amp;AS[[#This Row],[Age Band Code]]&amp;"; "&amp;S5693&amp;AS[[#This Row],[Sex Code]]</f>
        <v xml:space="preserve">Insurer Code ; Reporting Year ; Insurance Category Code ; Large Provider Entity Code ; Age Band Code ; Sex Code </v>
      </c>
      <c r="N5693" s="297" t="s">
        <v>197</v>
      </c>
      <c r="O5693" s="297" t="s">
        <v>198</v>
      </c>
      <c r="P5693" s="297" t="s">
        <v>199</v>
      </c>
      <c r="Q5693" s="297" t="s">
        <v>200</v>
      </c>
      <c r="R5693" s="297" t="s">
        <v>213</v>
      </c>
      <c r="S5693" s="297" t="s">
        <v>214</v>
      </c>
    </row>
    <row r="5694" spans="1:19" x14ac:dyDescent="0.4">
      <c r="A5694" s="548"/>
      <c r="B5694" s="292"/>
      <c r="C5694" s="292"/>
      <c r="D5694" s="292"/>
      <c r="E5694" s="549"/>
      <c r="F5694" s="549"/>
      <c r="G5694" s="550"/>
      <c r="H5694" s="551"/>
      <c r="I5694" s="552"/>
      <c r="J5694" s="553"/>
      <c r="K5694" s="554"/>
      <c r="M5694" s="301" t="str">
        <f>N5694&amp;AS[[#This Row],[Insurer Code]]&amp;"; "&amp;O5694&amp;AS[[#This Row],[Reporting Year]]&amp;"; "&amp;P5694&amp;AS[[#This Row],[Insurance Category Code]]&amp;"; "&amp;Q5694&amp;AS[[#This Row],[Large Provider Entity Code]]&amp;"; "&amp;R5694&amp;AS[[#This Row],[Age Band Code]]&amp;"; "&amp;S5694&amp;AS[[#This Row],[Sex Code]]</f>
        <v xml:space="preserve">Insurer Code ; Reporting Year ; Insurance Category Code ; Large Provider Entity Code ; Age Band Code ; Sex Code </v>
      </c>
      <c r="N5694" s="297" t="s">
        <v>197</v>
      </c>
      <c r="O5694" s="297" t="s">
        <v>198</v>
      </c>
      <c r="P5694" s="297" t="s">
        <v>199</v>
      </c>
      <c r="Q5694" s="297" t="s">
        <v>200</v>
      </c>
      <c r="R5694" s="297" t="s">
        <v>213</v>
      </c>
      <c r="S5694" s="297" t="s">
        <v>214</v>
      </c>
    </row>
    <row r="5695" spans="1:19" x14ac:dyDescent="0.4">
      <c r="A5695" s="548"/>
      <c r="B5695" s="292"/>
      <c r="C5695" s="292"/>
      <c r="D5695" s="292"/>
      <c r="E5695" s="549"/>
      <c r="F5695" s="549"/>
      <c r="G5695" s="550"/>
      <c r="H5695" s="551"/>
      <c r="I5695" s="552"/>
      <c r="J5695" s="553"/>
      <c r="K5695" s="554"/>
      <c r="M5695" s="301" t="str">
        <f>N5695&amp;AS[[#This Row],[Insurer Code]]&amp;"; "&amp;O5695&amp;AS[[#This Row],[Reporting Year]]&amp;"; "&amp;P5695&amp;AS[[#This Row],[Insurance Category Code]]&amp;"; "&amp;Q5695&amp;AS[[#This Row],[Large Provider Entity Code]]&amp;"; "&amp;R5695&amp;AS[[#This Row],[Age Band Code]]&amp;"; "&amp;S5695&amp;AS[[#This Row],[Sex Code]]</f>
        <v xml:space="preserve">Insurer Code ; Reporting Year ; Insurance Category Code ; Large Provider Entity Code ; Age Band Code ; Sex Code </v>
      </c>
      <c r="N5695" s="297" t="s">
        <v>197</v>
      </c>
      <c r="O5695" s="297" t="s">
        <v>198</v>
      </c>
      <c r="P5695" s="297" t="s">
        <v>199</v>
      </c>
      <c r="Q5695" s="297" t="s">
        <v>200</v>
      </c>
      <c r="R5695" s="297" t="s">
        <v>213</v>
      </c>
      <c r="S5695" s="297" t="s">
        <v>214</v>
      </c>
    </row>
    <row r="5696" spans="1:19" x14ac:dyDescent="0.4">
      <c r="A5696" s="548"/>
      <c r="B5696" s="292"/>
      <c r="C5696" s="292"/>
      <c r="D5696" s="292"/>
      <c r="E5696" s="549"/>
      <c r="F5696" s="549"/>
      <c r="G5696" s="550"/>
      <c r="H5696" s="551"/>
      <c r="I5696" s="552"/>
      <c r="J5696" s="553"/>
      <c r="K5696" s="554"/>
      <c r="M5696" s="301" t="str">
        <f>N5696&amp;AS[[#This Row],[Insurer Code]]&amp;"; "&amp;O5696&amp;AS[[#This Row],[Reporting Year]]&amp;"; "&amp;P5696&amp;AS[[#This Row],[Insurance Category Code]]&amp;"; "&amp;Q5696&amp;AS[[#This Row],[Large Provider Entity Code]]&amp;"; "&amp;R5696&amp;AS[[#This Row],[Age Band Code]]&amp;"; "&amp;S5696&amp;AS[[#This Row],[Sex Code]]</f>
        <v xml:space="preserve">Insurer Code ; Reporting Year ; Insurance Category Code ; Large Provider Entity Code ; Age Band Code ; Sex Code </v>
      </c>
      <c r="N5696" s="297" t="s">
        <v>197</v>
      </c>
      <c r="O5696" s="297" t="s">
        <v>198</v>
      </c>
      <c r="P5696" s="297" t="s">
        <v>199</v>
      </c>
      <c r="Q5696" s="297" t="s">
        <v>200</v>
      </c>
      <c r="R5696" s="297" t="s">
        <v>213</v>
      </c>
      <c r="S5696" s="297" t="s">
        <v>214</v>
      </c>
    </row>
    <row r="5697" spans="1:19" x14ac:dyDescent="0.4">
      <c r="A5697" s="548"/>
      <c r="B5697" s="292"/>
      <c r="C5697" s="292"/>
      <c r="D5697" s="292"/>
      <c r="E5697" s="549"/>
      <c r="F5697" s="549"/>
      <c r="G5697" s="550"/>
      <c r="H5697" s="551"/>
      <c r="I5697" s="552"/>
      <c r="J5697" s="553"/>
      <c r="K5697" s="554"/>
      <c r="M5697" s="301" t="str">
        <f>N5697&amp;AS[[#This Row],[Insurer Code]]&amp;"; "&amp;O5697&amp;AS[[#This Row],[Reporting Year]]&amp;"; "&amp;P5697&amp;AS[[#This Row],[Insurance Category Code]]&amp;"; "&amp;Q5697&amp;AS[[#This Row],[Large Provider Entity Code]]&amp;"; "&amp;R5697&amp;AS[[#This Row],[Age Band Code]]&amp;"; "&amp;S5697&amp;AS[[#This Row],[Sex Code]]</f>
        <v xml:space="preserve">Insurer Code ; Reporting Year ; Insurance Category Code ; Large Provider Entity Code ; Age Band Code ; Sex Code </v>
      </c>
      <c r="N5697" s="297" t="s">
        <v>197</v>
      </c>
      <c r="O5697" s="297" t="s">
        <v>198</v>
      </c>
      <c r="P5697" s="297" t="s">
        <v>199</v>
      </c>
      <c r="Q5697" s="297" t="s">
        <v>200</v>
      </c>
      <c r="R5697" s="297" t="s">
        <v>213</v>
      </c>
      <c r="S5697" s="297" t="s">
        <v>214</v>
      </c>
    </row>
    <row r="5698" spans="1:19" x14ac:dyDescent="0.4">
      <c r="A5698" s="548"/>
      <c r="B5698" s="292"/>
      <c r="C5698" s="292"/>
      <c r="D5698" s="292"/>
      <c r="E5698" s="549"/>
      <c r="F5698" s="549"/>
      <c r="G5698" s="550"/>
      <c r="H5698" s="551"/>
      <c r="I5698" s="552"/>
      <c r="J5698" s="553"/>
      <c r="K5698" s="554"/>
      <c r="M5698" s="301" t="str">
        <f>N5698&amp;AS[[#This Row],[Insurer Code]]&amp;"; "&amp;O5698&amp;AS[[#This Row],[Reporting Year]]&amp;"; "&amp;P5698&amp;AS[[#This Row],[Insurance Category Code]]&amp;"; "&amp;Q5698&amp;AS[[#This Row],[Large Provider Entity Code]]&amp;"; "&amp;R5698&amp;AS[[#This Row],[Age Band Code]]&amp;"; "&amp;S5698&amp;AS[[#This Row],[Sex Code]]</f>
        <v xml:space="preserve">Insurer Code ; Reporting Year ; Insurance Category Code ; Large Provider Entity Code ; Age Band Code ; Sex Code </v>
      </c>
      <c r="N5698" s="297" t="s">
        <v>197</v>
      </c>
      <c r="O5698" s="297" t="s">
        <v>198</v>
      </c>
      <c r="P5698" s="297" t="s">
        <v>199</v>
      </c>
      <c r="Q5698" s="297" t="s">
        <v>200</v>
      </c>
      <c r="R5698" s="297" t="s">
        <v>213</v>
      </c>
      <c r="S5698" s="297" t="s">
        <v>214</v>
      </c>
    </row>
    <row r="5699" spans="1:19" x14ac:dyDescent="0.4">
      <c r="A5699" s="548"/>
      <c r="B5699" s="292"/>
      <c r="C5699" s="292"/>
      <c r="D5699" s="292"/>
      <c r="E5699" s="549"/>
      <c r="F5699" s="549"/>
      <c r="G5699" s="550"/>
      <c r="H5699" s="551"/>
      <c r="I5699" s="552"/>
      <c r="J5699" s="553"/>
      <c r="K5699" s="554"/>
      <c r="M5699" s="301" t="str">
        <f>N5699&amp;AS[[#This Row],[Insurer Code]]&amp;"; "&amp;O5699&amp;AS[[#This Row],[Reporting Year]]&amp;"; "&amp;P5699&amp;AS[[#This Row],[Insurance Category Code]]&amp;"; "&amp;Q5699&amp;AS[[#This Row],[Large Provider Entity Code]]&amp;"; "&amp;R5699&amp;AS[[#This Row],[Age Band Code]]&amp;"; "&amp;S5699&amp;AS[[#This Row],[Sex Code]]</f>
        <v xml:space="preserve">Insurer Code ; Reporting Year ; Insurance Category Code ; Large Provider Entity Code ; Age Band Code ; Sex Code </v>
      </c>
      <c r="N5699" s="297" t="s">
        <v>197</v>
      </c>
      <c r="O5699" s="297" t="s">
        <v>198</v>
      </c>
      <c r="P5699" s="297" t="s">
        <v>199</v>
      </c>
      <c r="Q5699" s="297" t="s">
        <v>200</v>
      </c>
      <c r="R5699" s="297" t="s">
        <v>213</v>
      </c>
      <c r="S5699" s="297" t="s">
        <v>214</v>
      </c>
    </row>
    <row r="5700" spans="1:19" x14ac:dyDescent="0.4">
      <c r="A5700" s="548"/>
      <c r="B5700" s="292"/>
      <c r="C5700" s="292"/>
      <c r="D5700" s="292"/>
      <c r="E5700" s="549"/>
      <c r="F5700" s="549"/>
      <c r="G5700" s="550"/>
      <c r="H5700" s="551"/>
      <c r="I5700" s="552"/>
      <c r="J5700" s="553"/>
      <c r="K5700" s="554"/>
      <c r="M5700" s="301" t="str">
        <f>N5700&amp;AS[[#This Row],[Insurer Code]]&amp;"; "&amp;O5700&amp;AS[[#This Row],[Reporting Year]]&amp;"; "&amp;P5700&amp;AS[[#This Row],[Insurance Category Code]]&amp;"; "&amp;Q5700&amp;AS[[#This Row],[Large Provider Entity Code]]&amp;"; "&amp;R5700&amp;AS[[#This Row],[Age Band Code]]&amp;"; "&amp;S5700&amp;AS[[#This Row],[Sex Code]]</f>
        <v xml:space="preserve">Insurer Code ; Reporting Year ; Insurance Category Code ; Large Provider Entity Code ; Age Band Code ; Sex Code </v>
      </c>
      <c r="N5700" s="297" t="s">
        <v>197</v>
      </c>
      <c r="O5700" s="297" t="s">
        <v>198</v>
      </c>
      <c r="P5700" s="297" t="s">
        <v>199</v>
      </c>
      <c r="Q5700" s="297" t="s">
        <v>200</v>
      </c>
      <c r="R5700" s="297" t="s">
        <v>213</v>
      </c>
      <c r="S5700" s="297" t="s">
        <v>214</v>
      </c>
    </row>
    <row r="5701" spans="1:19" x14ac:dyDescent="0.4">
      <c r="A5701" s="548"/>
      <c r="B5701" s="292"/>
      <c r="C5701" s="292"/>
      <c r="D5701" s="292"/>
      <c r="E5701" s="549"/>
      <c r="F5701" s="549"/>
      <c r="G5701" s="550"/>
      <c r="H5701" s="551"/>
      <c r="I5701" s="552"/>
      <c r="J5701" s="553"/>
      <c r="K5701" s="554"/>
      <c r="M5701" s="301" t="str">
        <f>N5701&amp;AS[[#This Row],[Insurer Code]]&amp;"; "&amp;O5701&amp;AS[[#This Row],[Reporting Year]]&amp;"; "&amp;P5701&amp;AS[[#This Row],[Insurance Category Code]]&amp;"; "&amp;Q5701&amp;AS[[#This Row],[Large Provider Entity Code]]&amp;"; "&amp;R5701&amp;AS[[#This Row],[Age Band Code]]&amp;"; "&amp;S5701&amp;AS[[#This Row],[Sex Code]]</f>
        <v xml:space="preserve">Insurer Code ; Reporting Year ; Insurance Category Code ; Large Provider Entity Code ; Age Band Code ; Sex Code </v>
      </c>
      <c r="N5701" s="297" t="s">
        <v>197</v>
      </c>
      <c r="O5701" s="297" t="s">
        <v>198</v>
      </c>
      <c r="P5701" s="297" t="s">
        <v>199</v>
      </c>
      <c r="Q5701" s="297" t="s">
        <v>200</v>
      </c>
      <c r="R5701" s="297" t="s">
        <v>213</v>
      </c>
      <c r="S5701" s="297" t="s">
        <v>214</v>
      </c>
    </row>
    <row r="5702" spans="1:19" x14ac:dyDescent="0.4">
      <c r="A5702" s="548"/>
      <c r="B5702" s="292"/>
      <c r="C5702" s="292"/>
      <c r="D5702" s="292"/>
      <c r="E5702" s="549"/>
      <c r="F5702" s="549"/>
      <c r="G5702" s="550"/>
      <c r="H5702" s="551"/>
      <c r="I5702" s="552"/>
      <c r="J5702" s="553"/>
      <c r="K5702" s="554"/>
      <c r="M5702" s="301" t="str">
        <f>N5702&amp;AS[[#This Row],[Insurer Code]]&amp;"; "&amp;O5702&amp;AS[[#This Row],[Reporting Year]]&amp;"; "&amp;P5702&amp;AS[[#This Row],[Insurance Category Code]]&amp;"; "&amp;Q5702&amp;AS[[#This Row],[Large Provider Entity Code]]&amp;"; "&amp;R5702&amp;AS[[#This Row],[Age Band Code]]&amp;"; "&amp;S5702&amp;AS[[#This Row],[Sex Code]]</f>
        <v xml:space="preserve">Insurer Code ; Reporting Year ; Insurance Category Code ; Large Provider Entity Code ; Age Band Code ; Sex Code </v>
      </c>
      <c r="N5702" s="297" t="s">
        <v>197</v>
      </c>
      <c r="O5702" s="297" t="s">
        <v>198</v>
      </c>
      <c r="P5702" s="297" t="s">
        <v>199</v>
      </c>
      <c r="Q5702" s="297" t="s">
        <v>200</v>
      </c>
      <c r="R5702" s="297" t="s">
        <v>213</v>
      </c>
      <c r="S5702" s="297" t="s">
        <v>214</v>
      </c>
    </row>
    <row r="5703" spans="1:19" x14ac:dyDescent="0.4">
      <c r="A5703" s="548"/>
      <c r="B5703" s="292"/>
      <c r="C5703" s="292"/>
      <c r="D5703" s="292"/>
      <c r="E5703" s="549"/>
      <c r="F5703" s="549"/>
      <c r="G5703" s="550"/>
      <c r="H5703" s="551"/>
      <c r="I5703" s="552"/>
      <c r="J5703" s="553"/>
      <c r="K5703" s="554"/>
      <c r="M5703" s="301" t="str">
        <f>N5703&amp;AS[[#This Row],[Insurer Code]]&amp;"; "&amp;O5703&amp;AS[[#This Row],[Reporting Year]]&amp;"; "&amp;P5703&amp;AS[[#This Row],[Insurance Category Code]]&amp;"; "&amp;Q5703&amp;AS[[#This Row],[Large Provider Entity Code]]&amp;"; "&amp;R5703&amp;AS[[#This Row],[Age Band Code]]&amp;"; "&amp;S5703&amp;AS[[#This Row],[Sex Code]]</f>
        <v xml:space="preserve">Insurer Code ; Reporting Year ; Insurance Category Code ; Large Provider Entity Code ; Age Band Code ; Sex Code </v>
      </c>
      <c r="N5703" s="297" t="s">
        <v>197</v>
      </c>
      <c r="O5703" s="297" t="s">
        <v>198</v>
      </c>
      <c r="P5703" s="297" t="s">
        <v>199</v>
      </c>
      <c r="Q5703" s="297" t="s">
        <v>200</v>
      </c>
      <c r="R5703" s="297" t="s">
        <v>213</v>
      </c>
      <c r="S5703" s="297" t="s">
        <v>214</v>
      </c>
    </row>
    <row r="5704" spans="1:19" x14ac:dyDescent="0.4">
      <c r="A5704" s="548"/>
      <c r="B5704" s="292"/>
      <c r="C5704" s="292"/>
      <c r="D5704" s="292"/>
      <c r="E5704" s="549"/>
      <c r="F5704" s="549"/>
      <c r="G5704" s="550"/>
      <c r="H5704" s="551"/>
      <c r="I5704" s="552"/>
      <c r="J5704" s="553"/>
      <c r="K5704" s="554"/>
      <c r="M5704" s="301" t="str">
        <f>N5704&amp;AS[[#This Row],[Insurer Code]]&amp;"; "&amp;O5704&amp;AS[[#This Row],[Reporting Year]]&amp;"; "&amp;P5704&amp;AS[[#This Row],[Insurance Category Code]]&amp;"; "&amp;Q5704&amp;AS[[#This Row],[Large Provider Entity Code]]&amp;"; "&amp;R5704&amp;AS[[#This Row],[Age Band Code]]&amp;"; "&amp;S5704&amp;AS[[#This Row],[Sex Code]]</f>
        <v xml:space="preserve">Insurer Code ; Reporting Year ; Insurance Category Code ; Large Provider Entity Code ; Age Band Code ; Sex Code </v>
      </c>
      <c r="N5704" s="297" t="s">
        <v>197</v>
      </c>
      <c r="O5704" s="297" t="s">
        <v>198</v>
      </c>
      <c r="P5704" s="297" t="s">
        <v>199</v>
      </c>
      <c r="Q5704" s="297" t="s">
        <v>200</v>
      </c>
      <c r="R5704" s="297" t="s">
        <v>213</v>
      </c>
      <c r="S5704" s="297" t="s">
        <v>214</v>
      </c>
    </row>
    <row r="5705" spans="1:19" x14ac:dyDescent="0.4">
      <c r="A5705" s="548"/>
      <c r="B5705" s="292"/>
      <c r="C5705" s="292"/>
      <c r="D5705" s="292"/>
      <c r="E5705" s="549"/>
      <c r="F5705" s="549"/>
      <c r="G5705" s="550"/>
      <c r="H5705" s="551"/>
      <c r="I5705" s="552"/>
      <c r="J5705" s="553"/>
      <c r="K5705" s="554"/>
      <c r="M5705" s="301" t="str">
        <f>N5705&amp;AS[[#This Row],[Insurer Code]]&amp;"; "&amp;O5705&amp;AS[[#This Row],[Reporting Year]]&amp;"; "&amp;P5705&amp;AS[[#This Row],[Insurance Category Code]]&amp;"; "&amp;Q5705&amp;AS[[#This Row],[Large Provider Entity Code]]&amp;"; "&amp;R5705&amp;AS[[#This Row],[Age Band Code]]&amp;"; "&amp;S5705&amp;AS[[#This Row],[Sex Code]]</f>
        <v xml:space="preserve">Insurer Code ; Reporting Year ; Insurance Category Code ; Large Provider Entity Code ; Age Band Code ; Sex Code </v>
      </c>
      <c r="N5705" s="297" t="s">
        <v>197</v>
      </c>
      <c r="O5705" s="297" t="s">
        <v>198</v>
      </c>
      <c r="P5705" s="297" t="s">
        <v>199</v>
      </c>
      <c r="Q5705" s="297" t="s">
        <v>200</v>
      </c>
      <c r="R5705" s="297" t="s">
        <v>213</v>
      </c>
      <c r="S5705" s="297" t="s">
        <v>214</v>
      </c>
    </row>
    <row r="5706" spans="1:19" x14ac:dyDescent="0.4">
      <c r="A5706" s="548"/>
      <c r="B5706" s="292"/>
      <c r="C5706" s="292"/>
      <c r="D5706" s="292"/>
      <c r="E5706" s="549"/>
      <c r="F5706" s="549"/>
      <c r="G5706" s="550"/>
      <c r="H5706" s="551"/>
      <c r="I5706" s="552"/>
      <c r="J5706" s="553"/>
      <c r="K5706" s="554"/>
      <c r="M5706" s="301" t="str">
        <f>N5706&amp;AS[[#This Row],[Insurer Code]]&amp;"; "&amp;O5706&amp;AS[[#This Row],[Reporting Year]]&amp;"; "&amp;P5706&amp;AS[[#This Row],[Insurance Category Code]]&amp;"; "&amp;Q5706&amp;AS[[#This Row],[Large Provider Entity Code]]&amp;"; "&amp;R5706&amp;AS[[#This Row],[Age Band Code]]&amp;"; "&amp;S5706&amp;AS[[#This Row],[Sex Code]]</f>
        <v xml:space="preserve">Insurer Code ; Reporting Year ; Insurance Category Code ; Large Provider Entity Code ; Age Band Code ; Sex Code </v>
      </c>
      <c r="N5706" s="297" t="s">
        <v>197</v>
      </c>
      <c r="O5706" s="297" t="s">
        <v>198</v>
      </c>
      <c r="P5706" s="297" t="s">
        <v>199</v>
      </c>
      <c r="Q5706" s="297" t="s">
        <v>200</v>
      </c>
      <c r="R5706" s="297" t="s">
        <v>213</v>
      </c>
      <c r="S5706" s="297" t="s">
        <v>214</v>
      </c>
    </row>
    <row r="5707" spans="1:19" x14ac:dyDescent="0.4">
      <c r="A5707" s="548"/>
      <c r="B5707" s="292"/>
      <c r="C5707" s="292"/>
      <c r="D5707" s="292"/>
      <c r="E5707" s="549"/>
      <c r="F5707" s="549"/>
      <c r="G5707" s="550"/>
      <c r="H5707" s="551"/>
      <c r="I5707" s="552"/>
      <c r="J5707" s="553"/>
      <c r="K5707" s="554"/>
      <c r="M5707" s="301" t="str">
        <f>N5707&amp;AS[[#This Row],[Insurer Code]]&amp;"; "&amp;O5707&amp;AS[[#This Row],[Reporting Year]]&amp;"; "&amp;P5707&amp;AS[[#This Row],[Insurance Category Code]]&amp;"; "&amp;Q5707&amp;AS[[#This Row],[Large Provider Entity Code]]&amp;"; "&amp;R5707&amp;AS[[#This Row],[Age Band Code]]&amp;"; "&amp;S5707&amp;AS[[#This Row],[Sex Code]]</f>
        <v xml:space="preserve">Insurer Code ; Reporting Year ; Insurance Category Code ; Large Provider Entity Code ; Age Band Code ; Sex Code </v>
      </c>
      <c r="N5707" s="297" t="s">
        <v>197</v>
      </c>
      <c r="O5707" s="297" t="s">
        <v>198</v>
      </c>
      <c r="P5707" s="297" t="s">
        <v>199</v>
      </c>
      <c r="Q5707" s="297" t="s">
        <v>200</v>
      </c>
      <c r="R5707" s="297" t="s">
        <v>213</v>
      </c>
      <c r="S5707" s="297" t="s">
        <v>214</v>
      </c>
    </row>
    <row r="5708" spans="1:19" x14ac:dyDescent="0.4">
      <c r="A5708" s="548"/>
      <c r="B5708" s="292"/>
      <c r="C5708" s="292"/>
      <c r="D5708" s="292"/>
      <c r="E5708" s="549"/>
      <c r="F5708" s="549"/>
      <c r="G5708" s="550"/>
      <c r="H5708" s="551"/>
      <c r="I5708" s="552"/>
      <c r="J5708" s="553"/>
      <c r="K5708" s="554"/>
      <c r="M5708" s="301" t="str">
        <f>N5708&amp;AS[[#This Row],[Insurer Code]]&amp;"; "&amp;O5708&amp;AS[[#This Row],[Reporting Year]]&amp;"; "&amp;P5708&amp;AS[[#This Row],[Insurance Category Code]]&amp;"; "&amp;Q5708&amp;AS[[#This Row],[Large Provider Entity Code]]&amp;"; "&amp;R5708&amp;AS[[#This Row],[Age Band Code]]&amp;"; "&amp;S5708&amp;AS[[#This Row],[Sex Code]]</f>
        <v xml:space="preserve">Insurer Code ; Reporting Year ; Insurance Category Code ; Large Provider Entity Code ; Age Band Code ; Sex Code </v>
      </c>
      <c r="N5708" s="297" t="s">
        <v>197</v>
      </c>
      <c r="O5708" s="297" t="s">
        <v>198</v>
      </c>
      <c r="P5708" s="297" t="s">
        <v>199</v>
      </c>
      <c r="Q5708" s="297" t="s">
        <v>200</v>
      </c>
      <c r="R5708" s="297" t="s">
        <v>213</v>
      </c>
      <c r="S5708" s="297" t="s">
        <v>214</v>
      </c>
    </row>
    <row r="5709" spans="1:19" x14ac:dyDescent="0.4">
      <c r="A5709" s="548"/>
      <c r="B5709" s="292"/>
      <c r="C5709" s="292"/>
      <c r="D5709" s="292"/>
      <c r="E5709" s="549"/>
      <c r="F5709" s="549"/>
      <c r="G5709" s="550"/>
      <c r="H5709" s="551"/>
      <c r="I5709" s="552"/>
      <c r="J5709" s="553"/>
      <c r="K5709" s="554"/>
      <c r="M5709" s="301" t="str">
        <f>N5709&amp;AS[[#This Row],[Insurer Code]]&amp;"; "&amp;O5709&amp;AS[[#This Row],[Reporting Year]]&amp;"; "&amp;P5709&amp;AS[[#This Row],[Insurance Category Code]]&amp;"; "&amp;Q5709&amp;AS[[#This Row],[Large Provider Entity Code]]&amp;"; "&amp;R5709&amp;AS[[#This Row],[Age Band Code]]&amp;"; "&amp;S5709&amp;AS[[#This Row],[Sex Code]]</f>
        <v xml:space="preserve">Insurer Code ; Reporting Year ; Insurance Category Code ; Large Provider Entity Code ; Age Band Code ; Sex Code </v>
      </c>
      <c r="N5709" s="297" t="s">
        <v>197</v>
      </c>
      <c r="O5709" s="297" t="s">
        <v>198</v>
      </c>
      <c r="P5709" s="297" t="s">
        <v>199</v>
      </c>
      <c r="Q5709" s="297" t="s">
        <v>200</v>
      </c>
      <c r="R5709" s="297" t="s">
        <v>213</v>
      </c>
      <c r="S5709" s="297" t="s">
        <v>214</v>
      </c>
    </row>
    <row r="5710" spans="1:19" x14ac:dyDescent="0.4">
      <c r="A5710" s="548"/>
      <c r="B5710" s="292"/>
      <c r="C5710" s="292"/>
      <c r="D5710" s="292"/>
      <c r="E5710" s="549"/>
      <c r="F5710" s="549"/>
      <c r="G5710" s="550"/>
      <c r="H5710" s="551"/>
      <c r="I5710" s="552"/>
      <c r="J5710" s="553"/>
      <c r="K5710" s="554"/>
      <c r="M5710" s="301" t="str">
        <f>N5710&amp;AS[[#This Row],[Insurer Code]]&amp;"; "&amp;O5710&amp;AS[[#This Row],[Reporting Year]]&amp;"; "&amp;P5710&amp;AS[[#This Row],[Insurance Category Code]]&amp;"; "&amp;Q5710&amp;AS[[#This Row],[Large Provider Entity Code]]&amp;"; "&amp;R5710&amp;AS[[#This Row],[Age Band Code]]&amp;"; "&amp;S5710&amp;AS[[#This Row],[Sex Code]]</f>
        <v xml:space="preserve">Insurer Code ; Reporting Year ; Insurance Category Code ; Large Provider Entity Code ; Age Band Code ; Sex Code </v>
      </c>
      <c r="N5710" s="297" t="s">
        <v>197</v>
      </c>
      <c r="O5710" s="297" t="s">
        <v>198</v>
      </c>
      <c r="P5710" s="297" t="s">
        <v>199</v>
      </c>
      <c r="Q5710" s="297" t="s">
        <v>200</v>
      </c>
      <c r="R5710" s="297" t="s">
        <v>213</v>
      </c>
      <c r="S5710" s="297" t="s">
        <v>214</v>
      </c>
    </row>
    <row r="5711" spans="1:19" x14ac:dyDescent="0.4">
      <c r="A5711" s="548"/>
      <c r="B5711" s="292"/>
      <c r="C5711" s="292"/>
      <c r="D5711" s="292"/>
      <c r="E5711" s="549"/>
      <c r="F5711" s="549"/>
      <c r="G5711" s="550"/>
      <c r="H5711" s="551"/>
      <c r="I5711" s="552"/>
      <c r="J5711" s="553"/>
      <c r="K5711" s="554"/>
      <c r="M5711" s="301" t="str">
        <f>N5711&amp;AS[[#This Row],[Insurer Code]]&amp;"; "&amp;O5711&amp;AS[[#This Row],[Reporting Year]]&amp;"; "&amp;P5711&amp;AS[[#This Row],[Insurance Category Code]]&amp;"; "&amp;Q5711&amp;AS[[#This Row],[Large Provider Entity Code]]&amp;"; "&amp;R5711&amp;AS[[#This Row],[Age Band Code]]&amp;"; "&amp;S5711&amp;AS[[#This Row],[Sex Code]]</f>
        <v xml:space="preserve">Insurer Code ; Reporting Year ; Insurance Category Code ; Large Provider Entity Code ; Age Band Code ; Sex Code </v>
      </c>
      <c r="N5711" s="297" t="s">
        <v>197</v>
      </c>
      <c r="O5711" s="297" t="s">
        <v>198</v>
      </c>
      <c r="P5711" s="297" t="s">
        <v>199</v>
      </c>
      <c r="Q5711" s="297" t="s">
        <v>200</v>
      </c>
      <c r="R5711" s="297" t="s">
        <v>213</v>
      </c>
      <c r="S5711" s="297" t="s">
        <v>214</v>
      </c>
    </row>
    <row r="5712" spans="1:19" x14ac:dyDescent="0.4">
      <c r="A5712" s="548"/>
      <c r="B5712" s="292"/>
      <c r="C5712" s="292"/>
      <c r="D5712" s="292"/>
      <c r="E5712" s="549"/>
      <c r="F5712" s="549"/>
      <c r="G5712" s="550"/>
      <c r="H5712" s="551"/>
      <c r="I5712" s="552"/>
      <c r="J5712" s="553"/>
      <c r="K5712" s="554"/>
      <c r="M5712" s="301" t="str">
        <f>N5712&amp;AS[[#This Row],[Insurer Code]]&amp;"; "&amp;O5712&amp;AS[[#This Row],[Reporting Year]]&amp;"; "&amp;P5712&amp;AS[[#This Row],[Insurance Category Code]]&amp;"; "&amp;Q5712&amp;AS[[#This Row],[Large Provider Entity Code]]&amp;"; "&amp;R5712&amp;AS[[#This Row],[Age Band Code]]&amp;"; "&amp;S5712&amp;AS[[#This Row],[Sex Code]]</f>
        <v xml:space="preserve">Insurer Code ; Reporting Year ; Insurance Category Code ; Large Provider Entity Code ; Age Band Code ; Sex Code </v>
      </c>
      <c r="N5712" s="297" t="s">
        <v>197</v>
      </c>
      <c r="O5712" s="297" t="s">
        <v>198</v>
      </c>
      <c r="P5712" s="297" t="s">
        <v>199</v>
      </c>
      <c r="Q5712" s="297" t="s">
        <v>200</v>
      </c>
      <c r="R5712" s="297" t="s">
        <v>213</v>
      </c>
      <c r="S5712" s="297" t="s">
        <v>214</v>
      </c>
    </row>
    <row r="5713" spans="1:19" x14ac:dyDescent="0.4">
      <c r="A5713" s="548"/>
      <c r="B5713" s="292"/>
      <c r="C5713" s="292"/>
      <c r="D5713" s="292"/>
      <c r="E5713" s="549"/>
      <c r="F5713" s="549"/>
      <c r="G5713" s="550"/>
      <c r="H5713" s="551"/>
      <c r="I5713" s="552"/>
      <c r="J5713" s="553"/>
      <c r="K5713" s="554"/>
      <c r="M5713" s="301" t="str">
        <f>N5713&amp;AS[[#This Row],[Insurer Code]]&amp;"; "&amp;O5713&amp;AS[[#This Row],[Reporting Year]]&amp;"; "&amp;P5713&amp;AS[[#This Row],[Insurance Category Code]]&amp;"; "&amp;Q5713&amp;AS[[#This Row],[Large Provider Entity Code]]&amp;"; "&amp;R5713&amp;AS[[#This Row],[Age Band Code]]&amp;"; "&amp;S5713&amp;AS[[#This Row],[Sex Code]]</f>
        <v xml:space="preserve">Insurer Code ; Reporting Year ; Insurance Category Code ; Large Provider Entity Code ; Age Band Code ; Sex Code </v>
      </c>
      <c r="N5713" s="297" t="s">
        <v>197</v>
      </c>
      <c r="O5713" s="297" t="s">
        <v>198</v>
      </c>
      <c r="P5713" s="297" t="s">
        <v>199</v>
      </c>
      <c r="Q5713" s="297" t="s">
        <v>200</v>
      </c>
      <c r="R5713" s="297" t="s">
        <v>213</v>
      </c>
      <c r="S5713" s="297" t="s">
        <v>214</v>
      </c>
    </row>
    <row r="5714" spans="1:19" x14ac:dyDescent="0.4">
      <c r="A5714" s="548"/>
      <c r="B5714" s="292"/>
      <c r="C5714" s="292"/>
      <c r="D5714" s="292"/>
      <c r="E5714" s="549"/>
      <c r="F5714" s="549"/>
      <c r="G5714" s="550"/>
      <c r="H5714" s="551"/>
      <c r="I5714" s="552"/>
      <c r="J5714" s="553"/>
      <c r="K5714" s="554"/>
      <c r="M5714" s="301" t="str">
        <f>N5714&amp;AS[[#This Row],[Insurer Code]]&amp;"; "&amp;O5714&amp;AS[[#This Row],[Reporting Year]]&amp;"; "&amp;P5714&amp;AS[[#This Row],[Insurance Category Code]]&amp;"; "&amp;Q5714&amp;AS[[#This Row],[Large Provider Entity Code]]&amp;"; "&amp;R5714&amp;AS[[#This Row],[Age Band Code]]&amp;"; "&amp;S5714&amp;AS[[#This Row],[Sex Code]]</f>
        <v xml:space="preserve">Insurer Code ; Reporting Year ; Insurance Category Code ; Large Provider Entity Code ; Age Band Code ; Sex Code </v>
      </c>
      <c r="N5714" s="297" t="s">
        <v>197</v>
      </c>
      <c r="O5714" s="297" t="s">
        <v>198</v>
      </c>
      <c r="P5714" s="297" t="s">
        <v>199</v>
      </c>
      <c r="Q5714" s="297" t="s">
        <v>200</v>
      </c>
      <c r="R5714" s="297" t="s">
        <v>213</v>
      </c>
      <c r="S5714" s="297" t="s">
        <v>214</v>
      </c>
    </row>
    <row r="5715" spans="1:19" x14ac:dyDescent="0.4">
      <c r="A5715" s="548"/>
      <c r="B5715" s="292"/>
      <c r="C5715" s="292"/>
      <c r="D5715" s="292"/>
      <c r="E5715" s="549"/>
      <c r="F5715" s="549"/>
      <c r="G5715" s="550"/>
      <c r="H5715" s="551"/>
      <c r="I5715" s="552"/>
      <c r="J5715" s="553"/>
      <c r="K5715" s="554"/>
      <c r="M5715" s="301" t="str">
        <f>N5715&amp;AS[[#This Row],[Insurer Code]]&amp;"; "&amp;O5715&amp;AS[[#This Row],[Reporting Year]]&amp;"; "&amp;P5715&amp;AS[[#This Row],[Insurance Category Code]]&amp;"; "&amp;Q5715&amp;AS[[#This Row],[Large Provider Entity Code]]&amp;"; "&amp;R5715&amp;AS[[#This Row],[Age Band Code]]&amp;"; "&amp;S5715&amp;AS[[#This Row],[Sex Code]]</f>
        <v xml:space="preserve">Insurer Code ; Reporting Year ; Insurance Category Code ; Large Provider Entity Code ; Age Band Code ; Sex Code </v>
      </c>
      <c r="N5715" s="297" t="s">
        <v>197</v>
      </c>
      <c r="O5715" s="297" t="s">
        <v>198</v>
      </c>
      <c r="P5715" s="297" t="s">
        <v>199</v>
      </c>
      <c r="Q5715" s="297" t="s">
        <v>200</v>
      </c>
      <c r="R5715" s="297" t="s">
        <v>213</v>
      </c>
      <c r="S5715" s="297" t="s">
        <v>214</v>
      </c>
    </row>
    <row r="5716" spans="1:19" x14ac:dyDescent="0.4">
      <c r="A5716" s="548"/>
      <c r="B5716" s="292"/>
      <c r="C5716" s="292"/>
      <c r="D5716" s="292"/>
      <c r="E5716" s="549"/>
      <c r="F5716" s="549"/>
      <c r="G5716" s="550"/>
      <c r="H5716" s="551"/>
      <c r="I5716" s="552"/>
      <c r="J5716" s="553"/>
      <c r="K5716" s="554"/>
      <c r="M5716" s="301" t="str">
        <f>N5716&amp;AS[[#This Row],[Insurer Code]]&amp;"; "&amp;O5716&amp;AS[[#This Row],[Reporting Year]]&amp;"; "&amp;P5716&amp;AS[[#This Row],[Insurance Category Code]]&amp;"; "&amp;Q5716&amp;AS[[#This Row],[Large Provider Entity Code]]&amp;"; "&amp;R5716&amp;AS[[#This Row],[Age Band Code]]&amp;"; "&amp;S5716&amp;AS[[#This Row],[Sex Code]]</f>
        <v xml:space="preserve">Insurer Code ; Reporting Year ; Insurance Category Code ; Large Provider Entity Code ; Age Band Code ; Sex Code </v>
      </c>
      <c r="N5716" s="297" t="s">
        <v>197</v>
      </c>
      <c r="O5716" s="297" t="s">
        <v>198</v>
      </c>
      <c r="P5716" s="297" t="s">
        <v>199</v>
      </c>
      <c r="Q5716" s="297" t="s">
        <v>200</v>
      </c>
      <c r="R5716" s="297" t="s">
        <v>213</v>
      </c>
      <c r="S5716" s="297" t="s">
        <v>214</v>
      </c>
    </row>
    <row r="5717" spans="1:19" x14ac:dyDescent="0.4">
      <c r="A5717" s="548"/>
      <c r="B5717" s="292"/>
      <c r="C5717" s="292"/>
      <c r="D5717" s="292"/>
      <c r="E5717" s="549"/>
      <c r="F5717" s="549"/>
      <c r="G5717" s="550"/>
      <c r="H5717" s="551"/>
      <c r="I5717" s="552"/>
      <c r="J5717" s="553"/>
      <c r="K5717" s="554"/>
      <c r="M5717" s="301" t="str">
        <f>N5717&amp;AS[[#This Row],[Insurer Code]]&amp;"; "&amp;O5717&amp;AS[[#This Row],[Reporting Year]]&amp;"; "&amp;P5717&amp;AS[[#This Row],[Insurance Category Code]]&amp;"; "&amp;Q5717&amp;AS[[#This Row],[Large Provider Entity Code]]&amp;"; "&amp;R5717&amp;AS[[#This Row],[Age Band Code]]&amp;"; "&amp;S5717&amp;AS[[#This Row],[Sex Code]]</f>
        <v xml:space="preserve">Insurer Code ; Reporting Year ; Insurance Category Code ; Large Provider Entity Code ; Age Band Code ; Sex Code </v>
      </c>
      <c r="N5717" s="297" t="s">
        <v>197</v>
      </c>
      <c r="O5717" s="297" t="s">
        <v>198</v>
      </c>
      <c r="P5717" s="297" t="s">
        <v>199</v>
      </c>
      <c r="Q5717" s="297" t="s">
        <v>200</v>
      </c>
      <c r="R5717" s="297" t="s">
        <v>213</v>
      </c>
      <c r="S5717" s="297" t="s">
        <v>214</v>
      </c>
    </row>
    <row r="5718" spans="1:19" x14ac:dyDescent="0.4">
      <c r="A5718" s="548"/>
      <c r="B5718" s="292"/>
      <c r="C5718" s="292"/>
      <c r="D5718" s="292"/>
      <c r="E5718" s="549"/>
      <c r="F5718" s="549"/>
      <c r="G5718" s="550"/>
      <c r="H5718" s="551"/>
      <c r="I5718" s="552"/>
      <c r="J5718" s="553"/>
      <c r="K5718" s="554"/>
      <c r="M5718" s="301" t="str">
        <f>N5718&amp;AS[[#This Row],[Insurer Code]]&amp;"; "&amp;O5718&amp;AS[[#This Row],[Reporting Year]]&amp;"; "&amp;P5718&amp;AS[[#This Row],[Insurance Category Code]]&amp;"; "&amp;Q5718&amp;AS[[#This Row],[Large Provider Entity Code]]&amp;"; "&amp;R5718&amp;AS[[#This Row],[Age Band Code]]&amp;"; "&amp;S5718&amp;AS[[#This Row],[Sex Code]]</f>
        <v xml:space="preserve">Insurer Code ; Reporting Year ; Insurance Category Code ; Large Provider Entity Code ; Age Band Code ; Sex Code </v>
      </c>
      <c r="N5718" s="297" t="s">
        <v>197</v>
      </c>
      <c r="O5718" s="297" t="s">
        <v>198</v>
      </c>
      <c r="P5718" s="297" t="s">
        <v>199</v>
      </c>
      <c r="Q5718" s="297" t="s">
        <v>200</v>
      </c>
      <c r="R5718" s="297" t="s">
        <v>213</v>
      </c>
      <c r="S5718" s="297" t="s">
        <v>214</v>
      </c>
    </row>
    <row r="5719" spans="1:19" x14ac:dyDescent="0.4">
      <c r="A5719" s="548"/>
      <c r="B5719" s="292"/>
      <c r="C5719" s="292"/>
      <c r="D5719" s="292"/>
      <c r="E5719" s="549"/>
      <c r="F5719" s="549"/>
      <c r="G5719" s="550"/>
      <c r="H5719" s="551"/>
      <c r="I5719" s="552"/>
      <c r="J5719" s="553"/>
      <c r="K5719" s="554"/>
      <c r="M5719" s="301" t="str">
        <f>N5719&amp;AS[[#This Row],[Insurer Code]]&amp;"; "&amp;O5719&amp;AS[[#This Row],[Reporting Year]]&amp;"; "&amp;P5719&amp;AS[[#This Row],[Insurance Category Code]]&amp;"; "&amp;Q5719&amp;AS[[#This Row],[Large Provider Entity Code]]&amp;"; "&amp;R5719&amp;AS[[#This Row],[Age Band Code]]&amp;"; "&amp;S5719&amp;AS[[#This Row],[Sex Code]]</f>
        <v xml:space="preserve">Insurer Code ; Reporting Year ; Insurance Category Code ; Large Provider Entity Code ; Age Band Code ; Sex Code </v>
      </c>
      <c r="N5719" s="297" t="s">
        <v>197</v>
      </c>
      <c r="O5719" s="297" t="s">
        <v>198</v>
      </c>
      <c r="P5719" s="297" t="s">
        <v>199</v>
      </c>
      <c r="Q5719" s="297" t="s">
        <v>200</v>
      </c>
      <c r="R5719" s="297" t="s">
        <v>213</v>
      </c>
      <c r="S5719" s="297" t="s">
        <v>214</v>
      </c>
    </row>
    <row r="5720" spans="1:19" x14ac:dyDescent="0.4">
      <c r="A5720" s="548"/>
      <c r="B5720" s="292"/>
      <c r="C5720" s="292"/>
      <c r="D5720" s="292"/>
      <c r="E5720" s="549"/>
      <c r="F5720" s="549"/>
      <c r="G5720" s="550"/>
      <c r="H5720" s="551"/>
      <c r="I5720" s="552"/>
      <c r="J5720" s="553"/>
      <c r="K5720" s="554"/>
      <c r="M5720" s="301" t="str">
        <f>N5720&amp;AS[[#This Row],[Insurer Code]]&amp;"; "&amp;O5720&amp;AS[[#This Row],[Reporting Year]]&amp;"; "&amp;P5720&amp;AS[[#This Row],[Insurance Category Code]]&amp;"; "&amp;Q5720&amp;AS[[#This Row],[Large Provider Entity Code]]&amp;"; "&amp;R5720&amp;AS[[#This Row],[Age Band Code]]&amp;"; "&amp;S5720&amp;AS[[#This Row],[Sex Code]]</f>
        <v xml:space="preserve">Insurer Code ; Reporting Year ; Insurance Category Code ; Large Provider Entity Code ; Age Band Code ; Sex Code </v>
      </c>
      <c r="N5720" s="297" t="s">
        <v>197</v>
      </c>
      <c r="O5720" s="297" t="s">
        <v>198</v>
      </c>
      <c r="P5720" s="297" t="s">
        <v>199</v>
      </c>
      <c r="Q5720" s="297" t="s">
        <v>200</v>
      </c>
      <c r="R5720" s="297" t="s">
        <v>213</v>
      </c>
      <c r="S5720" s="297" t="s">
        <v>214</v>
      </c>
    </row>
    <row r="5721" spans="1:19" x14ac:dyDescent="0.4">
      <c r="A5721" s="548"/>
      <c r="B5721" s="292"/>
      <c r="C5721" s="292"/>
      <c r="D5721" s="292"/>
      <c r="E5721" s="549"/>
      <c r="F5721" s="549"/>
      <c r="G5721" s="550"/>
      <c r="H5721" s="551"/>
      <c r="I5721" s="552"/>
      <c r="J5721" s="553"/>
      <c r="K5721" s="554"/>
      <c r="M5721" s="301" t="str">
        <f>N5721&amp;AS[[#This Row],[Insurer Code]]&amp;"; "&amp;O5721&amp;AS[[#This Row],[Reporting Year]]&amp;"; "&amp;P5721&amp;AS[[#This Row],[Insurance Category Code]]&amp;"; "&amp;Q5721&amp;AS[[#This Row],[Large Provider Entity Code]]&amp;"; "&amp;R5721&amp;AS[[#This Row],[Age Band Code]]&amp;"; "&amp;S5721&amp;AS[[#This Row],[Sex Code]]</f>
        <v xml:space="preserve">Insurer Code ; Reporting Year ; Insurance Category Code ; Large Provider Entity Code ; Age Band Code ; Sex Code </v>
      </c>
      <c r="N5721" s="297" t="s">
        <v>197</v>
      </c>
      <c r="O5721" s="297" t="s">
        <v>198</v>
      </c>
      <c r="P5721" s="297" t="s">
        <v>199</v>
      </c>
      <c r="Q5721" s="297" t="s">
        <v>200</v>
      </c>
      <c r="R5721" s="297" t="s">
        <v>213</v>
      </c>
      <c r="S5721" s="297" t="s">
        <v>214</v>
      </c>
    </row>
    <row r="5722" spans="1:19" x14ac:dyDescent="0.4">
      <c r="A5722" s="548"/>
      <c r="B5722" s="292"/>
      <c r="C5722" s="292"/>
      <c r="D5722" s="292"/>
      <c r="E5722" s="549"/>
      <c r="F5722" s="549"/>
      <c r="G5722" s="550"/>
      <c r="H5722" s="551"/>
      <c r="I5722" s="552"/>
      <c r="J5722" s="553"/>
      <c r="K5722" s="554"/>
      <c r="M5722" s="301" t="str">
        <f>N5722&amp;AS[[#This Row],[Insurer Code]]&amp;"; "&amp;O5722&amp;AS[[#This Row],[Reporting Year]]&amp;"; "&amp;P5722&amp;AS[[#This Row],[Insurance Category Code]]&amp;"; "&amp;Q5722&amp;AS[[#This Row],[Large Provider Entity Code]]&amp;"; "&amp;R5722&amp;AS[[#This Row],[Age Band Code]]&amp;"; "&amp;S5722&amp;AS[[#This Row],[Sex Code]]</f>
        <v xml:space="preserve">Insurer Code ; Reporting Year ; Insurance Category Code ; Large Provider Entity Code ; Age Band Code ; Sex Code </v>
      </c>
      <c r="N5722" s="297" t="s">
        <v>197</v>
      </c>
      <c r="O5722" s="297" t="s">
        <v>198</v>
      </c>
      <c r="P5722" s="297" t="s">
        <v>199</v>
      </c>
      <c r="Q5722" s="297" t="s">
        <v>200</v>
      </c>
      <c r="R5722" s="297" t="s">
        <v>213</v>
      </c>
      <c r="S5722" s="297" t="s">
        <v>214</v>
      </c>
    </row>
    <row r="5723" spans="1:19" x14ac:dyDescent="0.4">
      <c r="A5723" s="548"/>
      <c r="B5723" s="292"/>
      <c r="C5723" s="292"/>
      <c r="D5723" s="292"/>
      <c r="E5723" s="549"/>
      <c r="F5723" s="549"/>
      <c r="G5723" s="550"/>
      <c r="H5723" s="551"/>
      <c r="I5723" s="552"/>
      <c r="J5723" s="553"/>
      <c r="K5723" s="554"/>
      <c r="M5723" s="301" t="str">
        <f>N5723&amp;AS[[#This Row],[Insurer Code]]&amp;"; "&amp;O5723&amp;AS[[#This Row],[Reporting Year]]&amp;"; "&amp;P5723&amp;AS[[#This Row],[Insurance Category Code]]&amp;"; "&amp;Q5723&amp;AS[[#This Row],[Large Provider Entity Code]]&amp;"; "&amp;R5723&amp;AS[[#This Row],[Age Band Code]]&amp;"; "&amp;S5723&amp;AS[[#This Row],[Sex Code]]</f>
        <v xml:space="preserve">Insurer Code ; Reporting Year ; Insurance Category Code ; Large Provider Entity Code ; Age Band Code ; Sex Code </v>
      </c>
      <c r="N5723" s="297" t="s">
        <v>197</v>
      </c>
      <c r="O5723" s="297" t="s">
        <v>198</v>
      </c>
      <c r="P5723" s="297" t="s">
        <v>199</v>
      </c>
      <c r="Q5723" s="297" t="s">
        <v>200</v>
      </c>
      <c r="R5723" s="297" t="s">
        <v>213</v>
      </c>
      <c r="S5723" s="297" t="s">
        <v>214</v>
      </c>
    </row>
    <row r="5724" spans="1:19" x14ac:dyDescent="0.4">
      <c r="A5724" s="548"/>
      <c r="B5724" s="292"/>
      <c r="C5724" s="292"/>
      <c r="D5724" s="292"/>
      <c r="E5724" s="549"/>
      <c r="F5724" s="549"/>
      <c r="G5724" s="550"/>
      <c r="H5724" s="551"/>
      <c r="I5724" s="552"/>
      <c r="J5724" s="553"/>
      <c r="K5724" s="554"/>
      <c r="M5724" s="301" t="str">
        <f>N5724&amp;AS[[#This Row],[Insurer Code]]&amp;"; "&amp;O5724&amp;AS[[#This Row],[Reporting Year]]&amp;"; "&amp;P5724&amp;AS[[#This Row],[Insurance Category Code]]&amp;"; "&amp;Q5724&amp;AS[[#This Row],[Large Provider Entity Code]]&amp;"; "&amp;R5724&amp;AS[[#This Row],[Age Band Code]]&amp;"; "&amp;S5724&amp;AS[[#This Row],[Sex Code]]</f>
        <v xml:space="preserve">Insurer Code ; Reporting Year ; Insurance Category Code ; Large Provider Entity Code ; Age Band Code ; Sex Code </v>
      </c>
      <c r="N5724" s="297" t="s">
        <v>197</v>
      </c>
      <c r="O5724" s="297" t="s">
        <v>198</v>
      </c>
      <c r="P5724" s="297" t="s">
        <v>199</v>
      </c>
      <c r="Q5724" s="297" t="s">
        <v>200</v>
      </c>
      <c r="R5724" s="297" t="s">
        <v>213</v>
      </c>
      <c r="S5724" s="297" t="s">
        <v>214</v>
      </c>
    </row>
    <row r="5725" spans="1:19" x14ac:dyDescent="0.4">
      <c r="A5725" s="548"/>
      <c r="B5725" s="292"/>
      <c r="C5725" s="292"/>
      <c r="D5725" s="292"/>
      <c r="E5725" s="549"/>
      <c r="F5725" s="549"/>
      <c r="G5725" s="550"/>
      <c r="H5725" s="551"/>
      <c r="I5725" s="552"/>
      <c r="J5725" s="553"/>
      <c r="K5725" s="554"/>
      <c r="M5725" s="301" t="str">
        <f>N5725&amp;AS[[#This Row],[Insurer Code]]&amp;"; "&amp;O5725&amp;AS[[#This Row],[Reporting Year]]&amp;"; "&amp;P5725&amp;AS[[#This Row],[Insurance Category Code]]&amp;"; "&amp;Q5725&amp;AS[[#This Row],[Large Provider Entity Code]]&amp;"; "&amp;R5725&amp;AS[[#This Row],[Age Band Code]]&amp;"; "&amp;S5725&amp;AS[[#This Row],[Sex Code]]</f>
        <v xml:space="preserve">Insurer Code ; Reporting Year ; Insurance Category Code ; Large Provider Entity Code ; Age Band Code ; Sex Code </v>
      </c>
      <c r="N5725" s="297" t="s">
        <v>197</v>
      </c>
      <c r="O5725" s="297" t="s">
        <v>198</v>
      </c>
      <c r="P5725" s="297" t="s">
        <v>199</v>
      </c>
      <c r="Q5725" s="297" t="s">
        <v>200</v>
      </c>
      <c r="R5725" s="297" t="s">
        <v>213</v>
      </c>
      <c r="S5725" s="297" t="s">
        <v>214</v>
      </c>
    </row>
    <row r="5726" spans="1:19" x14ac:dyDescent="0.4">
      <c r="A5726" s="548"/>
      <c r="B5726" s="292"/>
      <c r="C5726" s="292"/>
      <c r="D5726" s="292"/>
      <c r="E5726" s="549"/>
      <c r="F5726" s="549"/>
      <c r="G5726" s="550"/>
      <c r="H5726" s="551"/>
      <c r="I5726" s="552"/>
      <c r="J5726" s="553"/>
      <c r="K5726" s="554"/>
      <c r="M5726" s="301" t="str">
        <f>N5726&amp;AS[[#This Row],[Insurer Code]]&amp;"; "&amp;O5726&amp;AS[[#This Row],[Reporting Year]]&amp;"; "&amp;P5726&amp;AS[[#This Row],[Insurance Category Code]]&amp;"; "&amp;Q5726&amp;AS[[#This Row],[Large Provider Entity Code]]&amp;"; "&amp;R5726&amp;AS[[#This Row],[Age Band Code]]&amp;"; "&amp;S5726&amp;AS[[#This Row],[Sex Code]]</f>
        <v xml:space="preserve">Insurer Code ; Reporting Year ; Insurance Category Code ; Large Provider Entity Code ; Age Band Code ; Sex Code </v>
      </c>
      <c r="N5726" s="297" t="s">
        <v>197</v>
      </c>
      <c r="O5726" s="297" t="s">
        <v>198</v>
      </c>
      <c r="P5726" s="297" t="s">
        <v>199</v>
      </c>
      <c r="Q5726" s="297" t="s">
        <v>200</v>
      </c>
      <c r="R5726" s="297" t="s">
        <v>213</v>
      </c>
      <c r="S5726" s="297" t="s">
        <v>214</v>
      </c>
    </row>
    <row r="5727" spans="1:19" x14ac:dyDescent="0.4">
      <c r="A5727" s="548"/>
      <c r="B5727" s="292"/>
      <c r="C5727" s="292"/>
      <c r="D5727" s="292"/>
      <c r="E5727" s="549"/>
      <c r="F5727" s="549"/>
      <c r="G5727" s="550"/>
      <c r="H5727" s="551"/>
      <c r="I5727" s="552"/>
      <c r="J5727" s="553"/>
      <c r="K5727" s="554"/>
      <c r="M5727" s="301" t="str">
        <f>N5727&amp;AS[[#This Row],[Insurer Code]]&amp;"; "&amp;O5727&amp;AS[[#This Row],[Reporting Year]]&amp;"; "&amp;P5727&amp;AS[[#This Row],[Insurance Category Code]]&amp;"; "&amp;Q5727&amp;AS[[#This Row],[Large Provider Entity Code]]&amp;"; "&amp;R5727&amp;AS[[#This Row],[Age Band Code]]&amp;"; "&amp;S5727&amp;AS[[#This Row],[Sex Code]]</f>
        <v xml:space="preserve">Insurer Code ; Reporting Year ; Insurance Category Code ; Large Provider Entity Code ; Age Band Code ; Sex Code </v>
      </c>
      <c r="N5727" s="297" t="s">
        <v>197</v>
      </c>
      <c r="O5727" s="297" t="s">
        <v>198</v>
      </c>
      <c r="P5727" s="297" t="s">
        <v>199</v>
      </c>
      <c r="Q5727" s="297" t="s">
        <v>200</v>
      </c>
      <c r="R5727" s="297" t="s">
        <v>213</v>
      </c>
      <c r="S5727" s="297" t="s">
        <v>214</v>
      </c>
    </row>
    <row r="5728" spans="1:19" x14ac:dyDescent="0.4">
      <c r="A5728" s="548"/>
      <c r="B5728" s="292"/>
      <c r="C5728" s="292"/>
      <c r="D5728" s="292"/>
      <c r="E5728" s="549"/>
      <c r="F5728" s="549"/>
      <c r="G5728" s="550"/>
      <c r="H5728" s="551"/>
      <c r="I5728" s="552"/>
      <c r="J5728" s="553"/>
      <c r="K5728" s="554"/>
      <c r="M5728" s="301" t="str">
        <f>N5728&amp;AS[[#This Row],[Insurer Code]]&amp;"; "&amp;O5728&amp;AS[[#This Row],[Reporting Year]]&amp;"; "&amp;P5728&amp;AS[[#This Row],[Insurance Category Code]]&amp;"; "&amp;Q5728&amp;AS[[#This Row],[Large Provider Entity Code]]&amp;"; "&amp;R5728&amp;AS[[#This Row],[Age Band Code]]&amp;"; "&amp;S5728&amp;AS[[#This Row],[Sex Code]]</f>
        <v xml:space="preserve">Insurer Code ; Reporting Year ; Insurance Category Code ; Large Provider Entity Code ; Age Band Code ; Sex Code </v>
      </c>
      <c r="N5728" s="297" t="s">
        <v>197</v>
      </c>
      <c r="O5728" s="297" t="s">
        <v>198</v>
      </c>
      <c r="P5728" s="297" t="s">
        <v>199</v>
      </c>
      <c r="Q5728" s="297" t="s">
        <v>200</v>
      </c>
      <c r="R5728" s="297" t="s">
        <v>213</v>
      </c>
      <c r="S5728" s="297" t="s">
        <v>214</v>
      </c>
    </row>
    <row r="5729" spans="1:19" x14ac:dyDescent="0.4">
      <c r="A5729" s="548"/>
      <c r="B5729" s="292"/>
      <c r="C5729" s="292"/>
      <c r="D5729" s="292"/>
      <c r="E5729" s="549"/>
      <c r="F5729" s="549"/>
      <c r="G5729" s="550"/>
      <c r="H5729" s="551"/>
      <c r="I5729" s="552"/>
      <c r="J5729" s="553"/>
      <c r="K5729" s="554"/>
      <c r="M5729" s="301" t="str">
        <f>N5729&amp;AS[[#This Row],[Insurer Code]]&amp;"; "&amp;O5729&amp;AS[[#This Row],[Reporting Year]]&amp;"; "&amp;P5729&amp;AS[[#This Row],[Insurance Category Code]]&amp;"; "&amp;Q5729&amp;AS[[#This Row],[Large Provider Entity Code]]&amp;"; "&amp;R5729&amp;AS[[#This Row],[Age Band Code]]&amp;"; "&amp;S5729&amp;AS[[#This Row],[Sex Code]]</f>
        <v xml:space="preserve">Insurer Code ; Reporting Year ; Insurance Category Code ; Large Provider Entity Code ; Age Band Code ; Sex Code </v>
      </c>
      <c r="N5729" s="297" t="s">
        <v>197</v>
      </c>
      <c r="O5729" s="297" t="s">
        <v>198</v>
      </c>
      <c r="P5729" s="297" t="s">
        <v>199</v>
      </c>
      <c r="Q5729" s="297" t="s">
        <v>200</v>
      </c>
      <c r="R5729" s="297" t="s">
        <v>213</v>
      </c>
      <c r="S5729" s="297" t="s">
        <v>214</v>
      </c>
    </row>
    <row r="5730" spans="1:19" x14ac:dyDescent="0.4">
      <c r="A5730" s="548"/>
      <c r="B5730" s="292"/>
      <c r="C5730" s="292"/>
      <c r="D5730" s="292"/>
      <c r="E5730" s="549"/>
      <c r="F5730" s="549"/>
      <c r="G5730" s="550"/>
      <c r="H5730" s="551"/>
      <c r="I5730" s="552"/>
      <c r="J5730" s="553"/>
      <c r="K5730" s="554"/>
      <c r="M5730" s="301" t="str">
        <f>N5730&amp;AS[[#This Row],[Insurer Code]]&amp;"; "&amp;O5730&amp;AS[[#This Row],[Reporting Year]]&amp;"; "&amp;P5730&amp;AS[[#This Row],[Insurance Category Code]]&amp;"; "&amp;Q5730&amp;AS[[#This Row],[Large Provider Entity Code]]&amp;"; "&amp;R5730&amp;AS[[#This Row],[Age Band Code]]&amp;"; "&amp;S5730&amp;AS[[#This Row],[Sex Code]]</f>
        <v xml:space="preserve">Insurer Code ; Reporting Year ; Insurance Category Code ; Large Provider Entity Code ; Age Band Code ; Sex Code </v>
      </c>
      <c r="N5730" s="297" t="s">
        <v>197</v>
      </c>
      <c r="O5730" s="297" t="s">
        <v>198</v>
      </c>
      <c r="P5730" s="297" t="s">
        <v>199</v>
      </c>
      <c r="Q5730" s="297" t="s">
        <v>200</v>
      </c>
      <c r="R5730" s="297" t="s">
        <v>213</v>
      </c>
      <c r="S5730" s="297" t="s">
        <v>214</v>
      </c>
    </row>
    <row r="5731" spans="1:19" x14ac:dyDescent="0.4">
      <c r="A5731" s="548"/>
      <c r="B5731" s="292"/>
      <c r="C5731" s="292"/>
      <c r="D5731" s="292"/>
      <c r="E5731" s="549"/>
      <c r="F5731" s="549"/>
      <c r="G5731" s="550"/>
      <c r="H5731" s="551"/>
      <c r="I5731" s="552"/>
      <c r="J5731" s="553"/>
      <c r="K5731" s="554"/>
      <c r="M5731" s="301" t="str">
        <f>N5731&amp;AS[[#This Row],[Insurer Code]]&amp;"; "&amp;O5731&amp;AS[[#This Row],[Reporting Year]]&amp;"; "&amp;P5731&amp;AS[[#This Row],[Insurance Category Code]]&amp;"; "&amp;Q5731&amp;AS[[#This Row],[Large Provider Entity Code]]&amp;"; "&amp;R5731&amp;AS[[#This Row],[Age Band Code]]&amp;"; "&amp;S5731&amp;AS[[#This Row],[Sex Code]]</f>
        <v xml:space="preserve">Insurer Code ; Reporting Year ; Insurance Category Code ; Large Provider Entity Code ; Age Band Code ; Sex Code </v>
      </c>
      <c r="N5731" s="297" t="s">
        <v>197</v>
      </c>
      <c r="O5731" s="297" t="s">
        <v>198</v>
      </c>
      <c r="P5731" s="297" t="s">
        <v>199</v>
      </c>
      <c r="Q5731" s="297" t="s">
        <v>200</v>
      </c>
      <c r="R5731" s="297" t="s">
        <v>213</v>
      </c>
      <c r="S5731" s="297" t="s">
        <v>214</v>
      </c>
    </row>
    <row r="5732" spans="1:19" x14ac:dyDescent="0.4">
      <c r="A5732" s="548"/>
      <c r="B5732" s="292"/>
      <c r="C5732" s="292"/>
      <c r="D5732" s="292"/>
      <c r="E5732" s="549"/>
      <c r="F5732" s="549"/>
      <c r="G5732" s="550"/>
      <c r="H5732" s="551"/>
      <c r="I5732" s="552"/>
      <c r="J5732" s="553"/>
      <c r="K5732" s="554"/>
      <c r="M5732" s="301" t="str">
        <f>N5732&amp;AS[[#This Row],[Insurer Code]]&amp;"; "&amp;O5732&amp;AS[[#This Row],[Reporting Year]]&amp;"; "&amp;P5732&amp;AS[[#This Row],[Insurance Category Code]]&amp;"; "&amp;Q5732&amp;AS[[#This Row],[Large Provider Entity Code]]&amp;"; "&amp;R5732&amp;AS[[#This Row],[Age Band Code]]&amp;"; "&amp;S5732&amp;AS[[#This Row],[Sex Code]]</f>
        <v xml:space="preserve">Insurer Code ; Reporting Year ; Insurance Category Code ; Large Provider Entity Code ; Age Band Code ; Sex Code </v>
      </c>
      <c r="N5732" s="297" t="s">
        <v>197</v>
      </c>
      <c r="O5732" s="297" t="s">
        <v>198</v>
      </c>
      <c r="P5732" s="297" t="s">
        <v>199</v>
      </c>
      <c r="Q5732" s="297" t="s">
        <v>200</v>
      </c>
      <c r="R5732" s="297" t="s">
        <v>213</v>
      </c>
      <c r="S5732" s="297" t="s">
        <v>214</v>
      </c>
    </row>
    <row r="5733" spans="1:19" x14ac:dyDescent="0.4">
      <c r="A5733" s="548"/>
      <c r="B5733" s="292"/>
      <c r="C5733" s="292"/>
      <c r="D5733" s="292"/>
      <c r="E5733" s="549"/>
      <c r="F5733" s="549"/>
      <c r="G5733" s="550"/>
      <c r="H5733" s="551"/>
      <c r="I5733" s="552"/>
      <c r="J5733" s="553"/>
      <c r="K5733" s="554"/>
      <c r="M5733" s="301" t="str">
        <f>N5733&amp;AS[[#This Row],[Insurer Code]]&amp;"; "&amp;O5733&amp;AS[[#This Row],[Reporting Year]]&amp;"; "&amp;P5733&amp;AS[[#This Row],[Insurance Category Code]]&amp;"; "&amp;Q5733&amp;AS[[#This Row],[Large Provider Entity Code]]&amp;"; "&amp;R5733&amp;AS[[#This Row],[Age Band Code]]&amp;"; "&amp;S5733&amp;AS[[#This Row],[Sex Code]]</f>
        <v xml:space="preserve">Insurer Code ; Reporting Year ; Insurance Category Code ; Large Provider Entity Code ; Age Band Code ; Sex Code </v>
      </c>
      <c r="N5733" s="297" t="s">
        <v>197</v>
      </c>
      <c r="O5733" s="297" t="s">
        <v>198</v>
      </c>
      <c r="P5733" s="297" t="s">
        <v>199</v>
      </c>
      <c r="Q5733" s="297" t="s">
        <v>200</v>
      </c>
      <c r="R5733" s="297" t="s">
        <v>213</v>
      </c>
      <c r="S5733" s="297" t="s">
        <v>214</v>
      </c>
    </row>
    <row r="5734" spans="1:19" x14ac:dyDescent="0.4">
      <c r="A5734" s="548"/>
      <c r="B5734" s="292"/>
      <c r="C5734" s="292"/>
      <c r="D5734" s="292"/>
      <c r="E5734" s="549"/>
      <c r="F5734" s="549"/>
      <c r="G5734" s="550"/>
      <c r="H5734" s="551"/>
      <c r="I5734" s="552"/>
      <c r="J5734" s="553"/>
      <c r="K5734" s="554"/>
      <c r="M5734" s="301" t="str">
        <f>N5734&amp;AS[[#This Row],[Insurer Code]]&amp;"; "&amp;O5734&amp;AS[[#This Row],[Reporting Year]]&amp;"; "&amp;P5734&amp;AS[[#This Row],[Insurance Category Code]]&amp;"; "&amp;Q5734&amp;AS[[#This Row],[Large Provider Entity Code]]&amp;"; "&amp;R5734&amp;AS[[#This Row],[Age Band Code]]&amp;"; "&amp;S5734&amp;AS[[#This Row],[Sex Code]]</f>
        <v xml:space="preserve">Insurer Code ; Reporting Year ; Insurance Category Code ; Large Provider Entity Code ; Age Band Code ; Sex Code </v>
      </c>
      <c r="N5734" s="297" t="s">
        <v>197</v>
      </c>
      <c r="O5734" s="297" t="s">
        <v>198</v>
      </c>
      <c r="P5734" s="297" t="s">
        <v>199</v>
      </c>
      <c r="Q5734" s="297" t="s">
        <v>200</v>
      </c>
      <c r="R5734" s="297" t="s">
        <v>213</v>
      </c>
      <c r="S5734" s="297" t="s">
        <v>214</v>
      </c>
    </row>
    <row r="5735" spans="1:19" x14ac:dyDescent="0.4">
      <c r="A5735" s="548"/>
      <c r="B5735" s="292"/>
      <c r="C5735" s="292"/>
      <c r="D5735" s="292"/>
      <c r="E5735" s="549"/>
      <c r="F5735" s="549"/>
      <c r="G5735" s="550"/>
      <c r="H5735" s="551"/>
      <c r="I5735" s="552"/>
      <c r="J5735" s="553"/>
      <c r="K5735" s="554"/>
      <c r="M5735" s="301" t="str">
        <f>N5735&amp;AS[[#This Row],[Insurer Code]]&amp;"; "&amp;O5735&amp;AS[[#This Row],[Reporting Year]]&amp;"; "&amp;P5735&amp;AS[[#This Row],[Insurance Category Code]]&amp;"; "&amp;Q5735&amp;AS[[#This Row],[Large Provider Entity Code]]&amp;"; "&amp;R5735&amp;AS[[#This Row],[Age Band Code]]&amp;"; "&amp;S5735&amp;AS[[#This Row],[Sex Code]]</f>
        <v xml:space="preserve">Insurer Code ; Reporting Year ; Insurance Category Code ; Large Provider Entity Code ; Age Band Code ; Sex Code </v>
      </c>
      <c r="N5735" s="297" t="s">
        <v>197</v>
      </c>
      <c r="O5735" s="297" t="s">
        <v>198</v>
      </c>
      <c r="P5735" s="297" t="s">
        <v>199</v>
      </c>
      <c r="Q5735" s="297" t="s">
        <v>200</v>
      </c>
      <c r="R5735" s="297" t="s">
        <v>213</v>
      </c>
      <c r="S5735" s="297" t="s">
        <v>214</v>
      </c>
    </row>
    <row r="5736" spans="1:19" x14ac:dyDescent="0.4">
      <c r="A5736" s="548"/>
      <c r="B5736" s="292"/>
      <c r="C5736" s="292"/>
      <c r="D5736" s="292"/>
      <c r="E5736" s="549"/>
      <c r="F5736" s="549"/>
      <c r="G5736" s="550"/>
      <c r="H5736" s="551"/>
      <c r="I5736" s="552"/>
      <c r="J5736" s="553"/>
      <c r="K5736" s="554"/>
      <c r="M5736" s="301" t="str">
        <f>N5736&amp;AS[[#This Row],[Insurer Code]]&amp;"; "&amp;O5736&amp;AS[[#This Row],[Reporting Year]]&amp;"; "&amp;P5736&amp;AS[[#This Row],[Insurance Category Code]]&amp;"; "&amp;Q5736&amp;AS[[#This Row],[Large Provider Entity Code]]&amp;"; "&amp;R5736&amp;AS[[#This Row],[Age Band Code]]&amp;"; "&amp;S5736&amp;AS[[#This Row],[Sex Code]]</f>
        <v xml:space="preserve">Insurer Code ; Reporting Year ; Insurance Category Code ; Large Provider Entity Code ; Age Band Code ; Sex Code </v>
      </c>
      <c r="N5736" s="297" t="s">
        <v>197</v>
      </c>
      <c r="O5736" s="297" t="s">
        <v>198</v>
      </c>
      <c r="P5736" s="297" t="s">
        <v>199</v>
      </c>
      <c r="Q5736" s="297" t="s">
        <v>200</v>
      </c>
      <c r="R5736" s="297" t="s">
        <v>213</v>
      </c>
      <c r="S5736" s="297" t="s">
        <v>214</v>
      </c>
    </row>
    <row r="5737" spans="1:19" x14ac:dyDescent="0.4">
      <c r="A5737" s="548"/>
      <c r="B5737" s="292"/>
      <c r="C5737" s="292"/>
      <c r="D5737" s="292"/>
      <c r="E5737" s="549"/>
      <c r="F5737" s="549"/>
      <c r="G5737" s="550"/>
      <c r="H5737" s="551"/>
      <c r="I5737" s="552"/>
      <c r="J5737" s="553"/>
      <c r="K5737" s="554"/>
      <c r="M5737" s="301" t="str">
        <f>N5737&amp;AS[[#This Row],[Insurer Code]]&amp;"; "&amp;O5737&amp;AS[[#This Row],[Reporting Year]]&amp;"; "&amp;P5737&amp;AS[[#This Row],[Insurance Category Code]]&amp;"; "&amp;Q5737&amp;AS[[#This Row],[Large Provider Entity Code]]&amp;"; "&amp;R5737&amp;AS[[#This Row],[Age Band Code]]&amp;"; "&amp;S5737&amp;AS[[#This Row],[Sex Code]]</f>
        <v xml:space="preserve">Insurer Code ; Reporting Year ; Insurance Category Code ; Large Provider Entity Code ; Age Band Code ; Sex Code </v>
      </c>
      <c r="N5737" s="297" t="s">
        <v>197</v>
      </c>
      <c r="O5737" s="297" t="s">
        <v>198</v>
      </c>
      <c r="P5737" s="297" t="s">
        <v>199</v>
      </c>
      <c r="Q5737" s="297" t="s">
        <v>200</v>
      </c>
      <c r="R5737" s="297" t="s">
        <v>213</v>
      </c>
      <c r="S5737" s="297" t="s">
        <v>214</v>
      </c>
    </row>
    <row r="5738" spans="1:19" x14ac:dyDescent="0.4">
      <c r="A5738" s="548"/>
      <c r="B5738" s="292"/>
      <c r="C5738" s="292"/>
      <c r="D5738" s="292"/>
      <c r="E5738" s="549"/>
      <c r="F5738" s="549"/>
      <c r="G5738" s="550"/>
      <c r="H5738" s="551"/>
      <c r="I5738" s="552"/>
      <c r="J5738" s="553"/>
      <c r="K5738" s="554"/>
      <c r="M5738" s="301" t="str">
        <f>N5738&amp;AS[[#This Row],[Insurer Code]]&amp;"; "&amp;O5738&amp;AS[[#This Row],[Reporting Year]]&amp;"; "&amp;P5738&amp;AS[[#This Row],[Insurance Category Code]]&amp;"; "&amp;Q5738&amp;AS[[#This Row],[Large Provider Entity Code]]&amp;"; "&amp;R5738&amp;AS[[#This Row],[Age Band Code]]&amp;"; "&amp;S5738&amp;AS[[#This Row],[Sex Code]]</f>
        <v xml:space="preserve">Insurer Code ; Reporting Year ; Insurance Category Code ; Large Provider Entity Code ; Age Band Code ; Sex Code </v>
      </c>
      <c r="N5738" s="297" t="s">
        <v>197</v>
      </c>
      <c r="O5738" s="297" t="s">
        <v>198</v>
      </c>
      <c r="P5738" s="297" t="s">
        <v>199</v>
      </c>
      <c r="Q5738" s="297" t="s">
        <v>200</v>
      </c>
      <c r="R5738" s="297" t="s">
        <v>213</v>
      </c>
      <c r="S5738" s="297" t="s">
        <v>214</v>
      </c>
    </row>
    <row r="5739" spans="1:19" x14ac:dyDescent="0.4">
      <c r="A5739" s="548"/>
      <c r="B5739" s="292"/>
      <c r="C5739" s="292"/>
      <c r="D5739" s="292"/>
      <c r="E5739" s="549"/>
      <c r="F5739" s="549"/>
      <c r="G5739" s="550"/>
      <c r="H5739" s="551"/>
      <c r="I5739" s="552"/>
      <c r="J5739" s="553"/>
      <c r="K5739" s="554"/>
      <c r="M5739" s="301" t="str">
        <f>N5739&amp;AS[[#This Row],[Insurer Code]]&amp;"; "&amp;O5739&amp;AS[[#This Row],[Reporting Year]]&amp;"; "&amp;P5739&amp;AS[[#This Row],[Insurance Category Code]]&amp;"; "&amp;Q5739&amp;AS[[#This Row],[Large Provider Entity Code]]&amp;"; "&amp;R5739&amp;AS[[#This Row],[Age Band Code]]&amp;"; "&amp;S5739&amp;AS[[#This Row],[Sex Code]]</f>
        <v xml:space="preserve">Insurer Code ; Reporting Year ; Insurance Category Code ; Large Provider Entity Code ; Age Band Code ; Sex Code </v>
      </c>
      <c r="N5739" s="297" t="s">
        <v>197</v>
      </c>
      <c r="O5739" s="297" t="s">
        <v>198</v>
      </c>
      <c r="P5739" s="297" t="s">
        <v>199</v>
      </c>
      <c r="Q5739" s="297" t="s">
        <v>200</v>
      </c>
      <c r="R5739" s="297" t="s">
        <v>213</v>
      </c>
      <c r="S5739" s="297" t="s">
        <v>214</v>
      </c>
    </row>
    <row r="5740" spans="1:19" x14ac:dyDescent="0.4">
      <c r="A5740" s="548"/>
      <c r="B5740" s="292"/>
      <c r="C5740" s="292"/>
      <c r="D5740" s="292"/>
      <c r="E5740" s="549"/>
      <c r="F5740" s="549"/>
      <c r="G5740" s="550"/>
      <c r="H5740" s="551"/>
      <c r="I5740" s="552"/>
      <c r="J5740" s="553"/>
      <c r="K5740" s="554"/>
      <c r="M5740" s="301" t="str">
        <f>N5740&amp;AS[[#This Row],[Insurer Code]]&amp;"; "&amp;O5740&amp;AS[[#This Row],[Reporting Year]]&amp;"; "&amp;P5740&amp;AS[[#This Row],[Insurance Category Code]]&amp;"; "&amp;Q5740&amp;AS[[#This Row],[Large Provider Entity Code]]&amp;"; "&amp;R5740&amp;AS[[#This Row],[Age Band Code]]&amp;"; "&amp;S5740&amp;AS[[#This Row],[Sex Code]]</f>
        <v xml:space="preserve">Insurer Code ; Reporting Year ; Insurance Category Code ; Large Provider Entity Code ; Age Band Code ; Sex Code </v>
      </c>
      <c r="N5740" s="297" t="s">
        <v>197</v>
      </c>
      <c r="O5740" s="297" t="s">
        <v>198</v>
      </c>
      <c r="P5740" s="297" t="s">
        <v>199</v>
      </c>
      <c r="Q5740" s="297" t="s">
        <v>200</v>
      </c>
      <c r="R5740" s="297" t="s">
        <v>213</v>
      </c>
      <c r="S5740" s="297" t="s">
        <v>214</v>
      </c>
    </row>
    <row r="5741" spans="1:19" x14ac:dyDescent="0.4">
      <c r="A5741" s="548"/>
      <c r="B5741" s="292"/>
      <c r="C5741" s="292"/>
      <c r="D5741" s="292"/>
      <c r="E5741" s="549"/>
      <c r="F5741" s="549"/>
      <c r="G5741" s="550"/>
      <c r="H5741" s="551"/>
      <c r="I5741" s="552"/>
      <c r="J5741" s="553"/>
      <c r="K5741" s="554"/>
      <c r="M5741" s="301" t="str">
        <f>N5741&amp;AS[[#This Row],[Insurer Code]]&amp;"; "&amp;O5741&amp;AS[[#This Row],[Reporting Year]]&amp;"; "&amp;P5741&amp;AS[[#This Row],[Insurance Category Code]]&amp;"; "&amp;Q5741&amp;AS[[#This Row],[Large Provider Entity Code]]&amp;"; "&amp;R5741&amp;AS[[#This Row],[Age Band Code]]&amp;"; "&amp;S5741&amp;AS[[#This Row],[Sex Code]]</f>
        <v xml:space="preserve">Insurer Code ; Reporting Year ; Insurance Category Code ; Large Provider Entity Code ; Age Band Code ; Sex Code </v>
      </c>
      <c r="N5741" s="297" t="s">
        <v>197</v>
      </c>
      <c r="O5741" s="297" t="s">
        <v>198</v>
      </c>
      <c r="P5741" s="297" t="s">
        <v>199</v>
      </c>
      <c r="Q5741" s="297" t="s">
        <v>200</v>
      </c>
      <c r="R5741" s="297" t="s">
        <v>213</v>
      </c>
      <c r="S5741" s="297" t="s">
        <v>214</v>
      </c>
    </row>
    <row r="5742" spans="1:19" x14ac:dyDescent="0.4">
      <c r="A5742" s="548"/>
      <c r="B5742" s="292"/>
      <c r="C5742" s="292"/>
      <c r="D5742" s="292"/>
      <c r="E5742" s="549"/>
      <c r="F5742" s="549"/>
      <c r="G5742" s="550"/>
      <c r="H5742" s="551"/>
      <c r="I5742" s="552"/>
      <c r="J5742" s="553"/>
      <c r="K5742" s="554"/>
      <c r="M5742" s="301" t="str">
        <f>N5742&amp;AS[[#This Row],[Insurer Code]]&amp;"; "&amp;O5742&amp;AS[[#This Row],[Reporting Year]]&amp;"; "&amp;P5742&amp;AS[[#This Row],[Insurance Category Code]]&amp;"; "&amp;Q5742&amp;AS[[#This Row],[Large Provider Entity Code]]&amp;"; "&amp;R5742&amp;AS[[#This Row],[Age Band Code]]&amp;"; "&amp;S5742&amp;AS[[#This Row],[Sex Code]]</f>
        <v xml:space="preserve">Insurer Code ; Reporting Year ; Insurance Category Code ; Large Provider Entity Code ; Age Band Code ; Sex Code </v>
      </c>
      <c r="N5742" s="297" t="s">
        <v>197</v>
      </c>
      <c r="O5742" s="297" t="s">
        <v>198</v>
      </c>
      <c r="P5742" s="297" t="s">
        <v>199</v>
      </c>
      <c r="Q5742" s="297" t="s">
        <v>200</v>
      </c>
      <c r="R5742" s="297" t="s">
        <v>213</v>
      </c>
      <c r="S5742" s="297" t="s">
        <v>214</v>
      </c>
    </row>
    <row r="5743" spans="1:19" x14ac:dyDescent="0.4">
      <c r="A5743" s="548"/>
      <c r="B5743" s="292"/>
      <c r="C5743" s="292"/>
      <c r="D5743" s="292"/>
      <c r="E5743" s="549"/>
      <c r="F5743" s="549"/>
      <c r="G5743" s="550"/>
      <c r="H5743" s="551"/>
      <c r="I5743" s="552"/>
      <c r="J5743" s="553"/>
      <c r="K5743" s="554"/>
      <c r="M5743" s="301" t="str">
        <f>N5743&amp;AS[[#This Row],[Insurer Code]]&amp;"; "&amp;O5743&amp;AS[[#This Row],[Reporting Year]]&amp;"; "&amp;P5743&amp;AS[[#This Row],[Insurance Category Code]]&amp;"; "&amp;Q5743&amp;AS[[#This Row],[Large Provider Entity Code]]&amp;"; "&amp;R5743&amp;AS[[#This Row],[Age Band Code]]&amp;"; "&amp;S5743&amp;AS[[#This Row],[Sex Code]]</f>
        <v xml:space="preserve">Insurer Code ; Reporting Year ; Insurance Category Code ; Large Provider Entity Code ; Age Band Code ; Sex Code </v>
      </c>
      <c r="N5743" s="297" t="s">
        <v>197</v>
      </c>
      <c r="O5743" s="297" t="s">
        <v>198</v>
      </c>
      <c r="P5743" s="297" t="s">
        <v>199</v>
      </c>
      <c r="Q5743" s="297" t="s">
        <v>200</v>
      </c>
      <c r="R5743" s="297" t="s">
        <v>213</v>
      </c>
      <c r="S5743" s="297" t="s">
        <v>214</v>
      </c>
    </row>
    <row r="5744" spans="1:19" x14ac:dyDescent="0.4">
      <c r="A5744" s="548"/>
      <c r="B5744" s="292"/>
      <c r="C5744" s="292"/>
      <c r="D5744" s="292"/>
      <c r="E5744" s="549"/>
      <c r="F5744" s="549"/>
      <c r="G5744" s="550"/>
      <c r="H5744" s="551"/>
      <c r="I5744" s="552"/>
      <c r="J5744" s="553"/>
      <c r="K5744" s="554"/>
      <c r="M5744" s="301" t="str">
        <f>N5744&amp;AS[[#This Row],[Insurer Code]]&amp;"; "&amp;O5744&amp;AS[[#This Row],[Reporting Year]]&amp;"; "&amp;P5744&amp;AS[[#This Row],[Insurance Category Code]]&amp;"; "&amp;Q5744&amp;AS[[#This Row],[Large Provider Entity Code]]&amp;"; "&amp;R5744&amp;AS[[#This Row],[Age Band Code]]&amp;"; "&amp;S5744&amp;AS[[#This Row],[Sex Code]]</f>
        <v xml:space="preserve">Insurer Code ; Reporting Year ; Insurance Category Code ; Large Provider Entity Code ; Age Band Code ; Sex Code </v>
      </c>
      <c r="N5744" s="297" t="s">
        <v>197</v>
      </c>
      <c r="O5744" s="297" t="s">
        <v>198</v>
      </c>
      <c r="P5744" s="297" t="s">
        <v>199</v>
      </c>
      <c r="Q5744" s="297" t="s">
        <v>200</v>
      </c>
      <c r="R5744" s="297" t="s">
        <v>213</v>
      </c>
      <c r="S5744" s="297" t="s">
        <v>214</v>
      </c>
    </row>
    <row r="5745" spans="1:19" x14ac:dyDescent="0.4">
      <c r="A5745" s="548"/>
      <c r="B5745" s="292"/>
      <c r="C5745" s="292"/>
      <c r="D5745" s="292"/>
      <c r="E5745" s="549"/>
      <c r="F5745" s="549"/>
      <c r="G5745" s="550"/>
      <c r="H5745" s="551"/>
      <c r="I5745" s="552"/>
      <c r="J5745" s="553"/>
      <c r="K5745" s="554"/>
      <c r="M5745" s="301" t="str">
        <f>N5745&amp;AS[[#This Row],[Insurer Code]]&amp;"; "&amp;O5745&amp;AS[[#This Row],[Reporting Year]]&amp;"; "&amp;P5745&amp;AS[[#This Row],[Insurance Category Code]]&amp;"; "&amp;Q5745&amp;AS[[#This Row],[Large Provider Entity Code]]&amp;"; "&amp;R5745&amp;AS[[#This Row],[Age Band Code]]&amp;"; "&amp;S5745&amp;AS[[#This Row],[Sex Code]]</f>
        <v xml:space="preserve">Insurer Code ; Reporting Year ; Insurance Category Code ; Large Provider Entity Code ; Age Band Code ; Sex Code </v>
      </c>
      <c r="N5745" s="297" t="s">
        <v>197</v>
      </c>
      <c r="O5745" s="297" t="s">
        <v>198</v>
      </c>
      <c r="P5745" s="297" t="s">
        <v>199</v>
      </c>
      <c r="Q5745" s="297" t="s">
        <v>200</v>
      </c>
      <c r="R5745" s="297" t="s">
        <v>213</v>
      </c>
      <c r="S5745" s="297" t="s">
        <v>214</v>
      </c>
    </row>
    <row r="5746" spans="1:19" x14ac:dyDescent="0.4">
      <c r="A5746" s="548"/>
      <c r="B5746" s="292"/>
      <c r="C5746" s="292"/>
      <c r="D5746" s="292"/>
      <c r="E5746" s="549"/>
      <c r="F5746" s="549"/>
      <c r="G5746" s="550"/>
      <c r="H5746" s="551"/>
      <c r="I5746" s="552"/>
      <c r="J5746" s="553"/>
      <c r="K5746" s="554"/>
      <c r="M5746" s="301" t="str">
        <f>N5746&amp;AS[[#This Row],[Insurer Code]]&amp;"; "&amp;O5746&amp;AS[[#This Row],[Reporting Year]]&amp;"; "&amp;P5746&amp;AS[[#This Row],[Insurance Category Code]]&amp;"; "&amp;Q5746&amp;AS[[#This Row],[Large Provider Entity Code]]&amp;"; "&amp;R5746&amp;AS[[#This Row],[Age Band Code]]&amp;"; "&amp;S5746&amp;AS[[#This Row],[Sex Code]]</f>
        <v xml:space="preserve">Insurer Code ; Reporting Year ; Insurance Category Code ; Large Provider Entity Code ; Age Band Code ; Sex Code </v>
      </c>
      <c r="N5746" s="297" t="s">
        <v>197</v>
      </c>
      <c r="O5746" s="297" t="s">
        <v>198</v>
      </c>
      <c r="P5746" s="297" t="s">
        <v>199</v>
      </c>
      <c r="Q5746" s="297" t="s">
        <v>200</v>
      </c>
      <c r="R5746" s="297" t="s">
        <v>213</v>
      </c>
      <c r="S5746" s="297" t="s">
        <v>214</v>
      </c>
    </row>
    <row r="5747" spans="1:19" x14ac:dyDescent="0.4">
      <c r="A5747" s="548"/>
      <c r="B5747" s="292"/>
      <c r="C5747" s="292"/>
      <c r="D5747" s="292"/>
      <c r="E5747" s="549"/>
      <c r="F5747" s="549"/>
      <c r="G5747" s="550"/>
      <c r="H5747" s="551"/>
      <c r="I5747" s="552"/>
      <c r="J5747" s="553"/>
      <c r="K5747" s="554"/>
      <c r="M5747" s="301" t="str">
        <f>N5747&amp;AS[[#This Row],[Insurer Code]]&amp;"; "&amp;O5747&amp;AS[[#This Row],[Reporting Year]]&amp;"; "&amp;P5747&amp;AS[[#This Row],[Insurance Category Code]]&amp;"; "&amp;Q5747&amp;AS[[#This Row],[Large Provider Entity Code]]&amp;"; "&amp;R5747&amp;AS[[#This Row],[Age Band Code]]&amp;"; "&amp;S5747&amp;AS[[#This Row],[Sex Code]]</f>
        <v xml:space="preserve">Insurer Code ; Reporting Year ; Insurance Category Code ; Large Provider Entity Code ; Age Band Code ; Sex Code </v>
      </c>
      <c r="N5747" s="297" t="s">
        <v>197</v>
      </c>
      <c r="O5747" s="297" t="s">
        <v>198</v>
      </c>
      <c r="P5747" s="297" t="s">
        <v>199</v>
      </c>
      <c r="Q5747" s="297" t="s">
        <v>200</v>
      </c>
      <c r="R5747" s="297" t="s">
        <v>213</v>
      </c>
      <c r="S5747" s="297" t="s">
        <v>214</v>
      </c>
    </row>
    <row r="5748" spans="1:19" x14ac:dyDescent="0.4">
      <c r="A5748" s="548"/>
      <c r="B5748" s="292"/>
      <c r="C5748" s="292"/>
      <c r="D5748" s="292"/>
      <c r="E5748" s="549"/>
      <c r="F5748" s="549"/>
      <c r="G5748" s="550"/>
      <c r="H5748" s="551"/>
      <c r="I5748" s="552"/>
      <c r="J5748" s="553"/>
      <c r="K5748" s="554"/>
      <c r="M5748" s="301" t="str">
        <f>N5748&amp;AS[[#This Row],[Insurer Code]]&amp;"; "&amp;O5748&amp;AS[[#This Row],[Reporting Year]]&amp;"; "&amp;P5748&amp;AS[[#This Row],[Insurance Category Code]]&amp;"; "&amp;Q5748&amp;AS[[#This Row],[Large Provider Entity Code]]&amp;"; "&amp;R5748&amp;AS[[#This Row],[Age Band Code]]&amp;"; "&amp;S5748&amp;AS[[#This Row],[Sex Code]]</f>
        <v xml:space="preserve">Insurer Code ; Reporting Year ; Insurance Category Code ; Large Provider Entity Code ; Age Band Code ; Sex Code </v>
      </c>
      <c r="N5748" s="297" t="s">
        <v>197</v>
      </c>
      <c r="O5748" s="297" t="s">
        <v>198</v>
      </c>
      <c r="P5748" s="297" t="s">
        <v>199</v>
      </c>
      <c r="Q5748" s="297" t="s">
        <v>200</v>
      </c>
      <c r="R5748" s="297" t="s">
        <v>213</v>
      </c>
      <c r="S5748" s="297" t="s">
        <v>214</v>
      </c>
    </row>
    <row r="5749" spans="1:19" x14ac:dyDescent="0.4">
      <c r="A5749" s="548"/>
      <c r="B5749" s="292"/>
      <c r="C5749" s="292"/>
      <c r="D5749" s="292"/>
      <c r="E5749" s="549"/>
      <c r="F5749" s="549"/>
      <c r="G5749" s="550"/>
      <c r="H5749" s="551"/>
      <c r="I5749" s="552"/>
      <c r="J5749" s="553"/>
      <c r="K5749" s="554"/>
      <c r="M5749" s="301" t="str">
        <f>N5749&amp;AS[[#This Row],[Insurer Code]]&amp;"; "&amp;O5749&amp;AS[[#This Row],[Reporting Year]]&amp;"; "&amp;P5749&amp;AS[[#This Row],[Insurance Category Code]]&amp;"; "&amp;Q5749&amp;AS[[#This Row],[Large Provider Entity Code]]&amp;"; "&amp;R5749&amp;AS[[#This Row],[Age Band Code]]&amp;"; "&amp;S5749&amp;AS[[#This Row],[Sex Code]]</f>
        <v xml:space="preserve">Insurer Code ; Reporting Year ; Insurance Category Code ; Large Provider Entity Code ; Age Band Code ; Sex Code </v>
      </c>
      <c r="N5749" s="297" t="s">
        <v>197</v>
      </c>
      <c r="O5749" s="297" t="s">
        <v>198</v>
      </c>
      <c r="P5749" s="297" t="s">
        <v>199</v>
      </c>
      <c r="Q5749" s="297" t="s">
        <v>200</v>
      </c>
      <c r="R5749" s="297" t="s">
        <v>213</v>
      </c>
      <c r="S5749" s="297" t="s">
        <v>214</v>
      </c>
    </row>
    <row r="5750" spans="1:19" x14ac:dyDescent="0.4">
      <c r="A5750" s="548"/>
      <c r="B5750" s="292"/>
      <c r="C5750" s="292"/>
      <c r="D5750" s="292"/>
      <c r="E5750" s="549"/>
      <c r="F5750" s="549"/>
      <c r="G5750" s="550"/>
      <c r="H5750" s="551"/>
      <c r="I5750" s="552"/>
      <c r="J5750" s="553"/>
      <c r="K5750" s="554"/>
      <c r="M5750" s="301" t="str">
        <f>N5750&amp;AS[[#This Row],[Insurer Code]]&amp;"; "&amp;O5750&amp;AS[[#This Row],[Reporting Year]]&amp;"; "&amp;P5750&amp;AS[[#This Row],[Insurance Category Code]]&amp;"; "&amp;Q5750&amp;AS[[#This Row],[Large Provider Entity Code]]&amp;"; "&amp;R5750&amp;AS[[#This Row],[Age Band Code]]&amp;"; "&amp;S5750&amp;AS[[#This Row],[Sex Code]]</f>
        <v xml:space="preserve">Insurer Code ; Reporting Year ; Insurance Category Code ; Large Provider Entity Code ; Age Band Code ; Sex Code </v>
      </c>
      <c r="N5750" s="297" t="s">
        <v>197</v>
      </c>
      <c r="O5750" s="297" t="s">
        <v>198</v>
      </c>
      <c r="P5750" s="297" t="s">
        <v>199</v>
      </c>
      <c r="Q5750" s="297" t="s">
        <v>200</v>
      </c>
      <c r="R5750" s="297" t="s">
        <v>213</v>
      </c>
      <c r="S5750" s="297" t="s">
        <v>214</v>
      </c>
    </row>
    <row r="5751" spans="1:19" x14ac:dyDescent="0.4">
      <c r="A5751" s="548"/>
      <c r="B5751" s="292"/>
      <c r="C5751" s="292"/>
      <c r="D5751" s="292"/>
      <c r="E5751" s="549"/>
      <c r="F5751" s="549"/>
      <c r="G5751" s="550"/>
      <c r="H5751" s="551"/>
      <c r="I5751" s="552"/>
      <c r="J5751" s="553"/>
      <c r="K5751" s="554"/>
      <c r="M5751" s="301" t="str">
        <f>N5751&amp;AS[[#This Row],[Insurer Code]]&amp;"; "&amp;O5751&amp;AS[[#This Row],[Reporting Year]]&amp;"; "&amp;P5751&amp;AS[[#This Row],[Insurance Category Code]]&amp;"; "&amp;Q5751&amp;AS[[#This Row],[Large Provider Entity Code]]&amp;"; "&amp;R5751&amp;AS[[#This Row],[Age Band Code]]&amp;"; "&amp;S5751&amp;AS[[#This Row],[Sex Code]]</f>
        <v xml:space="preserve">Insurer Code ; Reporting Year ; Insurance Category Code ; Large Provider Entity Code ; Age Band Code ; Sex Code </v>
      </c>
      <c r="N5751" s="297" t="s">
        <v>197</v>
      </c>
      <c r="O5751" s="297" t="s">
        <v>198</v>
      </c>
      <c r="P5751" s="297" t="s">
        <v>199</v>
      </c>
      <c r="Q5751" s="297" t="s">
        <v>200</v>
      </c>
      <c r="R5751" s="297" t="s">
        <v>213</v>
      </c>
      <c r="S5751" s="297" t="s">
        <v>214</v>
      </c>
    </row>
    <row r="5752" spans="1:19" x14ac:dyDescent="0.4">
      <c r="A5752" s="548"/>
      <c r="B5752" s="292"/>
      <c r="C5752" s="292"/>
      <c r="D5752" s="292"/>
      <c r="E5752" s="549"/>
      <c r="F5752" s="549"/>
      <c r="G5752" s="550"/>
      <c r="H5752" s="551"/>
      <c r="I5752" s="552"/>
      <c r="J5752" s="553"/>
      <c r="K5752" s="554"/>
      <c r="M5752" s="301" t="str">
        <f>N5752&amp;AS[[#This Row],[Insurer Code]]&amp;"; "&amp;O5752&amp;AS[[#This Row],[Reporting Year]]&amp;"; "&amp;P5752&amp;AS[[#This Row],[Insurance Category Code]]&amp;"; "&amp;Q5752&amp;AS[[#This Row],[Large Provider Entity Code]]&amp;"; "&amp;R5752&amp;AS[[#This Row],[Age Band Code]]&amp;"; "&amp;S5752&amp;AS[[#This Row],[Sex Code]]</f>
        <v xml:space="preserve">Insurer Code ; Reporting Year ; Insurance Category Code ; Large Provider Entity Code ; Age Band Code ; Sex Code </v>
      </c>
      <c r="N5752" s="297" t="s">
        <v>197</v>
      </c>
      <c r="O5752" s="297" t="s">
        <v>198</v>
      </c>
      <c r="P5752" s="297" t="s">
        <v>199</v>
      </c>
      <c r="Q5752" s="297" t="s">
        <v>200</v>
      </c>
      <c r="R5752" s="297" t="s">
        <v>213</v>
      </c>
      <c r="S5752" s="297" t="s">
        <v>214</v>
      </c>
    </row>
    <row r="5753" spans="1:19" x14ac:dyDescent="0.4">
      <c r="A5753" s="548"/>
      <c r="B5753" s="292"/>
      <c r="C5753" s="292"/>
      <c r="D5753" s="292"/>
      <c r="E5753" s="549"/>
      <c r="F5753" s="549"/>
      <c r="G5753" s="550"/>
      <c r="H5753" s="551"/>
      <c r="I5753" s="552"/>
      <c r="J5753" s="553"/>
      <c r="K5753" s="554"/>
      <c r="M5753" s="301" t="str">
        <f>N5753&amp;AS[[#This Row],[Insurer Code]]&amp;"; "&amp;O5753&amp;AS[[#This Row],[Reporting Year]]&amp;"; "&amp;P5753&amp;AS[[#This Row],[Insurance Category Code]]&amp;"; "&amp;Q5753&amp;AS[[#This Row],[Large Provider Entity Code]]&amp;"; "&amp;R5753&amp;AS[[#This Row],[Age Band Code]]&amp;"; "&amp;S5753&amp;AS[[#This Row],[Sex Code]]</f>
        <v xml:space="preserve">Insurer Code ; Reporting Year ; Insurance Category Code ; Large Provider Entity Code ; Age Band Code ; Sex Code </v>
      </c>
      <c r="N5753" s="297" t="s">
        <v>197</v>
      </c>
      <c r="O5753" s="297" t="s">
        <v>198</v>
      </c>
      <c r="P5753" s="297" t="s">
        <v>199</v>
      </c>
      <c r="Q5753" s="297" t="s">
        <v>200</v>
      </c>
      <c r="R5753" s="297" t="s">
        <v>213</v>
      </c>
      <c r="S5753" s="297" t="s">
        <v>214</v>
      </c>
    </row>
    <row r="5754" spans="1:19" x14ac:dyDescent="0.4">
      <c r="A5754" s="548"/>
      <c r="B5754" s="292"/>
      <c r="C5754" s="292"/>
      <c r="D5754" s="292"/>
      <c r="E5754" s="549"/>
      <c r="F5754" s="549"/>
      <c r="G5754" s="550"/>
      <c r="H5754" s="551"/>
      <c r="I5754" s="552"/>
      <c r="J5754" s="553"/>
      <c r="K5754" s="554"/>
      <c r="M5754" s="301" t="str">
        <f>N5754&amp;AS[[#This Row],[Insurer Code]]&amp;"; "&amp;O5754&amp;AS[[#This Row],[Reporting Year]]&amp;"; "&amp;P5754&amp;AS[[#This Row],[Insurance Category Code]]&amp;"; "&amp;Q5754&amp;AS[[#This Row],[Large Provider Entity Code]]&amp;"; "&amp;R5754&amp;AS[[#This Row],[Age Band Code]]&amp;"; "&amp;S5754&amp;AS[[#This Row],[Sex Code]]</f>
        <v xml:space="preserve">Insurer Code ; Reporting Year ; Insurance Category Code ; Large Provider Entity Code ; Age Band Code ; Sex Code </v>
      </c>
      <c r="N5754" s="297" t="s">
        <v>197</v>
      </c>
      <c r="O5754" s="297" t="s">
        <v>198</v>
      </c>
      <c r="P5754" s="297" t="s">
        <v>199</v>
      </c>
      <c r="Q5754" s="297" t="s">
        <v>200</v>
      </c>
      <c r="R5754" s="297" t="s">
        <v>213</v>
      </c>
      <c r="S5754" s="297" t="s">
        <v>214</v>
      </c>
    </row>
    <row r="5755" spans="1:19" x14ac:dyDescent="0.4">
      <c r="A5755" s="548"/>
      <c r="B5755" s="292"/>
      <c r="C5755" s="292"/>
      <c r="D5755" s="292"/>
      <c r="E5755" s="549"/>
      <c r="F5755" s="549"/>
      <c r="G5755" s="550"/>
      <c r="H5755" s="551"/>
      <c r="I5755" s="552"/>
      <c r="J5755" s="553"/>
      <c r="K5755" s="554"/>
      <c r="M5755" s="301" t="str">
        <f>N5755&amp;AS[[#This Row],[Insurer Code]]&amp;"; "&amp;O5755&amp;AS[[#This Row],[Reporting Year]]&amp;"; "&amp;P5755&amp;AS[[#This Row],[Insurance Category Code]]&amp;"; "&amp;Q5755&amp;AS[[#This Row],[Large Provider Entity Code]]&amp;"; "&amp;R5755&amp;AS[[#This Row],[Age Band Code]]&amp;"; "&amp;S5755&amp;AS[[#This Row],[Sex Code]]</f>
        <v xml:space="preserve">Insurer Code ; Reporting Year ; Insurance Category Code ; Large Provider Entity Code ; Age Band Code ; Sex Code </v>
      </c>
      <c r="N5755" s="297" t="s">
        <v>197</v>
      </c>
      <c r="O5755" s="297" t="s">
        <v>198</v>
      </c>
      <c r="P5755" s="297" t="s">
        <v>199</v>
      </c>
      <c r="Q5755" s="297" t="s">
        <v>200</v>
      </c>
      <c r="R5755" s="297" t="s">
        <v>213</v>
      </c>
      <c r="S5755" s="297" t="s">
        <v>214</v>
      </c>
    </row>
    <row r="5756" spans="1:19" x14ac:dyDescent="0.4">
      <c r="A5756" s="548"/>
      <c r="B5756" s="292"/>
      <c r="C5756" s="292"/>
      <c r="D5756" s="292"/>
      <c r="E5756" s="549"/>
      <c r="F5756" s="549"/>
      <c r="G5756" s="550"/>
      <c r="H5756" s="551"/>
      <c r="I5756" s="552"/>
      <c r="J5756" s="553"/>
      <c r="K5756" s="554"/>
      <c r="M5756" s="301" t="str">
        <f>N5756&amp;AS[[#This Row],[Insurer Code]]&amp;"; "&amp;O5756&amp;AS[[#This Row],[Reporting Year]]&amp;"; "&amp;P5756&amp;AS[[#This Row],[Insurance Category Code]]&amp;"; "&amp;Q5756&amp;AS[[#This Row],[Large Provider Entity Code]]&amp;"; "&amp;R5756&amp;AS[[#This Row],[Age Band Code]]&amp;"; "&amp;S5756&amp;AS[[#This Row],[Sex Code]]</f>
        <v xml:space="preserve">Insurer Code ; Reporting Year ; Insurance Category Code ; Large Provider Entity Code ; Age Band Code ; Sex Code </v>
      </c>
      <c r="N5756" s="297" t="s">
        <v>197</v>
      </c>
      <c r="O5756" s="297" t="s">
        <v>198</v>
      </c>
      <c r="P5756" s="297" t="s">
        <v>199</v>
      </c>
      <c r="Q5756" s="297" t="s">
        <v>200</v>
      </c>
      <c r="R5756" s="297" t="s">
        <v>213</v>
      </c>
      <c r="S5756" s="297" t="s">
        <v>214</v>
      </c>
    </row>
    <row r="5757" spans="1:19" x14ac:dyDescent="0.4">
      <c r="A5757" s="548"/>
      <c r="B5757" s="292"/>
      <c r="C5757" s="292"/>
      <c r="D5757" s="292"/>
      <c r="E5757" s="549"/>
      <c r="F5757" s="549"/>
      <c r="G5757" s="550"/>
      <c r="H5757" s="551"/>
      <c r="I5757" s="552"/>
      <c r="J5757" s="553"/>
      <c r="K5757" s="554"/>
      <c r="M5757" s="301" t="str">
        <f>N5757&amp;AS[[#This Row],[Insurer Code]]&amp;"; "&amp;O5757&amp;AS[[#This Row],[Reporting Year]]&amp;"; "&amp;P5757&amp;AS[[#This Row],[Insurance Category Code]]&amp;"; "&amp;Q5757&amp;AS[[#This Row],[Large Provider Entity Code]]&amp;"; "&amp;R5757&amp;AS[[#This Row],[Age Band Code]]&amp;"; "&amp;S5757&amp;AS[[#This Row],[Sex Code]]</f>
        <v xml:space="preserve">Insurer Code ; Reporting Year ; Insurance Category Code ; Large Provider Entity Code ; Age Band Code ; Sex Code </v>
      </c>
      <c r="N5757" s="297" t="s">
        <v>197</v>
      </c>
      <c r="O5757" s="297" t="s">
        <v>198</v>
      </c>
      <c r="P5757" s="297" t="s">
        <v>199</v>
      </c>
      <c r="Q5757" s="297" t="s">
        <v>200</v>
      </c>
      <c r="R5757" s="297" t="s">
        <v>213</v>
      </c>
      <c r="S5757" s="297" t="s">
        <v>214</v>
      </c>
    </row>
    <row r="5758" spans="1:19" x14ac:dyDescent="0.4">
      <c r="A5758" s="548"/>
      <c r="B5758" s="292"/>
      <c r="C5758" s="292"/>
      <c r="D5758" s="292"/>
      <c r="E5758" s="549"/>
      <c r="F5758" s="549"/>
      <c r="G5758" s="550"/>
      <c r="H5758" s="551"/>
      <c r="I5758" s="552"/>
      <c r="J5758" s="553"/>
      <c r="K5758" s="554"/>
      <c r="M5758" s="301" t="str">
        <f>N5758&amp;AS[[#This Row],[Insurer Code]]&amp;"; "&amp;O5758&amp;AS[[#This Row],[Reporting Year]]&amp;"; "&amp;P5758&amp;AS[[#This Row],[Insurance Category Code]]&amp;"; "&amp;Q5758&amp;AS[[#This Row],[Large Provider Entity Code]]&amp;"; "&amp;R5758&amp;AS[[#This Row],[Age Band Code]]&amp;"; "&amp;S5758&amp;AS[[#This Row],[Sex Code]]</f>
        <v xml:space="preserve">Insurer Code ; Reporting Year ; Insurance Category Code ; Large Provider Entity Code ; Age Band Code ; Sex Code </v>
      </c>
      <c r="N5758" s="297" t="s">
        <v>197</v>
      </c>
      <c r="O5758" s="297" t="s">
        <v>198</v>
      </c>
      <c r="P5758" s="297" t="s">
        <v>199</v>
      </c>
      <c r="Q5758" s="297" t="s">
        <v>200</v>
      </c>
      <c r="R5758" s="297" t="s">
        <v>213</v>
      </c>
      <c r="S5758" s="297" t="s">
        <v>214</v>
      </c>
    </row>
    <row r="5759" spans="1:19" x14ac:dyDescent="0.4">
      <c r="A5759" s="548"/>
      <c r="B5759" s="292"/>
      <c r="C5759" s="292"/>
      <c r="D5759" s="292"/>
      <c r="E5759" s="549"/>
      <c r="F5759" s="549"/>
      <c r="G5759" s="550"/>
      <c r="H5759" s="551"/>
      <c r="I5759" s="552"/>
      <c r="J5759" s="553"/>
      <c r="K5759" s="554"/>
      <c r="M5759" s="301" t="str">
        <f>N5759&amp;AS[[#This Row],[Insurer Code]]&amp;"; "&amp;O5759&amp;AS[[#This Row],[Reporting Year]]&amp;"; "&amp;P5759&amp;AS[[#This Row],[Insurance Category Code]]&amp;"; "&amp;Q5759&amp;AS[[#This Row],[Large Provider Entity Code]]&amp;"; "&amp;R5759&amp;AS[[#This Row],[Age Band Code]]&amp;"; "&amp;S5759&amp;AS[[#This Row],[Sex Code]]</f>
        <v xml:space="preserve">Insurer Code ; Reporting Year ; Insurance Category Code ; Large Provider Entity Code ; Age Band Code ; Sex Code </v>
      </c>
      <c r="N5759" s="297" t="s">
        <v>197</v>
      </c>
      <c r="O5759" s="297" t="s">
        <v>198</v>
      </c>
      <c r="P5759" s="297" t="s">
        <v>199</v>
      </c>
      <c r="Q5759" s="297" t="s">
        <v>200</v>
      </c>
      <c r="R5759" s="297" t="s">
        <v>213</v>
      </c>
      <c r="S5759" s="297" t="s">
        <v>214</v>
      </c>
    </row>
    <row r="5760" spans="1:19" x14ac:dyDescent="0.4">
      <c r="A5760" s="548"/>
      <c r="B5760" s="292"/>
      <c r="C5760" s="292"/>
      <c r="D5760" s="292"/>
      <c r="E5760" s="549"/>
      <c r="F5760" s="549"/>
      <c r="G5760" s="550"/>
      <c r="H5760" s="551"/>
      <c r="I5760" s="552"/>
      <c r="J5760" s="553"/>
      <c r="K5760" s="554"/>
      <c r="M5760" s="301" t="str">
        <f>N5760&amp;AS[[#This Row],[Insurer Code]]&amp;"; "&amp;O5760&amp;AS[[#This Row],[Reporting Year]]&amp;"; "&amp;P5760&amp;AS[[#This Row],[Insurance Category Code]]&amp;"; "&amp;Q5760&amp;AS[[#This Row],[Large Provider Entity Code]]&amp;"; "&amp;R5760&amp;AS[[#This Row],[Age Band Code]]&amp;"; "&amp;S5760&amp;AS[[#This Row],[Sex Code]]</f>
        <v xml:space="preserve">Insurer Code ; Reporting Year ; Insurance Category Code ; Large Provider Entity Code ; Age Band Code ; Sex Code </v>
      </c>
      <c r="N5760" s="297" t="s">
        <v>197</v>
      </c>
      <c r="O5760" s="297" t="s">
        <v>198</v>
      </c>
      <c r="P5760" s="297" t="s">
        <v>199</v>
      </c>
      <c r="Q5760" s="297" t="s">
        <v>200</v>
      </c>
      <c r="R5760" s="297" t="s">
        <v>213</v>
      </c>
      <c r="S5760" s="297" t="s">
        <v>214</v>
      </c>
    </row>
    <row r="5761" spans="1:19" x14ac:dyDescent="0.4">
      <c r="A5761" s="548"/>
      <c r="B5761" s="292"/>
      <c r="C5761" s="292"/>
      <c r="D5761" s="292"/>
      <c r="E5761" s="549"/>
      <c r="F5761" s="549"/>
      <c r="G5761" s="550"/>
      <c r="H5761" s="551"/>
      <c r="I5761" s="552"/>
      <c r="J5761" s="553"/>
      <c r="K5761" s="554"/>
      <c r="M5761" s="301" t="str">
        <f>N5761&amp;AS[[#This Row],[Insurer Code]]&amp;"; "&amp;O5761&amp;AS[[#This Row],[Reporting Year]]&amp;"; "&amp;P5761&amp;AS[[#This Row],[Insurance Category Code]]&amp;"; "&amp;Q5761&amp;AS[[#This Row],[Large Provider Entity Code]]&amp;"; "&amp;R5761&amp;AS[[#This Row],[Age Band Code]]&amp;"; "&amp;S5761&amp;AS[[#This Row],[Sex Code]]</f>
        <v xml:space="preserve">Insurer Code ; Reporting Year ; Insurance Category Code ; Large Provider Entity Code ; Age Band Code ; Sex Code </v>
      </c>
      <c r="N5761" s="297" t="s">
        <v>197</v>
      </c>
      <c r="O5761" s="297" t="s">
        <v>198</v>
      </c>
      <c r="P5761" s="297" t="s">
        <v>199</v>
      </c>
      <c r="Q5761" s="297" t="s">
        <v>200</v>
      </c>
      <c r="R5761" s="297" t="s">
        <v>213</v>
      </c>
      <c r="S5761" s="297" t="s">
        <v>214</v>
      </c>
    </row>
    <row r="5762" spans="1:19" x14ac:dyDescent="0.4">
      <c r="A5762" s="548"/>
      <c r="B5762" s="292"/>
      <c r="C5762" s="292"/>
      <c r="D5762" s="292"/>
      <c r="E5762" s="549"/>
      <c r="F5762" s="549"/>
      <c r="G5762" s="550"/>
      <c r="H5762" s="551"/>
      <c r="I5762" s="552"/>
      <c r="J5762" s="553"/>
      <c r="K5762" s="554"/>
      <c r="M5762" s="301" t="str">
        <f>N5762&amp;AS[[#This Row],[Insurer Code]]&amp;"; "&amp;O5762&amp;AS[[#This Row],[Reporting Year]]&amp;"; "&amp;P5762&amp;AS[[#This Row],[Insurance Category Code]]&amp;"; "&amp;Q5762&amp;AS[[#This Row],[Large Provider Entity Code]]&amp;"; "&amp;R5762&amp;AS[[#This Row],[Age Band Code]]&amp;"; "&amp;S5762&amp;AS[[#This Row],[Sex Code]]</f>
        <v xml:space="preserve">Insurer Code ; Reporting Year ; Insurance Category Code ; Large Provider Entity Code ; Age Band Code ; Sex Code </v>
      </c>
      <c r="N5762" s="297" t="s">
        <v>197</v>
      </c>
      <c r="O5762" s="297" t="s">
        <v>198</v>
      </c>
      <c r="P5762" s="297" t="s">
        <v>199</v>
      </c>
      <c r="Q5762" s="297" t="s">
        <v>200</v>
      </c>
      <c r="R5762" s="297" t="s">
        <v>213</v>
      </c>
      <c r="S5762" s="297" t="s">
        <v>214</v>
      </c>
    </row>
    <row r="5763" spans="1:19" x14ac:dyDescent="0.4">
      <c r="A5763" s="548"/>
      <c r="B5763" s="292"/>
      <c r="C5763" s="292"/>
      <c r="D5763" s="292"/>
      <c r="E5763" s="549"/>
      <c r="F5763" s="549"/>
      <c r="G5763" s="550"/>
      <c r="H5763" s="551"/>
      <c r="I5763" s="552"/>
      <c r="J5763" s="553"/>
      <c r="K5763" s="554"/>
      <c r="M5763" s="301" t="str">
        <f>N5763&amp;AS[[#This Row],[Insurer Code]]&amp;"; "&amp;O5763&amp;AS[[#This Row],[Reporting Year]]&amp;"; "&amp;P5763&amp;AS[[#This Row],[Insurance Category Code]]&amp;"; "&amp;Q5763&amp;AS[[#This Row],[Large Provider Entity Code]]&amp;"; "&amp;R5763&amp;AS[[#This Row],[Age Band Code]]&amp;"; "&amp;S5763&amp;AS[[#This Row],[Sex Code]]</f>
        <v xml:space="preserve">Insurer Code ; Reporting Year ; Insurance Category Code ; Large Provider Entity Code ; Age Band Code ; Sex Code </v>
      </c>
      <c r="N5763" s="297" t="s">
        <v>197</v>
      </c>
      <c r="O5763" s="297" t="s">
        <v>198</v>
      </c>
      <c r="P5763" s="297" t="s">
        <v>199</v>
      </c>
      <c r="Q5763" s="297" t="s">
        <v>200</v>
      </c>
      <c r="R5763" s="297" t="s">
        <v>213</v>
      </c>
      <c r="S5763" s="297" t="s">
        <v>214</v>
      </c>
    </row>
    <row r="5764" spans="1:19" x14ac:dyDescent="0.4">
      <c r="A5764" s="548"/>
      <c r="B5764" s="292"/>
      <c r="C5764" s="292"/>
      <c r="D5764" s="292"/>
      <c r="E5764" s="549"/>
      <c r="F5764" s="549"/>
      <c r="G5764" s="550"/>
      <c r="H5764" s="551"/>
      <c r="I5764" s="552"/>
      <c r="J5764" s="553"/>
      <c r="K5764" s="554"/>
      <c r="M5764" s="301" t="str">
        <f>N5764&amp;AS[[#This Row],[Insurer Code]]&amp;"; "&amp;O5764&amp;AS[[#This Row],[Reporting Year]]&amp;"; "&amp;P5764&amp;AS[[#This Row],[Insurance Category Code]]&amp;"; "&amp;Q5764&amp;AS[[#This Row],[Large Provider Entity Code]]&amp;"; "&amp;R5764&amp;AS[[#This Row],[Age Band Code]]&amp;"; "&amp;S5764&amp;AS[[#This Row],[Sex Code]]</f>
        <v xml:space="preserve">Insurer Code ; Reporting Year ; Insurance Category Code ; Large Provider Entity Code ; Age Band Code ; Sex Code </v>
      </c>
      <c r="N5764" s="297" t="s">
        <v>197</v>
      </c>
      <c r="O5764" s="297" t="s">
        <v>198</v>
      </c>
      <c r="P5764" s="297" t="s">
        <v>199</v>
      </c>
      <c r="Q5764" s="297" t="s">
        <v>200</v>
      </c>
      <c r="R5764" s="297" t="s">
        <v>213</v>
      </c>
      <c r="S5764" s="297" t="s">
        <v>214</v>
      </c>
    </row>
    <row r="5765" spans="1:19" x14ac:dyDescent="0.4">
      <c r="A5765" s="548"/>
      <c r="B5765" s="292"/>
      <c r="C5765" s="292"/>
      <c r="D5765" s="292"/>
      <c r="E5765" s="549"/>
      <c r="F5765" s="549"/>
      <c r="G5765" s="550"/>
      <c r="H5765" s="551"/>
      <c r="I5765" s="552"/>
      <c r="J5765" s="553"/>
      <c r="K5765" s="554"/>
      <c r="M5765" s="301" t="str">
        <f>N5765&amp;AS[[#This Row],[Insurer Code]]&amp;"; "&amp;O5765&amp;AS[[#This Row],[Reporting Year]]&amp;"; "&amp;P5765&amp;AS[[#This Row],[Insurance Category Code]]&amp;"; "&amp;Q5765&amp;AS[[#This Row],[Large Provider Entity Code]]&amp;"; "&amp;R5765&amp;AS[[#This Row],[Age Band Code]]&amp;"; "&amp;S5765&amp;AS[[#This Row],[Sex Code]]</f>
        <v xml:space="preserve">Insurer Code ; Reporting Year ; Insurance Category Code ; Large Provider Entity Code ; Age Band Code ; Sex Code </v>
      </c>
      <c r="N5765" s="297" t="s">
        <v>197</v>
      </c>
      <c r="O5765" s="297" t="s">
        <v>198</v>
      </c>
      <c r="P5765" s="297" t="s">
        <v>199</v>
      </c>
      <c r="Q5765" s="297" t="s">
        <v>200</v>
      </c>
      <c r="R5765" s="297" t="s">
        <v>213</v>
      </c>
      <c r="S5765" s="297" t="s">
        <v>214</v>
      </c>
    </row>
    <row r="5766" spans="1:19" x14ac:dyDescent="0.4">
      <c r="A5766" s="548"/>
      <c r="B5766" s="292"/>
      <c r="C5766" s="292"/>
      <c r="D5766" s="292"/>
      <c r="E5766" s="549"/>
      <c r="F5766" s="549"/>
      <c r="G5766" s="550"/>
      <c r="H5766" s="551"/>
      <c r="I5766" s="552"/>
      <c r="J5766" s="553"/>
      <c r="K5766" s="554"/>
      <c r="M5766" s="301" t="str">
        <f>N5766&amp;AS[[#This Row],[Insurer Code]]&amp;"; "&amp;O5766&amp;AS[[#This Row],[Reporting Year]]&amp;"; "&amp;P5766&amp;AS[[#This Row],[Insurance Category Code]]&amp;"; "&amp;Q5766&amp;AS[[#This Row],[Large Provider Entity Code]]&amp;"; "&amp;R5766&amp;AS[[#This Row],[Age Band Code]]&amp;"; "&amp;S5766&amp;AS[[#This Row],[Sex Code]]</f>
        <v xml:space="preserve">Insurer Code ; Reporting Year ; Insurance Category Code ; Large Provider Entity Code ; Age Band Code ; Sex Code </v>
      </c>
      <c r="N5766" s="297" t="s">
        <v>197</v>
      </c>
      <c r="O5766" s="297" t="s">
        <v>198</v>
      </c>
      <c r="P5766" s="297" t="s">
        <v>199</v>
      </c>
      <c r="Q5766" s="297" t="s">
        <v>200</v>
      </c>
      <c r="R5766" s="297" t="s">
        <v>213</v>
      </c>
      <c r="S5766" s="297" t="s">
        <v>214</v>
      </c>
    </row>
    <row r="5767" spans="1:19" x14ac:dyDescent="0.4">
      <c r="A5767" s="548"/>
      <c r="B5767" s="292"/>
      <c r="C5767" s="292"/>
      <c r="D5767" s="292"/>
      <c r="E5767" s="549"/>
      <c r="F5767" s="549"/>
      <c r="G5767" s="550"/>
      <c r="H5767" s="551"/>
      <c r="I5767" s="552"/>
      <c r="J5767" s="553"/>
      <c r="K5767" s="554"/>
      <c r="M5767" s="301" t="str">
        <f>N5767&amp;AS[[#This Row],[Insurer Code]]&amp;"; "&amp;O5767&amp;AS[[#This Row],[Reporting Year]]&amp;"; "&amp;P5767&amp;AS[[#This Row],[Insurance Category Code]]&amp;"; "&amp;Q5767&amp;AS[[#This Row],[Large Provider Entity Code]]&amp;"; "&amp;R5767&amp;AS[[#This Row],[Age Band Code]]&amp;"; "&amp;S5767&amp;AS[[#This Row],[Sex Code]]</f>
        <v xml:space="preserve">Insurer Code ; Reporting Year ; Insurance Category Code ; Large Provider Entity Code ; Age Band Code ; Sex Code </v>
      </c>
      <c r="N5767" s="297" t="s">
        <v>197</v>
      </c>
      <c r="O5767" s="297" t="s">
        <v>198</v>
      </c>
      <c r="P5767" s="297" t="s">
        <v>199</v>
      </c>
      <c r="Q5767" s="297" t="s">
        <v>200</v>
      </c>
      <c r="R5767" s="297" t="s">
        <v>213</v>
      </c>
      <c r="S5767" s="297" t="s">
        <v>214</v>
      </c>
    </row>
    <row r="5768" spans="1:19" x14ac:dyDescent="0.4">
      <c r="A5768" s="548"/>
      <c r="B5768" s="292"/>
      <c r="C5768" s="292"/>
      <c r="D5768" s="292"/>
      <c r="E5768" s="549"/>
      <c r="F5768" s="549"/>
      <c r="G5768" s="550"/>
      <c r="H5768" s="551"/>
      <c r="I5768" s="552"/>
      <c r="J5768" s="553"/>
      <c r="K5768" s="554"/>
      <c r="M5768" s="301" t="str">
        <f>N5768&amp;AS[[#This Row],[Insurer Code]]&amp;"; "&amp;O5768&amp;AS[[#This Row],[Reporting Year]]&amp;"; "&amp;P5768&amp;AS[[#This Row],[Insurance Category Code]]&amp;"; "&amp;Q5768&amp;AS[[#This Row],[Large Provider Entity Code]]&amp;"; "&amp;R5768&amp;AS[[#This Row],[Age Band Code]]&amp;"; "&amp;S5768&amp;AS[[#This Row],[Sex Code]]</f>
        <v xml:space="preserve">Insurer Code ; Reporting Year ; Insurance Category Code ; Large Provider Entity Code ; Age Band Code ; Sex Code </v>
      </c>
      <c r="N5768" s="297" t="s">
        <v>197</v>
      </c>
      <c r="O5768" s="297" t="s">
        <v>198</v>
      </c>
      <c r="P5768" s="297" t="s">
        <v>199</v>
      </c>
      <c r="Q5768" s="297" t="s">
        <v>200</v>
      </c>
      <c r="R5768" s="297" t="s">
        <v>213</v>
      </c>
      <c r="S5768" s="297" t="s">
        <v>214</v>
      </c>
    </row>
    <row r="5769" spans="1:19" x14ac:dyDescent="0.4">
      <c r="A5769" s="548"/>
      <c r="B5769" s="292"/>
      <c r="C5769" s="292"/>
      <c r="D5769" s="292"/>
      <c r="E5769" s="549"/>
      <c r="F5769" s="549"/>
      <c r="G5769" s="550"/>
      <c r="H5769" s="551"/>
      <c r="I5769" s="552"/>
      <c r="J5769" s="553"/>
      <c r="K5769" s="554"/>
      <c r="M5769" s="301" t="str">
        <f>N5769&amp;AS[[#This Row],[Insurer Code]]&amp;"; "&amp;O5769&amp;AS[[#This Row],[Reporting Year]]&amp;"; "&amp;P5769&amp;AS[[#This Row],[Insurance Category Code]]&amp;"; "&amp;Q5769&amp;AS[[#This Row],[Large Provider Entity Code]]&amp;"; "&amp;R5769&amp;AS[[#This Row],[Age Band Code]]&amp;"; "&amp;S5769&amp;AS[[#This Row],[Sex Code]]</f>
        <v xml:space="preserve">Insurer Code ; Reporting Year ; Insurance Category Code ; Large Provider Entity Code ; Age Band Code ; Sex Code </v>
      </c>
      <c r="N5769" s="297" t="s">
        <v>197</v>
      </c>
      <c r="O5769" s="297" t="s">
        <v>198</v>
      </c>
      <c r="P5769" s="297" t="s">
        <v>199</v>
      </c>
      <c r="Q5769" s="297" t="s">
        <v>200</v>
      </c>
      <c r="R5769" s="297" t="s">
        <v>213</v>
      </c>
      <c r="S5769" s="297" t="s">
        <v>214</v>
      </c>
    </row>
    <row r="5770" spans="1:19" x14ac:dyDescent="0.4">
      <c r="A5770" s="548"/>
      <c r="B5770" s="292"/>
      <c r="C5770" s="292"/>
      <c r="D5770" s="292"/>
      <c r="E5770" s="549"/>
      <c r="F5770" s="549"/>
      <c r="G5770" s="550"/>
      <c r="H5770" s="551"/>
      <c r="I5770" s="552"/>
      <c r="J5770" s="553"/>
      <c r="K5770" s="554"/>
      <c r="M5770" s="301" t="str">
        <f>N5770&amp;AS[[#This Row],[Insurer Code]]&amp;"; "&amp;O5770&amp;AS[[#This Row],[Reporting Year]]&amp;"; "&amp;P5770&amp;AS[[#This Row],[Insurance Category Code]]&amp;"; "&amp;Q5770&amp;AS[[#This Row],[Large Provider Entity Code]]&amp;"; "&amp;R5770&amp;AS[[#This Row],[Age Band Code]]&amp;"; "&amp;S5770&amp;AS[[#This Row],[Sex Code]]</f>
        <v xml:space="preserve">Insurer Code ; Reporting Year ; Insurance Category Code ; Large Provider Entity Code ; Age Band Code ; Sex Code </v>
      </c>
      <c r="N5770" s="297" t="s">
        <v>197</v>
      </c>
      <c r="O5770" s="297" t="s">
        <v>198</v>
      </c>
      <c r="P5770" s="297" t="s">
        <v>199</v>
      </c>
      <c r="Q5770" s="297" t="s">
        <v>200</v>
      </c>
      <c r="R5770" s="297" t="s">
        <v>213</v>
      </c>
      <c r="S5770" s="297" t="s">
        <v>214</v>
      </c>
    </row>
    <row r="5771" spans="1:19" x14ac:dyDescent="0.4">
      <c r="A5771" s="548"/>
      <c r="B5771" s="292"/>
      <c r="C5771" s="292"/>
      <c r="D5771" s="292"/>
      <c r="E5771" s="549"/>
      <c r="F5771" s="549"/>
      <c r="G5771" s="550"/>
      <c r="H5771" s="551"/>
      <c r="I5771" s="552"/>
      <c r="J5771" s="553"/>
      <c r="K5771" s="554"/>
      <c r="M5771" s="301" t="str">
        <f>N5771&amp;AS[[#This Row],[Insurer Code]]&amp;"; "&amp;O5771&amp;AS[[#This Row],[Reporting Year]]&amp;"; "&amp;P5771&amp;AS[[#This Row],[Insurance Category Code]]&amp;"; "&amp;Q5771&amp;AS[[#This Row],[Large Provider Entity Code]]&amp;"; "&amp;R5771&amp;AS[[#This Row],[Age Band Code]]&amp;"; "&amp;S5771&amp;AS[[#This Row],[Sex Code]]</f>
        <v xml:space="preserve">Insurer Code ; Reporting Year ; Insurance Category Code ; Large Provider Entity Code ; Age Band Code ; Sex Code </v>
      </c>
      <c r="N5771" s="297" t="s">
        <v>197</v>
      </c>
      <c r="O5771" s="297" t="s">
        <v>198</v>
      </c>
      <c r="P5771" s="297" t="s">
        <v>199</v>
      </c>
      <c r="Q5771" s="297" t="s">
        <v>200</v>
      </c>
      <c r="R5771" s="297" t="s">
        <v>213</v>
      </c>
      <c r="S5771" s="297" t="s">
        <v>214</v>
      </c>
    </row>
    <row r="5772" spans="1:19" x14ac:dyDescent="0.4">
      <c r="A5772" s="548"/>
      <c r="B5772" s="292"/>
      <c r="C5772" s="292"/>
      <c r="D5772" s="292"/>
      <c r="E5772" s="549"/>
      <c r="F5772" s="549"/>
      <c r="G5772" s="550"/>
      <c r="H5772" s="551"/>
      <c r="I5772" s="552"/>
      <c r="J5772" s="553"/>
      <c r="K5772" s="554"/>
      <c r="M5772" s="301" t="str">
        <f>N5772&amp;AS[[#This Row],[Insurer Code]]&amp;"; "&amp;O5772&amp;AS[[#This Row],[Reporting Year]]&amp;"; "&amp;P5772&amp;AS[[#This Row],[Insurance Category Code]]&amp;"; "&amp;Q5772&amp;AS[[#This Row],[Large Provider Entity Code]]&amp;"; "&amp;R5772&amp;AS[[#This Row],[Age Band Code]]&amp;"; "&amp;S5772&amp;AS[[#This Row],[Sex Code]]</f>
        <v xml:space="preserve">Insurer Code ; Reporting Year ; Insurance Category Code ; Large Provider Entity Code ; Age Band Code ; Sex Code </v>
      </c>
      <c r="N5772" s="297" t="s">
        <v>197</v>
      </c>
      <c r="O5772" s="297" t="s">
        <v>198</v>
      </c>
      <c r="P5772" s="297" t="s">
        <v>199</v>
      </c>
      <c r="Q5772" s="297" t="s">
        <v>200</v>
      </c>
      <c r="R5772" s="297" t="s">
        <v>213</v>
      </c>
      <c r="S5772" s="297" t="s">
        <v>214</v>
      </c>
    </row>
    <row r="5773" spans="1:19" x14ac:dyDescent="0.4">
      <c r="A5773" s="548"/>
      <c r="B5773" s="292"/>
      <c r="C5773" s="292"/>
      <c r="D5773" s="292"/>
      <c r="E5773" s="549"/>
      <c r="F5773" s="549"/>
      <c r="G5773" s="550"/>
      <c r="H5773" s="551"/>
      <c r="I5773" s="552"/>
      <c r="J5773" s="553"/>
      <c r="K5773" s="554"/>
      <c r="M5773" s="301" t="str">
        <f>N5773&amp;AS[[#This Row],[Insurer Code]]&amp;"; "&amp;O5773&amp;AS[[#This Row],[Reporting Year]]&amp;"; "&amp;P5773&amp;AS[[#This Row],[Insurance Category Code]]&amp;"; "&amp;Q5773&amp;AS[[#This Row],[Large Provider Entity Code]]&amp;"; "&amp;R5773&amp;AS[[#This Row],[Age Band Code]]&amp;"; "&amp;S5773&amp;AS[[#This Row],[Sex Code]]</f>
        <v xml:space="preserve">Insurer Code ; Reporting Year ; Insurance Category Code ; Large Provider Entity Code ; Age Band Code ; Sex Code </v>
      </c>
      <c r="N5773" s="297" t="s">
        <v>197</v>
      </c>
      <c r="O5773" s="297" t="s">
        <v>198</v>
      </c>
      <c r="P5773" s="297" t="s">
        <v>199</v>
      </c>
      <c r="Q5773" s="297" t="s">
        <v>200</v>
      </c>
      <c r="R5773" s="297" t="s">
        <v>213</v>
      </c>
      <c r="S5773" s="297" t="s">
        <v>214</v>
      </c>
    </row>
    <row r="5774" spans="1:19" x14ac:dyDescent="0.4">
      <c r="A5774" s="548"/>
      <c r="B5774" s="292"/>
      <c r="C5774" s="292"/>
      <c r="D5774" s="292"/>
      <c r="E5774" s="549"/>
      <c r="F5774" s="549"/>
      <c r="G5774" s="550"/>
      <c r="H5774" s="551"/>
      <c r="I5774" s="552"/>
      <c r="J5774" s="553"/>
      <c r="K5774" s="554"/>
      <c r="M5774" s="301" t="str">
        <f>N5774&amp;AS[[#This Row],[Insurer Code]]&amp;"; "&amp;O5774&amp;AS[[#This Row],[Reporting Year]]&amp;"; "&amp;P5774&amp;AS[[#This Row],[Insurance Category Code]]&amp;"; "&amp;Q5774&amp;AS[[#This Row],[Large Provider Entity Code]]&amp;"; "&amp;R5774&amp;AS[[#This Row],[Age Band Code]]&amp;"; "&amp;S5774&amp;AS[[#This Row],[Sex Code]]</f>
        <v xml:space="preserve">Insurer Code ; Reporting Year ; Insurance Category Code ; Large Provider Entity Code ; Age Band Code ; Sex Code </v>
      </c>
      <c r="N5774" s="297" t="s">
        <v>197</v>
      </c>
      <c r="O5774" s="297" t="s">
        <v>198</v>
      </c>
      <c r="P5774" s="297" t="s">
        <v>199</v>
      </c>
      <c r="Q5774" s="297" t="s">
        <v>200</v>
      </c>
      <c r="R5774" s="297" t="s">
        <v>213</v>
      </c>
      <c r="S5774" s="297" t="s">
        <v>214</v>
      </c>
    </row>
    <row r="5775" spans="1:19" x14ac:dyDescent="0.4">
      <c r="A5775" s="548"/>
      <c r="B5775" s="292"/>
      <c r="C5775" s="292"/>
      <c r="D5775" s="292"/>
      <c r="E5775" s="549"/>
      <c r="F5775" s="549"/>
      <c r="G5775" s="550"/>
      <c r="H5775" s="551"/>
      <c r="I5775" s="552"/>
      <c r="J5775" s="553"/>
      <c r="K5775" s="554"/>
      <c r="M5775" s="301" t="str">
        <f>N5775&amp;AS[[#This Row],[Insurer Code]]&amp;"; "&amp;O5775&amp;AS[[#This Row],[Reporting Year]]&amp;"; "&amp;P5775&amp;AS[[#This Row],[Insurance Category Code]]&amp;"; "&amp;Q5775&amp;AS[[#This Row],[Large Provider Entity Code]]&amp;"; "&amp;R5775&amp;AS[[#This Row],[Age Band Code]]&amp;"; "&amp;S5775&amp;AS[[#This Row],[Sex Code]]</f>
        <v xml:space="preserve">Insurer Code ; Reporting Year ; Insurance Category Code ; Large Provider Entity Code ; Age Band Code ; Sex Code </v>
      </c>
      <c r="N5775" s="297" t="s">
        <v>197</v>
      </c>
      <c r="O5775" s="297" t="s">
        <v>198</v>
      </c>
      <c r="P5775" s="297" t="s">
        <v>199</v>
      </c>
      <c r="Q5775" s="297" t="s">
        <v>200</v>
      </c>
      <c r="R5775" s="297" t="s">
        <v>213</v>
      </c>
      <c r="S5775" s="297" t="s">
        <v>214</v>
      </c>
    </row>
    <row r="5776" spans="1:19" x14ac:dyDescent="0.4">
      <c r="A5776" s="548"/>
      <c r="B5776" s="292"/>
      <c r="C5776" s="292"/>
      <c r="D5776" s="292"/>
      <c r="E5776" s="549"/>
      <c r="F5776" s="549"/>
      <c r="G5776" s="550"/>
      <c r="H5776" s="551"/>
      <c r="I5776" s="552"/>
      <c r="J5776" s="553"/>
      <c r="K5776" s="554"/>
      <c r="M5776" s="301" t="str">
        <f>N5776&amp;AS[[#This Row],[Insurer Code]]&amp;"; "&amp;O5776&amp;AS[[#This Row],[Reporting Year]]&amp;"; "&amp;P5776&amp;AS[[#This Row],[Insurance Category Code]]&amp;"; "&amp;Q5776&amp;AS[[#This Row],[Large Provider Entity Code]]&amp;"; "&amp;R5776&amp;AS[[#This Row],[Age Band Code]]&amp;"; "&amp;S5776&amp;AS[[#This Row],[Sex Code]]</f>
        <v xml:space="preserve">Insurer Code ; Reporting Year ; Insurance Category Code ; Large Provider Entity Code ; Age Band Code ; Sex Code </v>
      </c>
      <c r="N5776" s="297" t="s">
        <v>197</v>
      </c>
      <c r="O5776" s="297" t="s">
        <v>198</v>
      </c>
      <c r="P5776" s="297" t="s">
        <v>199</v>
      </c>
      <c r="Q5776" s="297" t="s">
        <v>200</v>
      </c>
      <c r="R5776" s="297" t="s">
        <v>213</v>
      </c>
      <c r="S5776" s="297" t="s">
        <v>214</v>
      </c>
    </row>
    <row r="5777" spans="1:19" x14ac:dyDescent="0.4">
      <c r="A5777" s="548"/>
      <c r="B5777" s="292"/>
      <c r="C5777" s="292"/>
      <c r="D5777" s="292"/>
      <c r="E5777" s="549"/>
      <c r="F5777" s="549"/>
      <c r="G5777" s="550"/>
      <c r="H5777" s="551"/>
      <c r="I5777" s="552"/>
      <c r="J5777" s="553"/>
      <c r="K5777" s="554"/>
      <c r="M5777" s="301" t="str">
        <f>N5777&amp;AS[[#This Row],[Insurer Code]]&amp;"; "&amp;O5777&amp;AS[[#This Row],[Reporting Year]]&amp;"; "&amp;P5777&amp;AS[[#This Row],[Insurance Category Code]]&amp;"; "&amp;Q5777&amp;AS[[#This Row],[Large Provider Entity Code]]&amp;"; "&amp;R5777&amp;AS[[#This Row],[Age Band Code]]&amp;"; "&amp;S5777&amp;AS[[#This Row],[Sex Code]]</f>
        <v xml:space="preserve">Insurer Code ; Reporting Year ; Insurance Category Code ; Large Provider Entity Code ; Age Band Code ; Sex Code </v>
      </c>
      <c r="N5777" s="297" t="s">
        <v>197</v>
      </c>
      <c r="O5777" s="297" t="s">
        <v>198</v>
      </c>
      <c r="P5777" s="297" t="s">
        <v>199</v>
      </c>
      <c r="Q5777" s="297" t="s">
        <v>200</v>
      </c>
      <c r="R5777" s="297" t="s">
        <v>213</v>
      </c>
      <c r="S5777" s="297" t="s">
        <v>214</v>
      </c>
    </row>
    <row r="5778" spans="1:19" x14ac:dyDescent="0.4">
      <c r="A5778" s="548"/>
      <c r="B5778" s="292"/>
      <c r="C5778" s="292"/>
      <c r="D5778" s="292"/>
      <c r="E5778" s="549"/>
      <c r="F5778" s="549"/>
      <c r="G5778" s="550"/>
      <c r="H5778" s="551"/>
      <c r="I5778" s="552"/>
      <c r="J5778" s="553"/>
      <c r="K5778" s="554"/>
      <c r="M5778" s="301" t="str">
        <f>N5778&amp;AS[[#This Row],[Insurer Code]]&amp;"; "&amp;O5778&amp;AS[[#This Row],[Reporting Year]]&amp;"; "&amp;P5778&amp;AS[[#This Row],[Insurance Category Code]]&amp;"; "&amp;Q5778&amp;AS[[#This Row],[Large Provider Entity Code]]&amp;"; "&amp;R5778&amp;AS[[#This Row],[Age Band Code]]&amp;"; "&amp;S5778&amp;AS[[#This Row],[Sex Code]]</f>
        <v xml:space="preserve">Insurer Code ; Reporting Year ; Insurance Category Code ; Large Provider Entity Code ; Age Band Code ; Sex Code </v>
      </c>
      <c r="N5778" s="297" t="s">
        <v>197</v>
      </c>
      <c r="O5778" s="297" t="s">
        <v>198</v>
      </c>
      <c r="P5778" s="297" t="s">
        <v>199</v>
      </c>
      <c r="Q5778" s="297" t="s">
        <v>200</v>
      </c>
      <c r="R5778" s="297" t="s">
        <v>213</v>
      </c>
      <c r="S5778" s="297" t="s">
        <v>214</v>
      </c>
    </row>
    <row r="5779" spans="1:19" x14ac:dyDescent="0.4">
      <c r="A5779" s="548"/>
      <c r="B5779" s="292"/>
      <c r="C5779" s="292"/>
      <c r="D5779" s="292"/>
      <c r="E5779" s="549"/>
      <c r="F5779" s="549"/>
      <c r="G5779" s="550"/>
      <c r="H5779" s="551"/>
      <c r="I5779" s="552"/>
      <c r="J5779" s="553"/>
      <c r="K5779" s="554"/>
      <c r="M5779" s="301" t="str">
        <f>N5779&amp;AS[[#This Row],[Insurer Code]]&amp;"; "&amp;O5779&amp;AS[[#This Row],[Reporting Year]]&amp;"; "&amp;P5779&amp;AS[[#This Row],[Insurance Category Code]]&amp;"; "&amp;Q5779&amp;AS[[#This Row],[Large Provider Entity Code]]&amp;"; "&amp;R5779&amp;AS[[#This Row],[Age Band Code]]&amp;"; "&amp;S5779&amp;AS[[#This Row],[Sex Code]]</f>
        <v xml:space="preserve">Insurer Code ; Reporting Year ; Insurance Category Code ; Large Provider Entity Code ; Age Band Code ; Sex Code </v>
      </c>
      <c r="N5779" s="297" t="s">
        <v>197</v>
      </c>
      <c r="O5779" s="297" t="s">
        <v>198</v>
      </c>
      <c r="P5779" s="297" t="s">
        <v>199</v>
      </c>
      <c r="Q5779" s="297" t="s">
        <v>200</v>
      </c>
      <c r="R5779" s="297" t="s">
        <v>213</v>
      </c>
      <c r="S5779" s="297" t="s">
        <v>214</v>
      </c>
    </row>
    <row r="5780" spans="1:19" x14ac:dyDescent="0.4">
      <c r="A5780" s="548"/>
      <c r="B5780" s="292"/>
      <c r="C5780" s="292"/>
      <c r="D5780" s="292"/>
      <c r="E5780" s="549"/>
      <c r="F5780" s="549"/>
      <c r="G5780" s="550"/>
      <c r="H5780" s="551"/>
      <c r="I5780" s="552"/>
      <c r="J5780" s="553"/>
      <c r="K5780" s="554"/>
      <c r="M5780" s="301" t="str">
        <f>N5780&amp;AS[[#This Row],[Insurer Code]]&amp;"; "&amp;O5780&amp;AS[[#This Row],[Reporting Year]]&amp;"; "&amp;P5780&amp;AS[[#This Row],[Insurance Category Code]]&amp;"; "&amp;Q5780&amp;AS[[#This Row],[Large Provider Entity Code]]&amp;"; "&amp;R5780&amp;AS[[#This Row],[Age Band Code]]&amp;"; "&amp;S5780&amp;AS[[#This Row],[Sex Code]]</f>
        <v xml:space="preserve">Insurer Code ; Reporting Year ; Insurance Category Code ; Large Provider Entity Code ; Age Band Code ; Sex Code </v>
      </c>
      <c r="N5780" s="297" t="s">
        <v>197</v>
      </c>
      <c r="O5780" s="297" t="s">
        <v>198</v>
      </c>
      <c r="P5780" s="297" t="s">
        <v>199</v>
      </c>
      <c r="Q5780" s="297" t="s">
        <v>200</v>
      </c>
      <c r="R5780" s="297" t="s">
        <v>213</v>
      </c>
      <c r="S5780" s="297" t="s">
        <v>214</v>
      </c>
    </row>
    <row r="5781" spans="1:19" x14ac:dyDescent="0.4">
      <c r="A5781" s="548"/>
      <c r="B5781" s="292"/>
      <c r="C5781" s="292"/>
      <c r="D5781" s="292"/>
      <c r="E5781" s="549"/>
      <c r="F5781" s="549"/>
      <c r="G5781" s="550"/>
      <c r="H5781" s="551"/>
      <c r="I5781" s="552"/>
      <c r="J5781" s="553"/>
      <c r="K5781" s="554"/>
      <c r="M5781" s="301" t="str">
        <f>N5781&amp;AS[[#This Row],[Insurer Code]]&amp;"; "&amp;O5781&amp;AS[[#This Row],[Reporting Year]]&amp;"; "&amp;P5781&amp;AS[[#This Row],[Insurance Category Code]]&amp;"; "&amp;Q5781&amp;AS[[#This Row],[Large Provider Entity Code]]&amp;"; "&amp;R5781&amp;AS[[#This Row],[Age Band Code]]&amp;"; "&amp;S5781&amp;AS[[#This Row],[Sex Code]]</f>
        <v xml:space="preserve">Insurer Code ; Reporting Year ; Insurance Category Code ; Large Provider Entity Code ; Age Band Code ; Sex Code </v>
      </c>
      <c r="N5781" s="297" t="s">
        <v>197</v>
      </c>
      <c r="O5781" s="297" t="s">
        <v>198</v>
      </c>
      <c r="P5781" s="297" t="s">
        <v>199</v>
      </c>
      <c r="Q5781" s="297" t="s">
        <v>200</v>
      </c>
      <c r="R5781" s="297" t="s">
        <v>213</v>
      </c>
      <c r="S5781" s="297" t="s">
        <v>214</v>
      </c>
    </row>
    <row r="5782" spans="1:19" x14ac:dyDescent="0.4">
      <c r="A5782" s="548"/>
      <c r="B5782" s="292"/>
      <c r="C5782" s="292"/>
      <c r="D5782" s="292"/>
      <c r="E5782" s="549"/>
      <c r="F5782" s="549"/>
      <c r="G5782" s="550"/>
      <c r="H5782" s="551"/>
      <c r="I5782" s="552"/>
      <c r="J5782" s="553"/>
      <c r="K5782" s="554"/>
      <c r="M5782" s="301" t="str">
        <f>N5782&amp;AS[[#This Row],[Insurer Code]]&amp;"; "&amp;O5782&amp;AS[[#This Row],[Reporting Year]]&amp;"; "&amp;P5782&amp;AS[[#This Row],[Insurance Category Code]]&amp;"; "&amp;Q5782&amp;AS[[#This Row],[Large Provider Entity Code]]&amp;"; "&amp;R5782&amp;AS[[#This Row],[Age Band Code]]&amp;"; "&amp;S5782&amp;AS[[#This Row],[Sex Code]]</f>
        <v xml:space="preserve">Insurer Code ; Reporting Year ; Insurance Category Code ; Large Provider Entity Code ; Age Band Code ; Sex Code </v>
      </c>
      <c r="N5782" s="297" t="s">
        <v>197</v>
      </c>
      <c r="O5782" s="297" t="s">
        <v>198</v>
      </c>
      <c r="P5782" s="297" t="s">
        <v>199</v>
      </c>
      <c r="Q5782" s="297" t="s">
        <v>200</v>
      </c>
      <c r="R5782" s="297" t="s">
        <v>213</v>
      </c>
      <c r="S5782" s="297" t="s">
        <v>214</v>
      </c>
    </row>
    <row r="5783" spans="1:19" x14ac:dyDescent="0.4">
      <c r="A5783" s="548"/>
      <c r="B5783" s="292"/>
      <c r="C5783" s="292"/>
      <c r="D5783" s="292"/>
      <c r="E5783" s="549"/>
      <c r="F5783" s="549"/>
      <c r="G5783" s="550"/>
      <c r="H5783" s="551"/>
      <c r="I5783" s="552"/>
      <c r="J5783" s="553"/>
      <c r="K5783" s="554"/>
      <c r="M5783" s="301" t="str">
        <f>N5783&amp;AS[[#This Row],[Insurer Code]]&amp;"; "&amp;O5783&amp;AS[[#This Row],[Reporting Year]]&amp;"; "&amp;P5783&amp;AS[[#This Row],[Insurance Category Code]]&amp;"; "&amp;Q5783&amp;AS[[#This Row],[Large Provider Entity Code]]&amp;"; "&amp;R5783&amp;AS[[#This Row],[Age Band Code]]&amp;"; "&amp;S5783&amp;AS[[#This Row],[Sex Code]]</f>
        <v xml:space="preserve">Insurer Code ; Reporting Year ; Insurance Category Code ; Large Provider Entity Code ; Age Band Code ; Sex Code </v>
      </c>
      <c r="N5783" s="297" t="s">
        <v>197</v>
      </c>
      <c r="O5783" s="297" t="s">
        <v>198</v>
      </c>
      <c r="P5783" s="297" t="s">
        <v>199</v>
      </c>
      <c r="Q5783" s="297" t="s">
        <v>200</v>
      </c>
      <c r="R5783" s="297" t="s">
        <v>213</v>
      </c>
      <c r="S5783" s="297" t="s">
        <v>214</v>
      </c>
    </row>
    <row r="5784" spans="1:19" x14ac:dyDescent="0.4">
      <c r="A5784" s="548"/>
      <c r="B5784" s="292"/>
      <c r="C5784" s="292"/>
      <c r="D5784" s="292"/>
      <c r="E5784" s="549"/>
      <c r="F5784" s="549"/>
      <c r="G5784" s="550"/>
      <c r="H5784" s="551"/>
      <c r="I5784" s="552"/>
      <c r="J5784" s="553"/>
      <c r="K5784" s="554"/>
      <c r="M5784" s="301" t="str">
        <f>N5784&amp;AS[[#This Row],[Insurer Code]]&amp;"; "&amp;O5784&amp;AS[[#This Row],[Reporting Year]]&amp;"; "&amp;P5784&amp;AS[[#This Row],[Insurance Category Code]]&amp;"; "&amp;Q5784&amp;AS[[#This Row],[Large Provider Entity Code]]&amp;"; "&amp;R5784&amp;AS[[#This Row],[Age Band Code]]&amp;"; "&amp;S5784&amp;AS[[#This Row],[Sex Code]]</f>
        <v xml:space="preserve">Insurer Code ; Reporting Year ; Insurance Category Code ; Large Provider Entity Code ; Age Band Code ; Sex Code </v>
      </c>
      <c r="N5784" s="297" t="s">
        <v>197</v>
      </c>
      <c r="O5784" s="297" t="s">
        <v>198</v>
      </c>
      <c r="P5784" s="297" t="s">
        <v>199</v>
      </c>
      <c r="Q5784" s="297" t="s">
        <v>200</v>
      </c>
      <c r="R5784" s="297" t="s">
        <v>213</v>
      </c>
      <c r="S5784" s="297" t="s">
        <v>214</v>
      </c>
    </row>
    <row r="5785" spans="1:19" x14ac:dyDescent="0.4">
      <c r="A5785" s="548"/>
      <c r="B5785" s="292"/>
      <c r="C5785" s="292"/>
      <c r="D5785" s="292"/>
      <c r="E5785" s="549"/>
      <c r="F5785" s="549"/>
      <c r="G5785" s="550"/>
      <c r="H5785" s="551"/>
      <c r="I5785" s="552"/>
      <c r="J5785" s="553"/>
      <c r="K5785" s="554"/>
      <c r="M5785" s="301" t="str">
        <f>N5785&amp;AS[[#This Row],[Insurer Code]]&amp;"; "&amp;O5785&amp;AS[[#This Row],[Reporting Year]]&amp;"; "&amp;P5785&amp;AS[[#This Row],[Insurance Category Code]]&amp;"; "&amp;Q5785&amp;AS[[#This Row],[Large Provider Entity Code]]&amp;"; "&amp;R5785&amp;AS[[#This Row],[Age Band Code]]&amp;"; "&amp;S5785&amp;AS[[#This Row],[Sex Code]]</f>
        <v xml:space="preserve">Insurer Code ; Reporting Year ; Insurance Category Code ; Large Provider Entity Code ; Age Band Code ; Sex Code </v>
      </c>
      <c r="N5785" s="297" t="s">
        <v>197</v>
      </c>
      <c r="O5785" s="297" t="s">
        <v>198</v>
      </c>
      <c r="P5785" s="297" t="s">
        <v>199</v>
      </c>
      <c r="Q5785" s="297" t="s">
        <v>200</v>
      </c>
      <c r="R5785" s="297" t="s">
        <v>213</v>
      </c>
      <c r="S5785" s="297" t="s">
        <v>214</v>
      </c>
    </row>
    <row r="5786" spans="1:19" x14ac:dyDescent="0.4">
      <c r="A5786" s="548"/>
      <c r="B5786" s="292"/>
      <c r="C5786" s="292"/>
      <c r="D5786" s="292"/>
      <c r="E5786" s="549"/>
      <c r="F5786" s="549"/>
      <c r="G5786" s="550"/>
      <c r="H5786" s="551"/>
      <c r="I5786" s="552"/>
      <c r="J5786" s="553"/>
      <c r="K5786" s="554"/>
      <c r="M5786" s="301" t="str">
        <f>N5786&amp;AS[[#This Row],[Insurer Code]]&amp;"; "&amp;O5786&amp;AS[[#This Row],[Reporting Year]]&amp;"; "&amp;P5786&amp;AS[[#This Row],[Insurance Category Code]]&amp;"; "&amp;Q5786&amp;AS[[#This Row],[Large Provider Entity Code]]&amp;"; "&amp;R5786&amp;AS[[#This Row],[Age Band Code]]&amp;"; "&amp;S5786&amp;AS[[#This Row],[Sex Code]]</f>
        <v xml:space="preserve">Insurer Code ; Reporting Year ; Insurance Category Code ; Large Provider Entity Code ; Age Band Code ; Sex Code </v>
      </c>
      <c r="N5786" s="297" t="s">
        <v>197</v>
      </c>
      <c r="O5786" s="297" t="s">
        <v>198</v>
      </c>
      <c r="P5786" s="297" t="s">
        <v>199</v>
      </c>
      <c r="Q5786" s="297" t="s">
        <v>200</v>
      </c>
      <c r="R5786" s="297" t="s">
        <v>213</v>
      </c>
      <c r="S5786" s="297" t="s">
        <v>214</v>
      </c>
    </row>
    <row r="5787" spans="1:19" x14ac:dyDescent="0.4">
      <c r="A5787" s="548"/>
      <c r="B5787" s="292"/>
      <c r="C5787" s="292"/>
      <c r="D5787" s="292"/>
      <c r="E5787" s="549"/>
      <c r="F5787" s="549"/>
      <c r="G5787" s="550"/>
      <c r="H5787" s="551"/>
      <c r="I5787" s="552"/>
      <c r="J5787" s="553"/>
      <c r="K5787" s="554"/>
      <c r="M5787" s="301" t="str">
        <f>N5787&amp;AS[[#This Row],[Insurer Code]]&amp;"; "&amp;O5787&amp;AS[[#This Row],[Reporting Year]]&amp;"; "&amp;P5787&amp;AS[[#This Row],[Insurance Category Code]]&amp;"; "&amp;Q5787&amp;AS[[#This Row],[Large Provider Entity Code]]&amp;"; "&amp;R5787&amp;AS[[#This Row],[Age Band Code]]&amp;"; "&amp;S5787&amp;AS[[#This Row],[Sex Code]]</f>
        <v xml:space="preserve">Insurer Code ; Reporting Year ; Insurance Category Code ; Large Provider Entity Code ; Age Band Code ; Sex Code </v>
      </c>
      <c r="N5787" s="297" t="s">
        <v>197</v>
      </c>
      <c r="O5787" s="297" t="s">
        <v>198</v>
      </c>
      <c r="P5787" s="297" t="s">
        <v>199</v>
      </c>
      <c r="Q5787" s="297" t="s">
        <v>200</v>
      </c>
      <c r="R5787" s="297" t="s">
        <v>213</v>
      </c>
      <c r="S5787" s="297" t="s">
        <v>214</v>
      </c>
    </row>
    <row r="5788" spans="1:19" x14ac:dyDescent="0.4">
      <c r="A5788" s="548"/>
      <c r="B5788" s="292"/>
      <c r="C5788" s="292"/>
      <c r="D5788" s="292"/>
      <c r="E5788" s="549"/>
      <c r="F5788" s="549"/>
      <c r="G5788" s="550"/>
      <c r="H5788" s="551"/>
      <c r="I5788" s="552"/>
      <c r="J5788" s="553"/>
      <c r="K5788" s="554"/>
      <c r="M5788" s="301" t="str">
        <f>N5788&amp;AS[[#This Row],[Insurer Code]]&amp;"; "&amp;O5788&amp;AS[[#This Row],[Reporting Year]]&amp;"; "&amp;P5788&amp;AS[[#This Row],[Insurance Category Code]]&amp;"; "&amp;Q5788&amp;AS[[#This Row],[Large Provider Entity Code]]&amp;"; "&amp;R5788&amp;AS[[#This Row],[Age Band Code]]&amp;"; "&amp;S5788&amp;AS[[#This Row],[Sex Code]]</f>
        <v xml:space="preserve">Insurer Code ; Reporting Year ; Insurance Category Code ; Large Provider Entity Code ; Age Band Code ; Sex Code </v>
      </c>
      <c r="N5788" s="297" t="s">
        <v>197</v>
      </c>
      <c r="O5788" s="297" t="s">
        <v>198</v>
      </c>
      <c r="P5788" s="297" t="s">
        <v>199</v>
      </c>
      <c r="Q5788" s="297" t="s">
        <v>200</v>
      </c>
      <c r="R5788" s="297" t="s">
        <v>213</v>
      </c>
      <c r="S5788" s="297" t="s">
        <v>214</v>
      </c>
    </row>
    <row r="5789" spans="1:19" x14ac:dyDescent="0.4">
      <c r="A5789" s="548"/>
      <c r="B5789" s="292"/>
      <c r="C5789" s="292"/>
      <c r="D5789" s="292"/>
      <c r="E5789" s="549"/>
      <c r="F5789" s="549"/>
      <c r="G5789" s="550"/>
      <c r="H5789" s="551"/>
      <c r="I5789" s="552"/>
      <c r="J5789" s="553"/>
      <c r="K5789" s="554"/>
      <c r="M5789" s="301" t="str">
        <f>N5789&amp;AS[[#This Row],[Insurer Code]]&amp;"; "&amp;O5789&amp;AS[[#This Row],[Reporting Year]]&amp;"; "&amp;P5789&amp;AS[[#This Row],[Insurance Category Code]]&amp;"; "&amp;Q5789&amp;AS[[#This Row],[Large Provider Entity Code]]&amp;"; "&amp;R5789&amp;AS[[#This Row],[Age Band Code]]&amp;"; "&amp;S5789&amp;AS[[#This Row],[Sex Code]]</f>
        <v xml:space="preserve">Insurer Code ; Reporting Year ; Insurance Category Code ; Large Provider Entity Code ; Age Band Code ; Sex Code </v>
      </c>
      <c r="N5789" s="297" t="s">
        <v>197</v>
      </c>
      <c r="O5789" s="297" t="s">
        <v>198</v>
      </c>
      <c r="P5789" s="297" t="s">
        <v>199</v>
      </c>
      <c r="Q5789" s="297" t="s">
        <v>200</v>
      </c>
      <c r="R5789" s="297" t="s">
        <v>213</v>
      </c>
      <c r="S5789" s="297" t="s">
        <v>214</v>
      </c>
    </row>
    <row r="5790" spans="1:19" x14ac:dyDescent="0.4">
      <c r="A5790" s="548"/>
      <c r="B5790" s="292"/>
      <c r="C5790" s="292"/>
      <c r="D5790" s="292"/>
      <c r="E5790" s="549"/>
      <c r="F5790" s="549"/>
      <c r="G5790" s="550"/>
      <c r="H5790" s="551"/>
      <c r="I5790" s="552"/>
      <c r="J5790" s="553"/>
      <c r="K5790" s="554"/>
      <c r="M5790" s="301" t="str">
        <f>N5790&amp;AS[[#This Row],[Insurer Code]]&amp;"; "&amp;O5790&amp;AS[[#This Row],[Reporting Year]]&amp;"; "&amp;P5790&amp;AS[[#This Row],[Insurance Category Code]]&amp;"; "&amp;Q5790&amp;AS[[#This Row],[Large Provider Entity Code]]&amp;"; "&amp;R5790&amp;AS[[#This Row],[Age Band Code]]&amp;"; "&amp;S5790&amp;AS[[#This Row],[Sex Code]]</f>
        <v xml:space="preserve">Insurer Code ; Reporting Year ; Insurance Category Code ; Large Provider Entity Code ; Age Band Code ; Sex Code </v>
      </c>
      <c r="N5790" s="297" t="s">
        <v>197</v>
      </c>
      <c r="O5790" s="297" t="s">
        <v>198</v>
      </c>
      <c r="P5790" s="297" t="s">
        <v>199</v>
      </c>
      <c r="Q5790" s="297" t="s">
        <v>200</v>
      </c>
      <c r="R5790" s="297" t="s">
        <v>213</v>
      </c>
      <c r="S5790" s="297" t="s">
        <v>214</v>
      </c>
    </row>
    <row r="5791" spans="1:19" x14ac:dyDescent="0.4">
      <c r="A5791" s="548"/>
      <c r="B5791" s="292"/>
      <c r="C5791" s="292"/>
      <c r="D5791" s="292"/>
      <c r="E5791" s="549"/>
      <c r="F5791" s="549"/>
      <c r="G5791" s="550"/>
      <c r="H5791" s="551"/>
      <c r="I5791" s="552"/>
      <c r="J5791" s="553"/>
      <c r="K5791" s="554"/>
      <c r="M5791" s="301" t="str">
        <f>N5791&amp;AS[[#This Row],[Insurer Code]]&amp;"; "&amp;O5791&amp;AS[[#This Row],[Reporting Year]]&amp;"; "&amp;P5791&amp;AS[[#This Row],[Insurance Category Code]]&amp;"; "&amp;Q5791&amp;AS[[#This Row],[Large Provider Entity Code]]&amp;"; "&amp;R5791&amp;AS[[#This Row],[Age Band Code]]&amp;"; "&amp;S5791&amp;AS[[#This Row],[Sex Code]]</f>
        <v xml:space="preserve">Insurer Code ; Reporting Year ; Insurance Category Code ; Large Provider Entity Code ; Age Band Code ; Sex Code </v>
      </c>
      <c r="N5791" s="297" t="s">
        <v>197</v>
      </c>
      <c r="O5791" s="297" t="s">
        <v>198</v>
      </c>
      <c r="P5791" s="297" t="s">
        <v>199</v>
      </c>
      <c r="Q5791" s="297" t="s">
        <v>200</v>
      </c>
      <c r="R5791" s="297" t="s">
        <v>213</v>
      </c>
      <c r="S5791" s="297" t="s">
        <v>214</v>
      </c>
    </row>
    <row r="5792" spans="1:19" x14ac:dyDescent="0.4">
      <c r="A5792" s="548"/>
      <c r="B5792" s="292"/>
      <c r="C5792" s="292"/>
      <c r="D5792" s="292"/>
      <c r="E5792" s="549"/>
      <c r="F5792" s="549"/>
      <c r="G5792" s="550"/>
      <c r="H5792" s="551"/>
      <c r="I5792" s="552"/>
      <c r="J5792" s="553"/>
      <c r="K5792" s="554"/>
      <c r="M5792" s="301" t="str">
        <f>N5792&amp;AS[[#This Row],[Insurer Code]]&amp;"; "&amp;O5792&amp;AS[[#This Row],[Reporting Year]]&amp;"; "&amp;P5792&amp;AS[[#This Row],[Insurance Category Code]]&amp;"; "&amp;Q5792&amp;AS[[#This Row],[Large Provider Entity Code]]&amp;"; "&amp;R5792&amp;AS[[#This Row],[Age Band Code]]&amp;"; "&amp;S5792&amp;AS[[#This Row],[Sex Code]]</f>
        <v xml:space="preserve">Insurer Code ; Reporting Year ; Insurance Category Code ; Large Provider Entity Code ; Age Band Code ; Sex Code </v>
      </c>
      <c r="N5792" s="297" t="s">
        <v>197</v>
      </c>
      <c r="O5792" s="297" t="s">
        <v>198</v>
      </c>
      <c r="P5792" s="297" t="s">
        <v>199</v>
      </c>
      <c r="Q5792" s="297" t="s">
        <v>200</v>
      </c>
      <c r="R5792" s="297" t="s">
        <v>213</v>
      </c>
      <c r="S5792" s="297" t="s">
        <v>214</v>
      </c>
    </row>
    <row r="5793" spans="1:19" x14ac:dyDescent="0.4">
      <c r="A5793" s="548"/>
      <c r="B5793" s="292"/>
      <c r="C5793" s="292"/>
      <c r="D5793" s="292"/>
      <c r="E5793" s="549"/>
      <c r="F5793" s="549"/>
      <c r="G5793" s="550"/>
      <c r="H5793" s="551"/>
      <c r="I5793" s="552"/>
      <c r="J5793" s="553"/>
      <c r="K5793" s="554"/>
      <c r="M5793" s="301" t="str">
        <f>N5793&amp;AS[[#This Row],[Insurer Code]]&amp;"; "&amp;O5793&amp;AS[[#This Row],[Reporting Year]]&amp;"; "&amp;P5793&amp;AS[[#This Row],[Insurance Category Code]]&amp;"; "&amp;Q5793&amp;AS[[#This Row],[Large Provider Entity Code]]&amp;"; "&amp;R5793&amp;AS[[#This Row],[Age Band Code]]&amp;"; "&amp;S5793&amp;AS[[#This Row],[Sex Code]]</f>
        <v xml:space="preserve">Insurer Code ; Reporting Year ; Insurance Category Code ; Large Provider Entity Code ; Age Band Code ; Sex Code </v>
      </c>
      <c r="N5793" s="297" t="s">
        <v>197</v>
      </c>
      <c r="O5793" s="297" t="s">
        <v>198</v>
      </c>
      <c r="P5793" s="297" t="s">
        <v>199</v>
      </c>
      <c r="Q5793" s="297" t="s">
        <v>200</v>
      </c>
      <c r="R5793" s="297" t="s">
        <v>213</v>
      </c>
      <c r="S5793" s="297" t="s">
        <v>214</v>
      </c>
    </row>
    <row r="5794" spans="1:19" x14ac:dyDescent="0.4">
      <c r="A5794" s="548"/>
      <c r="B5794" s="292"/>
      <c r="C5794" s="292"/>
      <c r="D5794" s="292"/>
      <c r="E5794" s="549"/>
      <c r="F5794" s="549"/>
      <c r="G5794" s="550"/>
      <c r="H5794" s="551"/>
      <c r="I5794" s="552"/>
      <c r="J5794" s="553"/>
      <c r="K5794" s="554"/>
      <c r="M5794" s="301" t="str">
        <f>N5794&amp;AS[[#This Row],[Insurer Code]]&amp;"; "&amp;O5794&amp;AS[[#This Row],[Reporting Year]]&amp;"; "&amp;P5794&amp;AS[[#This Row],[Insurance Category Code]]&amp;"; "&amp;Q5794&amp;AS[[#This Row],[Large Provider Entity Code]]&amp;"; "&amp;R5794&amp;AS[[#This Row],[Age Band Code]]&amp;"; "&amp;S5794&amp;AS[[#This Row],[Sex Code]]</f>
        <v xml:space="preserve">Insurer Code ; Reporting Year ; Insurance Category Code ; Large Provider Entity Code ; Age Band Code ; Sex Code </v>
      </c>
      <c r="N5794" s="297" t="s">
        <v>197</v>
      </c>
      <c r="O5794" s="297" t="s">
        <v>198</v>
      </c>
      <c r="P5794" s="297" t="s">
        <v>199</v>
      </c>
      <c r="Q5794" s="297" t="s">
        <v>200</v>
      </c>
      <c r="R5794" s="297" t="s">
        <v>213</v>
      </c>
      <c r="S5794" s="297" t="s">
        <v>214</v>
      </c>
    </row>
    <row r="5795" spans="1:19" x14ac:dyDescent="0.4">
      <c r="A5795" s="548"/>
      <c r="B5795" s="292"/>
      <c r="C5795" s="292"/>
      <c r="D5795" s="292"/>
      <c r="E5795" s="549"/>
      <c r="F5795" s="549"/>
      <c r="G5795" s="550"/>
      <c r="H5795" s="551"/>
      <c r="I5795" s="552"/>
      <c r="J5795" s="553"/>
      <c r="K5795" s="554"/>
      <c r="M5795" s="301" t="str">
        <f>N5795&amp;AS[[#This Row],[Insurer Code]]&amp;"; "&amp;O5795&amp;AS[[#This Row],[Reporting Year]]&amp;"; "&amp;P5795&amp;AS[[#This Row],[Insurance Category Code]]&amp;"; "&amp;Q5795&amp;AS[[#This Row],[Large Provider Entity Code]]&amp;"; "&amp;R5795&amp;AS[[#This Row],[Age Band Code]]&amp;"; "&amp;S5795&amp;AS[[#This Row],[Sex Code]]</f>
        <v xml:space="preserve">Insurer Code ; Reporting Year ; Insurance Category Code ; Large Provider Entity Code ; Age Band Code ; Sex Code </v>
      </c>
      <c r="N5795" s="297" t="s">
        <v>197</v>
      </c>
      <c r="O5795" s="297" t="s">
        <v>198</v>
      </c>
      <c r="P5795" s="297" t="s">
        <v>199</v>
      </c>
      <c r="Q5795" s="297" t="s">
        <v>200</v>
      </c>
      <c r="R5795" s="297" t="s">
        <v>213</v>
      </c>
      <c r="S5795" s="297" t="s">
        <v>214</v>
      </c>
    </row>
    <row r="5796" spans="1:19" x14ac:dyDescent="0.4">
      <c r="A5796" s="548"/>
      <c r="B5796" s="292"/>
      <c r="C5796" s="292"/>
      <c r="D5796" s="292"/>
      <c r="E5796" s="549"/>
      <c r="F5796" s="549"/>
      <c r="G5796" s="550"/>
      <c r="H5796" s="551"/>
      <c r="I5796" s="552"/>
      <c r="J5796" s="553"/>
      <c r="K5796" s="554"/>
      <c r="M5796" s="301" t="str">
        <f>N5796&amp;AS[[#This Row],[Insurer Code]]&amp;"; "&amp;O5796&amp;AS[[#This Row],[Reporting Year]]&amp;"; "&amp;P5796&amp;AS[[#This Row],[Insurance Category Code]]&amp;"; "&amp;Q5796&amp;AS[[#This Row],[Large Provider Entity Code]]&amp;"; "&amp;R5796&amp;AS[[#This Row],[Age Band Code]]&amp;"; "&amp;S5796&amp;AS[[#This Row],[Sex Code]]</f>
        <v xml:space="preserve">Insurer Code ; Reporting Year ; Insurance Category Code ; Large Provider Entity Code ; Age Band Code ; Sex Code </v>
      </c>
      <c r="N5796" s="297" t="s">
        <v>197</v>
      </c>
      <c r="O5796" s="297" t="s">
        <v>198</v>
      </c>
      <c r="P5796" s="297" t="s">
        <v>199</v>
      </c>
      <c r="Q5796" s="297" t="s">
        <v>200</v>
      </c>
      <c r="R5796" s="297" t="s">
        <v>213</v>
      </c>
      <c r="S5796" s="297" t="s">
        <v>214</v>
      </c>
    </row>
    <row r="5797" spans="1:19" x14ac:dyDescent="0.4">
      <c r="A5797" s="548"/>
      <c r="B5797" s="292"/>
      <c r="C5797" s="292"/>
      <c r="D5797" s="292"/>
      <c r="E5797" s="549"/>
      <c r="F5797" s="549"/>
      <c r="G5797" s="550"/>
      <c r="H5797" s="551"/>
      <c r="I5797" s="552"/>
      <c r="J5797" s="553"/>
      <c r="K5797" s="554"/>
      <c r="M5797" s="301" t="str">
        <f>N5797&amp;AS[[#This Row],[Insurer Code]]&amp;"; "&amp;O5797&amp;AS[[#This Row],[Reporting Year]]&amp;"; "&amp;P5797&amp;AS[[#This Row],[Insurance Category Code]]&amp;"; "&amp;Q5797&amp;AS[[#This Row],[Large Provider Entity Code]]&amp;"; "&amp;R5797&amp;AS[[#This Row],[Age Band Code]]&amp;"; "&amp;S5797&amp;AS[[#This Row],[Sex Code]]</f>
        <v xml:space="preserve">Insurer Code ; Reporting Year ; Insurance Category Code ; Large Provider Entity Code ; Age Band Code ; Sex Code </v>
      </c>
      <c r="N5797" s="297" t="s">
        <v>197</v>
      </c>
      <c r="O5797" s="297" t="s">
        <v>198</v>
      </c>
      <c r="P5797" s="297" t="s">
        <v>199</v>
      </c>
      <c r="Q5797" s="297" t="s">
        <v>200</v>
      </c>
      <c r="R5797" s="297" t="s">
        <v>213</v>
      </c>
      <c r="S5797" s="297" t="s">
        <v>214</v>
      </c>
    </row>
    <row r="5798" spans="1:19" x14ac:dyDescent="0.4">
      <c r="A5798" s="548"/>
      <c r="B5798" s="292"/>
      <c r="C5798" s="292"/>
      <c r="D5798" s="292"/>
      <c r="E5798" s="549"/>
      <c r="F5798" s="549"/>
      <c r="G5798" s="550"/>
      <c r="H5798" s="551"/>
      <c r="I5798" s="552"/>
      <c r="J5798" s="553"/>
      <c r="K5798" s="554"/>
      <c r="M5798" s="301" t="str">
        <f>N5798&amp;AS[[#This Row],[Insurer Code]]&amp;"; "&amp;O5798&amp;AS[[#This Row],[Reporting Year]]&amp;"; "&amp;P5798&amp;AS[[#This Row],[Insurance Category Code]]&amp;"; "&amp;Q5798&amp;AS[[#This Row],[Large Provider Entity Code]]&amp;"; "&amp;R5798&amp;AS[[#This Row],[Age Band Code]]&amp;"; "&amp;S5798&amp;AS[[#This Row],[Sex Code]]</f>
        <v xml:space="preserve">Insurer Code ; Reporting Year ; Insurance Category Code ; Large Provider Entity Code ; Age Band Code ; Sex Code </v>
      </c>
      <c r="N5798" s="297" t="s">
        <v>197</v>
      </c>
      <c r="O5798" s="297" t="s">
        <v>198</v>
      </c>
      <c r="P5798" s="297" t="s">
        <v>199</v>
      </c>
      <c r="Q5798" s="297" t="s">
        <v>200</v>
      </c>
      <c r="R5798" s="297" t="s">
        <v>213</v>
      </c>
      <c r="S5798" s="297" t="s">
        <v>214</v>
      </c>
    </row>
    <row r="5799" spans="1:19" x14ac:dyDescent="0.4">
      <c r="A5799" s="548"/>
      <c r="B5799" s="292"/>
      <c r="C5799" s="292"/>
      <c r="D5799" s="292"/>
      <c r="E5799" s="549"/>
      <c r="F5799" s="549"/>
      <c r="G5799" s="550"/>
      <c r="H5799" s="551"/>
      <c r="I5799" s="552"/>
      <c r="J5799" s="553"/>
      <c r="K5799" s="554"/>
      <c r="M5799" s="301" t="str">
        <f>N5799&amp;AS[[#This Row],[Insurer Code]]&amp;"; "&amp;O5799&amp;AS[[#This Row],[Reporting Year]]&amp;"; "&amp;P5799&amp;AS[[#This Row],[Insurance Category Code]]&amp;"; "&amp;Q5799&amp;AS[[#This Row],[Large Provider Entity Code]]&amp;"; "&amp;R5799&amp;AS[[#This Row],[Age Band Code]]&amp;"; "&amp;S5799&amp;AS[[#This Row],[Sex Code]]</f>
        <v xml:space="preserve">Insurer Code ; Reporting Year ; Insurance Category Code ; Large Provider Entity Code ; Age Band Code ; Sex Code </v>
      </c>
      <c r="N5799" s="297" t="s">
        <v>197</v>
      </c>
      <c r="O5799" s="297" t="s">
        <v>198</v>
      </c>
      <c r="P5799" s="297" t="s">
        <v>199</v>
      </c>
      <c r="Q5799" s="297" t="s">
        <v>200</v>
      </c>
      <c r="R5799" s="297" t="s">
        <v>213</v>
      </c>
      <c r="S5799" s="297" t="s">
        <v>214</v>
      </c>
    </row>
    <row r="5800" spans="1:19" x14ac:dyDescent="0.4">
      <c r="A5800" s="548"/>
      <c r="B5800" s="292"/>
      <c r="C5800" s="292"/>
      <c r="D5800" s="292"/>
      <c r="E5800" s="549"/>
      <c r="F5800" s="549"/>
      <c r="G5800" s="550"/>
      <c r="H5800" s="551"/>
      <c r="I5800" s="552"/>
      <c r="J5800" s="553"/>
      <c r="K5800" s="554"/>
      <c r="M5800" s="301" t="str">
        <f>N5800&amp;AS[[#This Row],[Insurer Code]]&amp;"; "&amp;O5800&amp;AS[[#This Row],[Reporting Year]]&amp;"; "&amp;P5800&amp;AS[[#This Row],[Insurance Category Code]]&amp;"; "&amp;Q5800&amp;AS[[#This Row],[Large Provider Entity Code]]&amp;"; "&amp;R5800&amp;AS[[#This Row],[Age Band Code]]&amp;"; "&amp;S5800&amp;AS[[#This Row],[Sex Code]]</f>
        <v xml:space="preserve">Insurer Code ; Reporting Year ; Insurance Category Code ; Large Provider Entity Code ; Age Band Code ; Sex Code </v>
      </c>
      <c r="N5800" s="297" t="s">
        <v>197</v>
      </c>
      <c r="O5800" s="297" t="s">
        <v>198</v>
      </c>
      <c r="P5800" s="297" t="s">
        <v>199</v>
      </c>
      <c r="Q5800" s="297" t="s">
        <v>200</v>
      </c>
      <c r="R5800" s="297" t="s">
        <v>213</v>
      </c>
      <c r="S5800" s="297" t="s">
        <v>214</v>
      </c>
    </row>
    <row r="5801" spans="1:19" x14ac:dyDescent="0.4">
      <c r="A5801" s="548"/>
      <c r="B5801" s="292"/>
      <c r="C5801" s="292"/>
      <c r="D5801" s="292"/>
      <c r="E5801" s="549"/>
      <c r="F5801" s="549"/>
      <c r="G5801" s="550"/>
      <c r="H5801" s="551"/>
      <c r="I5801" s="552"/>
      <c r="J5801" s="553"/>
      <c r="K5801" s="554"/>
      <c r="M5801" s="301" t="str">
        <f>N5801&amp;AS[[#This Row],[Insurer Code]]&amp;"; "&amp;O5801&amp;AS[[#This Row],[Reporting Year]]&amp;"; "&amp;P5801&amp;AS[[#This Row],[Insurance Category Code]]&amp;"; "&amp;Q5801&amp;AS[[#This Row],[Large Provider Entity Code]]&amp;"; "&amp;R5801&amp;AS[[#This Row],[Age Band Code]]&amp;"; "&amp;S5801&amp;AS[[#This Row],[Sex Code]]</f>
        <v xml:space="preserve">Insurer Code ; Reporting Year ; Insurance Category Code ; Large Provider Entity Code ; Age Band Code ; Sex Code </v>
      </c>
      <c r="N5801" s="297" t="s">
        <v>197</v>
      </c>
      <c r="O5801" s="297" t="s">
        <v>198</v>
      </c>
      <c r="P5801" s="297" t="s">
        <v>199</v>
      </c>
      <c r="Q5801" s="297" t="s">
        <v>200</v>
      </c>
      <c r="R5801" s="297" t="s">
        <v>213</v>
      </c>
      <c r="S5801" s="297" t="s">
        <v>214</v>
      </c>
    </row>
    <row r="5802" spans="1:19" x14ac:dyDescent="0.4">
      <c r="A5802" s="548"/>
      <c r="B5802" s="292"/>
      <c r="C5802" s="292"/>
      <c r="D5802" s="292"/>
      <c r="E5802" s="549"/>
      <c r="F5802" s="549"/>
      <c r="G5802" s="550"/>
      <c r="H5802" s="551"/>
      <c r="I5802" s="552"/>
      <c r="J5802" s="553"/>
      <c r="K5802" s="554"/>
      <c r="M5802" s="301" t="str">
        <f>N5802&amp;AS[[#This Row],[Insurer Code]]&amp;"; "&amp;O5802&amp;AS[[#This Row],[Reporting Year]]&amp;"; "&amp;P5802&amp;AS[[#This Row],[Insurance Category Code]]&amp;"; "&amp;Q5802&amp;AS[[#This Row],[Large Provider Entity Code]]&amp;"; "&amp;R5802&amp;AS[[#This Row],[Age Band Code]]&amp;"; "&amp;S5802&amp;AS[[#This Row],[Sex Code]]</f>
        <v xml:space="preserve">Insurer Code ; Reporting Year ; Insurance Category Code ; Large Provider Entity Code ; Age Band Code ; Sex Code </v>
      </c>
      <c r="N5802" s="297" t="s">
        <v>197</v>
      </c>
      <c r="O5802" s="297" t="s">
        <v>198</v>
      </c>
      <c r="P5802" s="297" t="s">
        <v>199</v>
      </c>
      <c r="Q5802" s="297" t="s">
        <v>200</v>
      </c>
      <c r="R5802" s="297" t="s">
        <v>213</v>
      </c>
      <c r="S5802" s="297" t="s">
        <v>214</v>
      </c>
    </row>
    <row r="5803" spans="1:19" x14ac:dyDescent="0.4">
      <c r="A5803" s="548"/>
      <c r="B5803" s="292"/>
      <c r="C5803" s="292"/>
      <c r="D5803" s="292"/>
      <c r="E5803" s="549"/>
      <c r="F5803" s="549"/>
      <c r="G5803" s="550"/>
      <c r="H5803" s="551"/>
      <c r="I5803" s="552"/>
      <c r="J5803" s="553"/>
      <c r="K5803" s="554"/>
      <c r="M5803" s="301" t="str">
        <f>N5803&amp;AS[[#This Row],[Insurer Code]]&amp;"; "&amp;O5803&amp;AS[[#This Row],[Reporting Year]]&amp;"; "&amp;P5803&amp;AS[[#This Row],[Insurance Category Code]]&amp;"; "&amp;Q5803&amp;AS[[#This Row],[Large Provider Entity Code]]&amp;"; "&amp;R5803&amp;AS[[#This Row],[Age Band Code]]&amp;"; "&amp;S5803&amp;AS[[#This Row],[Sex Code]]</f>
        <v xml:space="preserve">Insurer Code ; Reporting Year ; Insurance Category Code ; Large Provider Entity Code ; Age Band Code ; Sex Code </v>
      </c>
      <c r="N5803" s="297" t="s">
        <v>197</v>
      </c>
      <c r="O5803" s="297" t="s">
        <v>198</v>
      </c>
      <c r="P5803" s="297" t="s">
        <v>199</v>
      </c>
      <c r="Q5803" s="297" t="s">
        <v>200</v>
      </c>
      <c r="R5803" s="297" t="s">
        <v>213</v>
      </c>
      <c r="S5803" s="297" t="s">
        <v>214</v>
      </c>
    </row>
    <row r="5804" spans="1:19" x14ac:dyDescent="0.4">
      <c r="A5804" s="291"/>
      <c r="B5804" s="292"/>
      <c r="C5804" s="312"/>
      <c r="D5804" s="292"/>
      <c r="E5804" s="489"/>
      <c r="F5804" s="489"/>
      <c r="G5804" s="490"/>
      <c r="H5804" s="520"/>
      <c r="I5804" s="523"/>
      <c r="J5804" s="521"/>
      <c r="K5804" s="522"/>
      <c r="M5804" s="301" t="str">
        <f>N5804&amp;AS[[#This Row],[Insurer Code]]&amp;"; "&amp;O5804&amp;AS[[#This Row],[Reporting Year]]&amp;"; "&amp;P5804&amp;AS[[#This Row],[Insurance Category Code]]&amp;"; "&amp;Q5804&amp;AS[[#This Row],[Large Provider Entity Code]]&amp;"; "&amp;R5804&amp;AS[[#This Row],[Age Band Code]]&amp;"; "&amp;S5804&amp;AS[[#This Row],[Sex Code]]</f>
        <v xml:space="preserve">Insurer Code ; Reporting Year ; Insurance Category Code ; Large Provider Entity Code ; Age Band Code ; Sex Code </v>
      </c>
      <c r="N5804" s="297" t="s">
        <v>197</v>
      </c>
      <c r="O5804" s="297" t="s">
        <v>198</v>
      </c>
      <c r="P5804" s="297" t="s">
        <v>199</v>
      </c>
      <c r="Q5804" s="297" t="s">
        <v>200</v>
      </c>
      <c r="R5804" s="297" t="s">
        <v>213</v>
      </c>
      <c r="S5804" s="297" t="s">
        <v>214</v>
      </c>
    </row>
    <row r="5805" spans="1:19" x14ac:dyDescent="0.4">
      <c r="A5805" s="291"/>
      <c r="B5805" s="292"/>
      <c r="C5805" s="312"/>
      <c r="D5805" s="292"/>
      <c r="E5805" s="489"/>
      <c r="F5805" s="489"/>
      <c r="G5805" s="490"/>
      <c r="H5805" s="520"/>
      <c r="I5805" s="523"/>
      <c r="J5805" s="521"/>
      <c r="K5805" s="522"/>
      <c r="M5805" s="301" t="str">
        <f>N5805&amp;AS[[#This Row],[Insurer Code]]&amp;"; "&amp;O5805&amp;AS[[#This Row],[Reporting Year]]&amp;"; "&amp;P5805&amp;AS[[#This Row],[Insurance Category Code]]&amp;"; "&amp;Q5805&amp;AS[[#This Row],[Large Provider Entity Code]]&amp;"; "&amp;R5805&amp;AS[[#This Row],[Age Band Code]]&amp;"; "&amp;S5805&amp;AS[[#This Row],[Sex Code]]</f>
        <v xml:space="preserve">Insurer Code ; Reporting Year ; Insurance Category Code ; Large Provider Entity Code ; Age Band Code ; Sex Code </v>
      </c>
      <c r="N5805" s="297" t="s">
        <v>197</v>
      </c>
      <c r="O5805" s="297" t="s">
        <v>198</v>
      </c>
      <c r="P5805" s="297" t="s">
        <v>199</v>
      </c>
      <c r="Q5805" s="297" t="s">
        <v>200</v>
      </c>
      <c r="R5805" s="297" t="s">
        <v>213</v>
      </c>
      <c r="S5805" s="297" t="s">
        <v>214</v>
      </c>
    </row>
    <row r="5806" spans="1:19" x14ac:dyDescent="0.4">
      <c r="A5806" s="291"/>
      <c r="B5806" s="292"/>
      <c r="C5806" s="312"/>
      <c r="D5806" s="292"/>
      <c r="E5806" s="489"/>
      <c r="F5806" s="489"/>
      <c r="G5806" s="490"/>
      <c r="H5806" s="520"/>
      <c r="I5806" s="523"/>
      <c r="J5806" s="521"/>
      <c r="K5806" s="522"/>
      <c r="M5806" s="301" t="str">
        <f>N5806&amp;AS[[#This Row],[Insurer Code]]&amp;"; "&amp;O5806&amp;AS[[#This Row],[Reporting Year]]&amp;"; "&amp;P5806&amp;AS[[#This Row],[Insurance Category Code]]&amp;"; "&amp;Q5806&amp;AS[[#This Row],[Large Provider Entity Code]]&amp;"; "&amp;R5806&amp;AS[[#This Row],[Age Band Code]]&amp;"; "&amp;S5806&amp;AS[[#This Row],[Sex Code]]</f>
        <v xml:space="preserve">Insurer Code ; Reporting Year ; Insurance Category Code ; Large Provider Entity Code ; Age Band Code ; Sex Code </v>
      </c>
      <c r="N5806" s="297" t="s">
        <v>197</v>
      </c>
      <c r="O5806" s="297" t="s">
        <v>198</v>
      </c>
      <c r="P5806" s="297" t="s">
        <v>199</v>
      </c>
      <c r="Q5806" s="297" t="s">
        <v>200</v>
      </c>
      <c r="R5806" s="297" t="s">
        <v>213</v>
      </c>
      <c r="S5806" s="297" t="s">
        <v>214</v>
      </c>
    </row>
    <row r="5807" spans="1:19" x14ac:dyDescent="0.4">
      <c r="A5807" s="291"/>
      <c r="B5807" s="292"/>
      <c r="C5807" s="312"/>
      <c r="D5807" s="292"/>
      <c r="E5807" s="489"/>
      <c r="F5807" s="489"/>
      <c r="G5807" s="490"/>
      <c r="H5807" s="520"/>
      <c r="I5807" s="523"/>
      <c r="J5807" s="521"/>
      <c r="K5807" s="522"/>
      <c r="M5807" s="301" t="str">
        <f>N5807&amp;AS[[#This Row],[Insurer Code]]&amp;"; "&amp;O5807&amp;AS[[#This Row],[Reporting Year]]&amp;"; "&amp;P5807&amp;AS[[#This Row],[Insurance Category Code]]&amp;"; "&amp;Q5807&amp;AS[[#This Row],[Large Provider Entity Code]]&amp;"; "&amp;R5807&amp;AS[[#This Row],[Age Band Code]]&amp;"; "&amp;S5807&amp;AS[[#This Row],[Sex Code]]</f>
        <v xml:space="preserve">Insurer Code ; Reporting Year ; Insurance Category Code ; Large Provider Entity Code ; Age Band Code ; Sex Code </v>
      </c>
      <c r="N5807" s="297" t="s">
        <v>197</v>
      </c>
      <c r="O5807" s="297" t="s">
        <v>198</v>
      </c>
      <c r="P5807" s="297" t="s">
        <v>199</v>
      </c>
      <c r="Q5807" s="297" t="s">
        <v>200</v>
      </c>
      <c r="R5807" s="297" t="s">
        <v>213</v>
      </c>
      <c r="S5807" s="297" t="s">
        <v>214</v>
      </c>
    </row>
    <row r="5808" spans="1:19" x14ac:dyDescent="0.4">
      <c r="A5808" s="291"/>
      <c r="B5808" s="292"/>
      <c r="C5808" s="312"/>
      <c r="D5808" s="292"/>
      <c r="E5808" s="489"/>
      <c r="F5808" s="489"/>
      <c r="G5808" s="490"/>
      <c r="H5808" s="520"/>
      <c r="I5808" s="523"/>
      <c r="J5808" s="521"/>
      <c r="K5808" s="522"/>
      <c r="M5808" s="301" t="str">
        <f>N5808&amp;AS[[#This Row],[Insurer Code]]&amp;"; "&amp;O5808&amp;AS[[#This Row],[Reporting Year]]&amp;"; "&amp;P5808&amp;AS[[#This Row],[Insurance Category Code]]&amp;"; "&amp;Q5808&amp;AS[[#This Row],[Large Provider Entity Code]]&amp;"; "&amp;R5808&amp;AS[[#This Row],[Age Band Code]]&amp;"; "&amp;S5808&amp;AS[[#This Row],[Sex Code]]</f>
        <v xml:space="preserve">Insurer Code ; Reporting Year ; Insurance Category Code ; Large Provider Entity Code ; Age Band Code ; Sex Code </v>
      </c>
      <c r="N5808" s="297" t="s">
        <v>197</v>
      </c>
      <c r="O5808" s="297" t="s">
        <v>198</v>
      </c>
      <c r="P5808" s="297" t="s">
        <v>199</v>
      </c>
      <c r="Q5808" s="297" t="s">
        <v>200</v>
      </c>
      <c r="R5808" s="297" t="s">
        <v>213</v>
      </c>
      <c r="S5808" s="297" t="s">
        <v>214</v>
      </c>
    </row>
    <row r="5809" spans="1:19" x14ac:dyDescent="0.4">
      <c r="A5809" s="291"/>
      <c r="B5809" s="292"/>
      <c r="C5809" s="312"/>
      <c r="D5809" s="292"/>
      <c r="E5809" s="489"/>
      <c r="F5809" s="489"/>
      <c r="G5809" s="490"/>
      <c r="H5809" s="520"/>
      <c r="I5809" s="523"/>
      <c r="J5809" s="521"/>
      <c r="K5809" s="522"/>
      <c r="M5809" s="301" t="str">
        <f>N5809&amp;AS[[#This Row],[Insurer Code]]&amp;"; "&amp;O5809&amp;AS[[#This Row],[Reporting Year]]&amp;"; "&amp;P5809&amp;AS[[#This Row],[Insurance Category Code]]&amp;"; "&amp;Q5809&amp;AS[[#This Row],[Large Provider Entity Code]]&amp;"; "&amp;R5809&amp;AS[[#This Row],[Age Band Code]]&amp;"; "&amp;S5809&amp;AS[[#This Row],[Sex Code]]</f>
        <v xml:space="preserve">Insurer Code ; Reporting Year ; Insurance Category Code ; Large Provider Entity Code ; Age Band Code ; Sex Code </v>
      </c>
      <c r="N5809" s="297" t="s">
        <v>197</v>
      </c>
      <c r="O5809" s="297" t="s">
        <v>198</v>
      </c>
      <c r="P5809" s="297" t="s">
        <v>199</v>
      </c>
      <c r="Q5809" s="297" t="s">
        <v>200</v>
      </c>
      <c r="R5809" s="297" t="s">
        <v>213</v>
      </c>
      <c r="S5809" s="297" t="s">
        <v>214</v>
      </c>
    </row>
    <row r="5810" spans="1:19" x14ac:dyDescent="0.4">
      <c r="A5810" s="291"/>
      <c r="B5810" s="292"/>
      <c r="C5810" s="312"/>
      <c r="D5810" s="292"/>
      <c r="E5810" s="489"/>
      <c r="F5810" s="489"/>
      <c r="G5810" s="490"/>
      <c r="H5810" s="520"/>
      <c r="I5810" s="523"/>
      <c r="J5810" s="521"/>
      <c r="K5810" s="522"/>
      <c r="M5810" s="301" t="str">
        <f>N5810&amp;AS[[#This Row],[Insurer Code]]&amp;"; "&amp;O5810&amp;AS[[#This Row],[Reporting Year]]&amp;"; "&amp;P5810&amp;AS[[#This Row],[Insurance Category Code]]&amp;"; "&amp;Q5810&amp;AS[[#This Row],[Large Provider Entity Code]]&amp;"; "&amp;R5810&amp;AS[[#This Row],[Age Band Code]]&amp;"; "&amp;S5810&amp;AS[[#This Row],[Sex Code]]</f>
        <v xml:space="preserve">Insurer Code ; Reporting Year ; Insurance Category Code ; Large Provider Entity Code ; Age Band Code ; Sex Code </v>
      </c>
      <c r="N5810" s="297" t="s">
        <v>197</v>
      </c>
      <c r="O5810" s="297" t="s">
        <v>198</v>
      </c>
      <c r="P5810" s="297" t="s">
        <v>199</v>
      </c>
      <c r="Q5810" s="297" t="s">
        <v>200</v>
      </c>
      <c r="R5810" s="297" t="s">
        <v>213</v>
      </c>
      <c r="S5810" s="297" t="s">
        <v>214</v>
      </c>
    </row>
    <row r="5811" spans="1:19" x14ac:dyDescent="0.4">
      <c r="A5811" s="291"/>
      <c r="B5811" s="292"/>
      <c r="C5811" s="312"/>
      <c r="D5811" s="292"/>
      <c r="E5811" s="489"/>
      <c r="F5811" s="489"/>
      <c r="G5811" s="490"/>
      <c r="H5811" s="520"/>
      <c r="I5811" s="523"/>
      <c r="J5811" s="521"/>
      <c r="K5811" s="522"/>
      <c r="M5811" s="301" t="str">
        <f>N5811&amp;AS[[#This Row],[Insurer Code]]&amp;"; "&amp;O5811&amp;AS[[#This Row],[Reporting Year]]&amp;"; "&amp;P5811&amp;AS[[#This Row],[Insurance Category Code]]&amp;"; "&amp;Q5811&amp;AS[[#This Row],[Large Provider Entity Code]]&amp;"; "&amp;R5811&amp;AS[[#This Row],[Age Band Code]]&amp;"; "&amp;S5811&amp;AS[[#This Row],[Sex Code]]</f>
        <v xml:space="preserve">Insurer Code ; Reporting Year ; Insurance Category Code ; Large Provider Entity Code ; Age Band Code ; Sex Code </v>
      </c>
      <c r="N5811" s="297" t="s">
        <v>197</v>
      </c>
      <c r="O5811" s="297" t="s">
        <v>198</v>
      </c>
      <c r="P5811" s="297" t="s">
        <v>199</v>
      </c>
      <c r="Q5811" s="297" t="s">
        <v>200</v>
      </c>
      <c r="R5811" s="297" t="s">
        <v>213</v>
      </c>
      <c r="S5811" s="297" t="s">
        <v>214</v>
      </c>
    </row>
    <row r="5812" spans="1:19" x14ac:dyDescent="0.4">
      <c r="A5812" s="291"/>
      <c r="B5812" s="292"/>
      <c r="C5812" s="312"/>
      <c r="D5812" s="292"/>
      <c r="E5812" s="489"/>
      <c r="F5812" s="489"/>
      <c r="G5812" s="490"/>
      <c r="H5812" s="520"/>
      <c r="I5812" s="523"/>
      <c r="J5812" s="521"/>
      <c r="K5812" s="522"/>
      <c r="M5812" s="301" t="str">
        <f>N5812&amp;AS[[#This Row],[Insurer Code]]&amp;"; "&amp;O5812&amp;AS[[#This Row],[Reporting Year]]&amp;"; "&amp;P5812&amp;AS[[#This Row],[Insurance Category Code]]&amp;"; "&amp;Q5812&amp;AS[[#This Row],[Large Provider Entity Code]]&amp;"; "&amp;R5812&amp;AS[[#This Row],[Age Band Code]]&amp;"; "&amp;S5812&amp;AS[[#This Row],[Sex Code]]</f>
        <v xml:space="preserve">Insurer Code ; Reporting Year ; Insurance Category Code ; Large Provider Entity Code ; Age Band Code ; Sex Code </v>
      </c>
      <c r="N5812" s="297" t="s">
        <v>197</v>
      </c>
      <c r="O5812" s="297" t="s">
        <v>198</v>
      </c>
      <c r="P5812" s="297" t="s">
        <v>199</v>
      </c>
      <c r="Q5812" s="297" t="s">
        <v>200</v>
      </c>
      <c r="R5812" s="297" t="s">
        <v>213</v>
      </c>
      <c r="S5812" s="297" t="s">
        <v>214</v>
      </c>
    </row>
    <row r="5813" spans="1:19" x14ac:dyDescent="0.4">
      <c r="A5813" s="291"/>
      <c r="B5813" s="292"/>
      <c r="C5813" s="312"/>
      <c r="D5813" s="292"/>
      <c r="E5813" s="489"/>
      <c r="F5813" s="489"/>
      <c r="G5813" s="490"/>
      <c r="H5813" s="520"/>
      <c r="I5813" s="523"/>
      <c r="J5813" s="521"/>
      <c r="K5813" s="522"/>
      <c r="M5813" s="301" t="str">
        <f>N5813&amp;AS[[#This Row],[Insurer Code]]&amp;"; "&amp;O5813&amp;AS[[#This Row],[Reporting Year]]&amp;"; "&amp;P5813&amp;AS[[#This Row],[Insurance Category Code]]&amp;"; "&amp;Q5813&amp;AS[[#This Row],[Large Provider Entity Code]]&amp;"; "&amp;R5813&amp;AS[[#This Row],[Age Band Code]]&amp;"; "&amp;S5813&amp;AS[[#This Row],[Sex Code]]</f>
        <v xml:space="preserve">Insurer Code ; Reporting Year ; Insurance Category Code ; Large Provider Entity Code ; Age Band Code ; Sex Code </v>
      </c>
      <c r="N5813" s="297" t="s">
        <v>197</v>
      </c>
      <c r="O5813" s="297" t="s">
        <v>198</v>
      </c>
      <c r="P5813" s="297" t="s">
        <v>199</v>
      </c>
      <c r="Q5813" s="297" t="s">
        <v>200</v>
      </c>
      <c r="R5813" s="297" t="s">
        <v>213</v>
      </c>
      <c r="S5813" s="297" t="s">
        <v>214</v>
      </c>
    </row>
    <row r="5814" spans="1:19" x14ac:dyDescent="0.4">
      <c r="A5814" s="291"/>
      <c r="B5814" s="292"/>
      <c r="C5814" s="312"/>
      <c r="D5814" s="292"/>
      <c r="E5814" s="489"/>
      <c r="F5814" s="489"/>
      <c r="G5814" s="490"/>
      <c r="H5814" s="520"/>
      <c r="I5814" s="523"/>
      <c r="J5814" s="521"/>
      <c r="K5814" s="522"/>
      <c r="M5814" s="301" t="str">
        <f>N5814&amp;AS[[#This Row],[Insurer Code]]&amp;"; "&amp;O5814&amp;AS[[#This Row],[Reporting Year]]&amp;"; "&amp;P5814&amp;AS[[#This Row],[Insurance Category Code]]&amp;"; "&amp;Q5814&amp;AS[[#This Row],[Large Provider Entity Code]]&amp;"; "&amp;R5814&amp;AS[[#This Row],[Age Band Code]]&amp;"; "&amp;S5814&amp;AS[[#This Row],[Sex Code]]</f>
        <v xml:space="preserve">Insurer Code ; Reporting Year ; Insurance Category Code ; Large Provider Entity Code ; Age Band Code ; Sex Code </v>
      </c>
      <c r="N5814" s="297" t="s">
        <v>197</v>
      </c>
      <c r="O5814" s="297" t="s">
        <v>198</v>
      </c>
      <c r="P5814" s="297" t="s">
        <v>199</v>
      </c>
      <c r="Q5814" s="297" t="s">
        <v>200</v>
      </c>
      <c r="R5814" s="297" t="s">
        <v>213</v>
      </c>
      <c r="S5814" s="297" t="s">
        <v>214</v>
      </c>
    </row>
    <row r="5815" spans="1:19" x14ac:dyDescent="0.4">
      <c r="A5815" s="291"/>
      <c r="B5815" s="292"/>
      <c r="C5815" s="312"/>
      <c r="D5815" s="292"/>
      <c r="E5815" s="489"/>
      <c r="F5815" s="489"/>
      <c r="G5815" s="490"/>
      <c r="H5815" s="520"/>
      <c r="I5815" s="523"/>
      <c r="J5815" s="521"/>
      <c r="K5815" s="522"/>
      <c r="M5815" s="301" t="str">
        <f>N5815&amp;AS[[#This Row],[Insurer Code]]&amp;"; "&amp;O5815&amp;AS[[#This Row],[Reporting Year]]&amp;"; "&amp;P5815&amp;AS[[#This Row],[Insurance Category Code]]&amp;"; "&amp;Q5815&amp;AS[[#This Row],[Large Provider Entity Code]]&amp;"; "&amp;R5815&amp;AS[[#This Row],[Age Band Code]]&amp;"; "&amp;S5815&amp;AS[[#This Row],[Sex Code]]</f>
        <v xml:space="preserve">Insurer Code ; Reporting Year ; Insurance Category Code ; Large Provider Entity Code ; Age Band Code ; Sex Code </v>
      </c>
      <c r="N5815" s="297" t="s">
        <v>197</v>
      </c>
      <c r="O5815" s="297" t="s">
        <v>198</v>
      </c>
      <c r="P5815" s="297" t="s">
        <v>199</v>
      </c>
      <c r="Q5815" s="297" t="s">
        <v>200</v>
      </c>
      <c r="R5815" s="297" t="s">
        <v>213</v>
      </c>
      <c r="S5815" s="297" t="s">
        <v>214</v>
      </c>
    </row>
    <row r="5816" spans="1:19" x14ac:dyDescent="0.4">
      <c r="A5816" s="291"/>
      <c r="B5816" s="292"/>
      <c r="C5816" s="312"/>
      <c r="D5816" s="292"/>
      <c r="E5816" s="489"/>
      <c r="F5816" s="489"/>
      <c r="G5816" s="490"/>
      <c r="H5816" s="520"/>
      <c r="I5816" s="523"/>
      <c r="J5816" s="521"/>
      <c r="K5816" s="522"/>
      <c r="M5816" s="301" t="str">
        <f>N5816&amp;AS[[#This Row],[Insurer Code]]&amp;"; "&amp;O5816&amp;AS[[#This Row],[Reporting Year]]&amp;"; "&amp;P5816&amp;AS[[#This Row],[Insurance Category Code]]&amp;"; "&amp;Q5816&amp;AS[[#This Row],[Large Provider Entity Code]]&amp;"; "&amp;R5816&amp;AS[[#This Row],[Age Band Code]]&amp;"; "&amp;S5816&amp;AS[[#This Row],[Sex Code]]</f>
        <v xml:space="preserve">Insurer Code ; Reporting Year ; Insurance Category Code ; Large Provider Entity Code ; Age Band Code ; Sex Code </v>
      </c>
      <c r="N5816" s="297" t="s">
        <v>197</v>
      </c>
      <c r="O5816" s="297" t="s">
        <v>198</v>
      </c>
      <c r="P5816" s="297" t="s">
        <v>199</v>
      </c>
      <c r="Q5816" s="297" t="s">
        <v>200</v>
      </c>
      <c r="R5816" s="297" t="s">
        <v>213</v>
      </c>
      <c r="S5816" s="297" t="s">
        <v>214</v>
      </c>
    </row>
    <row r="5817" spans="1:19" x14ac:dyDescent="0.4">
      <c r="A5817" s="291"/>
      <c r="B5817" s="292"/>
      <c r="C5817" s="312"/>
      <c r="D5817" s="292"/>
      <c r="E5817" s="489"/>
      <c r="F5817" s="489"/>
      <c r="G5817" s="490"/>
      <c r="H5817" s="520"/>
      <c r="I5817" s="523"/>
      <c r="J5817" s="521"/>
      <c r="K5817" s="522"/>
      <c r="M5817" s="301" t="str">
        <f>N5817&amp;AS[[#This Row],[Insurer Code]]&amp;"; "&amp;O5817&amp;AS[[#This Row],[Reporting Year]]&amp;"; "&amp;P5817&amp;AS[[#This Row],[Insurance Category Code]]&amp;"; "&amp;Q5817&amp;AS[[#This Row],[Large Provider Entity Code]]&amp;"; "&amp;R5817&amp;AS[[#This Row],[Age Band Code]]&amp;"; "&amp;S5817&amp;AS[[#This Row],[Sex Code]]</f>
        <v xml:space="preserve">Insurer Code ; Reporting Year ; Insurance Category Code ; Large Provider Entity Code ; Age Band Code ; Sex Code </v>
      </c>
      <c r="N5817" s="297" t="s">
        <v>197</v>
      </c>
      <c r="O5817" s="297" t="s">
        <v>198</v>
      </c>
      <c r="P5817" s="297" t="s">
        <v>199</v>
      </c>
      <c r="Q5817" s="297" t="s">
        <v>200</v>
      </c>
      <c r="R5817" s="297" t="s">
        <v>213</v>
      </c>
      <c r="S5817" s="297" t="s">
        <v>214</v>
      </c>
    </row>
    <row r="5818" spans="1:19" x14ac:dyDescent="0.4">
      <c r="A5818" s="291"/>
      <c r="B5818" s="292"/>
      <c r="C5818" s="312"/>
      <c r="D5818" s="292"/>
      <c r="E5818" s="489"/>
      <c r="F5818" s="489"/>
      <c r="G5818" s="490"/>
      <c r="H5818" s="520"/>
      <c r="I5818" s="523"/>
      <c r="J5818" s="521"/>
      <c r="K5818" s="522"/>
      <c r="M5818" s="301" t="str">
        <f>N5818&amp;AS[[#This Row],[Insurer Code]]&amp;"; "&amp;O5818&amp;AS[[#This Row],[Reporting Year]]&amp;"; "&amp;P5818&amp;AS[[#This Row],[Insurance Category Code]]&amp;"; "&amp;Q5818&amp;AS[[#This Row],[Large Provider Entity Code]]&amp;"; "&amp;R5818&amp;AS[[#This Row],[Age Band Code]]&amp;"; "&amp;S5818&amp;AS[[#This Row],[Sex Code]]</f>
        <v xml:space="preserve">Insurer Code ; Reporting Year ; Insurance Category Code ; Large Provider Entity Code ; Age Band Code ; Sex Code </v>
      </c>
      <c r="N5818" s="297" t="s">
        <v>197</v>
      </c>
      <c r="O5818" s="297" t="s">
        <v>198</v>
      </c>
      <c r="P5818" s="297" t="s">
        <v>199</v>
      </c>
      <c r="Q5818" s="297" t="s">
        <v>200</v>
      </c>
      <c r="R5818" s="297" t="s">
        <v>213</v>
      </c>
      <c r="S5818" s="297" t="s">
        <v>214</v>
      </c>
    </row>
    <row r="5819" spans="1:19" x14ac:dyDescent="0.4">
      <c r="A5819" s="291"/>
      <c r="B5819" s="292"/>
      <c r="C5819" s="312"/>
      <c r="D5819" s="292"/>
      <c r="E5819" s="489"/>
      <c r="F5819" s="489"/>
      <c r="G5819" s="490"/>
      <c r="H5819" s="520"/>
      <c r="I5819" s="523"/>
      <c r="J5819" s="521"/>
      <c r="K5819" s="522"/>
      <c r="M5819" s="301" t="str">
        <f>N5819&amp;AS[[#This Row],[Insurer Code]]&amp;"; "&amp;O5819&amp;AS[[#This Row],[Reporting Year]]&amp;"; "&amp;P5819&amp;AS[[#This Row],[Insurance Category Code]]&amp;"; "&amp;Q5819&amp;AS[[#This Row],[Large Provider Entity Code]]&amp;"; "&amp;R5819&amp;AS[[#This Row],[Age Band Code]]&amp;"; "&amp;S5819&amp;AS[[#This Row],[Sex Code]]</f>
        <v xml:space="preserve">Insurer Code ; Reporting Year ; Insurance Category Code ; Large Provider Entity Code ; Age Band Code ; Sex Code </v>
      </c>
      <c r="N5819" s="297" t="s">
        <v>197</v>
      </c>
      <c r="O5819" s="297" t="s">
        <v>198</v>
      </c>
      <c r="P5819" s="297" t="s">
        <v>199</v>
      </c>
      <c r="Q5819" s="297" t="s">
        <v>200</v>
      </c>
      <c r="R5819" s="297" t="s">
        <v>213</v>
      </c>
      <c r="S5819" s="297" t="s">
        <v>214</v>
      </c>
    </row>
    <row r="5820" spans="1:19" x14ac:dyDescent="0.4">
      <c r="A5820" s="291"/>
      <c r="B5820" s="292"/>
      <c r="C5820" s="312"/>
      <c r="D5820" s="292"/>
      <c r="E5820" s="489"/>
      <c r="F5820" s="489"/>
      <c r="G5820" s="490"/>
      <c r="H5820" s="520"/>
      <c r="I5820" s="523"/>
      <c r="J5820" s="521"/>
      <c r="K5820" s="522"/>
      <c r="M5820" s="301" t="str">
        <f>N5820&amp;AS[[#This Row],[Insurer Code]]&amp;"; "&amp;O5820&amp;AS[[#This Row],[Reporting Year]]&amp;"; "&amp;P5820&amp;AS[[#This Row],[Insurance Category Code]]&amp;"; "&amp;Q5820&amp;AS[[#This Row],[Large Provider Entity Code]]&amp;"; "&amp;R5820&amp;AS[[#This Row],[Age Band Code]]&amp;"; "&amp;S5820&amp;AS[[#This Row],[Sex Code]]</f>
        <v xml:space="preserve">Insurer Code ; Reporting Year ; Insurance Category Code ; Large Provider Entity Code ; Age Band Code ; Sex Code </v>
      </c>
      <c r="N5820" s="297" t="s">
        <v>197</v>
      </c>
      <c r="O5820" s="297" t="s">
        <v>198</v>
      </c>
      <c r="P5820" s="297" t="s">
        <v>199</v>
      </c>
      <c r="Q5820" s="297" t="s">
        <v>200</v>
      </c>
      <c r="R5820" s="297" t="s">
        <v>213</v>
      </c>
      <c r="S5820" s="297" t="s">
        <v>214</v>
      </c>
    </row>
    <row r="5821" spans="1:19" x14ac:dyDescent="0.4">
      <c r="A5821" s="291"/>
      <c r="B5821" s="292"/>
      <c r="C5821" s="312"/>
      <c r="D5821" s="292"/>
      <c r="E5821" s="489"/>
      <c r="F5821" s="489"/>
      <c r="G5821" s="490"/>
      <c r="H5821" s="520"/>
      <c r="I5821" s="523"/>
      <c r="J5821" s="521"/>
      <c r="K5821" s="522"/>
      <c r="M5821" s="301" t="str">
        <f>N5821&amp;AS[[#This Row],[Insurer Code]]&amp;"; "&amp;O5821&amp;AS[[#This Row],[Reporting Year]]&amp;"; "&amp;P5821&amp;AS[[#This Row],[Insurance Category Code]]&amp;"; "&amp;Q5821&amp;AS[[#This Row],[Large Provider Entity Code]]&amp;"; "&amp;R5821&amp;AS[[#This Row],[Age Band Code]]&amp;"; "&amp;S5821&amp;AS[[#This Row],[Sex Code]]</f>
        <v xml:space="preserve">Insurer Code ; Reporting Year ; Insurance Category Code ; Large Provider Entity Code ; Age Band Code ; Sex Code </v>
      </c>
      <c r="N5821" s="297" t="s">
        <v>197</v>
      </c>
      <c r="O5821" s="297" t="s">
        <v>198</v>
      </c>
      <c r="P5821" s="297" t="s">
        <v>199</v>
      </c>
      <c r="Q5821" s="297" t="s">
        <v>200</v>
      </c>
      <c r="R5821" s="297" t="s">
        <v>213</v>
      </c>
      <c r="S5821" s="297" t="s">
        <v>214</v>
      </c>
    </row>
    <row r="5822" spans="1:19" x14ac:dyDescent="0.4">
      <c r="A5822" s="291"/>
      <c r="B5822" s="292"/>
      <c r="C5822" s="312"/>
      <c r="D5822" s="292"/>
      <c r="E5822" s="489"/>
      <c r="F5822" s="489"/>
      <c r="G5822" s="490"/>
      <c r="H5822" s="520"/>
      <c r="I5822" s="523"/>
      <c r="J5822" s="521"/>
      <c r="K5822" s="522"/>
      <c r="M5822" s="301" t="str">
        <f>N5822&amp;AS[[#This Row],[Insurer Code]]&amp;"; "&amp;O5822&amp;AS[[#This Row],[Reporting Year]]&amp;"; "&amp;P5822&amp;AS[[#This Row],[Insurance Category Code]]&amp;"; "&amp;Q5822&amp;AS[[#This Row],[Large Provider Entity Code]]&amp;"; "&amp;R5822&amp;AS[[#This Row],[Age Band Code]]&amp;"; "&amp;S5822&amp;AS[[#This Row],[Sex Code]]</f>
        <v xml:space="preserve">Insurer Code ; Reporting Year ; Insurance Category Code ; Large Provider Entity Code ; Age Band Code ; Sex Code </v>
      </c>
      <c r="N5822" s="297" t="s">
        <v>197</v>
      </c>
      <c r="O5822" s="297" t="s">
        <v>198</v>
      </c>
      <c r="P5822" s="297" t="s">
        <v>199</v>
      </c>
      <c r="Q5822" s="297" t="s">
        <v>200</v>
      </c>
      <c r="R5822" s="297" t="s">
        <v>213</v>
      </c>
      <c r="S5822" s="297" t="s">
        <v>214</v>
      </c>
    </row>
    <row r="5823" spans="1:19" x14ac:dyDescent="0.4">
      <c r="A5823" s="291"/>
      <c r="B5823" s="292"/>
      <c r="C5823" s="312"/>
      <c r="D5823" s="292"/>
      <c r="E5823" s="489"/>
      <c r="F5823" s="489"/>
      <c r="G5823" s="490"/>
      <c r="H5823" s="520"/>
      <c r="I5823" s="523"/>
      <c r="J5823" s="521"/>
      <c r="K5823" s="522"/>
      <c r="M5823" s="301" t="str">
        <f>N5823&amp;AS[[#This Row],[Insurer Code]]&amp;"; "&amp;O5823&amp;AS[[#This Row],[Reporting Year]]&amp;"; "&amp;P5823&amp;AS[[#This Row],[Insurance Category Code]]&amp;"; "&amp;Q5823&amp;AS[[#This Row],[Large Provider Entity Code]]&amp;"; "&amp;R5823&amp;AS[[#This Row],[Age Band Code]]&amp;"; "&amp;S5823&amp;AS[[#This Row],[Sex Code]]</f>
        <v xml:space="preserve">Insurer Code ; Reporting Year ; Insurance Category Code ; Large Provider Entity Code ; Age Band Code ; Sex Code </v>
      </c>
      <c r="N5823" s="297" t="s">
        <v>197</v>
      </c>
      <c r="O5823" s="297" t="s">
        <v>198</v>
      </c>
      <c r="P5823" s="297" t="s">
        <v>199</v>
      </c>
      <c r="Q5823" s="297" t="s">
        <v>200</v>
      </c>
      <c r="R5823" s="297" t="s">
        <v>213</v>
      </c>
      <c r="S5823" s="297" t="s">
        <v>214</v>
      </c>
    </row>
    <row r="5824" spans="1:19" x14ac:dyDescent="0.4">
      <c r="A5824" s="291"/>
      <c r="B5824" s="292"/>
      <c r="C5824" s="312"/>
      <c r="D5824" s="292"/>
      <c r="E5824" s="489"/>
      <c r="F5824" s="489"/>
      <c r="G5824" s="490"/>
      <c r="H5824" s="520"/>
      <c r="I5824" s="523"/>
      <c r="J5824" s="521"/>
      <c r="K5824" s="522"/>
      <c r="M5824" s="301" t="str">
        <f>N5824&amp;AS[[#This Row],[Insurer Code]]&amp;"; "&amp;O5824&amp;AS[[#This Row],[Reporting Year]]&amp;"; "&amp;P5824&amp;AS[[#This Row],[Insurance Category Code]]&amp;"; "&amp;Q5824&amp;AS[[#This Row],[Large Provider Entity Code]]&amp;"; "&amp;R5824&amp;AS[[#This Row],[Age Band Code]]&amp;"; "&amp;S5824&amp;AS[[#This Row],[Sex Code]]</f>
        <v xml:space="preserve">Insurer Code ; Reporting Year ; Insurance Category Code ; Large Provider Entity Code ; Age Band Code ; Sex Code </v>
      </c>
      <c r="N5824" s="297" t="s">
        <v>197</v>
      </c>
      <c r="O5824" s="297" t="s">
        <v>198</v>
      </c>
      <c r="P5824" s="297" t="s">
        <v>199</v>
      </c>
      <c r="Q5824" s="297" t="s">
        <v>200</v>
      </c>
      <c r="R5824" s="297" t="s">
        <v>213</v>
      </c>
      <c r="S5824" s="297" t="s">
        <v>214</v>
      </c>
    </row>
    <row r="5825" spans="1:19" x14ac:dyDescent="0.4">
      <c r="A5825" s="291"/>
      <c r="B5825" s="292"/>
      <c r="C5825" s="312"/>
      <c r="D5825" s="292"/>
      <c r="E5825" s="489"/>
      <c r="F5825" s="489"/>
      <c r="G5825" s="490"/>
      <c r="H5825" s="520"/>
      <c r="I5825" s="523"/>
      <c r="J5825" s="521"/>
      <c r="K5825" s="522"/>
      <c r="M5825" s="301" t="str">
        <f>N5825&amp;AS[[#This Row],[Insurer Code]]&amp;"; "&amp;O5825&amp;AS[[#This Row],[Reporting Year]]&amp;"; "&amp;P5825&amp;AS[[#This Row],[Insurance Category Code]]&amp;"; "&amp;Q5825&amp;AS[[#This Row],[Large Provider Entity Code]]&amp;"; "&amp;R5825&amp;AS[[#This Row],[Age Band Code]]&amp;"; "&amp;S5825&amp;AS[[#This Row],[Sex Code]]</f>
        <v xml:space="preserve">Insurer Code ; Reporting Year ; Insurance Category Code ; Large Provider Entity Code ; Age Band Code ; Sex Code </v>
      </c>
      <c r="N5825" s="297" t="s">
        <v>197</v>
      </c>
      <c r="O5825" s="297" t="s">
        <v>198</v>
      </c>
      <c r="P5825" s="297" t="s">
        <v>199</v>
      </c>
      <c r="Q5825" s="297" t="s">
        <v>200</v>
      </c>
      <c r="R5825" s="297" t="s">
        <v>213</v>
      </c>
      <c r="S5825" s="297" t="s">
        <v>214</v>
      </c>
    </row>
    <row r="5826" spans="1:19" x14ac:dyDescent="0.4">
      <c r="A5826" s="291"/>
      <c r="B5826" s="292"/>
      <c r="C5826" s="312"/>
      <c r="D5826" s="292"/>
      <c r="E5826" s="489"/>
      <c r="F5826" s="489"/>
      <c r="G5826" s="490"/>
      <c r="H5826" s="520"/>
      <c r="I5826" s="523"/>
      <c r="J5826" s="521"/>
      <c r="K5826" s="522"/>
      <c r="M5826" s="301" t="str">
        <f>N5826&amp;AS[[#This Row],[Insurer Code]]&amp;"; "&amp;O5826&amp;AS[[#This Row],[Reporting Year]]&amp;"; "&amp;P5826&amp;AS[[#This Row],[Insurance Category Code]]&amp;"; "&amp;Q5826&amp;AS[[#This Row],[Large Provider Entity Code]]&amp;"; "&amp;R5826&amp;AS[[#This Row],[Age Band Code]]&amp;"; "&amp;S5826&amp;AS[[#This Row],[Sex Code]]</f>
        <v xml:space="preserve">Insurer Code ; Reporting Year ; Insurance Category Code ; Large Provider Entity Code ; Age Band Code ; Sex Code </v>
      </c>
      <c r="N5826" s="297" t="s">
        <v>197</v>
      </c>
      <c r="O5826" s="297" t="s">
        <v>198</v>
      </c>
      <c r="P5826" s="297" t="s">
        <v>199</v>
      </c>
      <c r="Q5826" s="297" t="s">
        <v>200</v>
      </c>
      <c r="R5826" s="297" t="s">
        <v>213</v>
      </c>
      <c r="S5826" s="297" t="s">
        <v>214</v>
      </c>
    </row>
    <row r="5827" spans="1:19" x14ac:dyDescent="0.4">
      <c r="A5827" s="291"/>
      <c r="B5827" s="292"/>
      <c r="C5827" s="312"/>
      <c r="D5827" s="292"/>
      <c r="E5827" s="489"/>
      <c r="F5827" s="489"/>
      <c r="G5827" s="490"/>
      <c r="H5827" s="520"/>
      <c r="I5827" s="523"/>
      <c r="J5827" s="521"/>
      <c r="K5827" s="522"/>
      <c r="M5827" s="301" t="str">
        <f>N5827&amp;AS[[#This Row],[Insurer Code]]&amp;"; "&amp;O5827&amp;AS[[#This Row],[Reporting Year]]&amp;"; "&amp;P5827&amp;AS[[#This Row],[Insurance Category Code]]&amp;"; "&amp;Q5827&amp;AS[[#This Row],[Large Provider Entity Code]]&amp;"; "&amp;R5827&amp;AS[[#This Row],[Age Band Code]]&amp;"; "&amp;S5827&amp;AS[[#This Row],[Sex Code]]</f>
        <v xml:space="preserve">Insurer Code ; Reporting Year ; Insurance Category Code ; Large Provider Entity Code ; Age Band Code ; Sex Code </v>
      </c>
      <c r="N5827" s="297" t="s">
        <v>197</v>
      </c>
      <c r="O5827" s="297" t="s">
        <v>198</v>
      </c>
      <c r="P5827" s="297" t="s">
        <v>199</v>
      </c>
      <c r="Q5827" s="297" t="s">
        <v>200</v>
      </c>
      <c r="R5827" s="297" t="s">
        <v>213</v>
      </c>
      <c r="S5827" s="297" t="s">
        <v>214</v>
      </c>
    </row>
    <row r="5828" spans="1:19" x14ac:dyDescent="0.4">
      <c r="A5828" s="291"/>
      <c r="B5828" s="292"/>
      <c r="C5828" s="312"/>
      <c r="D5828" s="292"/>
      <c r="E5828" s="489"/>
      <c r="F5828" s="489"/>
      <c r="G5828" s="490"/>
      <c r="H5828" s="520"/>
      <c r="I5828" s="523"/>
      <c r="J5828" s="521"/>
      <c r="K5828" s="522"/>
      <c r="M5828" s="301" t="str">
        <f>N5828&amp;AS[[#This Row],[Insurer Code]]&amp;"; "&amp;O5828&amp;AS[[#This Row],[Reporting Year]]&amp;"; "&amp;P5828&amp;AS[[#This Row],[Insurance Category Code]]&amp;"; "&amp;Q5828&amp;AS[[#This Row],[Large Provider Entity Code]]&amp;"; "&amp;R5828&amp;AS[[#This Row],[Age Band Code]]&amp;"; "&amp;S5828&amp;AS[[#This Row],[Sex Code]]</f>
        <v xml:space="preserve">Insurer Code ; Reporting Year ; Insurance Category Code ; Large Provider Entity Code ; Age Band Code ; Sex Code </v>
      </c>
      <c r="N5828" s="297" t="s">
        <v>197</v>
      </c>
      <c r="O5828" s="297" t="s">
        <v>198</v>
      </c>
      <c r="P5828" s="297" t="s">
        <v>199</v>
      </c>
      <c r="Q5828" s="297" t="s">
        <v>200</v>
      </c>
      <c r="R5828" s="297" t="s">
        <v>213</v>
      </c>
      <c r="S5828" s="297" t="s">
        <v>214</v>
      </c>
    </row>
    <row r="5829" spans="1:19" x14ac:dyDescent="0.4">
      <c r="A5829" s="291"/>
      <c r="B5829" s="292"/>
      <c r="C5829" s="312"/>
      <c r="D5829" s="292"/>
      <c r="E5829" s="489"/>
      <c r="F5829" s="489"/>
      <c r="G5829" s="490"/>
      <c r="H5829" s="520"/>
      <c r="I5829" s="523"/>
      <c r="J5829" s="521"/>
      <c r="K5829" s="522"/>
      <c r="M5829" s="301" t="str">
        <f>N5829&amp;AS[[#This Row],[Insurer Code]]&amp;"; "&amp;O5829&amp;AS[[#This Row],[Reporting Year]]&amp;"; "&amp;P5829&amp;AS[[#This Row],[Insurance Category Code]]&amp;"; "&amp;Q5829&amp;AS[[#This Row],[Large Provider Entity Code]]&amp;"; "&amp;R5829&amp;AS[[#This Row],[Age Band Code]]&amp;"; "&amp;S5829&amp;AS[[#This Row],[Sex Code]]</f>
        <v xml:space="preserve">Insurer Code ; Reporting Year ; Insurance Category Code ; Large Provider Entity Code ; Age Band Code ; Sex Code </v>
      </c>
      <c r="N5829" s="297" t="s">
        <v>197</v>
      </c>
      <c r="O5829" s="297" t="s">
        <v>198</v>
      </c>
      <c r="P5829" s="297" t="s">
        <v>199</v>
      </c>
      <c r="Q5829" s="297" t="s">
        <v>200</v>
      </c>
      <c r="R5829" s="297" t="s">
        <v>213</v>
      </c>
      <c r="S5829" s="297" t="s">
        <v>214</v>
      </c>
    </row>
    <row r="5830" spans="1:19" x14ac:dyDescent="0.4">
      <c r="A5830" s="291"/>
      <c r="B5830" s="292"/>
      <c r="C5830" s="312"/>
      <c r="D5830" s="292"/>
      <c r="E5830" s="489"/>
      <c r="F5830" s="489"/>
      <c r="G5830" s="490"/>
      <c r="H5830" s="520"/>
      <c r="I5830" s="523"/>
      <c r="J5830" s="521"/>
      <c r="K5830" s="522"/>
      <c r="M5830" s="301" t="str">
        <f>N5830&amp;AS[[#This Row],[Insurer Code]]&amp;"; "&amp;O5830&amp;AS[[#This Row],[Reporting Year]]&amp;"; "&amp;P5830&amp;AS[[#This Row],[Insurance Category Code]]&amp;"; "&amp;Q5830&amp;AS[[#This Row],[Large Provider Entity Code]]&amp;"; "&amp;R5830&amp;AS[[#This Row],[Age Band Code]]&amp;"; "&amp;S5830&amp;AS[[#This Row],[Sex Code]]</f>
        <v xml:space="preserve">Insurer Code ; Reporting Year ; Insurance Category Code ; Large Provider Entity Code ; Age Band Code ; Sex Code </v>
      </c>
      <c r="N5830" s="297" t="s">
        <v>197</v>
      </c>
      <c r="O5830" s="297" t="s">
        <v>198</v>
      </c>
      <c r="P5830" s="297" t="s">
        <v>199</v>
      </c>
      <c r="Q5830" s="297" t="s">
        <v>200</v>
      </c>
      <c r="R5830" s="297" t="s">
        <v>213</v>
      </c>
      <c r="S5830" s="297" t="s">
        <v>214</v>
      </c>
    </row>
    <row r="5831" spans="1:19" x14ac:dyDescent="0.4">
      <c r="A5831" s="291"/>
      <c r="B5831" s="292"/>
      <c r="C5831" s="312"/>
      <c r="D5831" s="292"/>
      <c r="E5831" s="489"/>
      <c r="F5831" s="489"/>
      <c r="G5831" s="490"/>
      <c r="H5831" s="520"/>
      <c r="I5831" s="523"/>
      <c r="J5831" s="521"/>
      <c r="K5831" s="522"/>
      <c r="M5831" s="301" t="str">
        <f>N5831&amp;AS[[#This Row],[Insurer Code]]&amp;"; "&amp;O5831&amp;AS[[#This Row],[Reporting Year]]&amp;"; "&amp;P5831&amp;AS[[#This Row],[Insurance Category Code]]&amp;"; "&amp;Q5831&amp;AS[[#This Row],[Large Provider Entity Code]]&amp;"; "&amp;R5831&amp;AS[[#This Row],[Age Band Code]]&amp;"; "&amp;S5831&amp;AS[[#This Row],[Sex Code]]</f>
        <v xml:space="preserve">Insurer Code ; Reporting Year ; Insurance Category Code ; Large Provider Entity Code ; Age Band Code ; Sex Code </v>
      </c>
      <c r="N5831" s="297" t="s">
        <v>197</v>
      </c>
      <c r="O5831" s="297" t="s">
        <v>198</v>
      </c>
      <c r="P5831" s="297" t="s">
        <v>199</v>
      </c>
      <c r="Q5831" s="297" t="s">
        <v>200</v>
      </c>
      <c r="R5831" s="297" t="s">
        <v>213</v>
      </c>
      <c r="S5831" s="297" t="s">
        <v>214</v>
      </c>
    </row>
    <row r="5832" spans="1:19" x14ac:dyDescent="0.4">
      <c r="A5832" s="291"/>
      <c r="B5832" s="292"/>
      <c r="C5832" s="312"/>
      <c r="D5832" s="292"/>
      <c r="E5832" s="489"/>
      <c r="F5832" s="489"/>
      <c r="G5832" s="490"/>
      <c r="H5832" s="520"/>
      <c r="I5832" s="523"/>
      <c r="J5832" s="521"/>
      <c r="K5832" s="522"/>
      <c r="M5832" s="301" t="str">
        <f>N5832&amp;AS[[#This Row],[Insurer Code]]&amp;"; "&amp;O5832&amp;AS[[#This Row],[Reporting Year]]&amp;"; "&amp;P5832&amp;AS[[#This Row],[Insurance Category Code]]&amp;"; "&amp;Q5832&amp;AS[[#This Row],[Large Provider Entity Code]]&amp;"; "&amp;R5832&amp;AS[[#This Row],[Age Band Code]]&amp;"; "&amp;S5832&amp;AS[[#This Row],[Sex Code]]</f>
        <v xml:space="preserve">Insurer Code ; Reporting Year ; Insurance Category Code ; Large Provider Entity Code ; Age Band Code ; Sex Code </v>
      </c>
      <c r="N5832" s="297" t="s">
        <v>197</v>
      </c>
      <c r="O5832" s="297" t="s">
        <v>198</v>
      </c>
      <c r="P5832" s="297" t="s">
        <v>199</v>
      </c>
      <c r="Q5832" s="297" t="s">
        <v>200</v>
      </c>
      <c r="R5832" s="297" t="s">
        <v>213</v>
      </c>
      <c r="S5832" s="297" t="s">
        <v>214</v>
      </c>
    </row>
    <row r="5833" spans="1:19" x14ac:dyDescent="0.4">
      <c r="A5833" s="291"/>
      <c r="B5833" s="292"/>
      <c r="C5833" s="312"/>
      <c r="D5833" s="292"/>
      <c r="E5833" s="489"/>
      <c r="F5833" s="489"/>
      <c r="G5833" s="490"/>
      <c r="H5833" s="520"/>
      <c r="I5833" s="523"/>
      <c r="J5833" s="521"/>
      <c r="K5833" s="522"/>
      <c r="M5833" s="301" t="str">
        <f>N5833&amp;AS[[#This Row],[Insurer Code]]&amp;"; "&amp;O5833&amp;AS[[#This Row],[Reporting Year]]&amp;"; "&amp;P5833&amp;AS[[#This Row],[Insurance Category Code]]&amp;"; "&amp;Q5833&amp;AS[[#This Row],[Large Provider Entity Code]]&amp;"; "&amp;R5833&amp;AS[[#This Row],[Age Band Code]]&amp;"; "&amp;S5833&amp;AS[[#This Row],[Sex Code]]</f>
        <v xml:space="preserve">Insurer Code ; Reporting Year ; Insurance Category Code ; Large Provider Entity Code ; Age Band Code ; Sex Code </v>
      </c>
      <c r="N5833" s="297" t="s">
        <v>197</v>
      </c>
      <c r="O5833" s="297" t="s">
        <v>198</v>
      </c>
      <c r="P5833" s="297" t="s">
        <v>199</v>
      </c>
      <c r="Q5833" s="297" t="s">
        <v>200</v>
      </c>
      <c r="R5833" s="297" t="s">
        <v>213</v>
      </c>
      <c r="S5833" s="297" t="s">
        <v>214</v>
      </c>
    </row>
    <row r="5834" spans="1:19" x14ac:dyDescent="0.4">
      <c r="A5834" s="291"/>
      <c r="B5834" s="292"/>
      <c r="C5834" s="312"/>
      <c r="D5834" s="292"/>
      <c r="E5834" s="489"/>
      <c r="F5834" s="489"/>
      <c r="G5834" s="490"/>
      <c r="H5834" s="520"/>
      <c r="I5834" s="523"/>
      <c r="J5834" s="521"/>
      <c r="K5834" s="522"/>
      <c r="M5834" s="301" t="str">
        <f>N5834&amp;AS[[#This Row],[Insurer Code]]&amp;"; "&amp;O5834&amp;AS[[#This Row],[Reporting Year]]&amp;"; "&amp;P5834&amp;AS[[#This Row],[Insurance Category Code]]&amp;"; "&amp;Q5834&amp;AS[[#This Row],[Large Provider Entity Code]]&amp;"; "&amp;R5834&amp;AS[[#This Row],[Age Band Code]]&amp;"; "&amp;S5834&amp;AS[[#This Row],[Sex Code]]</f>
        <v xml:space="preserve">Insurer Code ; Reporting Year ; Insurance Category Code ; Large Provider Entity Code ; Age Band Code ; Sex Code </v>
      </c>
      <c r="N5834" s="297" t="s">
        <v>197</v>
      </c>
      <c r="O5834" s="297" t="s">
        <v>198</v>
      </c>
      <c r="P5834" s="297" t="s">
        <v>199</v>
      </c>
      <c r="Q5834" s="297" t="s">
        <v>200</v>
      </c>
      <c r="R5834" s="297" t="s">
        <v>213</v>
      </c>
      <c r="S5834" s="297" t="s">
        <v>214</v>
      </c>
    </row>
    <row r="5835" spans="1:19" x14ac:dyDescent="0.4">
      <c r="A5835" s="291"/>
      <c r="B5835" s="292"/>
      <c r="C5835" s="312"/>
      <c r="D5835" s="292"/>
      <c r="E5835" s="489"/>
      <c r="F5835" s="489"/>
      <c r="G5835" s="490"/>
      <c r="H5835" s="520"/>
      <c r="I5835" s="523"/>
      <c r="J5835" s="521"/>
      <c r="K5835" s="522"/>
      <c r="M5835" s="301" t="str">
        <f>N5835&amp;AS[[#This Row],[Insurer Code]]&amp;"; "&amp;O5835&amp;AS[[#This Row],[Reporting Year]]&amp;"; "&amp;P5835&amp;AS[[#This Row],[Insurance Category Code]]&amp;"; "&amp;Q5835&amp;AS[[#This Row],[Large Provider Entity Code]]&amp;"; "&amp;R5835&amp;AS[[#This Row],[Age Band Code]]&amp;"; "&amp;S5835&amp;AS[[#This Row],[Sex Code]]</f>
        <v xml:space="preserve">Insurer Code ; Reporting Year ; Insurance Category Code ; Large Provider Entity Code ; Age Band Code ; Sex Code </v>
      </c>
      <c r="N5835" s="297" t="s">
        <v>197</v>
      </c>
      <c r="O5835" s="297" t="s">
        <v>198</v>
      </c>
      <c r="P5835" s="297" t="s">
        <v>199</v>
      </c>
      <c r="Q5835" s="297" t="s">
        <v>200</v>
      </c>
      <c r="R5835" s="297" t="s">
        <v>213</v>
      </c>
      <c r="S5835" s="297" t="s">
        <v>214</v>
      </c>
    </row>
    <row r="5836" spans="1:19" x14ac:dyDescent="0.4">
      <c r="A5836" s="291"/>
      <c r="B5836" s="292"/>
      <c r="C5836" s="312"/>
      <c r="D5836" s="292"/>
      <c r="E5836" s="489"/>
      <c r="F5836" s="489"/>
      <c r="G5836" s="490"/>
      <c r="H5836" s="520"/>
      <c r="I5836" s="523"/>
      <c r="J5836" s="521"/>
      <c r="K5836" s="522"/>
      <c r="M5836" s="301" t="str">
        <f>N5836&amp;AS[[#This Row],[Insurer Code]]&amp;"; "&amp;O5836&amp;AS[[#This Row],[Reporting Year]]&amp;"; "&amp;P5836&amp;AS[[#This Row],[Insurance Category Code]]&amp;"; "&amp;Q5836&amp;AS[[#This Row],[Large Provider Entity Code]]&amp;"; "&amp;R5836&amp;AS[[#This Row],[Age Band Code]]&amp;"; "&amp;S5836&amp;AS[[#This Row],[Sex Code]]</f>
        <v xml:space="preserve">Insurer Code ; Reporting Year ; Insurance Category Code ; Large Provider Entity Code ; Age Band Code ; Sex Code </v>
      </c>
      <c r="N5836" s="297" t="s">
        <v>197</v>
      </c>
      <c r="O5836" s="297" t="s">
        <v>198</v>
      </c>
      <c r="P5836" s="297" t="s">
        <v>199</v>
      </c>
      <c r="Q5836" s="297" t="s">
        <v>200</v>
      </c>
      <c r="R5836" s="297" t="s">
        <v>213</v>
      </c>
      <c r="S5836" s="297" t="s">
        <v>214</v>
      </c>
    </row>
    <row r="5837" spans="1:19" x14ac:dyDescent="0.4">
      <c r="A5837" s="291"/>
      <c r="B5837" s="292"/>
      <c r="C5837" s="312"/>
      <c r="D5837" s="292"/>
      <c r="E5837" s="489"/>
      <c r="F5837" s="489"/>
      <c r="G5837" s="490"/>
      <c r="H5837" s="520"/>
      <c r="I5837" s="523"/>
      <c r="J5837" s="521"/>
      <c r="K5837" s="522"/>
      <c r="M5837" s="301" t="str">
        <f>N5837&amp;AS[[#This Row],[Insurer Code]]&amp;"; "&amp;O5837&amp;AS[[#This Row],[Reporting Year]]&amp;"; "&amp;P5837&amp;AS[[#This Row],[Insurance Category Code]]&amp;"; "&amp;Q5837&amp;AS[[#This Row],[Large Provider Entity Code]]&amp;"; "&amp;R5837&amp;AS[[#This Row],[Age Band Code]]&amp;"; "&amp;S5837&amp;AS[[#This Row],[Sex Code]]</f>
        <v xml:space="preserve">Insurer Code ; Reporting Year ; Insurance Category Code ; Large Provider Entity Code ; Age Band Code ; Sex Code </v>
      </c>
      <c r="N5837" s="297" t="s">
        <v>197</v>
      </c>
      <c r="O5837" s="297" t="s">
        <v>198</v>
      </c>
      <c r="P5837" s="297" t="s">
        <v>199</v>
      </c>
      <c r="Q5837" s="297" t="s">
        <v>200</v>
      </c>
      <c r="R5837" s="297" t="s">
        <v>213</v>
      </c>
      <c r="S5837" s="297" t="s">
        <v>214</v>
      </c>
    </row>
    <row r="5838" spans="1:19" x14ac:dyDescent="0.4">
      <c r="A5838" s="291"/>
      <c r="B5838" s="292"/>
      <c r="C5838" s="312"/>
      <c r="D5838" s="292"/>
      <c r="E5838" s="489"/>
      <c r="F5838" s="489"/>
      <c r="G5838" s="490"/>
      <c r="H5838" s="520"/>
      <c r="I5838" s="523"/>
      <c r="J5838" s="521"/>
      <c r="K5838" s="522"/>
      <c r="M5838" s="301" t="str">
        <f>N5838&amp;AS[[#This Row],[Insurer Code]]&amp;"; "&amp;O5838&amp;AS[[#This Row],[Reporting Year]]&amp;"; "&amp;P5838&amp;AS[[#This Row],[Insurance Category Code]]&amp;"; "&amp;Q5838&amp;AS[[#This Row],[Large Provider Entity Code]]&amp;"; "&amp;R5838&amp;AS[[#This Row],[Age Band Code]]&amp;"; "&amp;S5838&amp;AS[[#This Row],[Sex Code]]</f>
        <v xml:space="preserve">Insurer Code ; Reporting Year ; Insurance Category Code ; Large Provider Entity Code ; Age Band Code ; Sex Code </v>
      </c>
      <c r="N5838" s="297" t="s">
        <v>197</v>
      </c>
      <c r="O5838" s="297" t="s">
        <v>198</v>
      </c>
      <c r="P5838" s="297" t="s">
        <v>199</v>
      </c>
      <c r="Q5838" s="297" t="s">
        <v>200</v>
      </c>
      <c r="R5838" s="297" t="s">
        <v>213</v>
      </c>
      <c r="S5838" s="297" t="s">
        <v>214</v>
      </c>
    </row>
    <row r="5839" spans="1:19" x14ac:dyDescent="0.4">
      <c r="A5839" s="291"/>
      <c r="B5839" s="292"/>
      <c r="C5839" s="312"/>
      <c r="D5839" s="292"/>
      <c r="E5839" s="489"/>
      <c r="F5839" s="489"/>
      <c r="G5839" s="490"/>
      <c r="H5839" s="520"/>
      <c r="I5839" s="523"/>
      <c r="J5839" s="521"/>
      <c r="K5839" s="522"/>
      <c r="M5839" s="301" t="str">
        <f>N5839&amp;AS[[#This Row],[Insurer Code]]&amp;"; "&amp;O5839&amp;AS[[#This Row],[Reporting Year]]&amp;"; "&amp;P5839&amp;AS[[#This Row],[Insurance Category Code]]&amp;"; "&amp;Q5839&amp;AS[[#This Row],[Large Provider Entity Code]]&amp;"; "&amp;R5839&amp;AS[[#This Row],[Age Band Code]]&amp;"; "&amp;S5839&amp;AS[[#This Row],[Sex Code]]</f>
        <v xml:space="preserve">Insurer Code ; Reporting Year ; Insurance Category Code ; Large Provider Entity Code ; Age Band Code ; Sex Code </v>
      </c>
      <c r="N5839" s="297" t="s">
        <v>197</v>
      </c>
      <c r="O5839" s="297" t="s">
        <v>198</v>
      </c>
      <c r="P5839" s="297" t="s">
        <v>199</v>
      </c>
      <c r="Q5839" s="297" t="s">
        <v>200</v>
      </c>
      <c r="R5839" s="297" t="s">
        <v>213</v>
      </c>
      <c r="S5839" s="297" t="s">
        <v>214</v>
      </c>
    </row>
    <row r="5840" spans="1:19" x14ac:dyDescent="0.4">
      <c r="A5840" s="291"/>
      <c r="B5840" s="292"/>
      <c r="C5840" s="312"/>
      <c r="D5840" s="292"/>
      <c r="E5840" s="489"/>
      <c r="F5840" s="489"/>
      <c r="G5840" s="490"/>
      <c r="H5840" s="520"/>
      <c r="I5840" s="523"/>
      <c r="J5840" s="521"/>
      <c r="K5840" s="522"/>
      <c r="M5840" s="301" t="str">
        <f>N5840&amp;AS[[#This Row],[Insurer Code]]&amp;"; "&amp;O5840&amp;AS[[#This Row],[Reporting Year]]&amp;"; "&amp;P5840&amp;AS[[#This Row],[Insurance Category Code]]&amp;"; "&amp;Q5840&amp;AS[[#This Row],[Large Provider Entity Code]]&amp;"; "&amp;R5840&amp;AS[[#This Row],[Age Band Code]]&amp;"; "&amp;S5840&amp;AS[[#This Row],[Sex Code]]</f>
        <v xml:space="preserve">Insurer Code ; Reporting Year ; Insurance Category Code ; Large Provider Entity Code ; Age Band Code ; Sex Code </v>
      </c>
      <c r="N5840" s="297" t="s">
        <v>197</v>
      </c>
      <c r="O5840" s="297" t="s">
        <v>198</v>
      </c>
      <c r="P5840" s="297" t="s">
        <v>199</v>
      </c>
      <c r="Q5840" s="297" t="s">
        <v>200</v>
      </c>
      <c r="R5840" s="297" t="s">
        <v>213</v>
      </c>
      <c r="S5840" s="297" t="s">
        <v>214</v>
      </c>
    </row>
    <row r="5841" spans="1:19" x14ac:dyDescent="0.4">
      <c r="A5841" s="291"/>
      <c r="B5841" s="292"/>
      <c r="C5841" s="312"/>
      <c r="D5841" s="292"/>
      <c r="E5841" s="489"/>
      <c r="F5841" s="489"/>
      <c r="G5841" s="490"/>
      <c r="H5841" s="520"/>
      <c r="I5841" s="523"/>
      <c r="J5841" s="521"/>
      <c r="K5841" s="522"/>
      <c r="M5841" s="301" t="str">
        <f>N5841&amp;AS[[#This Row],[Insurer Code]]&amp;"; "&amp;O5841&amp;AS[[#This Row],[Reporting Year]]&amp;"; "&amp;P5841&amp;AS[[#This Row],[Insurance Category Code]]&amp;"; "&amp;Q5841&amp;AS[[#This Row],[Large Provider Entity Code]]&amp;"; "&amp;R5841&amp;AS[[#This Row],[Age Band Code]]&amp;"; "&amp;S5841&amp;AS[[#This Row],[Sex Code]]</f>
        <v xml:space="preserve">Insurer Code ; Reporting Year ; Insurance Category Code ; Large Provider Entity Code ; Age Band Code ; Sex Code </v>
      </c>
      <c r="N5841" s="297" t="s">
        <v>197</v>
      </c>
      <c r="O5841" s="297" t="s">
        <v>198</v>
      </c>
      <c r="P5841" s="297" t="s">
        <v>199</v>
      </c>
      <c r="Q5841" s="297" t="s">
        <v>200</v>
      </c>
      <c r="R5841" s="297" t="s">
        <v>213</v>
      </c>
      <c r="S5841" s="297" t="s">
        <v>214</v>
      </c>
    </row>
    <row r="5842" spans="1:19" x14ac:dyDescent="0.4">
      <c r="A5842" s="291"/>
      <c r="B5842" s="292"/>
      <c r="C5842" s="312"/>
      <c r="D5842" s="292"/>
      <c r="E5842" s="489"/>
      <c r="F5842" s="489"/>
      <c r="G5842" s="490"/>
      <c r="H5842" s="520"/>
      <c r="I5842" s="523"/>
      <c r="J5842" s="521"/>
      <c r="K5842" s="522"/>
      <c r="M5842" s="301" t="str">
        <f>N5842&amp;AS[[#This Row],[Insurer Code]]&amp;"; "&amp;O5842&amp;AS[[#This Row],[Reporting Year]]&amp;"; "&amp;P5842&amp;AS[[#This Row],[Insurance Category Code]]&amp;"; "&amp;Q5842&amp;AS[[#This Row],[Large Provider Entity Code]]&amp;"; "&amp;R5842&amp;AS[[#This Row],[Age Band Code]]&amp;"; "&amp;S5842&amp;AS[[#This Row],[Sex Code]]</f>
        <v xml:space="preserve">Insurer Code ; Reporting Year ; Insurance Category Code ; Large Provider Entity Code ; Age Band Code ; Sex Code </v>
      </c>
      <c r="N5842" s="297" t="s">
        <v>197</v>
      </c>
      <c r="O5842" s="297" t="s">
        <v>198</v>
      </c>
      <c r="P5842" s="297" t="s">
        <v>199</v>
      </c>
      <c r="Q5842" s="297" t="s">
        <v>200</v>
      </c>
      <c r="R5842" s="297" t="s">
        <v>213</v>
      </c>
      <c r="S5842" s="297" t="s">
        <v>214</v>
      </c>
    </row>
    <row r="5843" spans="1:19" x14ac:dyDescent="0.4">
      <c r="A5843" s="291"/>
      <c r="B5843" s="292"/>
      <c r="C5843" s="312"/>
      <c r="D5843" s="292"/>
      <c r="E5843" s="489"/>
      <c r="F5843" s="489"/>
      <c r="G5843" s="490"/>
      <c r="H5843" s="520"/>
      <c r="I5843" s="523"/>
      <c r="J5843" s="521"/>
      <c r="K5843" s="522"/>
      <c r="M5843" s="301" t="str">
        <f>N5843&amp;AS[[#This Row],[Insurer Code]]&amp;"; "&amp;O5843&amp;AS[[#This Row],[Reporting Year]]&amp;"; "&amp;P5843&amp;AS[[#This Row],[Insurance Category Code]]&amp;"; "&amp;Q5843&amp;AS[[#This Row],[Large Provider Entity Code]]&amp;"; "&amp;R5843&amp;AS[[#This Row],[Age Band Code]]&amp;"; "&amp;S5843&amp;AS[[#This Row],[Sex Code]]</f>
        <v xml:space="preserve">Insurer Code ; Reporting Year ; Insurance Category Code ; Large Provider Entity Code ; Age Band Code ; Sex Code </v>
      </c>
      <c r="N5843" s="297" t="s">
        <v>197</v>
      </c>
      <c r="O5843" s="297" t="s">
        <v>198</v>
      </c>
      <c r="P5843" s="297" t="s">
        <v>199</v>
      </c>
      <c r="Q5843" s="297" t="s">
        <v>200</v>
      </c>
      <c r="R5843" s="297" t="s">
        <v>213</v>
      </c>
      <c r="S5843" s="297" t="s">
        <v>214</v>
      </c>
    </row>
    <row r="5844" spans="1:19" x14ac:dyDescent="0.4">
      <c r="A5844" s="291"/>
      <c r="B5844" s="292"/>
      <c r="C5844" s="312"/>
      <c r="D5844" s="292"/>
      <c r="E5844" s="489"/>
      <c r="F5844" s="489"/>
      <c r="G5844" s="490"/>
      <c r="H5844" s="520"/>
      <c r="I5844" s="523"/>
      <c r="J5844" s="521"/>
      <c r="K5844" s="522"/>
      <c r="M5844" s="301" t="str">
        <f>N5844&amp;AS[[#This Row],[Insurer Code]]&amp;"; "&amp;O5844&amp;AS[[#This Row],[Reporting Year]]&amp;"; "&amp;P5844&amp;AS[[#This Row],[Insurance Category Code]]&amp;"; "&amp;Q5844&amp;AS[[#This Row],[Large Provider Entity Code]]&amp;"; "&amp;R5844&amp;AS[[#This Row],[Age Band Code]]&amp;"; "&amp;S5844&amp;AS[[#This Row],[Sex Code]]</f>
        <v xml:space="preserve">Insurer Code ; Reporting Year ; Insurance Category Code ; Large Provider Entity Code ; Age Band Code ; Sex Code </v>
      </c>
      <c r="N5844" s="297" t="s">
        <v>197</v>
      </c>
      <c r="O5844" s="297" t="s">
        <v>198</v>
      </c>
      <c r="P5844" s="297" t="s">
        <v>199</v>
      </c>
      <c r="Q5844" s="297" t="s">
        <v>200</v>
      </c>
      <c r="R5844" s="297" t="s">
        <v>213</v>
      </c>
      <c r="S5844" s="297" t="s">
        <v>214</v>
      </c>
    </row>
    <row r="5845" spans="1:19" x14ac:dyDescent="0.4">
      <c r="A5845" s="291"/>
      <c r="B5845" s="292"/>
      <c r="C5845" s="312"/>
      <c r="D5845" s="292"/>
      <c r="E5845" s="489"/>
      <c r="F5845" s="489"/>
      <c r="G5845" s="490"/>
      <c r="H5845" s="520"/>
      <c r="I5845" s="523"/>
      <c r="J5845" s="521"/>
      <c r="K5845" s="522"/>
      <c r="M5845" s="301" t="str">
        <f>N5845&amp;AS[[#This Row],[Insurer Code]]&amp;"; "&amp;O5845&amp;AS[[#This Row],[Reporting Year]]&amp;"; "&amp;P5845&amp;AS[[#This Row],[Insurance Category Code]]&amp;"; "&amp;Q5845&amp;AS[[#This Row],[Large Provider Entity Code]]&amp;"; "&amp;R5845&amp;AS[[#This Row],[Age Band Code]]&amp;"; "&amp;S5845&amp;AS[[#This Row],[Sex Code]]</f>
        <v xml:space="preserve">Insurer Code ; Reporting Year ; Insurance Category Code ; Large Provider Entity Code ; Age Band Code ; Sex Code </v>
      </c>
      <c r="N5845" s="297" t="s">
        <v>197</v>
      </c>
      <c r="O5845" s="297" t="s">
        <v>198</v>
      </c>
      <c r="P5845" s="297" t="s">
        <v>199</v>
      </c>
      <c r="Q5845" s="297" t="s">
        <v>200</v>
      </c>
      <c r="R5845" s="297" t="s">
        <v>213</v>
      </c>
      <c r="S5845" s="297" t="s">
        <v>214</v>
      </c>
    </row>
    <row r="5846" spans="1:19" x14ac:dyDescent="0.4">
      <c r="A5846" s="291"/>
      <c r="B5846" s="292"/>
      <c r="C5846" s="312"/>
      <c r="D5846" s="292"/>
      <c r="E5846" s="489"/>
      <c r="F5846" s="489"/>
      <c r="G5846" s="490"/>
      <c r="H5846" s="520"/>
      <c r="I5846" s="523"/>
      <c r="J5846" s="521"/>
      <c r="K5846" s="522"/>
      <c r="M5846" s="301" t="str">
        <f>N5846&amp;AS[[#This Row],[Insurer Code]]&amp;"; "&amp;O5846&amp;AS[[#This Row],[Reporting Year]]&amp;"; "&amp;P5846&amp;AS[[#This Row],[Insurance Category Code]]&amp;"; "&amp;Q5846&amp;AS[[#This Row],[Large Provider Entity Code]]&amp;"; "&amp;R5846&amp;AS[[#This Row],[Age Band Code]]&amp;"; "&amp;S5846&amp;AS[[#This Row],[Sex Code]]</f>
        <v xml:space="preserve">Insurer Code ; Reporting Year ; Insurance Category Code ; Large Provider Entity Code ; Age Band Code ; Sex Code </v>
      </c>
      <c r="N5846" s="297" t="s">
        <v>197</v>
      </c>
      <c r="O5846" s="297" t="s">
        <v>198</v>
      </c>
      <c r="P5846" s="297" t="s">
        <v>199</v>
      </c>
      <c r="Q5846" s="297" t="s">
        <v>200</v>
      </c>
      <c r="R5846" s="297" t="s">
        <v>213</v>
      </c>
      <c r="S5846" s="297" t="s">
        <v>214</v>
      </c>
    </row>
    <row r="5847" spans="1:19" x14ac:dyDescent="0.4">
      <c r="A5847" s="291"/>
      <c r="B5847" s="292"/>
      <c r="C5847" s="312"/>
      <c r="D5847" s="292"/>
      <c r="E5847" s="489"/>
      <c r="F5847" s="489"/>
      <c r="G5847" s="490"/>
      <c r="H5847" s="520"/>
      <c r="I5847" s="523"/>
      <c r="J5847" s="521"/>
      <c r="K5847" s="522"/>
      <c r="M5847" s="301" t="str">
        <f>N5847&amp;AS[[#This Row],[Insurer Code]]&amp;"; "&amp;O5847&amp;AS[[#This Row],[Reporting Year]]&amp;"; "&amp;P5847&amp;AS[[#This Row],[Insurance Category Code]]&amp;"; "&amp;Q5847&amp;AS[[#This Row],[Large Provider Entity Code]]&amp;"; "&amp;R5847&amp;AS[[#This Row],[Age Band Code]]&amp;"; "&amp;S5847&amp;AS[[#This Row],[Sex Code]]</f>
        <v xml:space="preserve">Insurer Code ; Reporting Year ; Insurance Category Code ; Large Provider Entity Code ; Age Band Code ; Sex Code </v>
      </c>
      <c r="N5847" s="297" t="s">
        <v>197</v>
      </c>
      <c r="O5847" s="297" t="s">
        <v>198</v>
      </c>
      <c r="P5847" s="297" t="s">
        <v>199</v>
      </c>
      <c r="Q5847" s="297" t="s">
        <v>200</v>
      </c>
      <c r="R5847" s="297" t="s">
        <v>213</v>
      </c>
      <c r="S5847" s="297" t="s">
        <v>214</v>
      </c>
    </row>
    <row r="5848" spans="1:19" x14ac:dyDescent="0.4">
      <c r="A5848" s="291"/>
      <c r="B5848" s="292"/>
      <c r="C5848" s="312"/>
      <c r="D5848" s="292"/>
      <c r="E5848" s="489"/>
      <c r="F5848" s="489"/>
      <c r="G5848" s="490"/>
      <c r="H5848" s="520"/>
      <c r="I5848" s="523"/>
      <c r="J5848" s="521"/>
      <c r="K5848" s="522"/>
      <c r="M5848" s="301" t="str">
        <f>N5848&amp;AS[[#This Row],[Insurer Code]]&amp;"; "&amp;O5848&amp;AS[[#This Row],[Reporting Year]]&amp;"; "&amp;P5848&amp;AS[[#This Row],[Insurance Category Code]]&amp;"; "&amp;Q5848&amp;AS[[#This Row],[Large Provider Entity Code]]&amp;"; "&amp;R5848&amp;AS[[#This Row],[Age Band Code]]&amp;"; "&amp;S5848&amp;AS[[#This Row],[Sex Code]]</f>
        <v xml:space="preserve">Insurer Code ; Reporting Year ; Insurance Category Code ; Large Provider Entity Code ; Age Band Code ; Sex Code </v>
      </c>
      <c r="N5848" s="297" t="s">
        <v>197</v>
      </c>
      <c r="O5848" s="297" t="s">
        <v>198</v>
      </c>
      <c r="P5848" s="297" t="s">
        <v>199</v>
      </c>
      <c r="Q5848" s="297" t="s">
        <v>200</v>
      </c>
      <c r="R5848" s="297" t="s">
        <v>213</v>
      </c>
      <c r="S5848" s="297" t="s">
        <v>214</v>
      </c>
    </row>
    <row r="5849" spans="1:19" x14ac:dyDescent="0.4">
      <c r="A5849" s="291"/>
      <c r="B5849" s="292"/>
      <c r="C5849" s="312"/>
      <c r="D5849" s="292"/>
      <c r="E5849" s="489"/>
      <c r="F5849" s="489"/>
      <c r="G5849" s="490"/>
      <c r="H5849" s="520"/>
      <c r="I5849" s="523"/>
      <c r="J5849" s="521"/>
      <c r="K5849" s="522"/>
      <c r="M5849" s="301" t="str">
        <f>N5849&amp;AS[[#This Row],[Insurer Code]]&amp;"; "&amp;O5849&amp;AS[[#This Row],[Reporting Year]]&amp;"; "&amp;P5849&amp;AS[[#This Row],[Insurance Category Code]]&amp;"; "&amp;Q5849&amp;AS[[#This Row],[Large Provider Entity Code]]&amp;"; "&amp;R5849&amp;AS[[#This Row],[Age Band Code]]&amp;"; "&amp;S5849&amp;AS[[#This Row],[Sex Code]]</f>
        <v xml:space="preserve">Insurer Code ; Reporting Year ; Insurance Category Code ; Large Provider Entity Code ; Age Band Code ; Sex Code </v>
      </c>
      <c r="N5849" s="297" t="s">
        <v>197</v>
      </c>
      <c r="O5849" s="297" t="s">
        <v>198</v>
      </c>
      <c r="P5849" s="297" t="s">
        <v>199</v>
      </c>
      <c r="Q5849" s="297" t="s">
        <v>200</v>
      </c>
      <c r="R5849" s="297" t="s">
        <v>213</v>
      </c>
      <c r="S5849" s="297" t="s">
        <v>214</v>
      </c>
    </row>
    <row r="5850" spans="1:19" x14ac:dyDescent="0.4">
      <c r="A5850" s="291"/>
      <c r="B5850" s="292"/>
      <c r="C5850" s="312"/>
      <c r="D5850" s="292"/>
      <c r="E5850" s="489"/>
      <c r="F5850" s="489"/>
      <c r="G5850" s="490"/>
      <c r="H5850" s="520"/>
      <c r="I5850" s="523"/>
      <c r="J5850" s="521"/>
      <c r="K5850" s="522"/>
      <c r="M5850" s="301" t="str">
        <f>N5850&amp;AS[[#This Row],[Insurer Code]]&amp;"; "&amp;O5850&amp;AS[[#This Row],[Reporting Year]]&amp;"; "&amp;P5850&amp;AS[[#This Row],[Insurance Category Code]]&amp;"; "&amp;Q5850&amp;AS[[#This Row],[Large Provider Entity Code]]&amp;"; "&amp;R5850&amp;AS[[#This Row],[Age Band Code]]&amp;"; "&amp;S5850&amp;AS[[#This Row],[Sex Code]]</f>
        <v xml:space="preserve">Insurer Code ; Reporting Year ; Insurance Category Code ; Large Provider Entity Code ; Age Band Code ; Sex Code </v>
      </c>
      <c r="N5850" s="297" t="s">
        <v>197</v>
      </c>
      <c r="O5850" s="297" t="s">
        <v>198</v>
      </c>
      <c r="P5850" s="297" t="s">
        <v>199</v>
      </c>
      <c r="Q5850" s="297" t="s">
        <v>200</v>
      </c>
      <c r="R5850" s="297" t="s">
        <v>213</v>
      </c>
      <c r="S5850" s="297" t="s">
        <v>214</v>
      </c>
    </row>
    <row r="5851" spans="1:19" x14ac:dyDescent="0.4">
      <c r="A5851" s="291"/>
      <c r="B5851" s="292"/>
      <c r="C5851" s="312"/>
      <c r="D5851" s="292"/>
      <c r="E5851" s="489"/>
      <c r="F5851" s="489"/>
      <c r="G5851" s="490"/>
      <c r="H5851" s="520"/>
      <c r="I5851" s="523"/>
      <c r="J5851" s="521"/>
      <c r="K5851" s="522"/>
      <c r="M5851" s="301" t="str">
        <f>N5851&amp;AS[[#This Row],[Insurer Code]]&amp;"; "&amp;O5851&amp;AS[[#This Row],[Reporting Year]]&amp;"; "&amp;P5851&amp;AS[[#This Row],[Insurance Category Code]]&amp;"; "&amp;Q5851&amp;AS[[#This Row],[Large Provider Entity Code]]&amp;"; "&amp;R5851&amp;AS[[#This Row],[Age Band Code]]&amp;"; "&amp;S5851&amp;AS[[#This Row],[Sex Code]]</f>
        <v xml:space="preserve">Insurer Code ; Reporting Year ; Insurance Category Code ; Large Provider Entity Code ; Age Band Code ; Sex Code </v>
      </c>
      <c r="N5851" s="297" t="s">
        <v>197</v>
      </c>
      <c r="O5851" s="297" t="s">
        <v>198</v>
      </c>
      <c r="P5851" s="297" t="s">
        <v>199</v>
      </c>
      <c r="Q5851" s="297" t="s">
        <v>200</v>
      </c>
      <c r="R5851" s="297" t="s">
        <v>213</v>
      </c>
      <c r="S5851" s="297" t="s">
        <v>214</v>
      </c>
    </row>
    <row r="5852" spans="1:19" x14ac:dyDescent="0.4">
      <c r="A5852" s="291"/>
      <c r="B5852" s="292"/>
      <c r="C5852" s="312"/>
      <c r="D5852" s="292"/>
      <c r="E5852" s="489"/>
      <c r="F5852" s="489"/>
      <c r="G5852" s="490"/>
      <c r="H5852" s="520"/>
      <c r="I5852" s="523"/>
      <c r="J5852" s="521"/>
      <c r="K5852" s="522"/>
      <c r="M5852" s="301" t="str">
        <f>N5852&amp;AS[[#This Row],[Insurer Code]]&amp;"; "&amp;O5852&amp;AS[[#This Row],[Reporting Year]]&amp;"; "&amp;P5852&amp;AS[[#This Row],[Insurance Category Code]]&amp;"; "&amp;Q5852&amp;AS[[#This Row],[Large Provider Entity Code]]&amp;"; "&amp;R5852&amp;AS[[#This Row],[Age Band Code]]&amp;"; "&amp;S5852&amp;AS[[#This Row],[Sex Code]]</f>
        <v xml:space="preserve">Insurer Code ; Reporting Year ; Insurance Category Code ; Large Provider Entity Code ; Age Band Code ; Sex Code </v>
      </c>
      <c r="N5852" s="297" t="s">
        <v>197</v>
      </c>
      <c r="O5852" s="297" t="s">
        <v>198</v>
      </c>
      <c r="P5852" s="297" t="s">
        <v>199</v>
      </c>
      <c r="Q5852" s="297" t="s">
        <v>200</v>
      </c>
      <c r="R5852" s="297" t="s">
        <v>213</v>
      </c>
      <c r="S5852" s="297" t="s">
        <v>214</v>
      </c>
    </row>
    <row r="5853" spans="1:19" x14ac:dyDescent="0.4">
      <c r="A5853" s="291"/>
      <c r="B5853" s="292"/>
      <c r="C5853" s="312"/>
      <c r="D5853" s="292"/>
      <c r="E5853" s="489"/>
      <c r="F5853" s="489"/>
      <c r="G5853" s="490"/>
      <c r="H5853" s="520"/>
      <c r="I5853" s="523"/>
      <c r="J5853" s="521"/>
      <c r="K5853" s="522"/>
      <c r="M5853" s="301" t="str">
        <f>N5853&amp;AS[[#This Row],[Insurer Code]]&amp;"; "&amp;O5853&amp;AS[[#This Row],[Reporting Year]]&amp;"; "&amp;P5853&amp;AS[[#This Row],[Insurance Category Code]]&amp;"; "&amp;Q5853&amp;AS[[#This Row],[Large Provider Entity Code]]&amp;"; "&amp;R5853&amp;AS[[#This Row],[Age Band Code]]&amp;"; "&amp;S5853&amp;AS[[#This Row],[Sex Code]]</f>
        <v xml:space="preserve">Insurer Code ; Reporting Year ; Insurance Category Code ; Large Provider Entity Code ; Age Band Code ; Sex Code </v>
      </c>
      <c r="N5853" s="297" t="s">
        <v>197</v>
      </c>
      <c r="O5853" s="297" t="s">
        <v>198</v>
      </c>
      <c r="P5853" s="297" t="s">
        <v>199</v>
      </c>
      <c r="Q5853" s="297" t="s">
        <v>200</v>
      </c>
      <c r="R5853" s="297" t="s">
        <v>213</v>
      </c>
      <c r="S5853" s="297" t="s">
        <v>214</v>
      </c>
    </row>
    <row r="5854" spans="1:19" x14ac:dyDescent="0.4">
      <c r="A5854" s="291"/>
      <c r="B5854" s="292"/>
      <c r="C5854" s="312"/>
      <c r="D5854" s="292"/>
      <c r="E5854" s="489"/>
      <c r="F5854" s="489"/>
      <c r="G5854" s="490"/>
      <c r="H5854" s="520"/>
      <c r="I5854" s="523"/>
      <c r="J5854" s="521"/>
      <c r="K5854" s="522"/>
      <c r="M5854" s="301" t="str">
        <f>N5854&amp;AS[[#This Row],[Insurer Code]]&amp;"; "&amp;O5854&amp;AS[[#This Row],[Reporting Year]]&amp;"; "&amp;P5854&amp;AS[[#This Row],[Insurance Category Code]]&amp;"; "&amp;Q5854&amp;AS[[#This Row],[Large Provider Entity Code]]&amp;"; "&amp;R5854&amp;AS[[#This Row],[Age Band Code]]&amp;"; "&amp;S5854&amp;AS[[#This Row],[Sex Code]]</f>
        <v xml:space="preserve">Insurer Code ; Reporting Year ; Insurance Category Code ; Large Provider Entity Code ; Age Band Code ; Sex Code </v>
      </c>
      <c r="N5854" s="297" t="s">
        <v>197</v>
      </c>
      <c r="O5854" s="297" t="s">
        <v>198</v>
      </c>
      <c r="P5854" s="297" t="s">
        <v>199</v>
      </c>
      <c r="Q5854" s="297" t="s">
        <v>200</v>
      </c>
      <c r="R5854" s="297" t="s">
        <v>213</v>
      </c>
      <c r="S5854" s="297" t="s">
        <v>214</v>
      </c>
    </row>
    <row r="5855" spans="1:19" x14ac:dyDescent="0.4">
      <c r="A5855" s="291"/>
      <c r="B5855" s="292"/>
      <c r="C5855" s="312"/>
      <c r="D5855" s="292"/>
      <c r="E5855" s="489"/>
      <c r="F5855" s="489"/>
      <c r="G5855" s="490"/>
      <c r="H5855" s="520"/>
      <c r="I5855" s="523"/>
      <c r="J5855" s="521"/>
      <c r="K5855" s="522"/>
      <c r="M5855" s="301" t="str">
        <f>N5855&amp;AS[[#This Row],[Insurer Code]]&amp;"; "&amp;O5855&amp;AS[[#This Row],[Reporting Year]]&amp;"; "&amp;P5855&amp;AS[[#This Row],[Insurance Category Code]]&amp;"; "&amp;Q5855&amp;AS[[#This Row],[Large Provider Entity Code]]&amp;"; "&amp;R5855&amp;AS[[#This Row],[Age Band Code]]&amp;"; "&amp;S5855&amp;AS[[#This Row],[Sex Code]]</f>
        <v xml:space="preserve">Insurer Code ; Reporting Year ; Insurance Category Code ; Large Provider Entity Code ; Age Band Code ; Sex Code </v>
      </c>
      <c r="N5855" s="297" t="s">
        <v>197</v>
      </c>
      <c r="O5855" s="297" t="s">
        <v>198</v>
      </c>
      <c r="P5855" s="297" t="s">
        <v>199</v>
      </c>
      <c r="Q5855" s="297" t="s">
        <v>200</v>
      </c>
      <c r="R5855" s="297" t="s">
        <v>213</v>
      </c>
      <c r="S5855" s="297" t="s">
        <v>214</v>
      </c>
    </row>
    <row r="5856" spans="1:19" x14ac:dyDescent="0.4">
      <c r="A5856" s="291"/>
      <c r="B5856" s="292"/>
      <c r="C5856" s="312"/>
      <c r="D5856" s="292"/>
      <c r="E5856" s="489"/>
      <c r="F5856" s="489"/>
      <c r="G5856" s="490"/>
      <c r="H5856" s="520"/>
      <c r="I5856" s="523"/>
      <c r="J5856" s="521"/>
      <c r="K5856" s="522"/>
      <c r="M5856" s="301" t="str">
        <f>N5856&amp;AS[[#This Row],[Insurer Code]]&amp;"; "&amp;O5856&amp;AS[[#This Row],[Reporting Year]]&amp;"; "&amp;P5856&amp;AS[[#This Row],[Insurance Category Code]]&amp;"; "&amp;Q5856&amp;AS[[#This Row],[Large Provider Entity Code]]&amp;"; "&amp;R5856&amp;AS[[#This Row],[Age Band Code]]&amp;"; "&amp;S5856&amp;AS[[#This Row],[Sex Code]]</f>
        <v xml:space="preserve">Insurer Code ; Reporting Year ; Insurance Category Code ; Large Provider Entity Code ; Age Band Code ; Sex Code </v>
      </c>
      <c r="N5856" s="297" t="s">
        <v>197</v>
      </c>
      <c r="O5856" s="297" t="s">
        <v>198</v>
      </c>
      <c r="P5856" s="297" t="s">
        <v>199</v>
      </c>
      <c r="Q5856" s="297" t="s">
        <v>200</v>
      </c>
      <c r="R5856" s="297" t="s">
        <v>213</v>
      </c>
      <c r="S5856" s="297" t="s">
        <v>214</v>
      </c>
    </row>
    <row r="5857" spans="1:19" x14ac:dyDescent="0.4">
      <c r="A5857" s="291"/>
      <c r="B5857" s="292"/>
      <c r="C5857" s="312"/>
      <c r="D5857" s="292"/>
      <c r="E5857" s="489"/>
      <c r="F5857" s="489"/>
      <c r="G5857" s="490"/>
      <c r="H5857" s="520"/>
      <c r="I5857" s="523"/>
      <c r="J5857" s="521"/>
      <c r="K5857" s="522"/>
      <c r="M5857" s="301" t="str">
        <f>N5857&amp;AS[[#This Row],[Insurer Code]]&amp;"; "&amp;O5857&amp;AS[[#This Row],[Reporting Year]]&amp;"; "&amp;P5857&amp;AS[[#This Row],[Insurance Category Code]]&amp;"; "&amp;Q5857&amp;AS[[#This Row],[Large Provider Entity Code]]&amp;"; "&amp;R5857&amp;AS[[#This Row],[Age Band Code]]&amp;"; "&amp;S5857&amp;AS[[#This Row],[Sex Code]]</f>
        <v xml:space="preserve">Insurer Code ; Reporting Year ; Insurance Category Code ; Large Provider Entity Code ; Age Band Code ; Sex Code </v>
      </c>
      <c r="N5857" s="297" t="s">
        <v>197</v>
      </c>
      <c r="O5857" s="297" t="s">
        <v>198</v>
      </c>
      <c r="P5857" s="297" t="s">
        <v>199</v>
      </c>
      <c r="Q5857" s="297" t="s">
        <v>200</v>
      </c>
      <c r="R5857" s="297" t="s">
        <v>213</v>
      </c>
      <c r="S5857" s="297" t="s">
        <v>214</v>
      </c>
    </row>
    <row r="5858" spans="1:19" x14ac:dyDescent="0.4">
      <c r="A5858" s="291"/>
      <c r="B5858" s="292"/>
      <c r="C5858" s="312"/>
      <c r="D5858" s="292"/>
      <c r="E5858" s="489"/>
      <c r="F5858" s="489"/>
      <c r="G5858" s="490"/>
      <c r="H5858" s="520"/>
      <c r="I5858" s="523"/>
      <c r="J5858" s="521"/>
      <c r="K5858" s="522"/>
      <c r="M5858" s="301" t="str">
        <f>N5858&amp;AS[[#This Row],[Insurer Code]]&amp;"; "&amp;O5858&amp;AS[[#This Row],[Reporting Year]]&amp;"; "&amp;P5858&amp;AS[[#This Row],[Insurance Category Code]]&amp;"; "&amp;Q5858&amp;AS[[#This Row],[Large Provider Entity Code]]&amp;"; "&amp;R5858&amp;AS[[#This Row],[Age Band Code]]&amp;"; "&amp;S5858&amp;AS[[#This Row],[Sex Code]]</f>
        <v xml:space="preserve">Insurer Code ; Reporting Year ; Insurance Category Code ; Large Provider Entity Code ; Age Band Code ; Sex Code </v>
      </c>
      <c r="N5858" s="297" t="s">
        <v>197</v>
      </c>
      <c r="O5858" s="297" t="s">
        <v>198</v>
      </c>
      <c r="P5858" s="297" t="s">
        <v>199</v>
      </c>
      <c r="Q5858" s="297" t="s">
        <v>200</v>
      </c>
      <c r="R5858" s="297" t="s">
        <v>213</v>
      </c>
      <c r="S5858" s="297" t="s">
        <v>214</v>
      </c>
    </row>
    <row r="5859" spans="1:19" x14ac:dyDescent="0.4">
      <c r="A5859" s="291"/>
      <c r="B5859" s="292"/>
      <c r="C5859" s="312"/>
      <c r="D5859" s="292"/>
      <c r="E5859" s="489"/>
      <c r="F5859" s="489"/>
      <c r="G5859" s="490"/>
      <c r="H5859" s="520"/>
      <c r="I5859" s="523"/>
      <c r="J5859" s="521"/>
      <c r="K5859" s="522"/>
      <c r="M5859" s="301" t="str">
        <f>N5859&amp;AS[[#This Row],[Insurer Code]]&amp;"; "&amp;O5859&amp;AS[[#This Row],[Reporting Year]]&amp;"; "&amp;P5859&amp;AS[[#This Row],[Insurance Category Code]]&amp;"; "&amp;Q5859&amp;AS[[#This Row],[Large Provider Entity Code]]&amp;"; "&amp;R5859&amp;AS[[#This Row],[Age Band Code]]&amp;"; "&amp;S5859&amp;AS[[#This Row],[Sex Code]]</f>
        <v xml:space="preserve">Insurer Code ; Reporting Year ; Insurance Category Code ; Large Provider Entity Code ; Age Band Code ; Sex Code </v>
      </c>
      <c r="N5859" s="297" t="s">
        <v>197</v>
      </c>
      <c r="O5859" s="297" t="s">
        <v>198</v>
      </c>
      <c r="P5859" s="297" t="s">
        <v>199</v>
      </c>
      <c r="Q5859" s="297" t="s">
        <v>200</v>
      </c>
      <c r="R5859" s="297" t="s">
        <v>213</v>
      </c>
      <c r="S5859" s="297" t="s">
        <v>214</v>
      </c>
    </row>
    <row r="5860" spans="1:19" x14ac:dyDescent="0.4">
      <c r="A5860" s="291"/>
      <c r="B5860" s="292"/>
      <c r="C5860" s="312"/>
      <c r="D5860" s="292"/>
      <c r="E5860" s="489"/>
      <c r="F5860" s="489"/>
      <c r="G5860" s="490"/>
      <c r="H5860" s="520"/>
      <c r="I5860" s="523"/>
      <c r="J5860" s="521"/>
      <c r="K5860" s="522"/>
      <c r="M5860" s="301" t="str">
        <f>N5860&amp;AS[[#This Row],[Insurer Code]]&amp;"; "&amp;O5860&amp;AS[[#This Row],[Reporting Year]]&amp;"; "&amp;P5860&amp;AS[[#This Row],[Insurance Category Code]]&amp;"; "&amp;Q5860&amp;AS[[#This Row],[Large Provider Entity Code]]&amp;"; "&amp;R5860&amp;AS[[#This Row],[Age Band Code]]&amp;"; "&amp;S5860&amp;AS[[#This Row],[Sex Code]]</f>
        <v xml:space="preserve">Insurer Code ; Reporting Year ; Insurance Category Code ; Large Provider Entity Code ; Age Band Code ; Sex Code </v>
      </c>
      <c r="N5860" s="297" t="s">
        <v>197</v>
      </c>
      <c r="O5860" s="297" t="s">
        <v>198</v>
      </c>
      <c r="P5860" s="297" t="s">
        <v>199</v>
      </c>
      <c r="Q5860" s="297" t="s">
        <v>200</v>
      </c>
      <c r="R5860" s="297" t="s">
        <v>213</v>
      </c>
      <c r="S5860" s="297" t="s">
        <v>214</v>
      </c>
    </row>
    <row r="5861" spans="1:19" x14ac:dyDescent="0.4">
      <c r="A5861" s="291"/>
      <c r="B5861" s="292"/>
      <c r="C5861" s="312"/>
      <c r="D5861" s="292"/>
      <c r="E5861" s="489"/>
      <c r="F5861" s="489"/>
      <c r="G5861" s="490"/>
      <c r="H5861" s="520"/>
      <c r="I5861" s="523"/>
      <c r="J5861" s="521"/>
      <c r="K5861" s="522"/>
      <c r="M5861" s="301" t="str">
        <f>N5861&amp;AS[[#This Row],[Insurer Code]]&amp;"; "&amp;O5861&amp;AS[[#This Row],[Reporting Year]]&amp;"; "&amp;P5861&amp;AS[[#This Row],[Insurance Category Code]]&amp;"; "&amp;Q5861&amp;AS[[#This Row],[Large Provider Entity Code]]&amp;"; "&amp;R5861&amp;AS[[#This Row],[Age Band Code]]&amp;"; "&amp;S5861&amp;AS[[#This Row],[Sex Code]]</f>
        <v xml:space="preserve">Insurer Code ; Reporting Year ; Insurance Category Code ; Large Provider Entity Code ; Age Band Code ; Sex Code </v>
      </c>
      <c r="N5861" s="297" t="s">
        <v>197</v>
      </c>
      <c r="O5861" s="297" t="s">
        <v>198</v>
      </c>
      <c r="P5861" s="297" t="s">
        <v>199</v>
      </c>
      <c r="Q5861" s="297" t="s">
        <v>200</v>
      </c>
      <c r="R5861" s="297" t="s">
        <v>213</v>
      </c>
      <c r="S5861" s="297" t="s">
        <v>214</v>
      </c>
    </row>
    <row r="5862" spans="1:19" x14ac:dyDescent="0.4">
      <c r="A5862" s="291"/>
      <c r="B5862" s="292"/>
      <c r="C5862" s="312"/>
      <c r="D5862" s="292"/>
      <c r="E5862" s="489"/>
      <c r="F5862" s="489"/>
      <c r="G5862" s="490"/>
      <c r="H5862" s="520"/>
      <c r="I5862" s="523"/>
      <c r="J5862" s="521"/>
      <c r="K5862" s="522"/>
      <c r="M5862" s="301" t="str">
        <f>N5862&amp;AS[[#This Row],[Insurer Code]]&amp;"; "&amp;O5862&amp;AS[[#This Row],[Reporting Year]]&amp;"; "&amp;P5862&amp;AS[[#This Row],[Insurance Category Code]]&amp;"; "&amp;Q5862&amp;AS[[#This Row],[Large Provider Entity Code]]&amp;"; "&amp;R5862&amp;AS[[#This Row],[Age Band Code]]&amp;"; "&amp;S5862&amp;AS[[#This Row],[Sex Code]]</f>
        <v xml:space="preserve">Insurer Code ; Reporting Year ; Insurance Category Code ; Large Provider Entity Code ; Age Band Code ; Sex Code </v>
      </c>
      <c r="N5862" s="297" t="s">
        <v>197</v>
      </c>
      <c r="O5862" s="297" t="s">
        <v>198</v>
      </c>
      <c r="P5862" s="297" t="s">
        <v>199</v>
      </c>
      <c r="Q5862" s="297" t="s">
        <v>200</v>
      </c>
      <c r="R5862" s="297" t="s">
        <v>213</v>
      </c>
      <c r="S5862" s="297" t="s">
        <v>214</v>
      </c>
    </row>
    <row r="5863" spans="1:19" x14ac:dyDescent="0.4">
      <c r="A5863" s="291"/>
      <c r="B5863" s="292"/>
      <c r="C5863" s="312"/>
      <c r="D5863" s="292"/>
      <c r="E5863" s="489"/>
      <c r="F5863" s="489"/>
      <c r="G5863" s="490"/>
      <c r="H5863" s="520"/>
      <c r="I5863" s="523"/>
      <c r="J5863" s="521"/>
      <c r="K5863" s="522"/>
      <c r="M5863" s="301" t="str">
        <f>N5863&amp;AS[[#This Row],[Insurer Code]]&amp;"; "&amp;O5863&amp;AS[[#This Row],[Reporting Year]]&amp;"; "&amp;P5863&amp;AS[[#This Row],[Insurance Category Code]]&amp;"; "&amp;Q5863&amp;AS[[#This Row],[Large Provider Entity Code]]&amp;"; "&amp;R5863&amp;AS[[#This Row],[Age Band Code]]&amp;"; "&amp;S5863&amp;AS[[#This Row],[Sex Code]]</f>
        <v xml:space="preserve">Insurer Code ; Reporting Year ; Insurance Category Code ; Large Provider Entity Code ; Age Band Code ; Sex Code </v>
      </c>
      <c r="N5863" s="297" t="s">
        <v>197</v>
      </c>
      <c r="O5863" s="297" t="s">
        <v>198</v>
      </c>
      <c r="P5863" s="297" t="s">
        <v>199</v>
      </c>
      <c r="Q5863" s="297" t="s">
        <v>200</v>
      </c>
      <c r="R5863" s="297" t="s">
        <v>213</v>
      </c>
      <c r="S5863" s="297" t="s">
        <v>214</v>
      </c>
    </row>
    <row r="5864" spans="1:19" x14ac:dyDescent="0.4">
      <c r="A5864" s="291"/>
      <c r="B5864" s="292"/>
      <c r="C5864" s="312"/>
      <c r="D5864" s="292"/>
      <c r="E5864" s="489"/>
      <c r="F5864" s="489"/>
      <c r="G5864" s="490"/>
      <c r="H5864" s="520"/>
      <c r="I5864" s="523"/>
      <c r="J5864" s="521"/>
      <c r="K5864" s="522"/>
      <c r="M5864" s="301" t="str">
        <f>N5864&amp;AS[[#This Row],[Insurer Code]]&amp;"; "&amp;O5864&amp;AS[[#This Row],[Reporting Year]]&amp;"; "&amp;P5864&amp;AS[[#This Row],[Insurance Category Code]]&amp;"; "&amp;Q5864&amp;AS[[#This Row],[Large Provider Entity Code]]&amp;"; "&amp;R5864&amp;AS[[#This Row],[Age Band Code]]&amp;"; "&amp;S5864&amp;AS[[#This Row],[Sex Code]]</f>
        <v xml:space="preserve">Insurer Code ; Reporting Year ; Insurance Category Code ; Large Provider Entity Code ; Age Band Code ; Sex Code </v>
      </c>
      <c r="N5864" s="297" t="s">
        <v>197</v>
      </c>
      <c r="O5864" s="297" t="s">
        <v>198</v>
      </c>
      <c r="P5864" s="297" t="s">
        <v>199</v>
      </c>
      <c r="Q5864" s="297" t="s">
        <v>200</v>
      </c>
      <c r="R5864" s="297" t="s">
        <v>213</v>
      </c>
      <c r="S5864" s="297" t="s">
        <v>214</v>
      </c>
    </row>
    <row r="5865" spans="1:19" x14ac:dyDescent="0.4">
      <c r="A5865" s="291"/>
      <c r="B5865" s="292"/>
      <c r="C5865" s="312"/>
      <c r="D5865" s="292"/>
      <c r="E5865" s="489"/>
      <c r="F5865" s="489"/>
      <c r="G5865" s="490"/>
      <c r="H5865" s="520"/>
      <c r="I5865" s="523"/>
      <c r="J5865" s="521"/>
      <c r="K5865" s="522"/>
      <c r="M5865" s="301" t="str">
        <f>N5865&amp;AS[[#This Row],[Insurer Code]]&amp;"; "&amp;O5865&amp;AS[[#This Row],[Reporting Year]]&amp;"; "&amp;P5865&amp;AS[[#This Row],[Insurance Category Code]]&amp;"; "&amp;Q5865&amp;AS[[#This Row],[Large Provider Entity Code]]&amp;"; "&amp;R5865&amp;AS[[#This Row],[Age Band Code]]&amp;"; "&amp;S5865&amp;AS[[#This Row],[Sex Code]]</f>
        <v xml:space="preserve">Insurer Code ; Reporting Year ; Insurance Category Code ; Large Provider Entity Code ; Age Band Code ; Sex Code </v>
      </c>
      <c r="N5865" s="297" t="s">
        <v>197</v>
      </c>
      <c r="O5865" s="297" t="s">
        <v>198</v>
      </c>
      <c r="P5865" s="297" t="s">
        <v>199</v>
      </c>
      <c r="Q5865" s="297" t="s">
        <v>200</v>
      </c>
      <c r="R5865" s="297" t="s">
        <v>213</v>
      </c>
      <c r="S5865" s="297" t="s">
        <v>214</v>
      </c>
    </row>
    <row r="5866" spans="1:19" x14ac:dyDescent="0.4">
      <c r="A5866" s="291"/>
      <c r="B5866" s="292"/>
      <c r="C5866" s="312"/>
      <c r="D5866" s="292"/>
      <c r="E5866" s="489"/>
      <c r="F5866" s="489"/>
      <c r="G5866" s="490"/>
      <c r="H5866" s="520"/>
      <c r="I5866" s="523"/>
      <c r="J5866" s="521"/>
      <c r="K5866" s="522"/>
      <c r="M5866" s="301" t="str">
        <f>N5866&amp;AS[[#This Row],[Insurer Code]]&amp;"; "&amp;O5866&amp;AS[[#This Row],[Reporting Year]]&amp;"; "&amp;P5866&amp;AS[[#This Row],[Insurance Category Code]]&amp;"; "&amp;Q5866&amp;AS[[#This Row],[Large Provider Entity Code]]&amp;"; "&amp;R5866&amp;AS[[#This Row],[Age Band Code]]&amp;"; "&amp;S5866&amp;AS[[#This Row],[Sex Code]]</f>
        <v xml:space="preserve">Insurer Code ; Reporting Year ; Insurance Category Code ; Large Provider Entity Code ; Age Band Code ; Sex Code </v>
      </c>
      <c r="N5866" s="297" t="s">
        <v>197</v>
      </c>
      <c r="O5866" s="297" t="s">
        <v>198</v>
      </c>
      <c r="P5866" s="297" t="s">
        <v>199</v>
      </c>
      <c r="Q5866" s="297" t="s">
        <v>200</v>
      </c>
      <c r="R5866" s="297" t="s">
        <v>213</v>
      </c>
      <c r="S5866" s="297" t="s">
        <v>214</v>
      </c>
    </row>
    <row r="5867" spans="1:19" x14ac:dyDescent="0.4">
      <c r="A5867" s="291"/>
      <c r="B5867" s="292"/>
      <c r="C5867" s="312"/>
      <c r="D5867" s="292"/>
      <c r="E5867" s="489"/>
      <c r="F5867" s="489"/>
      <c r="G5867" s="490"/>
      <c r="H5867" s="520"/>
      <c r="I5867" s="523"/>
      <c r="J5867" s="521"/>
      <c r="K5867" s="522"/>
      <c r="M5867" s="301" t="str">
        <f>N5867&amp;AS[[#This Row],[Insurer Code]]&amp;"; "&amp;O5867&amp;AS[[#This Row],[Reporting Year]]&amp;"; "&amp;P5867&amp;AS[[#This Row],[Insurance Category Code]]&amp;"; "&amp;Q5867&amp;AS[[#This Row],[Large Provider Entity Code]]&amp;"; "&amp;R5867&amp;AS[[#This Row],[Age Band Code]]&amp;"; "&amp;S5867&amp;AS[[#This Row],[Sex Code]]</f>
        <v xml:space="preserve">Insurer Code ; Reporting Year ; Insurance Category Code ; Large Provider Entity Code ; Age Band Code ; Sex Code </v>
      </c>
      <c r="N5867" s="297" t="s">
        <v>197</v>
      </c>
      <c r="O5867" s="297" t="s">
        <v>198</v>
      </c>
      <c r="P5867" s="297" t="s">
        <v>199</v>
      </c>
      <c r="Q5867" s="297" t="s">
        <v>200</v>
      </c>
      <c r="R5867" s="297" t="s">
        <v>213</v>
      </c>
      <c r="S5867" s="297" t="s">
        <v>214</v>
      </c>
    </row>
    <row r="5868" spans="1:19" x14ac:dyDescent="0.4">
      <c r="A5868" s="291"/>
      <c r="B5868" s="292"/>
      <c r="C5868" s="312"/>
      <c r="D5868" s="292"/>
      <c r="E5868" s="489"/>
      <c r="F5868" s="489"/>
      <c r="G5868" s="490"/>
      <c r="H5868" s="520"/>
      <c r="I5868" s="523"/>
      <c r="J5868" s="521"/>
      <c r="K5868" s="522"/>
      <c r="M5868" s="301" t="str">
        <f>N5868&amp;AS[[#This Row],[Insurer Code]]&amp;"; "&amp;O5868&amp;AS[[#This Row],[Reporting Year]]&amp;"; "&amp;P5868&amp;AS[[#This Row],[Insurance Category Code]]&amp;"; "&amp;Q5868&amp;AS[[#This Row],[Large Provider Entity Code]]&amp;"; "&amp;R5868&amp;AS[[#This Row],[Age Band Code]]&amp;"; "&amp;S5868&amp;AS[[#This Row],[Sex Code]]</f>
        <v xml:space="preserve">Insurer Code ; Reporting Year ; Insurance Category Code ; Large Provider Entity Code ; Age Band Code ; Sex Code </v>
      </c>
      <c r="N5868" s="297" t="s">
        <v>197</v>
      </c>
      <c r="O5868" s="297" t="s">
        <v>198</v>
      </c>
      <c r="P5868" s="297" t="s">
        <v>199</v>
      </c>
      <c r="Q5868" s="297" t="s">
        <v>200</v>
      </c>
      <c r="R5868" s="297" t="s">
        <v>213</v>
      </c>
      <c r="S5868" s="297" t="s">
        <v>214</v>
      </c>
    </row>
    <row r="5869" spans="1:19" x14ac:dyDescent="0.4">
      <c r="A5869" s="291"/>
      <c r="B5869" s="292"/>
      <c r="C5869" s="312"/>
      <c r="D5869" s="292"/>
      <c r="E5869" s="489"/>
      <c r="F5869" s="489"/>
      <c r="G5869" s="490"/>
      <c r="H5869" s="520"/>
      <c r="I5869" s="523"/>
      <c r="J5869" s="521"/>
      <c r="K5869" s="522"/>
      <c r="M5869" s="301" t="str">
        <f>N5869&amp;AS[[#This Row],[Insurer Code]]&amp;"; "&amp;O5869&amp;AS[[#This Row],[Reporting Year]]&amp;"; "&amp;P5869&amp;AS[[#This Row],[Insurance Category Code]]&amp;"; "&amp;Q5869&amp;AS[[#This Row],[Large Provider Entity Code]]&amp;"; "&amp;R5869&amp;AS[[#This Row],[Age Band Code]]&amp;"; "&amp;S5869&amp;AS[[#This Row],[Sex Code]]</f>
        <v xml:space="preserve">Insurer Code ; Reporting Year ; Insurance Category Code ; Large Provider Entity Code ; Age Band Code ; Sex Code </v>
      </c>
      <c r="N5869" s="297" t="s">
        <v>197</v>
      </c>
      <c r="O5869" s="297" t="s">
        <v>198</v>
      </c>
      <c r="P5869" s="297" t="s">
        <v>199</v>
      </c>
      <c r="Q5869" s="297" t="s">
        <v>200</v>
      </c>
      <c r="R5869" s="297" t="s">
        <v>213</v>
      </c>
      <c r="S5869" s="297" t="s">
        <v>214</v>
      </c>
    </row>
    <row r="5870" spans="1:19" x14ac:dyDescent="0.4">
      <c r="A5870" s="291"/>
      <c r="B5870" s="292"/>
      <c r="C5870" s="312"/>
      <c r="D5870" s="292"/>
      <c r="E5870" s="489"/>
      <c r="F5870" s="489"/>
      <c r="G5870" s="490"/>
      <c r="H5870" s="520"/>
      <c r="I5870" s="523"/>
      <c r="J5870" s="521"/>
      <c r="K5870" s="522"/>
      <c r="M5870" s="301" t="str">
        <f>N5870&amp;AS[[#This Row],[Insurer Code]]&amp;"; "&amp;O5870&amp;AS[[#This Row],[Reporting Year]]&amp;"; "&amp;P5870&amp;AS[[#This Row],[Insurance Category Code]]&amp;"; "&amp;Q5870&amp;AS[[#This Row],[Large Provider Entity Code]]&amp;"; "&amp;R5870&amp;AS[[#This Row],[Age Band Code]]&amp;"; "&amp;S5870&amp;AS[[#This Row],[Sex Code]]</f>
        <v xml:space="preserve">Insurer Code ; Reporting Year ; Insurance Category Code ; Large Provider Entity Code ; Age Band Code ; Sex Code </v>
      </c>
      <c r="N5870" s="297" t="s">
        <v>197</v>
      </c>
      <c r="O5870" s="297" t="s">
        <v>198</v>
      </c>
      <c r="P5870" s="297" t="s">
        <v>199</v>
      </c>
      <c r="Q5870" s="297" t="s">
        <v>200</v>
      </c>
      <c r="R5870" s="297" t="s">
        <v>213</v>
      </c>
      <c r="S5870" s="297" t="s">
        <v>214</v>
      </c>
    </row>
    <row r="5871" spans="1:19" x14ac:dyDescent="0.4">
      <c r="A5871" s="291"/>
      <c r="B5871" s="292"/>
      <c r="C5871" s="312"/>
      <c r="D5871" s="292"/>
      <c r="E5871" s="489"/>
      <c r="F5871" s="489"/>
      <c r="G5871" s="490"/>
      <c r="H5871" s="520"/>
      <c r="I5871" s="523"/>
      <c r="J5871" s="521"/>
      <c r="K5871" s="522"/>
      <c r="M5871" s="301" t="str">
        <f>N5871&amp;AS[[#This Row],[Insurer Code]]&amp;"; "&amp;O5871&amp;AS[[#This Row],[Reporting Year]]&amp;"; "&amp;P5871&amp;AS[[#This Row],[Insurance Category Code]]&amp;"; "&amp;Q5871&amp;AS[[#This Row],[Large Provider Entity Code]]&amp;"; "&amp;R5871&amp;AS[[#This Row],[Age Band Code]]&amp;"; "&amp;S5871&amp;AS[[#This Row],[Sex Code]]</f>
        <v xml:space="preserve">Insurer Code ; Reporting Year ; Insurance Category Code ; Large Provider Entity Code ; Age Band Code ; Sex Code </v>
      </c>
      <c r="N5871" s="297" t="s">
        <v>197</v>
      </c>
      <c r="O5871" s="297" t="s">
        <v>198</v>
      </c>
      <c r="P5871" s="297" t="s">
        <v>199</v>
      </c>
      <c r="Q5871" s="297" t="s">
        <v>200</v>
      </c>
      <c r="R5871" s="297" t="s">
        <v>213</v>
      </c>
      <c r="S5871" s="297" t="s">
        <v>214</v>
      </c>
    </row>
    <row r="5872" spans="1:19" x14ac:dyDescent="0.4">
      <c r="A5872" s="291"/>
      <c r="B5872" s="292"/>
      <c r="C5872" s="312"/>
      <c r="D5872" s="292"/>
      <c r="E5872" s="489"/>
      <c r="F5872" s="489"/>
      <c r="G5872" s="490"/>
      <c r="H5872" s="520"/>
      <c r="I5872" s="523"/>
      <c r="J5872" s="521"/>
      <c r="K5872" s="522"/>
      <c r="M5872" s="301" t="str">
        <f>N5872&amp;AS[[#This Row],[Insurer Code]]&amp;"; "&amp;O5872&amp;AS[[#This Row],[Reporting Year]]&amp;"; "&amp;P5872&amp;AS[[#This Row],[Insurance Category Code]]&amp;"; "&amp;Q5872&amp;AS[[#This Row],[Large Provider Entity Code]]&amp;"; "&amp;R5872&amp;AS[[#This Row],[Age Band Code]]&amp;"; "&amp;S5872&amp;AS[[#This Row],[Sex Code]]</f>
        <v xml:space="preserve">Insurer Code ; Reporting Year ; Insurance Category Code ; Large Provider Entity Code ; Age Band Code ; Sex Code </v>
      </c>
      <c r="N5872" s="297" t="s">
        <v>197</v>
      </c>
      <c r="O5872" s="297" t="s">
        <v>198</v>
      </c>
      <c r="P5872" s="297" t="s">
        <v>199</v>
      </c>
      <c r="Q5872" s="297" t="s">
        <v>200</v>
      </c>
      <c r="R5872" s="297" t="s">
        <v>213</v>
      </c>
      <c r="S5872" s="297" t="s">
        <v>214</v>
      </c>
    </row>
    <row r="5873" spans="1:19" x14ac:dyDescent="0.4">
      <c r="A5873" s="291"/>
      <c r="B5873" s="292"/>
      <c r="C5873" s="312"/>
      <c r="D5873" s="292"/>
      <c r="E5873" s="489"/>
      <c r="F5873" s="489"/>
      <c r="G5873" s="490"/>
      <c r="H5873" s="520"/>
      <c r="I5873" s="523"/>
      <c r="J5873" s="521"/>
      <c r="K5873" s="522"/>
      <c r="M5873" s="301" t="str">
        <f>N5873&amp;AS[[#This Row],[Insurer Code]]&amp;"; "&amp;O5873&amp;AS[[#This Row],[Reporting Year]]&amp;"; "&amp;P5873&amp;AS[[#This Row],[Insurance Category Code]]&amp;"; "&amp;Q5873&amp;AS[[#This Row],[Large Provider Entity Code]]&amp;"; "&amp;R5873&amp;AS[[#This Row],[Age Band Code]]&amp;"; "&amp;S5873&amp;AS[[#This Row],[Sex Code]]</f>
        <v xml:space="preserve">Insurer Code ; Reporting Year ; Insurance Category Code ; Large Provider Entity Code ; Age Band Code ; Sex Code </v>
      </c>
      <c r="N5873" s="297" t="s">
        <v>197</v>
      </c>
      <c r="O5873" s="297" t="s">
        <v>198</v>
      </c>
      <c r="P5873" s="297" t="s">
        <v>199</v>
      </c>
      <c r="Q5873" s="297" t="s">
        <v>200</v>
      </c>
      <c r="R5873" s="297" t="s">
        <v>213</v>
      </c>
      <c r="S5873" s="297" t="s">
        <v>214</v>
      </c>
    </row>
    <row r="5874" spans="1:19" x14ac:dyDescent="0.4">
      <c r="A5874" s="291"/>
      <c r="B5874" s="292"/>
      <c r="C5874" s="312"/>
      <c r="D5874" s="292"/>
      <c r="E5874" s="489"/>
      <c r="F5874" s="489"/>
      <c r="G5874" s="490"/>
      <c r="H5874" s="520"/>
      <c r="I5874" s="523"/>
      <c r="J5874" s="521"/>
      <c r="K5874" s="522"/>
      <c r="M5874" s="301" t="str">
        <f>N5874&amp;AS[[#This Row],[Insurer Code]]&amp;"; "&amp;O5874&amp;AS[[#This Row],[Reporting Year]]&amp;"; "&amp;P5874&amp;AS[[#This Row],[Insurance Category Code]]&amp;"; "&amp;Q5874&amp;AS[[#This Row],[Large Provider Entity Code]]&amp;"; "&amp;R5874&amp;AS[[#This Row],[Age Band Code]]&amp;"; "&amp;S5874&amp;AS[[#This Row],[Sex Code]]</f>
        <v xml:space="preserve">Insurer Code ; Reporting Year ; Insurance Category Code ; Large Provider Entity Code ; Age Band Code ; Sex Code </v>
      </c>
      <c r="N5874" s="297" t="s">
        <v>197</v>
      </c>
      <c r="O5874" s="297" t="s">
        <v>198</v>
      </c>
      <c r="P5874" s="297" t="s">
        <v>199</v>
      </c>
      <c r="Q5874" s="297" t="s">
        <v>200</v>
      </c>
      <c r="R5874" s="297" t="s">
        <v>213</v>
      </c>
      <c r="S5874" s="297" t="s">
        <v>214</v>
      </c>
    </row>
    <row r="5875" spans="1:19" x14ac:dyDescent="0.4">
      <c r="A5875" s="291"/>
      <c r="B5875" s="292"/>
      <c r="C5875" s="312"/>
      <c r="D5875" s="292"/>
      <c r="E5875" s="489"/>
      <c r="F5875" s="489"/>
      <c r="G5875" s="490"/>
      <c r="H5875" s="520"/>
      <c r="I5875" s="523"/>
      <c r="J5875" s="521"/>
      <c r="K5875" s="522"/>
      <c r="M5875" s="301" t="str">
        <f>N5875&amp;AS[[#This Row],[Insurer Code]]&amp;"; "&amp;O5875&amp;AS[[#This Row],[Reporting Year]]&amp;"; "&amp;P5875&amp;AS[[#This Row],[Insurance Category Code]]&amp;"; "&amp;Q5875&amp;AS[[#This Row],[Large Provider Entity Code]]&amp;"; "&amp;R5875&amp;AS[[#This Row],[Age Band Code]]&amp;"; "&amp;S5875&amp;AS[[#This Row],[Sex Code]]</f>
        <v xml:space="preserve">Insurer Code ; Reporting Year ; Insurance Category Code ; Large Provider Entity Code ; Age Band Code ; Sex Code </v>
      </c>
      <c r="N5875" s="297" t="s">
        <v>197</v>
      </c>
      <c r="O5875" s="297" t="s">
        <v>198</v>
      </c>
      <c r="P5875" s="297" t="s">
        <v>199</v>
      </c>
      <c r="Q5875" s="297" t="s">
        <v>200</v>
      </c>
      <c r="R5875" s="297" t="s">
        <v>213</v>
      </c>
      <c r="S5875" s="297" t="s">
        <v>214</v>
      </c>
    </row>
    <row r="5876" spans="1:19" x14ac:dyDescent="0.4">
      <c r="A5876" s="291"/>
      <c r="B5876" s="292"/>
      <c r="C5876" s="312"/>
      <c r="D5876" s="292"/>
      <c r="E5876" s="489"/>
      <c r="F5876" s="489"/>
      <c r="G5876" s="490"/>
      <c r="H5876" s="520"/>
      <c r="I5876" s="523"/>
      <c r="J5876" s="521"/>
      <c r="K5876" s="522"/>
      <c r="M5876" s="301" t="str">
        <f>N5876&amp;AS[[#This Row],[Insurer Code]]&amp;"; "&amp;O5876&amp;AS[[#This Row],[Reporting Year]]&amp;"; "&amp;P5876&amp;AS[[#This Row],[Insurance Category Code]]&amp;"; "&amp;Q5876&amp;AS[[#This Row],[Large Provider Entity Code]]&amp;"; "&amp;R5876&amp;AS[[#This Row],[Age Band Code]]&amp;"; "&amp;S5876&amp;AS[[#This Row],[Sex Code]]</f>
        <v xml:space="preserve">Insurer Code ; Reporting Year ; Insurance Category Code ; Large Provider Entity Code ; Age Band Code ; Sex Code </v>
      </c>
      <c r="N5876" s="297" t="s">
        <v>197</v>
      </c>
      <c r="O5876" s="297" t="s">
        <v>198</v>
      </c>
      <c r="P5876" s="297" t="s">
        <v>199</v>
      </c>
      <c r="Q5876" s="297" t="s">
        <v>200</v>
      </c>
      <c r="R5876" s="297" t="s">
        <v>213</v>
      </c>
      <c r="S5876" s="297" t="s">
        <v>214</v>
      </c>
    </row>
    <row r="5877" spans="1:19" x14ac:dyDescent="0.4">
      <c r="A5877" s="291"/>
      <c r="B5877" s="292"/>
      <c r="C5877" s="312"/>
      <c r="D5877" s="292"/>
      <c r="E5877" s="489"/>
      <c r="F5877" s="489"/>
      <c r="G5877" s="490"/>
      <c r="H5877" s="520"/>
      <c r="I5877" s="523"/>
      <c r="J5877" s="521"/>
      <c r="K5877" s="522"/>
      <c r="M5877" s="301" t="str">
        <f>N5877&amp;AS[[#This Row],[Insurer Code]]&amp;"; "&amp;O5877&amp;AS[[#This Row],[Reporting Year]]&amp;"; "&amp;P5877&amp;AS[[#This Row],[Insurance Category Code]]&amp;"; "&amp;Q5877&amp;AS[[#This Row],[Large Provider Entity Code]]&amp;"; "&amp;R5877&amp;AS[[#This Row],[Age Band Code]]&amp;"; "&amp;S5877&amp;AS[[#This Row],[Sex Code]]</f>
        <v xml:space="preserve">Insurer Code ; Reporting Year ; Insurance Category Code ; Large Provider Entity Code ; Age Band Code ; Sex Code </v>
      </c>
      <c r="N5877" s="297" t="s">
        <v>197</v>
      </c>
      <c r="O5877" s="297" t="s">
        <v>198</v>
      </c>
      <c r="P5877" s="297" t="s">
        <v>199</v>
      </c>
      <c r="Q5877" s="297" t="s">
        <v>200</v>
      </c>
      <c r="R5877" s="297" t="s">
        <v>213</v>
      </c>
      <c r="S5877" s="297" t="s">
        <v>214</v>
      </c>
    </row>
    <row r="5878" spans="1:19" x14ac:dyDescent="0.4">
      <c r="A5878" s="291"/>
      <c r="B5878" s="292"/>
      <c r="C5878" s="312"/>
      <c r="D5878" s="292"/>
      <c r="E5878" s="489"/>
      <c r="F5878" s="489"/>
      <c r="G5878" s="490"/>
      <c r="H5878" s="520"/>
      <c r="I5878" s="523"/>
      <c r="J5878" s="521"/>
      <c r="K5878" s="522"/>
      <c r="M5878" s="301" t="str">
        <f>N5878&amp;AS[[#This Row],[Insurer Code]]&amp;"; "&amp;O5878&amp;AS[[#This Row],[Reporting Year]]&amp;"; "&amp;P5878&amp;AS[[#This Row],[Insurance Category Code]]&amp;"; "&amp;Q5878&amp;AS[[#This Row],[Large Provider Entity Code]]&amp;"; "&amp;R5878&amp;AS[[#This Row],[Age Band Code]]&amp;"; "&amp;S5878&amp;AS[[#This Row],[Sex Code]]</f>
        <v xml:space="preserve">Insurer Code ; Reporting Year ; Insurance Category Code ; Large Provider Entity Code ; Age Band Code ; Sex Code </v>
      </c>
      <c r="N5878" s="297" t="s">
        <v>197</v>
      </c>
      <c r="O5878" s="297" t="s">
        <v>198</v>
      </c>
      <c r="P5878" s="297" t="s">
        <v>199</v>
      </c>
      <c r="Q5878" s="297" t="s">
        <v>200</v>
      </c>
      <c r="R5878" s="297" t="s">
        <v>213</v>
      </c>
      <c r="S5878" s="297" t="s">
        <v>214</v>
      </c>
    </row>
    <row r="5879" spans="1:19" x14ac:dyDescent="0.4">
      <c r="A5879" s="291"/>
      <c r="B5879" s="292"/>
      <c r="C5879" s="312"/>
      <c r="D5879" s="292"/>
      <c r="E5879" s="489"/>
      <c r="F5879" s="489"/>
      <c r="G5879" s="490"/>
      <c r="H5879" s="520"/>
      <c r="I5879" s="523"/>
      <c r="J5879" s="521"/>
      <c r="K5879" s="522"/>
      <c r="M5879" s="301" t="str">
        <f>N5879&amp;AS[[#This Row],[Insurer Code]]&amp;"; "&amp;O5879&amp;AS[[#This Row],[Reporting Year]]&amp;"; "&amp;P5879&amp;AS[[#This Row],[Insurance Category Code]]&amp;"; "&amp;Q5879&amp;AS[[#This Row],[Large Provider Entity Code]]&amp;"; "&amp;R5879&amp;AS[[#This Row],[Age Band Code]]&amp;"; "&amp;S5879&amp;AS[[#This Row],[Sex Code]]</f>
        <v xml:space="preserve">Insurer Code ; Reporting Year ; Insurance Category Code ; Large Provider Entity Code ; Age Band Code ; Sex Code </v>
      </c>
      <c r="N5879" s="297" t="s">
        <v>197</v>
      </c>
      <c r="O5879" s="297" t="s">
        <v>198</v>
      </c>
      <c r="P5879" s="297" t="s">
        <v>199</v>
      </c>
      <c r="Q5879" s="297" t="s">
        <v>200</v>
      </c>
      <c r="R5879" s="297" t="s">
        <v>213</v>
      </c>
      <c r="S5879" s="297" t="s">
        <v>214</v>
      </c>
    </row>
    <row r="5880" spans="1:19" x14ac:dyDescent="0.4">
      <c r="A5880" s="291"/>
      <c r="B5880" s="292"/>
      <c r="C5880" s="312"/>
      <c r="D5880" s="292"/>
      <c r="E5880" s="489"/>
      <c r="F5880" s="489"/>
      <c r="G5880" s="490"/>
      <c r="H5880" s="520"/>
      <c r="I5880" s="523"/>
      <c r="J5880" s="521"/>
      <c r="K5880" s="522"/>
      <c r="M5880" s="301" t="str">
        <f>N5880&amp;AS[[#This Row],[Insurer Code]]&amp;"; "&amp;O5880&amp;AS[[#This Row],[Reporting Year]]&amp;"; "&amp;P5880&amp;AS[[#This Row],[Insurance Category Code]]&amp;"; "&amp;Q5880&amp;AS[[#This Row],[Large Provider Entity Code]]&amp;"; "&amp;R5880&amp;AS[[#This Row],[Age Band Code]]&amp;"; "&amp;S5880&amp;AS[[#This Row],[Sex Code]]</f>
        <v xml:space="preserve">Insurer Code ; Reporting Year ; Insurance Category Code ; Large Provider Entity Code ; Age Band Code ; Sex Code </v>
      </c>
      <c r="N5880" s="297" t="s">
        <v>197</v>
      </c>
      <c r="O5880" s="297" t="s">
        <v>198</v>
      </c>
      <c r="P5880" s="297" t="s">
        <v>199</v>
      </c>
      <c r="Q5880" s="297" t="s">
        <v>200</v>
      </c>
      <c r="R5880" s="297" t="s">
        <v>213</v>
      </c>
      <c r="S5880" s="297" t="s">
        <v>214</v>
      </c>
    </row>
    <row r="5881" spans="1:19" x14ac:dyDescent="0.4">
      <c r="A5881" s="291"/>
      <c r="B5881" s="292"/>
      <c r="C5881" s="312"/>
      <c r="D5881" s="292"/>
      <c r="E5881" s="489"/>
      <c r="F5881" s="489"/>
      <c r="G5881" s="490"/>
      <c r="H5881" s="520"/>
      <c r="I5881" s="523"/>
      <c r="J5881" s="521"/>
      <c r="K5881" s="522"/>
      <c r="M5881" s="301" t="str">
        <f>N5881&amp;AS[[#This Row],[Insurer Code]]&amp;"; "&amp;O5881&amp;AS[[#This Row],[Reporting Year]]&amp;"; "&amp;P5881&amp;AS[[#This Row],[Insurance Category Code]]&amp;"; "&amp;Q5881&amp;AS[[#This Row],[Large Provider Entity Code]]&amp;"; "&amp;R5881&amp;AS[[#This Row],[Age Band Code]]&amp;"; "&amp;S5881&amp;AS[[#This Row],[Sex Code]]</f>
        <v xml:space="preserve">Insurer Code ; Reporting Year ; Insurance Category Code ; Large Provider Entity Code ; Age Band Code ; Sex Code </v>
      </c>
      <c r="N5881" s="297" t="s">
        <v>197</v>
      </c>
      <c r="O5881" s="297" t="s">
        <v>198</v>
      </c>
      <c r="P5881" s="297" t="s">
        <v>199</v>
      </c>
      <c r="Q5881" s="297" t="s">
        <v>200</v>
      </c>
      <c r="R5881" s="297" t="s">
        <v>213</v>
      </c>
      <c r="S5881" s="297" t="s">
        <v>214</v>
      </c>
    </row>
    <row r="5882" spans="1:19" x14ac:dyDescent="0.4">
      <c r="A5882" s="291"/>
      <c r="B5882" s="292"/>
      <c r="C5882" s="312"/>
      <c r="D5882" s="292"/>
      <c r="E5882" s="489"/>
      <c r="F5882" s="489"/>
      <c r="G5882" s="490"/>
      <c r="H5882" s="520"/>
      <c r="I5882" s="523"/>
      <c r="J5882" s="521"/>
      <c r="K5882" s="522"/>
      <c r="M5882" s="301" t="str">
        <f>N5882&amp;AS[[#This Row],[Insurer Code]]&amp;"; "&amp;O5882&amp;AS[[#This Row],[Reporting Year]]&amp;"; "&amp;P5882&amp;AS[[#This Row],[Insurance Category Code]]&amp;"; "&amp;Q5882&amp;AS[[#This Row],[Large Provider Entity Code]]&amp;"; "&amp;R5882&amp;AS[[#This Row],[Age Band Code]]&amp;"; "&amp;S5882&amp;AS[[#This Row],[Sex Code]]</f>
        <v xml:space="preserve">Insurer Code ; Reporting Year ; Insurance Category Code ; Large Provider Entity Code ; Age Band Code ; Sex Code </v>
      </c>
      <c r="N5882" s="297" t="s">
        <v>197</v>
      </c>
      <c r="O5882" s="297" t="s">
        <v>198</v>
      </c>
      <c r="P5882" s="297" t="s">
        <v>199</v>
      </c>
      <c r="Q5882" s="297" t="s">
        <v>200</v>
      </c>
      <c r="R5882" s="297" t="s">
        <v>213</v>
      </c>
      <c r="S5882" s="297" t="s">
        <v>214</v>
      </c>
    </row>
    <row r="5883" spans="1:19" x14ac:dyDescent="0.4">
      <c r="A5883" s="291"/>
      <c r="B5883" s="292"/>
      <c r="C5883" s="312"/>
      <c r="D5883" s="292"/>
      <c r="E5883" s="489"/>
      <c r="F5883" s="489"/>
      <c r="G5883" s="490"/>
      <c r="H5883" s="520"/>
      <c r="I5883" s="523"/>
      <c r="J5883" s="521"/>
      <c r="K5883" s="522"/>
      <c r="M5883" s="301" t="str">
        <f>N5883&amp;AS[[#This Row],[Insurer Code]]&amp;"; "&amp;O5883&amp;AS[[#This Row],[Reporting Year]]&amp;"; "&amp;P5883&amp;AS[[#This Row],[Insurance Category Code]]&amp;"; "&amp;Q5883&amp;AS[[#This Row],[Large Provider Entity Code]]&amp;"; "&amp;R5883&amp;AS[[#This Row],[Age Band Code]]&amp;"; "&amp;S5883&amp;AS[[#This Row],[Sex Code]]</f>
        <v xml:space="preserve">Insurer Code ; Reporting Year ; Insurance Category Code ; Large Provider Entity Code ; Age Band Code ; Sex Code </v>
      </c>
      <c r="N5883" s="297" t="s">
        <v>197</v>
      </c>
      <c r="O5883" s="297" t="s">
        <v>198</v>
      </c>
      <c r="P5883" s="297" t="s">
        <v>199</v>
      </c>
      <c r="Q5883" s="297" t="s">
        <v>200</v>
      </c>
      <c r="R5883" s="297" t="s">
        <v>213</v>
      </c>
      <c r="S5883" s="297" t="s">
        <v>214</v>
      </c>
    </row>
    <row r="5884" spans="1:19" x14ac:dyDescent="0.4">
      <c r="A5884" s="291"/>
      <c r="B5884" s="292"/>
      <c r="C5884" s="312"/>
      <c r="D5884" s="292"/>
      <c r="E5884" s="489"/>
      <c r="F5884" s="489"/>
      <c r="G5884" s="490"/>
      <c r="H5884" s="520"/>
      <c r="I5884" s="523"/>
      <c r="J5884" s="521"/>
      <c r="K5884" s="522"/>
      <c r="M5884" s="301" t="str">
        <f>N5884&amp;AS[[#This Row],[Insurer Code]]&amp;"; "&amp;O5884&amp;AS[[#This Row],[Reporting Year]]&amp;"; "&amp;P5884&amp;AS[[#This Row],[Insurance Category Code]]&amp;"; "&amp;Q5884&amp;AS[[#This Row],[Large Provider Entity Code]]&amp;"; "&amp;R5884&amp;AS[[#This Row],[Age Band Code]]&amp;"; "&amp;S5884&amp;AS[[#This Row],[Sex Code]]</f>
        <v xml:space="preserve">Insurer Code ; Reporting Year ; Insurance Category Code ; Large Provider Entity Code ; Age Band Code ; Sex Code </v>
      </c>
      <c r="N5884" s="297" t="s">
        <v>197</v>
      </c>
      <c r="O5884" s="297" t="s">
        <v>198</v>
      </c>
      <c r="P5884" s="297" t="s">
        <v>199</v>
      </c>
      <c r="Q5884" s="297" t="s">
        <v>200</v>
      </c>
      <c r="R5884" s="297" t="s">
        <v>213</v>
      </c>
      <c r="S5884" s="297" t="s">
        <v>214</v>
      </c>
    </row>
    <row r="5885" spans="1:19" x14ac:dyDescent="0.4">
      <c r="A5885" s="291"/>
      <c r="B5885" s="292"/>
      <c r="C5885" s="312"/>
      <c r="D5885" s="292"/>
      <c r="E5885" s="489"/>
      <c r="F5885" s="489"/>
      <c r="G5885" s="490"/>
      <c r="H5885" s="520"/>
      <c r="I5885" s="523"/>
      <c r="J5885" s="521"/>
      <c r="K5885" s="522"/>
      <c r="M5885" s="301" t="str">
        <f>N5885&amp;AS[[#This Row],[Insurer Code]]&amp;"; "&amp;O5885&amp;AS[[#This Row],[Reporting Year]]&amp;"; "&amp;P5885&amp;AS[[#This Row],[Insurance Category Code]]&amp;"; "&amp;Q5885&amp;AS[[#This Row],[Large Provider Entity Code]]&amp;"; "&amp;R5885&amp;AS[[#This Row],[Age Band Code]]&amp;"; "&amp;S5885&amp;AS[[#This Row],[Sex Code]]</f>
        <v xml:space="preserve">Insurer Code ; Reporting Year ; Insurance Category Code ; Large Provider Entity Code ; Age Band Code ; Sex Code </v>
      </c>
      <c r="N5885" s="297" t="s">
        <v>197</v>
      </c>
      <c r="O5885" s="297" t="s">
        <v>198</v>
      </c>
      <c r="P5885" s="297" t="s">
        <v>199</v>
      </c>
      <c r="Q5885" s="297" t="s">
        <v>200</v>
      </c>
      <c r="R5885" s="297" t="s">
        <v>213</v>
      </c>
      <c r="S5885" s="297" t="s">
        <v>214</v>
      </c>
    </row>
    <row r="5886" spans="1:19" x14ac:dyDescent="0.4">
      <c r="A5886" s="291"/>
      <c r="B5886" s="292"/>
      <c r="C5886" s="312"/>
      <c r="D5886" s="292"/>
      <c r="E5886" s="489"/>
      <c r="F5886" s="489"/>
      <c r="G5886" s="490"/>
      <c r="H5886" s="520"/>
      <c r="I5886" s="523"/>
      <c r="J5886" s="521"/>
      <c r="K5886" s="522"/>
      <c r="M5886" s="301" t="str">
        <f>N5886&amp;AS[[#This Row],[Insurer Code]]&amp;"; "&amp;O5886&amp;AS[[#This Row],[Reporting Year]]&amp;"; "&amp;P5886&amp;AS[[#This Row],[Insurance Category Code]]&amp;"; "&amp;Q5886&amp;AS[[#This Row],[Large Provider Entity Code]]&amp;"; "&amp;R5886&amp;AS[[#This Row],[Age Band Code]]&amp;"; "&amp;S5886&amp;AS[[#This Row],[Sex Code]]</f>
        <v xml:space="preserve">Insurer Code ; Reporting Year ; Insurance Category Code ; Large Provider Entity Code ; Age Band Code ; Sex Code </v>
      </c>
      <c r="N5886" s="297" t="s">
        <v>197</v>
      </c>
      <c r="O5886" s="297" t="s">
        <v>198</v>
      </c>
      <c r="P5886" s="297" t="s">
        <v>199</v>
      </c>
      <c r="Q5886" s="297" t="s">
        <v>200</v>
      </c>
      <c r="R5886" s="297" t="s">
        <v>213</v>
      </c>
      <c r="S5886" s="297" t="s">
        <v>214</v>
      </c>
    </row>
    <row r="5887" spans="1:19" x14ac:dyDescent="0.4">
      <c r="A5887" s="291"/>
      <c r="B5887" s="292"/>
      <c r="C5887" s="312"/>
      <c r="D5887" s="292"/>
      <c r="E5887" s="489"/>
      <c r="F5887" s="489"/>
      <c r="G5887" s="490"/>
      <c r="H5887" s="520"/>
      <c r="I5887" s="523"/>
      <c r="J5887" s="521"/>
      <c r="K5887" s="522"/>
      <c r="M5887" s="301" t="str">
        <f>N5887&amp;AS[[#This Row],[Insurer Code]]&amp;"; "&amp;O5887&amp;AS[[#This Row],[Reporting Year]]&amp;"; "&amp;P5887&amp;AS[[#This Row],[Insurance Category Code]]&amp;"; "&amp;Q5887&amp;AS[[#This Row],[Large Provider Entity Code]]&amp;"; "&amp;R5887&amp;AS[[#This Row],[Age Band Code]]&amp;"; "&amp;S5887&amp;AS[[#This Row],[Sex Code]]</f>
        <v xml:space="preserve">Insurer Code ; Reporting Year ; Insurance Category Code ; Large Provider Entity Code ; Age Band Code ; Sex Code </v>
      </c>
      <c r="N5887" s="297" t="s">
        <v>197</v>
      </c>
      <c r="O5887" s="297" t="s">
        <v>198</v>
      </c>
      <c r="P5887" s="297" t="s">
        <v>199</v>
      </c>
      <c r="Q5887" s="297" t="s">
        <v>200</v>
      </c>
      <c r="R5887" s="297" t="s">
        <v>213</v>
      </c>
      <c r="S5887" s="297" t="s">
        <v>214</v>
      </c>
    </row>
    <row r="5888" spans="1:19" x14ac:dyDescent="0.4">
      <c r="A5888" s="291"/>
      <c r="B5888" s="292"/>
      <c r="C5888" s="312"/>
      <c r="D5888" s="292"/>
      <c r="E5888" s="489"/>
      <c r="F5888" s="489"/>
      <c r="G5888" s="490"/>
      <c r="H5888" s="520"/>
      <c r="I5888" s="523"/>
      <c r="J5888" s="521"/>
      <c r="K5888" s="522"/>
      <c r="M5888" s="301" t="str">
        <f>N5888&amp;AS[[#This Row],[Insurer Code]]&amp;"; "&amp;O5888&amp;AS[[#This Row],[Reporting Year]]&amp;"; "&amp;P5888&amp;AS[[#This Row],[Insurance Category Code]]&amp;"; "&amp;Q5888&amp;AS[[#This Row],[Large Provider Entity Code]]&amp;"; "&amp;R5888&amp;AS[[#This Row],[Age Band Code]]&amp;"; "&amp;S5888&amp;AS[[#This Row],[Sex Code]]</f>
        <v xml:space="preserve">Insurer Code ; Reporting Year ; Insurance Category Code ; Large Provider Entity Code ; Age Band Code ; Sex Code </v>
      </c>
      <c r="N5888" s="297" t="s">
        <v>197</v>
      </c>
      <c r="O5888" s="297" t="s">
        <v>198</v>
      </c>
      <c r="P5888" s="297" t="s">
        <v>199</v>
      </c>
      <c r="Q5888" s="297" t="s">
        <v>200</v>
      </c>
      <c r="R5888" s="297" t="s">
        <v>213</v>
      </c>
      <c r="S5888" s="297" t="s">
        <v>214</v>
      </c>
    </row>
    <row r="5889" spans="1:19" x14ac:dyDescent="0.4">
      <c r="A5889" s="291"/>
      <c r="B5889" s="292"/>
      <c r="C5889" s="312"/>
      <c r="D5889" s="292"/>
      <c r="E5889" s="489"/>
      <c r="F5889" s="489"/>
      <c r="G5889" s="490"/>
      <c r="H5889" s="520"/>
      <c r="I5889" s="523"/>
      <c r="J5889" s="521"/>
      <c r="K5889" s="522"/>
      <c r="M5889" s="301" t="str">
        <f>N5889&amp;AS[[#This Row],[Insurer Code]]&amp;"; "&amp;O5889&amp;AS[[#This Row],[Reporting Year]]&amp;"; "&amp;P5889&amp;AS[[#This Row],[Insurance Category Code]]&amp;"; "&amp;Q5889&amp;AS[[#This Row],[Large Provider Entity Code]]&amp;"; "&amp;R5889&amp;AS[[#This Row],[Age Band Code]]&amp;"; "&amp;S5889&amp;AS[[#This Row],[Sex Code]]</f>
        <v xml:space="preserve">Insurer Code ; Reporting Year ; Insurance Category Code ; Large Provider Entity Code ; Age Band Code ; Sex Code </v>
      </c>
      <c r="N5889" s="297" t="s">
        <v>197</v>
      </c>
      <c r="O5889" s="297" t="s">
        <v>198</v>
      </c>
      <c r="P5889" s="297" t="s">
        <v>199</v>
      </c>
      <c r="Q5889" s="297" t="s">
        <v>200</v>
      </c>
      <c r="R5889" s="297" t="s">
        <v>213</v>
      </c>
      <c r="S5889" s="297" t="s">
        <v>214</v>
      </c>
    </row>
    <row r="5890" spans="1:19" x14ac:dyDescent="0.4">
      <c r="A5890" s="291"/>
      <c r="B5890" s="292"/>
      <c r="C5890" s="312"/>
      <c r="D5890" s="292"/>
      <c r="E5890" s="489"/>
      <c r="F5890" s="489"/>
      <c r="G5890" s="490"/>
      <c r="H5890" s="520"/>
      <c r="I5890" s="523"/>
      <c r="J5890" s="521"/>
      <c r="K5890" s="522"/>
      <c r="M5890" s="301" t="str">
        <f>N5890&amp;AS[[#This Row],[Insurer Code]]&amp;"; "&amp;O5890&amp;AS[[#This Row],[Reporting Year]]&amp;"; "&amp;P5890&amp;AS[[#This Row],[Insurance Category Code]]&amp;"; "&amp;Q5890&amp;AS[[#This Row],[Large Provider Entity Code]]&amp;"; "&amp;R5890&amp;AS[[#This Row],[Age Band Code]]&amp;"; "&amp;S5890&amp;AS[[#This Row],[Sex Code]]</f>
        <v xml:space="preserve">Insurer Code ; Reporting Year ; Insurance Category Code ; Large Provider Entity Code ; Age Band Code ; Sex Code </v>
      </c>
      <c r="N5890" s="297" t="s">
        <v>197</v>
      </c>
      <c r="O5890" s="297" t="s">
        <v>198</v>
      </c>
      <c r="P5890" s="297" t="s">
        <v>199</v>
      </c>
      <c r="Q5890" s="297" t="s">
        <v>200</v>
      </c>
      <c r="R5890" s="297" t="s">
        <v>213</v>
      </c>
      <c r="S5890" s="297" t="s">
        <v>214</v>
      </c>
    </row>
    <row r="5891" spans="1:19" x14ac:dyDescent="0.4">
      <c r="A5891" s="291"/>
      <c r="B5891" s="292"/>
      <c r="C5891" s="312"/>
      <c r="D5891" s="292"/>
      <c r="E5891" s="489"/>
      <c r="F5891" s="489"/>
      <c r="G5891" s="490"/>
      <c r="H5891" s="520"/>
      <c r="I5891" s="523"/>
      <c r="J5891" s="521"/>
      <c r="K5891" s="522"/>
      <c r="M5891" s="301" t="str">
        <f>N5891&amp;AS[[#This Row],[Insurer Code]]&amp;"; "&amp;O5891&amp;AS[[#This Row],[Reporting Year]]&amp;"; "&amp;P5891&amp;AS[[#This Row],[Insurance Category Code]]&amp;"; "&amp;Q5891&amp;AS[[#This Row],[Large Provider Entity Code]]&amp;"; "&amp;R5891&amp;AS[[#This Row],[Age Band Code]]&amp;"; "&amp;S5891&amp;AS[[#This Row],[Sex Code]]</f>
        <v xml:space="preserve">Insurer Code ; Reporting Year ; Insurance Category Code ; Large Provider Entity Code ; Age Band Code ; Sex Code </v>
      </c>
      <c r="N5891" s="297" t="s">
        <v>197</v>
      </c>
      <c r="O5891" s="297" t="s">
        <v>198</v>
      </c>
      <c r="P5891" s="297" t="s">
        <v>199</v>
      </c>
      <c r="Q5891" s="297" t="s">
        <v>200</v>
      </c>
      <c r="R5891" s="297" t="s">
        <v>213</v>
      </c>
      <c r="S5891" s="297" t="s">
        <v>214</v>
      </c>
    </row>
    <row r="5892" spans="1:19" x14ac:dyDescent="0.4">
      <c r="A5892" s="291"/>
      <c r="B5892" s="292"/>
      <c r="C5892" s="312"/>
      <c r="D5892" s="292"/>
      <c r="E5892" s="489"/>
      <c r="F5892" s="489"/>
      <c r="G5892" s="490"/>
      <c r="H5892" s="520"/>
      <c r="I5892" s="523"/>
      <c r="J5892" s="521"/>
      <c r="K5892" s="522"/>
      <c r="M5892" s="301" t="str">
        <f>N5892&amp;AS[[#This Row],[Insurer Code]]&amp;"; "&amp;O5892&amp;AS[[#This Row],[Reporting Year]]&amp;"; "&amp;P5892&amp;AS[[#This Row],[Insurance Category Code]]&amp;"; "&amp;Q5892&amp;AS[[#This Row],[Large Provider Entity Code]]&amp;"; "&amp;R5892&amp;AS[[#This Row],[Age Band Code]]&amp;"; "&amp;S5892&amp;AS[[#This Row],[Sex Code]]</f>
        <v xml:space="preserve">Insurer Code ; Reporting Year ; Insurance Category Code ; Large Provider Entity Code ; Age Band Code ; Sex Code </v>
      </c>
      <c r="N5892" s="297" t="s">
        <v>197</v>
      </c>
      <c r="O5892" s="297" t="s">
        <v>198</v>
      </c>
      <c r="P5892" s="297" t="s">
        <v>199</v>
      </c>
      <c r="Q5892" s="297" t="s">
        <v>200</v>
      </c>
      <c r="R5892" s="297" t="s">
        <v>213</v>
      </c>
      <c r="S5892" s="297" t="s">
        <v>214</v>
      </c>
    </row>
    <row r="5893" spans="1:19" x14ac:dyDescent="0.4">
      <c r="A5893" s="291"/>
      <c r="B5893" s="292"/>
      <c r="C5893" s="312"/>
      <c r="D5893" s="292"/>
      <c r="E5893" s="489"/>
      <c r="F5893" s="489"/>
      <c r="G5893" s="490"/>
      <c r="H5893" s="520"/>
      <c r="I5893" s="523"/>
      <c r="J5893" s="521"/>
      <c r="K5893" s="522"/>
      <c r="M5893" s="301" t="str">
        <f>N5893&amp;AS[[#This Row],[Insurer Code]]&amp;"; "&amp;O5893&amp;AS[[#This Row],[Reporting Year]]&amp;"; "&amp;P5893&amp;AS[[#This Row],[Insurance Category Code]]&amp;"; "&amp;Q5893&amp;AS[[#This Row],[Large Provider Entity Code]]&amp;"; "&amp;R5893&amp;AS[[#This Row],[Age Band Code]]&amp;"; "&amp;S5893&amp;AS[[#This Row],[Sex Code]]</f>
        <v xml:space="preserve">Insurer Code ; Reporting Year ; Insurance Category Code ; Large Provider Entity Code ; Age Band Code ; Sex Code </v>
      </c>
      <c r="N5893" s="297" t="s">
        <v>197</v>
      </c>
      <c r="O5893" s="297" t="s">
        <v>198</v>
      </c>
      <c r="P5893" s="297" t="s">
        <v>199</v>
      </c>
      <c r="Q5893" s="297" t="s">
        <v>200</v>
      </c>
      <c r="R5893" s="297" t="s">
        <v>213</v>
      </c>
      <c r="S5893" s="297" t="s">
        <v>214</v>
      </c>
    </row>
    <row r="5894" spans="1:19" x14ac:dyDescent="0.4">
      <c r="A5894" s="291"/>
      <c r="B5894" s="292"/>
      <c r="C5894" s="312"/>
      <c r="D5894" s="292"/>
      <c r="E5894" s="489"/>
      <c r="F5894" s="489"/>
      <c r="G5894" s="490"/>
      <c r="H5894" s="520"/>
      <c r="I5894" s="523"/>
      <c r="J5894" s="521"/>
      <c r="K5894" s="522"/>
      <c r="M5894" s="301" t="str">
        <f>N5894&amp;AS[[#This Row],[Insurer Code]]&amp;"; "&amp;O5894&amp;AS[[#This Row],[Reporting Year]]&amp;"; "&amp;P5894&amp;AS[[#This Row],[Insurance Category Code]]&amp;"; "&amp;Q5894&amp;AS[[#This Row],[Large Provider Entity Code]]&amp;"; "&amp;R5894&amp;AS[[#This Row],[Age Band Code]]&amp;"; "&amp;S5894&amp;AS[[#This Row],[Sex Code]]</f>
        <v xml:space="preserve">Insurer Code ; Reporting Year ; Insurance Category Code ; Large Provider Entity Code ; Age Band Code ; Sex Code </v>
      </c>
      <c r="N5894" s="297" t="s">
        <v>197</v>
      </c>
      <c r="O5894" s="297" t="s">
        <v>198</v>
      </c>
      <c r="P5894" s="297" t="s">
        <v>199</v>
      </c>
      <c r="Q5894" s="297" t="s">
        <v>200</v>
      </c>
      <c r="R5894" s="297" t="s">
        <v>213</v>
      </c>
      <c r="S5894" s="297" t="s">
        <v>214</v>
      </c>
    </row>
    <row r="5895" spans="1:19" x14ac:dyDescent="0.4">
      <c r="A5895" s="291"/>
      <c r="B5895" s="292"/>
      <c r="C5895" s="312"/>
      <c r="D5895" s="292"/>
      <c r="E5895" s="489"/>
      <c r="F5895" s="489"/>
      <c r="G5895" s="490"/>
      <c r="H5895" s="520"/>
      <c r="I5895" s="523"/>
      <c r="J5895" s="521"/>
      <c r="K5895" s="522"/>
      <c r="M5895" s="301" t="str">
        <f>N5895&amp;AS[[#This Row],[Insurer Code]]&amp;"; "&amp;O5895&amp;AS[[#This Row],[Reporting Year]]&amp;"; "&amp;P5895&amp;AS[[#This Row],[Insurance Category Code]]&amp;"; "&amp;Q5895&amp;AS[[#This Row],[Large Provider Entity Code]]&amp;"; "&amp;R5895&amp;AS[[#This Row],[Age Band Code]]&amp;"; "&amp;S5895&amp;AS[[#This Row],[Sex Code]]</f>
        <v xml:space="preserve">Insurer Code ; Reporting Year ; Insurance Category Code ; Large Provider Entity Code ; Age Band Code ; Sex Code </v>
      </c>
      <c r="N5895" s="297" t="s">
        <v>197</v>
      </c>
      <c r="O5895" s="297" t="s">
        <v>198</v>
      </c>
      <c r="P5895" s="297" t="s">
        <v>199</v>
      </c>
      <c r="Q5895" s="297" t="s">
        <v>200</v>
      </c>
      <c r="R5895" s="297" t="s">
        <v>213</v>
      </c>
      <c r="S5895" s="297" t="s">
        <v>214</v>
      </c>
    </row>
    <row r="5896" spans="1:19" x14ac:dyDescent="0.4">
      <c r="A5896" s="291"/>
      <c r="B5896" s="292"/>
      <c r="C5896" s="312"/>
      <c r="D5896" s="292"/>
      <c r="E5896" s="489"/>
      <c r="F5896" s="489"/>
      <c r="G5896" s="490"/>
      <c r="H5896" s="520"/>
      <c r="I5896" s="523"/>
      <c r="J5896" s="521"/>
      <c r="K5896" s="522"/>
      <c r="M5896" s="301" t="str">
        <f>N5896&amp;AS[[#This Row],[Insurer Code]]&amp;"; "&amp;O5896&amp;AS[[#This Row],[Reporting Year]]&amp;"; "&amp;P5896&amp;AS[[#This Row],[Insurance Category Code]]&amp;"; "&amp;Q5896&amp;AS[[#This Row],[Large Provider Entity Code]]&amp;"; "&amp;R5896&amp;AS[[#This Row],[Age Band Code]]&amp;"; "&amp;S5896&amp;AS[[#This Row],[Sex Code]]</f>
        <v xml:space="preserve">Insurer Code ; Reporting Year ; Insurance Category Code ; Large Provider Entity Code ; Age Band Code ; Sex Code </v>
      </c>
      <c r="N5896" s="297" t="s">
        <v>197</v>
      </c>
      <c r="O5896" s="297" t="s">
        <v>198</v>
      </c>
      <c r="P5896" s="297" t="s">
        <v>199</v>
      </c>
      <c r="Q5896" s="297" t="s">
        <v>200</v>
      </c>
      <c r="R5896" s="297" t="s">
        <v>213</v>
      </c>
      <c r="S5896" s="297" t="s">
        <v>214</v>
      </c>
    </row>
    <row r="5897" spans="1:19" x14ac:dyDescent="0.4">
      <c r="A5897" s="291"/>
      <c r="B5897" s="292"/>
      <c r="C5897" s="312"/>
      <c r="D5897" s="292"/>
      <c r="E5897" s="489"/>
      <c r="F5897" s="489"/>
      <c r="G5897" s="490"/>
      <c r="H5897" s="520"/>
      <c r="I5897" s="523"/>
      <c r="J5897" s="521"/>
      <c r="K5897" s="522"/>
      <c r="M5897" s="301" t="str">
        <f>N5897&amp;AS[[#This Row],[Insurer Code]]&amp;"; "&amp;O5897&amp;AS[[#This Row],[Reporting Year]]&amp;"; "&amp;P5897&amp;AS[[#This Row],[Insurance Category Code]]&amp;"; "&amp;Q5897&amp;AS[[#This Row],[Large Provider Entity Code]]&amp;"; "&amp;R5897&amp;AS[[#This Row],[Age Band Code]]&amp;"; "&amp;S5897&amp;AS[[#This Row],[Sex Code]]</f>
        <v xml:space="preserve">Insurer Code ; Reporting Year ; Insurance Category Code ; Large Provider Entity Code ; Age Band Code ; Sex Code </v>
      </c>
      <c r="N5897" s="297" t="s">
        <v>197</v>
      </c>
      <c r="O5897" s="297" t="s">
        <v>198</v>
      </c>
      <c r="P5897" s="297" t="s">
        <v>199</v>
      </c>
      <c r="Q5897" s="297" t="s">
        <v>200</v>
      </c>
      <c r="R5897" s="297" t="s">
        <v>213</v>
      </c>
      <c r="S5897" s="297" t="s">
        <v>214</v>
      </c>
    </row>
    <row r="5898" spans="1:19" x14ac:dyDescent="0.4">
      <c r="A5898" s="291"/>
      <c r="B5898" s="292"/>
      <c r="C5898" s="312"/>
      <c r="D5898" s="292"/>
      <c r="E5898" s="489"/>
      <c r="F5898" s="489"/>
      <c r="G5898" s="490"/>
      <c r="H5898" s="520"/>
      <c r="I5898" s="523"/>
      <c r="J5898" s="521"/>
      <c r="K5898" s="522"/>
      <c r="M5898" s="301" t="str">
        <f>N5898&amp;AS[[#This Row],[Insurer Code]]&amp;"; "&amp;O5898&amp;AS[[#This Row],[Reporting Year]]&amp;"; "&amp;P5898&amp;AS[[#This Row],[Insurance Category Code]]&amp;"; "&amp;Q5898&amp;AS[[#This Row],[Large Provider Entity Code]]&amp;"; "&amp;R5898&amp;AS[[#This Row],[Age Band Code]]&amp;"; "&amp;S5898&amp;AS[[#This Row],[Sex Code]]</f>
        <v xml:space="preserve">Insurer Code ; Reporting Year ; Insurance Category Code ; Large Provider Entity Code ; Age Band Code ; Sex Code </v>
      </c>
      <c r="N5898" s="297" t="s">
        <v>197</v>
      </c>
      <c r="O5898" s="297" t="s">
        <v>198</v>
      </c>
      <c r="P5898" s="297" t="s">
        <v>199</v>
      </c>
      <c r="Q5898" s="297" t="s">
        <v>200</v>
      </c>
      <c r="R5898" s="297" t="s">
        <v>213</v>
      </c>
      <c r="S5898" s="297" t="s">
        <v>214</v>
      </c>
    </row>
    <row r="5899" spans="1:19" x14ac:dyDescent="0.4">
      <c r="A5899" s="291"/>
      <c r="B5899" s="292"/>
      <c r="C5899" s="312"/>
      <c r="D5899" s="292"/>
      <c r="E5899" s="489"/>
      <c r="F5899" s="489"/>
      <c r="G5899" s="490"/>
      <c r="H5899" s="520"/>
      <c r="I5899" s="523"/>
      <c r="J5899" s="521"/>
      <c r="K5899" s="522"/>
      <c r="M5899" s="301" t="str">
        <f>N5899&amp;AS[[#This Row],[Insurer Code]]&amp;"; "&amp;O5899&amp;AS[[#This Row],[Reporting Year]]&amp;"; "&amp;P5899&amp;AS[[#This Row],[Insurance Category Code]]&amp;"; "&amp;Q5899&amp;AS[[#This Row],[Large Provider Entity Code]]&amp;"; "&amp;R5899&amp;AS[[#This Row],[Age Band Code]]&amp;"; "&amp;S5899&amp;AS[[#This Row],[Sex Code]]</f>
        <v xml:space="preserve">Insurer Code ; Reporting Year ; Insurance Category Code ; Large Provider Entity Code ; Age Band Code ; Sex Code </v>
      </c>
      <c r="N5899" s="297" t="s">
        <v>197</v>
      </c>
      <c r="O5899" s="297" t="s">
        <v>198</v>
      </c>
      <c r="P5899" s="297" t="s">
        <v>199</v>
      </c>
      <c r="Q5899" s="297" t="s">
        <v>200</v>
      </c>
      <c r="R5899" s="297" t="s">
        <v>213</v>
      </c>
      <c r="S5899" s="297" t="s">
        <v>214</v>
      </c>
    </row>
    <row r="5900" spans="1:19" x14ac:dyDescent="0.4">
      <c r="A5900" s="291"/>
      <c r="B5900" s="292"/>
      <c r="C5900" s="312"/>
      <c r="D5900" s="292"/>
      <c r="E5900" s="489"/>
      <c r="F5900" s="489"/>
      <c r="G5900" s="490"/>
      <c r="H5900" s="520"/>
      <c r="I5900" s="523"/>
      <c r="J5900" s="521"/>
      <c r="K5900" s="522"/>
      <c r="M5900" s="301" t="str">
        <f>N5900&amp;AS[[#This Row],[Insurer Code]]&amp;"; "&amp;O5900&amp;AS[[#This Row],[Reporting Year]]&amp;"; "&amp;P5900&amp;AS[[#This Row],[Insurance Category Code]]&amp;"; "&amp;Q5900&amp;AS[[#This Row],[Large Provider Entity Code]]&amp;"; "&amp;R5900&amp;AS[[#This Row],[Age Band Code]]&amp;"; "&amp;S5900&amp;AS[[#This Row],[Sex Code]]</f>
        <v xml:space="preserve">Insurer Code ; Reporting Year ; Insurance Category Code ; Large Provider Entity Code ; Age Band Code ; Sex Code </v>
      </c>
      <c r="N5900" s="297" t="s">
        <v>197</v>
      </c>
      <c r="O5900" s="297" t="s">
        <v>198</v>
      </c>
      <c r="P5900" s="297" t="s">
        <v>199</v>
      </c>
      <c r="Q5900" s="297" t="s">
        <v>200</v>
      </c>
      <c r="R5900" s="297" t="s">
        <v>213</v>
      </c>
      <c r="S5900" s="297" t="s">
        <v>214</v>
      </c>
    </row>
    <row r="5901" spans="1:19" x14ac:dyDescent="0.4">
      <c r="A5901" s="291"/>
      <c r="B5901" s="292"/>
      <c r="C5901" s="312"/>
      <c r="D5901" s="292"/>
      <c r="E5901" s="489"/>
      <c r="F5901" s="489"/>
      <c r="G5901" s="490"/>
      <c r="H5901" s="520"/>
      <c r="I5901" s="523"/>
      <c r="J5901" s="521"/>
      <c r="K5901" s="522"/>
      <c r="M5901" s="301" t="str">
        <f>N5901&amp;AS[[#This Row],[Insurer Code]]&amp;"; "&amp;O5901&amp;AS[[#This Row],[Reporting Year]]&amp;"; "&amp;P5901&amp;AS[[#This Row],[Insurance Category Code]]&amp;"; "&amp;Q5901&amp;AS[[#This Row],[Large Provider Entity Code]]&amp;"; "&amp;R5901&amp;AS[[#This Row],[Age Band Code]]&amp;"; "&amp;S5901&amp;AS[[#This Row],[Sex Code]]</f>
        <v xml:space="preserve">Insurer Code ; Reporting Year ; Insurance Category Code ; Large Provider Entity Code ; Age Band Code ; Sex Code </v>
      </c>
      <c r="N5901" s="297" t="s">
        <v>197</v>
      </c>
      <c r="O5901" s="297" t="s">
        <v>198</v>
      </c>
      <c r="P5901" s="297" t="s">
        <v>199</v>
      </c>
      <c r="Q5901" s="297" t="s">
        <v>200</v>
      </c>
      <c r="R5901" s="297" t="s">
        <v>213</v>
      </c>
      <c r="S5901" s="297" t="s">
        <v>214</v>
      </c>
    </row>
    <row r="5902" spans="1:19" x14ac:dyDescent="0.4">
      <c r="A5902" s="291"/>
      <c r="B5902" s="292"/>
      <c r="C5902" s="312"/>
      <c r="D5902" s="292"/>
      <c r="E5902" s="489"/>
      <c r="F5902" s="489"/>
      <c r="G5902" s="490"/>
      <c r="H5902" s="520"/>
      <c r="I5902" s="523"/>
      <c r="J5902" s="521"/>
      <c r="K5902" s="522"/>
      <c r="M5902" s="301" t="str">
        <f>N5902&amp;AS[[#This Row],[Insurer Code]]&amp;"; "&amp;O5902&amp;AS[[#This Row],[Reporting Year]]&amp;"; "&amp;P5902&amp;AS[[#This Row],[Insurance Category Code]]&amp;"; "&amp;Q5902&amp;AS[[#This Row],[Large Provider Entity Code]]&amp;"; "&amp;R5902&amp;AS[[#This Row],[Age Band Code]]&amp;"; "&amp;S5902&amp;AS[[#This Row],[Sex Code]]</f>
        <v xml:space="preserve">Insurer Code ; Reporting Year ; Insurance Category Code ; Large Provider Entity Code ; Age Band Code ; Sex Code </v>
      </c>
      <c r="N5902" s="297" t="s">
        <v>197</v>
      </c>
      <c r="O5902" s="297" t="s">
        <v>198</v>
      </c>
      <c r="P5902" s="297" t="s">
        <v>199</v>
      </c>
      <c r="Q5902" s="297" t="s">
        <v>200</v>
      </c>
      <c r="R5902" s="297" t="s">
        <v>213</v>
      </c>
      <c r="S5902" s="297" t="s">
        <v>214</v>
      </c>
    </row>
    <row r="5903" spans="1:19" x14ac:dyDescent="0.4">
      <c r="A5903" s="291"/>
      <c r="B5903" s="292"/>
      <c r="C5903" s="312"/>
      <c r="D5903" s="292"/>
      <c r="E5903" s="489"/>
      <c r="F5903" s="489"/>
      <c r="G5903" s="490"/>
      <c r="H5903" s="520"/>
      <c r="I5903" s="523"/>
      <c r="J5903" s="521"/>
      <c r="K5903" s="522"/>
      <c r="M5903" s="301" t="str">
        <f>N5903&amp;AS[[#This Row],[Insurer Code]]&amp;"; "&amp;O5903&amp;AS[[#This Row],[Reporting Year]]&amp;"; "&amp;P5903&amp;AS[[#This Row],[Insurance Category Code]]&amp;"; "&amp;Q5903&amp;AS[[#This Row],[Large Provider Entity Code]]&amp;"; "&amp;R5903&amp;AS[[#This Row],[Age Band Code]]&amp;"; "&amp;S5903&amp;AS[[#This Row],[Sex Code]]</f>
        <v xml:space="preserve">Insurer Code ; Reporting Year ; Insurance Category Code ; Large Provider Entity Code ; Age Band Code ; Sex Code </v>
      </c>
      <c r="N5903" s="297" t="s">
        <v>197</v>
      </c>
      <c r="O5903" s="297" t="s">
        <v>198</v>
      </c>
      <c r="P5903" s="297" t="s">
        <v>199</v>
      </c>
      <c r="Q5903" s="297" t="s">
        <v>200</v>
      </c>
      <c r="R5903" s="297" t="s">
        <v>213</v>
      </c>
      <c r="S5903" s="297" t="s">
        <v>214</v>
      </c>
    </row>
    <row r="5904" spans="1:19" x14ac:dyDescent="0.4">
      <c r="A5904" s="291"/>
      <c r="B5904" s="292"/>
      <c r="C5904" s="312"/>
      <c r="D5904" s="292"/>
      <c r="E5904" s="489"/>
      <c r="F5904" s="489"/>
      <c r="G5904" s="490"/>
      <c r="H5904" s="520"/>
      <c r="I5904" s="523"/>
      <c r="J5904" s="521"/>
      <c r="K5904" s="522"/>
      <c r="M5904" s="301" t="str">
        <f>N5904&amp;AS[[#This Row],[Insurer Code]]&amp;"; "&amp;O5904&amp;AS[[#This Row],[Reporting Year]]&amp;"; "&amp;P5904&amp;AS[[#This Row],[Insurance Category Code]]&amp;"; "&amp;Q5904&amp;AS[[#This Row],[Large Provider Entity Code]]&amp;"; "&amp;R5904&amp;AS[[#This Row],[Age Band Code]]&amp;"; "&amp;S5904&amp;AS[[#This Row],[Sex Code]]</f>
        <v xml:space="preserve">Insurer Code ; Reporting Year ; Insurance Category Code ; Large Provider Entity Code ; Age Band Code ; Sex Code </v>
      </c>
      <c r="N5904" s="297" t="s">
        <v>197</v>
      </c>
      <c r="O5904" s="297" t="s">
        <v>198</v>
      </c>
      <c r="P5904" s="297" t="s">
        <v>199</v>
      </c>
      <c r="Q5904" s="297" t="s">
        <v>200</v>
      </c>
      <c r="R5904" s="297" t="s">
        <v>213</v>
      </c>
      <c r="S5904" s="297" t="s">
        <v>214</v>
      </c>
    </row>
    <row r="5905" spans="1:19" x14ac:dyDescent="0.4">
      <c r="A5905" s="291"/>
      <c r="B5905" s="292"/>
      <c r="C5905" s="312"/>
      <c r="D5905" s="292"/>
      <c r="E5905" s="489"/>
      <c r="F5905" s="489"/>
      <c r="G5905" s="490"/>
      <c r="H5905" s="520"/>
      <c r="I5905" s="523"/>
      <c r="J5905" s="521"/>
      <c r="K5905" s="522"/>
      <c r="M5905" s="301" t="str">
        <f>N5905&amp;AS[[#This Row],[Insurer Code]]&amp;"; "&amp;O5905&amp;AS[[#This Row],[Reporting Year]]&amp;"; "&amp;P5905&amp;AS[[#This Row],[Insurance Category Code]]&amp;"; "&amp;Q5905&amp;AS[[#This Row],[Large Provider Entity Code]]&amp;"; "&amp;R5905&amp;AS[[#This Row],[Age Band Code]]&amp;"; "&amp;S5905&amp;AS[[#This Row],[Sex Code]]</f>
        <v xml:space="preserve">Insurer Code ; Reporting Year ; Insurance Category Code ; Large Provider Entity Code ; Age Band Code ; Sex Code </v>
      </c>
      <c r="N5905" s="297" t="s">
        <v>197</v>
      </c>
      <c r="O5905" s="297" t="s">
        <v>198</v>
      </c>
      <c r="P5905" s="297" t="s">
        <v>199</v>
      </c>
      <c r="Q5905" s="297" t="s">
        <v>200</v>
      </c>
      <c r="R5905" s="297" t="s">
        <v>213</v>
      </c>
      <c r="S5905" s="297" t="s">
        <v>214</v>
      </c>
    </row>
    <row r="5906" spans="1:19" x14ac:dyDescent="0.4">
      <c r="A5906" s="291"/>
      <c r="B5906" s="292"/>
      <c r="C5906" s="312"/>
      <c r="D5906" s="292"/>
      <c r="E5906" s="489"/>
      <c r="F5906" s="489"/>
      <c r="G5906" s="490"/>
      <c r="H5906" s="520"/>
      <c r="I5906" s="523"/>
      <c r="J5906" s="521"/>
      <c r="K5906" s="522"/>
      <c r="M5906" s="301" t="str">
        <f>N5906&amp;AS[[#This Row],[Insurer Code]]&amp;"; "&amp;O5906&amp;AS[[#This Row],[Reporting Year]]&amp;"; "&amp;P5906&amp;AS[[#This Row],[Insurance Category Code]]&amp;"; "&amp;Q5906&amp;AS[[#This Row],[Large Provider Entity Code]]&amp;"; "&amp;R5906&amp;AS[[#This Row],[Age Band Code]]&amp;"; "&amp;S5906&amp;AS[[#This Row],[Sex Code]]</f>
        <v xml:space="preserve">Insurer Code ; Reporting Year ; Insurance Category Code ; Large Provider Entity Code ; Age Band Code ; Sex Code </v>
      </c>
      <c r="N5906" s="297" t="s">
        <v>197</v>
      </c>
      <c r="O5906" s="297" t="s">
        <v>198</v>
      </c>
      <c r="P5906" s="297" t="s">
        <v>199</v>
      </c>
      <c r="Q5906" s="297" t="s">
        <v>200</v>
      </c>
      <c r="R5906" s="297" t="s">
        <v>213</v>
      </c>
      <c r="S5906" s="297" t="s">
        <v>214</v>
      </c>
    </row>
    <row r="5907" spans="1:19" x14ac:dyDescent="0.4">
      <c r="A5907" s="291"/>
      <c r="B5907" s="292"/>
      <c r="C5907" s="312"/>
      <c r="D5907" s="292"/>
      <c r="E5907" s="489"/>
      <c r="F5907" s="489"/>
      <c r="G5907" s="490"/>
      <c r="H5907" s="520"/>
      <c r="I5907" s="523"/>
      <c r="J5907" s="521"/>
      <c r="K5907" s="522"/>
      <c r="M5907" s="301" t="str">
        <f>N5907&amp;AS[[#This Row],[Insurer Code]]&amp;"; "&amp;O5907&amp;AS[[#This Row],[Reporting Year]]&amp;"; "&amp;P5907&amp;AS[[#This Row],[Insurance Category Code]]&amp;"; "&amp;Q5907&amp;AS[[#This Row],[Large Provider Entity Code]]&amp;"; "&amp;R5907&amp;AS[[#This Row],[Age Band Code]]&amp;"; "&amp;S5907&amp;AS[[#This Row],[Sex Code]]</f>
        <v xml:space="preserve">Insurer Code ; Reporting Year ; Insurance Category Code ; Large Provider Entity Code ; Age Band Code ; Sex Code </v>
      </c>
      <c r="N5907" s="297" t="s">
        <v>197</v>
      </c>
      <c r="O5907" s="297" t="s">
        <v>198</v>
      </c>
      <c r="P5907" s="297" t="s">
        <v>199</v>
      </c>
      <c r="Q5907" s="297" t="s">
        <v>200</v>
      </c>
      <c r="R5907" s="297" t="s">
        <v>213</v>
      </c>
      <c r="S5907" s="297" t="s">
        <v>214</v>
      </c>
    </row>
    <row r="5908" spans="1:19" x14ac:dyDescent="0.4">
      <c r="A5908" s="291"/>
      <c r="B5908" s="292"/>
      <c r="C5908" s="312"/>
      <c r="D5908" s="292"/>
      <c r="E5908" s="489"/>
      <c r="F5908" s="489"/>
      <c r="G5908" s="490"/>
      <c r="H5908" s="520"/>
      <c r="I5908" s="523"/>
      <c r="J5908" s="521"/>
      <c r="K5908" s="522"/>
      <c r="M5908" s="301" t="str">
        <f>N5908&amp;AS[[#This Row],[Insurer Code]]&amp;"; "&amp;O5908&amp;AS[[#This Row],[Reporting Year]]&amp;"; "&amp;P5908&amp;AS[[#This Row],[Insurance Category Code]]&amp;"; "&amp;Q5908&amp;AS[[#This Row],[Large Provider Entity Code]]&amp;"; "&amp;R5908&amp;AS[[#This Row],[Age Band Code]]&amp;"; "&amp;S5908&amp;AS[[#This Row],[Sex Code]]</f>
        <v xml:space="preserve">Insurer Code ; Reporting Year ; Insurance Category Code ; Large Provider Entity Code ; Age Band Code ; Sex Code </v>
      </c>
      <c r="N5908" s="297" t="s">
        <v>197</v>
      </c>
      <c r="O5908" s="297" t="s">
        <v>198</v>
      </c>
      <c r="P5908" s="297" t="s">
        <v>199</v>
      </c>
      <c r="Q5908" s="297" t="s">
        <v>200</v>
      </c>
      <c r="R5908" s="297" t="s">
        <v>213</v>
      </c>
      <c r="S5908" s="297" t="s">
        <v>214</v>
      </c>
    </row>
    <row r="5909" spans="1:19" x14ac:dyDescent="0.4">
      <c r="A5909" s="291"/>
      <c r="B5909" s="292"/>
      <c r="C5909" s="312"/>
      <c r="D5909" s="292"/>
      <c r="E5909" s="489"/>
      <c r="F5909" s="489"/>
      <c r="G5909" s="490"/>
      <c r="H5909" s="520"/>
      <c r="I5909" s="523"/>
      <c r="J5909" s="521"/>
      <c r="K5909" s="522"/>
      <c r="M5909" s="301" t="str">
        <f>N5909&amp;AS[[#This Row],[Insurer Code]]&amp;"; "&amp;O5909&amp;AS[[#This Row],[Reporting Year]]&amp;"; "&amp;P5909&amp;AS[[#This Row],[Insurance Category Code]]&amp;"; "&amp;Q5909&amp;AS[[#This Row],[Large Provider Entity Code]]&amp;"; "&amp;R5909&amp;AS[[#This Row],[Age Band Code]]&amp;"; "&amp;S5909&amp;AS[[#This Row],[Sex Code]]</f>
        <v xml:space="preserve">Insurer Code ; Reporting Year ; Insurance Category Code ; Large Provider Entity Code ; Age Band Code ; Sex Code </v>
      </c>
      <c r="N5909" s="297" t="s">
        <v>197</v>
      </c>
      <c r="O5909" s="297" t="s">
        <v>198</v>
      </c>
      <c r="P5909" s="297" t="s">
        <v>199</v>
      </c>
      <c r="Q5909" s="297" t="s">
        <v>200</v>
      </c>
      <c r="R5909" s="297" t="s">
        <v>213</v>
      </c>
      <c r="S5909" s="297" t="s">
        <v>214</v>
      </c>
    </row>
    <row r="5910" spans="1:19" x14ac:dyDescent="0.4">
      <c r="A5910" s="291"/>
      <c r="B5910" s="292"/>
      <c r="C5910" s="312"/>
      <c r="D5910" s="292"/>
      <c r="E5910" s="489"/>
      <c r="F5910" s="489"/>
      <c r="G5910" s="490"/>
      <c r="H5910" s="520"/>
      <c r="I5910" s="523"/>
      <c r="J5910" s="521"/>
      <c r="K5910" s="522"/>
      <c r="M5910" s="301" t="str">
        <f>N5910&amp;AS[[#This Row],[Insurer Code]]&amp;"; "&amp;O5910&amp;AS[[#This Row],[Reporting Year]]&amp;"; "&amp;P5910&amp;AS[[#This Row],[Insurance Category Code]]&amp;"; "&amp;Q5910&amp;AS[[#This Row],[Large Provider Entity Code]]&amp;"; "&amp;R5910&amp;AS[[#This Row],[Age Band Code]]&amp;"; "&amp;S5910&amp;AS[[#This Row],[Sex Code]]</f>
        <v xml:space="preserve">Insurer Code ; Reporting Year ; Insurance Category Code ; Large Provider Entity Code ; Age Band Code ; Sex Code </v>
      </c>
      <c r="N5910" s="297" t="s">
        <v>197</v>
      </c>
      <c r="O5910" s="297" t="s">
        <v>198</v>
      </c>
      <c r="P5910" s="297" t="s">
        <v>199</v>
      </c>
      <c r="Q5910" s="297" t="s">
        <v>200</v>
      </c>
      <c r="R5910" s="297" t="s">
        <v>213</v>
      </c>
      <c r="S5910" s="297" t="s">
        <v>214</v>
      </c>
    </row>
    <row r="5911" spans="1:19" x14ac:dyDescent="0.4">
      <c r="A5911" s="291"/>
      <c r="B5911" s="292"/>
      <c r="C5911" s="312"/>
      <c r="D5911" s="292"/>
      <c r="E5911" s="489"/>
      <c r="F5911" s="489"/>
      <c r="G5911" s="490"/>
      <c r="H5911" s="520"/>
      <c r="I5911" s="523"/>
      <c r="J5911" s="521"/>
      <c r="K5911" s="522"/>
      <c r="M5911" s="301" t="str">
        <f>N5911&amp;AS[[#This Row],[Insurer Code]]&amp;"; "&amp;O5911&amp;AS[[#This Row],[Reporting Year]]&amp;"; "&amp;P5911&amp;AS[[#This Row],[Insurance Category Code]]&amp;"; "&amp;Q5911&amp;AS[[#This Row],[Large Provider Entity Code]]&amp;"; "&amp;R5911&amp;AS[[#This Row],[Age Band Code]]&amp;"; "&amp;S5911&amp;AS[[#This Row],[Sex Code]]</f>
        <v xml:space="preserve">Insurer Code ; Reporting Year ; Insurance Category Code ; Large Provider Entity Code ; Age Band Code ; Sex Code </v>
      </c>
      <c r="N5911" s="297" t="s">
        <v>197</v>
      </c>
      <c r="O5911" s="297" t="s">
        <v>198</v>
      </c>
      <c r="P5911" s="297" t="s">
        <v>199</v>
      </c>
      <c r="Q5911" s="297" t="s">
        <v>200</v>
      </c>
      <c r="R5911" s="297" t="s">
        <v>213</v>
      </c>
      <c r="S5911" s="297" t="s">
        <v>214</v>
      </c>
    </row>
    <row r="5912" spans="1:19" x14ac:dyDescent="0.4">
      <c r="A5912" s="291"/>
      <c r="B5912" s="292"/>
      <c r="C5912" s="312"/>
      <c r="D5912" s="292"/>
      <c r="E5912" s="489"/>
      <c r="F5912" s="489"/>
      <c r="G5912" s="490"/>
      <c r="H5912" s="520"/>
      <c r="I5912" s="523"/>
      <c r="J5912" s="521"/>
      <c r="K5912" s="522"/>
      <c r="M5912" s="301" t="str">
        <f>N5912&amp;AS[[#This Row],[Insurer Code]]&amp;"; "&amp;O5912&amp;AS[[#This Row],[Reporting Year]]&amp;"; "&amp;P5912&amp;AS[[#This Row],[Insurance Category Code]]&amp;"; "&amp;Q5912&amp;AS[[#This Row],[Large Provider Entity Code]]&amp;"; "&amp;R5912&amp;AS[[#This Row],[Age Band Code]]&amp;"; "&amp;S5912&amp;AS[[#This Row],[Sex Code]]</f>
        <v xml:space="preserve">Insurer Code ; Reporting Year ; Insurance Category Code ; Large Provider Entity Code ; Age Band Code ; Sex Code </v>
      </c>
      <c r="N5912" s="297" t="s">
        <v>197</v>
      </c>
      <c r="O5912" s="297" t="s">
        <v>198</v>
      </c>
      <c r="P5912" s="297" t="s">
        <v>199</v>
      </c>
      <c r="Q5912" s="297" t="s">
        <v>200</v>
      </c>
      <c r="R5912" s="297" t="s">
        <v>213</v>
      </c>
      <c r="S5912" s="297" t="s">
        <v>214</v>
      </c>
    </row>
    <row r="5913" spans="1:19" x14ac:dyDescent="0.4">
      <c r="A5913" s="291"/>
      <c r="B5913" s="292"/>
      <c r="C5913" s="312"/>
      <c r="D5913" s="292"/>
      <c r="E5913" s="489"/>
      <c r="F5913" s="489"/>
      <c r="G5913" s="490"/>
      <c r="H5913" s="520"/>
      <c r="I5913" s="523"/>
      <c r="J5913" s="521"/>
      <c r="K5913" s="522"/>
      <c r="M5913" s="301" t="str">
        <f>N5913&amp;AS[[#This Row],[Insurer Code]]&amp;"; "&amp;O5913&amp;AS[[#This Row],[Reporting Year]]&amp;"; "&amp;P5913&amp;AS[[#This Row],[Insurance Category Code]]&amp;"; "&amp;Q5913&amp;AS[[#This Row],[Large Provider Entity Code]]&amp;"; "&amp;R5913&amp;AS[[#This Row],[Age Band Code]]&amp;"; "&amp;S5913&amp;AS[[#This Row],[Sex Code]]</f>
        <v xml:space="preserve">Insurer Code ; Reporting Year ; Insurance Category Code ; Large Provider Entity Code ; Age Band Code ; Sex Code </v>
      </c>
      <c r="N5913" s="297" t="s">
        <v>197</v>
      </c>
      <c r="O5913" s="297" t="s">
        <v>198</v>
      </c>
      <c r="P5913" s="297" t="s">
        <v>199</v>
      </c>
      <c r="Q5913" s="297" t="s">
        <v>200</v>
      </c>
      <c r="R5913" s="297" t="s">
        <v>213</v>
      </c>
      <c r="S5913" s="297" t="s">
        <v>214</v>
      </c>
    </row>
    <row r="5914" spans="1:19" x14ac:dyDescent="0.4">
      <c r="A5914" s="291"/>
      <c r="B5914" s="292"/>
      <c r="C5914" s="312"/>
      <c r="D5914" s="292"/>
      <c r="E5914" s="489"/>
      <c r="F5914" s="489"/>
      <c r="G5914" s="490"/>
      <c r="H5914" s="520"/>
      <c r="I5914" s="523"/>
      <c r="J5914" s="521"/>
      <c r="K5914" s="522"/>
      <c r="M5914" s="301" t="str">
        <f>N5914&amp;AS[[#This Row],[Insurer Code]]&amp;"; "&amp;O5914&amp;AS[[#This Row],[Reporting Year]]&amp;"; "&amp;P5914&amp;AS[[#This Row],[Insurance Category Code]]&amp;"; "&amp;Q5914&amp;AS[[#This Row],[Large Provider Entity Code]]&amp;"; "&amp;R5914&amp;AS[[#This Row],[Age Band Code]]&amp;"; "&amp;S5914&amp;AS[[#This Row],[Sex Code]]</f>
        <v xml:space="preserve">Insurer Code ; Reporting Year ; Insurance Category Code ; Large Provider Entity Code ; Age Band Code ; Sex Code </v>
      </c>
      <c r="N5914" s="297" t="s">
        <v>197</v>
      </c>
      <c r="O5914" s="297" t="s">
        <v>198</v>
      </c>
      <c r="P5914" s="297" t="s">
        <v>199</v>
      </c>
      <c r="Q5914" s="297" t="s">
        <v>200</v>
      </c>
      <c r="R5914" s="297" t="s">
        <v>213</v>
      </c>
      <c r="S5914" s="297" t="s">
        <v>214</v>
      </c>
    </row>
    <row r="5915" spans="1:19" x14ac:dyDescent="0.4">
      <c r="A5915" s="291"/>
      <c r="B5915" s="292"/>
      <c r="C5915" s="312"/>
      <c r="D5915" s="292"/>
      <c r="E5915" s="489"/>
      <c r="F5915" s="489"/>
      <c r="G5915" s="490"/>
      <c r="H5915" s="520"/>
      <c r="I5915" s="523"/>
      <c r="J5915" s="521"/>
      <c r="K5915" s="522"/>
      <c r="M5915" s="301" t="str">
        <f>N5915&amp;AS[[#This Row],[Insurer Code]]&amp;"; "&amp;O5915&amp;AS[[#This Row],[Reporting Year]]&amp;"; "&amp;P5915&amp;AS[[#This Row],[Insurance Category Code]]&amp;"; "&amp;Q5915&amp;AS[[#This Row],[Large Provider Entity Code]]&amp;"; "&amp;R5915&amp;AS[[#This Row],[Age Band Code]]&amp;"; "&amp;S5915&amp;AS[[#This Row],[Sex Code]]</f>
        <v xml:space="preserve">Insurer Code ; Reporting Year ; Insurance Category Code ; Large Provider Entity Code ; Age Band Code ; Sex Code </v>
      </c>
      <c r="N5915" s="297" t="s">
        <v>197</v>
      </c>
      <c r="O5915" s="297" t="s">
        <v>198</v>
      </c>
      <c r="P5915" s="297" t="s">
        <v>199</v>
      </c>
      <c r="Q5915" s="297" t="s">
        <v>200</v>
      </c>
      <c r="R5915" s="297" t="s">
        <v>213</v>
      </c>
      <c r="S5915" s="297" t="s">
        <v>214</v>
      </c>
    </row>
    <row r="5916" spans="1:19" x14ac:dyDescent="0.4">
      <c r="A5916" s="291"/>
      <c r="B5916" s="292"/>
      <c r="C5916" s="312"/>
      <c r="D5916" s="292"/>
      <c r="E5916" s="489"/>
      <c r="F5916" s="489"/>
      <c r="G5916" s="490"/>
      <c r="H5916" s="520"/>
      <c r="I5916" s="523"/>
      <c r="J5916" s="521"/>
      <c r="K5916" s="522"/>
      <c r="M5916" s="301" t="str">
        <f>N5916&amp;AS[[#This Row],[Insurer Code]]&amp;"; "&amp;O5916&amp;AS[[#This Row],[Reporting Year]]&amp;"; "&amp;P5916&amp;AS[[#This Row],[Insurance Category Code]]&amp;"; "&amp;Q5916&amp;AS[[#This Row],[Large Provider Entity Code]]&amp;"; "&amp;R5916&amp;AS[[#This Row],[Age Band Code]]&amp;"; "&amp;S5916&amp;AS[[#This Row],[Sex Code]]</f>
        <v xml:space="preserve">Insurer Code ; Reporting Year ; Insurance Category Code ; Large Provider Entity Code ; Age Band Code ; Sex Code </v>
      </c>
      <c r="N5916" s="297" t="s">
        <v>197</v>
      </c>
      <c r="O5916" s="297" t="s">
        <v>198</v>
      </c>
      <c r="P5916" s="297" t="s">
        <v>199</v>
      </c>
      <c r="Q5916" s="297" t="s">
        <v>200</v>
      </c>
      <c r="R5916" s="297" t="s">
        <v>213</v>
      </c>
      <c r="S5916" s="297" t="s">
        <v>214</v>
      </c>
    </row>
    <row r="5917" spans="1:19" x14ac:dyDescent="0.4">
      <c r="A5917" s="291"/>
      <c r="B5917" s="292"/>
      <c r="C5917" s="312"/>
      <c r="D5917" s="292"/>
      <c r="E5917" s="489"/>
      <c r="F5917" s="489"/>
      <c r="G5917" s="490"/>
      <c r="H5917" s="520"/>
      <c r="I5917" s="523"/>
      <c r="J5917" s="521"/>
      <c r="K5917" s="522"/>
      <c r="M5917" s="301" t="str">
        <f>N5917&amp;AS[[#This Row],[Insurer Code]]&amp;"; "&amp;O5917&amp;AS[[#This Row],[Reporting Year]]&amp;"; "&amp;P5917&amp;AS[[#This Row],[Insurance Category Code]]&amp;"; "&amp;Q5917&amp;AS[[#This Row],[Large Provider Entity Code]]&amp;"; "&amp;R5917&amp;AS[[#This Row],[Age Band Code]]&amp;"; "&amp;S5917&amp;AS[[#This Row],[Sex Code]]</f>
        <v xml:space="preserve">Insurer Code ; Reporting Year ; Insurance Category Code ; Large Provider Entity Code ; Age Band Code ; Sex Code </v>
      </c>
      <c r="N5917" s="297" t="s">
        <v>197</v>
      </c>
      <c r="O5917" s="297" t="s">
        <v>198</v>
      </c>
      <c r="P5917" s="297" t="s">
        <v>199</v>
      </c>
      <c r="Q5917" s="297" t="s">
        <v>200</v>
      </c>
      <c r="R5917" s="297" t="s">
        <v>213</v>
      </c>
      <c r="S5917" s="297" t="s">
        <v>214</v>
      </c>
    </row>
    <row r="5918" spans="1:19" x14ac:dyDescent="0.4">
      <c r="A5918" s="291"/>
      <c r="B5918" s="292"/>
      <c r="C5918" s="312"/>
      <c r="D5918" s="292"/>
      <c r="E5918" s="489"/>
      <c r="F5918" s="489"/>
      <c r="G5918" s="490"/>
      <c r="H5918" s="520"/>
      <c r="I5918" s="523"/>
      <c r="J5918" s="521"/>
      <c r="K5918" s="522"/>
      <c r="M5918" s="301" t="str">
        <f>N5918&amp;AS[[#This Row],[Insurer Code]]&amp;"; "&amp;O5918&amp;AS[[#This Row],[Reporting Year]]&amp;"; "&amp;P5918&amp;AS[[#This Row],[Insurance Category Code]]&amp;"; "&amp;Q5918&amp;AS[[#This Row],[Large Provider Entity Code]]&amp;"; "&amp;R5918&amp;AS[[#This Row],[Age Band Code]]&amp;"; "&amp;S5918&amp;AS[[#This Row],[Sex Code]]</f>
        <v xml:space="preserve">Insurer Code ; Reporting Year ; Insurance Category Code ; Large Provider Entity Code ; Age Band Code ; Sex Code </v>
      </c>
      <c r="N5918" s="297" t="s">
        <v>197</v>
      </c>
      <c r="O5918" s="297" t="s">
        <v>198</v>
      </c>
      <c r="P5918" s="297" t="s">
        <v>199</v>
      </c>
      <c r="Q5918" s="297" t="s">
        <v>200</v>
      </c>
      <c r="R5918" s="297" t="s">
        <v>213</v>
      </c>
      <c r="S5918" s="297" t="s">
        <v>214</v>
      </c>
    </row>
    <row r="5919" spans="1:19" x14ac:dyDescent="0.4">
      <c r="A5919" s="291"/>
      <c r="B5919" s="292"/>
      <c r="C5919" s="312"/>
      <c r="D5919" s="292"/>
      <c r="E5919" s="489"/>
      <c r="F5919" s="489"/>
      <c r="G5919" s="490"/>
      <c r="H5919" s="520"/>
      <c r="I5919" s="523"/>
      <c r="J5919" s="521"/>
      <c r="K5919" s="522"/>
      <c r="M5919" s="301" t="str">
        <f>N5919&amp;AS[[#This Row],[Insurer Code]]&amp;"; "&amp;O5919&amp;AS[[#This Row],[Reporting Year]]&amp;"; "&amp;P5919&amp;AS[[#This Row],[Insurance Category Code]]&amp;"; "&amp;Q5919&amp;AS[[#This Row],[Large Provider Entity Code]]&amp;"; "&amp;R5919&amp;AS[[#This Row],[Age Band Code]]&amp;"; "&amp;S5919&amp;AS[[#This Row],[Sex Code]]</f>
        <v xml:space="preserve">Insurer Code ; Reporting Year ; Insurance Category Code ; Large Provider Entity Code ; Age Band Code ; Sex Code </v>
      </c>
      <c r="N5919" s="297" t="s">
        <v>197</v>
      </c>
      <c r="O5919" s="297" t="s">
        <v>198</v>
      </c>
      <c r="P5919" s="297" t="s">
        <v>199</v>
      </c>
      <c r="Q5919" s="297" t="s">
        <v>200</v>
      </c>
      <c r="R5919" s="297" t="s">
        <v>213</v>
      </c>
      <c r="S5919" s="297" t="s">
        <v>214</v>
      </c>
    </row>
    <row r="5920" spans="1:19" x14ac:dyDescent="0.4">
      <c r="A5920" s="291"/>
      <c r="B5920" s="292"/>
      <c r="C5920" s="312"/>
      <c r="D5920" s="292"/>
      <c r="E5920" s="489"/>
      <c r="F5920" s="489"/>
      <c r="G5920" s="490"/>
      <c r="H5920" s="520"/>
      <c r="I5920" s="523"/>
      <c r="J5920" s="521"/>
      <c r="K5920" s="522"/>
      <c r="M5920" s="301" t="str">
        <f>N5920&amp;AS[[#This Row],[Insurer Code]]&amp;"; "&amp;O5920&amp;AS[[#This Row],[Reporting Year]]&amp;"; "&amp;P5920&amp;AS[[#This Row],[Insurance Category Code]]&amp;"; "&amp;Q5920&amp;AS[[#This Row],[Large Provider Entity Code]]&amp;"; "&amp;R5920&amp;AS[[#This Row],[Age Band Code]]&amp;"; "&amp;S5920&amp;AS[[#This Row],[Sex Code]]</f>
        <v xml:space="preserve">Insurer Code ; Reporting Year ; Insurance Category Code ; Large Provider Entity Code ; Age Band Code ; Sex Code </v>
      </c>
      <c r="N5920" s="297" t="s">
        <v>197</v>
      </c>
      <c r="O5920" s="297" t="s">
        <v>198</v>
      </c>
      <c r="P5920" s="297" t="s">
        <v>199</v>
      </c>
      <c r="Q5920" s="297" t="s">
        <v>200</v>
      </c>
      <c r="R5920" s="297" t="s">
        <v>213</v>
      </c>
      <c r="S5920" s="297" t="s">
        <v>214</v>
      </c>
    </row>
    <row r="5921" spans="1:19" x14ac:dyDescent="0.4">
      <c r="A5921" s="291"/>
      <c r="B5921" s="292"/>
      <c r="C5921" s="312"/>
      <c r="D5921" s="292"/>
      <c r="E5921" s="489"/>
      <c r="F5921" s="489"/>
      <c r="G5921" s="490"/>
      <c r="H5921" s="520"/>
      <c r="I5921" s="523"/>
      <c r="J5921" s="521"/>
      <c r="K5921" s="522"/>
      <c r="M5921" s="301" t="str">
        <f>N5921&amp;AS[[#This Row],[Insurer Code]]&amp;"; "&amp;O5921&amp;AS[[#This Row],[Reporting Year]]&amp;"; "&amp;P5921&amp;AS[[#This Row],[Insurance Category Code]]&amp;"; "&amp;Q5921&amp;AS[[#This Row],[Large Provider Entity Code]]&amp;"; "&amp;R5921&amp;AS[[#This Row],[Age Band Code]]&amp;"; "&amp;S5921&amp;AS[[#This Row],[Sex Code]]</f>
        <v xml:space="preserve">Insurer Code ; Reporting Year ; Insurance Category Code ; Large Provider Entity Code ; Age Band Code ; Sex Code </v>
      </c>
      <c r="N5921" s="297" t="s">
        <v>197</v>
      </c>
      <c r="O5921" s="297" t="s">
        <v>198</v>
      </c>
      <c r="P5921" s="297" t="s">
        <v>199</v>
      </c>
      <c r="Q5921" s="297" t="s">
        <v>200</v>
      </c>
      <c r="R5921" s="297" t="s">
        <v>213</v>
      </c>
      <c r="S5921" s="297" t="s">
        <v>214</v>
      </c>
    </row>
    <row r="5922" spans="1:19" x14ac:dyDescent="0.4">
      <c r="A5922" s="291"/>
      <c r="B5922" s="292"/>
      <c r="C5922" s="312"/>
      <c r="D5922" s="292"/>
      <c r="E5922" s="489"/>
      <c r="F5922" s="489"/>
      <c r="G5922" s="490"/>
      <c r="H5922" s="520"/>
      <c r="I5922" s="523"/>
      <c r="J5922" s="521"/>
      <c r="K5922" s="522"/>
      <c r="M5922" s="301" t="str">
        <f>N5922&amp;AS[[#This Row],[Insurer Code]]&amp;"; "&amp;O5922&amp;AS[[#This Row],[Reporting Year]]&amp;"; "&amp;P5922&amp;AS[[#This Row],[Insurance Category Code]]&amp;"; "&amp;Q5922&amp;AS[[#This Row],[Large Provider Entity Code]]&amp;"; "&amp;R5922&amp;AS[[#This Row],[Age Band Code]]&amp;"; "&amp;S5922&amp;AS[[#This Row],[Sex Code]]</f>
        <v xml:space="preserve">Insurer Code ; Reporting Year ; Insurance Category Code ; Large Provider Entity Code ; Age Band Code ; Sex Code </v>
      </c>
      <c r="N5922" s="297" t="s">
        <v>197</v>
      </c>
      <c r="O5922" s="297" t="s">
        <v>198</v>
      </c>
      <c r="P5922" s="297" t="s">
        <v>199</v>
      </c>
      <c r="Q5922" s="297" t="s">
        <v>200</v>
      </c>
      <c r="R5922" s="297" t="s">
        <v>213</v>
      </c>
      <c r="S5922" s="297" t="s">
        <v>214</v>
      </c>
    </row>
    <row r="5923" spans="1:19" x14ac:dyDescent="0.4">
      <c r="A5923" s="291"/>
      <c r="B5923" s="292"/>
      <c r="C5923" s="312"/>
      <c r="D5923" s="292"/>
      <c r="E5923" s="489"/>
      <c r="F5923" s="489"/>
      <c r="G5923" s="490"/>
      <c r="H5923" s="520"/>
      <c r="I5923" s="523"/>
      <c r="J5923" s="521"/>
      <c r="K5923" s="522"/>
      <c r="M5923" s="301" t="str">
        <f>N5923&amp;AS[[#This Row],[Insurer Code]]&amp;"; "&amp;O5923&amp;AS[[#This Row],[Reporting Year]]&amp;"; "&amp;P5923&amp;AS[[#This Row],[Insurance Category Code]]&amp;"; "&amp;Q5923&amp;AS[[#This Row],[Large Provider Entity Code]]&amp;"; "&amp;R5923&amp;AS[[#This Row],[Age Band Code]]&amp;"; "&amp;S5923&amp;AS[[#This Row],[Sex Code]]</f>
        <v xml:space="preserve">Insurer Code ; Reporting Year ; Insurance Category Code ; Large Provider Entity Code ; Age Band Code ; Sex Code </v>
      </c>
      <c r="N5923" s="297" t="s">
        <v>197</v>
      </c>
      <c r="O5923" s="297" t="s">
        <v>198</v>
      </c>
      <c r="P5923" s="297" t="s">
        <v>199</v>
      </c>
      <c r="Q5923" s="297" t="s">
        <v>200</v>
      </c>
      <c r="R5923" s="297" t="s">
        <v>213</v>
      </c>
      <c r="S5923" s="297" t="s">
        <v>214</v>
      </c>
    </row>
    <row r="5924" spans="1:19" x14ac:dyDescent="0.4">
      <c r="A5924" s="291"/>
      <c r="B5924" s="292"/>
      <c r="C5924" s="312"/>
      <c r="D5924" s="292"/>
      <c r="E5924" s="489"/>
      <c r="F5924" s="489"/>
      <c r="G5924" s="490"/>
      <c r="H5924" s="520"/>
      <c r="I5924" s="523"/>
      <c r="J5924" s="521"/>
      <c r="K5924" s="522"/>
      <c r="M5924" s="301" t="str">
        <f>N5924&amp;AS[[#This Row],[Insurer Code]]&amp;"; "&amp;O5924&amp;AS[[#This Row],[Reporting Year]]&amp;"; "&amp;P5924&amp;AS[[#This Row],[Insurance Category Code]]&amp;"; "&amp;Q5924&amp;AS[[#This Row],[Large Provider Entity Code]]&amp;"; "&amp;R5924&amp;AS[[#This Row],[Age Band Code]]&amp;"; "&amp;S5924&amp;AS[[#This Row],[Sex Code]]</f>
        <v xml:space="preserve">Insurer Code ; Reporting Year ; Insurance Category Code ; Large Provider Entity Code ; Age Band Code ; Sex Code </v>
      </c>
      <c r="N5924" s="297" t="s">
        <v>197</v>
      </c>
      <c r="O5924" s="297" t="s">
        <v>198</v>
      </c>
      <c r="P5924" s="297" t="s">
        <v>199</v>
      </c>
      <c r="Q5924" s="297" t="s">
        <v>200</v>
      </c>
      <c r="R5924" s="297" t="s">
        <v>213</v>
      </c>
      <c r="S5924" s="297" t="s">
        <v>214</v>
      </c>
    </row>
    <row r="5925" spans="1:19" x14ac:dyDescent="0.4">
      <c r="A5925" s="291"/>
      <c r="B5925" s="292"/>
      <c r="C5925" s="312"/>
      <c r="D5925" s="292"/>
      <c r="E5925" s="489"/>
      <c r="F5925" s="489"/>
      <c r="G5925" s="490"/>
      <c r="H5925" s="520"/>
      <c r="I5925" s="523"/>
      <c r="J5925" s="521"/>
      <c r="K5925" s="522"/>
      <c r="M5925" s="301" t="str">
        <f>N5925&amp;AS[[#This Row],[Insurer Code]]&amp;"; "&amp;O5925&amp;AS[[#This Row],[Reporting Year]]&amp;"; "&amp;P5925&amp;AS[[#This Row],[Insurance Category Code]]&amp;"; "&amp;Q5925&amp;AS[[#This Row],[Large Provider Entity Code]]&amp;"; "&amp;R5925&amp;AS[[#This Row],[Age Band Code]]&amp;"; "&amp;S5925&amp;AS[[#This Row],[Sex Code]]</f>
        <v xml:space="preserve">Insurer Code ; Reporting Year ; Insurance Category Code ; Large Provider Entity Code ; Age Band Code ; Sex Code </v>
      </c>
      <c r="N5925" s="297" t="s">
        <v>197</v>
      </c>
      <c r="O5925" s="297" t="s">
        <v>198</v>
      </c>
      <c r="P5925" s="297" t="s">
        <v>199</v>
      </c>
      <c r="Q5925" s="297" t="s">
        <v>200</v>
      </c>
      <c r="R5925" s="297" t="s">
        <v>213</v>
      </c>
      <c r="S5925" s="297" t="s">
        <v>214</v>
      </c>
    </row>
    <row r="5926" spans="1:19" x14ac:dyDescent="0.4">
      <c r="A5926" s="291"/>
      <c r="B5926" s="292"/>
      <c r="C5926" s="312"/>
      <c r="D5926" s="292"/>
      <c r="E5926" s="489"/>
      <c r="F5926" s="489"/>
      <c r="G5926" s="490"/>
      <c r="H5926" s="520"/>
      <c r="I5926" s="523"/>
      <c r="J5926" s="521"/>
      <c r="K5926" s="522"/>
      <c r="M5926" s="301" t="str">
        <f>N5926&amp;AS[[#This Row],[Insurer Code]]&amp;"; "&amp;O5926&amp;AS[[#This Row],[Reporting Year]]&amp;"; "&amp;P5926&amp;AS[[#This Row],[Insurance Category Code]]&amp;"; "&amp;Q5926&amp;AS[[#This Row],[Large Provider Entity Code]]&amp;"; "&amp;R5926&amp;AS[[#This Row],[Age Band Code]]&amp;"; "&amp;S5926&amp;AS[[#This Row],[Sex Code]]</f>
        <v xml:space="preserve">Insurer Code ; Reporting Year ; Insurance Category Code ; Large Provider Entity Code ; Age Band Code ; Sex Code </v>
      </c>
      <c r="N5926" s="297" t="s">
        <v>197</v>
      </c>
      <c r="O5926" s="297" t="s">
        <v>198</v>
      </c>
      <c r="P5926" s="297" t="s">
        <v>199</v>
      </c>
      <c r="Q5926" s="297" t="s">
        <v>200</v>
      </c>
      <c r="R5926" s="297" t="s">
        <v>213</v>
      </c>
      <c r="S5926" s="297" t="s">
        <v>214</v>
      </c>
    </row>
    <row r="5927" spans="1:19" x14ac:dyDescent="0.4">
      <c r="A5927" s="291"/>
      <c r="B5927" s="292"/>
      <c r="C5927" s="312"/>
      <c r="D5927" s="292"/>
      <c r="E5927" s="489"/>
      <c r="F5927" s="489"/>
      <c r="G5927" s="490"/>
      <c r="H5927" s="520"/>
      <c r="I5927" s="523"/>
      <c r="J5927" s="521"/>
      <c r="K5927" s="522"/>
      <c r="M5927" s="301" t="str">
        <f>N5927&amp;AS[[#This Row],[Insurer Code]]&amp;"; "&amp;O5927&amp;AS[[#This Row],[Reporting Year]]&amp;"; "&amp;P5927&amp;AS[[#This Row],[Insurance Category Code]]&amp;"; "&amp;Q5927&amp;AS[[#This Row],[Large Provider Entity Code]]&amp;"; "&amp;R5927&amp;AS[[#This Row],[Age Band Code]]&amp;"; "&amp;S5927&amp;AS[[#This Row],[Sex Code]]</f>
        <v xml:space="preserve">Insurer Code ; Reporting Year ; Insurance Category Code ; Large Provider Entity Code ; Age Band Code ; Sex Code </v>
      </c>
      <c r="N5927" s="297" t="s">
        <v>197</v>
      </c>
      <c r="O5927" s="297" t="s">
        <v>198</v>
      </c>
      <c r="P5927" s="297" t="s">
        <v>199</v>
      </c>
      <c r="Q5927" s="297" t="s">
        <v>200</v>
      </c>
      <c r="R5927" s="297" t="s">
        <v>213</v>
      </c>
      <c r="S5927" s="297" t="s">
        <v>214</v>
      </c>
    </row>
    <row r="5928" spans="1:19" x14ac:dyDescent="0.4">
      <c r="A5928" s="291"/>
      <c r="B5928" s="292"/>
      <c r="C5928" s="312"/>
      <c r="D5928" s="292"/>
      <c r="E5928" s="489"/>
      <c r="F5928" s="489"/>
      <c r="G5928" s="490"/>
      <c r="H5928" s="520"/>
      <c r="I5928" s="523"/>
      <c r="J5928" s="521"/>
      <c r="K5928" s="522"/>
      <c r="M5928" s="301" t="str">
        <f>N5928&amp;AS[[#This Row],[Insurer Code]]&amp;"; "&amp;O5928&amp;AS[[#This Row],[Reporting Year]]&amp;"; "&amp;P5928&amp;AS[[#This Row],[Insurance Category Code]]&amp;"; "&amp;Q5928&amp;AS[[#This Row],[Large Provider Entity Code]]&amp;"; "&amp;R5928&amp;AS[[#This Row],[Age Band Code]]&amp;"; "&amp;S5928&amp;AS[[#This Row],[Sex Code]]</f>
        <v xml:space="preserve">Insurer Code ; Reporting Year ; Insurance Category Code ; Large Provider Entity Code ; Age Band Code ; Sex Code </v>
      </c>
      <c r="N5928" s="297" t="s">
        <v>197</v>
      </c>
      <c r="O5928" s="297" t="s">
        <v>198</v>
      </c>
      <c r="P5928" s="297" t="s">
        <v>199</v>
      </c>
      <c r="Q5928" s="297" t="s">
        <v>200</v>
      </c>
      <c r="R5928" s="297" t="s">
        <v>213</v>
      </c>
      <c r="S5928" s="297" t="s">
        <v>214</v>
      </c>
    </row>
    <row r="5929" spans="1:19" x14ac:dyDescent="0.4">
      <c r="A5929" s="291"/>
      <c r="B5929" s="292"/>
      <c r="C5929" s="312"/>
      <c r="D5929" s="292"/>
      <c r="E5929" s="489"/>
      <c r="F5929" s="489"/>
      <c r="G5929" s="490"/>
      <c r="H5929" s="520"/>
      <c r="I5929" s="523"/>
      <c r="J5929" s="521"/>
      <c r="K5929" s="522"/>
      <c r="M5929" s="301" t="str">
        <f>N5929&amp;AS[[#This Row],[Insurer Code]]&amp;"; "&amp;O5929&amp;AS[[#This Row],[Reporting Year]]&amp;"; "&amp;P5929&amp;AS[[#This Row],[Insurance Category Code]]&amp;"; "&amp;Q5929&amp;AS[[#This Row],[Large Provider Entity Code]]&amp;"; "&amp;R5929&amp;AS[[#This Row],[Age Band Code]]&amp;"; "&amp;S5929&amp;AS[[#This Row],[Sex Code]]</f>
        <v xml:space="preserve">Insurer Code ; Reporting Year ; Insurance Category Code ; Large Provider Entity Code ; Age Band Code ; Sex Code </v>
      </c>
      <c r="N5929" s="297" t="s">
        <v>197</v>
      </c>
      <c r="O5929" s="297" t="s">
        <v>198</v>
      </c>
      <c r="P5929" s="297" t="s">
        <v>199</v>
      </c>
      <c r="Q5929" s="297" t="s">
        <v>200</v>
      </c>
      <c r="R5929" s="297" t="s">
        <v>213</v>
      </c>
      <c r="S5929" s="297" t="s">
        <v>214</v>
      </c>
    </row>
    <row r="5930" spans="1:19" x14ac:dyDescent="0.4">
      <c r="A5930" s="291"/>
      <c r="B5930" s="292"/>
      <c r="C5930" s="312"/>
      <c r="D5930" s="292"/>
      <c r="E5930" s="489"/>
      <c r="F5930" s="489"/>
      <c r="G5930" s="490"/>
      <c r="H5930" s="520"/>
      <c r="I5930" s="523"/>
      <c r="J5930" s="521"/>
      <c r="K5930" s="522"/>
      <c r="M5930" s="301" t="str">
        <f>N5930&amp;AS[[#This Row],[Insurer Code]]&amp;"; "&amp;O5930&amp;AS[[#This Row],[Reporting Year]]&amp;"; "&amp;P5930&amp;AS[[#This Row],[Insurance Category Code]]&amp;"; "&amp;Q5930&amp;AS[[#This Row],[Large Provider Entity Code]]&amp;"; "&amp;R5930&amp;AS[[#This Row],[Age Band Code]]&amp;"; "&amp;S5930&amp;AS[[#This Row],[Sex Code]]</f>
        <v xml:space="preserve">Insurer Code ; Reporting Year ; Insurance Category Code ; Large Provider Entity Code ; Age Band Code ; Sex Code </v>
      </c>
      <c r="N5930" s="297" t="s">
        <v>197</v>
      </c>
      <c r="O5930" s="297" t="s">
        <v>198</v>
      </c>
      <c r="P5930" s="297" t="s">
        <v>199</v>
      </c>
      <c r="Q5930" s="297" t="s">
        <v>200</v>
      </c>
      <c r="R5930" s="297" t="s">
        <v>213</v>
      </c>
      <c r="S5930" s="297" t="s">
        <v>214</v>
      </c>
    </row>
    <row r="5931" spans="1:19" x14ac:dyDescent="0.4">
      <c r="A5931" s="291"/>
      <c r="B5931" s="292"/>
      <c r="C5931" s="312"/>
      <c r="D5931" s="292"/>
      <c r="E5931" s="489"/>
      <c r="F5931" s="489"/>
      <c r="G5931" s="490"/>
      <c r="H5931" s="520"/>
      <c r="I5931" s="523"/>
      <c r="J5931" s="521"/>
      <c r="K5931" s="522"/>
      <c r="M5931" s="301" t="str">
        <f>N5931&amp;AS[[#This Row],[Insurer Code]]&amp;"; "&amp;O5931&amp;AS[[#This Row],[Reporting Year]]&amp;"; "&amp;P5931&amp;AS[[#This Row],[Insurance Category Code]]&amp;"; "&amp;Q5931&amp;AS[[#This Row],[Large Provider Entity Code]]&amp;"; "&amp;R5931&amp;AS[[#This Row],[Age Band Code]]&amp;"; "&amp;S5931&amp;AS[[#This Row],[Sex Code]]</f>
        <v xml:space="preserve">Insurer Code ; Reporting Year ; Insurance Category Code ; Large Provider Entity Code ; Age Band Code ; Sex Code </v>
      </c>
      <c r="N5931" s="297" t="s">
        <v>197</v>
      </c>
      <c r="O5931" s="297" t="s">
        <v>198</v>
      </c>
      <c r="P5931" s="297" t="s">
        <v>199</v>
      </c>
      <c r="Q5931" s="297" t="s">
        <v>200</v>
      </c>
      <c r="R5931" s="297" t="s">
        <v>213</v>
      </c>
      <c r="S5931" s="297" t="s">
        <v>214</v>
      </c>
    </row>
    <row r="5932" spans="1:19" x14ac:dyDescent="0.4">
      <c r="A5932" s="291"/>
      <c r="B5932" s="292"/>
      <c r="C5932" s="312"/>
      <c r="D5932" s="292"/>
      <c r="E5932" s="489"/>
      <c r="F5932" s="489"/>
      <c r="G5932" s="490"/>
      <c r="H5932" s="520"/>
      <c r="I5932" s="523"/>
      <c r="J5932" s="521"/>
      <c r="K5932" s="522"/>
      <c r="M5932" s="301" t="str">
        <f>N5932&amp;AS[[#This Row],[Insurer Code]]&amp;"; "&amp;O5932&amp;AS[[#This Row],[Reporting Year]]&amp;"; "&amp;P5932&amp;AS[[#This Row],[Insurance Category Code]]&amp;"; "&amp;Q5932&amp;AS[[#This Row],[Large Provider Entity Code]]&amp;"; "&amp;R5932&amp;AS[[#This Row],[Age Band Code]]&amp;"; "&amp;S5932&amp;AS[[#This Row],[Sex Code]]</f>
        <v xml:space="preserve">Insurer Code ; Reporting Year ; Insurance Category Code ; Large Provider Entity Code ; Age Band Code ; Sex Code </v>
      </c>
      <c r="N5932" s="297" t="s">
        <v>197</v>
      </c>
      <c r="O5932" s="297" t="s">
        <v>198</v>
      </c>
      <c r="P5932" s="297" t="s">
        <v>199</v>
      </c>
      <c r="Q5932" s="297" t="s">
        <v>200</v>
      </c>
      <c r="R5932" s="297" t="s">
        <v>213</v>
      </c>
      <c r="S5932" s="297" t="s">
        <v>214</v>
      </c>
    </row>
    <row r="5933" spans="1:19" x14ac:dyDescent="0.4">
      <c r="A5933" s="291"/>
      <c r="B5933" s="292"/>
      <c r="C5933" s="312"/>
      <c r="D5933" s="292"/>
      <c r="E5933" s="489"/>
      <c r="F5933" s="489"/>
      <c r="G5933" s="490"/>
      <c r="H5933" s="520"/>
      <c r="I5933" s="523"/>
      <c r="J5933" s="521"/>
      <c r="K5933" s="522"/>
      <c r="M5933" s="301" t="str">
        <f>N5933&amp;AS[[#This Row],[Insurer Code]]&amp;"; "&amp;O5933&amp;AS[[#This Row],[Reporting Year]]&amp;"; "&amp;P5933&amp;AS[[#This Row],[Insurance Category Code]]&amp;"; "&amp;Q5933&amp;AS[[#This Row],[Large Provider Entity Code]]&amp;"; "&amp;R5933&amp;AS[[#This Row],[Age Band Code]]&amp;"; "&amp;S5933&amp;AS[[#This Row],[Sex Code]]</f>
        <v xml:space="preserve">Insurer Code ; Reporting Year ; Insurance Category Code ; Large Provider Entity Code ; Age Band Code ; Sex Code </v>
      </c>
      <c r="N5933" s="297" t="s">
        <v>197</v>
      </c>
      <c r="O5933" s="297" t="s">
        <v>198</v>
      </c>
      <c r="P5933" s="297" t="s">
        <v>199</v>
      </c>
      <c r="Q5933" s="297" t="s">
        <v>200</v>
      </c>
      <c r="R5933" s="297" t="s">
        <v>213</v>
      </c>
      <c r="S5933" s="297" t="s">
        <v>214</v>
      </c>
    </row>
    <row r="5934" spans="1:19" x14ac:dyDescent="0.4">
      <c r="A5934" s="291"/>
      <c r="B5934" s="292"/>
      <c r="C5934" s="312"/>
      <c r="D5934" s="292"/>
      <c r="E5934" s="489"/>
      <c r="F5934" s="489"/>
      <c r="G5934" s="490"/>
      <c r="H5934" s="520"/>
      <c r="I5934" s="523"/>
      <c r="J5934" s="521"/>
      <c r="K5934" s="522"/>
      <c r="M5934" s="301" t="str">
        <f>N5934&amp;AS[[#This Row],[Insurer Code]]&amp;"; "&amp;O5934&amp;AS[[#This Row],[Reporting Year]]&amp;"; "&amp;P5934&amp;AS[[#This Row],[Insurance Category Code]]&amp;"; "&amp;Q5934&amp;AS[[#This Row],[Large Provider Entity Code]]&amp;"; "&amp;R5934&amp;AS[[#This Row],[Age Band Code]]&amp;"; "&amp;S5934&amp;AS[[#This Row],[Sex Code]]</f>
        <v xml:space="preserve">Insurer Code ; Reporting Year ; Insurance Category Code ; Large Provider Entity Code ; Age Band Code ; Sex Code </v>
      </c>
      <c r="N5934" s="297" t="s">
        <v>197</v>
      </c>
      <c r="O5934" s="297" t="s">
        <v>198</v>
      </c>
      <c r="P5934" s="297" t="s">
        <v>199</v>
      </c>
      <c r="Q5934" s="297" t="s">
        <v>200</v>
      </c>
      <c r="R5934" s="297" t="s">
        <v>213</v>
      </c>
      <c r="S5934" s="297" t="s">
        <v>214</v>
      </c>
    </row>
    <row r="5935" spans="1:19" x14ac:dyDescent="0.4">
      <c r="A5935" s="291"/>
      <c r="B5935" s="292"/>
      <c r="C5935" s="312"/>
      <c r="D5935" s="292"/>
      <c r="E5935" s="489"/>
      <c r="F5935" s="489"/>
      <c r="G5935" s="490"/>
      <c r="H5935" s="520"/>
      <c r="I5935" s="523"/>
      <c r="J5935" s="521"/>
      <c r="K5935" s="522"/>
      <c r="M5935" s="301" t="str">
        <f>N5935&amp;AS[[#This Row],[Insurer Code]]&amp;"; "&amp;O5935&amp;AS[[#This Row],[Reporting Year]]&amp;"; "&amp;P5935&amp;AS[[#This Row],[Insurance Category Code]]&amp;"; "&amp;Q5935&amp;AS[[#This Row],[Large Provider Entity Code]]&amp;"; "&amp;R5935&amp;AS[[#This Row],[Age Band Code]]&amp;"; "&amp;S5935&amp;AS[[#This Row],[Sex Code]]</f>
        <v xml:space="preserve">Insurer Code ; Reporting Year ; Insurance Category Code ; Large Provider Entity Code ; Age Band Code ; Sex Code </v>
      </c>
      <c r="N5935" s="297" t="s">
        <v>197</v>
      </c>
      <c r="O5935" s="297" t="s">
        <v>198</v>
      </c>
      <c r="P5935" s="297" t="s">
        <v>199</v>
      </c>
      <c r="Q5935" s="297" t="s">
        <v>200</v>
      </c>
      <c r="R5935" s="297" t="s">
        <v>213</v>
      </c>
      <c r="S5935" s="297" t="s">
        <v>214</v>
      </c>
    </row>
    <row r="5936" spans="1:19" x14ac:dyDescent="0.4">
      <c r="A5936" s="291"/>
      <c r="B5936" s="292"/>
      <c r="C5936" s="312"/>
      <c r="D5936" s="292"/>
      <c r="E5936" s="489"/>
      <c r="F5936" s="489"/>
      <c r="G5936" s="490"/>
      <c r="H5936" s="520"/>
      <c r="I5936" s="523"/>
      <c r="J5936" s="521"/>
      <c r="K5936" s="522"/>
      <c r="M5936" s="301" t="str">
        <f>N5936&amp;AS[[#This Row],[Insurer Code]]&amp;"; "&amp;O5936&amp;AS[[#This Row],[Reporting Year]]&amp;"; "&amp;P5936&amp;AS[[#This Row],[Insurance Category Code]]&amp;"; "&amp;Q5936&amp;AS[[#This Row],[Large Provider Entity Code]]&amp;"; "&amp;R5936&amp;AS[[#This Row],[Age Band Code]]&amp;"; "&amp;S5936&amp;AS[[#This Row],[Sex Code]]</f>
        <v xml:space="preserve">Insurer Code ; Reporting Year ; Insurance Category Code ; Large Provider Entity Code ; Age Band Code ; Sex Code </v>
      </c>
      <c r="N5936" s="297" t="s">
        <v>197</v>
      </c>
      <c r="O5936" s="297" t="s">
        <v>198</v>
      </c>
      <c r="P5936" s="297" t="s">
        <v>199</v>
      </c>
      <c r="Q5936" s="297" t="s">
        <v>200</v>
      </c>
      <c r="R5936" s="297" t="s">
        <v>213</v>
      </c>
      <c r="S5936" s="297" t="s">
        <v>214</v>
      </c>
    </row>
    <row r="5937" spans="1:19" x14ac:dyDescent="0.4">
      <c r="A5937" s="291"/>
      <c r="B5937" s="292"/>
      <c r="C5937" s="312"/>
      <c r="D5937" s="292"/>
      <c r="E5937" s="489"/>
      <c r="F5937" s="489"/>
      <c r="G5937" s="490"/>
      <c r="H5937" s="520"/>
      <c r="I5937" s="523"/>
      <c r="J5937" s="521"/>
      <c r="K5937" s="522"/>
      <c r="M5937" s="301" t="str">
        <f>N5937&amp;AS[[#This Row],[Insurer Code]]&amp;"; "&amp;O5937&amp;AS[[#This Row],[Reporting Year]]&amp;"; "&amp;P5937&amp;AS[[#This Row],[Insurance Category Code]]&amp;"; "&amp;Q5937&amp;AS[[#This Row],[Large Provider Entity Code]]&amp;"; "&amp;R5937&amp;AS[[#This Row],[Age Band Code]]&amp;"; "&amp;S5937&amp;AS[[#This Row],[Sex Code]]</f>
        <v xml:space="preserve">Insurer Code ; Reporting Year ; Insurance Category Code ; Large Provider Entity Code ; Age Band Code ; Sex Code </v>
      </c>
      <c r="N5937" s="297" t="s">
        <v>197</v>
      </c>
      <c r="O5937" s="297" t="s">
        <v>198</v>
      </c>
      <c r="P5937" s="297" t="s">
        <v>199</v>
      </c>
      <c r="Q5937" s="297" t="s">
        <v>200</v>
      </c>
      <c r="R5937" s="297" t="s">
        <v>213</v>
      </c>
      <c r="S5937" s="297" t="s">
        <v>214</v>
      </c>
    </row>
    <row r="5938" spans="1:19" x14ac:dyDescent="0.4">
      <c r="A5938" s="291"/>
      <c r="B5938" s="292"/>
      <c r="C5938" s="312"/>
      <c r="D5938" s="292"/>
      <c r="E5938" s="489"/>
      <c r="F5938" s="489"/>
      <c r="G5938" s="490"/>
      <c r="H5938" s="520"/>
      <c r="I5938" s="523"/>
      <c r="J5938" s="521"/>
      <c r="K5938" s="522"/>
      <c r="M5938" s="301" t="str">
        <f>N5938&amp;AS[[#This Row],[Insurer Code]]&amp;"; "&amp;O5938&amp;AS[[#This Row],[Reporting Year]]&amp;"; "&amp;P5938&amp;AS[[#This Row],[Insurance Category Code]]&amp;"; "&amp;Q5938&amp;AS[[#This Row],[Large Provider Entity Code]]&amp;"; "&amp;R5938&amp;AS[[#This Row],[Age Band Code]]&amp;"; "&amp;S5938&amp;AS[[#This Row],[Sex Code]]</f>
        <v xml:space="preserve">Insurer Code ; Reporting Year ; Insurance Category Code ; Large Provider Entity Code ; Age Band Code ; Sex Code </v>
      </c>
      <c r="N5938" s="297" t="s">
        <v>197</v>
      </c>
      <c r="O5938" s="297" t="s">
        <v>198</v>
      </c>
      <c r="P5938" s="297" t="s">
        <v>199</v>
      </c>
      <c r="Q5938" s="297" t="s">
        <v>200</v>
      </c>
      <c r="R5938" s="297" t="s">
        <v>213</v>
      </c>
      <c r="S5938" s="297" t="s">
        <v>214</v>
      </c>
    </row>
    <row r="5939" spans="1:19" x14ac:dyDescent="0.4">
      <c r="A5939" s="291"/>
      <c r="B5939" s="292"/>
      <c r="C5939" s="312"/>
      <c r="D5939" s="292"/>
      <c r="E5939" s="489"/>
      <c r="F5939" s="489"/>
      <c r="G5939" s="490"/>
      <c r="H5939" s="520"/>
      <c r="I5939" s="523"/>
      <c r="J5939" s="521"/>
      <c r="K5939" s="522"/>
      <c r="M5939" s="301" t="str">
        <f>N5939&amp;AS[[#This Row],[Insurer Code]]&amp;"; "&amp;O5939&amp;AS[[#This Row],[Reporting Year]]&amp;"; "&amp;P5939&amp;AS[[#This Row],[Insurance Category Code]]&amp;"; "&amp;Q5939&amp;AS[[#This Row],[Large Provider Entity Code]]&amp;"; "&amp;R5939&amp;AS[[#This Row],[Age Band Code]]&amp;"; "&amp;S5939&amp;AS[[#This Row],[Sex Code]]</f>
        <v xml:space="preserve">Insurer Code ; Reporting Year ; Insurance Category Code ; Large Provider Entity Code ; Age Band Code ; Sex Code </v>
      </c>
      <c r="N5939" s="297" t="s">
        <v>197</v>
      </c>
      <c r="O5939" s="297" t="s">
        <v>198</v>
      </c>
      <c r="P5939" s="297" t="s">
        <v>199</v>
      </c>
      <c r="Q5939" s="297" t="s">
        <v>200</v>
      </c>
      <c r="R5939" s="297" t="s">
        <v>213</v>
      </c>
      <c r="S5939" s="297" t="s">
        <v>214</v>
      </c>
    </row>
    <row r="5940" spans="1:19" x14ac:dyDescent="0.4">
      <c r="A5940" s="291"/>
      <c r="B5940" s="292"/>
      <c r="C5940" s="312"/>
      <c r="D5940" s="292"/>
      <c r="E5940" s="489"/>
      <c r="F5940" s="489"/>
      <c r="G5940" s="490"/>
      <c r="H5940" s="520"/>
      <c r="I5940" s="523"/>
      <c r="J5940" s="521"/>
      <c r="K5940" s="522"/>
      <c r="M5940" s="301" t="str">
        <f>N5940&amp;AS[[#This Row],[Insurer Code]]&amp;"; "&amp;O5940&amp;AS[[#This Row],[Reporting Year]]&amp;"; "&amp;P5940&amp;AS[[#This Row],[Insurance Category Code]]&amp;"; "&amp;Q5940&amp;AS[[#This Row],[Large Provider Entity Code]]&amp;"; "&amp;R5940&amp;AS[[#This Row],[Age Band Code]]&amp;"; "&amp;S5940&amp;AS[[#This Row],[Sex Code]]</f>
        <v xml:space="preserve">Insurer Code ; Reporting Year ; Insurance Category Code ; Large Provider Entity Code ; Age Band Code ; Sex Code </v>
      </c>
      <c r="N5940" s="297" t="s">
        <v>197</v>
      </c>
      <c r="O5940" s="297" t="s">
        <v>198</v>
      </c>
      <c r="P5940" s="297" t="s">
        <v>199</v>
      </c>
      <c r="Q5940" s="297" t="s">
        <v>200</v>
      </c>
      <c r="R5940" s="297" t="s">
        <v>213</v>
      </c>
      <c r="S5940" s="297" t="s">
        <v>214</v>
      </c>
    </row>
    <row r="5941" spans="1:19" x14ac:dyDescent="0.4">
      <c r="A5941" s="291"/>
      <c r="B5941" s="292"/>
      <c r="C5941" s="312"/>
      <c r="D5941" s="292"/>
      <c r="E5941" s="489"/>
      <c r="F5941" s="489"/>
      <c r="G5941" s="490"/>
      <c r="H5941" s="520"/>
      <c r="I5941" s="523"/>
      <c r="J5941" s="521"/>
      <c r="K5941" s="522"/>
      <c r="M5941" s="301" t="str">
        <f>N5941&amp;AS[[#This Row],[Insurer Code]]&amp;"; "&amp;O5941&amp;AS[[#This Row],[Reporting Year]]&amp;"; "&amp;P5941&amp;AS[[#This Row],[Insurance Category Code]]&amp;"; "&amp;Q5941&amp;AS[[#This Row],[Large Provider Entity Code]]&amp;"; "&amp;R5941&amp;AS[[#This Row],[Age Band Code]]&amp;"; "&amp;S5941&amp;AS[[#This Row],[Sex Code]]</f>
        <v xml:space="preserve">Insurer Code ; Reporting Year ; Insurance Category Code ; Large Provider Entity Code ; Age Band Code ; Sex Code </v>
      </c>
      <c r="N5941" s="297" t="s">
        <v>197</v>
      </c>
      <c r="O5941" s="297" t="s">
        <v>198</v>
      </c>
      <c r="P5941" s="297" t="s">
        <v>199</v>
      </c>
      <c r="Q5941" s="297" t="s">
        <v>200</v>
      </c>
      <c r="R5941" s="297" t="s">
        <v>213</v>
      </c>
      <c r="S5941" s="297" t="s">
        <v>214</v>
      </c>
    </row>
    <row r="5942" spans="1:19" x14ac:dyDescent="0.4">
      <c r="A5942" s="291"/>
      <c r="B5942" s="292"/>
      <c r="C5942" s="312"/>
      <c r="D5942" s="292"/>
      <c r="E5942" s="489"/>
      <c r="F5942" s="489"/>
      <c r="G5942" s="490"/>
      <c r="H5942" s="520"/>
      <c r="I5942" s="523"/>
      <c r="J5942" s="521"/>
      <c r="K5942" s="522"/>
      <c r="M5942" s="301" t="str">
        <f>N5942&amp;AS[[#This Row],[Insurer Code]]&amp;"; "&amp;O5942&amp;AS[[#This Row],[Reporting Year]]&amp;"; "&amp;P5942&amp;AS[[#This Row],[Insurance Category Code]]&amp;"; "&amp;Q5942&amp;AS[[#This Row],[Large Provider Entity Code]]&amp;"; "&amp;R5942&amp;AS[[#This Row],[Age Band Code]]&amp;"; "&amp;S5942&amp;AS[[#This Row],[Sex Code]]</f>
        <v xml:space="preserve">Insurer Code ; Reporting Year ; Insurance Category Code ; Large Provider Entity Code ; Age Band Code ; Sex Code </v>
      </c>
      <c r="N5942" s="297" t="s">
        <v>197</v>
      </c>
      <c r="O5942" s="297" t="s">
        <v>198</v>
      </c>
      <c r="P5942" s="297" t="s">
        <v>199</v>
      </c>
      <c r="Q5942" s="297" t="s">
        <v>200</v>
      </c>
      <c r="R5942" s="297" t="s">
        <v>213</v>
      </c>
      <c r="S5942" s="297" t="s">
        <v>214</v>
      </c>
    </row>
    <row r="5943" spans="1:19" x14ac:dyDescent="0.4">
      <c r="A5943" s="291"/>
      <c r="B5943" s="292"/>
      <c r="C5943" s="312"/>
      <c r="D5943" s="292"/>
      <c r="E5943" s="489"/>
      <c r="F5943" s="489"/>
      <c r="G5943" s="490"/>
      <c r="H5943" s="520"/>
      <c r="I5943" s="523"/>
      <c r="J5943" s="521"/>
      <c r="K5943" s="522"/>
      <c r="M5943" s="301" t="str">
        <f>N5943&amp;AS[[#This Row],[Insurer Code]]&amp;"; "&amp;O5943&amp;AS[[#This Row],[Reporting Year]]&amp;"; "&amp;P5943&amp;AS[[#This Row],[Insurance Category Code]]&amp;"; "&amp;Q5943&amp;AS[[#This Row],[Large Provider Entity Code]]&amp;"; "&amp;R5943&amp;AS[[#This Row],[Age Band Code]]&amp;"; "&amp;S5943&amp;AS[[#This Row],[Sex Code]]</f>
        <v xml:space="preserve">Insurer Code ; Reporting Year ; Insurance Category Code ; Large Provider Entity Code ; Age Band Code ; Sex Code </v>
      </c>
      <c r="N5943" s="297" t="s">
        <v>197</v>
      </c>
      <c r="O5943" s="297" t="s">
        <v>198</v>
      </c>
      <c r="P5943" s="297" t="s">
        <v>199</v>
      </c>
      <c r="Q5943" s="297" t="s">
        <v>200</v>
      </c>
      <c r="R5943" s="297" t="s">
        <v>213</v>
      </c>
      <c r="S5943" s="297" t="s">
        <v>214</v>
      </c>
    </row>
    <row r="5944" spans="1:19" x14ac:dyDescent="0.4">
      <c r="A5944" s="291"/>
      <c r="B5944" s="292"/>
      <c r="C5944" s="312"/>
      <c r="D5944" s="292"/>
      <c r="E5944" s="489"/>
      <c r="F5944" s="489"/>
      <c r="G5944" s="490"/>
      <c r="H5944" s="520"/>
      <c r="I5944" s="523"/>
      <c r="J5944" s="521"/>
      <c r="K5944" s="522"/>
      <c r="M5944" s="301" t="str">
        <f>N5944&amp;AS[[#This Row],[Insurer Code]]&amp;"; "&amp;O5944&amp;AS[[#This Row],[Reporting Year]]&amp;"; "&amp;P5944&amp;AS[[#This Row],[Insurance Category Code]]&amp;"; "&amp;Q5944&amp;AS[[#This Row],[Large Provider Entity Code]]&amp;"; "&amp;R5944&amp;AS[[#This Row],[Age Band Code]]&amp;"; "&amp;S5944&amp;AS[[#This Row],[Sex Code]]</f>
        <v xml:space="preserve">Insurer Code ; Reporting Year ; Insurance Category Code ; Large Provider Entity Code ; Age Band Code ; Sex Code </v>
      </c>
      <c r="N5944" s="297" t="s">
        <v>197</v>
      </c>
      <c r="O5944" s="297" t="s">
        <v>198</v>
      </c>
      <c r="P5944" s="297" t="s">
        <v>199</v>
      </c>
      <c r="Q5944" s="297" t="s">
        <v>200</v>
      </c>
      <c r="R5944" s="297" t="s">
        <v>213</v>
      </c>
      <c r="S5944" s="297" t="s">
        <v>214</v>
      </c>
    </row>
    <row r="5945" spans="1:19" x14ac:dyDescent="0.4">
      <c r="A5945" s="291"/>
      <c r="B5945" s="292"/>
      <c r="C5945" s="312"/>
      <c r="D5945" s="292"/>
      <c r="E5945" s="489"/>
      <c r="F5945" s="489"/>
      <c r="G5945" s="490"/>
      <c r="H5945" s="520"/>
      <c r="I5945" s="523"/>
      <c r="J5945" s="521"/>
      <c r="K5945" s="522"/>
      <c r="M5945" s="301" t="str">
        <f>N5945&amp;AS[[#This Row],[Insurer Code]]&amp;"; "&amp;O5945&amp;AS[[#This Row],[Reporting Year]]&amp;"; "&amp;P5945&amp;AS[[#This Row],[Insurance Category Code]]&amp;"; "&amp;Q5945&amp;AS[[#This Row],[Large Provider Entity Code]]&amp;"; "&amp;R5945&amp;AS[[#This Row],[Age Band Code]]&amp;"; "&amp;S5945&amp;AS[[#This Row],[Sex Code]]</f>
        <v xml:space="preserve">Insurer Code ; Reporting Year ; Insurance Category Code ; Large Provider Entity Code ; Age Band Code ; Sex Code </v>
      </c>
      <c r="N5945" s="297" t="s">
        <v>197</v>
      </c>
      <c r="O5945" s="297" t="s">
        <v>198</v>
      </c>
      <c r="P5945" s="297" t="s">
        <v>199</v>
      </c>
      <c r="Q5945" s="297" t="s">
        <v>200</v>
      </c>
      <c r="R5945" s="297" t="s">
        <v>213</v>
      </c>
      <c r="S5945" s="297" t="s">
        <v>214</v>
      </c>
    </row>
    <row r="5946" spans="1:19" x14ac:dyDescent="0.4">
      <c r="A5946" s="291"/>
      <c r="B5946" s="292"/>
      <c r="C5946" s="312"/>
      <c r="D5946" s="292"/>
      <c r="E5946" s="489"/>
      <c r="F5946" s="489"/>
      <c r="G5946" s="490"/>
      <c r="H5946" s="520"/>
      <c r="I5946" s="523"/>
      <c r="J5946" s="521"/>
      <c r="K5946" s="522"/>
      <c r="M5946" s="301" t="str">
        <f>N5946&amp;AS[[#This Row],[Insurer Code]]&amp;"; "&amp;O5946&amp;AS[[#This Row],[Reporting Year]]&amp;"; "&amp;P5946&amp;AS[[#This Row],[Insurance Category Code]]&amp;"; "&amp;Q5946&amp;AS[[#This Row],[Large Provider Entity Code]]&amp;"; "&amp;R5946&amp;AS[[#This Row],[Age Band Code]]&amp;"; "&amp;S5946&amp;AS[[#This Row],[Sex Code]]</f>
        <v xml:space="preserve">Insurer Code ; Reporting Year ; Insurance Category Code ; Large Provider Entity Code ; Age Band Code ; Sex Code </v>
      </c>
      <c r="N5946" s="297" t="s">
        <v>197</v>
      </c>
      <c r="O5946" s="297" t="s">
        <v>198</v>
      </c>
      <c r="P5946" s="297" t="s">
        <v>199</v>
      </c>
      <c r="Q5946" s="297" t="s">
        <v>200</v>
      </c>
      <c r="R5946" s="297" t="s">
        <v>213</v>
      </c>
      <c r="S5946" s="297" t="s">
        <v>214</v>
      </c>
    </row>
    <row r="5947" spans="1:19" x14ac:dyDescent="0.4">
      <c r="A5947" s="291"/>
      <c r="B5947" s="292"/>
      <c r="C5947" s="312"/>
      <c r="D5947" s="292"/>
      <c r="E5947" s="489"/>
      <c r="F5947" s="489"/>
      <c r="G5947" s="490"/>
      <c r="H5947" s="520"/>
      <c r="I5947" s="523"/>
      <c r="J5947" s="521"/>
      <c r="K5947" s="522"/>
      <c r="M5947" s="301" t="str">
        <f>N5947&amp;AS[[#This Row],[Insurer Code]]&amp;"; "&amp;O5947&amp;AS[[#This Row],[Reporting Year]]&amp;"; "&amp;P5947&amp;AS[[#This Row],[Insurance Category Code]]&amp;"; "&amp;Q5947&amp;AS[[#This Row],[Large Provider Entity Code]]&amp;"; "&amp;R5947&amp;AS[[#This Row],[Age Band Code]]&amp;"; "&amp;S5947&amp;AS[[#This Row],[Sex Code]]</f>
        <v xml:space="preserve">Insurer Code ; Reporting Year ; Insurance Category Code ; Large Provider Entity Code ; Age Band Code ; Sex Code </v>
      </c>
      <c r="N5947" s="297" t="s">
        <v>197</v>
      </c>
      <c r="O5947" s="297" t="s">
        <v>198</v>
      </c>
      <c r="P5947" s="297" t="s">
        <v>199</v>
      </c>
      <c r="Q5947" s="297" t="s">
        <v>200</v>
      </c>
      <c r="R5947" s="297" t="s">
        <v>213</v>
      </c>
      <c r="S5947" s="297" t="s">
        <v>214</v>
      </c>
    </row>
    <row r="5948" spans="1:19" x14ac:dyDescent="0.4">
      <c r="A5948" s="291"/>
      <c r="B5948" s="292"/>
      <c r="C5948" s="312"/>
      <c r="D5948" s="292"/>
      <c r="E5948" s="489"/>
      <c r="F5948" s="489"/>
      <c r="G5948" s="490"/>
      <c r="H5948" s="520"/>
      <c r="I5948" s="523"/>
      <c r="J5948" s="521"/>
      <c r="K5948" s="522"/>
      <c r="M5948" s="301" t="str">
        <f>N5948&amp;AS[[#This Row],[Insurer Code]]&amp;"; "&amp;O5948&amp;AS[[#This Row],[Reporting Year]]&amp;"; "&amp;P5948&amp;AS[[#This Row],[Insurance Category Code]]&amp;"; "&amp;Q5948&amp;AS[[#This Row],[Large Provider Entity Code]]&amp;"; "&amp;R5948&amp;AS[[#This Row],[Age Band Code]]&amp;"; "&amp;S5948&amp;AS[[#This Row],[Sex Code]]</f>
        <v xml:space="preserve">Insurer Code ; Reporting Year ; Insurance Category Code ; Large Provider Entity Code ; Age Band Code ; Sex Code </v>
      </c>
      <c r="N5948" s="297" t="s">
        <v>197</v>
      </c>
      <c r="O5948" s="297" t="s">
        <v>198</v>
      </c>
      <c r="P5948" s="297" t="s">
        <v>199</v>
      </c>
      <c r="Q5948" s="297" t="s">
        <v>200</v>
      </c>
      <c r="R5948" s="297" t="s">
        <v>213</v>
      </c>
      <c r="S5948" s="297" t="s">
        <v>214</v>
      </c>
    </row>
    <row r="5949" spans="1:19" x14ac:dyDescent="0.4">
      <c r="A5949" s="291"/>
      <c r="B5949" s="292"/>
      <c r="C5949" s="312"/>
      <c r="D5949" s="292"/>
      <c r="E5949" s="489"/>
      <c r="F5949" s="489"/>
      <c r="G5949" s="490"/>
      <c r="H5949" s="520"/>
      <c r="I5949" s="523"/>
      <c r="J5949" s="521"/>
      <c r="K5949" s="522"/>
      <c r="M5949" s="301" t="str">
        <f>N5949&amp;AS[[#This Row],[Insurer Code]]&amp;"; "&amp;O5949&amp;AS[[#This Row],[Reporting Year]]&amp;"; "&amp;P5949&amp;AS[[#This Row],[Insurance Category Code]]&amp;"; "&amp;Q5949&amp;AS[[#This Row],[Large Provider Entity Code]]&amp;"; "&amp;R5949&amp;AS[[#This Row],[Age Band Code]]&amp;"; "&amp;S5949&amp;AS[[#This Row],[Sex Code]]</f>
        <v xml:space="preserve">Insurer Code ; Reporting Year ; Insurance Category Code ; Large Provider Entity Code ; Age Band Code ; Sex Code </v>
      </c>
      <c r="N5949" s="297" t="s">
        <v>197</v>
      </c>
      <c r="O5949" s="297" t="s">
        <v>198</v>
      </c>
      <c r="P5949" s="297" t="s">
        <v>199</v>
      </c>
      <c r="Q5949" s="297" t="s">
        <v>200</v>
      </c>
      <c r="R5949" s="297" t="s">
        <v>213</v>
      </c>
      <c r="S5949" s="297" t="s">
        <v>214</v>
      </c>
    </row>
    <row r="5950" spans="1:19" x14ac:dyDescent="0.4">
      <c r="A5950" s="291"/>
      <c r="B5950" s="292"/>
      <c r="C5950" s="312"/>
      <c r="D5950" s="292"/>
      <c r="E5950" s="489"/>
      <c r="F5950" s="489"/>
      <c r="G5950" s="490"/>
      <c r="H5950" s="520"/>
      <c r="I5950" s="523"/>
      <c r="J5950" s="521"/>
      <c r="K5950" s="522"/>
      <c r="M5950" s="301" t="str">
        <f>N5950&amp;AS[[#This Row],[Insurer Code]]&amp;"; "&amp;O5950&amp;AS[[#This Row],[Reporting Year]]&amp;"; "&amp;P5950&amp;AS[[#This Row],[Insurance Category Code]]&amp;"; "&amp;Q5950&amp;AS[[#This Row],[Large Provider Entity Code]]&amp;"; "&amp;R5950&amp;AS[[#This Row],[Age Band Code]]&amp;"; "&amp;S5950&amp;AS[[#This Row],[Sex Code]]</f>
        <v xml:space="preserve">Insurer Code ; Reporting Year ; Insurance Category Code ; Large Provider Entity Code ; Age Band Code ; Sex Code </v>
      </c>
      <c r="N5950" s="297" t="s">
        <v>197</v>
      </c>
      <c r="O5950" s="297" t="s">
        <v>198</v>
      </c>
      <c r="P5950" s="297" t="s">
        <v>199</v>
      </c>
      <c r="Q5950" s="297" t="s">
        <v>200</v>
      </c>
      <c r="R5950" s="297" t="s">
        <v>213</v>
      </c>
      <c r="S5950" s="297" t="s">
        <v>214</v>
      </c>
    </row>
    <row r="5951" spans="1:19" x14ac:dyDescent="0.4">
      <c r="A5951" s="291"/>
      <c r="B5951" s="292"/>
      <c r="C5951" s="312"/>
      <c r="D5951" s="292"/>
      <c r="E5951" s="489"/>
      <c r="F5951" s="489"/>
      <c r="G5951" s="490"/>
      <c r="H5951" s="520"/>
      <c r="I5951" s="523"/>
      <c r="J5951" s="521"/>
      <c r="K5951" s="522"/>
      <c r="M5951" s="301" t="str">
        <f>N5951&amp;AS[[#This Row],[Insurer Code]]&amp;"; "&amp;O5951&amp;AS[[#This Row],[Reporting Year]]&amp;"; "&amp;P5951&amp;AS[[#This Row],[Insurance Category Code]]&amp;"; "&amp;Q5951&amp;AS[[#This Row],[Large Provider Entity Code]]&amp;"; "&amp;R5951&amp;AS[[#This Row],[Age Band Code]]&amp;"; "&amp;S5951&amp;AS[[#This Row],[Sex Code]]</f>
        <v xml:space="preserve">Insurer Code ; Reporting Year ; Insurance Category Code ; Large Provider Entity Code ; Age Band Code ; Sex Code </v>
      </c>
      <c r="N5951" s="297" t="s">
        <v>197</v>
      </c>
      <c r="O5951" s="297" t="s">
        <v>198</v>
      </c>
      <c r="P5951" s="297" t="s">
        <v>199</v>
      </c>
      <c r="Q5951" s="297" t="s">
        <v>200</v>
      </c>
      <c r="R5951" s="297" t="s">
        <v>213</v>
      </c>
      <c r="S5951" s="297" t="s">
        <v>214</v>
      </c>
    </row>
    <row r="5952" spans="1:19" x14ac:dyDescent="0.4">
      <c r="A5952" s="291"/>
      <c r="B5952" s="292"/>
      <c r="C5952" s="312"/>
      <c r="D5952" s="292"/>
      <c r="E5952" s="489"/>
      <c r="F5952" s="489"/>
      <c r="G5952" s="490"/>
      <c r="H5952" s="520"/>
      <c r="I5952" s="523"/>
      <c r="J5952" s="521"/>
      <c r="K5952" s="522"/>
      <c r="M5952" s="301" t="str">
        <f>N5952&amp;AS[[#This Row],[Insurer Code]]&amp;"; "&amp;O5952&amp;AS[[#This Row],[Reporting Year]]&amp;"; "&amp;P5952&amp;AS[[#This Row],[Insurance Category Code]]&amp;"; "&amp;Q5952&amp;AS[[#This Row],[Large Provider Entity Code]]&amp;"; "&amp;R5952&amp;AS[[#This Row],[Age Band Code]]&amp;"; "&amp;S5952&amp;AS[[#This Row],[Sex Code]]</f>
        <v xml:space="preserve">Insurer Code ; Reporting Year ; Insurance Category Code ; Large Provider Entity Code ; Age Band Code ; Sex Code </v>
      </c>
      <c r="N5952" s="297" t="s">
        <v>197</v>
      </c>
      <c r="O5952" s="297" t="s">
        <v>198</v>
      </c>
      <c r="P5952" s="297" t="s">
        <v>199</v>
      </c>
      <c r="Q5952" s="297" t="s">
        <v>200</v>
      </c>
      <c r="R5952" s="297" t="s">
        <v>213</v>
      </c>
      <c r="S5952" s="297" t="s">
        <v>214</v>
      </c>
    </row>
    <row r="5953" spans="1:19" x14ac:dyDescent="0.4">
      <c r="A5953" s="291"/>
      <c r="B5953" s="292"/>
      <c r="C5953" s="312"/>
      <c r="D5953" s="292"/>
      <c r="E5953" s="489"/>
      <c r="F5953" s="489"/>
      <c r="G5953" s="490"/>
      <c r="H5953" s="520"/>
      <c r="I5953" s="523"/>
      <c r="J5953" s="521"/>
      <c r="K5953" s="522"/>
      <c r="M5953" s="301" t="str">
        <f>N5953&amp;AS[[#This Row],[Insurer Code]]&amp;"; "&amp;O5953&amp;AS[[#This Row],[Reporting Year]]&amp;"; "&amp;P5953&amp;AS[[#This Row],[Insurance Category Code]]&amp;"; "&amp;Q5953&amp;AS[[#This Row],[Large Provider Entity Code]]&amp;"; "&amp;R5953&amp;AS[[#This Row],[Age Band Code]]&amp;"; "&amp;S5953&amp;AS[[#This Row],[Sex Code]]</f>
        <v xml:space="preserve">Insurer Code ; Reporting Year ; Insurance Category Code ; Large Provider Entity Code ; Age Band Code ; Sex Code </v>
      </c>
      <c r="N5953" s="297" t="s">
        <v>197</v>
      </c>
      <c r="O5953" s="297" t="s">
        <v>198</v>
      </c>
      <c r="P5953" s="297" t="s">
        <v>199</v>
      </c>
      <c r="Q5953" s="297" t="s">
        <v>200</v>
      </c>
      <c r="R5953" s="297" t="s">
        <v>213</v>
      </c>
      <c r="S5953" s="297" t="s">
        <v>214</v>
      </c>
    </row>
    <row r="5954" spans="1:19" x14ac:dyDescent="0.4">
      <c r="A5954" s="291"/>
      <c r="B5954" s="292"/>
      <c r="C5954" s="312"/>
      <c r="D5954" s="292"/>
      <c r="E5954" s="489"/>
      <c r="F5954" s="489"/>
      <c r="G5954" s="490"/>
      <c r="H5954" s="520"/>
      <c r="I5954" s="523"/>
      <c r="J5954" s="521"/>
      <c r="K5954" s="522"/>
      <c r="M5954" s="301" t="str">
        <f>N5954&amp;AS[[#This Row],[Insurer Code]]&amp;"; "&amp;O5954&amp;AS[[#This Row],[Reporting Year]]&amp;"; "&amp;P5954&amp;AS[[#This Row],[Insurance Category Code]]&amp;"; "&amp;Q5954&amp;AS[[#This Row],[Large Provider Entity Code]]&amp;"; "&amp;R5954&amp;AS[[#This Row],[Age Band Code]]&amp;"; "&amp;S5954&amp;AS[[#This Row],[Sex Code]]</f>
        <v xml:space="preserve">Insurer Code ; Reporting Year ; Insurance Category Code ; Large Provider Entity Code ; Age Band Code ; Sex Code </v>
      </c>
      <c r="N5954" s="297" t="s">
        <v>197</v>
      </c>
      <c r="O5954" s="297" t="s">
        <v>198</v>
      </c>
      <c r="P5954" s="297" t="s">
        <v>199</v>
      </c>
      <c r="Q5954" s="297" t="s">
        <v>200</v>
      </c>
      <c r="R5954" s="297" t="s">
        <v>213</v>
      </c>
      <c r="S5954" s="297" t="s">
        <v>214</v>
      </c>
    </row>
    <row r="5955" spans="1:19" x14ac:dyDescent="0.4">
      <c r="A5955" s="291"/>
      <c r="B5955" s="292"/>
      <c r="C5955" s="312"/>
      <c r="D5955" s="292"/>
      <c r="E5955" s="489"/>
      <c r="F5955" s="489"/>
      <c r="G5955" s="490"/>
      <c r="H5955" s="520"/>
      <c r="I5955" s="523"/>
      <c r="J5955" s="521"/>
      <c r="K5955" s="522"/>
      <c r="M5955" s="301" t="str">
        <f>N5955&amp;AS[[#This Row],[Insurer Code]]&amp;"; "&amp;O5955&amp;AS[[#This Row],[Reporting Year]]&amp;"; "&amp;P5955&amp;AS[[#This Row],[Insurance Category Code]]&amp;"; "&amp;Q5955&amp;AS[[#This Row],[Large Provider Entity Code]]&amp;"; "&amp;R5955&amp;AS[[#This Row],[Age Band Code]]&amp;"; "&amp;S5955&amp;AS[[#This Row],[Sex Code]]</f>
        <v xml:space="preserve">Insurer Code ; Reporting Year ; Insurance Category Code ; Large Provider Entity Code ; Age Band Code ; Sex Code </v>
      </c>
      <c r="N5955" s="297" t="s">
        <v>197</v>
      </c>
      <c r="O5955" s="297" t="s">
        <v>198</v>
      </c>
      <c r="P5955" s="297" t="s">
        <v>199</v>
      </c>
      <c r="Q5955" s="297" t="s">
        <v>200</v>
      </c>
      <c r="R5955" s="297" t="s">
        <v>213</v>
      </c>
      <c r="S5955" s="297" t="s">
        <v>214</v>
      </c>
    </row>
    <row r="5956" spans="1:19" x14ac:dyDescent="0.4">
      <c r="A5956" s="291"/>
      <c r="B5956" s="292"/>
      <c r="C5956" s="312"/>
      <c r="D5956" s="292"/>
      <c r="E5956" s="489"/>
      <c r="F5956" s="489"/>
      <c r="G5956" s="490"/>
      <c r="H5956" s="520"/>
      <c r="I5956" s="523"/>
      <c r="J5956" s="521"/>
      <c r="K5956" s="522"/>
      <c r="M5956" s="301" t="str">
        <f>N5956&amp;AS[[#This Row],[Insurer Code]]&amp;"; "&amp;O5956&amp;AS[[#This Row],[Reporting Year]]&amp;"; "&amp;P5956&amp;AS[[#This Row],[Insurance Category Code]]&amp;"; "&amp;Q5956&amp;AS[[#This Row],[Large Provider Entity Code]]&amp;"; "&amp;R5956&amp;AS[[#This Row],[Age Band Code]]&amp;"; "&amp;S5956&amp;AS[[#This Row],[Sex Code]]</f>
        <v xml:space="preserve">Insurer Code ; Reporting Year ; Insurance Category Code ; Large Provider Entity Code ; Age Band Code ; Sex Code </v>
      </c>
      <c r="N5956" s="297" t="s">
        <v>197</v>
      </c>
      <c r="O5956" s="297" t="s">
        <v>198</v>
      </c>
      <c r="P5956" s="297" t="s">
        <v>199</v>
      </c>
      <c r="Q5956" s="297" t="s">
        <v>200</v>
      </c>
      <c r="R5956" s="297" t="s">
        <v>213</v>
      </c>
      <c r="S5956" s="297" t="s">
        <v>214</v>
      </c>
    </row>
    <row r="5957" spans="1:19" x14ac:dyDescent="0.4">
      <c r="A5957" s="291"/>
      <c r="B5957" s="292"/>
      <c r="C5957" s="312"/>
      <c r="D5957" s="292"/>
      <c r="E5957" s="489"/>
      <c r="F5957" s="489"/>
      <c r="G5957" s="490"/>
      <c r="H5957" s="520"/>
      <c r="I5957" s="523"/>
      <c r="J5957" s="521"/>
      <c r="K5957" s="522"/>
      <c r="M5957" s="301" t="str">
        <f>N5957&amp;AS[[#This Row],[Insurer Code]]&amp;"; "&amp;O5957&amp;AS[[#This Row],[Reporting Year]]&amp;"; "&amp;P5957&amp;AS[[#This Row],[Insurance Category Code]]&amp;"; "&amp;Q5957&amp;AS[[#This Row],[Large Provider Entity Code]]&amp;"; "&amp;R5957&amp;AS[[#This Row],[Age Band Code]]&amp;"; "&amp;S5957&amp;AS[[#This Row],[Sex Code]]</f>
        <v xml:space="preserve">Insurer Code ; Reporting Year ; Insurance Category Code ; Large Provider Entity Code ; Age Band Code ; Sex Code </v>
      </c>
      <c r="N5957" s="297" t="s">
        <v>197</v>
      </c>
      <c r="O5957" s="297" t="s">
        <v>198</v>
      </c>
      <c r="P5957" s="297" t="s">
        <v>199</v>
      </c>
      <c r="Q5957" s="297" t="s">
        <v>200</v>
      </c>
      <c r="R5957" s="297" t="s">
        <v>213</v>
      </c>
      <c r="S5957" s="297" t="s">
        <v>214</v>
      </c>
    </row>
    <row r="5958" spans="1:19" x14ac:dyDescent="0.4">
      <c r="A5958" s="291"/>
      <c r="B5958" s="292"/>
      <c r="C5958" s="312"/>
      <c r="D5958" s="292"/>
      <c r="E5958" s="489"/>
      <c r="F5958" s="489"/>
      <c r="G5958" s="490"/>
      <c r="H5958" s="520"/>
      <c r="I5958" s="523"/>
      <c r="J5958" s="521"/>
      <c r="K5958" s="522"/>
      <c r="M5958" s="301" t="str">
        <f>N5958&amp;AS[[#This Row],[Insurer Code]]&amp;"; "&amp;O5958&amp;AS[[#This Row],[Reporting Year]]&amp;"; "&amp;P5958&amp;AS[[#This Row],[Insurance Category Code]]&amp;"; "&amp;Q5958&amp;AS[[#This Row],[Large Provider Entity Code]]&amp;"; "&amp;R5958&amp;AS[[#This Row],[Age Band Code]]&amp;"; "&amp;S5958&amp;AS[[#This Row],[Sex Code]]</f>
        <v xml:space="preserve">Insurer Code ; Reporting Year ; Insurance Category Code ; Large Provider Entity Code ; Age Band Code ; Sex Code </v>
      </c>
      <c r="N5958" s="297" t="s">
        <v>197</v>
      </c>
      <c r="O5958" s="297" t="s">
        <v>198</v>
      </c>
      <c r="P5958" s="297" t="s">
        <v>199</v>
      </c>
      <c r="Q5958" s="297" t="s">
        <v>200</v>
      </c>
      <c r="R5958" s="297" t="s">
        <v>213</v>
      </c>
      <c r="S5958" s="297" t="s">
        <v>214</v>
      </c>
    </row>
    <row r="5959" spans="1:19" x14ac:dyDescent="0.4">
      <c r="A5959" s="291"/>
      <c r="B5959" s="292"/>
      <c r="C5959" s="312"/>
      <c r="D5959" s="292"/>
      <c r="E5959" s="489"/>
      <c r="F5959" s="489"/>
      <c r="G5959" s="490"/>
      <c r="H5959" s="520"/>
      <c r="I5959" s="523"/>
      <c r="J5959" s="521"/>
      <c r="K5959" s="522"/>
      <c r="M5959" s="301" t="str">
        <f>N5959&amp;AS[[#This Row],[Insurer Code]]&amp;"; "&amp;O5959&amp;AS[[#This Row],[Reporting Year]]&amp;"; "&amp;P5959&amp;AS[[#This Row],[Insurance Category Code]]&amp;"; "&amp;Q5959&amp;AS[[#This Row],[Large Provider Entity Code]]&amp;"; "&amp;R5959&amp;AS[[#This Row],[Age Band Code]]&amp;"; "&amp;S5959&amp;AS[[#This Row],[Sex Code]]</f>
        <v xml:space="preserve">Insurer Code ; Reporting Year ; Insurance Category Code ; Large Provider Entity Code ; Age Band Code ; Sex Code </v>
      </c>
      <c r="N5959" s="297" t="s">
        <v>197</v>
      </c>
      <c r="O5959" s="297" t="s">
        <v>198</v>
      </c>
      <c r="P5959" s="297" t="s">
        <v>199</v>
      </c>
      <c r="Q5959" s="297" t="s">
        <v>200</v>
      </c>
      <c r="R5959" s="297" t="s">
        <v>213</v>
      </c>
      <c r="S5959" s="297" t="s">
        <v>214</v>
      </c>
    </row>
    <row r="5960" spans="1:19" x14ac:dyDescent="0.4">
      <c r="A5960" s="291"/>
      <c r="B5960" s="292"/>
      <c r="C5960" s="312"/>
      <c r="D5960" s="292"/>
      <c r="E5960" s="489"/>
      <c r="F5960" s="489"/>
      <c r="G5960" s="490"/>
      <c r="H5960" s="520"/>
      <c r="I5960" s="523"/>
      <c r="J5960" s="521"/>
      <c r="K5960" s="522"/>
      <c r="M5960" s="301" t="str">
        <f>N5960&amp;AS[[#This Row],[Insurer Code]]&amp;"; "&amp;O5960&amp;AS[[#This Row],[Reporting Year]]&amp;"; "&amp;P5960&amp;AS[[#This Row],[Insurance Category Code]]&amp;"; "&amp;Q5960&amp;AS[[#This Row],[Large Provider Entity Code]]&amp;"; "&amp;R5960&amp;AS[[#This Row],[Age Band Code]]&amp;"; "&amp;S5960&amp;AS[[#This Row],[Sex Code]]</f>
        <v xml:space="preserve">Insurer Code ; Reporting Year ; Insurance Category Code ; Large Provider Entity Code ; Age Band Code ; Sex Code </v>
      </c>
      <c r="N5960" s="297" t="s">
        <v>197</v>
      </c>
      <c r="O5960" s="297" t="s">
        <v>198</v>
      </c>
      <c r="P5960" s="297" t="s">
        <v>199</v>
      </c>
      <c r="Q5960" s="297" t="s">
        <v>200</v>
      </c>
      <c r="R5960" s="297" t="s">
        <v>213</v>
      </c>
      <c r="S5960" s="297" t="s">
        <v>214</v>
      </c>
    </row>
    <row r="5961" spans="1:19" x14ac:dyDescent="0.4">
      <c r="A5961" s="291"/>
      <c r="B5961" s="292"/>
      <c r="C5961" s="312"/>
      <c r="D5961" s="292"/>
      <c r="E5961" s="489"/>
      <c r="F5961" s="489"/>
      <c r="G5961" s="490"/>
      <c r="H5961" s="520"/>
      <c r="I5961" s="523"/>
      <c r="J5961" s="521"/>
      <c r="K5961" s="522"/>
      <c r="M5961" s="301" t="str">
        <f>N5961&amp;AS[[#This Row],[Insurer Code]]&amp;"; "&amp;O5961&amp;AS[[#This Row],[Reporting Year]]&amp;"; "&amp;P5961&amp;AS[[#This Row],[Insurance Category Code]]&amp;"; "&amp;Q5961&amp;AS[[#This Row],[Large Provider Entity Code]]&amp;"; "&amp;R5961&amp;AS[[#This Row],[Age Band Code]]&amp;"; "&amp;S5961&amp;AS[[#This Row],[Sex Code]]</f>
        <v xml:space="preserve">Insurer Code ; Reporting Year ; Insurance Category Code ; Large Provider Entity Code ; Age Band Code ; Sex Code </v>
      </c>
      <c r="N5961" s="297" t="s">
        <v>197</v>
      </c>
      <c r="O5961" s="297" t="s">
        <v>198</v>
      </c>
      <c r="P5961" s="297" t="s">
        <v>199</v>
      </c>
      <c r="Q5961" s="297" t="s">
        <v>200</v>
      </c>
      <c r="R5961" s="297" t="s">
        <v>213</v>
      </c>
      <c r="S5961" s="297" t="s">
        <v>214</v>
      </c>
    </row>
    <row r="5962" spans="1:19" x14ac:dyDescent="0.4">
      <c r="A5962" s="291"/>
      <c r="B5962" s="292"/>
      <c r="C5962" s="312"/>
      <c r="D5962" s="292"/>
      <c r="E5962" s="489"/>
      <c r="F5962" s="489"/>
      <c r="G5962" s="490"/>
      <c r="H5962" s="520"/>
      <c r="I5962" s="523"/>
      <c r="J5962" s="521"/>
      <c r="K5962" s="522"/>
      <c r="M5962" s="301" t="str">
        <f>N5962&amp;AS[[#This Row],[Insurer Code]]&amp;"; "&amp;O5962&amp;AS[[#This Row],[Reporting Year]]&amp;"; "&amp;P5962&amp;AS[[#This Row],[Insurance Category Code]]&amp;"; "&amp;Q5962&amp;AS[[#This Row],[Large Provider Entity Code]]&amp;"; "&amp;R5962&amp;AS[[#This Row],[Age Band Code]]&amp;"; "&amp;S5962&amp;AS[[#This Row],[Sex Code]]</f>
        <v xml:space="preserve">Insurer Code ; Reporting Year ; Insurance Category Code ; Large Provider Entity Code ; Age Band Code ; Sex Code </v>
      </c>
      <c r="N5962" s="297" t="s">
        <v>197</v>
      </c>
      <c r="O5962" s="297" t="s">
        <v>198</v>
      </c>
      <c r="P5962" s="297" t="s">
        <v>199</v>
      </c>
      <c r="Q5962" s="297" t="s">
        <v>200</v>
      </c>
      <c r="R5962" s="297" t="s">
        <v>213</v>
      </c>
      <c r="S5962" s="297" t="s">
        <v>214</v>
      </c>
    </row>
    <row r="5963" spans="1:19" x14ac:dyDescent="0.4">
      <c r="A5963" s="291"/>
      <c r="B5963" s="292"/>
      <c r="C5963" s="312"/>
      <c r="D5963" s="292"/>
      <c r="E5963" s="489"/>
      <c r="F5963" s="489"/>
      <c r="G5963" s="490"/>
      <c r="H5963" s="520"/>
      <c r="I5963" s="523"/>
      <c r="J5963" s="521"/>
      <c r="K5963" s="522"/>
      <c r="M5963" s="301" t="str">
        <f>N5963&amp;AS[[#This Row],[Insurer Code]]&amp;"; "&amp;O5963&amp;AS[[#This Row],[Reporting Year]]&amp;"; "&amp;P5963&amp;AS[[#This Row],[Insurance Category Code]]&amp;"; "&amp;Q5963&amp;AS[[#This Row],[Large Provider Entity Code]]&amp;"; "&amp;R5963&amp;AS[[#This Row],[Age Band Code]]&amp;"; "&amp;S5963&amp;AS[[#This Row],[Sex Code]]</f>
        <v xml:space="preserve">Insurer Code ; Reporting Year ; Insurance Category Code ; Large Provider Entity Code ; Age Band Code ; Sex Code </v>
      </c>
      <c r="N5963" s="297" t="s">
        <v>197</v>
      </c>
      <c r="O5963" s="297" t="s">
        <v>198</v>
      </c>
      <c r="P5963" s="297" t="s">
        <v>199</v>
      </c>
      <c r="Q5963" s="297" t="s">
        <v>200</v>
      </c>
      <c r="R5963" s="297" t="s">
        <v>213</v>
      </c>
      <c r="S5963" s="297" t="s">
        <v>214</v>
      </c>
    </row>
    <row r="5964" spans="1:19" x14ac:dyDescent="0.4">
      <c r="A5964" s="291"/>
      <c r="B5964" s="292"/>
      <c r="C5964" s="312"/>
      <c r="D5964" s="292"/>
      <c r="E5964" s="489"/>
      <c r="F5964" s="489"/>
      <c r="G5964" s="490"/>
      <c r="H5964" s="520"/>
      <c r="I5964" s="523"/>
      <c r="J5964" s="521"/>
      <c r="K5964" s="522"/>
      <c r="M5964" s="301" t="str">
        <f>N5964&amp;AS[[#This Row],[Insurer Code]]&amp;"; "&amp;O5964&amp;AS[[#This Row],[Reporting Year]]&amp;"; "&amp;P5964&amp;AS[[#This Row],[Insurance Category Code]]&amp;"; "&amp;Q5964&amp;AS[[#This Row],[Large Provider Entity Code]]&amp;"; "&amp;R5964&amp;AS[[#This Row],[Age Band Code]]&amp;"; "&amp;S5964&amp;AS[[#This Row],[Sex Code]]</f>
        <v xml:space="preserve">Insurer Code ; Reporting Year ; Insurance Category Code ; Large Provider Entity Code ; Age Band Code ; Sex Code </v>
      </c>
      <c r="N5964" s="297" t="s">
        <v>197</v>
      </c>
      <c r="O5964" s="297" t="s">
        <v>198</v>
      </c>
      <c r="P5964" s="297" t="s">
        <v>199</v>
      </c>
      <c r="Q5964" s="297" t="s">
        <v>200</v>
      </c>
      <c r="R5964" s="297" t="s">
        <v>213</v>
      </c>
      <c r="S5964" s="297" t="s">
        <v>214</v>
      </c>
    </row>
    <row r="5965" spans="1:19" x14ac:dyDescent="0.4">
      <c r="A5965" s="291"/>
      <c r="B5965" s="292"/>
      <c r="C5965" s="312"/>
      <c r="D5965" s="292"/>
      <c r="E5965" s="489"/>
      <c r="F5965" s="489"/>
      <c r="G5965" s="490"/>
      <c r="H5965" s="520"/>
      <c r="I5965" s="523"/>
      <c r="J5965" s="521"/>
      <c r="K5965" s="522"/>
      <c r="M5965" s="301" t="str">
        <f>N5965&amp;AS[[#This Row],[Insurer Code]]&amp;"; "&amp;O5965&amp;AS[[#This Row],[Reporting Year]]&amp;"; "&amp;P5965&amp;AS[[#This Row],[Insurance Category Code]]&amp;"; "&amp;Q5965&amp;AS[[#This Row],[Large Provider Entity Code]]&amp;"; "&amp;R5965&amp;AS[[#This Row],[Age Band Code]]&amp;"; "&amp;S5965&amp;AS[[#This Row],[Sex Code]]</f>
        <v xml:space="preserve">Insurer Code ; Reporting Year ; Insurance Category Code ; Large Provider Entity Code ; Age Band Code ; Sex Code </v>
      </c>
      <c r="N5965" s="297" t="s">
        <v>197</v>
      </c>
      <c r="O5965" s="297" t="s">
        <v>198</v>
      </c>
      <c r="P5965" s="297" t="s">
        <v>199</v>
      </c>
      <c r="Q5965" s="297" t="s">
        <v>200</v>
      </c>
      <c r="R5965" s="297" t="s">
        <v>213</v>
      </c>
      <c r="S5965" s="297" t="s">
        <v>214</v>
      </c>
    </row>
    <row r="5966" spans="1:19" x14ac:dyDescent="0.4">
      <c r="A5966" s="291"/>
      <c r="B5966" s="292"/>
      <c r="C5966" s="312"/>
      <c r="D5966" s="292"/>
      <c r="E5966" s="489"/>
      <c r="F5966" s="489"/>
      <c r="G5966" s="490"/>
      <c r="H5966" s="520"/>
      <c r="I5966" s="523"/>
      <c r="J5966" s="521"/>
      <c r="K5966" s="522"/>
      <c r="M5966" s="301" t="str">
        <f>N5966&amp;AS[[#This Row],[Insurer Code]]&amp;"; "&amp;O5966&amp;AS[[#This Row],[Reporting Year]]&amp;"; "&amp;P5966&amp;AS[[#This Row],[Insurance Category Code]]&amp;"; "&amp;Q5966&amp;AS[[#This Row],[Large Provider Entity Code]]&amp;"; "&amp;R5966&amp;AS[[#This Row],[Age Band Code]]&amp;"; "&amp;S5966&amp;AS[[#This Row],[Sex Code]]</f>
        <v xml:space="preserve">Insurer Code ; Reporting Year ; Insurance Category Code ; Large Provider Entity Code ; Age Band Code ; Sex Code </v>
      </c>
      <c r="N5966" s="297" t="s">
        <v>197</v>
      </c>
      <c r="O5966" s="297" t="s">
        <v>198</v>
      </c>
      <c r="P5966" s="297" t="s">
        <v>199</v>
      </c>
      <c r="Q5966" s="297" t="s">
        <v>200</v>
      </c>
      <c r="R5966" s="297" t="s">
        <v>213</v>
      </c>
      <c r="S5966" s="297" t="s">
        <v>214</v>
      </c>
    </row>
    <row r="5967" spans="1:19" x14ac:dyDescent="0.4">
      <c r="A5967" s="291"/>
      <c r="B5967" s="292"/>
      <c r="C5967" s="312"/>
      <c r="D5967" s="292"/>
      <c r="E5967" s="489"/>
      <c r="F5967" s="489"/>
      <c r="G5967" s="490"/>
      <c r="H5967" s="520"/>
      <c r="I5967" s="523"/>
      <c r="J5967" s="521"/>
      <c r="K5967" s="522"/>
      <c r="M5967" s="301" t="str">
        <f>N5967&amp;AS[[#This Row],[Insurer Code]]&amp;"; "&amp;O5967&amp;AS[[#This Row],[Reporting Year]]&amp;"; "&amp;P5967&amp;AS[[#This Row],[Insurance Category Code]]&amp;"; "&amp;Q5967&amp;AS[[#This Row],[Large Provider Entity Code]]&amp;"; "&amp;R5967&amp;AS[[#This Row],[Age Band Code]]&amp;"; "&amp;S5967&amp;AS[[#This Row],[Sex Code]]</f>
        <v xml:space="preserve">Insurer Code ; Reporting Year ; Insurance Category Code ; Large Provider Entity Code ; Age Band Code ; Sex Code </v>
      </c>
      <c r="N5967" s="297" t="s">
        <v>197</v>
      </c>
      <c r="O5967" s="297" t="s">
        <v>198</v>
      </c>
      <c r="P5967" s="297" t="s">
        <v>199</v>
      </c>
      <c r="Q5967" s="297" t="s">
        <v>200</v>
      </c>
      <c r="R5967" s="297" t="s">
        <v>213</v>
      </c>
      <c r="S5967" s="297" t="s">
        <v>214</v>
      </c>
    </row>
    <row r="5968" spans="1:19" x14ac:dyDescent="0.4">
      <c r="A5968" s="291"/>
      <c r="B5968" s="292"/>
      <c r="C5968" s="312"/>
      <c r="D5968" s="292"/>
      <c r="E5968" s="489"/>
      <c r="F5968" s="489"/>
      <c r="G5968" s="490"/>
      <c r="H5968" s="520"/>
      <c r="I5968" s="523"/>
      <c r="J5968" s="521"/>
      <c r="K5968" s="522"/>
      <c r="M5968" s="301" t="str">
        <f>N5968&amp;AS[[#This Row],[Insurer Code]]&amp;"; "&amp;O5968&amp;AS[[#This Row],[Reporting Year]]&amp;"; "&amp;P5968&amp;AS[[#This Row],[Insurance Category Code]]&amp;"; "&amp;Q5968&amp;AS[[#This Row],[Large Provider Entity Code]]&amp;"; "&amp;R5968&amp;AS[[#This Row],[Age Band Code]]&amp;"; "&amp;S5968&amp;AS[[#This Row],[Sex Code]]</f>
        <v xml:space="preserve">Insurer Code ; Reporting Year ; Insurance Category Code ; Large Provider Entity Code ; Age Band Code ; Sex Code </v>
      </c>
      <c r="N5968" s="297" t="s">
        <v>197</v>
      </c>
      <c r="O5968" s="297" t="s">
        <v>198</v>
      </c>
      <c r="P5968" s="297" t="s">
        <v>199</v>
      </c>
      <c r="Q5968" s="297" t="s">
        <v>200</v>
      </c>
      <c r="R5968" s="297" t="s">
        <v>213</v>
      </c>
      <c r="S5968" s="297" t="s">
        <v>214</v>
      </c>
    </row>
    <row r="5969" spans="1:19" x14ac:dyDescent="0.4">
      <c r="A5969" s="291"/>
      <c r="B5969" s="292"/>
      <c r="C5969" s="312"/>
      <c r="D5969" s="292"/>
      <c r="E5969" s="489"/>
      <c r="F5969" s="489"/>
      <c r="G5969" s="490"/>
      <c r="H5969" s="520"/>
      <c r="I5969" s="523"/>
      <c r="J5969" s="521"/>
      <c r="K5969" s="522"/>
      <c r="M5969" s="301" t="str">
        <f>N5969&amp;AS[[#This Row],[Insurer Code]]&amp;"; "&amp;O5969&amp;AS[[#This Row],[Reporting Year]]&amp;"; "&amp;P5969&amp;AS[[#This Row],[Insurance Category Code]]&amp;"; "&amp;Q5969&amp;AS[[#This Row],[Large Provider Entity Code]]&amp;"; "&amp;R5969&amp;AS[[#This Row],[Age Band Code]]&amp;"; "&amp;S5969&amp;AS[[#This Row],[Sex Code]]</f>
        <v xml:space="preserve">Insurer Code ; Reporting Year ; Insurance Category Code ; Large Provider Entity Code ; Age Band Code ; Sex Code </v>
      </c>
      <c r="N5969" s="297" t="s">
        <v>197</v>
      </c>
      <c r="O5969" s="297" t="s">
        <v>198</v>
      </c>
      <c r="P5969" s="297" t="s">
        <v>199</v>
      </c>
      <c r="Q5969" s="297" t="s">
        <v>200</v>
      </c>
      <c r="R5969" s="297" t="s">
        <v>213</v>
      </c>
      <c r="S5969" s="297" t="s">
        <v>214</v>
      </c>
    </row>
    <row r="5970" spans="1:19" x14ac:dyDescent="0.4">
      <c r="A5970" s="291"/>
      <c r="B5970" s="292"/>
      <c r="C5970" s="312"/>
      <c r="D5970" s="292"/>
      <c r="E5970" s="489"/>
      <c r="F5970" s="489"/>
      <c r="G5970" s="490"/>
      <c r="H5970" s="520"/>
      <c r="I5970" s="523"/>
      <c r="J5970" s="521"/>
      <c r="K5970" s="522"/>
      <c r="M5970" s="301" t="str">
        <f>N5970&amp;AS[[#This Row],[Insurer Code]]&amp;"; "&amp;O5970&amp;AS[[#This Row],[Reporting Year]]&amp;"; "&amp;P5970&amp;AS[[#This Row],[Insurance Category Code]]&amp;"; "&amp;Q5970&amp;AS[[#This Row],[Large Provider Entity Code]]&amp;"; "&amp;R5970&amp;AS[[#This Row],[Age Band Code]]&amp;"; "&amp;S5970&amp;AS[[#This Row],[Sex Code]]</f>
        <v xml:space="preserve">Insurer Code ; Reporting Year ; Insurance Category Code ; Large Provider Entity Code ; Age Band Code ; Sex Code </v>
      </c>
      <c r="N5970" s="297" t="s">
        <v>197</v>
      </c>
      <c r="O5970" s="297" t="s">
        <v>198</v>
      </c>
      <c r="P5970" s="297" t="s">
        <v>199</v>
      </c>
      <c r="Q5970" s="297" t="s">
        <v>200</v>
      </c>
      <c r="R5970" s="297" t="s">
        <v>213</v>
      </c>
      <c r="S5970" s="297" t="s">
        <v>214</v>
      </c>
    </row>
    <row r="5971" spans="1:19" x14ac:dyDescent="0.4">
      <c r="A5971" s="291"/>
      <c r="B5971" s="292"/>
      <c r="C5971" s="312"/>
      <c r="D5971" s="292"/>
      <c r="E5971" s="489"/>
      <c r="F5971" s="489"/>
      <c r="G5971" s="490"/>
      <c r="H5971" s="520"/>
      <c r="I5971" s="523"/>
      <c r="J5971" s="521"/>
      <c r="K5971" s="522"/>
      <c r="M5971" s="301" t="str">
        <f>N5971&amp;AS[[#This Row],[Insurer Code]]&amp;"; "&amp;O5971&amp;AS[[#This Row],[Reporting Year]]&amp;"; "&amp;P5971&amp;AS[[#This Row],[Insurance Category Code]]&amp;"; "&amp;Q5971&amp;AS[[#This Row],[Large Provider Entity Code]]&amp;"; "&amp;R5971&amp;AS[[#This Row],[Age Band Code]]&amp;"; "&amp;S5971&amp;AS[[#This Row],[Sex Code]]</f>
        <v xml:space="preserve">Insurer Code ; Reporting Year ; Insurance Category Code ; Large Provider Entity Code ; Age Band Code ; Sex Code </v>
      </c>
      <c r="N5971" s="297" t="s">
        <v>197</v>
      </c>
      <c r="O5971" s="297" t="s">
        <v>198</v>
      </c>
      <c r="P5971" s="297" t="s">
        <v>199</v>
      </c>
      <c r="Q5971" s="297" t="s">
        <v>200</v>
      </c>
      <c r="R5971" s="297" t="s">
        <v>213</v>
      </c>
      <c r="S5971" s="297" t="s">
        <v>214</v>
      </c>
    </row>
    <row r="5972" spans="1:19" x14ac:dyDescent="0.4">
      <c r="A5972" s="291"/>
      <c r="B5972" s="292"/>
      <c r="C5972" s="312"/>
      <c r="D5972" s="292"/>
      <c r="E5972" s="489"/>
      <c r="F5972" s="489"/>
      <c r="G5972" s="490"/>
      <c r="H5972" s="520"/>
      <c r="I5972" s="523"/>
      <c r="J5972" s="521"/>
      <c r="K5972" s="522"/>
      <c r="M5972" s="301" t="str">
        <f>N5972&amp;AS[[#This Row],[Insurer Code]]&amp;"; "&amp;O5972&amp;AS[[#This Row],[Reporting Year]]&amp;"; "&amp;P5972&amp;AS[[#This Row],[Insurance Category Code]]&amp;"; "&amp;Q5972&amp;AS[[#This Row],[Large Provider Entity Code]]&amp;"; "&amp;R5972&amp;AS[[#This Row],[Age Band Code]]&amp;"; "&amp;S5972&amp;AS[[#This Row],[Sex Code]]</f>
        <v xml:space="preserve">Insurer Code ; Reporting Year ; Insurance Category Code ; Large Provider Entity Code ; Age Band Code ; Sex Code </v>
      </c>
      <c r="N5972" s="297" t="s">
        <v>197</v>
      </c>
      <c r="O5972" s="297" t="s">
        <v>198</v>
      </c>
      <c r="P5972" s="297" t="s">
        <v>199</v>
      </c>
      <c r="Q5972" s="297" t="s">
        <v>200</v>
      </c>
      <c r="R5972" s="297" t="s">
        <v>213</v>
      </c>
      <c r="S5972" s="297" t="s">
        <v>214</v>
      </c>
    </row>
    <row r="5973" spans="1:19" x14ac:dyDescent="0.4">
      <c r="A5973" s="291"/>
      <c r="B5973" s="292"/>
      <c r="C5973" s="312"/>
      <c r="D5973" s="292"/>
      <c r="E5973" s="489"/>
      <c r="F5973" s="489"/>
      <c r="G5973" s="490"/>
      <c r="H5973" s="520"/>
      <c r="I5973" s="523"/>
      <c r="J5973" s="521"/>
      <c r="K5973" s="522"/>
      <c r="M5973" s="301" t="str">
        <f>N5973&amp;AS[[#This Row],[Insurer Code]]&amp;"; "&amp;O5973&amp;AS[[#This Row],[Reporting Year]]&amp;"; "&amp;P5973&amp;AS[[#This Row],[Insurance Category Code]]&amp;"; "&amp;Q5973&amp;AS[[#This Row],[Large Provider Entity Code]]&amp;"; "&amp;R5973&amp;AS[[#This Row],[Age Band Code]]&amp;"; "&amp;S5973&amp;AS[[#This Row],[Sex Code]]</f>
        <v xml:space="preserve">Insurer Code ; Reporting Year ; Insurance Category Code ; Large Provider Entity Code ; Age Band Code ; Sex Code </v>
      </c>
      <c r="N5973" s="297" t="s">
        <v>197</v>
      </c>
      <c r="O5973" s="297" t="s">
        <v>198</v>
      </c>
      <c r="P5973" s="297" t="s">
        <v>199</v>
      </c>
      <c r="Q5973" s="297" t="s">
        <v>200</v>
      </c>
      <c r="R5973" s="297" t="s">
        <v>213</v>
      </c>
      <c r="S5973" s="297" t="s">
        <v>214</v>
      </c>
    </row>
    <row r="5974" spans="1:19" x14ac:dyDescent="0.4">
      <c r="A5974" s="291"/>
      <c r="B5974" s="292"/>
      <c r="C5974" s="312"/>
      <c r="D5974" s="292"/>
      <c r="E5974" s="489"/>
      <c r="F5974" s="489"/>
      <c r="G5974" s="490"/>
      <c r="H5974" s="520"/>
      <c r="I5974" s="523"/>
      <c r="J5974" s="521"/>
      <c r="K5974" s="522"/>
      <c r="M5974" s="301" t="str">
        <f>N5974&amp;AS[[#This Row],[Insurer Code]]&amp;"; "&amp;O5974&amp;AS[[#This Row],[Reporting Year]]&amp;"; "&amp;P5974&amp;AS[[#This Row],[Insurance Category Code]]&amp;"; "&amp;Q5974&amp;AS[[#This Row],[Large Provider Entity Code]]&amp;"; "&amp;R5974&amp;AS[[#This Row],[Age Band Code]]&amp;"; "&amp;S5974&amp;AS[[#This Row],[Sex Code]]</f>
        <v xml:space="preserve">Insurer Code ; Reporting Year ; Insurance Category Code ; Large Provider Entity Code ; Age Band Code ; Sex Code </v>
      </c>
      <c r="N5974" s="297" t="s">
        <v>197</v>
      </c>
      <c r="O5974" s="297" t="s">
        <v>198</v>
      </c>
      <c r="P5974" s="297" t="s">
        <v>199</v>
      </c>
      <c r="Q5974" s="297" t="s">
        <v>200</v>
      </c>
      <c r="R5974" s="297" t="s">
        <v>213</v>
      </c>
      <c r="S5974" s="297" t="s">
        <v>214</v>
      </c>
    </row>
    <row r="5975" spans="1:19" x14ac:dyDescent="0.4">
      <c r="A5975" s="291"/>
      <c r="B5975" s="292"/>
      <c r="C5975" s="312"/>
      <c r="D5975" s="292"/>
      <c r="E5975" s="489"/>
      <c r="F5975" s="489"/>
      <c r="G5975" s="490"/>
      <c r="H5975" s="520"/>
      <c r="I5975" s="523"/>
      <c r="J5975" s="521"/>
      <c r="K5975" s="522"/>
      <c r="M5975" s="301" t="str">
        <f>N5975&amp;AS[[#This Row],[Insurer Code]]&amp;"; "&amp;O5975&amp;AS[[#This Row],[Reporting Year]]&amp;"; "&amp;P5975&amp;AS[[#This Row],[Insurance Category Code]]&amp;"; "&amp;Q5975&amp;AS[[#This Row],[Large Provider Entity Code]]&amp;"; "&amp;R5975&amp;AS[[#This Row],[Age Band Code]]&amp;"; "&amp;S5975&amp;AS[[#This Row],[Sex Code]]</f>
        <v xml:space="preserve">Insurer Code ; Reporting Year ; Insurance Category Code ; Large Provider Entity Code ; Age Band Code ; Sex Code </v>
      </c>
      <c r="N5975" s="297" t="s">
        <v>197</v>
      </c>
      <c r="O5975" s="297" t="s">
        <v>198</v>
      </c>
      <c r="P5975" s="297" t="s">
        <v>199</v>
      </c>
      <c r="Q5975" s="297" t="s">
        <v>200</v>
      </c>
      <c r="R5975" s="297" t="s">
        <v>213</v>
      </c>
      <c r="S5975" s="297" t="s">
        <v>214</v>
      </c>
    </row>
    <row r="5976" spans="1:19" x14ac:dyDescent="0.4">
      <c r="A5976" s="291"/>
      <c r="B5976" s="292"/>
      <c r="C5976" s="312"/>
      <c r="D5976" s="292"/>
      <c r="E5976" s="489"/>
      <c r="F5976" s="489"/>
      <c r="G5976" s="490"/>
      <c r="H5976" s="520"/>
      <c r="I5976" s="523"/>
      <c r="J5976" s="521"/>
      <c r="K5976" s="522"/>
      <c r="M5976" s="301" t="str">
        <f>N5976&amp;AS[[#This Row],[Insurer Code]]&amp;"; "&amp;O5976&amp;AS[[#This Row],[Reporting Year]]&amp;"; "&amp;P5976&amp;AS[[#This Row],[Insurance Category Code]]&amp;"; "&amp;Q5976&amp;AS[[#This Row],[Large Provider Entity Code]]&amp;"; "&amp;R5976&amp;AS[[#This Row],[Age Band Code]]&amp;"; "&amp;S5976&amp;AS[[#This Row],[Sex Code]]</f>
        <v xml:space="preserve">Insurer Code ; Reporting Year ; Insurance Category Code ; Large Provider Entity Code ; Age Band Code ; Sex Code </v>
      </c>
      <c r="N5976" s="297" t="s">
        <v>197</v>
      </c>
      <c r="O5976" s="297" t="s">
        <v>198</v>
      </c>
      <c r="P5976" s="297" t="s">
        <v>199</v>
      </c>
      <c r="Q5976" s="297" t="s">
        <v>200</v>
      </c>
      <c r="R5976" s="297" t="s">
        <v>213</v>
      </c>
      <c r="S5976" s="297" t="s">
        <v>214</v>
      </c>
    </row>
    <row r="5977" spans="1:19" x14ac:dyDescent="0.4">
      <c r="A5977" s="291"/>
      <c r="B5977" s="292"/>
      <c r="C5977" s="312"/>
      <c r="D5977" s="292"/>
      <c r="E5977" s="489"/>
      <c r="F5977" s="489"/>
      <c r="G5977" s="490"/>
      <c r="H5977" s="520"/>
      <c r="I5977" s="523"/>
      <c r="J5977" s="521"/>
      <c r="K5977" s="522"/>
      <c r="M5977" s="301" t="str">
        <f>N5977&amp;AS[[#This Row],[Insurer Code]]&amp;"; "&amp;O5977&amp;AS[[#This Row],[Reporting Year]]&amp;"; "&amp;P5977&amp;AS[[#This Row],[Insurance Category Code]]&amp;"; "&amp;Q5977&amp;AS[[#This Row],[Large Provider Entity Code]]&amp;"; "&amp;R5977&amp;AS[[#This Row],[Age Band Code]]&amp;"; "&amp;S5977&amp;AS[[#This Row],[Sex Code]]</f>
        <v xml:space="preserve">Insurer Code ; Reporting Year ; Insurance Category Code ; Large Provider Entity Code ; Age Band Code ; Sex Code </v>
      </c>
      <c r="N5977" s="297" t="s">
        <v>197</v>
      </c>
      <c r="O5977" s="297" t="s">
        <v>198</v>
      </c>
      <c r="P5977" s="297" t="s">
        <v>199</v>
      </c>
      <c r="Q5977" s="297" t="s">
        <v>200</v>
      </c>
      <c r="R5977" s="297" t="s">
        <v>213</v>
      </c>
      <c r="S5977" s="297" t="s">
        <v>214</v>
      </c>
    </row>
    <row r="5978" spans="1:19" x14ac:dyDescent="0.4">
      <c r="A5978" s="291"/>
      <c r="B5978" s="292"/>
      <c r="C5978" s="312"/>
      <c r="D5978" s="292"/>
      <c r="E5978" s="489"/>
      <c r="F5978" s="489"/>
      <c r="G5978" s="490"/>
      <c r="H5978" s="520"/>
      <c r="I5978" s="523"/>
      <c r="J5978" s="521"/>
      <c r="K5978" s="522"/>
      <c r="M5978" s="301" t="str">
        <f>N5978&amp;AS[[#This Row],[Insurer Code]]&amp;"; "&amp;O5978&amp;AS[[#This Row],[Reporting Year]]&amp;"; "&amp;P5978&amp;AS[[#This Row],[Insurance Category Code]]&amp;"; "&amp;Q5978&amp;AS[[#This Row],[Large Provider Entity Code]]&amp;"; "&amp;R5978&amp;AS[[#This Row],[Age Band Code]]&amp;"; "&amp;S5978&amp;AS[[#This Row],[Sex Code]]</f>
        <v xml:space="preserve">Insurer Code ; Reporting Year ; Insurance Category Code ; Large Provider Entity Code ; Age Band Code ; Sex Code </v>
      </c>
      <c r="N5978" s="297" t="s">
        <v>197</v>
      </c>
      <c r="O5978" s="297" t="s">
        <v>198</v>
      </c>
      <c r="P5978" s="297" t="s">
        <v>199</v>
      </c>
      <c r="Q5978" s="297" t="s">
        <v>200</v>
      </c>
      <c r="R5978" s="297" t="s">
        <v>213</v>
      </c>
      <c r="S5978" s="297" t="s">
        <v>214</v>
      </c>
    </row>
    <row r="5979" spans="1:19" x14ac:dyDescent="0.4">
      <c r="A5979" s="291"/>
      <c r="B5979" s="292"/>
      <c r="C5979" s="312"/>
      <c r="D5979" s="292"/>
      <c r="E5979" s="489"/>
      <c r="F5979" s="489"/>
      <c r="G5979" s="490"/>
      <c r="H5979" s="520"/>
      <c r="I5979" s="523"/>
      <c r="J5979" s="521"/>
      <c r="K5979" s="522"/>
      <c r="M5979" s="301" t="str">
        <f>N5979&amp;AS[[#This Row],[Insurer Code]]&amp;"; "&amp;O5979&amp;AS[[#This Row],[Reporting Year]]&amp;"; "&amp;P5979&amp;AS[[#This Row],[Insurance Category Code]]&amp;"; "&amp;Q5979&amp;AS[[#This Row],[Large Provider Entity Code]]&amp;"; "&amp;R5979&amp;AS[[#This Row],[Age Band Code]]&amp;"; "&amp;S5979&amp;AS[[#This Row],[Sex Code]]</f>
        <v xml:space="preserve">Insurer Code ; Reporting Year ; Insurance Category Code ; Large Provider Entity Code ; Age Band Code ; Sex Code </v>
      </c>
      <c r="N5979" s="297" t="s">
        <v>197</v>
      </c>
      <c r="O5979" s="297" t="s">
        <v>198</v>
      </c>
      <c r="P5979" s="297" t="s">
        <v>199</v>
      </c>
      <c r="Q5979" s="297" t="s">
        <v>200</v>
      </c>
      <c r="R5979" s="297" t="s">
        <v>213</v>
      </c>
      <c r="S5979" s="297" t="s">
        <v>214</v>
      </c>
    </row>
    <row r="5980" spans="1:19" x14ac:dyDescent="0.4">
      <c r="A5980" s="291"/>
      <c r="B5980" s="292"/>
      <c r="C5980" s="312"/>
      <c r="D5980" s="292"/>
      <c r="E5980" s="489"/>
      <c r="F5980" s="489"/>
      <c r="G5980" s="490"/>
      <c r="H5980" s="520"/>
      <c r="I5980" s="523"/>
      <c r="J5980" s="521"/>
      <c r="K5980" s="522"/>
      <c r="M5980" s="301" t="str">
        <f>N5980&amp;AS[[#This Row],[Insurer Code]]&amp;"; "&amp;O5980&amp;AS[[#This Row],[Reporting Year]]&amp;"; "&amp;P5980&amp;AS[[#This Row],[Insurance Category Code]]&amp;"; "&amp;Q5980&amp;AS[[#This Row],[Large Provider Entity Code]]&amp;"; "&amp;R5980&amp;AS[[#This Row],[Age Band Code]]&amp;"; "&amp;S5980&amp;AS[[#This Row],[Sex Code]]</f>
        <v xml:space="preserve">Insurer Code ; Reporting Year ; Insurance Category Code ; Large Provider Entity Code ; Age Band Code ; Sex Code </v>
      </c>
      <c r="N5980" s="297" t="s">
        <v>197</v>
      </c>
      <c r="O5980" s="297" t="s">
        <v>198</v>
      </c>
      <c r="P5980" s="297" t="s">
        <v>199</v>
      </c>
      <c r="Q5980" s="297" t="s">
        <v>200</v>
      </c>
      <c r="R5980" s="297" t="s">
        <v>213</v>
      </c>
      <c r="S5980" s="297" t="s">
        <v>214</v>
      </c>
    </row>
    <row r="5981" spans="1:19" x14ac:dyDescent="0.4">
      <c r="A5981" s="291"/>
      <c r="B5981" s="292"/>
      <c r="C5981" s="312"/>
      <c r="D5981" s="292"/>
      <c r="E5981" s="489"/>
      <c r="F5981" s="489"/>
      <c r="G5981" s="490"/>
      <c r="H5981" s="520"/>
      <c r="I5981" s="523"/>
      <c r="J5981" s="521"/>
      <c r="K5981" s="522"/>
      <c r="M5981" s="301" t="str">
        <f>N5981&amp;AS[[#This Row],[Insurer Code]]&amp;"; "&amp;O5981&amp;AS[[#This Row],[Reporting Year]]&amp;"; "&amp;P5981&amp;AS[[#This Row],[Insurance Category Code]]&amp;"; "&amp;Q5981&amp;AS[[#This Row],[Large Provider Entity Code]]&amp;"; "&amp;R5981&amp;AS[[#This Row],[Age Band Code]]&amp;"; "&amp;S5981&amp;AS[[#This Row],[Sex Code]]</f>
        <v xml:space="preserve">Insurer Code ; Reporting Year ; Insurance Category Code ; Large Provider Entity Code ; Age Band Code ; Sex Code </v>
      </c>
      <c r="N5981" s="297" t="s">
        <v>197</v>
      </c>
      <c r="O5981" s="297" t="s">
        <v>198</v>
      </c>
      <c r="P5981" s="297" t="s">
        <v>199</v>
      </c>
      <c r="Q5981" s="297" t="s">
        <v>200</v>
      </c>
      <c r="R5981" s="297" t="s">
        <v>213</v>
      </c>
      <c r="S5981" s="297" t="s">
        <v>214</v>
      </c>
    </row>
    <row r="5982" spans="1:19" x14ac:dyDescent="0.4">
      <c r="A5982" s="291"/>
      <c r="B5982" s="292"/>
      <c r="C5982" s="312"/>
      <c r="D5982" s="292"/>
      <c r="E5982" s="489"/>
      <c r="F5982" s="489"/>
      <c r="G5982" s="490"/>
      <c r="H5982" s="520"/>
      <c r="I5982" s="523"/>
      <c r="J5982" s="521"/>
      <c r="K5982" s="522"/>
      <c r="M5982" s="301" t="str">
        <f>N5982&amp;AS[[#This Row],[Insurer Code]]&amp;"; "&amp;O5982&amp;AS[[#This Row],[Reporting Year]]&amp;"; "&amp;P5982&amp;AS[[#This Row],[Insurance Category Code]]&amp;"; "&amp;Q5982&amp;AS[[#This Row],[Large Provider Entity Code]]&amp;"; "&amp;R5982&amp;AS[[#This Row],[Age Band Code]]&amp;"; "&amp;S5982&amp;AS[[#This Row],[Sex Code]]</f>
        <v xml:space="preserve">Insurer Code ; Reporting Year ; Insurance Category Code ; Large Provider Entity Code ; Age Band Code ; Sex Code </v>
      </c>
      <c r="N5982" s="297" t="s">
        <v>197</v>
      </c>
      <c r="O5982" s="297" t="s">
        <v>198</v>
      </c>
      <c r="P5982" s="297" t="s">
        <v>199</v>
      </c>
      <c r="Q5982" s="297" t="s">
        <v>200</v>
      </c>
      <c r="R5982" s="297" t="s">
        <v>213</v>
      </c>
      <c r="S5982" s="297" t="s">
        <v>214</v>
      </c>
    </row>
    <row r="5983" spans="1:19" x14ac:dyDescent="0.4">
      <c r="A5983" s="291"/>
      <c r="B5983" s="292"/>
      <c r="C5983" s="312"/>
      <c r="D5983" s="292"/>
      <c r="E5983" s="489"/>
      <c r="F5983" s="489"/>
      <c r="G5983" s="490"/>
      <c r="H5983" s="520"/>
      <c r="I5983" s="523"/>
      <c r="J5983" s="521"/>
      <c r="K5983" s="522"/>
      <c r="M5983" s="301" t="str">
        <f>N5983&amp;AS[[#This Row],[Insurer Code]]&amp;"; "&amp;O5983&amp;AS[[#This Row],[Reporting Year]]&amp;"; "&amp;P5983&amp;AS[[#This Row],[Insurance Category Code]]&amp;"; "&amp;Q5983&amp;AS[[#This Row],[Large Provider Entity Code]]&amp;"; "&amp;R5983&amp;AS[[#This Row],[Age Band Code]]&amp;"; "&amp;S5983&amp;AS[[#This Row],[Sex Code]]</f>
        <v xml:space="preserve">Insurer Code ; Reporting Year ; Insurance Category Code ; Large Provider Entity Code ; Age Band Code ; Sex Code </v>
      </c>
      <c r="N5983" s="297" t="s">
        <v>197</v>
      </c>
      <c r="O5983" s="297" t="s">
        <v>198</v>
      </c>
      <c r="P5983" s="297" t="s">
        <v>199</v>
      </c>
      <c r="Q5983" s="297" t="s">
        <v>200</v>
      </c>
      <c r="R5983" s="297" t="s">
        <v>213</v>
      </c>
      <c r="S5983" s="297" t="s">
        <v>214</v>
      </c>
    </row>
    <row r="5984" spans="1:19" x14ac:dyDescent="0.4">
      <c r="A5984" s="291"/>
      <c r="B5984" s="292"/>
      <c r="C5984" s="312"/>
      <c r="D5984" s="292"/>
      <c r="E5984" s="489"/>
      <c r="F5984" s="489"/>
      <c r="G5984" s="490"/>
      <c r="H5984" s="520"/>
      <c r="I5984" s="523"/>
      <c r="J5984" s="521"/>
      <c r="K5984" s="522"/>
      <c r="M5984" s="301" t="str">
        <f>N5984&amp;AS[[#This Row],[Insurer Code]]&amp;"; "&amp;O5984&amp;AS[[#This Row],[Reporting Year]]&amp;"; "&amp;P5984&amp;AS[[#This Row],[Insurance Category Code]]&amp;"; "&amp;Q5984&amp;AS[[#This Row],[Large Provider Entity Code]]&amp;"; "&amp;R5984&amp;AS[[#This Row],[Age Band Code]]&amp;"; "&amp;S5984&amp;AS[[#This Row],[Sex Code]]</f>
        <v xml:space="preserve">Insurer Code ; Reporting Year ; Insurance Category Code ; Large Provider Entity Code ; Age Band Code ; Sex Code </v>
      </c>
      <c r="N5984" s="297" t="s">
        <v>197</v>
      </c>
      <c r="O5984" s="297" t="s">
        <v>198</v>
      </c>
      <c r="P5984" s="297" t="s">
        <v>199</v>
      </c>
      <c r="Q5984" s="297" t="s">
        <v>200</v>
      </c>
      <c r="R5984" s="297" t="s">
        <v>213</v>
      </c>
      <c r="S5984" s="297" t="s">
        <v>214</v>
      </c>
    </row>
    <row r="5985" spans="1:19" x14ac:dyDescent="0.4">
      <c r="A5985" s="291"/>
      <c r="B5985" s="292"/>
      <c r="C5985" s="312"/>
      <c r="D5985" s="292"/>
      <c r="E5985" s="489"/>
      <c r="F5985" s="489"/>
      <c r="G5985" s="490"/>
      <c r="H5985" s="520"/>
      <c r="I5985" s="523"/>
      <c r="J5985" s="521"/>
      <c r="K5985" s="522"/>
      <c r="M5985" s="301" t="str">
        <f>N5985&amp;AS[[#This Row],[Insurer Code]]&amp;"; "&amp;O5985&amp;AS[[#This Row],[Reporting Year]]&amp;"; "&amp;P5985&amp;AS[[#This Row],[Insurance Category Code]]&amp;"; "&amp;Q5985&amp;AS[[#This Row],[Large Provider Entity Code]]&amp;"; "&amp;R5985&amp;AS[[#This Row],[Age Band Code]]&amp;"; "&amp;S5985&amp;AS[[#This Row],[Sex Code]]</f>
        <v xml:space="preserve">Insurer Code ; Reporting Year ; Insurance Category Code ; Large Provider Entity Code ; Age Band Code ; Sex Code </v>
      </c>
      <c r="N5985" s="297" t="s">
        <v>197</v>
      </c>
      <c r="O5985" s="297" t="s">
        <v>198</v>
      </c>
      <c r="P5985" s="297" t="s">
        <v>199</v>
      </c>
      <c r="Q5985" s="297" t="s">
        <v>200</v>
      </c>
      <c r="R5985" s="297" t="s">
        <v>213</v>
      </c>
      <c r="S5985" s="297" t="s">
        <v>214</v>
      </c>
    </row>
    <row r="5986" spans="1:19" x14ac:dyDescent="0.4">
      <c r="A5986" s="291"/>
      <c r="B5986" s="292"/>
      <c r="C5986" s="312"/>
      <c r="D5986" s="292"/>
      <c r="E5986" s="489"/>
      <c r="F5986" s="489"/>
      <c r="G5986" s="490"/>
      <c r="H5986" s="520"/>
      <c r="I5986" s="523"/>
      <c r="J5986" s="521"/>
      <c r="K5986" s="522"/>
      <c r="M5986" s="301" t="str">
        <f>N5986&amp;AS[[#This Row],[Insurer Code]]&amp;"; "&amp;O5986&amp;AS[[#This Row],[Reporting Year]]&amp;"; "&amp;P5986&amp;AS[[#This Row],[Insurance Category Code]]&amp;"; "&amp;Q5986&amp;AS[[#This Row],[Large Provider Entity Code]]&amp;"; "&amp;R5986&amp;AS[[#This Row],[Age Band Code]]&amp;"; "&amp;S5986&amp;AS[[#This Row],[Sex Code]]</f>
        <v xml:space="preserve">Insurer Code ; Reporting Year ; Insurance Category Code ; Large Provider Entity Code ; Age Band Code ; Sex Code </v>
      </c>
      <c r="N5986" s="297" t="s">
        <v>197</v>
      </c>
      <c r="O5986" s="297" t="s">
        <v>198</v>
      </c>
      <c r="P5986" s="297" t="s">
        <v>199</v>
      </c>
      <c r="Q5986" s="297" t="s">
        <v>200</v>
      </c>
      <c r="R5986" s="297" t="s">
        <v>213</v>
      </c>
      <c r="S5986" s="297" t="s">
        <v>214</v>
      </c>
    </row>
    <row r="5987" spans="1:19" x14ac:dyDescent="0.4">
      <c r="A5987" s="291"/>
      <c r="B5987" s="292"/>
      <c r="C5987" s="312"/>
      <c r="D5987" s="292"/>
      <c r="E5987" s="489"/>
      <c r="F5987" s="489"/>
      <c r="G5987" s="490"/>
      <c r="H5987" s="520"/>
      <c r="I5987" s="523"/>
      <c r="J5987" s="521"/>
      <c r="K5987" s="522"/>
      <c r="M5987" s="301" t="str">
        <f>N5987&amp;AS[[#This Row],[Insurer Code]]&amp;"; "&amp;O5987&amp;AS[[#This Row],[Reporting Year]]&amp;"; "&amp;P5987&amp;AS[[#This Row],[Insurance Category Code]]&amp;"; "&amp;Q5987&amp;AS[[#This Row],[Large Provider Entity Code]]&amp;"; "&amp;R5987&amp;AS[[#This Row],[Age Band Code]]&amp;"; "&amp;S5987&amp;AS[[#This Row],[Sex Code]]</f>
        <v xml:space="preserve">Insurer Code ; Reporting Year ; Insurance Category Code ; Large Provider Entity Code ; Age Band Code ; Sex Code </v>
      </c>
      <c r="N5987" s="297" t="s">
        <v>197</v>
      </c>
      <c r="O5987" s="297" t="s">
        <v>198</v>
      </c>
      <c r="P5987" s="297" t="s">
        <v>199</v>
      </c>
      <c r="Q5987" s="297" t="s">
        <v>200</v>
      </c>
      <c r="R5987" s="297" t="s">
        <v>213</v>
      </c>
      <c r="S5987" s="297" t="s">
        <v>214</v>
      </c>
    </row>
    <row r="5988" spans="1:19" x14ac:dyDescent="0.4">
      <c r="A5988" s="291"/>
      <c r="B5988" s="292"/>
      <c r="C5988" s="312"/>
      <c r="D5988" s="292"/>
      <c r="E5988" s="489"/>
      <c r="F5988" s="489"/>
      <c r="G5988" s="490"/>
      <c r="H5988" s="520"/>
      <c r="I5988" s="523"/>
      <c r="J5988" s="521"/>
      <c r="K5988" s="522"/>
      <c r="M5988" s="301" t="str">
        <f>N5988&amp;AS[[#This Row],[Insurer Code]]&amp;"; "&amp;O5988&amp;AS[[#This Row],[Reporting Year]]&amp;"; "&amp;P5988&amp;AS[[#This Row],[Insurance Category Code]]&amp;"; "&amp;Q5988&amp;AS[[#This Row],[Large Provider Entity Code]]&amp;"; "&amp;R5988&amp;AS[[#This Row],[Age Band Code]]&amp;"; "&amp;S5988&amp;AS[[#This Row],[Sex Code]]</f>
        <v xml:space="preserve">Insurer Code ; Reporting Year ; Insurance Category Code ; Large Provider Entity Code ; Age Band Code ; Sex Code </v>
      </c>
      <c r="N5988" s="297" t="s">
        <v>197</v>
      </c>
      <c r="O5988" s="297" t="s">
        <v>198</v>
      </c>
      <c r="P5988" s="297" t="s">
        <v>199</v>
      </c>
      <c r="Q5988" s="297" t="s">
        <v>200</v>
      </c>
      <c r="R5988" s="297" t="s">
        <v>213</v>
      </c>
      <c r="S5988" s="297" t="s">
        <v>214</v>
      </c>
    </row>
    <row r="5989" spans="1:19" x14ac:dyDescent="0.4">
      <c r="A5989" s="291"/>
      <c r="B5989" s="292"/>
      <c r="C5989" s="312"/>
      <c r="D5989" s="292"/>
      <c r="E5989" s="489"/>
      <c r="F5989" s="489"/>
      <c r="G5989" s="490"/>
      <c r="H5989" s="520"/>
      <c r="I5989" s="523"/>
      <c r="J5989" s="521"/>
      <c r="K5989" s="522"/>
      <c r="M5989" s="301" t="str">
        <f>N5989&amp;AS[[#This Row],[Insurer Code]]&amp;"; "&amp;O5989&amp;AS[[#This Row],[Reporting Year]]&amp;"; "&amp;P5989&amp;AS[[#This Row],[Insurance Category Code]]&amp;"; "&amp;Q5989&amp;AS[[#This Row],[Large Provider Entity Code]]&amp;"; "&amp;R5989&amp;AS[[#This Row],[Age Band Code]]&amp;"; "&amp;S5989&amp;AS[[#This Row],[Sex Code]]</f>
        <v xml:space="preserve">Insurer Code ; Reporting Year ; Insurance Category Code ; Large Provider Entity Code ; Age Band Code ; Sex Code </v>
      </c>
      <c r="N5989" s="297" t="s">
        <v>197</v>
      </c>
      <c r="O5989" s="297" t="s">
        <v>198</v>
      </c>
      <c r="P5989" s="297" t="s">
        <v>199</v>
      </c>
      <c r="Q5989" s="297" t="s">
        <v>200</v>
      </c>
      <c r="R5989" s="297" t="s">
        <v>213</v>
      </c>
      <c r="S5989" s="297" t="s">
        <v>214</v>
      </c>
    </row>
    <row r="5990" spans="1:19" x14ac:dyDescent="0.4">
      <c r="A5990" s="291"/>
      <c r="B5990" s="292"/>
      <c r="C5990" s="312"/>
      <c r="D5990" s="292"/>
      <c r="E5990" s="489"/>
      <c r="F5990" s="489"/>
      <c r="G5990" s="490"/>
      <c r="H5990" s="520"/>
      <c r="I5990" s="523"/>
      <c r="J5990" s="521"/>
      <c r="K5990" s="522"/>
      <c r="M5990" s="301" t="str">
        <f>N5990&amp;AS[[#This Row],[Insurer Code]]&amp;"; "&amp;O5990&amp;AS[[#This Row],[Reporting Year]]&amp;"; "&amp;P5990&amp;AS[[#This Row],[Insurance Category Code]]&amp;"; "&amp;Q5990&amp;AS[[#This Row],[Large Provider Entity Code]]&amp;"; "&amp;R5990&amp;AS[[#This Row],[Age Band Code]]&amp;"; "&amp;S5990&amp;AS[[#This Row],[Sex Code]]</f>
        <v xml:space="preserve">Insurer Code ; Reporting Year ; Insurance Category Code ; Large Provider Entity Code ; Age Band Code ; Sex Code </v>
      </c>
      <c r="N5990" s="297" t="s">
        <v>197</v>
      </c>
      <c r="O5990" s="297" t="s">
        <v>198</v>
      </c>
      <c r="P5990" s="297" t="s">
        <v>199</v>
      </c>
      <c r="Q5990" s="297" t="s">
        <v>200</v>
      </c>
      <c r="R5990" s="297" t="s">
        <v>213</v>
      </c>
      <c r="S5990" s="297" t="s">
        <v>214</v>
      </c>
    </row>
    <row r="5991" spans="1:19" x14ac:dyDescent="0.4">
      <c r="A5991" s="291"/>
      <c r="B5991" s="292"/>
      <c r="C5991" s="312"/>
      <c r="D5991" s="292"/>
      <c r="E5991" s="489"/>
      <c r="F5991" s="489"/>
      <c r="G5991" s="490"/>
      <c r="H5991" s="520"/>
      <c r="I5991" s="523"/>
      <c r="J5991" s="521"/>
      <c r="K5991" s="522"/>
      <c r="M5991" s="301" t="str">
        <f>N5991&amp;AS[[#This Row],[Insurer Code]]&amp;"; "&amp;O5991&amp;AS[[#This Row],[Reporting Year]]&amp;"; "&amp;P5991&amp;AS[[#This Row],[Insurance Category Code]]&amp;"; "&amp;Q5991&amp;AS[[#This Row],[Large Provider Entity Code]]&amp;"; "&amp;R5991&amp;AS[[#This Row],[Age Band Code]]&amp;"; "&amp;S5991&amp;AS[[#This Row],[Sex Code]]</f>
        <v xml:space="preserve">Insurer Code ; Reporting Year ; Insurance Category Code ; Large Provider Entity Code ; Age Band Code ; Sex Code </v>
      </c>
      <c r="N5991" s="297" t="s">
        <v>197</v>
      </c>
      <c r="O5991" s="297" t="s">
        <v>198</v>
      </c>
      <c r="P5991" s="297" t="s">
        <v>199</v>
      </c>
      <c r="Q5991" s="297" t="s">
        <v>200</v>
      </c>
      <c r="R5991" s="297" t="s">
        <v>213</v>
      </c>
      <c r="S5991" s="297" t="s">
        <v>214</v>
      </c>
    </row>
    <row r="5992" spans="1:19" x14ac:dyDescent="0.4">
      <c r="A5992" s="291"/>
      <c r="B5992" s="292"/>
      <c r="C5992" s="312"/>
      <c r="D5992" s="292"/>
      <c r="E5992" s="489"/>
      <c r="F5992" s="489"/>
      <c r="G5992" s="490"/>
      <c r="H5992" s="520"/>
      <c r="I5992" s="523"/>
      <c r="J5992" s="521"/>
      <c r="K5992" s="522"/>
      <c r="M5992" s="301" t="str">
        <f>N5992&amp;AS[[#This Row],[Insurer Code]]&amp;"; "&amp;O5992&amp;AS[[#This Row],[Reporting Year]]&amp;"; "&amp;P5992&amp;AS[[#This Row],[Insurance Category Code]]&amp;"; "&amp;Q5992&amp;AS[[#This Row],[Large Provider Entity Code]]&amp;"; "&amp;R5992&amp;AS[[#This Row],[Age Band Code]]&amp;"; "&amp;S5992&amp;AS[[#This Row],[Sex Code]]</f>
        <v xml:space="preserve">Insurer Code ; Reporting Year ; Insurance Category Code ; Large Provider Entity Code ; Age Band Code ; Sex Code </v>
      </c>
      <c r="N5992" s="297" t="s">
        <v>197</v>
      </c>
      <c r="O5992" s="297" t="s">
        <v>198</v>
      </c>
      <c r="P5992" s="297" t="s">
        <v>199</v>
      </c>
      <c r="Q5992" s="297" t="s">
        <v>200</v>
      </c>
      <c r="R5992" s="297" t="s">
        <v>213</v>
      </c>
      <c r="S5992" s="297" t="s">
        <v>214</v>
      </c>
    </row>
    <row r="5993" spans="1:19" x14ac:dyDescent="0.4">
      <c r="A5993" s="291"/>
      <c r="B5993" s="292"/>
      <c r="C5993" s="312"/>
      <c r="D5993" s="292"/>
      <c r="E5993" s="489"/>
      <c r="F5993" s="489"/>
      <c r="G5993" s="490"/>
      <c r="H5993" s="520"/>
      <c r="I5993" s="523"/>
      <c r="J5993" s="521"/>
      <c r="K5993" s="522"/>
      <c r="M5993" s="301" t="str">
        <f>N5993&amp;AS[[#This Row],[Insurer Code]]&amp;"; "&amp;O5993&amp;AS[[#This Row],[Reporting Year]]&amp;"; "&amp;P5993&amp;AS[[#This Row],[Insurance Category Code]]&amp;"; "&amp;Q5993&amp;AS[[#This Row],[Large Provider Entity Code]]&amp;"; "&amp;R5993&amp;AS[[#This Row],[Age Band Code]]&amp;"; "&amp;S5993&amp;AS[[#This Row],[Sex Code]]</f>
        <v xml:space="preserve">Insurer Code ; Reporting Year ; Insurance Category Code ; Large Provider Entity Code ; Age Band Code ; Sex Code </v>
      </c>
      <c r="N5993" s="297" t="s">
        <v>197</v>
      </c>
      <c r="O5993" s="297" t="s">
        <v>198</v>
      </c>
      <c r="P5993" s="297" t="s">
        <v>199</v>
      </c>
      <c r="Q5993" s="297" t="s">
        <v>200</v>
      </c>
      <c r="R5993" s="297" t="s">
        <v>213</v>
      </c>
      <c r="S5993" s="297" t="s">
        <v>214</v>
      </c>
    </row>
    <row r="5994" spans="1:19" x14ac:dyDescent="0.4">
      <c r="A5994" s="291"/>
      <c r="B5994" s="292"/>
      <c r="C5994" s="312"/>
      <c r="D5994" s="292"/>
      <c r="E5994" s="489"/>
      <c r="F5994" s="489"/>
      <c r="G5994" s="490"/>
      <c r="H5994" s="520"/>
      <c r="I5994" s="523"/>
      <c r="J5994" s="521"/>
      <c r="K5994" s="522"/>
      <c r="M5994" s="301" t="str">
        <f>N5994&amp;AS[[#This Row],[Insurer Code]]&amp;"; "&amp;O5994&amp;AS[[#This Row],[Reporting Year]]&amp;"; "&amp;P5994&amp;AS[[#This Row],[Insurance Category Code]]&amp;"; "&amp;Q5994&amp;AS[[#This Row],[Large Provider Entity Code]]&amp;"; "&amp;R5994&amp;AS[[#This Row],[Age Band Code]]&amp;"; "&amp;S5994&amp;AS[[#This Row],[Sex Code]]</f>
        <v xml:space="preserve">Insurer Code ; Reporting Year ; Insurance Category Code ; Large Provider Entity Code ; Age Band Code ; Sex Code </v>
      </c>
      <c r="N5994" s="297" t="s">
        <v>197</v>
      </c>
      <c r="O5994" s="297" t="s">
        <v>198</v>
      </c>
      <c r="P5994" s="297" t="s">
        <v>199</v>
      </c>
      <c r="Q5994" s="297" t="s">
        <v>200</v>
      </c>
      <c r="R5994" s="297" t="s">
        <v>213</v>
      </c>
      <c r="S5994" s="297" t="s">
        <v>214</v>
      </c>
    </row>
    <row r="5995" spans="1:19" x14ac:dyDescent="0.4">
      <c r="A5995" s="291"/>
      <c r="B5995" s="292"/>
      <c r="C5995" s="312"/>
      <c r="D5995" s="292"/>
      <c r="E5995" s="489"/>
      <c r="F5995" s="489"/>
      <c r="G5995" s="490"/>
      <c r="H5995" s="520"/>
      <c r="I5995" s="523"/>
      <c r="J5995" s="521"/>
      <c r="K5995" s="522"/>
      <c r="M5995" s="301" t="str">
        <f>N5995&amp;AS[[#This Row],[Insurer Code]]&amp;"; "&amp;O5995&amp;AS[[#This Row],[Reporting Year]]&amp;"; "&amp;P5995&amp;AS[[#This Row],[Insurance Category Code]]&amp;"; "&amp;Q5995&amp;AS[[#This Row],[Large Provider Entity Code]]&amp;"; "&amp;R5995&amp;AS[[#This Row],[Age Band Code]]&amp;"; "&amp;S5995&amp;AS[[#This Row],[Sex Code]]</f>
        <v xml:space="preserve">Insurer Code ; Reporting Year ; Insurance Category Code ; Large Provider Entity Code ; Age Band Code ; Sex Code </v>
      </c>
      <c r="N5995" s="297" t="s">
        <v>197</v>
      </c>
      <c r="O5995" s="297" t="s">
        <v>198</v>
      </c>
      <c r="P5995" s="297" t="s">
        <v>199</v>
      </c>
      <c r="Q5995" s="297" t="s">
        <v>200</v>
      </c>
      <c r="R5995" s="297" t="s">
        <v>213</v>
      </c>
      <c r="S5995" s="297" t="s">
        <v>214</v>
      </c>
    </row>
    <row r="5996" spans="1:19" x14ac:dyDescent="0.4">
      <c r="A5996" s="291"/>
      <c r="B5996" s="292"/>
      <c r="C5996" s="312"/>
      <c r="D5996" s="292"/>
      <c r="E5996" s="489"/>
      <c r="F5996" s="489"/>
      <c r="G5996" s="490"/>
      <c r="H5996" s="520"/>
      <c r="I5996" s="523"/>
      <c r="J5996" s="521"/>
      <c r="K5996" s="522"/>
      <c r="M5996" s="301" t="str">
        <f>N5996&amp;AS[[#This Row],[Insurer Code]]&amp;"; "&amp;O5996&amp;AS[[#This Row],[Reporting Year]]&amp;"; "&amp;P5996&amp;AS[[#This Row],[Insurance Category Code]]&amp;"; "&amp;Q5996&amp;AS[[#This Row],[Large Provider Entity Code]]&amp;"; "&amp;R5996&amp;AS[[#This Row],[Age Band Code]]&amp;"; "&amp;S5996&amp;AS[[#This Row],[Sex Code]]</f>
        <v xml:space="preserve">Insurer Code ; Reporting Year ; Insurance Category Code ; Large Provider Entity Code ; Age Band Code ; Sex Code </v>
      </c>
      <c r="N5996" s="297" t="s">
        <v>197</v>
      </c>
      <c r="O5996" s="297" t="s">
        <v>198</v>
      </c>
      <c r="P5996" s="297" t="s">
        <v>199</v>
      </c>
      <c r="Q5996" s="297" t="s">
        <v>200</v>
      </c>
      <c r="R5996" s="297" t="s">
        <v>213</v>
      </c>
      <c r="S5996" s="297" t="s">
        <v>214</v>
      </c>
    </row>
    <row r="5997" spans="1:19" x14ac:dyDescent="0.4">
      <c r="A5997" s="291"/>
      <c r="B5997" s="292"/>
      <c r="C5997" s="312"/>
      <c r="D5997" s="292"/>
      <c r="E5997" s="489"/>
      <c r="F5997" s="489"/>
      <c r="G5997" s="490"/>
      <c r="H5997" s="520"/>
      <c r="I5997" s="523"/>
      <c r="J5997" s="521"/>
      <c r="K5997" s="522"/>
      <c r="M5997" s="301" t="str">
        <f>N5997&amp;AS[[#This Row],[Insurer Code]]&amp;"; "&amp;O5997&amp;AS[[#This Row],[Reporting Year]]&amp;"; "&amp;P5997&amp;AS[[#This Row],[Insurance Category Code]]&amp;"; "&amp;Q5997&amp;AS[[#This Row],[Large Provider Entity Code]]&amp;"; "&amp;R5997&amp;AS[[#This Row],[Age Band Code]]&amp;"; "&amp;S5997&amp;AS[[#This Row],[Sex Code]]</f>
        <v xml:space="preserve">Insurer Code ; Reporting Year ; Insurance Category Code ; Large Provider Entity Code ; Age Band Code ; Sex Code </v>
      </c>
      <c r="N5997" s="297" t="s">
        <v>197</v>
      </c>
      <c r="O5997" s="297" t="s">
        <v>198</v>
      </c>
      <c r="P5997" s="297" t="s">
        <v>199</v>
      </c>
      <c r="Q5997" s="297" t="s">
        <v>200</v>
      </c>
      <c r="R5997" s="297" t="s">
        <v>213</v>
      </c>
      <c r="S5997" s="297" t="s">
        <v>214</v>
      </c>
    </row>
    <row r="5998" spans="1:19" x14ac:dyDescent="0.4">
      <c r="A5998" s="291"/>
      <c r="B5998" s="292"/>
      <c r="C5998" s="312"/>
      <c r="D5998" s="292"/>
      <c r="E5998" s="489"/>
      <c r="F5998" s="489"/>
      <c r="G5998" s="490"/>
      <c r="H5998" s="520"/>
      <c r="I5998" s="523"/>
      <c r="J5998" s="521"/>
      <c r="K5998" s="522"/>
      <c r="M5998" s="301" t="str">
        <f>N5998&amp;AS[[#This Row],[Insurer Code]]&amp;"; "&amp;O5998&amp;AS[[#This Row],[Reporting Year]]&amp;"; "&amp;P5998&amp;AS[[#This Row],[Insurance Category Code]]&amp;"; "&amp;Q5998&amp;AS[[#This Row],[Large Provider Entity Code]]&amp;"; "&amp;R5998&amp;AS[[#This Row],[Age Band Code]]&amp;"; "&amp;S5998&amp;AS[[#This Row],[Sex Code]]</f>
        <v xml:space="preserve">Insurer Code ; Reporting Year ; Insurance Category Code ; Large Provider Entity Code ; Age Band Code ; Sex Code </v>
      </c>
      <c r="N5998" s="297" t="s">
        <v>197</v>
      </c>
      <c r="O5998" s="297" t="s">
        <v>198</v>
      </c>
      <c r="P5998" s="297" t="s">
        <v>199</v>
      </c>
      <c r="Q5998" s="297" t="s">
        <v>200</v>
      </c>
      <c r="R5998" s="297" t="s">
        <v>213</v>
      </c>
      <c r="S5998" s="297" t="s">
        <v>214</v>
      </c>
    </row>
    <row r="5999" spans="1:19" x14ac:dyDescent="0.4">
      <c r="A5999" s="291"/>
      <c r="B5999" s="292"/>
      <c r="C5999" s="312"/>
      <c r="D5999" s="292"/>
      <c r="E5999" s="489"/>
      <c r="F5999" s="489"/>
      <c r="G5999" s="490"/>
      <c r="H5999" s="520"/>
      <c r="I5999" s="523"/>
      <c r="J5999" s="521"/>
      <c r="K5999" s="522"/>
      <c r="M5999" s="301" t="str">
        <f>N5999&amp;AS[[#This Row],[Insurer Code]]&amp;"; "&amp;O5999&amp;AS[[#This Row],[Reporting Year]]&amp;"; "&amp;P5999&amp;AS[[#This Row],[Insurance Category Code]]&amp;"; "&amp;Q5999&amp;AS[[#This Row],[Large Provider Entity Code]]&amp;"; "&amp;R5999&amp;AS[[#This Row],[Age Band Code]]&amp;"; "&amp;S5999&amp;AS[[#This Row],[Sex Code]]</f>
        <v xml:space="preserve">Insurer Code ; Reporting Year ; Insurance Category Code ; Large Provider Entity Code ; Age Band Code ; Sex Code </v>
      </c>
      <c r="N5999" s="297" t="s">
        <v>197</v>
      </c>
      <c r="O5999" s="297" t="s">
        <v>198</v>
      </c>
      <c r="P5999" s="297" t="s">
        <v>199</v>
      </c>
      <c r="Q5999" s="297" t="s">
        <v>200</v>
      </c>
      <c r="R5999" s="297" t="s">
        <v>213</v>
      </c>
      <c r="S5999" s="297" t="s">
        <v>214</v>
      </c>
    </row>
    <row r="6000" spans="1:19" x14ac:dyDescent="0.4">
      <c r="A6000" s="291"/>
      <c r="B6000" s="292"/>
      <c r="C6000" s="312"/>
      <c r="D6000" s="292"/>
      <c r="E6000" s="489"/>
      <c r="F6000" s="489"/>
      <c r="G6000" s="490"/>
      <c r="H6000" s="520"/>
      <c r="I6000" s="523"/>
      <c r="J6000" s="521"/>
      <c r="K6000" s="522"/>
      <c r="M6000" s="301" t="str">
        <f>N6000&amp;AS[[#This Row],[Insurer Code]]&amp;"; "&amp;O6000&amp;AS[[#This Row],[Reporting Year]]&amp;"; "&amp;P6000&amp;AS[[#This Row],[Insurance Category Code]]&amp;"; "&amp;Q6000&amp;AS[[#This Row],[Large Provider Entity Code]]&amp;"; "&amp;R6000&amp;AS[[#This Row],[Age Band Code]]&amp;"; "&amp;S6000&amp;AS[[#This Row],[Sex Code]]</f>
        <v xml:space="preserve">Insurer Code ; Reporting Year ; Insurance Category Code ; Large Provider Entity Code ; Age Band Code ; Sex Code </v>
      </c>
      <c r="N6000" s="297" t="s">
        <v>197</v>
      </c>
      <c r="O6000" s="297" t="s">
        <v>198</v>
      </c>
      <c r="P6000" s="297" t="s">
        <v>199</v>
      </c>
      <c r="Q6000" s="297" t="s">
        <v>200</v>
      </c>
      <c r="R6000" s="297" t="s">
        <v>213</v>
      </c>
      <c r="S6000" s="297" t="s">
        <v>214</v>
      </c>
    </row>
    <row r="6001" spans="1:19" x14ac:dyDescent="0.4">
      <c r="A6001" s="291"/>
      <c r="B6001" s="292"/>
      <c r="C6001" s="312"/>
      <c r="D6001" s="292"/>
      <c r="E6001" s="489"/>
      <c r="F6001" s="489"/>
      <c r="G6001" s="490"/>
      <c r="H6001" s="520"/>
      <c r="I6001" s="523"/>
      <c r="J6001" s="521"/>
      <c r="K6001" s="522"/>
      <c r="M6001" s="301" t="str">
        <f>N6001&amp;AS[[#This Row],[Insurer Code]]&amp;"; "&amp;O6001&amp;AS[[#This Row],[Reporting Year]]&amp;"; "&amp;P6001&amp;AS[[#This Row],[Insurance Category Code]]&amp;"; "&amp;Q6001&amp;AS[[#This Row],[Large Provider Entity Code]]&amp;"; "&amp;R6001&amp;AS[[#This Row],[Age Band Code]]&amp;"; "&amp;S6001&amp;AS[[#This Row],[Sex Code]]</f>
        <v xml:space="preserve">Insurer Code ; Reporting Year ; Insurance Category Code ; Large Provider Entity Code ; Age Band Code ; Sex Code </v>
      </c>
      <c r="N6001" s="297" t="s">
        <v>197</v>
      </c>
      <c r="O6001" s="297" t="s">
        <v>198</v>
      </c>
      <c r="P6001" s="297" t="s">
        <v>199</v>
      </c>
      <c r="Q6001" s="297" t="s">
        <v>200</v>
      </c>
      <c r="R6001" s="297" t="s">
        <v>213</v>
      </c>
      <c r="S6001" s="297" t="s">
        <v>214</v>
      </c>
    </row>
    <row r="6002" spans="1:19" x14ac:dyDescent="0.4">
      <c r="A6002" s="291"/>
      <c r="B6002" s="292"/>
      <c r="C6002" s="312"/>
      <c r="D6002" s="292"/>
      <c r="E6002" s="489"/>
      <c r="F6002" s="489"/>
      <c r="G6002" s="490"/>
      <c r="H6002" s="520"/>
      <c r="I6002" s="523"/>
      <c r="J6002" s="521"/>
      <c r="K6002" s="522"/>
      <c r="M6002" s="301" t="str">
        <f>N6002&amp;AS[[#This Row],[Insurer Code]]&amp;"; "&amp;O6002&amp;AS[[#This Row],[Reporting Year]]&amp;"; "&amp;P6002&amp;AS[[#This Row],[Insurance Category Code]]&amp;"; "&amp;Q6002&amp;AS[[#This Row],[Large Provider Entity Code]]&amp;"; "&amp;R6002&amp;AS[[#This Row],[Age Band Code]]&amp;"; "&amp;S6002&amp;AS[[#This Row],[Sex Code]]</f>
        <v xml:space="preserve">Insurer Code ; Reporting Year ; Insurance Category Code ; Large Provider Entity Code ; Age Band Code ; Sex Code </v>
      </c>
      <c r="N6002" s="297" t="s">
        <v>197</v>
      </c>
      <c r="O6002" s="297" t="s">
        <v>198</v>
      </c>
      <c r="P6002" s="297" t="s">
        <v>199</v>
      </c>
      <c r="Q6002" s="297" t="s">
        <v>200</v>
      </c>
      <c r="R6002" s="297" t="s">
        <v>213</v>
      </c>
      <c r="S6002" s="297" t="s">
        <v>214</v>
      </c>
    </row>
    <row r="6003" spans="1:19" x14ac:dyDescent="0.4">
      <c r="A6003" s="291"/>
      <c r="B6003" s="292"/>
      <c r="C6003" s="312"/>
      <c r="D6003" s="292"/>
      <c r="E6003" s="489"/>
      <c r="F6003" s="489"/>
      <c r="G6003" s="490"/>
      <c r="H6003" s="520"/>
      <c r="I6003" s="523"/>
      <c r="J6003" s="521"/>
      <c r="K6003" s="522"/>
      <c r="M6003" s="301" t="str">
        <f>N6003&amp;AS[[#This Row],[Insurer Code]]&amp;"; "&amp;O6003&amp;AS[[#This Row],[Reporting Year]]&amp;"; "&amp;P6003&amp;AS[[#This Row],[Insurance Category Code]]&amp;"; "&amp;Q6003&amp;AS[[#This Row],[Large Provider Entity Code]]&amp;"; "&amp;R6003&amp;AS[[#This Row],[Age Band Code]]&amp;"; "&amp;S6003&amp;AS[[#This Row],[Sex Code]]</f>
        <v xml:space="preserve">Insurer Code ; Reporting Year ; Insurance Category Code ; Large Provider Entity Code ; Age Band Code ; Sex Code </v>
      </c>
      <c r="N6003" s="297" t="s">
        <v>197</v>
      </c>
      <c r="O6003" s="297" t="s">
        <v>198</v>
      </c>
      <c r="P6003" s="297" t="s">
        <v>199</v>
      </c>
      <c r="Q6003" s="297" t="s">
        <v>200</v>
      </c>
      <c r="R6003" s="297" t="s">
        <v>213</v>
      </c>
      <c r="S6003" s="297" t="s">
        <v>214</v>
      </c>
    </row>
    <row r="6004" spans="1:19" x14ac:dyDescent="0.4">
      <c r="A6004" s="291"/>
      <c r="B6004" s="292"/>
      <c r="C6004" s="312"/>
      <c r="D6004" s="292"/>
      <c r="E6004" s="489"/>
      <c r="F6004" s="489"/>
      <c r="G6004" s="490"/>
      <c r="H6004" s="520"/>
      <c r="I6004" s="523"/>
      <c r="J6004" s="521"/>
      <c r="K6004" s="522"/>
      <c r="M6004" s="301" t="str">
        <f>N6004&amp;AS[[#This Row],[Insurer Code]]&amp;"; "&amp;O6004&amp;AS[[#This Row],[Reporting Year]]&amp;"; "&amp;P6004&amp;AS[[#This Row],[Insurance Category Code]]&amp;"; "&amp;Q6004&amp;AS[[#This Row],[Large Provider Entity Code]]&amp;"; "&amp;R6004&amp;AS[[#This Row],[Age Band Code]]&amp;"; "&amp;S6004&amp;AS[[#This Row],[Sex Code]]</f>
        <v xml:space="preserve">Insurer Code ; Reporting Year ; Insurance Category Code ; Large Provider Entity Code ; Age Band Code ; Sex Code </v>
      </c>
      <c r="N6004" s="297" t="s">
        <v>197</v>
      </c>
      <c r="O6004" s="297" t="s">
        <v>198</v>
      </c>
      <c r="P6004" s="297" t="s">
        <v>199</v>
      </c>
      <c r="Q6004" s="297" t="s">
        <v>200</v>
      </c>
      <c r="R6004" s="297" t="s">
        <v>213</v>
      </c>
      <c r="S6004" s="297" t="s">
        <v>214</v>
      </c>
    </row>
    <row r="6005" spans="1:19" x14ac:dyDescent="0.4">
      <c r="A6005" s="291"/>
      <c r="B6005" s="292"/>
      <c r="C6005" s="312"/>
      <c r="D6005" s="292"/>
      <c r="E6005" s="489"/>
      <c r="F6005" s="489"/>
      <c r="G6005" s="490"/>
      <c r="H6005" s="520"/>
      <c r="I6005" s="523"/>
      <c r="J6005" s="521"/>
      <c r="K6005" s="522"/>
      <c r="M6005" s="301" t="str">
        <f>N6005&amp;AS[[#This Row],[Insurer Code]]&amp;"; "&amp;O6005&amp;AS[[#This Row],[Reporting Year]]&amp;"; "&amp;P6005&amp;AS[[#This Row],[Insurance Category Code]]&amp;"; "&amp;Q6005&amp;AS[[#This Row],[Large Provider Entity Code]]&amp;"; "&amp;R6005&amp;AS[[#This Row],[Age Band Code]]&amp;"; "&amp;S6005&amp;AS[[#This Row],[Sex Code]]</f>
        <v xml:space="preserve">Insurer Code ; Reporting Year ; Insurance Category Code ; Large Provider Entity Code ; Age Band Code ; Sex Code </v>
      </c>
      <c r="N6005" s="297" t="s">
        <v>197</v>
      </c>
      <c r="O6005" s="297" t="s">
        <v>198</v>
      </c>
      <c r="P6005" s="297" t="s">
        <v>199</v>
      </c>
      <c r="Q6005" s="297" t="s">
        <v>200</v>
      </c>
      <c r="R6005" s="297" t="s">
        <v>213</v>
      </c>
      <c r="S6005" s="297" t="s">
        <v>214</v>
      </c>
    </row>
    <row r="6006" spans="1:19" x14ac:dyDescent="0.4">
      <c r="A6006" s="291"/>
      <c r="B6006" s="292"/>
      <c r="C6006" s="312"/>
      <c r="D6006" s="292"/>
      <c r="E6006" s="489"/>
      <c r="F6006" s="489"/>
      <c r="G6006" s="490"/>
      <c r="H6006" s="520"/>
      <c r="I6006" s="523"/>
      <c r="J6006" s="521"/>
      <c r="K6006" s="522"/>
      <c r="M6006" s="301" t="str">
        <f>N6006&amp;AS[[#This Row],[Insurer Code]]&amp;"; "&amp;O6006&amp;AS[[#This Row],[Reporting Year]]&amp;"; "&amp;P6006&amp;AS[[#This Row],[Insurance Category Code]]&amp;"; "&amp;Q6006&amp;AS[[#This Row],[Large Provider Entity Code]]&amp;"; "&amp;R6006&amp;AS[[#This Row],[Age Band Code]]&amp;"; "&amp;S6006&amp;AS[[#This Row],[Sex Code]]</f>
        <v xml:space="preserve">Insurer Code ; Reporting Year ; Insurance Category Code ; Large Provider Entity Code ; Age Band Code ; Sex Code </v>
      </c>
      <c r="N6006" s="297" t="s">
        <v>197</v>
      </c>
      <c r="O6006" s="297" t="s">
        <v>198</v>
      </c>
      <c r="P6006" s="297" t="s">
        <v>199</v>
      </c>
      <c r="Q6006" s="297" t="s">
        <v>200</v>
      </c>
      <c r="R6006" s="297" t="s">
        <v>213</v>
      </c>
      <c r="S6006" s="297" t="s">
        <v>214</v>
      </c>
    </row>
    <row r="6007" spans="1:19" x14ac:dyDescent="0.4">
      <c r="A6007" s="291"/>
      <c r="B6007" s="292"/>
      <c r="C6007" s="312"/>
      <c r="D6007" s="292"/>
      <c r="E6007" s="489"/>
      <c r="F6007" s="489"/>
      <c r="G6007" s="490"/>
      <c r="H6007" s="520"/>
      <c r="I6007" s="523"/>
      <c r="J6007" s="521"/>
      <c r="K6007" s="522"/>
      <c r="M6007" s="301" t="str">
        <f>N6007&amp;AS[[#This Row],[Insurer Code]]&amp;"; "&amp;O6007&amp;AS[[#This Row],[Reporting Year]]&amp;"; "&amp;P6007&amp;AS[[#This Row],[Insurance Category Code]]&amp;"; "&amp;Q6007&amp;AS[[#This Row],[Large Provider Entity Code]]&amp;"; "&amp;R6007&amp;AS[[#This Row],[Age Band Code]]&amp;"; "&amp;S6007&amp;AS[[#This Row],[Sex Code]]</f>
        <v xml:space="preserve">Insurer Code ; Reporting Year ; Insurance Category Code ; Large Provider Entity Code ; Age Band Code ; Sex Code </v>
      </c>
      <c r="N6007" s="297" t="s">
        <v>197</v>
      </c>
      <c r="O6007" s="297" t="s">
        <v>198</v>
      </c>
      <c r="P6007" s="297" t="s">
        <v>199</v>
      </c>
      <c r="Q6007" s="297" t="s">
        <v>200</v>
      </c>
      <c r="R6007" s="297" t="s">
        <v>213</v>
      </c>
      <c r="S6007" s="297" t="s">
        <v>214</v>
      </c>
    </row>
    <row r="6008" spans="1:19" x14ac:dyDescent="0.4">
      <c r="A6008" s="291"/>
      <c r="B6008" s="292"/>
      <c r="C6008" s="312"/>
      <c r="D6008" s="292"/>
      <c r="E6008" s="489"/>
      <c r="F6008" s="489"/>
      <c r="G6008" s="490"/>
      <c r="H6008" s="520"/>
      <c r="I6008" s="523"/>
      <c r="J6008" s="521"/>
      <c r="K6008" s="522"/>
      <c r="M6008" s="301" t="str">
        <f>N6008&amp;AS[[#This Row],[Insurer Code]]&amp;"; "&amp;O6008&amp;AS[[#This Row],[Reporting Year]]&amp;"; "&amp;P6008&amp;AS[[#This Row],[Insurance Category Code]]&amp;"; "&amp;Q6008&amp;AS[[#This Row],[Large Provider Entity Code]]&amp;"; "&amp;R6008&amp;AS[[#This Row],[Age Band Code]]&amp;"; "&amp;S6008&amp;AS[[#This Row],[Sex Code]]</f>
        <v xml:space="preserve">Insurer Code ; Reporting Year ; Insurance Category Code ; Large Provider Entity Code ; Age Band Code ; Sex Code </v>
      </c>
      <c r="N6008" s="297" t="s">
        <v>197</v>
      </c>
      <c r="O6008" s="297" t="s">
        <v>198</v>
      </c>
      <c r="P6008" s="297" t="s">
        <v>199</v>
      </c>
      <c r="Q6008" s="297" t="s">
        <v>200</v>
      </c>
      <c r="R6008" s="297" t="s">
        <v>213</v>
      </c>
      <c r="S6008" s="297" t="s">
        <v>214</v>
      </c>
    </row>
    <row r="6009" spans="1:19" x14ac:dyDescent="0.4">
      <c r="A6009" s="291"/>
      <c r="B6009" s="292"/>
      <c r="C6009" s="312"/>
      <c r="D6009" s="292"/>
      <c r="E6009" s="489"/>
      <c r="F6009" s="489"/>
      <c r="G6009" s="490"/>
      <c r="H6009" s="520"/>
      <c r="I6009" s="523"/>
      <c r="J6009" s="521"/>
      <c r="K6009" s="522"/>
      <c r="M6009" s="301" t="str">
        <f>N6009&amp;AS[[#This Row],[Insurer Code]]&amp;"; "&amp;O6009&amp;AS[[#This Row],[Reporting Year]]&amp;"; "&amp;P6009&amp;AS[[#This Row],[Insurance Category Code]]&amp;"; "&amp;Q6009&amp;AS[[#This Row],[Large Provider Entity Code]]&amp;"; "&amp;R6009&amp;AS[[#This Row],[Age Band Code]]&amp;"; "&amp;S6009&amp;AS[[#This Row],[Sex Code]]</f>
        <v xml:space="preserve">Insurer Code ; Reporting Year ; Insurance Category Code ; Large Provider Entity Code ; Age Band Code ; Sex Code </v>
      </c>
      <c r="N6009" s="297" t="s">
        <v>197</v>
      </c>
      <c r="O6009" s="297" t="s">
        <v>198</v>
      </c>
      <c r="P6009" s="297" t="s">
        <v>199</v>
      </c>
      <c r="Q6009" s="297" t="s">
        <v>200</v>
      </c>
      <c r="R6009" s="297" t="s">
        <v>213</v>
      </c>
      <c r="S6009" s="297" t="s">
        <v>214</v>
      </c>
    </row>
    <row r="6010" spans="1:19" x14ac:dyDescent="0.4">
      <c r="A6010" s="291"/>
      <c r="B6010" s="292"/>
      <c r="C6010" s="312"/>
      <c r="D6010" s="292"/>
      <c r="E6010" s="489"/>
      <c r="F6010" s="489"/>
      <c r="G6010" s="490"/>
      <c r="H6010" s="520"/>
      <c r="I6010" s="523"/>
      <c r="J6010" s="521"/>
      <c r="K6010" s="522"/>
      <c r="M6010" s="301" t="str">
        <f>N6010&amp;AS[[#This Row],[Insurer Code]]&amp;"; "&amp;O6010&amp;AS[[#This Row],[Reporting Year]]&amp;"; "&amp;P6010&amp;AS[[#This Row],[Insurance Category Code]]&amp;"; "&amp;Q6010&amp;AS[[#This Row],[Large Provider Entity Code]]&amp;"; "&amp;R6010&amp;AS[[#This Row],[Age Band Code]]&amp;"; "&amp;S6010&amp;AS[[#This Row],[Sex Code]]</f>
        <v xml:space="preserve">Insurer Code ; Reporting Year ; Insurance Category Code ; Large Provider Entity Code ; Age Band Code ; Sex Code </v>
      </c>
      <c r="N6010" s="297" t="s">
        <v>197</v>
      </c>
      <c r="O6010" s="297" t="s">
        <v>198</v>
      </c>
      <c r="P6010" s="297" t="s">
        <v>199</v>
      </c>
      <c r="Q6010" s="297" t="s">
        <v>200</v>
      </c>
      <c r="R6010" s="297" t="s">
        <v>213</v>
      </c>
      <c r="S6010" s="297" t="s">
        <v>214</v>
      </c>
    </row>
    <row r="6011" spans="1:19" x14ac:dyDescent="0.4">
      <c r="A6011" s="291"/>
      <c r="B6011" s="292"/>
      <c r="C6011" s="312"/>
      <c r="D6011" s="292"/>
      <c r="E6011" s="489"/>
      <c r="F6011" s="489"/>
      <c r="G6011" s="490"/>
      <c r="H6011" s="520"/>
      <c r="I6011" s="523"/>
      <c r="J6011" s="521"/>
      <c r="K6011" s="522"/>
      <c r="M6011" s="301" t="str">
        <f>N6011&amp;AS[[#This Row],[Insurer Code]]&amp;"; "&amp;O6011&amp;AS[[#This Row],[Reporting Year]]&amp;"; "&amp;P6011&amp;AS[[#This Row],[Insurance Category Code]]&amp;"; "&amp;Q6011&amp;AS[[#This Row],[Large Provider Entity Code]]&amp;"; "&amp;R6011&amp;AS[[#This Row],[Age Band Code]]&amp;"; "&amp;S6011&amp;AS[[#This Row],[Sex Code]]</f>
        <v xml:space="preserve">Insurer Code ; Reporting Year ; Insurance Category Code ; Large Provider Entity Code ; Age Band Code ; Sex Code </v>
      </c>
      <c r="N6011" s="297" t="s">
        <v>197</v>
      </c>
      <c r="O6011" s="297" t="s">
        <v>198</v>
      </c>
      <c r="P6011" s="297" t="s">
        <v>199</v>
      </c>
      <c r="Q6011" s="297" t="s">
        <v>200</v>
      </c>
      <c r="R6011" s="297" t="s">
        <v>213</v>
      </c>
      <c r="S6011" s="297" t="s">
        <v>214</v>
      </c>
    </row>
    <row r="6012" spans="1:19" x14ac:dyDescent="0.4">
      <c r="A6012" s="291"/>
      <c r="B6012" s="292"/>
      <c r="C6012" s="312"/>
      <c r="D6012" s="292"/>
      <c r="E6012" s="489"/>
      <c r="F6012" s="489"/>
      <c r="G6012" s="490"/>
      <c r="H6012" s="520"/>
      <c r="I6012" s="523"/>
      <c r="J6012" s="521"/>
      <c r="K6012" s="522"/>
      <c r="M6012" s="301" t="str">
        <f>N6012&amp;AS[[#This Row],[Insurer Code]]&amp;"; "&amp;O6012&amp;AS[[#This Row],[Reporting Year]]&amp;"; "&amp;P6012&amp;AS[[#This Row],[Insurance Category Code]]&amp;"; "&amp;Q6012&amp;AS[[#This Row],[Large Provider Entity Code]]&amp;"; "&amp;R6012&amp;AS[[#This Row],[Age Band Code]]&amp;"; "&amp;S6012&amp;AS[[#This Row],[Sex Code]]</f>
        <v xml:space="preserve">Insurer Code ; Reporting Year ; Insurance Category Code ; Large Provider Entity Code ; Age Band Code ; Sex Code </v>
      </c>
      <c r="N6012" s="297" t="s">
        <v>197</v>
      </c>
      <c r="O6012" s="297" t="s">
        <v>198</v>
      </c>
      <c r="P6012" s="297" t="s">
        <v>199</v>
      </c>
      <c r="Q6012" s="297" t="s">
        <v>200</v>
      </c>
      <c r="R6012" s="297" t="s">
        <v>213</v>
      </c>
      <c r="S6012" s="297" t="s">
        <v>214</v>
      </c>
    </row>
    <row r="6013" spans="1:19" x14ac:dyDescent="0.4">
      <c r="A6013" s="291"/>
      <c r="B6013" s="292"/>
      <c r="C6013" s="312"/>
      <c r="D6013" s="292"/>
      <c r="E6013" s="489"/>
      <c r="F6013" s="489"/>
      <c r="G6013" s="490"/>
      <c r="H6013" s="520"/>
      <c r="I6013" s="523"/>
      <c r="J6013" s="521"/>
      <c r="K6013" s="522"/>
      <c r="M6013" s="301" t="str">
        <f>N6013&amp;AS[[#This Row],[Insurer Code]]&amp;"; "&amp;O6013&amp;AS[[#This Row],[Reporting Year]]&amp;"; "&amp;P6013&amp;AS[[#This Row],[Insurance Category Code]]&amp;"; "&amp;Q6013&amp;AS[[#This Row],[Large Provider Entity Code]]&amp;"; "&amp;R6013&amp;AS[[#This Row],[Age Band Code]]&amp;"; "&amp;S6013&amp;AS[[#This Row],[Sex Code]]</f>
        <v xml:space="preserve">Insurer Code ; Reporting Year ; Insurance Category Code ; Large Provider Entity Code ; Age Band Code ; Sex Code </v>
      </c>
      <c r="N6013" s="297" t="s">
        <v>197</v>
      </c>
      <c r="O6013" s="297" t="s">
        <v>198</v>
      </c>
      <c r="P6013" s="297" t="s">
        <v>199</v>
      </c>
      <c r="Q6013" s="297" t="s">
        <v>200</v>
      </c>
      <c r="R6013" s="297" t="s">
        <v>213</v>
      </c>
      <c r="S6013" s="297" t="s">
        <v>214</v>
      </c>
    </row>
    <row r="6014" spans="1:19" x14ac:dyDescent="0.4">
      <c r="A6014" s="291"/>
      <c r="B6014" s="292"/>
      <c r="C6014" s="312"/>
      <c r="D6014" s="292"/>
      <c r="E6014" s="489"/>
      <c r="F6014" s="489"/>
      <c r="G6014" s="490"/>
      <c r="H6014" s="520"/>
      <c r="I6014" s="523"/>
      <c r="J6014" s="521"/>
      <c r="K6014" s="522"/>
      <c r="M6014" s="301" t="str">
        <f>N6014&amp;AS[[#This Row],[Insurer Code]]&amp;"; "&amp;O6014&amp;AS[[#This Row],[Reporting Year]]&amp;"; "&amp;P6014&amp;AS[[#This Row],[Insurance Category Code]]&amp;"; "&amp;Q6014&amp;AS[[#This Row],[Large Provider Entity Code]]&amp;"; "&amp;R6014&amp;AS[[#This Row],[Age Band Code]]&amp;"; "&amp;S6014&amp;AS[[#This Row],[Sex Code]]</f>
        <v xml:space="preserve">Insurer Code ; Reporting Year ; Insurance Category Code ; Large Provider Entity Code ; Age Band Code ; Sex Code </v>
      </c>
      <c r="N6014" s="297" t="s">
        <v>197</v>
      </c>
      <c r="O6014" s="297" t="s">
        <v>198</v>
      </c>
      <c r="P6014" s="297" t="s">
        <v>199</v>
      </c>
      <c r="Q6014" s="297" t="s">
        <v>200</v>
      </c>
      <c r="R6014" s="297" t="s">
        <v>213</v>
      </c>
      <c r="S6014" s="297" t="s">
        <v>214</v>
      </c>
    </row>
    <row r="6015" spans="1:19" x14ac:dyDescent="0.4">
      <c r="A6015" s="291"/>
      <c r="B6015" s="292"/>
      <c r="C6015" s="312"/>
      <c r="D6015" s="292"/>
      <c r="E6015" s="489"/>
      <c r="F6015" s="489"/>
      <c r="G6015" s="490"/>
      <c r="H6015" s="520"/>
      <c r="I6015" s="523"/>
      <c r="J6015" s="521"/>
      <c r="K6015" s="522"/>
      <c r="M6015" s="301" t="str">
        <f>N6015&amp;AS[[#This Row],[Insurer Code]]&amp;"; "&amp;O6015&amp;AS[[#This Row],[Reporting Year]]&amp;"; "&amp;P6015&amp;AS[[#This Row],[Insurance Category Code]]&amp;"; "&amp;Q6015&amp;AS[[#This Row],[Large Provider Entity Code]]&amp;"; "&amp;R6015&amp;AS[[#This Row],[Age Band Code]]&amp;"; "&amp;S6015&amp;AS[[#This Row],[Sex Code]]</f>
        <v xml:space="preserve">Insurer Code ; Reporting Year ; Insurance Category Code ; Large Provider Entity Code ; Age Band Code ; Sex Code </v>
      </c>
      <c r="N6015" s="297" t="s">
        <v>197</v>
      </c>
      <c r="O6015" s="297" t="s">
        <v>198</v>
      </c>
      <c r="P6015" s="297" t="s">
        <v>199</v>
      </c>
      <c r="Q6015" s="297" t="s">
        <v>200</v>
      </c>
      <c r="R6015" s="297" t="s">
        <v>213</v>
      </c>
      <c r="S6015" s="297" t="s">
        <v>214</v>
      </c>
    </row>
    <row r="6016" spans="1:19" x14ac:dyDescent="0.4">
      <c r="A6016" s="291"/>
      <c r="B6016" s="292"/>
      <c r="C6016" s="312"/>
      <c r="D6016" s="292"/>
      <c r="E6016" s="489"/>
      <c r="F6016" s="489"/>
      <c r="G6016" s="490"/>
      <c r="H6016" s="520"/>
      <c r="I6016" s="523"/>
      <c r="J6016" s="521"/>
      <c r="K6016" s="522"/>
      <c r="M6016" s="301" t="str">
        <f>N6016&amp;AS[[#This Row],[Insurer Code]]&amp;"; "&amp;O6016&amp;AS[[#This Row],[Reporting Year]]&amp;"; "&amp;P6016&amp;AS[[#This Row],[Insurance Category Code]]&amp;"; "&amp;Q6016&amp;AS[[#This Row],[Large Provider Entity Code]]&amp;"; "&amp;R6016&amp;AS[[#This Row],[Age Band Code]]&amp;"; "&amp;S6016&amp;AS[[#This Row],[Sex Code]]</f>
        <v xml:space="preserve">Insurer Code ; Reporting Year ; Insurance Category Code ; Large Provider Entity Code ; Age Band Code ; Sex Code </v>
      </c>
      <c r="N6016" s="297" t="s">
        <v>197</v>
      </c>
      <c r="O6016" s="297" t="s">
        <v>198</v>
      </c>
      <c r="P6016" s="297" t="s">
        <v>199</v>
      </c>
      <c r="Q6016" s="297" t="s">
        <v>200</v>
      </c>
      <c r="R6016" s="297" t="s">
        <v>213</v>
      </c>
      <c r="S6016" s="297" t="s">
        <v>214</v>
      </c>
    </row>
    <row r="6017" spans="1:19" x14ac:dyDescent="0.4">
      <c r="A6017" s="291"/>
      <c r="B6017" s="292"/>
      <c r="C6017" s="312"/>
      <c r="D6017" s="292"/>
      <c r="E6017" s="489"/>
      <c r="F6017" s="489"/>
      <c r="G6017" s="490"/>
      <c r="H6017" s="520"/>
      <c r="I6017" s="523"/>
      <c r="J6017" s="521"/>
      <c r="K6017" s="522"/>
      <c r="M6017" s="301" t="str">
        <f>N6017&amp;AS[[#This Row],[Insurer Code]]&amp;"; "&amp;O6017&amp;AS[[#This Row],[Reporting Year]]&amp;"; "&amp;P6017&amp;AS[[#This Row],[Insurance Category Code]]&amp;"; "&amp;Q6017&amp;AS[[#This Row],[Large Provider Entity Code]]&amp;"; "&amp;R6017&amp;AS[[#This Row],[Age Band Code]]&amp;"; "&amp;S6017&amp;AS[[#This Row],[Sex Code]]</f>
        <v xml:space="preserve">Insurer Code ; Reporting Year ; Insurance Category Code ; Large Provider Entity Code ; Age Band Code ; Sex Code </v>
      </c>
      <c r="N6017" s="297" t="s">
        <v>197</v>
      </c>
      <c r="O6017" s="297" t="s">
        <v>198</v>
      </c>
      <c r="P6017" s="297" t="s">
        <v>199</v>
      </c>
      <c r="Q6017" s="297" t="s">
        <v>200</v>
      </c>
      <c r="R6017" s="297" t="s">
        <v>213</v>
      </c>
      <c r="S6017" s="297" t="s">
        <v>214</v>
      </c>
    </row>
    <row r="6018" spans="1:19" x14ac:dyDescent="0.4">
      <c r="A6018" s="291"/>
      <c r="B6018" s="292"/>
      <c r="C6018" s="312"/>
      <c r="D6018" s="292"/>
      <c r="E6018" s="489"/>
      <c r="F6018" s="489"/>
      <c r="G6018" s="490"/>
      <c r="H6018" s="520"/>
      <c r="I6018" s="523"/>
      <c r="J6018" s="521"/>
      <c r="K6018" s="522"/>
      <c r="M6018" s="301" t="str">
        <f>N6018&amp;AS[[#This Row],[Insurer Code]]&amp;"; "&amp;O6018&amp;AS[[#This Row],[Reporting Year]]&amp;"; "&amp;P6018&amp;AS[[#This Row],[Insurance Category Code]]&amp;"; "&amp;Q6018&amp;AS[[#This Row],[Large Provider Entity Code]]&amp;"; "&amp;R6018&amp;AS[[#This Row],[Age Band Code]]&amp;"; "&amp;S6018&amp;AS[[#This Row],[Sex Code]]</f>
        <v xml:space="preserve">Insurer Code ; Reporting Year ; Insurance Category Code ; Large Provider Entity Code ; Age Band Code ; Sex Code </v>
      </c>
      <c r="N6018" s="297" t="s">
        <v>197</v>
      </c>
      <c r="O6018" s="297" t="s">
        <v>198</v>
      </c>
      <c r="P6018" s="297" t="s">
        <v>199</v>
      </c>
      <c r="Q6018" s="297" t="s">
        <v>200</v>
      </c>
      <c r="R6018" s="297" t="s">
        <v>213</v>
      </c>
      <c r="S6018" s="297" t="s">
        <v>214</v>
      </c>
    </row>
    <row r="6019" spans="1:19" x14ac:dyDescent="0.4">
      <c r="A6019" s="548"/>
      <c r="B6019" s="292"/>
      <c r="C6019" s="292"/>
      <c r="D6019" s="292"/>
      <c r="E6019" s="549"/>
      <c r="F6019" s="549"/>
      <c r="G6019" s="550"/>
      <c r="H6019" s="551"/>
      <c r="I6019" s="552"/>
      <c r="J6019" s="553"/>
      <c r="K6019" s="554"/>
      <c r="M6019" s="301" t="str">
        <f>N6019&amp;AS[[#This Row],[Insurer Code]]&amp;"; "&amp;O6019&amp;AS[[#This Row],[Reporting Year]]&amp;"; "&amp;P6019&amp;AS[[#This Row],[Insurance Category Code]]&amp;"; "&amp;Q6019&amp;AS[[#This Row],[Large Provider Entity Code]]&amp;"; "&amp;R6019&amp;AS[[#This Row],[Age Band Code]]&amp;"; "&amp;S6019&amp;AS[[#This Row],[Sex Code]]</f>
        <v xml:space="preserve">Insurer Code ; Reporting Year ; Insurance Category Code ; Large Provider Entity Code ; Age Band Code ; Sex Code </v>
      </c>
      <c r="N6019" s="297" t="s">
        <v>197</v>
      </c>
      <c r="O6019" s="297" t="s">
        <v>198</v>
      </c>
      <c r="P6019" s="297" t="s">
        <v>199</v>
      </c>
      <c r="Q6019" s="297" t="s">
        <v>200</v>
      </c>
      <c r="R6019" s="297" t="s">
        <v>213</v>
      </c>
      <c r="S6019" s="297" t="s">
        <v>214</v>
      </c>
    </row>
    <row r="6020" spans="1:19" x14ac:dyDescent="0.4">
      <c r="A6020" s="548"/>
      <c r="B6020" s="292"/>
      <c r="C6020" s="292"/>
      <c r="D6020" s="292"/>
      <c r="E6020" s="549"/>
      <c r="F6020" s="549"/>
      <c r="G6020" s="550"/>
      <c r="H6020" s="551"/>
      <c r="I6020" s="552"/>
      <c r="J6020" s="553"/>
      <c r="K6020" s="554"/>
      <c r="M6020" s="301" t="str">
        <f>N6020&amp;AS[[#This Row],[Insurer Code]]&amp;"; "&amp;O6020&amp;AS[[#This Row],[Reporting Year]]&amp;"; "&amp;P6020&amp;AS[[#This Row],[Insurance Category Code]]&amp;"; "&amp;Q6020&amp;AS[[#This Row],[Large Provider Entity Code]]&amp;"; "&amp;R6020&amp;AS[[#This Row],[Age Band Code]]&amp;"; "&amp;S6020&amp;AS[[#This Row],[Sex Code]]</f>
        <v xml:space="preserve">Insurer Code ; Reporting Year ; Insurance Category Code ; Large Provider Entity Code ; Age Band Code ; Sex Code </v>
      </c>
      <c r="N6020" s="297" t="s">
        <v>197</v>
      </c>
      <c r="O6020" s="297" t="s">
        <v>198</v>
      </c>
      <c r="P6020" s="297" t="s">
        <v>199</v>
      </c>
      <c r="Q6020" s="297" t="s">
        <v>200</v>
      </c>
      <c r="R6020" s="297" t="s">
        <v>213</v>
      </c>
      <c r="S6020" s="297" t="s">
        <v>214</v>
      </c>
    </row>
    <row r="6021" spans="1:19" x14ac:dyDescent="0.4">
      <c r="A6021" s="548"/>
      <c r="B6021" s="292"/>
      <c r="C6021" s="292"/>
      <c r="D6021" s="292"/>
      <c r="E6021" s="549"/>
      <c r="F6021" s="549"/>
      <c r="G6021" s="550"/>
      <c r="H6021" s="551"/>
      <c r="I6021" s="552"/>
      <c r="J6021" s="553"/>
      <c r="K6021" s="554"/>
      <c r="M6021" s="301" t="str">
        <f>N6021&amp;AS[[#This Row],[Insurer Code]]&amp;"; "&amp;O6021&amp;AS[[#This Row],[Reporting Year]]&amp;"; "&amp;P6021&amp;AS[[#This Row],[Insurance Category Code]]&amp;"; "&amp;Q6021&amp;AS[[#This Row],[Large Provider Entity Code]]&amp;"; "&amp;R6021&amp;AS[[#This Row],[Age Band Code]]&amp;"; "&amp;S6021&amp;AS[[#This Row],[Sex Code]]</f>
        <v xml:space="preserve">Insurer Code ; Reporting Year ; Insurance Category Code ; Large Provider Entity Code ; Age Band Code ; Sex Code </v>
      </c>
      <c r="N6021" s="297" t="s">
        <v>197</v>
      </c>
      <c r="O6021" s="297" t="s">
        <v>198</v>
      </c>
      <c r="P6021" s="297" t="s">
        <v>199</v>
      </c>
      <c r="Q6021" s="297" t="s">
        <v>200</v>
      </c>
      <c r="R6021" s="297" t="s">
        <v>213</v>
      </c>
      <c r="S6021" s="297" t="s">
        <v>214</v>
      </c>
    </row>
    <row r="6022" spans="1:19" x14ac:dyDescent="0.4">
      <c r="A6022" s="548"/>
      <c r="B6022" s="292"/>
      <c r="C6022" s="292"/>
      <c r="D6022" s="292"/>
      <c r="E6022" s="549"/>
      <c r="F6022" s="549"/>
      <c r="G6022" s="550"/>
      <c r="H6022" s="551"/>
      <c r="I6022" s="552"/>
      <c r="J6022" s="553"/>
      <c r="K6022" s="554"/>
      <c r="M6022" s="301" t="str">
        <f>N6022&amp;AS[[#This Row],[Insurer Code]]&amp;"; "&amp;O6022&amp;AS[[#This Row],[Reporting Year]]&amp;"; "&amp;P6022&amp;AS[[#This Row],[Insurance Category Code]]&amp;"; "&amp;Q6022&amp;AS[[#This Row],[Large Provider Entity Code]]&amp;"; "&amp;R6022&amp;AS[[#This Row],[Age Band Code]]&amp;"; "&amp;S6022&amp;AS[[#This Row],[Sex Code]]</f>
        <v xml:space="preserve">Insurer Code ; Reporting Year ; Insurance Category Code ; Large Provider Entity Code ; Age Band Code ; Sex Code </v>
      </c>
      <c r="N6022" s="297" t="s">
        <v>197</v>
      </c>
      <c r="O6022" s="297" t="s">
        <v>198</v>
      </c>
      <c r="P6022" s="297" t="s">
        <v>199</v>
      </c>
      <c r="Q6022" s="297" t="s">
        <v>200</v>
      </c>
      <c r="R6022" s="297" t="s">
        <v>213</v>
      </c>
      <c r="S6022" s="297" t="s">
        <v>214</v>
      </c>
    </row>
    <row r="6023" spans="1:19" x14ac:dyDescent="0.4">
      <c r="A6023" s="548"/>
      <c r="B6023" s="292"/>
      <c r="C6023" s="292"/>
      <c r="D6023" s="292"/>
      <c r="E6023" s="549"/>
      <c r="F6023" s="549"/>
      <c r="G6023" s="550"/>
      <c r="H6023" s="551"/>
      <c r="I6023" s="552"/>
      <c r="J6023" s="553"/>
      <c r="K6023" s="554"/>
      <c r="M6023" s="301" t="str">
        <f>N6023&amp;AS[[#This Row],[Insurer Code]]&amp;"; "&amp;O6023&amp;AS[[#This Row],[Reporting Year]]&amp;"; "&amp;P6023&amp;AS[[#This Row],[Insurance Category Code]]&amp;"; "&amp;Q6023&amp;AS[[#This Row],[Large Provider Entity Code]]&amp;"; "&amp;R6023&amp;AS[[#This Row],[Age Band Code]]&amp;"; "&amp;S6023&amp;AS[[#This Row],[Sex Code]]</f>
        <v xml:space="preserve">Insurer Code ; Reporting Year ; Insurance Category Code ; Large Provider Entity Code ; Age Band Code ; Sex Code </v>
      </c>
      <c r="N6023" s="297" t="s">
        <v>197</v>
      </c>
      <c r="O6023" s="297" t="s">
        <v>198</v>
      </c>
      <c r="P6023" s="297" t="s">
        <v>199</v>
      </c>
      <c r="Q6023" s="297" t="s">
        <v>200</v>
      </c>
      <c r="R6023" s="297" t="s">
        <v>213</v>
      </c>
      <c r="S6023" s="297" t="s">
        <v>214</v>
      </c>
    </row>
    <row r="6024" spans="1:19" x14ac:dyDescent="0.4">
      <c r="A6024" s="548"/>
      <c r="B6024" s="292"/>
      <c r="C6024" s="292"/>
      <c r="D6024" s="292"/>
      <c r="E6024" s="549"/>
      <c r="F6024" s="549"/>
      <c r="G6024" s="550"/>
      <c r="H6024" s="551"/>
      <c r="I6024" s="552"/>
      <c r="J6024" s="553"/>
      <c r="K6024" s="554"/>
      <c r="M6024" s="301" t="str">
        <f>N6024&amp;AS[[#This Row],[Insurer Code]]&amp;"; "&amp;O6024&amp;AS[[#This Row],[Reporting Year]]&amp;"; "&amp;P6024&amp;AS[[#This Row],[Insurance Category Code]]&amp;"; "&amp;Q6024&amp;AS[[#This Row],[Large Provider Entity Code]]&amp;"; "&amp;R6024&amp;AS[[#This Row],[Age Band Code]]&amp;"; "&amp;S6024&amp;AS[[#This Row],[Sex Code]]</f>
        <v xml:space="preserve">Insurer Code ; Reporting Year ; Insurance Category Code ; Large Provider Entity Code ; Age Band Code ; Sex Code </v>
      </c>
      <c r="N6024" s="297" t="s">
        <v>197</v>
      </c>
      <c r="O6024" s="297" t="s">
        <v>198</v>
      </c>
      <c r="P6024" s="297" t="s">
        <v>199</v>
      </c>
      <c r="Q6024" s="297" t="s">
        <v>200</v>
      </c>
      <c r="R6024" s="297" t="s">
        <v>213</v>
      </c>
      <c r="S6024" s="297" t="s">
        <v>214</v>
      </c>
    </row>
    <row r="6025" spans="1:19" x14ac:dyDescent="0.4">
      <c r="A6025" s="548"/>
      <c r="B6025" s="292"/>
      <c r="C6025" s="292"/>
      <c r="D6025" s="292"/>
      <c r="E6025" s="549"/>
      <c r="F6025" s="549"/>
      <c r="G6025" s="550"/>
      <c r="H6025" s="551"/>
      <c r="I6025" s="552"/>
      <c r="J6025" s="553"/>
      <c r="K6025" s="554"/>
      <c r="M6025" s="301" t="str">
        <f>N6025&amp;AS[[#This Row],[Insurer Code]]&amp;"; "&amp;O6025&amp;AS[[#This Row],[Reporting Year]]&amp;"; "&amp;P6025&amp;AS[[#This Row],[Insurance Category Code]]&amp;"; "&amp;Q6025&amp;AS[[#This Row],[Large Provider Entity Code]]&amp;"; "&amp;R6025&amp;AS[[#This Row],[Age Band Code]]&amp;"; "&amp;S6025&amp;AS[[#This Row],[Sex Code]]</f>
        <v xml:space="preserve">Insurer Code ; Reporting Year ; Insurance Category Code ; Large Provider Entity Code ; Age Band Code ; Sex Code </v>
      </c>
      <c r="N6025" s="297" t="s">
        <v>197</v>
      </c>
      <c r="O6025" s="297" t="s">
        <v>198</v>
      </c>
      <c r="P6025" s="297" t="s">
        <v>199</v>
      </c>
      <c r="Q6025" s="297" t="s">
        <v>200</v>
      </c>
      <c r="R6025" s="297" t="s">
        <v>213</v>
      </c>
      <c r="S6025" s="297" t="s">
        <v>214</v>
      </c>
    </row>
    <row r="6026" spans="1:19" x14ac:dyDescent="0.4">
      <c r="A6026" s="548"/>
      <c r="B6026" s="292"/>
      <c r="C6026" s="292"/>
      <c r="D6026" s="292"/>
      <c r="E6026" s="549"/>
      <c r="F6026" s="549"/>
      <c r="G6026" s="550"/>
      <c r="H6026" s="551"/>
      <c r="I6026" s="552"/>
      <c r="J6026" s="553"/>
      <c r="K6026" s="554"/>
      <c r="M6026" s="301" t="str">
        <f>N6026&amp;AS[[#This Row],[Insurer Code]]&amp;"; "&amp;O6026&amp;AS[[#This Row],[Reporting Year]]&amp;"; "&amp;P6026&amp;AS[[#This Row],[Insurance Category Code]]&amp;"; "&amp;Q6026&amp;AS[[#This Row],[Large Provider Entity Code]]&amp;"; "&amp;R6026&amp;AS[[#This Row],[Age Band Code]]&amp;"; "&amp;S6026&amp;AS[[#This Row],[Sex Code]]</f>
        <v xml:space="preserve">Insurer Code ; Reporting Year ; Insurance Category Code ; Large Provider Entity Code ; Age Band Code ; Sex Code </v>
      </c>
      <c r="N6026" s="297" t="s">
        <v>197</v>
      </c>
      <c r="O6026" s="297" t="s">
        <v>198</v>
      </c>
      <c r="P6026" s="297" t="s">
        <v>199</v>
      </c>
      <c r="Q6026" s="297" t="s">
        <v>200</v>
      </c>
      <c r="R6026" s="297" t="s">
        <v>213</v>
      </c>
      <c r="S6026" s="297" t="s">
        <v>214</v>
      </c>
    </row>
    <row r="6027" spans="1:19" x14ac:dyDescent="0.4">
      <c r="A6027" s="548"/>
      <c r="B6027" s="292"/>
      <c r="C6027" s="292"/>
      <c r="D6027" s="292"/>
      <c r="E6027" s="549"/>
      <c r="F6027" s="549"/>
      <c r="G6027" s="550"/>
      <c r="H6027" s="551"/>
      <c r="I6027" s="552"/>
      <c r="J6027" s="553"/>
      <c r="K6027" s="554"/>
      <c r="M6027" s="301" t="str">
        <f>N6027&amp;AS[[#This Row],[Insurer Code]]&amp;"; "&amp;O6027&amp;AS[[#This Row],[Reporting Year]]&amp;"; "&amp;P6027&amp;AS[[#This Row],[Insurance Category Code]]&amp;"; "&amp;Q6027&amp;AS[[#This Row],[Large Provider Entity Code]]&amp;"; "&amp;R6027&amp;AS[[#This Row],[Age Band Code]]&amp;"; "&amp;S6027&amp;AS[[#This Row],[Sex Code]]</f>
        <v xml:space="preserve">Insurer Code ; Reporting Year ; Insurance Category Code ; Large Provider Entity Code ; Age Band Code ; Sex Code </v>
      </c>
      <c r="N6027" s="297" t="s">
        <v>197</v>
      </c>
      <c r="O6027" s="297" t="s">
        <v>198</v>
      </c>
      <c r="P6027" s="297" t="s">
        <v>199</v>
      </c>
      <c r="Q6027" s="297" t="s">
        <v>200</v>
      </c>
      <c r="R6027" s="297" t="s">
        <v>213</v>
      </c>
      <c r="S6027" s="297" t="s">
        <v>214</v>
      </c>
    </row>
    <row r="6028" spans="1:19" x14ac:dyDescent="0.4">
      <c r="A6028" s="548"/>
      <c r="B6028" s="292"/>
      <c r="C6028" s="292"/>
      <c r="D6028" s="292"/>
      <c r="E6028" s="549"/>
      <c r="F6028" s="549"/>
      <c r="G6028" s="550"/>
      <c r="H6028" s="551"/>
      <c r="I6028" s="552"/>
      <c r="J6028" s="553"/>
      <c r="K6028" s="554"/>
      <c r="M6028" s="301" t="str">
        <f>N6028&amp;AS[[#This Row],[Insurer Code]]&amp;"; "&amp;O6028&amp;AS[[#This Row],[Reporting Year]]&amp;"; "&amp;P6028&amp;AS[[#This Row],[Insurance Category Code]]&amp;"; "&amp;Q6028&amp;AS[[#This Row],[Large Provider Entity Code]]&amp;"; "&amp;R6028&amp;AS[[#This Row],[Age Band Code]]&amp;"; "&amp;S6028&amp;AS[[#This Row],[Sex Code]]</f>
        <v xml:space="preserve">Insurer Code ; Reporting Year ; Insurance Category Code ; Large Provider Entity Code ; Age Band Code ; Sex Code </v>
      </c>
      <c r="N6028" s="297" t="s">
        <v>197</v>
      </c>
      <c r="O6028" s="297" t="s">
        <v>198</v>
      </c>
      <c r="P6028" s="297" t="s">
        <v>199</v>
      </c>
      <c r="Q6028" s="297" t="s">
        <v>200</v>
      </c>
      <c r="R6028" s="297" t="s">
        <v>213</v>
      </c>
      <c r="S6028" s="297" t="s">
        <v>214</v>
      </c>
    </row>
    <row r="6029" spans="1:19" x14ac:dyDescent="0.4">
      <c r="A6029" s="548"/>
      <c r="B6029" s="292"/>
      <c r="C6029" s="292"/>
      <c r="D6029" s="292"/>
      <c r="E6029" s="549"/>
      <c r="F6029" s="549"/>
      <c r="G6029" s="550"/>
      <c r="H6029" s="551"/>
      <c r="I6029" s="552"/>
      <c r="J6029" s="553"/>
      <c r="K6029" s="554"/>
      <c r="M6029" s="301" t="str">
        <f>N6029&amp;AS[[#This Row],[Insurer Code]]&amp;"; "&amp;O6029&amp;AS[[#This Row],[Reporting Year]]&amp;"; "&amp;P6029&amp;AS[[#This Row],[Insurance Category Code]]&amp;"; "&amp;Q6029&amp;AS[[#This Row],[Large Provider Entity Code]]&amp;"; "&amp;R6029&amp;AS[[#This Row],[Age Band Code]]&amp;"; "&amp;S6029&amp;AS[[#This Row],[Sex Code]]</f>
        <v xml:space="preserve">Insurer Code ; Reporting Year ; Insurance Category Code ; Large Provider Entity Code ; Age Band Code ; Sex Code </v>
      </c>
      <c r="N6029" s="297" t="s">
        <v>197</v>
      </c>
      <c r="O6029" s="297" t="s">
        <v>198</v>
      </c>
      <c r="P6029" s="297" t="s">
        <v>199</v>
      </c>
      <c r="Q6029" s="297" t="s">
        <v>200</v>
      </c>
      <c r="R6029" s="297" t="s">
        <v>213</v>
      </c>
      <c r="S6029" s="297" t="s">
        <v>214</v>
      </c>
    </row>
    <row r="6030" spans="1:19" x14ac:dyDescent="0.4">
      <c r="A6030" s="548"/>
      <c r="B6030" s="292"/>
      <c r="C6030" s="292"/>
      <c r="D6030" s="292"/>
      <c r="E6030" s="549"/>
      <c r="F6030" s="549"/>
      <c r="G6030" s="550"/>
      <c r="H6030" s="551"/>
      <c r="I6030" s="552"/>
      <c r="J6030" s="553"/>
      <c r="K6030" s="554"/>
      <c r="M6030" s="301" t="str">
        <f>N6030&amp;AS[[#This Row],[Insurer Code]]&amp;"; "&amp;O6030&amp;AS[[#This Row],[Reporting Year]]&amp;"; "&amp;P6030&amp;AS[[#This Row],[Insurance Category Code]]&amp;"; "&amp;Q6030&amp;AS[[#This Row],[Large Provider Entity Code]]&amp;"; "&amp;R6030&amp;AS[[#This Row],[Age Band Code]]&amp;"; "&amp;S6030&amp;AS[[#This Row],[Sex Code]]</f>
        <v xml:space="preserve">Insurer Code ; Reporting Year ; Insurance Category Code ; Large Provider Entity Code ; Age Band Code ; Sex Code </v>
      </c>
      <c r="N6030" s="297" t="s">
        <v>197</v>
      </c>
      <c r="O6030" s="297" t="s">
        <v>198</v>
      </c>
      <c r="P6030" s="297" t="s">
        <v>199</v>
      </c>
      <c r="Q6030" s="297" t="s">
        <v>200</v>
      </c>
      <c r="R6030" s="297" t="s">
        <v>213</v>
      </c>
      <c r="S6030" s="297" t="s">
        <v>214</v>
      </c>
    </row>
    <row r="6031" spans="1:19" x14ac:dyDescent="0.4">
      <c r="A6031" s="548"/>
      <c r="B6031" s="292"/>
      <c r="C6031" s="292"/>
      <c r="D6031" s="292"/>
      <c r="E6031" s="549"/>
      <c r="F6031" s="549"/>
      <c r="G6031" s="550"/>
      <c r="H6031" s="551"/>
      <c r="I6031" s="552"/>
      <c r="J6031" s="553"/>
      <c r="K6031" s="554"/>
      <c r="M6031" s="301" t="str">
        <f>N6031&amp;AS[[#This Row],[Insurer Code]]&amp;"; "&amp;O6031&amp;AS[[#This Row],[Reporting Year]]&amp;"; "&amp;P6031&amp;AS[[#This Row],[Insurance Category Code]]&amp;"; "&amp;Q6031&amp;AS[[#This Row],[Large Provider Entity Code]]&amp;"; "&amp;R6031&amp;AS[[#This Row],[Age Band Code]]&amp;"; "&amp;S6031&amp;AS[[#This Row],[Sex Code]]</f>
        <v xml:space="preserve">Insurer Code ; Reporting Year ; Insurance Category Code ; Large Provider Entity Code ; Age Band Code ; Sex Code </v>
      </c>
      <c r="N6031" s="297" t="s">
        <v>197</v>
      </c>
      <c r="O6031" s="297" t="s">
        <v>198</v>
      </c>
      <c r="P6031" s="297" t="s">
        <v>199</v>
      </c>
      <c r="Q6031" s="297" t="s">
        <v>200</v>
      </c>
      <c r="R6031" s="297" t="s">
        <v>213</v>
      </c>
      <c r="S6031" s="297" t="s">
        <v>214</v>
      </c>
    </row>
    <row r="6032" spans="1:19" x14ac:dyDescent="0.4">
      <c r="A6032" s="548"/>
      <c r="B6032" s="292"/>
      <c r="C6032" s="292"/>
      <c r="D6032" s="292"/>
      <c r="E6032" s="549"/>
      <c r="F6032" s="549"/>
      <c r="G6032" s="550"/>
      <c r="H6032" s="551"/>
      <c r="I6032" s="552"/>
      <c r="J6032" s="553"/>
      <c r="K6032" s="554"/>
      <c r="M6032" s="301" t="str">
        <f>N6032&amp;AS[[#This Row],[Insurer Code]]&amp;"; "&amp;O6032&amp;AS[[#This Row],[Reporting Year]]&amp;"; "&amp;P6032&amp;AS[[#This Row],[Insurance Category Code]]&amp;"; "&amp;Q6032&amp;AS[[#This Row],[Large Provider Entity Code]]&amp;"; "&amp;R6032&amp;AS[[#This Row],[Age Band Code]]&amp;"; "&amp;S6032&amp;AS[[#This Row],[Sex Code]]</f>
        <v xml:space="preserve">Insurer Code ; Reporting Year ; Insurance Category Code ; Large Provider Entity Code ; Age Band Code ; Sex Code </v>
      </c>
      <c r="N6032" s="297" t="s">
        <v>197</v>
      </c>
      <c r="O6032" s="297" t="s">
        <v>198</v>
      </c>
      <c r="P6032" s="297" t="s">
        <v>199</v>
      </c>
      <c r="Q6032" s="297" t="s">
        <v>200</v>
      </c>
      <c r="R6032" s="297" t="s">
        <v>213</v>
      </c>
      <c r="S6032" s="297" t="s">
        <v>214</v>
      </c>
    </row>
    <row r="6033" spans="1:19" x14ac:dyDescent="0.4">
      <c r="A6033" s="548"/>
      <c r="B6033" s="292"/>
      <c r="C6033" s="292"/>
      <c r="D6033" s="292"/>
      <c r="E6033" s="549"/>
      <c r="F6033" s="549"/>
      <c r="G6033" s="550"/>
      <c r="H6033" s="551"/>
      <c r="I6033" s="552"/>
      <c r="J6033" s="553"/>
      <c r="K6033" s="554"/>
      <c r="M6033" s="301" t="str">
        <f>N6033&amp;AS[[#This Row],[Insurer Code]]&amp;"; "&amp;O6033&amp;AS[[#This Row],[Reporting Year]]&amp;"; "&amp;P6033&amp;AS[[#This Row],[Insurance Category Code]]&amp;"; "&amp;Q6033&amp;AS[[#This Row],[Large Provider Entity Code]]&amp;"; "&amp;R6033&amp;AS[[#This Row],[Age Band Code]]&amp;"; "&amp;S6033&amp;AS[[#This Row],[Sex Code]]</f>
        <v xml:space="preserve">Insurer Code ; Reporting Year ; Insurance Category Code ; Large Provider Entity Code ; Age Band Code ; Sex Code </v>
      </c>
      <c r="N6033" s="297" t="s">
        <v>197</v>
      </c>
      <c r="O6033" s="297" t="s">
        <v>198</v>
      </c>
      <c r="P6033" s="297" t="s">
        <v>199</v>
      </c>
      <c r="Q6033" s="297" t="s">
        <v>200</v>
      </c>
      <c r="R6033" s="297" t="s">
        <v>213</v>
      </c>
      <c r="S6033" s="297" t="s">
        <v>214</v>
      </c>
    </row>
    <row r="6034" spans="1:19" x14ac:dyDescent="0.4">
      <c r="A6034" s="548"/>
      <c r="B6034" s="292"/>
      <c r="C6034" s="292"/>
      <c r="D6034" s="292"/>
      <c r="E6034" s="549"/>
      <c r="F6034" s="549"/>
      <c r="G6034" s="550"/>
      <c r="H6034" s="551"/>
      <c r="I6034" s="552"/>
      <c r="J6034" s="553"/>
      <c r="K6034" s="554"/>
      <c r="M6034" s="301" t="str">
        <f>N6034&amp;AS[[#This Row],[Insurer Code]]&amp;"; "&amp;O6034&amp;AS[[#This Row],[Reporting Year]]&amp;"; "&amp;P6034&amp;AS[[#This Row],[Insurance Category Code]]&amp;"; "&amp;Q6034&amp;AS[[#This Row],[Large Provider Entity Code]]&amp;"; "&amp;R6034&amp;AS[[#This Row],[Age Band Code]]&amp;"; "&amp;S6034&amp;AS[[#This Row],[Sex Code]]</f>
        <v xml:space="preserve">Insurer Code ; Reporting Year ; Insurance Category Code ; Large Provider Entity Code ; Age Band Code ; Sex Code </v>
      </c>
      <c r="N6034" s="297" t="s">
        <v>197</v>
      </c>
      <c r="O6034" s="297" t="s">
        <v>198</v>
      </c>
      <c r="P6034" s="297" t="s">
        <v>199</v>
      </c>
      <c r="Q6034" s="297" t="s">
        <v>200</v>
      </c>
      <c r="R6034" s="297" t="s">
        <v>213</v>
      </c>
      <c r="S6034" s="297" t="s">
        <v>214</v>
      </c>
    </row>
    <row r="6035" spans="1:19" x14ac:dyDescent="0.4">
      <c r="A6035" s="548"/>
      <c r="B6035" s="292"/>
      <c r="C6035" s="292"/>
      <c r="D6035" s="292"/>
      <c r="E6035" s="549"/>
      <c r="F6035" s="549"/>
      <c r="G6035" s="550"/>
      <c r="H6035" s="551"/>
      <c r="I6035" s="552"/>
      <c r="J6035" s="553"/>
      <c r="K6035" s="554"/>
      <c r="M6035" s="301" t="str">
        <f>N6035&amp;AS[[#This Row],[Insurer Code]]&amp;"; "&amp;O6035&amp;AS[[#This Row],[Reporting Year]]&amp;"; "&amp;P6035&amp;AS[[#This Row],[Insurance Category Code]]&amp;"; "&amp;Q6035&amp;AS[[#This Row],[Large Provider Entity Code]]&amp;"; "&amp;R6035&amp;AS[[#This Row],[Age Band Code]]&amp;"; "&amp;S6035&amp;AS[[#This Row],[Sex Code]]</f>
        <v xml:space="preserve">Insurer Code ; Reporting Year ; Insurance Category Code ; Large Provider Entity Code ; Age Band Code ; Sex Code </v>
      </c>
      <c r="N6035" s="297" t="s">
        <v>197</v>
      </c>
      <c r="O6035" s="297" t="s">
        <v>198</v>
      </c>
      <c r="P6035" s="297" t="s">
        <v>199</v>
      </c>
      <c r="Q6035" s="297" t="s">
        <v>200</v>
      </c>
      <c r="R6035" s="297" t="s">
        <v>213</v>
      </c>
      <c r="S6035" s="297" t="s">
        <v>214</v>
      </c>
    </row>
    <row r="6036" spans="1:19" x14ac:dyDescent="0.4">
      <c r="A6036" s="548"/>
      <c r="B6036" s="292"/>
      <c r="C6036" s="292"/>
      <c r="D6036" s="292"/>
      <c r="E6036" s="549"/>
      <c r="F6036" s="549"/>
      <c r="G6036" s="550"/>
      <c r="H6036" s="551"/>
      <c r="I6036" s="552"/>
      <c r="J6036" s="553"/>
      <c r="K6036" s="554"/>
      <c r="M6036" s="301" t="str">
        <f>N6036&amp;AS[[#This Row],[Insurer Code]]&amp;"; "&amp;O6036&amp;AS[[#This Row],[Reporting Year]]&amp;"; "&amp;P6036&amp;AS[[#This Row],[Insurance Category Code]]&amp;"; "&amp;Q6036&amp;AS[[#This Row],[Large Provider Entity Code]]&amp;"; "&amp;R6036&amp;AS[[#This Row],[Age Band Code]]&amp;"; "&amp;S6036&amp;AS[[#This Row],[Sex Code]]</f>
        <v xml:space="preserve">Insurer Code ; Reporting Year ; Insurance Category Code ; Large Provider Entity Code ; Age Band Code ; Sex Code </v>
      </c>
      <c r="N6036" s="297" t="s">
        <v>197</v>
      </c>
      <c r="O6036" s="297" t="s">
        <v>198</v>
      </c>
      <c r="P6036" s="297" t="s">
        <v>199</v>
      </c>
      <c r="Q6036" s="297" t="s">
        <v>200</v>
      </c>
      <c r="R6036" s="297" t="s">
        <v>213</v>
      </c>
      <c r="S6036" s="297" t="s">
        <v>214</v>
      </c>
    </row>
    <row r="6037" spans="1:19" x14ac:dyDescent="0.4">
      <c r="A6037" s="548"/>
      <c r="B6037" s="292"/>
      <c r="C6037" s="292"/>
      <c r="D6037" s="292"/>
      <c r="E6037" s="549"/>
      <c r="F6037" s="549"/>
      <c r="G6037" s="550"/>
      <c r="H6037" s="551"/>
      <c r="I6037" s="552"/>
      <c r="J6037" s="553"/>
      <c r="K6037" s="554"/>
      <c r="M6037" s="301" t="str">
        <f>N6037&amp;AS[[#This Row],[Insurer Code]]&amp;"; "&amp;O6037&amp;AS[[#This Row],[Reporting Year]]&amp;"; "&amp;P6037&amp;AS[[#This Row],[Insurance Category Code]]&amp;"; "&amp;Q6037&amp;AS[[#This Row],[Large Provider Entity Code]]&amp;"; "&amp;R6037&amp;AS[[#This Row],[Age Band Code]]&amp;"; "&amp;S6037&amp;AS[[#This Row],[Sex Code]]</f>
        <v xml:space="preserve">Insurer Code ; Reporting Year ; Insurance Category Code ; Large Provider Entity Code ; Age Band Code ; Sex Code </v>
      </c>
      <c r="N6037" s="297" t="s">
        <v>197</v>
      </c>
      <c r="O6037" s="297" t="s">
        <v>198</v>
      </c>
      <c r="P6037" s="297" t="s">
        <v>199</v>
      </c>
      <c r="Q6037" s="297" t="s">
        <v>200</v>
      </c>
      <c r="R6037" s="297" t="s">
        <v>213</v>
      </c>
      <c r="S6037" s="297" t="s">
        <v>214</v>
      </c>
    </row>
    <row r="6038" spans="1:19" x14ac:dyDescent="0.4">
      <c r="A6038" s="548"/>
      <c r="B6038" s="292"/>
      <c r="C6038" s="292"/>
      <c r="D6038" s="292"/>
      <c r="E6038" s="549"/>
      <c r="F6038" s="549"/>
      <c r="G6038" s="550"/>
      <c r="H6038" s="551"/>
      <c r="I6038" s="552"/>
      <c r="J6038" s="553"/>
      <c r="K6038" s="554"/>
      <c r="M6038" s="301" t="str">
        <f>N6038&amp;AS[[#This Row],[Insurer Code]]&amp;"; "&amp;O6038&amp;AS[[#This Row],[Reporting Year]]&amp;"; "&amp;P6038&amp;AS[[#This Row],[Insurance Category Code]]&amp;"; "&amp;Q6038&amp;AS[[#This Row],[Large Provider Entity Code]]&amp;"; "&amp;R6038&amp;AS[[#This Row],[Age Band Code]]&amp;"; "&amp;S6038&amp;AS[[#This Row],[Sex Code]]</f>
        <v xml:space="preserve">Insurer Code ; Reporting Year ; Insurance Category Code ; Large Provider Entity Code ; Age Band Code ; Sex Code </v>
      </c>
      <c r="N6038" s="297" t="s">
        <v>197</v>
      </c>
      <c r="O6038" s="297" t="s">
        <v>198</v>
      </c>
      <c r="P6038" s="297" t="s">
        <v>199</v>
      </c>
      <c r="Q6038" s="297" t="s">
        <v>200</v>
      </c>
      <c r="R6038" s="297" t="s">
        <v>213</v>
      </c>
      <c r="S6038" s="297" t="s">
        <v>214</v>
      </c>
    </row>
    <row r="6039" spans="1:19" x14ac:dyDescent="0.4">
      <c r="A6039" s="548"/>
      <c r="B6039" s="292"/>
      <c r="C6039" s="292"/>
      <c r="D6039" s="292"/>
      <c r="E6039" s="549"/>
      <c r="F6039" s="549"/>
      <c r="G6039" s="550"/>
      <c r="H6039" s="551"/>
      <c r="I6039" s="552"/>
      <c r="J6039" s="553"/>
      <c r="K6039" s="554"/>
      <c r="M6039" s="301" t="str">
        <f>N6039&amp;AS[[#This Row],[Insurer Code]]&amp;"; "&amp;O6039&amp;AS[[#This Row],[Reporting Year]]&amp;"; "&amp;P6039&amp;AS[[#This Row],[Insurance Category Code]]&amp;"; "&amp;Q6039&amp;AS[[#This Row],[Large Provider Entity Code]]&amp;"; "&amp;R6039&amp;AS[[#This Row],[Age Band Code]]&amp;"; "&amp;S6039&amp;AS[[#This Row],[Sex Code]]</f>
        <v xml:space="preserve">Insurer Code ; Reporting Year ; Insurance Category Code ; Large Provider Entity Code ; Age Band Code ; Sex Code </v>
      </c>
      <c r="N6039" s="297" t="s">
        <v>197</v>
      </c>
      <c r="O6039" s="297" t="s">
        <v>198</v>
      </c>
      <c r="P6039" s="297" t="s">
        <v>199</v>
      </c>
      <c r="Q6039" s="297" t="s">
        <v>200</v>
      </c>
      <c r="R6039" s="297" t="s">
        <v>213</v>
      </c>
      <c r="S6039" s="297" t="s">
        <v>214</v>
      </c>
    </row>
    <row r="6040" spans="1:19" x14ac:dyDescent="0.4">
      <c r="A6040" s="548"/>
      <c r="B6040" s="292"/>
      <c r="C6040" s="292"/>
      <c r="D6040" s="292"/>
      <c r="E6040" s="549"/>
      <c r="F6040" s="549"/>
      <c r="G6040" s="550"/>
      <c r="H6040" s="551"/>
      <c r="I6040" s="552"/>
      <c r="J6040" s="553"/>
      <c r="K6040" s="554"/>
      <c r="M6040" s="301" t="str">
        <f>N6040&amp;AS[[#This Row],[Insurer Code]]&amp;"; "&amp;O6040&amp;AS[[#This Row],[Reporting Year]]&amp;"; "&amp;P6040&amp;AS[[#This Row],[Insurance Category Code]]&amp;"; "&amp;Q6040&amp;AS[[#This Row],[Large Provider Entity Code]]&amp;"; "&amp;R6040&amp;AS[[#This Row],[Age Band Code]]&amp;"; "&amp;S6040&amp;AS[[#This Row],[Sex Code]]</f>
        <v xml:space="preserve">Insurer Code ; Reporting Year ; Insurance Category Code ; Large Provider Entity Code ; Age Band Code ; Sex Code </v>
      </c>
      <c r="N6040" s="297" t="s">
        <v>197</v>
      </c>
      <c r="O6040" s="297" t="s">
        <v>198</v>
      </c>
      <c r="P6040" s="297" t="s">
        <v>199</v>
      </c>
      <c r="Q6040" s="297" t="s">
        <v>200</v>
      </c>
      <c r="R6040" s="297" t="s">
        <v>213</v>
      </c>
      <c r="S6040" s="297" t="s">
        <v>214</v>
      </c>
    </row>
    <row r="6041" spans="1:19" x14ac:dyDescent="0.4">
      <c r="A6041" s="548"/>
      <c r="B6041" s="292"/>
      <c r="C6041" s="292"/>
      <c r="D6041" s="292"/>
      <c r="E6041" s="549"/>
      <c r="F6041" s="549"/>
      <c r="G6041" s="550"/>
      <c r="H6041" s="551"/>
      <c r="I6041" s="552"/>
      <c r="J6041" s="553"/>
      <c r="K6041" s="554"/>
      <c r="M6041" s="301" t="str">
        <f>N6041&amp;AS[[#This Row],[Insurer Code]]&amp;"; "&amp;O6041&amp;AS[[#This Row],[Reporting Year]]&amp;"; "&amp;P6041&amp;AS[[#This Row],[Insurance Category Code]]&amp;"; "&amp;Q6041&amp;AS[[#This Row],[Large Provider Entity Code]]&amp;"; "&amp;R6041&amp;AS[[#This Row],[Age Band Code]]&amp;"; "&amp;S6041&amp;AS[[#This Row],[Sex Code]]</f>
        <v xml:space="preserve">Insurer Code ; Reporting Year ; Insurance Category Code ; Large Provider Entity Code ; Age Band Code ; Sex Code </v>
      </c>
      <c r="N6041" s="297" t="s">
        <v>197</v>
      </c>
      <c r="O6041" s="297" t="s">
        <v>198</v>
      </c>
      <c r="P6041" s="297" t="s">
        <v>199</v>
      </c>
      <c r="Q6041" s="297" t="s">
        <v>200</v>
      </c>
      <c r="R6041" s="297" t="s">
        <v>213</v>
      </c>
      <c r="S6041" s="297" t="s">
        <v>214</v>
      </c>
    </row>
    <row r="6042" spans="1:19" x14ac:dyDescent="0.4">
      <c r="A6042" s="548"/>
      <c r="B6042" s="292"/>
      <c r="C6042" s="292"/>
      <c r="D6042" s="292"/>
      <c r="E6042" s="549"/>
      <c r="F6042" s="549"/>
      <c r="G6042" s="550"/>
      <c r="H6042" s="551"/>
      <c r="I6042" s="552"/>
      <c r="J6042" s="553"/>
      <c r="K6042" s="554"/>
      <c r="M6042" s="301" t="str">
        <f>N6042&amp;AS[[#This Row],[Insurer Code]]&amp;"; "&amp;O6042&amp;AS[[#This Row],[Reporting Year]]&amp;"; "&amp;P6042&amp;AS[[#This Row],[Insurance Category Code]]&amp;"; "&amp;Q6042&amp;AS[[#This Row],[Large Provider Entity Code]]&amp;"; "&amp;R6042&amp;AS[[#This Row],[Age Band Code]]&amp;"; "&amp;S6042&amp;AS[[#This Row],[Sex Code]]</f>
        <v xml:space="preserve">Insurer Code ; Reporting Year ; Insurance Category Code ; Large Provider Entity Code ; Age Band Code ; Sex Code </v>
      </c>
      <c r="N6042" s="297" t="s">
        <v>197</v>
      </c>
      <c r="O6042" s="297" t="s">
        <v>198</v>
      </c>
      <c r="P6042" s="297" t="s">
        <v>199</v>
      </c>
      <c r="Q6042" s="297" t="s">
        <v>200</v>
      </c>
      <c r="R6042" s="297" t="s">
        <v>213</v>
      </c>
      <c r="S6042" s="297" t="s">
        <v>214</v>
      </c>
    </row>
    <row r="6043" spans="1:19" x14ac:dyDescent="0.4">
      <c r="A6043" s="548"/>
      <c r="B6043" s="292"/>
      <c r="C6043" s="292"/>
      <c r="D6043" s="292"/>
      <c r="E6043" s="549"/>
      <c r="F6043" s="549"/>
      <c r="G6043" s="550"/>
      <c r="H6043" s="551"/>
      <c r="I6043" s="552"/>
      <c r="J6043" s="553"/>
      <c r="K6043" s="554"/>
      <c r="M6043" s="301" t="str">
        <f>N6043&amp;AS[[#This Row],[Insurer Code]]&amp;"; "&amp;O6043&amp;AS[[#This Row],[Reporting Year]]&amp;"; "&amp;P6043&amp;AS[[#This Row],[Insurance Category Code]]&amp;"; "&amp;Q6043&amp;AS[[#This Row],[Large Provider Entity Code]]&amp;"; "&amp;R6043&amp;AS[[#This Row],[Age Band Code]]&amp;"; "&amp;S6043&amp;AS[[#This Row],[Sex Code]]</f>
        <v xml:space="preserve">Insurer Code ; Reporting Year ; Insurance Category Code ; Large Provider Entity Code ; Age Band Code ; Sex Code </v>
      </c>
      <c r="N6043" s="297" t="s">
        <v>197</v>
      </c>
      <c r="O6043" s="297" t="s">
        <v>198</v>
      </c>
      <c r="P6043" s="297" t="s">
        <v>199</v>
      </c>
      <c r="Q6043" s="297" t="s">
        <v>200</v>
      </c>
      <c r="R6043" s="297" t="s">
        <v>213</v>
      </c>
      <c r="S6043" s="297" t="s">
        <v>214</v>
      </c>
    </row>
    <row r="6044" spans="1:19" x14ac:dyDescent="0.4">
      <c r="A6044" s="548"/>
      <c r="B6044" s="292"/>
      <c r="C6044" s="292"/>
      <c r="D6044" s="292"/>
      <c r="E6044" s="549"/>
      <c r="F6044" s="549"/>
      <c r="G6044" s="550"/>
      <c r="H6044" s="551"/>
      <c r="I6044" s="552"/>
      <c r="J6044" s="553"/>
      <c r="K6044" s="554"/>
      <c r="M6044" s="301" t="str">
        <f>N6044&amp;AS[[#This Row],[Insurer Code]]&amp;"; "&amp;O6044&amp;AS[[#This Row],[Reporting Year]]&amp;"; "&amp;P6044&amp;AS[[#This Row],[Insurance Category Code]]&amp;"; "&amp;Q6044&amp;AS[[#This Row],[Large Provider Entity Code]]&amp;"; "&amp;R6044&amp;AS[[#This Row],[Age Band Code]]&amp;"; "&amp;S6044&amp;AS[[#This Row],[Sex Code]]</f>
        <v xml:space="preserve">Insurer Code ; Reporting Year ; Insurance Category Code ; Large Provider Entity Code ; Age Band Code ; Sex Code </v>
      </c>
      <c r="N6044" s="297" t="s">
        <v>197</v>
      </c>
      <c r="O6044" s="297" t="s">
        <v>198</v>
      </c>
      <c r="P6044" s="297" t="s">
        <v>199</v>
      </c>
      <c r="Q6044" s="297" t="s">
        <v>200</v>
      </c>
      <c r="R6044" s="297" t="s">
        <v>213</v>
      </c>
      <c r="S6044" s="297" t="s">
        <v>214</v>
      </c>
    </row>
    <row r="6045" spans="1:19" x14ac:dyDescent="0.4">
      <c r="A6045" s="548"/>
      <c r="B6045" s="292"/>
      <c r="C6045" s="292"/>
      <c r="D6045" s="292"/>
      <c r="E6045" s="549"/>
      <c r="F6045" s="549"/>
      <c r="G6045" s="550"/>
      <c r="H6045" s="551"/>
      <c r="I6045" s="552"/>
      <c r="J6045" s="553"/>
      <c r="K6045" s="554"/>
      <c r="M6045" s="301" t="str">
        <f>N6045&amp;AS[[#This Row],[Insurer Code]]&amp;"; "&amp;O6045&amp;AS[[#This Row],[Reporting Year]]&amp;"; "&amp;P6045&amp;AS[[#This Row],[Insurance Category Code]]&amp;"; "&amp;Q6045&amp;AS[[#This Row],[Large Provider Entity Code]]&amp;"; "&amp;R6045&amp;AS[[#This Row],[Age Band Code]]&amp;"; "&amp;S6045&amp;AS[[#This Row],[Sex Code]]</f>
        <v xml:space="preserve">Insurer Code ; Reporting Year ; Insurance Category Code ; Large Provider Entity Code ; Age Band Code ; Sex Code </v>
      </c>
      <c r="N6045" s="297" t="s">
        <v>197</v>
      </c>
      <c r="O6045" s="297" t="s">
        <v>198</v>
      </c>
      <c r="P6045" s="297" t="s">
        <v>199</v>
      </c>
      <c r="Q6045" s="297" t="s">
        <v>200</v>
      </c>
      <c r="R6045" s="297" t="s">
        <v>213</v>
      </c>
      <c r="S6045" s="297" t="s">
        <v>214</v>
      </c>
    </row>
    <row r="6046" spans="1:19" x14ac:dyDescent="0.4">
      <c r="A6046" s="548"/>
      <c r="B6046" s="292"/>
      <c r="C6046" s="292"/>
      <c r="D6046" s="292"/>
      <c r="E6046" s="549"/>
      <c r="F6046" s="549"/>
      <c r="G6046" s="550"/>
      <c r="H6046" s="551"/>
      <c r="I6046" s="552"/>
      <c r="J6046" s="553"/>
      <c r="K6046" s="554"/>
      <c r="M6046" s="301" t="str">
        <f>N6046&amp;AS[[#This Row],[Insurer Code]]&amp;"; "&amp;O6046&amp;AS[[#This Row],[Reporting Year]]&amp;"; "&amp;P6046&amp;AS[[#This Row],[Insurance Category Code]]&amp;"; "&amp;Q6046&amp;AS[[#This Row],[Large Provider Entity Code]]&amp;"; "&amp;R6046&amp;AS[[#This Row],[Age Band Code]]&amp;"; "&amp;S6046&amp;AS[[#This Row],[Sex Code]]</f>
        <v xml:space="preserve">Insurer Code ; Reporting Year ; Insurance Category Code ; Large Provider Entity Code ; Age Band Code ; Sex Code </v>
      </c>
      <c r="N6046" s="297" t="s">
        <v>197</v>
      </c>
      <c r="O6046" s="297" t="s">
        <v>198</v>
      </c>
      <c r="P6046" s="297" t="s">
        <v>199</v>
      </c>
      <c r="Q6046" s="297" t="s">
        <v>200</v>
      </c>
      <c r="R6046" s="297" t="s">
        <v>213</v>
      </c>
      <c r="S6046" s="297" t="s">
        <v>214</v>
      </c>
    </row>
    <row r="6047" spans="1:19" x14ac:dyDescent="0.4">
      <c r="A6047" s="548"/>
      <c r="B6047" s="292"/>
      <c r="C6047" s="292"/>
      <c r="D6047" s="292"/>
      <c r="E6047" s="549"/>
      <c r="F6047" s="549"/>
      <c r="G6047" s="550"/>
      <c r="H6047" s="551"/>
      <c r="I6047" s="552"/>
      <c r="J6047" s="553"/>
      <c r="K6047" s="554"/>
      <c r="M6047" s="301" t="str">
        <f>N6047&amp;AS[[#This Row],[Insurer Code]]&amp;"; "&amp;O6047&amp;AS[[#This Row],[Reporting Year]]&amp;"; "&amp;P6047&amp;AS[[#This Row],[Insurance Category Code]]&amp;"; "&amp;Q6047&amp;AS[[#This Row],[Large Provider Entity Code]]&amp;"; "&amp;R6047&amp;AS[[#This Row],[Age Band Code]]&amp;"; "&amp;S6047&amp;AS[[#This Row],[Sex Code]]</f>
        <v xml:space="preserve">Insurer Code ; Reporting Year ; Insurance Category Code ; Large Provider Entity Code ; Age Band Code ; Sex Code </v>
      </c>
      <c r="N6047" s="297" t="s">
        <v>197</v>
      </c>
      <c r="O6047" s="297" t="s">
        <v>198</v>
      </c>
      <c r="P6047" s="297" t="s">
        <v>199</v>
      </c>
      <c r="Q6047" s="297" t="s">
        <v>200</v>
      </c>
      <c r="R6047" s="297" t="s">
        <v>213</v>
      </c>
      <c r="S6047" s="297" t="s">
        <v>214</v>
      </c>
    </row>
    <row r="6048" spans="1:19" x14ac:dyDescent="0.4">
      <c r="A6048" s="548"/>
      <c r="B6048" s="292"/>
      <c r="C6048" s="292"/>
      <c r="D6048" s="292"/>
      <c r="E6048" s="549"/>
      <c r="F6048" s="549"/>
      <c r="G6048" s="550"/>
      <c r="H6048" s="551"/>
      <c r="I6048" s="552"/>
      <c r="J6048" s="553"/>
      <c r="K6048" s="554"/>
      <c r="M6048" s="301" t="str">
        <f>N6048&amp;AS[[#This Row],[Insurer Code]]&amp;"; "&amp;O6048&amp;AS[[#This Row],[Reporting Year]]&amp;"; "&amp;P6048&amp;AS[[#This Row],[Insurance Category Code]]&amp;"; "&amp;Q6048&amp;AS[[#This Row],[Large Provider Entity Code]]&amp;"; "&amp;R6048&amp;AS[[#This Row],[Age Band Code]]&amp;"; "&amp;S6048&amp;AS[[#This Row],[Sex Code]]</f>
        <v xml:space="preserve">Insurer Code ; Reporting Year ; Insurance Category Code ; Large Provider Entity Code ; Age Band Code ; Sex Code </v>
      </c>
      <c r="N6048" s="297" t="s">
        <v>197</v>
      </c>
      <c r="O6048" s="297" t="s">
        <v>198</v>
      </c>
      <c r="P6048" s="297" t="s">
        <v>199</v>
      </c>
      <c r="Q6048" s="297" t="s">
        <v>200</v>
      </c>
      <c r="R6048" s="297" t="s">
        <v>213</v>
      </c>
      <c r="S6048" s="297" t="s">
        <v>214</v>
      </c>
    </row>
    <row r="6049" spans="1:19" x14ac:dyDescent="0.4">
      <c r="A6049" s="548"/>
      <c r="B6049" s="292"/>
      <c r="C6049" s="292"/>
      <c r="D6049" s="292"/>
      <c r="E6049" s="549"/>
      <c r="F6049" s="549"/>
      <c r="G6049" s="550"/>
      <c r="H6049" s="551"/>
      <c r="I6049" s="552"/>
      <c r="J6049" s="553"/>
      <c r="K6049" s="554"/>
      <c r="M6049" s="301" t="str">
        <f>N6049&amp;AS[[#This Row],[Insurer Code]]&amp;"; "&amp;O6049&amp;AS[[#This Row],[Reporting Year]]&amp;"; "&amp;P6049&amp;AS[[#This Row],[Insurance Category Code]]&amp;"; "&amp;Q6049&amp;AS[[#This Row],[Large Provider Entity Code]]&amp;"; "&amp;R6049&amp;AS[[#This Row],[Age Band Code]]&amp;"; "&amp;S6049&amp;AS[[#This Row],[Sex Code]]</f>
        <v xml:space="preserve">Insurer Code ; Reporting Year ; Insurance Category Code ; Large Provider Entity Code ; Age Band Code ; Sex Code </v>
      </c>
      <c r="N6049" s="297" t="s">
        <v>197</v>
      </c>
      <c r="O6049" s="297" t="s">
        <v>198</v>
      </c>
      <c r="P6049" s="297" t="s">
        <v>199</v>
      </c>
      <c r="Q6049" s="297" t="s">
        <v>200</v>
      </c>
      <c r="R6049" s="297" t="s">
        <v>213</v>
      </c>
      <c r="S6049" s="297" t="s">
        <v>214</v>
      </c>
    </row>
    <row r="6050" spans="1:19" x14ac:dyDescent="0.4">
      <c r="A6050" s="548"/>
      <c r="B6050" s="292"/>
      <c r="C6050" s="292"/>
      <c r="D6050" s="292"/>
      <c r="E6050" s="549"/>
      <c r="F6050" s="549"/>
      <c r="G6050" s="550"/>
      <c r="H6050" s="551"/>
      <c r="I6050" s="552"/>
      <c r="J6050" s="553"/>
      <c r="K6050" s="554"/>
      <c r="M6050" s="301" t="str">
        <f>N6050&amp;AS[[#This Row],[Insurer Code]]&amp;"; "&amp;O6050&amp;AS[[#This Row],[Reporting Year]]&amp;"; "&amp;P6050&amp;AS[[#This Row],[Insurance Category Code]]&amp;"; "&amp;Q6050&amp;AS[[#This Row],[Large Provider Entity Code]]&amp;"; "&amp;R6050&amp;AS[[#This Row],[Age Band Code]]&amp;"; "&amp;S6050&amp;AS[[#This Row],[Sex Code]]</f>
        <v xml:space="preserve">Insurer Code ; Reporting Year ; Insurance Category Code ; Large Provider Entity Code ; Age Band Code ; Sex Code </v>
      </c>
      <c r="N6050" s="297" t="s">
        <v>197</v>
      </c>
      <c r="O6050" s="297" t="s">
        <v>198</v>
      </c>
      <c r="P6050" s="297" t="s">
        <v>199</v>
      </c>
      <c r="Q6050" s="297" t="s">
        <v>200</v>
      </c>
      <c r="R6050" s="297" t="s">
        <v>213</v>
      </c>
      <c r="S6050" s="297" t="s">
        <v>214</v>
      </c>
    </row>
    <row r="6051" spans="1:19" x14ac:dyDescent="0.4">
      <c r="A6051" s="548"/>
      <c r="B6051" s="292"/>
      <c r="C6051" s="292"/>
      <c r="D6051" s="292"/>
      <c r="E6051" s="549"/>
      <c r="F6051" s="549"/>
      <c r="G6051" s="550"/>
      <c r="H6051" s="551"/>
      <c r="I6051" s="552"/>
      <c r="J6051" s="553"/>
      <c r="K6051" s="554"/>
      <c r="M6051" s="301" t="str">
        <f>N6051&amp;AS[[#This Row],[Insurer Code]]&amp;"; "&amp;O6051&amp;AS[[#This Row],[Reporting Year]]&amp;"; "&amp;P6051&amp;AS[[#This Row],[Insurance Category Code]]&amp;"; "&amp;Q6051&amp;AS[[#This Row],[Large Provider Entity Code]]&amp;"; "&amp;R6051&amp;AS[[#This Row],[Age Band Code]]&amp;"; "&amp;S6051&amp;AS[[#This Row],[Sex Code]]</f>
        <v xml:space="preserve">Insurer Code ; Reporting Year ; Insurance Category Code ; Large Provider Entity Code ; Age Band Code ; Sex Code </v>
      </c>
      <c r="N6051" s="297" t="s">
        <v>197</v>
      </c>
      <c r="O6051" s="297" t="s">
        <v>198</v>
      </c>
      <c r="P6051" s="297" t="s">
        <v>199</v>
      </c>
      <c r="Q6051" s="297" t="s">
        <v>200</v>
      </c>
      <c r="R6051" s="297" t="s">
        <v>213</v>
      </c>
      <c r="S6051" s="297" t="s">
        <v>214</v>
      </c>
    </row>
    <row r="6052" spans="1:19" x14ac:dyDescent="0.4">
      <c r="A6052" s="548"/>
      <c r="B6052" s="292"/>
      <c r="C6052" s="292"/>
      <c r="D6052" s="292"/>
      <c r="E6052" s="549"/>
      <c r="F6052" s="549"/>
      <c r="G6052" s="550"/>
      <c r="H6052" s="551"/>
      <c r="I6052" s="552"/>
      <c r="J6052" s="553"/>
      <c r="K6052" s="554"/>
      <c r="M6052" s="301" t="str">
        <f>N6052&amp;AS[[#This Row],[Insurer Code]]&amp;"; "&amp;O6052&amp;AS[[#This Row],[Reporting Year]]&amp;"; "&amp;P6052&amp;AS[[#This Row],[Insurance Category Code]]&amp;"; "&amp;Q6052&amp;AS[[#This Row],[Large Provider Entity Code]]&amp;"; "&amp;R6052&amp;AS[[#This Row],[Age Band Code]]&amp;"; "&amp;S6052&amp;AS[[#This Row],[Sex Code]]</f>
        <v xml:space="preserve">Insurer Code ; Reporting Year ; Insurance Category Code ; Large Provider Entity Code ; Age Band Code ; Sex Code </v>
      </c>
      <c r="N6052" s="297" t="s">
        <v>197</v>
      </c>
      <c r="O6052" s="297" t="s">
        <v>198</v>
      </c>
      <c r="P6052" s="297" t="s">
        <v>199</v>
      </c>
      <c r="Q6052" s="297" t="s">
        <v>200</v>
      </c>
      <c r="R6052" s="297" t="s">
        <v>213</v>
      </c>
      <c r="S6052" s="297" t="s">
        <v>214</v>
      </c>
    </row>
    <row r="6053" spans="1:19" x14ac:dyDescent="0.4">
      <c r="A6053" s="548"/>
      <c r="B6053" s="292"/>
      <c r="C6053" s="292"/>
      <c r="D6053" s="292"/>
      <c r="E6053" s="549"/>
      <c r="F6053" s="549"/>
      <c r="G6053" s="550"/>
      <c r="H6053" s="551"/>
      <c r="I6053" s="552"/>
      <c r="J6053" s="553"/>
      <c r="K6053" s="554"/>
      <c r="M6053" s="301" t="str">
        <f>N6053&amp;AS[[#This Row],[Insurer Code]]&amp;"; "&amp;O6053&amp;AS[[#This Row],[Reporting Year]]&amp;"; "&amp;P6053&amp;AS[[#This Row],[Insurance Category Code]]&amp;"; "&amp;Q6053&amp;AS[[#This Row],[Large Provider Entity Code]]&amp;"; "&amp;R6053&amp;AS[[#This Row],[Age Band Code]]&amp;"; "&amp;S6053&amp;AS[[#This Row],[Sex Code]]</f>
        <v xml:space="preserve">Insurer Code ; Reporting Year ; Insurance Category Code ; Large Provider Entity Code ; Age Band Code ; Sex Code </v>
      </c>
      <c r="N6053" s="297" t="s">
        <v>197</v>
      </c>
      <c r="O6053" s="297" t="s">
        <v>198</v>
      </c>
      <c r="P6053" s="297" t="s">
        <v>199</v>
      </c>
      <c r="Q6053" s="297" t="s">
        <v>200</v>
      </c>
      <c r="R6053" s="297" t="s">
        <v>213</v>
      </c>
      <c r="S6053" s="297" t="s">
        <v>214</v>
      </c>
    </row>
    <row r="6054" spans="1:19" x14ac:dyDescent="0.4">
      <c r="A6054" s="548"/>
      <c r="B6054" s="292"/>
      <c r="C6054" s="292"/>
      <c r="D6054" s="292"/>
      <c r="E6054" s="549"/>
      <c r="F6054" s="549"/>
      <c r="G6054" s="550"/>
      <c r="H6054" s="551"/>
      <c r="I6054" s="552"/>
      <c r="J6054" s="553"/>
      <c r="K6054" s="554"/>
      <c r="M6054" s="301" t="str">
        <f>N6054&amp;AS[[#This Row],[Insurer Code]]&amp;"; "&amp;O6054&amp;AS[[#This Row],[Reporting Year]]&amp;"; "&amp;P6054&amp;AS[[#This Row],[Insurance Category Code]]&amp;"; "&amp;Q6054&amp;AS[[#This Row],[Large Provider Entity Code]]&amp;"; "&amp;R6054&amp;AS[[#This Row],[Age Band Code]]&amp;"; "&amp;S6054&amp;AS[[#This Row],[Sex Code]]</f>
        <v xml:space="preserve">Insurer Code ; Reporting Year ; Insurance Category Code ; Large Provider Entity Code ; Age Band Code ; Sex Code </v>
      </c>
      <c r="N6054" s="297" t="s">
        <v>197</v>
      </c>
      <c r="O6054" s="297" t="s">
        <v>198</v>
      </c>
      <c r="P6054" s="297" t="s">
        <v>199</v>
      </c>
      <c r="Q6054" s="297" t="s">
        <v>200</v>
      </c>
      <c r="R6054" s="297" t="s">
        <v>213</v>
      </c>
      <c r="S6054" s="297" t="s">
        <v>214</v>
      </c>
    </row>
    <row r="6055" spans="1:19" x14ac:dyDescent="0.4">
      <c r="A6055" s="548"/>
      <c r="B6055" s="292"/>
      <c r="C6055" s="292"/>
      <c r="D6055" s="292"/>
      <c r="E6055" s="549"/>
      <c r="F6055" s="549"/>
      <c r="G6055" s="550"/>
      <c r="H6055" s="551"/>
      <c r="I6055" s="552"/>
      <c r="J6055" s="553"/>
      <c r="K6055" s="554"/>
      <c r="M6055" s="301" t="str">
        <f>N6055&amp;AS[[#This Row],[Insurer Code]]&amp;"; "&amp;O6055&amp;AS[[#This Row],[Reporting Year]]&amp;"; "&amp;P6055&amp;AS[[#This Row],[Insurance Category Code]]&amp;"; "&amp;Q6055&amp;AS[[#This Row],[Large Provider Entity Code]]&amp;"; "&amp;R6055&amp;AS[[#This Row],[Age Band Code]]&amp;"; "&amp;S6055&amp;AS[[#This Row],[Sex Code]]</f>
        <v xml:space="preserve">Insurer Code ; Reporting Year ; Insurance Category Code ; Large Provider Entity Code ; Age Band Code ; Sex Code </v>
      </c>
      <c r="N6055" s="297" t="s">
        <v>197</v>
      </c>
      <c r="O6055" s="297" t="s">
        <v>198</v>
      </c>
      <c r="P6055" s="297" t="s">
        <v>199</v>
      </c>
      <c r="Q6055" s="297" t="s">
        <v>200</v>
      </c>
      <c r="R6055" s="297" t="s">
        <v>213</v>
      </c>
      <c r="S6055" s="297" t="s">
        <v>214</v>
      </c>
    </row>
    <row r="6056" spans="1:19" x14ac:dyDescent="0.4">
      <c r="A6056" s="548"/>
      <c r="B6056" s="292"/>
      <c r="C6056" s="292"/>
      <c r="D6056" s="292"/>
      <c r="E6056" s="549"/>
      <c r="F6056" s="549"/>
      <c r="G6056" s="550"/>
      <c r="H6056" s="551"/>
      <c r="I6056" s="552"/>
      <c r="J6056" s="553"/>
      <c r="K6056" s="554"/>
      <c r="M6056" s="301" t="str">
        <f>N6056&amp;AS[[#This Row],[Insurer Code]]&amp;"; "&amp;O6056&amp;AS[[#This Row],[Reporting Year]]&amp;"; "&amp;P6056&amp;AS[[#This Row],[Insurance Category Code]]&amp;"; "&amp;Q6056&amp;AS[[#This Row],[Large Provider Entity Code]]&amp;"; "&amp;R6056&amp;AS[[#This Row],[Age Band Code]]&amp;"; "&amp;S6056&amp;AS[[#This Row],[Sex Code]]</f>
        <v xml:space="preserve">Insurer Code ; Reporting Year ; Insurance Category Code ; Large Provider Entity Code ; Age Band Code ; Sex Code </v>
      </c>
      <c r="N6056" s="297" t="s">
        <v>197</v>
      </c>
      <c r="O6056" s="297" t="s">
        <v>198</v>
      </c>
      <c r="P6056" s="297" t="s">
        <v>199</v>
      </c>
      <c r="Q6056" s="297" t="s">
        <v>200</v>
      </c>
      <c r="R6056" s="297" t="s">
        <v>213</v>
      </c>
      <c r="S6056" s="297" t="s">
        <v>214</v>
      </c>
    </row>
    <row r="6057" spans="1:19" x14ac:dyDescent="0.4">
      <c r="A6057" s="548"/>
      <c r="B6057" s="292"/>
      <c r="C6057" s="292"/>
      <c r="D6057" s="292"/>
      <c r="E6057" s="549"/>
      <c r="F6057" s="549"/>
      <c r="G6057" s="550"/>
      <c r="H6057" s="551"/>
      <c r="I6057" s="552"/>
      <c r="J6057" s="553"/>
      <c r="K6057" s="554"/>
      <c r="M6057" s="301" t="str">
        <f>N6057&amp;AS[[#This Row],[Insurer Code]]&amp;"; "&amp;O6057&amp;AS[[#This Row],[Reporting Year]]&amp;"; "&amp;P6057&amp;AS[[#This Row],[Insurance Category Code]]&amp;"; "&amp;Q6057&amp;AS[[#This Row],[Large Provider Entity Code]]&amp;"; "&amp;R6057&amp;AS[[#This Row],[Age Band Code]]&amp;"; "&amp;S6057&amp;AS[[#This Row],[Sex Code]]</f>
        <v xml:space="preserve">Insurer Code ; Reporting Year ; Insurance Category Code ; Large Provider Entity Code ; Age Band Code ; Sex Code </v>
      </c>
      <c r="N6057" s="297" t="s">
        <v>197</v>
      </c>
      <c r="O6057" s="297" t="s">
        <v>198</v>
      </c>
      <c r="P6057" s="297" t="s">
        <v>199</v>
      </c>
      <c r="Q6057" s="297" t="s">
        <v>200</v>
      </c>
      <c r="R6057" s="297" t="s">
        <v>213</v>
      </c>
      <c r="S6057" s="297" t="s">
        <v>214</v>
      </c>
    </row>
    <row r="6058" spans="1:19" x14ac:dyDescent="0.4">
      <c r="A6058" s="548"/>
      <c r="B6058" s="292"/>
      <c r="C6058" s="292"/>
      <c r="D6058" s="292"/>
      <c r="E6058" s="549"/>
      <c r="F6058" s="549"/>
      <c r="G6058" s="550"/>
      <c r="H6058" s="551"/>
      <c r="I6058" s="552"/>
      <c r="J6058" s="553"/>
      <c r="K6058" s="554"/>
      <c r="M6058" s="301" t="str">
        <f>N6058&amp;AS[[#This Row],[Insurer Code]]&amp;"; "&amp;O6058&amp;AS[[#This Row],[Reporting Year]]&amp;"; "&amp;P6058&amp;AS[[#This Row],[Insurance Category Code]]&amp;"; "&amp;Q6058&amp;AS[[#This Row],[Large Provider Entity Code]]&amp;"; "&amp;R6058&amp;AS[[#This Row],[Age Band Code]]&amp;"; "&amp;S6058&amp;AS[[#This Row],[Sex Code]]</f>
        <v xml:space="preserve">Insurer Code ; Reporting Year ; Insurance Category Code ; Large Provider Entity Code ; Age Band Code ; Sex Code </v>
      </c>
      <c r="N6058" s="297" t="s">
        <v>197</v>
      </c>
      <c r="O6058" s="297" t="s">
        <v>198</v>
      </c>
      <c r="P6058" s="297" t="s">
        <v>199</v>
      </c>
      <c r="Q6058" s="297" t="s">
        <v>200</v>
      </c>
      <c r="R6058" s="297" t="s">
        <v>213</v>
      </c>
      <c r="S6058" s="297" t="s">
        <v>214</v>
      </c>
    </row>
    <row r="6059" spans="1:19" x14ac:dyDescent="0.4">
      <c r="A6059" s="548"/>
      <c r="B6059" s="292"/>
      <c r="C6059" s="292"/>
      <c r="D6059" s="292"/>
      <c r="E6059" s="549"/>
      <c r="F6059" s="549"/>
      <c r="G6059" s="550"/>
      <c r="H6059" s="551"/>
      <c r="I6059" s="552"/>
      <c r="J6059" s="553"/>
      <c r="K6059" s="554"/>
      <c r="M6059" s="301" t="str">
        <f>N6059&amp;AS[[#This Row],[Insurer Code]]&amp;"; "&amp;O6059&amp;AS[[#This Row],[Reporting Year]]&amp;"; "&amp;P6059&amp;AS[[#This Row],[Insurance Category Code]]&amp;"; "&amp;Q6059&amp;AS[[#This Row],[Large Provider Entity Code]]&amp;"; "&amp;R6059&amp;AS[[#This Row],[Age Band Code]]&amp;"; "&amp;S6059&amp;AS[[#This Row],[Sex Code]]</f>
        <v xml:space="preserve">Insurer Code ; Reporting Year ; Insurance Category Code ; Large Provider Entity Code ; Age Band Code ; Sex Code </v>
      </c>
      <c r="N6059" s="297" t="s">
        <v>197</v>
      </c>
      <c r="O6059" s="297" t="s">
        <v>198</v>
      </c>
      <c r="P6059" s="297" t="s">
        <v>199</v>
      </c>
      <c r="Q6059" s="297" t="s">
        <v>200</v>
      </c>
      <c r="R6059" s="297" t="s">
        <v>213</v>
      </c>
      <c r="S6059" s="297" t="s">
        <v>214</v>
      </c>
    </row>
    <row r="6060" spans="1:19" x14ac:dyDescent="0.4">
      <c r="A6060" s="548"/>
      <c r="B6060" s="292"/>
      <c r="C6060" s="292"/>
      <c r="D6060" s="292"/>
      <c r="E6060" s="549"/>
      <c r="F6060" s="549"/>
      <c r="G6060" s="550"/>
      <c r="H6060" s="551"/>
      <c r="I6060" s="552"/>
      <c r="J6060" s="553"/>
      <c r="K6060" s="554"/>
      <c r="M6060" s="301" t="str">
        <f>N6060&amp;AS[[#This Row],[Insurer Code]]&amp;"; "&amp;O6060&amp;AS[[#This Row],[Reporting Year]]&amp;"; "&amp;P6060&amp;AS[[#This Row],[Insurance Category Code]]&amp;"; "&amp;Q6060&amp;AS[[#This Row],[Large Provider Entity Code]]&amp;"; "&amp;R6060&amp;AS[[#This Row],[Age Band Code]]&amp;"; "&amp;S6060&amp;AS[[#This Row],[Sex Code]]</f>
        <v xml:space="preserve">Insurer Code ; Reporting Year ; Insurance Category Code ; Large Provider Entity Code ; Age Band Code ; Sex Code </v>
      </c>
      <c r="N6060" s="297" t="s">
        <v>197</v>
      </c>
      <c r="O6060" s="297" t="s">
        <v>198</v>
      </c>
      <c r="P6060" s="297" t="s">
        <v>199</v>
      </c>
      <c r="Q6060" s="297" t="s">
        <v>200</v>
      </c>
      <c r="R6060" s="297" t="s">
        <v>213</v>
      </c>
      <c r="S6060" s="297" t="s">
        <v>214</v>
      </c>
    </row>
    <row r="6061" spans="1:19" x14ac:dyDescent="0.4">
      <c r="A6061" s="548"/>
      <c r="B6061" s="292"/>
      <c r="C6061" s="292"/>
      <c r="D6061" s="292"/>
      <c r="E6061" s="549"/>
      <c r="F6061" s="549"/>
      <c r="G6061" s="550"/>
      <c r="H6061" s="551"/>
      <c r="I6061" s="552"/>
      <c r="J6061" s="553"/>
      <c r="K6061" s="554"/>
      <c r="M6061" s="301" t="str">
        <f>N6061&amp;AS[[#This Row],[Insurer Code]]&amp;"; "&amp;O6061&amp;AS[[#This Row],[Reporting Year]]&amp;"; "&amp;P6061&amp;AS[[#This Row],[Insurance Category Code]]&amp;"; "&amp;Q6061&amp;AS[[#This Row],[Large Provider Entity Code]]&amp;"; "&amp;R6061&amp;AS[[#This Row],[Age Band Code]]&amp;"; "&amp;S6061&amp;AS[[#This Row],[Sex Code]]</f>
        <v xml:space="preserve">Insurer Code ; Reporting Year ; Insurance Category Code ; Large Provider Entity Code ; Age Band Code ; Sex Code </v>
      </c>
      <c r="N6061" s="297" t="s">
        <v>197</v>
      </c>
      <c r="O6061" s="297" t="s">
        <v>198</v>
      </c>
      <c r="P6061" s="297" t="s">
        <v>199</v>
      </c>
      <c r="Q6061" s="297" t="s">
        <v>200</v>
      </c>
      <c r="R6061" s="297" t="s">
        <v>213</v>
      </c>
      <c r="S6061" s="297" t="s">
        <v>214</v>
      </c>
    </row>
    <row r="6062" spans="1:19" x14ac:dyDescent="0.4">
      <c r="A6062" s="548"/>
      <c r="B6062" s="292"/>
      <c r="C6062" s="292"/>
      <c r="D6062" s="292"/>
      <c r="E6062" s="549"/>
      <c r="F6062" s="549"/>
      <c r="G6062" s="550"/>
      <c r="H6062" s="551"/>
      <c r="I6062" s="552"/>
      <c r="J6062" s="553"/>
      <c r="K6062" s="554"/>
      <c r="M6062" s="301" t="str">
        <f>N6062&amp;AS[[#This Row],[Insurer Code]]&amp;"; "&amp;O6062&amp;AS[[#This Row],[Reporting Year]]&amp;"; "&amp;P6062&amp;AS[[#This Row],[Insurance Category Code]]&amp;"; "&amp;Q6062&amp;AS[[#This Row],[Large Provider Entity Code]]&amp;"; "&amp;R6062&amp;AS[[#This Row],[Age Band Code]]&amp;"; "&amp;S6062&amp;AS[[#This Row],[Sex Code]]</f>
        <v xml:space="preserve">Insurer Code ; Reporting Year ; Insurance Category Code ; Large Provider Entity Code ; Age Band Code ; Sex Code </v>
      </c>
      <c r="N6062" s="297" t="s">
        <v>197</v>
      </c>
      <c r="O6062" s="297" t="s">
        <v>198</v>
      </c>
      <c r="P6062" s="297" t="s">
        <v>199</v>
      </c>
      <c r="Q6062" s="297" t="s">
        <v>200</v>
      </c>
      <c r="R6062" s="297" t="s">
        <v>213</v>
      </c>
      <c r="S6062" s="297" t="s">
        <v>214</v>
      </c>
    </row>
    <row r="6063" spans="1:19" x14ac:dyDescent="0.4">
      <c r="A6063" s="548"/>
      <c r="B6063" s="292"/>
      <c r="C6063" s="292"/>
      <c r="D6063" s="292"/>
      <c r="E6063" s="549"/>
      <c r="F6063" s="549"/>
      <c r="G6063" s="550"/>
      <c r="H6063" s="551"/>
      <c r="I6063" s="552"/>
      <c r="J6063" s="553"/>
      <c r="K6063" s="554"/>
      <c r="M6063" s="301" t="str">
        <f>N6063&amp;AS[[#This Row],[Insurer Code]]&amp;"; "&amp;O6063&amp;AS[[#This Row],[Reporting Year]]&amp;"; "&amp;P6063&amp;AS[[#This Row],[Insurance Category Code]]&amp;"; "&amp;Q6063&amp;AS[[#This Row],[Large Provider Entity Code]]&amp;"; "&amp;R6063&amp;AS[[#This Row],[Age Band Code]]&amp;"; "&amp;S6063&amp;AS[[#This Row],[Sex Code]]</f>
        <v xml:space="preserve">Insurer Code ; Reporting Year ; Insurance Category Code ; Large Provider Entity Code ; Age Band Code ; Sex Code </v>
      </c>
      <c r="N6063" s="297" t="s">
        <v>197</v>
      </c>
      <c r="O6063" s="297" t="s">
        <v>198</v>
      </c>
      <c r="P6063" s="297" t="s">
        <v>199</v>
      </c>
      <c r="Q6063" s="297" t="s">
        <v>200</v>
      </c>
      <c r="R6063" s="297" t="s">
        <v>213</v>
      </c>
      <c r="S6063" s="297" t="s">
        <v>214</v>
      </c>
    </row>
    <row r="6064" spans="1:19" x14ac:dyDescent="0.4">
      <c r="A6064" s="548"/>
      <c r="B6064" s="292"/>
      <c r="C6064" s="292"/>
      <c r="D6064" s="292"/>
      <c r="E6064" s="549"/>
      <c r="F6064" s="549"/>
      <c r="G6064" s="550"/>
      <c r="H6064" s="551"/>
      <c r="I6064" s="552"/>
      <c r="J6064" s="553"/>
      <c r="K6064" s="554"/>
      <c r="M6064" s="301" t="str">
        <f>N6064&amp;AS[[#This Row],[Insurer Code]]&amp;"; "&amp;O6064&amp;AS[[#This Row],[Reporting Year]]&amp;"; "&amp;P6064&amp;AS[[#This Row],[Insurance Category Code]]&amp;"; "&amp;Q6064&amp;AS[[#This Row],[Large Provider Entity Code]]&amp;"; "&amp;R6064&amp;AS[[#This Row],[Age Band Code]]&amp;"; "&amp;S6064&amp;AS[[#This Row],[Sex Code]]</f>
        <v xml:space="preserve">Insurer Code ; Reporting Year ; Insurance Category Code ; Large Provider Entity Code ; Age Band Code ; Sex Code </v>
      </c>
      <c r="N6064" s="297" t="s">
        <v>197</v>
      </c>
      <c r="O6064" s="297" t="s">
        <v>198</v>
      </c>
      <c r="P6064" s="297" t="s">
        <v>199</v>
      </c>
      <c r="Q6064" s="297" t="s">
        <v>200</v>
      </c>
      <c r="R6064" s="297" t="s">
        <v>213</v>
      </c>
      <c r="S6064" s="297" t="s">
        <v>214</v>
      </c>
    </row>
    <row r="6065" spans="1:19" x14ac:dyDescent="0.4">
      <c r="A6065" s="548"/>
      <c r="B6065" s="292"/>
      <c r="C6065" s="292"/>
      <c r="D6065" s="292"/>
      <c r="E6065" s="549"/>
      <c r="F6065" s="549"/>
      <c r="G6065" s="550"/>
      <c r="H6065" s="551"/>
      <c r="I6065" s="552"/>
      <c r="J6065" s="553"/>
      <c r="K6065" s="554"/>
      <c r="M6065" s="301" t="str">
        <f>N6065&amp;AS[[#This Row],[Insurer Code]]&amp;"; "&amp;O6065&amp;AS[[#This Row],[Reporting Year]]&amp;"; "&amp;P6065&amp;AS[[#This Row],[Insurance Category Code]]&amp;"; "&amp;Q6065&amp;AS[[#This Row],[Large Provider Entity Code]]&amp;"; "&amp;R6065&amp;AS[[#This Row],[Age Band Code]]&amp;"; "&amp;S6065&amp;AS[[#This Row],[Sex Code]]</f>
        <v xml:space="preserve">Insurer Code ; Reporting Year ; Insurance Category Code ; Large Provider Entity Code ; Age Band Code ; Sex Code </v>
      </c>
      <c r="N6065" s="297" t="s">
        <v>197</v>
      </c>
      <c r="O6065" s="297" t="s">
        <v>198</v>
      </c>
      <c r="P6065" s="297" t="s">
        <v>199</v>
      </c>
      <c r="Q6065" s="297" t="s">
        <v>200</v>
      </c>
      <c r="R6065" s="297" t="s">
        <v>213</v>
      </c>
      <c r="S6065" s="297" t="s">
        <v>214</v>
      </c>
    </row>
    <row r="6066" spans="1:19" x14ac:dyDescent="0.4">
      <c r="A6066" s="548"/>
      <c r="B6066" s="292"/>
      <c r="C6066" s="292"/>
      <c r="D6066" s="292"/>
      <c r="E6066" s="549"/>
      <c r="F6066" s="549"/>
      <c r="G6066" s="550"/>
      <c r="H6066" s="551"/>
      <c r="I6066" s="552"/>
      <c r="J6066" s="553"/>
      <c r="K6066" s="554"/>
      <c r="M6066" s="301" t="str">
        <f>N6066&amp;AS[[#This Row],[Insurer Code]]&amp;"; "&amp;O6066&amp;AS[[#This Row],[Reporting Year]]&amp;"; "&amp;P6066&amp;AS[[#This Row],[Insurance Category Code]]&amp;"; "&amp;Q6066&amp;AS[[#This Row],[Large Provider Entity Code]]&amp;"; "&amp;R6066&amp;AS[[#This Row],[Age Band Code]]&amp;"; "&amp;S6066&amp;AS[[#This Row],[Sex Code]]</f>
        <v xml:space="preserve">Insurer Code ; Reporting Year ; Insurance Category Code ; Large Provider Entity Code ; Age Band Code ; Sex Code </v>
      </c>
      <c r="N6066" s="297" t="s">
        <v>197</v>
      </c>
      <c r="O6066" s="297" t="s">
        <v>198</v>
      </c>
      <c r="P6066" s="297" t="s">
        <v>199</v>
      </c>
      <c r="Q6066" s="297" t="s">
        <v>200</v>
      </c>
      <c r="R6066" s="297" t="s">
        <v>213</v>
      </c>
      <c r="S6066" s="297" t="s">
        <v>214</v>
      </c>
    </row>
    <row r="6067" spans="1:19" x14ac:dyDescent="0.4">
      <c r="A6067" s="548"/>
      <c r="B6067" s="292"/>
      <c r="C6067" s="292"/>
      <c r="D6067" s="292"/>
      <c r="E6067" s="549"/>
      <c r="F6067" s="549"/>
      <c r="G6067" s="550"/>
      <c r="H6067" s="551"/>
      <c r="I6067" s="552"/>
      <c r="J6067" s="553"/>
      <c r="K6067" s="554"/>
      <c r="M6067" s="301" t="str">
        <f>N6067&amp;AS[[#This Row],[Insurer Code]]&amp;"; "&amp;O6067&amp;AS[[#This Row],[Reporting Year]]&amp;"; "&amp;P6067&amp;AS[[#This Row],[Insurance Category Code]]&amp;"; "&amp;Q6067&amp;AS[[#This Row],[Large Provider Entity Code]]&amp;"; "&amp;R6067&amp;AS[[#This Row],[Age Band Code]]&amp;"; "&amp;S6067&amp;AS[[#This Row],[Sex Code]]</f>
        <v xml:space="preserve">Insurer Code ; Reporting Year ; Insurance Category Code ; Large Provider Entity Code ; Age Band Code ; Sex Code </v>
      </c>
      <c r="N6067" s="297" t="s">
        <v>197</v>
      </c>
      <c r="O6067" s="297" t="s">
        <v>198</v>
      </c>
      <c r="P6067" s="297" t="s">
        <v>199</v>
      </c>
      <c r="Q6067" s="297" t="s">
        <v>200</v>
      </c>
      <c r="R6067" s="297" t="s">
        <v>213</v>
      </c>
      <c r="S6067" s="297" t="s">
        <v>214</v>
      </c>
    </row>
    <row r="6068" spans="1:19" x14ac:dyDescent="0.4">
      <c r="A6068" s="548"/>
      <c r="B6068" s="292"/>
      <c r="C6068" s="292"/>
      <c r="D6068" s="292"/>
      <c r="E6068" s="549"/>
      <c r="F6068" s="549"/>
      <c r="G6068" s="550"/>
      <c r="H6068" s="551"/>
      <c r="I6068" s="552"/>
      <c r="J6068" s="553"/>
      <c r="K6068" s="554"/>
      <c r="M6068" s="301" t="str">
        <f>N6068&amp;AS[[#This Row],[Insurer Code]]&amp;"; "&amp;O6068&amp;AS[[#This Row],[Reporting Year]]&amp;"; "&amp;P6068&amp;AS[[#This Row],[Insurance Category Code]]&amp;"; "&amp;Q6068&amp;AS[[#This Row],[Large Provider Entity Code]]&amp;"; "&amp;R6068&amp;AS[[#This Row],[Age Band Code]]&amp;"; "&amp;S6068&amp;AS[[#This Row],[Sex Code]]</f>
        <v xml:space="preserve">Insurer Code ; Reporting Year ; Insurance Category Code ; Large Provider Entity Code ; Age Band Code ; Sex Code </v>
      </c>
      <c r="N6068" s="297" t="s">
        <v>197</v>
      </c>
      <c r="O6068" s="297" t="s">
        <v>198</v>
      </c>
      <c r="P6068" s="297" t="s">
        <v>199</v>
      </c>
      <c r="Q6068" s="297" t="s">
        <v>200</v>
      </c>
      <c r="R6068" s="297" t="s">
        <v>213</v>
      </c>
      <c r="S6068" s="297" t="s">
        <v>214</v>
      </c>
    </row>
    <row r="6069" spans="1:19" x14ac:dyDescent="0.4">
      <c r="A6069" s="548"/>
      <c r="B6069" s="292"/>
      <c r="C6069" s="292"/>
      <c r="D6069" s="292"/>
      <c r="E6069" s="549"/>
      <c r="F6069" s="549"/>
      <c r="G6069" s="550"/>
      <c r="H6069" s="551"/>
      <c r="I6069" s="552"/>
      <c r="J6069" s="553"/>
      <c r="K6069" s="554"/>
      <c r="M6069" s="301" t="str">
        <f>N6069&amp;AS[[#This Row],[Insurer Code]]&amp;"; "&amp;O6069&amp;AS[[#This Row],[Reporting Year]]&amp;"; "&amp;P6069&amp;AS[[#This Row],[Insurance Category Code]]&amp;"; "&amp;Q6069&amp;AS[[#This Row],[Large Provider Entity Code]]&amp;"; "&amp;R6069&amp;AS[[#This Row],[Age Band Code]]&amp;"; "&amp;S6069&amp;AS[[#This Row],[Sex Code]]</f>
        <v xml:space="preserve">Insurer Code ; Reporting Year ; Insurance Category Code ; Large Provider Entity Code ; Age Band Code ; Sex Code </v>
      </c>
      <c r="N6069" s="297" t="s">
        <v>197</v>
      </c>
      <c r="O6069" s="297" t="s">
        <v>198</v>
      </c>
      <c r="P6069" s="297" t="s">
        <v>199</v>
      </c>
      <c r="Q6069" s="297" t="s">
        <v>200</v>
      </c>
      <c r="R6069" s="297" t="s">
        <v>213</v>
      </c>
      <c r="S6069" s="297" t="s">
        <v>214</v>
      </c>
    </row>
    <row r="6070" spans="1:19" x14ac:dyDescent="0.4">
      <c r="A6070" s="548"/>
      <c r="B6070" s="292"/>
      <c r="C6070" s="292"/>
      <c r="D6070" s="292"/>
      <c r="E6070" s="549"/>
      <c r="F6070" s="549"/>
      <c r="G6070" s="550"/>
      <c r="H6070" s="551"/>
      <c r="I6070" s="552"/>
      <c r="J6070" s="553"/>
      <c r="K6070" s="554"/>
      <c r="M6070" s="301" t="str">
        <f>N6070&amp;AS[[#This Row],[Insurer Code]]&amp;"; "&amp;O6070&amp;AS[[#This Row],[Reporting Year]]&amp;"; "&amp;P6070&amp;AS[[#This Row],[Insurance Category Code]]&amp;"; "&amp;Q6070&amp;AS[[#This Row],[Large Provider Entity Code]]&amp;"; "&amp;R6070&amp;AS[[#This Row],[Age Band Code]]&amp;"; "&amp;S6070&amp;AS[[#This Row],[Sex Code]]</f>
        <v xml:space="preserve">Insurer Code ; Reporting Year ; Insurance Category Code ; Large Provider Entity Code ; Age Band Code ; Sex Code </v>
      </c>
      <c r="N6070" s="297" t="s">
        <v>197</v>
      </c>
      <c r="O6070" s="297" t="s">
        <v>198</v>
      </c>
      <c r="P6070" s="297" t="s">
        <v>199</v>
      </c>
      <c r="Q6070" s="297" t="s">
        <v>200</v>
      </c>
      <c r="R6070" s="297" t="s">
        <v>213</v>
      </c>
      <c r="S6070" s="297" t="s">
        <v>214</v>
      </c>
    </row>
    <row r="6071" spans="1:19" x14ac:dyDescent="0.4">
      <c r="A6071" s="548"/>
      <c r="B6071" s="292"/>
      <c r="C6071" s="292"/>
      <c r="D6071" s="292"/>
      <c r="E6071" s="549"/>
      <c r="F6071" s="549"/>
      <c r="G6071" s="550"/>
      <c r="H6071" s="551"/>
      <c r="I6071" s="552"/>
      <c r="J6071" s="553"/>
      <c r="K6071" s="554"/>
      <c r="M6071" s="301" t="str">
        <f>N6071&amp;AS[[#This Row],[Insurer Code]]&amp;"; "&amp;O6071&amp;AS[[#This Row],[Reporting Year]]&amp;"; "&amp;P6071&amp;AS[[#This Row],[Insurance Category Code]]&amp;"; "&amp;Q6071&amp;AS[[#This Row],[Large Provider Entity Code]]&amp;"; "&amp;R6071&amp;AS[[#This Row],[Age Band Code]]&amp;"; "&amp;S6071&amp;AS[[#This Row],[Sex Code]]</f>
        <v xml:space="preserve">Insurer Code ; Reporting Year ; Insurance Category Code ; Large Provider Entity Code ; Age Band Code ; Sex Code </v>
      </c>
      <c r="N6071" s="297" t="s">
        <v>197</v>
      </c>
      <c r="O6071" s="297" t="s">
        <v>198</v>
      </c>
      <c r="P6071" s="297" t="s">
        <v>199</v>
      </c>
      <c r="Q6071" s="297" t="s">
        <v>200</v>
      </c>
      <c r="R6071" s="297" t="s">
        <v>213</v>
      </c>
      <c r="S6071" s="297" t="s">
        <v>214</v>
      </c>
    </row>
    <row r="6072" spans="1:19" x14ac:dyDescent="0.4">
      <c r="A6072" s="548"/>
      <c r="B6072" s="292"/>
      <c r="C6072" s="292"/>
      <c r="D6072" s="292"/>
      <c r="E6072" s="549"/>
      <c r="F6072" s="549"/>
      <c r="G6072" s="550"/>
      <c r="H6072" s="551"/>
      <c r="I6072" s="552"/>
      <c r="J6072" s="553"/>
      <c r="K6072" s="554"/>
      <c r="M6072" s="301" t="str">
        <f>N6072&amp;AS[[#This Row],[Insurer Code]]&amp;"; "&amp;O6072&amp;AS[[#This Row],[Reporting Year]]&amp;"; "&amp;P6072&amp;AS[[#This Row],[Insurance Category Code]]&amp;"; "&amp;Q6072&amp;AS[[#This Row],[Large Provider Entity Code]]&amp;"; "&amp;R6072&amp;AS[[#This Row],[Age Band Code]]&amp;"; "&amp;S6072&amp;AS[[#This Row],[Sex Code]]</f>
        <v xml:space="preserve">Insurer Code ; Reporting Year ; Insurance Category Code ; Large Provider Entity Code ; Age Band Code ; Sex Code </v>
      </c>
      <c r="N6072" s="297" t="s">
        <v>197</v>
      </c>
      <c r="O6072" s="297" t="s">
        <v>198</v>
      </c>
      <c r="P6072" s="297" t="s">
        <v>199</v>
      </c>
      <c r="Q6072" s="297" t="s">
        <v>200</v>
      </c>
      <c r="R6072" s="297" t="s">
        <v>213</v>
      </c>
      <c r="S6072" s="297" t="s">
        <v>214</v>
      </c>
    </row>
    <row r="6073" spans="1:19" x14ac:dyDescent="0.4">
      <c r="A6073" s="548"/>
      <c r="B6073" s="292"/>
      <c r="C6073" s="292"/>
      <c r="D6073" s="292"/>
      <c r="E6073" s="549"/>
      <c r="F6073" s="549"/>
      <c r="G6073" s="550"/>
      <c r="H6073" s="551"/>
      <c r="I6073" s="552"/>
      <c r="J6073" s="553"/>
      <c r="K6073" s="554"/>
      <c r="M6073" s="301" t="str">
        <f>N6073&amp;AS[[#This Row],[Insurer Code]]&amp;"; "&amp;O6073&amp;AS[[#This Row],[Reporting Year]]&amp;"; "&amp;P6073&amp;AS[[#This Row],[Insurance Category Code]]&amp;"; "&amp;Q6073&amp;AS[[#This Row],[Large Provider Entity Code]]&amp;"; "&amp;R6073&amp;AS[[#This Row],[Age Band Code]]&amp;"; "&amp;S6073&amp;AS[[#This Row],[Sex Code]]</f>
        <v xml:space="preserve">Insurer Code ; Reporting Year ; Insurance Category Code ; Large Provider Entity Code ; Age Band Code ; Sex Code </v>
      </c>
      <c r="N6073" s="297" t="s">
        <v>197</v>
      </c>
      <c r="O6073" s="297" t="s">
        <v>198</v>
      </c>
      <c r="P6073" s="297" t="s">
        <v>199</v>
      </c>
      <c r="Q6073" s="297" t="s">
        <v>200</v>
      </c>
      <c r="R6073" s="297" t="s">
        <v>213</v>
      </c>
      <c r="S6073" s="297" t="s">
        <v>214</v>
      </c>
    </row>
    <row r="6074" spans="1:19" x14ac:dyDescent="0.4">
      <c r="A6074" s="548"/>
      <c r="B6074" s="292"/>
      <c r="C6074" s="292"/>
      <c r="D6074" s="292"/>
      <c r="E6074" s="549"/>
      <c r="F6074" s="549"/>
      <c r="G6074" s="550"/>
      <c r="H6074" s="551"/>
      <c r="I6074" s="552"/>
      <c r="J6074" s="553"/>
      <c r="K6074" s="554"/>
      <c r="M6074" s="301" t="str">
        <f>N6074&amp;AS[[#This Row],[Insurer Code]]&amp;"; "&amp;O6074&amp;AS[[#This Row],[Reporting Year]]&amp;"; "&amp;P6074&amp;AS[[#This Row],[Insurance Category Code]]&amp;"; "&amp;Q6074&amp;AS[[#This Row],[Large Provider Entity Code]]&amp;"; "&amp;R6074&amp;AS[[#This Row],[Age Band Code]]&amp;"; "&amp;S6074&amp;AS[[#This Row],[Sex Code]]</f>
        <v xml:space="preserve">Insurer Code ; Reporting Year ; Insurance Category Code ; Large Provider Entity Code ; Age Band Code ; Sex Code </v>
      </c>
      <c r="N6074" s="297" t="s">
        <v>197</v>
      </c>
      <c r="O6074" s="297" t="s">
        <v>198</v>
      </c>
      <c r="P6074" s="297" t="s">
        <v>199</v>
      </c>
      <c r="Q6074" s="297" t="s">
        <v>200</v>
      </c>
      <c r="R6074" s="297" t="s">
        <v>213</v>
      </c>
      <c r="S6074" s="297" t="s">
        <v>214</v>
      </c>
    </row>
    <row r="6075" spans="1:19" x14ac:dyDescent="0.4">
      <c r="A6075" s="548"/>
      <c r="B6075" s="292"/>
      <c r="C6075" s="292"/>
      <c r="D6075" s="292"/>
      <c r="E6075" s="549"/>
      <c r="F6075" s="549"/>
      <c r="G6075" s="550"/>
      <c r="H6075" s="551"/>
      <c r="I6075" s="552"/>
      <c r="J6075" s="553"/>
      <c r="K6075" s="554"/>
      <c r="M6075" s="301" t="str">
        <f>N6075&amp;AS[[#This Row],[Insurer Code]]&amp;"; "&amp;O6075&amp;AS[[#This Row],[Reporting Year]]&amp;"; "&amp;P6075&amp;AS[[#This Row],[Insurance Category Code]]&amp;"; "&amp;Q6075&amp;AS[[#This Row],[Large Provider Entity Code]]&amp;"; "&amp;R6075&amp;AS[[#This Row],[Age Band Code]]&amp;"; "&amp;S6075&amp;AS[[#This Row],[Sex Code]]</f>
        <v xml:space="preserve">Insurer Code ; Reporting Year ; Insurance Category Code ; Large Provider Entity Code ; Age Band Code ; Sex Code </v>
      </c>
      <c r="N6075" s="297" t="s">
        <v>197</v>
      </c>
      <c r="O6075" s="297" t="s">
        <v>198</v>
      </c>
      <c r="P6075" s="297" t="s">
        <v>199</v>
      </c>
      <c r="Q6075" s="297" t="s">
        <v>200</v>
      </c>
      <c r="R6075" s="297" t="s">
        <v>213</v>
      </c>
      <c r="S6075" s="297" t="s">
        <v>214</v>
      </c>
    </row>
    <row r="6076" spans="1:19" x14ac:dyDescent="0.4">
      <c r="A6076" s="548"/>
      <c r="B6076" s="292"/>
      <c r="C6076" s="292"/>
      <c r="D6076" s="292"/>
      <c r="E6076" s="549"/>
      <c r="F6076" s="549"/>
      <c r="G6076" s="550"/>
      <c r="H6076" s="551"/>
      <c r="I6076" s="552"/>
      <c r="J6076" s="553"/>
      <c r="K6076" s="554"/>
      <c r="M6076" s="301" t="str">
        <f>N6076&amp;AS[[#This Row],[Insurer Code]]&amp;"; "&amp;O6076&amp;AS[[#This Row],[Reporting Year]]&amp;"; "&amp;P6076&amp;AS[[#This Row],[Insurance Category Code]]&amp;"; "&amp;Q6076&amp;AS[[#This Row],[Large Provider Entity Code]]&amp;"; "&amp;R6076&amp;AS[[#This Row],[Age Band Code]]&amp;"; "&amp;S6076&amp;AS[[#This Row],[Sex Code]]</f>
        <v xml:space="preserve">Insurer Code ; Reporting Year ; Insurance Category Code ; Large Provider Entity Code ; Age Band Code ; Sex Code </v>
      </c>
      <c r="N6076" s="297" t="s">
        <v>197</v>
      </c>
      <c r="O6076" s="297" t="s">
        <v>198</v>
      </c>
      <c r="P6076" s="297" t="s">
        <v>199</v>
      </c>
      <c r="Q6076" s="297" t="s">
        <v>200</v>
      </c>
      <c r="R6076" s="297" t="s">
        <v>213</v>
      </c>
      <c r="S6076" s="297" t="s">
        <v>214</v>
      </c>
    </row>
    <row r="6077" spans="1:19" x14ac:dyDescent="0.4">
      <c r="A6077" s="548"/>
      <c r="B6077" s="292"/>
      <c r="C6077" s="292"/>
      <c r="D6077" s="292"/>
      <c r="E6077" s="549"/>
      <c r="F6077" s="549"/>
      <c r="G6077" s="550"/>
      <c r="H6077" s="551"/>
      <c r="I6077" s="552"/>
      <c r="J6077" s="553"/>
      <c r="K6077" s="554"/>
      <c r="M6077" s="301" t="str">
        <f>N6077&amp;AS[[#This Row],[Insurer Code]]&amp;"; "&amp;O6077&amp;AS[[#This Row],[Reporting Year]]&amp;"; "&amp;P6077&amp;AS[[#This Row],[Insurance Category Code]]&amp;"; "&amp;Q6077&amp;AS[[#This Row],[Large Provider Entity Code]]&amp;"; "&amp;R6077&amp;AS[[#This Row],[Age Band Code]]&amp;"; "&amp;S6077&amp;AS[[#This Row],[Sex Code]]</f>
        <v xml:space="preserve">Insurer Code ; Reporting Year ; Insurance Category Code ; Large Provider Entity Code ; Age Band Code ; Sex Code </v>
      </c>
      <c r="N6077" s="297" t="s">
        <v>197</v>
      </c>
      <c r="O6077" s="297" t="s">
        <v>198</v>
      </c>
      <c r="P6077" s="297" t="s">
        <v>199</v>
      </c>
      <c r="Q6077" s="297" t="s">
        <v>200</v>
      </c>
      <c r="R6077" s="297" t="s">
        <v>213</v>
      </c>
      <c r="S6077" s="297" t="s">
        <v>214</v>
      </c>
    </row>
    <row r="6078" spans="1:19" x14ac:dyDescent="0.4">
      <c r="A6078" s="548"/>
      <c r="B6078" s="292"/>
      <c r="C6078" s="292"/>
      <c r="D6078" s="292"/>
      <c r="E6078" s="549"/>
      <c r="F6078" s="549"/>
      <c r="G6078" s="550"/>
      <c r="H6078" s="551"/>
      <c r="I6078" s="552"/>
      <c r="J6078" s="553"/>
      <c r="K6078" s="554"/>
      <c r="M6078" s="301" t="str">
        <f>N6078&amp;AS[[#This Row],[Insurer Code]]&amp;"; "&amp;O6078&amp;AS[[#This Row],[Reporting Year]]&amp;"; "&amp;P6078&amp;AS[[#This Row],[Insurance Category Code]]&amp;"; "&amp;Q6078&amp;AS[[#This Row],[Large Provider Entity Code]]&amp;"; "&amp;R6078&amp;AS[[#This Row],[Age Band Code]]&amp;"; "&amp;S6078&amp;AS[[#This Row],[Sex Code]]</f>
        <v xml:space="preserve">Insurer Code ; Reporting Year ; Insurance Category Code ; Large Provider Entity Code ; Age Band Code ; Sex Code </v>
      </c>
      <c r="N6078" s="297" t="s">
        <v>197</v>
      </c>
      <c r="O6078" s="297" t="s">
        <v>198</v>
      </c>
      <c r="P6078" s="297" t="s">
        <v>199</v>
      </c>
      <c r="Q6078" s="297" t="s">
        <v>200</v>
      </c>
      <c r="R6078" s="297" t="s">
        <v>213</v>
      </c>
      <c r="S6078" s="297" t="s">
        <v>214</v>
      </c>
    </row>
    <row r="6079" spans="1:19" x14ac:dyDescent="0.4">
      <c r="A6079" s="548"/>
      <c r="B6079" s="292"/>
      <c r="C6079" s="292"/>
      <c r="D6079" s="292"/>
      <c r="E6079" s="549"/>
      <c r="F6079" s="549"/>
      <c r="G6079" s="550"/>
      <c r="H6079" s="551"/>
      <c r="I6079" s="552"/>
      <c r="J6079" s="553"/>
      <c r="K6079" s="554"/>
      <c r="M6079" s="301" t="str">
        <f>N6079&amp;AS[[#This Row],[Insurer Code]]&amp;"; "&amp;O6079&amp;AS[[#This Row],[Reporting Year]]&amp;"; "&amp;P6079&amp;AS[[#This Row],[Insurance Category Code]]&amp;"; "&amp;Q6079&amp;AS[[#This Row],[Large Provider Entity Code]]&amp;"; "&amp;R6079&amp;AS[[#This Row],[Age Band Code]]&amp;"; "&amp;S6079&amp;AS[[#This Row],[Sex Code]]</f>
        <v xml:space="preserve">Insurer Code ; Reporting Year ; Insurance Category Code ; Large Provider Entity Code ; Age Band Code ; Sex Code </v>
      </c>
      <c r="N6079" s="297" t="s">
        <v>197</v>
      </c>
      <c r="O6079" s="297" t="s">
        <v>198</v>
      </c>
      <c r="P6079" s="297" t="s">
        <v>199</v>
      </c>
      <c r="Q6079" s="297" t="s">
        <v>200</v>
      </c>
      <c r="R6079" s="297" t="s">
        <v>213</v>
      </c>
      <c r="S6079" s="297" t="s">
        <v>214</v>
      </c>
    </row>
    <row r="6080" spans="1:19" x14ac:dyDescent="0.4">
      <c r="A6080" s="548"/>
      <c r="B6080" s="292"/>
      <c r="C6080" s="292"/>
      <c r="D6080" s="292"/>
      <c r="E6080" s="549"/>
      <c r="F6080" s="549"/>
      <c r="G6080" s="550"/>
      <c r="H6080" s="551"/>
      <c r="I6080" s="552"/>
      <c r="J6080" s="553"/>
      <c r="K6080" s="554"/>
      <c r="M6080" s="301" t="str">
        <f>N6080&amp;AS[[#This Row],[Insurer Code]]&amp;"; "&amp;O6080&amp;AS[[#This Row],[Reporting Year]]&amp;"; "&amp;P6080&amp;AS[[#This Row],[Insurance Category Code]]&amp;"; "&amp;Q6080&amp;AS[[#This Row],[Large Provider Entity Code]]&amp;"; "&amp;R6080&amp;AS[[#This Row],[Age Band Code]]&amp;"; "&amp;S6080&amp;AS[[#This Row],[Sex Code]]</f>
        <v xml:space="preserve">Insurer Code ; Reporting Year ; Insurance Category Code ; Large Provider Entity Code ; Age Band Code ; Sex Code </v>
      </c>
      <c r="N6080" s="297" t="s">
        <v>197</v>
      </c>
      <c r="O6080" s="297" t="s">
        <v>198</v>
      </c>
      <c r="P6080" s="297" t="s">
        <v>199</v>
      </c>
      <c r="Q6080" s="297" t="s">
        <v>200</v>
      </c>
      <c r="R6080" s="297" t="s">
        <v>213</v>
      </c>
      <c r="S6080" s="297" t="s">
        <v>214</v>
      </c>
    </row>
    <row r="6081" spans="1:19" x14ac:dyDescent="0.4">
      <c r="A6081" s="548"/>
      <c r="B6081" s="292"/>
      <c r="C6081" s="292"/>
      <c r="D6081" s="292"/>
      <c r="E6081" s="549"/>
      <c r="F6081" s="549"/>
      <c r="G6081" s="550"/>
      <c r="H6081" s="551"/>
      <c r="I6081" s="552"/>
      <c r="J6081" s="553"/>
      <c r="K6081" s="554"/>
      <c r="M6081" s="301" t="str">
        <f>N6081&amp;AS[[#This Row],[Insurer Code]]&amp;"; "&amp;O6081&amp;AS[[#This Row],[Reporting Year]]&amp;"; "&amp;P6081&amp;AS[[#This Row],[Insurance Category Code]]&amp;"; "&amp;Q6081&amp;AS[[#This Row],[Large Provider Entity Code]]&amp;"; "&amp;R6081&amp;AS[[#This Row],[Age Band Code]]&amp;"; "&amp;S6081&amp;AS[[#This Row],[Sex Code]]</f>
        <v xml:space="preserve">Insurer Code ; Reporting Year ; Insurance Category Code ; Large Provider Entity Code ; Age Band Code ; Sex Code </v>
      </c>
      <c r="N6081" s="297" t="s">
        <v>197</v>
      </c>
      <c r="O6081" s="297" t="s">
        <v>198</v>
      </c>
      <c r="P6081" s="297" t="s">
        <v>199</v>
      </c>
      <c r="Q6081" s="297" t="s">
        <v>200</v>
      </c>
      <c r="R6081" s="297" t="s">
        <v>213</v>
      </c>
      <c r="S6081" s="297" t="s">
        <v>214</v>
      </c>
    </row>
    <row r="6082" spans="1:19" x14ac:dyDescent="0.4">
      <c r="A6082" s="548"/>
      <c r="B6082" s="292"/>
      <c r="C6082" s="292"/>
      <c r="D6082" s="292"/>
      <c r="E6082" s="549"/>
      <c r="F6082" s="549"/>
      <c r="G6082" s="550"/>
      <c r="H6082" s="551"/>
      <c r="I6082" s="552"/>
      <c r="J6082" s="553"/>
      <c r="K6082" s="554"/>
      <c r="M6082" s="301" t="str">
        <f>N6082&amp;AS[[#This Row],[Insurer Code]]&amp;"; "&amp;O6082&amp;AS[[#This Row],[Reporting Year]]&amp;"; "&amp;P6082&amp;AS[[#This Row],[Insurance Category Code]]&amp;"; "&amp;Q6082&amp;AS[[#This Row],[Large Provider Entity Code]]&amp;"; "&amp;R6082&amp;AS[[#This Row],[Age Band Code]]&amp;"; "&amp;S6082&amp;AS[[#This Row],[Sex Code]]</f>
        <v xml:space="preserve">Insurer Code ; Reporting Year ; Insurance Category Code ; Large Provider Entity Code ; Age Band Code ; Sex Code </v>
      </c>
      <c r="N6082" s="297" t="s">
        <v>197</v>
      </c>
      <c r="O6082" s="297" t="s">
        <v>198</v>
      </c>
      <c r="P6082" s="297" t="s">
        <v>199</v>
      </c>
      <c r="Q6082" s="297" t="s">
        <v>200</v>
      </c>
      <c r="R6082" s="297" t="s">
        <v>213</v>
      </c>
      <c r="S6082" s="297" t="s">
        <v>214</v>
      </c>
    </row>
    <row r="6083" spans="1:19" x14ac:dyDescent="0.4">
      <c r="A6083" s="548"/>
      <c r="B6083" s="292"/>
      <c r="C6083" s="292"/>
      <c r="D6083" s="292"/>
      <c r="E6083" s="549"/>
      <c r="F6083" s="549"/>
      <c r="G6083" s="550"/>
      <c r="H6083" s="551"/>
      <c r="I6083" s="552"/>
      <c r="J6083" s="553"/>
      <c r="K6083" s="554"/>
      <c r="M6083" s="301" t="str">
        <f>N6083&amp;AS[[#This Row],[Insurer Code]]&amp;"; "&amp;O6083&amp;AS[[#This Row],[Reporting Year]]&amp;"; "&amp;P6083&amp;AS[[#This Row],[Insurance Category Code]]&amp;"; "&amp;Q6083&amp;AS[[#This Row],[Large Provider Entity Code]]&amp;"; "&amp;R6083&amp;AS[[#This Row],[Age Band Code]]&amp;"; "&amp;S6083&amp;AS[[#This Row],[Sex Code]]</f>
        <v xml:space="preserve">Insurer Code ; Reporting Year ; Insurance Category Code ; Large Provider Entity Code ; Age Band Code ; Sex Code </v>
      </c>
      <c r="N6083" s="297" t="s">
        <v>197</v>
      </c>
      <c r="O6083" s="297" t="s">
        <v>198</v>
      </c>
      <c r="P6083" s="297" t="s">
        <v>199</v>
      </c>
      <c r="Q6083" s="297" t="s">
        <v>200</v>
      </c>
      <c r="R6083" s="297" t="s">
        <v>213</v>
      </c>
      <c r="S6083" s="297" t="s">
        <v>214</v>
      </c>
    </row>
    <row r="6084" spans="1:19" x14ac:dyDescent="0.4">
      <c r="A6084" s="548"/>
      <c r="B6084" s="292"/>
      <c r="C6084" s="292"/>
      <c r="D6084" s="292"/>
      <c r="E6084" s="549"/>
      <c r="F6084" s="549"/>
      <c r="G6084" s="550"/>
      <c r="H6084" s="551"/>
      <c r="I6084" s="552"/>
      <c r="J6084" s="553"/>
      <c r="K6084" s="554"/>
      <c r="M6084" s="301" t="str">
        <f>N6084&amp;AS[[#This Row],[Insurer Code]]&amp;"; "&amp;O6084&amp;AS[[#This Row],[Reporting Year]]&amp;"; "&amp;P6084&amp;AS[[#This Row],[Insurance Category Code]]&amp;"; "&amp;Q6084&amp;AS[[#This Row],[Large Provider Entity Code]]&amp;"; "&amp;R6084&amp;AS[[#This Row],[Age Band Code]]&amp;"; "&amp;S6084&amp;AS[[#This Row],[Sex Code]]</f>
        <v xml:space="preserve">Insurer Code ; Reporting Year ; Insurance Category Code ; Large Provider Entity Code ; Age Band Code ; Sex Code </v>
      </c>
      <c r="N6084" s="297" t="s">
        <v>197</v>
      </c>
      <c r="O6084" s="297" t="s">
        <v>198</v>
      </c>
      <c r="P6084" s="297" t="s">
        <v>199</v>
      </c>
      <c r="Q6084" s="297" t="s">
        <v>200</v>
      </c>
      <c r="R6084" s="297" t="s">
        <v>213</v>
      </c>
      <c r="S6084" s="297" t="s">
        <v>214</v>
      </c>
    </row>
    <row r="6085" spans="1:19" x14ac:dyDescent="0.4">
      <c r="A6085" s="548"/>
      <c r="B6085" s="292"/>
      <c r="C6085" s="292"/>
      <c r="D6085" s="292"/>
      <c r="E6085" s="549"/>
      <c r="F6085" s="549"/>
      <c r="G6085" s="550"/>
      <c r="H6085" s="551"/>
      <c r="I6085" s="552"/>
      <c r="J6085" s="553"/>
      <c r="K6085" s="554"/>
      <c r="M6085" s="301" t="str">
        <f>N6085&amp;AS[[#This Row],[Insurer Code]]&amp;"; "&amp;O6085&amp;AS[[#This Row],[Reporting Year]]&amp;"; "&amp;P6085&amp;AS[[#This Row],[Insurance Category Code]]&amp;"; "&amp;Q6085&amp;AS[[#This Row],[Large Provider Entity Code]]&amp;"; "&amp;R6085&amp;AS[[#This Row],[Age Band Code]]&amp;"; "&amp;S6085&amp;AS[[#This Row],[Sex Code]]</f>
        <v xml:space="preserve">Insurer Code ; Reporting Year ; Insurance Category Code ; Large Provider Entity Code ; Age Band Code ; Sex Code </v>
      </c>
      <c r="N6085" s="297" t="s">
        <v>197</v>
      </c>
      <c r="O6085" s="297" t="s">
        <v>198</v>
      </c>
      <c r="P6085" s="297" t="s">
        <v>199</v>
      </c>
      <c r="Q6085" s="297" t="s">
        <v>200</v>
      </c>
      <c r="R6085" s="297" t="s">
        <v>213</v>
      </c>
      <c r="S6085" s="297" t="s">
        <v>214</v>
      </c>
    </row>
    <row r="6086" spans="1:19" x14ac:dyDescent="0.4">
      <c r="A6086" s="548"/>
      <c r="B6086" s="292"/>
      <c r="C6086" s="292"/>
      <c r="D6086" s="292"/>
      <c r="E6086" s="549"/>
      <c r="F6086" s="549"/>
      <c r="G6086" s="550"/>
      <c r="H6086" s="551"/>
      <c r="I6086" s="552"/>
      <c r="J6086" s="553"/>
      <c r="K6086" s="554"/>
      <c r="M6086" s="301" t="str">
        <f>N6086&amp;AS[[#This Row],[Insurer Code]]&amp;"; "&amp;O6086&amp;AS[[#This Row],[Reporting Year]]&amp;"; "&amp;P6086&amp;AS[[#This Row],[Insurance Category Code]]&amp;"; "&amp;Q6086&amp;AS[[#This Row],[Large Provider Entity Code]]&amp;"; "&amp;R6086&amp;AS[[#This Row],[Age Band Code]]&amp;"; "&amp;S6086&amp;AS[[#This Row],[Sex Code]]</f>
        <v xml:space="preserve">Insurer Code ; Reporting Year ; Insurance Category Code ; Large Provider Entity Code ; Age Band Code ; Sex Code </v>
      </c>
      <c r="N6086" s="297" t="s">
        <v>197</v>
      </c>
      <c r="O6086" s="297" t="s">
        <v>198</v>
      </c>
      <c r="P6086" s="297" t="s">
        <v>199</v>
      </c>
      <c r="Q6086" s="297" t="s">
        <v>200</v>
      </c>
      <c r="R6086" s="297" t="s">
        <v>213</v>
      </c>
      <c r="S6086" s="297" t="s">
        <v>214</v>
      </c>
    </row>
    <row r="6087" spans="1:19" x14ac:dyDescent="0.4">
      <c r="A6087" s="548"/>
      <c r="B6087" s="292"/>
      <c r="C6087" s="292"/>
      <c r="D6087" s="292"/>
      <c r="E6087" s="549"/>
      <c r="F6087" s="549"/>
      <c r="G6087" s="550"/>
      <c r="H6087" s="551"/>
      <c r="I6087" s="552"/>
      <c r="J6087" s="553"/>
      <c r="K6087" s="554"/>
      <c r="M6087" s="301" t="str">
        <f>N6087&amp;AS[[#This Row],[Insurer Code]]&amp;"; "&amp;O6087&amp;AS[[#This Row],[Reporting Year]]&amp;"; "&amp;P6087&amp;AS[[#This Row],[Insurance Category Code]]&amp;"; "&amp;Q6087&amp;AS[[#This Row],[Large Provider Entity Code]]&amp;"; "&amp;R6087&amp;AS[[#This Row],[Age Band Code]]&amp;"; "&amp;S6087&amp;AS[[#This Row],[Sex Code]]</f>
        <v xml:space="preserve">Insurer Code ; Reporting Year ; Insurance Category Code ; Large Provider Entity Code ; Age Band Code ; Sex Code </v>
      </c>
      <c r="N6087" s="297" t="s">
        <v>197</v>
      </c>
      <c r="O6087" s="297" t="s">
        <v>198</v>
      </c>
      <c r="P6087" s="297" t="s">
        <v>199</v>
      </c>
      <c r="Q6087" s="297" t="s">
        <v>200</v>
      </c>
      <c r="R6087" s="297" t="s">
        <v>213</v>
      </c>
      <c r="S6087" s="297" t="s">
        <v>214</v>
      </c>
    </row>
    <row r="6088" spans="1:19" x14ac:dyDescent="0.4">
      <c r="A6088" s="548"/>
      <c r="B6088" s="292"/>
      <c r="C6088" s="292"/>
      <c r="D6088" s="292"/>
      <c r="E6088" s="549"/>
      <c r="F6088" s="549"/>
      <c r="G6088" s="550"/>
      <c r="H6088" s="551"/>
      <c r="I6088" s="552"/>
      <c r="J6088" s="553"/>
      <c r="K6088" s="554"/>
      <c r="M6088" s="301" t="str">
        <f>N6088&amp;AS[[#This Row],[Insurer Code]]&amp;"; "&amp;O6088&amp;AS[[#This Row],[Reporting Year]]&amp;"; "&amp;P6088&amp;AS[[#This Row],[Insurance Category Code]]&amp;"; "&amp;Q6088&amp;AS[[#This Row],[Large Provider Entity Code]]&amp;"; "&amp;R6088&amp;AS[[#This Row],[Age Band Code]]&amp;"; "&amp;S6088&amp;AS[[#This Row],[Sex Code]]</f>
        <v xml:space="preserve">Insurer Code ; Reporting Year ; Insurance Category Code ; Large Provider Entity Code ; Age Band Code ; Sex Code </v>
      </c>
      <c r="N6088" s="297" t="s">
        <v>197</v>
      </c>
      <c r="O6088" s="297" t="s">
        <v>198</v>
      </c>
      <c r="P6088" s="297" t="s">
        <v>199</v>
      </c>
      <c r="Q6088" s="297" t="s">
        <v>200</v>
      </c>
      <c r="R6088" s="297" t="s">
        <v>213</v>
      </c>
      <c r="S6088" s="297" t="s">
        <v>214</v>
      </c>
    </row>
    <row r="6089" spans="1:19" x14ac:dyDescent="0.4">
      <c r="A6089" s="548"/>
      <c r="B6089" s="292"/>
      <c r="C6089" s="292"/>
      <c r="D6089" s="292"/>
      <c r="E6089" s="549"/>
      <c r="F6089" s="549"/>
      <c r="G6089" s="550"/>
      <c r="H6089" s="551"/>
      <c r="I6089" s="552"/>
      <c r="J6089" s="553"/>
      <c r="K6089" s="554"/>
      <c r="M6089" s="301" t="str">
        <f>N6089&amp;AS[[#This Row],[Insurer Code]]&amp;"; "&amp;O6089&amp;AS[[#This Row],[Reporting Year]]&amp;"; "&amp;P6089&amp;AS[[#This Row],[Insurance Category Code]]&amp;"; "&amp;Q6089&amp;AS[[#This Row],[Large Provider Entity Code]]&amp;"; "&amp;R6089&amp;AS[[#This Row],[Age Band Code]]&amp;"; "&amp;S6089&amp;AS[[#This Row],[Sex Code]]</f>
        <v xml:space="preserve">Insurer Code ; Reporting Year ; Insurance Category Code ; Large Provider Entity Code ; Age Band Code ; Sex Code </v>
      </c>
      <c r="N6089" s="297" t="s">
        <v>197</v>
      </c>
      <c r="O6089" s="297" t="s">
        <v>198</v>
      </c>
      <c r="P6089" s="297" t="s">
        <v>199</v>
      </c>
      <c r="Q6089" s="297" t="s">
        <v>200</v>
      </c>
      <c r="R6089" s="297" t="s">
        <v>213</v>
      </c>
      <c r="S6089" s="297" t="s">
        <v>214</v>
      </c>
    </row>
    <row r="6090" spans="1:19" x14ac:dyDescent="0.4">
      <c r="A6090" s="548"/>
      <c r="B6090" s="292"/>
      <c r="C6090" s="292"/>
      <c r="D6090" s="292"/>
      <c r="E6090" s="549"/>
      <c r="F6090" s="549"/>
      <c r="G6090" s="550"/>
      <c r="H6090" s="551"/>
      <c r="I6090" s="552"/>
      <c r="J6090" s="553"/>
      <c r="K6090" s="554"/>
      <c r="M6090" s="301" t="str">
        <f>N6090&amp;AS[[#This Row],[Insurer Code]]&amp;"; "&amp;O6090&amp;AS[[#This Row],[Reporting Year]]&amp;"; "&amp;P6090&amp;AS[[#This Row],[Insurance Category Code]]&amp;"; "&amp;Q6090&amp;AS[[#This Row],[Large Provider Entity Code]]&amp;"; "&amp;R6090&amp;AS[[#This Row],[Age Band Code]]&amp;"; "&amp;S6090&amp;AS[[#This Row],[Sex Code]]</f>
        <v xml:space="preserve">Insurer Code ; Reporting Year ; Insurance Category Code ; Large Provider Entity Code ; Age Band Code ; Sex Code </v>
      </c>
      <c r="N6090" s="297" t="s">
        <v>197</v>
      </c>
      <c r="O6090" s="297" t="s">
        <v>198</v>
      </c>
      <c r="P6090" s="297" t="s">
        <v>199</v>
      </c>
      <c r="Q6090" s="297" t="s">
        <v>200</v>
      </c>
      <c r="R6090" s="297" t="s">
        <v>213</v>
      </c>
      <c r="S6090" s="297" t="s">
        <v>214</v>
      </c>
    </row>
    <row r="6091" spans="1:19" x14ac:dyDescent="0.4">
      <c r="A6091" s="548"/>
      <c r="B6091" s="292"/>
      <c r="C6091" s="292"/>
      <c r="D6091" s="292"/>
      <c r="E6091" s="549"/>
      <c r="F6091" s="549"/>
      <c r="G6091" s="550"/>
      <c r="H6091" s="551"/>
      <c r="I6091" s="552"/>
      <c r="J6091" s="553"/>
      <c r="K6091" s="554"/>
      <c r="M6091" s="301" t="str">
        <f>N6091&amp;AS[[#This Row],[Insurer Code]]&amp;"; "&amp;O6091&amp;AS[[#This Row],[Reporting Year]]&amp;"; "&amp;P6091&amp;AS[[#This Row],[Insurance Category Code]]&amp;"; "&amp;Q6091&amp;AS[[#This Row],[Large Provider Entity Code]]&amp;"; "&amp;R6091&amp;AS[[#This Row],[Age Band Code]]&amp;"; "&amp;S6091&amp;AS[[#This Row],[Sex Code]]</f>
        <v xml:space="preserve">Insurer Code ; Reporting Year ; Insurance Category Code ; Large Provider Entity Code ; Age Band Code ; Sex Code </v>
      </c>
      <c r="N6091" s="297" t="s">
        <v>197</v>
      </c>
      <c r="O6091" s="297" t="s">
        <v>198</v>
      </c>
      <c r="P6091" s="297" t="s">
        <v>199</v>
      </c>
      <c r="Q6091" s="297" t="s">
        <v>200</v>
      </c>
      <c r="R6091" s="297" t="s">
        <v>213</v>
      </c>
      <c r="S6091" s="297" t="s">
        <v>214</v>
      </c>
    </row>
    <row r="6092" spans="1:19" x14ac:dyDescent="0.4">
      <c r="A6092" s="548"/>
      <c r="B6092" s="292"/>
      <c r="C6092" s="292"/>
      <c r="D6092" s="292"/>
      <c r="E6092" s="549"/>
      <c r="F6092" s="549"/>
      <c r="G6092" s="550"/>
      <c r="H6092" s="551"/>
      <c r="I6092" s="552"/>
      <c r="J6092" s="553"/>
      <c r="K6092" s="554"/>
      <c r="M6092" s="301" t="str">
        <f>N6092&amp;AS[[#This Row],[Insurer Code]]&amp;"; "&amp;O6092&amp;AS[[#This Row],[Reporting Year]]&amp;"; "&amp;P6092&amp;AS[[#This Row],[Insurance Category Code]]&amp;"; "&amp;Q6092&amp;AS[[#This Row],[Large Provider Entity Code]]&amp;"; "&amp;R6092&amp;AS[[#This Row],[Age Band Code]]&amp;"; "&amp;S6092&amp;AS[[#This Row],[Sex Code]]</f>
        <v xml:space="preserve">Insurer Code ; Reporting Year ; Insurance Category Code ; Large Provider Entity Code ; Age Band Code ; Sex Code </v>
      </c>
      <c r="N6092" s="297" t="s">
        <v>197</v>
      </c>
      <c r="O6092" s="297" t="s">
        <v>198</v>
      </c>
      <c r="P6092" s="297" t="s">
        <v>199</v>
      </c>
      <c r="Q6092" s="297" t="s">
        <v>200</v>
      </c>
      <c r="R6092" s="297" t="s">
        <v>213</v>
      </c>
      <c r="S6092" s="297" t="s">
        <v>214</v>
      </c>
    </row>
    <row r="6093" spans="1:19" x14ac:dyDescent="0.4">
      <c r="A6093" s="548"/>
      <c r="B6093" s="292"/>
      <c r="C6093" s="292"/>
      <c r="D6093" s="292"/>
      <c r="E6093" s="549"/>
      <c r="F6093" s="549"/>
      <c r="G6093" s="550"/>
      <c r="H6093" s="551"/>
      <c r="I6093" s="552"/>
      <c r="J6093" s="553"/>
      <c r="K6093" s="554"/>
      <c r="M6093" s="301" t="str">
        <f>N6093&amp;AS[[#This Row],[Insurer Code]]&amp;"; "&amp;O6093&amp;AS[[#This Row],[Reporting Year]]&amp;"; "&amp;P6093&amp;AS[[#This Row],[Insurance Category Code]]&amp;"; "&amp;Q6093&amp;AS[[#This Row],[Large Provider Entity Code]]&amp;"; "&amp;R6093&amp;AS[[#This Row],[Age Band Code]]&amp;"; "&amp;S6093&amp;AS[[#This Row],[Sex Code]]</f>
        <v xml:space="preserve">Insurer Code ; Reporting Year ; Insurance Category Code ; Large Provider Entity Code ; Age Band Code ; Sex Code </v>
      </c>
      <c r="N6093" s="297" t="s">
        <v>197</v>
      </c>
      <c r="O6093" s="297" t="s">
        <v>198</v>
      </c>
      <c r="P6093" s="297" t="s">
        <v>199</v>
      </c>
      <c r="Q6093" s="297" t="s">
        <v>200</v>
      </c>
      <c r="R6093" s="297" t="s">
        <v>213</v>
      </c>
      <c r="S6093" s="297" t="s">
        <v>214</v>
      </c>
    </row>
    <row r="6094" spans="1:19" x14ac:dyDescent="0.4">
      <c r="A6094" s="548"/>
      <c r="B6094" s="292"/>
      <c r="C6094" s="292"/>
      <c r="D6094" s="292"/>
      <c r="E6094" s="549"/>
      <c r="F6094" s="549"/>
      <c r="G6094" s="550"/>
      <c r="H6094" s="551"/>
      <c r="I6094" s="552"/>
      <c r="J6094" s="553"/>
      <c r="K6094" s="554"/>
      <c r="M6094" s="301" t="str">
        <f>N6094&amp;AS[[#This Row],[Insurer Code]]&amp;"; "&amp;O6094&amp;AS[[#This Row],[Reporting Year]]&amp;"; "&amp;P6094&amp;AS[[#This Row],[Insurance Category Code]]&amp;"; "&amp;Q6094&amp;AS[[#This Row],[Large Provider Entity Code]]&amp;"; "&amp;R6094&amp;AS[[#This Row],[Age Band Code]]&amp;"; "&amp;S6094&amp;AS[[#This Row],[Sex Code]]</f>
        <v xml:space="preserve">Insurer Code ; Reporting Year ; Insurance Category Code ; Large Provider Entity Code ; Age Band Code ; Sex Code </v>
      </c>
      <c r="N6094" s="297" t="s">
        <v>197</v>
      </c>
      <c r="O6094" s="297" t="s">
        <v>198</v>
      </c>
      <c r="P6094" s="297" t="s">
        <v>199</v>
      </c>
      <c r="Q6094" s="297" t="s">
        <v>200</v>
      </c>
      <c r="R6094" s="297" t="s">
        <v>213</v>
      </c>
      <c r="S6094" s="297" t="s">
        <v>214</v>
      </c>
    </row>
    <row r="6095" spans="1:19" x14ac:dyDescent="0.4">
      <c r="A6095" s="548"/>
      <c r="B6095" s="292"/>
      <c r="C6095" s="292"/>
      <c r="D6095" s="292"/>
      <c r="E6095" s="549"/>
      <c r="F6095" s="549"/>
      <c r="G6095" s="550"/>
      <c r="H6095" s="551"/>
      <c r="I6095" s="552"/>
      <c r="J6095" s="553"/>
      <c r="K6095" s="554"/>
      <c r="M6095" s="301" t="str">
        <f>N6095&amp;AS[[#This Row],[Insurer Code]]&amp;"; "&amp;O6095&amp;AS[[#This Row],[Reporting Year]]&amp;"; "&amp;P6095&amp;AS[[#This Row],[Insurance Category Code]]&amp;"; "&amp;Q6095&amp;AS[[#This Row],[Large Provider Entity Code]]&amp;"; "&amp;R6095&amp;AS[[#This Row],[Age Band Code]]&amp;"; "&amp;S6095&amp;AS[[#This Row],[Sex Code]]</f>
        <v xml:space="preserve">Insurer Code ; Reporting Year ; Insurance Category Code ; Large Provider Entity Code ; Age Band Code ; Sex Code </v>
      </c>
      <c r="N6095" s="297" t="s">
        <v>197</v>
      </c>
      <c r="O6095" s="297" t="s">
        <v>198</v>
      </c>
      <c r="P6095" s="297" t="s">
        <v>199</v>
      </c>
      <c r="Q6095" s="297" t="s">
        <v>200</v>
      </c>
      <c r="R6095" s="297" t="s">
        <v>213</v>
      </c>
      <c r="S6095" s="297" t="s">
        <v>214</v>
      </c>
    </row>
    <row r="6096" spans="1:19" x14ac:dyDescent="0.4">
      <c r="A6096" s="548"/>
      <c r="B6096" s="292"/>
      <c r="C6096" s="292"/>
      <c r="D6096" s="292"/>
      <c r="E6096" s="549"/>
      <c r="F6096" s="549"/>
      <c r="G6096" s="550"/>
      <c r="H6096" s="551"/>
      <c r="I6096" s="552"/>
      <c r="J6096" s="553"/>
      <c r="K6096" s="554"/>
      <c r="M6096" s="301" t="str">
        <f>N6096&amp;AS[[#This Row],[Insurer Code]]&amp;"; "&amp;O6096&amp;AS[[#This Row],[Reporting Year]]&amp;"; "&amp;P6096&amp;AS[[#This Row],[Insurance Category Code]]&amp;"; "&amp;Q6096&amp;AS[[#This Row],[Large Provider Entity Code]]&amp;"; "&amp;R6096&amp;AS[[#This Row],[Age Band Code]]&amp;"; "&amp;S6096&amp;AS[[#This Row],[Sex Code]]</f>
        <v xml:space="preserve">Insurer Code ; Reporting Year ; Insurance Category Code ; Large Provider Entity Code ; Age Band Code ; Sex Code </v>
      </c>
      <c r="N6096" s="297" t="s">
        <v>197</v>
      </c>
      <c r="O6096" s="297" t="s">
        <v>198</v>
      </c>
      <c r="P6096" s="297" t="s">
        <v>199</v>
      </c>
      <c r="Q6096" s="297" t="s">
        <v>200</v>
      </c>
      <c r="R6096" s="297" t="s">
        <v>213</v>
      </c>
      <c r="S6096" s="297" t="s">
        <v>214</v>
      </c>
    </row>
    <row r="6097" spans="1:19" x14ac:dyDescent="0.4">
      <c r="A6097" s="548"/>
      <c r="B6097" s="292"/>
      <c r="C6097" s="292"/>
      <c r="D6097" s="292"/>
      <c r="E6097" s="549"/>
      <c r="F6097" s="549"/>
      <c r="G6097" s="550"/>
      <c r="H6097" s="551"/>
      <c r="I6097" s="552"/>
      <c r="J6097" s="553"/>
      <c r="K6097" s="554"/>
      <c r="M6097" s="301" t="str">
        <f>N6097&amp;AS[[#This Row],[Insurer Code]]&amp;"; "&amp;O6097&amp;AS[[#This Row],[Reporting Year]]&amp;"; "&amp;P6097&amp;AS[[#This Row],[Insurance Category Code]]&amp;"; "&amp;Q6097&amp;AS[[#This Row],[Large Provider Entity Code]]&amp;"; "&amp;R6097&amp;AS[[#This Row],[Age Band Code]]&amp;"; "&amp;S6097&amp;AS[[#This Row],[Sex Code]]</f>
        <v xml:space="preserve">Insurer Code ; Reporting Year ; Insurance Category Code ; Large Provider Entity Code ; Age Band Code ; Sex Code </v>
      </c>
      <c r="N6097" s="297" t="s">
        <v>197</v>
      </c>
      <c r="O6097" s="297" t="s">
        <v>198</v>
      </c>
      <c r="P6097" s="297" t="s">
        <v>199</v>
      </c>
      <c r="Q6097" s="297" t="s">
        <v>200</v>
      </c>
      <c r="R6097" s="297" t="s">
        <v>213</v>
      </c>
      <c r="S6097" s="297" t="s">
        <v>214</v>
      </c>
    </row>
    <row r="6098" spans="1:19" x14ac:dyDescent="0.4">
      <c r="A6098" s="548"/>
      <c r="B6098" s="292"/>
      <c r="C6098" s="292"/>
      <c r="D6098" s="292"/>
      <c r="E6098" s="549"/>
      <c r="F6098" s="549"/>
      <c r="G6098" s="550"/>
      <c r="H6098" s="551"/>
      <c r="I6098" s="552"/>
      <c r="J6098" s="553"/>
      <c r="K6098" s="554"/>
      <c r="M6098" s="301" t="str">
        <f>N6098&amp;AS[[#This Row],[Insurer Code]]&amp;"; "&amp;O6098&amp;AS[[#This Row],[Reporting Year]]&amp;"; "&amp;P6098&amp;AS[[#This Row],[Insurance Category Code]]&amp;"; "&amp;Q6098&amp;AS[[#This Row],[Large Provider Entity Code]]&amp;"; "&amp;R6098&amp;AS[[#This Row],[Age Band Code]]&amp;"; "&amp;S6098&amp;AS[[#This Row],[Sex Code]]</f>
        <v xml:space="preserve">Insurer Code ; Reporting Year ; Insurance Category Code ; Large Provider Entity Code ; Age Band Code ; Sex Code </v>
      </c>
      <c r="N6098" s="297" t="s">
        <v>197</v>
      </c>
      <c r="O6098" s="297" t="s">
        <v>198</v>
      </c>
      <c r="P6098" s="297" t="s">
        <v>199</v>
      </c>
      <c r="Q6098" s="297" t="s">
        <v>200</v>
      </c>
      <c r="R6098" s="297" t="s">
        <v>213</v>
      </c>
      <c r="S6098" s="297" t="s">
        <v>214</v>
      </c>
    </row>
    <row r="6099" spans="1:19" x14ac:dyDescent="0.4">
      <c r="A6099" s="548"/>
      <c r="B6099" s="292"/>
      <c r="C6099" s="292"/>
      <c r="D6099" s="292"/>
      <c r="E6099" s="549"/>
      <c r="F6099" s="549"/>
      <c r="G6099" s="550"/>
      <c r="H6099" s="551"/>
      <c r="I6099" s="552"/>
      <c r="J6099" s="553"/>
      <c r="K6099" s="554"/>
      <c r="M6099" s="301" t="str">
        <f>N6099&amp;AS[[#This Row],[Insurer Code]]&amp;"; "&amp;O6099&amp;AS[[#This Row],[Reporting Year]]&amp;"; "&amp;P6099&amp;AS[[#This Row],[Insurance Category Code]]&amp;"; "&amp;Q6099&amp;AS[[#This Row],[Large Provider Entity Code]]&amp;"; "&amp;R6099&amp;AS[[#This Row],[Age Band Code]]&amp;"; "&amp;S6099&amp;AS[[#This Row],[Sex Code]]</f>
        <v xml:space="preserve">Insurer Code ; Reporting Year ; Insurance Category Code ; Large Provider Entity Code ; Age Band Code ; Sex Code </v>
      </c>
      <c r="N6099" s="297" t="s">
        <v>197</v>
      </c>
      <c r="O6099" s="297" t="s">
        <v>198</v>
      </c>
      <c r="P6099" s="297" t="s">
        <v>199</v>
      </c>
      <c r="Q6099" s="297" t="s">
        <v>200</v>
      </c>
      <c r="R6099" s="297" t="s">
        <v>213</v>
      </c>
      <c r="S6099" s="297" t="s">
        <v>214</v>
      </c>
    </row>
    <row r="6100" spans="1:19" x14ac:dyDescent="0.4">
      <c r="A6100" s="548"/>
      <c r="B6100" s="292"/>
      <c r="C6100" s="292"/>
      <c r="D6100" s="292"/>
      <c r="E6100" s="549"/>
      <c r="F6100" s="549"/>
      <c r="G6100" s="550"/>
      <c r="H6100" s="551"/>
      <c r="I6100" s="552"/>
      <c r="J6100" s="553"/>
      <c r="K6100" s="554"/>
      <c r="M6100" s="301" t="str">
        <f>N6100&amp;AS[[#This Row],[Insurer Code]]&amp;"; "&amp;O6100&amp;AS[[#This Row],[Reporting Year]]&amp;"; "&amp;P6100&amp;AS[[#This Row],[Insurance Category Code]]&amp;"; "&amp;Q6100&amp;AS[[#This Row],[Large Provider Entity Code]]&amp;"; "&amp;R6100&amp;AS[[#This Row],[Age Band Code]]&amp;"; "&amp;S6100&amp;AS[[#This Row],[Sex Code]]</f>
        <v xml:space="preserve">Insurer Code ; Reporting Year ; Insurance Category Code ; Large Provider Entity Code ; Age Band Code ; Sex Code </v>
      </c>
      <c r="N6100" s="297" t="s">
        <v>197</v>
      </c>
      <c r="O6100" s="297" t="s">
        <v>198</v>
      </c>
      <c r="P6100" s="297" t="s">
        <v>199</v>
      </c>
      <c r="Q6100" s="297" t="s">
        <v>200</v>
      </c>
      <c r="R6100" s="297" t="s">
        <v>213</v>
      </c>
      <c r="S6100" s="297" t="s">
        <v>214</v>
      </c>
    </row>
    <row r="6101" spans="1:19" x14ac:dyDescent="0.4">
      <c r="A6101" s="548"/>
      <c r="B6101" s="292"/>
      <c r="C6101" s="292"/>
      <c r="D6101" s="292"/>
      <c r="E6101" s="549"/>
      <c r="F6101" s="549"/>
      <c r="G6101" s="550"/>
      <c r="H6101" s="551"/>
      <c r="I6101" s="552"/>
      <c r="J6101" s="553"/>
      <c r="K6101" s="554"/>
      <c r="M6101" s="301" t="str">
        <f>N6101&amp;AS[[#This Row],[Insurer Code]]&amp;"; "&amp;O6101&amp;AS[[#This Row],[Reporting Year]]&amp;"; "&amp;P6101&amp;AS[[#This Row],[Insurance Category Code]]&amp;"; "&amp;Q6101&amp;AS[[#This Row],[Large Provider Entity Code]]&amp;"; "&amp;R6101&amp;AS[[#This Row],[Age Band Code]]&amp;"; "&amp;S6101&amp;AS[[#This Row],[Sex Code]]</f>
        <v xml:space="preserve">Insurer Code ; Reporting Year ; Insurance Category Code ; Large Provider Entity Code ; Age Band Code ; Sex Code </v>
      </c>
      <c r="N6101" s="297" t="s">
        <v>197</v>
      </c>
      <c r="O6101" s="297" t="s">
        <v>198</v>
      </c>
      <c r="P6101" s="297" t="s">
        <v>199</v>
      </c>
      <c r="Q6101" s="297" t="s">
        <v>200</v>
      </c>
      <c r="R6101" s="297" t="s">
        <v>213</v>
      </c>
      <c r="S6101" s="297" t="s">
        <v>214</v>
      </c>
    </row>
    <row r="6102" spans="1:19" x14ac:dyDescent="0.4">
      <c r="A6102" s="548"/>
      <c r="B6102" s="292"/>
      <c r="C6102" s="292"/>
      <c r="D6102" s="292"/>
      <c r="E6102" s="549"/>
      <c r="F6102" s="549"/>
      <c r="G6102" s="550"/>
      <c r="H6102" s="551"/>
      <c r="I6102" s="552"/>
      <c r="J6102" s="553"/>
      <c r="K6102" s="554"/>
      <c r="M6102" s="301" t="str">
        <f>N6102&amp;AS[[#This Row],[Insurer Code]]&amp;"; "&amp;O6102&amp;AS[[#This Row],[Reporting Year]]&amp;"; "&amp;P6102&amp;AS[[#This Row],[Insurance Category Code]]&amp;"; "&amp;Q6102&amp;AS[[#This Row],[Large Provider Entity Code]]&amp;"; "&amp;R6102&amp;AS[[#This Row],[Age Band Code]]&amp;"; "&amp;S6102&amp;AS[[#This Row],[Sex Code]]</f>
        <v xml:space="preserve">Insurer Code ; Reporting Year ; Insurance Category Code ; Large Provider Entity Code ; Age Band Code ; Sex Code </v>
      </c>
      <c r="N6102" s="297" t="s">
        <v>197</v>
      </c>
      <c r="O6102" s="297" t="s">
        <v>198</v>
      </c>
      <c r="P6102" s="297" t="s">
        <v>199</v>
      </c>
      <c r="Q6102" s="297" t="s">
        <v>200</v>
      </c>
      <c r="R6102" s="297" t="s">
        <v>213</v>
      </c>
      <c r="S6102" s="297" t="s">
        <v>214</v>
      </c>
    </row>
    <row r="6103" spans="1:19" x14ac:dyDescent="0.4">
      <c r="A6103" s="548"/>
      <c r="B6103" s="292"/>
      <c r="C6103" s="292"/>
      <c r="D6103" s="292"/>
      <c r="E6103" s="549"/>
      <c r="F6103" s="549"/>
      <c r="G6103" s="550"/>
      <c r="H6103" s="551"/>
      <c r="I6103" s="552"/>
      <c r="J6103" s="553"/>
      <c r="K6103" s="554"/>
      <c r="M6103" s="301" t="str">
        <f>N6103&amp;AS[[#This Row],[Insurer Code]]&amp;"; "&amp;O6103&amp;AS[[#This Row],[Reporting Year]]&amp;"; "&amp;P6103&amp;AS[[#This Row],[Insurance Category Code]]&amp;"; "&amp;Q6103&amp;AS[[#This Row],[Large Provider Entity Code]]&amp;"; "&amp;R6103&amp;AS[[#This Row],[Age Band Code]]&amp;"; "&amp;S6103&amp;AS[[#This Row],[Sex Code]]</f>
        <v xml:space="preserve">Insurer Code ; Reporting Year ; Insurance Category Code ; Large Provider Entity Code ; Age Band Code ; Sex Code </v>
      </c>
      <c r="N6103" s="297" t="s">
        <v>197</v>
      </c>
      <c r="O6103" s="297" t="s">
        <v>198</v>
      </c>
      <c r="P6103" s="297" t="s">
        <v>199</v>
      </c>
      <c r="Q6103" s="297" t="s">
        <v>200</v>
      </c>
      <c r="R6103" s="297" t="s">
        <v>213</v>
      </c>
      <c r="S6103" s="297" t="s">
        <v>214</v>
      </c>
    </row>
    <row r="6104" spans="1:19" x14ac:dyDescent="0.4">
      <c r="A6104" s="548"/>
      <c r="B6104" s="292"/>
      <c r="C6104" s="292"/>
      <c r="D6104" s="292"/>
      <c r="E6104" s="549"/>
      <c r="F6104" s="549"/>
      <c r="G6104" s="550"/>
      <c r="H6104" s="551"/>
      <c r="I6104" s="552"/>
      <c r="J6104" s="553"/>
      <c r="K6104" s="554"/>
      <c r="M6104" s="301" t="str">
        <f>N6104&amp;AS[[#This Row],[Insurer Code]]&amp;"; "&amp;O6104&amp;AS[[#This Row],[Reporting Year]]&amp;"; "&amp;P6104&amp;AS[[#This Row],[Insurance Category Code]]&amp;"; "&amp;Q6104&amp;AS[[#This Row],[Large Provider Entity Code]]&amp;"; "&amp;R6104&amp;AS[[#This Row],[Age Band Code]]&amp;"; "&amp;S6104&amp;AS[[#This Row],[Sex Code]]</f>
        <v xml:space="preserve">Insurer Code ; Reporting Year ; Insurance Category Code ; Large Provider Entity Code ; Age Band Code ; Sex Code </v>
      </c>
      <c r="N6104" s="297" t="s">
        <v>197</v>
      </c>
      <c r="O6104" s="297" t="s">
        <v>198</v>
      </c>
      <c r="P6104" s="297" t="s">
        <v>199</v>
      </c>
      <c r="Q6104" s="297" t="s">
        <v>200</v>
      </c>
      <c r="R6104" s="297" t="s">
        <v>213</v>
      </c>
      <c r="S6104" s="297" t="s">
        <v>214</v>
      </c>
    </row>
    <row r="6105" spans="1:19" x14ac:dyDescent="0.4">
      <c r="A6105" s="548"/>
      <c r="B6105" s="292"/>
      <c r="C6105" s="292"/>
      <c r="D6105" s="292"/>
      <c r="E6105" s="549"/>
      <c r="F6105" s="549"/>
      <c r="G6105" s="550"/>
      <c r="H6105" s="551"/>
      <c r="I6105" s="552"/>
      <c r="J6105" s="553"/>
      <c r="K6105" s="554"/>
      <c r="M6105" s="301" t="str">
        <f>N6105&amp;AS[[#This Row],[Insurer Code]]&amp;"; "&amp;O6105&amp;AS[[#This Row],[Reporting Year]]&amp;"; "&amp;P6105&amp;AS[[#This Row],[Insurance Category Code]]&amp;"; "&amp;Q6105&amp;AS[[#This Row],[Large Provider Entity Code]]&amp;"; "&amp;R6105&amp;AS[[#This Row],[Age Band Code]]&amp;"; "&amp;S6105&amp;AS[[#This Row],[Sex Code]]</f>
        <v xml:space="preserve">Insurer Code ; Reporting Year ; Insurance Category Code ; Large Provider Entity Code ; Age Band Code ; Sex Code </v>
      </c>
      <c r="N6105" s="297" t="s">
        <v>197</v>
      </c>
      <c r="O6105" s="297" t="s">
        <v>198</v>
      </c>
      <c r="P6105" s="297" t="s">
        <v>199</v>
      </c>
      <c r="Q6105" s="297" t="s">
        <v>200</v>
      </c>
      <c r="R6105" s="297" t="s">
        <v>213</v>
      </c>
      <c r="S6105" s="297" t="s">
        <v>214</v>
      </c>
    </row>
    <row r="6106" spans="1:19" x14ac:dyDescent="0.4">
      <c r="A6106" s="548"/>
      <c r="B6106" s="292"/>
      <c r="C6106" s="292"/>
      <c r="D6106" s="292"/>
      <c r="E6106" s="549"/>
      <c r="F6106" s="549"/>
      <c r="G6106" s="550"/>
      <c r="H6106" s="551"/>
      <c r="I6106" s="552"/>
      <c r="J6106" s="553"/>
      <c r="K6106" s="554"/>
      <c r="M6106" s="301" t="str">
        <f>N6106&amp;AS[[#This Row],[Insurer Code]]&amp;"; "&amp;O6106&amp;AS[[#This Row],[Reporting Year]]&amp;"; "&amp;P6106&amp;AS[[#This Row],[Insurance Category Code]]&amp;"; "&amp;Q6106&amp;AS[[#This Row],[Large Provider Entity Code]]&amp;"; "&amp;R6106&amp;AS[[#This Row],[Age Band Code]]&amp;"; "&amp;S6106&amp;AS[[#This Row],[Sex Code]]</f>
        <v xml:space="preserve">Insurer Code ; Reporting Year ; Insurance Category Code ; Large Provider Entity Code ; Age Band Code ; Sex Code </v>
      </c>
      <c r="N6106" s="297" t="s">
        <v>197</v>
      </c>
      <c r="O6106" s="297" t="s">
        <v>198</v>
      </c>
      <c r="P6106" s="297" t="s">
        <v>199</v>
      </c>
      <c r="Q6106" s="297" t="s">
        <v>200</v>
      </c>
      <c r="R6106" s="297" t="s">
        <v>213</v>
      </c>
      <c r="S6106" s="297" t="s">
        <v>214</v>
      </c>
    </row>
    <row r="6107" spans="1:19" x14ac:dyDescent="0.4">
      <c r="A6107" s="548"/>
      <c r="B6107" s="292"/>
      <c r="C6107" s="292"/>
      <c r="D6107" s="292"/>
      <c r="E6107" s="549"/>
      <c r="F6107" s="549"/>
      <c r="G6107" s="550"/>
      <c r="H6107" s="551"/>
      <c r="I6107" s="552"/>
      <c r="J6107" s="553"/>
      <c r="K6107" s="554"/>
      <c r="M6107" s="301" t="str">
        <f>N6107&amp;AS[[#This Row],[Insurer Code]]&amp;"; "&amp;O6107&amp;AS[[#This Row],[Reporting Year]]&amp;"; "&amp;P6107&amp;AS[[#This Row],[Insurance Category Code]]&amp;"; "&amp;Q6107&amp;AS[[#This Row],[Large Provider Entity Code]]&amp;"; "&amp;R6107&amp;AS[[#This Row],[Age Band Code]]&amp;"; "&amp;S6107&amp;AS[[#This Row],[Sex Code]]</f>
        <v xml:space="preserve">Insurer Code ; Reporting Year ; Insurance Category Code ; Large Provider Entity Code ; Age Band Code ; Sex Code </v>
      </c>
      <c r="N6107" s="297" t="s">
        <v>197</v>
      </c>
      <c r="O6107" s="297" t="s">
        <v>198</v>
      </c>
      <c r="P6107" s="297" t="s">
        <v>199</v>
      </c>
      <c r="Q6107" s="297" t="s">
        <v>200</v>
      </c>
      <c r="R6107" s="297" t="s">
        <v>213</v>
      </c>
      <c r="S6107" s="297" t="s">
        <v>214</v>
      </c>
    </row>
    <row r="6108" spans="1:19" x14ac:dyDescent="0.4">
      <c r="A6108" s="548"/>
      <c r="B6108" s="292"/>
      <c r="C6108" s="292"/>
      <c r="D6108" s="292"/>
      <c r="E6108" s="549"/>
      <c r="F6108" s="549"/>
      <c r="G6108" s="550"/>
      <c r="H6108" s="551"/>
      <c r="I6108" s="552"/>
      <c r="J6108" s="553"/>
      <c r="K6108" s="554"/>
      <c r="M6108" s="301" t="str">
        <f>N6108&amp;AS[[#This Row],[Insurer Code]]&amp;"; "&amp;O6108&amp;AS[[#This Row],[Reporting Year]]&amp;"; "&amp;P6108&amp;AS[[#This Row],[Insurance Category Code]]&amp;"; "&amp;Q6108&amp;AS[[#This Row],[Large Provider Entity Code]]&amp;"; "&amp;R6108&amp;AS[[#This Row],[Age Band Code]]&amp;"; "&amp;S6108&amp;AS[[#This Row],[Sex Code]]</f>
        <v xml:space="preserve">Insurer Code ; Reporting Year ; Insurance Category Code ; Large Provider Entity Code ; Age Band Code ; Sex Code </v>
      </c>
      <c r="N6108" s="297" t="s">
        <v>197</v>
      </c>
      <c r="O6108" s="297" t="s">
        <v>198</v>
      </c>
      <c r="P6108" s="297" t="s">
        <v>199</v>
      </c>
      <c r="Q6108" s="297" t="s">
        <v>200</v>
      </c>
      <c r="R6108" s="297" t="s">
        <v>213</v>
      </c>
      <c r="S6108" s="297" t="s">
        <v>214</v>
      </c>
    </row>
    <row r="6109" spans="1:19" x14ac:dyDescent="0.4">
      <c r="A6109" s="548"/>
      <c r="B6109" s="292"/>
      <c r="C6109" s="292"/>
      <c r="D6109" s="292"/>
      <c r="E6109" s="549"/>
      <c r="F6109" s="549"/>
      <c r="G6109" s="550"/>
      <c r="H6109" s="551"/>
      <c r="I6109" s="552"/>
      <c r="J6109" s="553"/>
      <c r="K6109" s="554"/>
      <c r="M6109" s="301" t="str">
        <f>N6109&amp;AS[[#This Row],[Insurer Code]]&amp;"; "&amp;O6109&amp;AS[[#This Row],[Reporting Year]]&amp;"; "&amp;P6109&amp;AS[[#This Row],[Insurance Category Code]]&amp;"; "&amp;Q6109&amp;AS[[#This Row],[Large Provider Entity Code]]&amp;"; "&amp;R6109&amp;AS[[#This Row],[Age Band Code]]&amp;"; "&amp;S6109&amp;AS[[#This Row],[Sex Code]]</f>
        <v xml:space="preserve">Insurer Code ; Reporting Year ; Insurance Category Code ; Large Provider Entity Code ; Age Band Code ; Sex Code </v>
      </c>
      <c r="N6109" s="297" t="s">
        <v>197</v>
      </c>
      <c r="O6109" s="297" t="s">
        <v>198</v>
      </c>
      <c r="P6109" s="297" t="s">
        <v>199</v>
      </c>
      <c r="Q6109" s="297" t="s">
        <v>200</v>
      </c>
      <c r="R6109" s="297" t="s">
        <v>213</v>
      </c>
      <c r="S6109" s="297" t="s">
        <v>214</v>
      </c>
    </row>
    <row r="6110" spans="1:19" x14ac:dyDescent="0.4">
      <c r="A6110" s="548"/>
      <c r="B6110" s="292"/>
      <c r="C6110" s="292"/>
      <c r="D6110" s="292"/>
      <c r="E6110" s="549"/>
      <c r="F6110" s="549"/>
      <c r="G6110" s="550"/>
      <c r="H6110" s="551"/>
      <c r="I6110" s="552"/>
      <c r="J6110" s="553"/>
      <c r="K6110" s="554"/>
      <c r="M6110" s="301" t="str">
        <f>N6110&amp;AS[[#This Row],[Insurer Code]]&amp;"; "&amp;O6110&amp;AS[[#This Row],[Reporting Year]]&amp;"; "&amp;P6110&amp;AS[[#This Row],[Insurance Category Code]]&amp;"; "&amp;Q6110&amp;AS[[#This Row],[Large Provider Entity Code]]&amp;"; "&amp;R6110&amp;AS[[#This Row],[Age Band Code]]&amp;"; "&amp;S6110&amp;AS[[#This Row],[Sex Code]]</f>
        <v xml:space="preserve">Insurer Code ; Reporting Year ; Insurance Category Code ; Large Provider Entity Code ; Age Band Code ; Sex Code </v>
      </c>
      <c r="N6110" s="297" t="s">
        <v>197</v>
      </c>
      <c r="O6110" s="297" t="s">
        <v>198</v>
      </c>
      <c r="P6110" s="297" t="s">
        <v>199</v>
      </c>
      <c r="Q6110" s="297" t="s">
        <v>200</v>
      </c>
      <c r="R6110" s="297" t="s">
        <v>213</v>
      </c>
      <c r="S6110" s="297" t="s">
        <v>214</v>
      </c>
    </row>
    <row r="6111" spans="1:19" x14ac:dyDescent="0.4">
      <c r="A6111" s="548"/>
      <c r="B6111" s="292"/>
      <c r="C6111" s="292"/>
      <c r="D6111" s="292"/>
      <c r="E6111" s="549"/>
      <c r="F6111" s="549"/>
      <c r="G6111" s="550"/>
      <c r="H6111" s="551"/>
      <c r="I6111" s="552"/>
      <c r="J6111" s="553"/>
      <c r="K6111" s="554"/>
      <c r="M6111" s="301" t="str">
        <f>N6111&amp;AS[[#This Row],[Insurer Code]]&amp;"; "&amp;O6111&amp;AS[[#This Row],[Reporting Year]]&amp;"; "&amp;P6111&amp;AS[[#This Row],[Insurance Category Code]]&amp;"; "&amp;Q6111&amp;AS[[#This Row],[Large Provider Entity Code]]&amp;"; "&amp;R6111&amp;AS[[#This Row],[Age Band Code]]&amp;"; "&amp;S6111&amp;AS[[#This Row],[Sex Code]]</f>
        <v xml:space="preserve">Insurer Code ; Reporting Year ; Insurance Category Code ; Large Provider Entity Code ; Age Band Code ; Sex Code </v>
      </c>
      <c r="N6111" s="297" t="s">
        <v>197</v>
      </c>
      <c r="O6111" s="297" t="s">
        <v>198</v>
      </c>
      <c r="P6111" s="297" t="s">
        <v>199</v>
      </c>
      <c r="Q6111" s="297" t="s">
        <v>200</v>
      </c>
      <c r="R6111" s="297" t="s">
        <v>213</v>
      </c>
      <c r="S6111" s="297" t="s">
        <v>214</v>
      </c>
    </row>
    <row r="6112" spans="1:19" x14ac:dyDescent="0.4">
      <c r="A6112" s="548"/>
      <c r="B6112" s="292"/>
      <c r="C6112" s="292"/>
      <c r="D6112" s="292"/>
      <c r="E6112" s="549"/>
      <c r="F6112" s="549"/>
      <c r="G6112" s="550"/>
      <c r="H6112" s="551"/>
      <c r="I6112" s="552"/>
      <c r="J6112" s="553"/>
      <c r="K6112" s="554"/>
      <c r="M6112" s="301" t="str">
        <f>N6112&amp;AS[[#This Row],[Insurer Code]]&amp;"; "&amp;O6112&amp;AS[[#This Row],[Reporting Year]]&amp;"; "&amp;P6112&amp;AS[[#This Row],[Insurance Category Code]]&amp;"; "&amp;Q6112&amp;AS[[#This Row],[Large Provider Entity Code]]&amp;"; "&amp;R6112&amp;AS[[#This Row],[Age Band Code]]&amp;"; "&amp;S6112&amp;AS[[#This Row],[Sex Code]]</f>
        <v xml:space="preserve">Insurer Code ; Reporting Year ; Insurance Category Code ; Large Provider Entity Code ; Age Band Code ; Sex Code </v>
      </c>
      <c r="N6112" s="297" t="s">
        <v>197</v>
      </c>
      <c r="O6112" s="297" t="s">
        <v>198</v>
      </c>
      <c r="P6112" s="297" t="s">
        <v>199</v>
      </c>
      <c r="Q6112" s="297" t="s">
        <v>200</v>
      </c>
      <c r="R6112" s="297" t="s">
        <v>213</v>
      </c>
      <c r="S6112" s="297" t="s">
        <v>214</v>
      </c>
    </row>
    <row r="6113" spans="1:19" x14ac:dyDescent="0.4">
      <c r="A6113" s="548"/>
      <c r="B6113" s="292"/>
      <c r="C6113" s="292"/>
      <c r="D6113" s="292"/>
      <c r="E6113" s="549"/>
      <c r="F6113" s="549"/>
      <c r="G6113" s="550"/>
      <c r="H6113" s="551"/>
      <c r="I6113" s="552"/>
      <c r="J6113" s="553"/>
      <c r="K6113" s="554"/>
      <c r="M6113" s="301" t="str">
        <f>N6113&amp;AS[[#This Row],[Insurer Code]]&amp;"; "&amp;O6113&amp;AS[[#This Row],[Reporting Year]]&amp;"; "&amp;P6113&amp;AS[[#This Row],[Insurance Category Code]]&amp;"; "&amp;Q6113&amp;AS[[#This Row],[Large Provider Entity Code]]&amp;"; "&amp;R6113&amp;AS[[#This Row],[Age Band Code]]&amp;"; "&amp;S6113&amp;AS[[#This Row],[Sex Code]]</f>
        <v xml:space="preserve">Insurer Code ; Reporting Year ; Insurance Category Code ; Large Provider Entity Code ; Age Band Code ; Sex Code </v>
      </c>
      <c r="N6113" s="297" t="s">
        <v>197</v>
      </c>
      <c r="O6113" s="297" t="s">
        <v>198</v>
      </c>
      <c r="P6113" s="297" t="s">
        <v>199</v>
      </c>
      <c r="Q6113" s="297" t="s">
        <v>200</v>
      </c>
      <c r="R6113" s="297" t="s">
        <v>213</v>
      </c>
      <c r="S6113" s="297" t="s">
        <v>214</v>
      </c>
    </row>
    <row r="6114" spans="1:19" x14ac:dyDescent="0.4">
      <c r="A6114" s="548"/>
      <c r="B6114" s="292"/>
      <c r="C6114" s="292"/>
      <c r="D6114" s="292"/>
      <c r="E6114" s="549"/>
      <c r="F6114" s="549"/>
      <c r="G6114" s="550"/>
      <c r="H6114" s="551"/>
      <c r="I6114" s="552"/>
      <c r="J6114" s="553"/>
      <c r="K6114" s="554"/>
      <c r="M6114" s="301" t="str">
        <f>N6114&amp;AS[[#This Row],[Insurer Code]]&amp;"; "&amp;O6114&amp;AS[[#This Row],[Reporting Year]]&amp;"; "&amp;P6114&amp;AS[[#This Row],[Insurance Category Code]]&amp;"; "&amp;Q6114&amp;AS[[#This Row],[Large Provider Entity Code]]&amp;"; "&amp;R6114&amp;AS[[#This Row],[Age Band Code]]&amp;"; "&amp;S6114&amp;AS[[#This Row],[Sex Code]]</f>
        <v xml:space="preserve">Insurer Code ; Reporting Year ; Insurance Category Code ; Large Provider Entity Code ; Age Band Code ; Sex Code </v>
      </c>
      <c r="N6114" s="297" t="s">
        <v>197</v>
      </c>
      <c r="O6114" s="297" t="s">
        <v>198</v>
      </c>
      <c r="P6114" s="297" t="s">
        <v>199</v>
      </c>
      <c r="Q6114" s="297" t="s">
        <v>200</v>
      </c>
      <c r="R6114" s="297" t="s">
        <v>213</v>
      </c>
      <c r="S6114" s="297" t="s">
        <v>214</v>
      </c>
    </row>
    <row r="6115" spans="1:19" x14ac:dyDescent="0.4">
      <c r="A6115" s="548"/>
      <c r="B6115" s="292"/>
      <c r="C6115" s="292"/>
      <c r="D6115" s="292"/>
      <c r="E6115" s="549"/>
      <c r="F6115" s="549"/>
      <c r="G6115" s="550"/>
      <c r="H6115" s="551"/>
      <c r="I6115" s="552"/>
      <c r="J6115" s="553"/>
      <c r="K6115" s="554"/>
      <c r="M6115" s="301" t="str">
        <f>N6115&amp;AS[[#This Row],[Insurer Code]]&amp;"; "&amp;O6115&amp;AS[[#This Row],[Reporting Year]]&amp;"; "&amp;P6115&amp;AS[[#This Row],[Insurance Category Code]]&amp;"; "&amp;Q6115&amp;AS[[#This Row],[Large Provider Entity Code]]&amp;"; "&amp;R6115&amp;AS[[#This Row],[Age Band Code]]&amp;"; "&amp;S6115&amp;AS[[#This Row],[Sex Code]]</f>
        <v xml:space="preserve">Insurer Code ; Reporting Year ; Insurance Category Code ; Large Provider Entity Code ; Age Band Code ; Sex Code </v>
      </c>
      <c r="N6115" s="297" t="s">
        <v>197</v>
      </c>
      <c r="O6115" s="297" t="s">
        <v>198</v>
      </c>
      <c r="P6115" s="297" t="s">
        <v>199</v>
      </c>
      <c r="Q6115" s="297" t="s">
        <v>200</v>
      </c>
      <c r="R6115" s="297" t="s">
        <v>213</v>
      </c>
      <c r="S6115" s="297" t="s">
        <v>214</v>
      </c>
    </row>
    <row r="6116" spans="1:19" x14ac:dyDescent="0.4">
      <c r="A6116" s="548"/>
      <c r="B6116" s="292"/>
      <c r="C6116" s="292"/>
      <c r="D6116" s="292"/>
      <c r="E6116" s="549"/>
      <c r="F6116" s="549"/>
      <c r="G6116" s="550"/>
      <c r="H6116" s="551"/>
      <c r="I6116" s="552"/>
      <c r="J6116" s="553"/>
      <c r="K6116" s="554"/>
      <c r="M6116" s="301" t="str">
        <f>N6116&amp;AS[[#This Row],[Insurer Code]]&amp;"; "&amp;O6116&amp;AS[[#This Row],[Reporting Year]]&amp;"; "&amp;P6116&amp;AS[[#This Row],[Insurance Category Code]]&amp;"; "&amp;Q6116&amp;AS[[#This Row],[Large Provider Entity Code]]&amp;"; "&amp;R6116&amp;AS[[#This Row],[Age Band Code]]&amp;"; "&amp;S6116&amp;AS[[#This Row],[Sex Code]]</f>
        <v xml:space="preserve">Insurer Code ; Reporting Year ; Insurance Category Code ; Large Provider Entity Code ; Age Band Code ; Sex Code </v>
      </c>
      <c r="N6116" s="297" t="s">
        <v>197</v>
      </c>
      <c r="O6116" s="297" t="s">
        <v>198</v>
      </c>
      <c r="P6116" s="297" t="s">
        <v>199</v>
      </c>
      <c r="Q6116" s="297" t="s">
        <v>200</v>
      </c>
      <c r="R6116" s="297" t="s">
        <v>213</v>
      </c>
      <c r="S6116" s="297" t="s">
        <v>214</v>
      </c>
    </row>
    <row r="6117" spans="1:19" x14ac:dyDescent="0.4">
      <c r="A6117" s="548"/>
      <c r="B6117" s="292"/>
      <c r="C6117" s="292"/>
      <c r="D6117" s="292"/>
      <c r="E6117" s="549"/>
      <c r="F6117" s="549"/>
      <c r="G6117" s="550"/>
      <c r="H6117" s="551"/>
      <c r="I6117" s="552"/>
      <c r="J6117" s="553"/>
      <c r="K6117" s="554"/>
      <c r="M6117" s="301" t="str">
        <f>N6117&amp;AS[[#This Row],[Insurer Code]]&amp;"; "&amp;O6117&amp;AS[[#This Row],[Reporting Year]]&amp;"; "&amp;P6117&amp;AS[[#This Row],[Insurance Category Code]]&amp;"; "&amp;Q6117&amp;AS[[#This Row],[Large Provider Entity Code]]&amp;"; "&amp;R6117&amp;AS[[#This Row],[Age Band Code]]&amp;"; "&amp;S6117&amp;AS[[#This Row],[Sex Code]]</f>
        <v xml:space="preserve">Insurer Code ; Reporting Year ; Insurance Category Code ; Large Provider Entity Code ; Age Band Code ; Sex Code </v>
      </c>
      <c r="N6117" s="297" t="s">
        <v>197</v>
      </c>
      <c r="O6117" s="297" t="s">
        <v>198</v>
      </c>
      <c r="P6117" s="297" t="s">
        <v>199</v>
      </c>
      <c r="Q6117" s="297" t="s">
        <v>200</v>
      </c>
      <c r="R6117" s="297" t="s">
        <v>213</v>
      </c>
      <c r="S6117" s="297" t="s">
        <v>214</v>
      </c>
    </row>
    <row r="6118" spans="1:19" x14ac:dyDescent="0.4">
      <c r="A6118" s="548"/>
      <c r="B6118" s="292"/>
      <c r="C6118" s="292"/>
      <c r="D6118" s="292"/>
      <c r="E6118" s="549"/>
      <c r="F6118" s="549"/>
      <c r="G6118" s="550"/>
      <c r="H6118" s="551"/>
      <c r="I6118" s="552"/>
      <c r="J6118" s="553"/>
      <c r="K6118" s="554"/>
      <c r="M6118" s="301" t="str">
        <f>N6118&amp;AS[[#This Row],[Insurer Code]]&amp;"; "&amp;O6118&amp;AS[[#This Row],[Reporting Year]]&amp;"; "&amp;P6118&amp;AS[[#This Row],[Insurance Category Code]]&amp;"; "&amp;Q6118&amp;AS[[#This Row],[Large Provider Entity Code]]&amp;"; "&amp;R6118&amp;AS[[#This Row],[Age Band Code]]&amp;"; "&amp;S6118&amp;AS[[#This Row],[Sex Code]]</f>
        <v xml:space="preserve">Insurer Code ; Reporting Year ; Insurance Category Code ; Large Provider Entity Code ; Age Band Code ; Sex Code </v>
      </c>
      <c r="N6118" s="297" t="s">
        <v>197</v>
      </c>
      <c r="O6118" s="297" t="s">
        <v>198</v>
      </c>
      <c r="P6118" s="297" t="s">
        <v>199</v>
      </c>
      <c r="Q6118" s="297" t="s">
        <v>200</v>
      </c>
      <c r="R6118" s="297" t="s">
        <v>213</v>
      </c>
      <c r="S6118" s="297" t="s">
        <v>214</v>
      </c>
    </row>
    <row r="6119" spans="1:19" x14ac:dyDescent="0.4">
      <c r="A6119" s="548"/>
      <c r="B6119" s="292"/>
      <c r="C6119" s="292"/>
      <c r="D6119" s="292"/>
      <c r="E6119" s="549"/>
      <c r="F6119" s="549"/>
      <c r="G6119" s="550"/>
      <c r="H6119" s="551"/>
      <c r="I6119" s="552"/>
      <c r="J6119" s="553"/>
      <c r="K6119" s="554"/>
      <c r="M6119" s="301" t="str">
        <f>N6119&amp;AS[[#This Row],[Insurer Code]]&amp;"; "&amp;O6119&amp;AS[[#This Row],[Reporting Year]]&amp;"; "&amp;P6119&amp;AS[[#This Row],[Insurance Category Code]]&amp;"; "&amp;Q6119&amp;AS[[#This Row],[Large Provider Entity Code]]&amp;"; "&amp;R6119&amp;AS[[#This Row],[Age Band Code]]&amp;"; "&amp;S6119&amp;AS[[#This Row],[Sex Code]]</f>
        <v xml:space="preserve">Insurer Code ; Reporting Year ; Insurance Category Code ; Large Provider Entity Code ; Age Band Code ; Sex Code </v>
      </c>
      <c r="N6119" s="297" t="s">
        <v>197</v>
      </c>
      <c r="O6119" s="297" t="s">
        <v>198</v>
      </c>
      <c r="P6119" s="297" t="s">
        <v>199</v>
      </c>
      <c r="Q6119" s="297" t="s">
        <v>200</v>
      </c>
      <c r="R6119" s="297" t="s">
        <v>213</v>
      </c>
      <c r="S6119" s="297" t="s">
        <v>214</v>
      </c>
    </row>
    <row r="6120" spans="1:19" x14ac:dyDescent="0.4">
      <c r="A6120" s="548"/>
      <c r="B6120" s="292"/>
      <c r="C6120" s="292"/>
      <c r="D6120" s="292"/>
      <c r="E6120" s="549"/>
      <c r="F6120" s="549"/>
      <c r="G6120" s="550"/>
      <c r="H6120" s="551"/>
      <c r="I6120" s="552"/>
      <c r="J6120" s="553"/>
      <c r="K6120" s="554"/>
      <c r="M6120" s="301" t="str">
        <f>N6120&amp;AS[[#This Row],[Insurer Code]]&amp;"; "&amp;O6120&amp;AS[[#This Row],[Reporting Year]]&amp;"; "&amp;P6120&amp;AS[[#This Row],[Insurance Category Code]]&amp;"; "&amp;Q6120&amp;AS[[#This Row],[Large Provider Entity Code]]&amp;"; "&amp;R6120&amp;AS[[#This Row],[Age Band Code]]&amp;"; "&amp;S6120&amp;AS[[#This Row],[Sex Code]]</f>
        <v xml:space="preserve">Insurer Code ; Reporting Year ; Insurance Category Code ; Large Provider Entity Code ; Age Band Code ; Sex Code </v>
      </c>
      <c r="N6120" s="297" t="s">
        <v>197</v>
      </c>
      <c r="O6120" s="297" t="s">
        <v>198</v>
      </c>
      <c r="P6120" s="297" t="s">
        <v>199</v>
      </c>
      <c r="Q6120" s="297" t="s">
        <v>200</v>
      </c>
      <c r="R6120" s="297" t="s">
        <v>213</v>
      </c>
      <c r="S6120" s="297" t="s">
        <v>214</v>
      </c>
    </row>
    <row r="6121" spans="1:19" x14ac:dyDescent="0.4">
      <c r="A6121" s="548"/>
      <c r="B6121" s="292"/>
      <c r="C6121" s="292"/>
      <c r="D6121" s="292"/>
      <c r="E6121" s="549"/>
      <c r="F6121" s="549"/>
      <c r="G6121" s="550"/>
      <c r="H6121" s="551"/>
      <c r="I6121" s="552"/>
      <c r="J6121" s="553"/>
      <c r="K6121" s="554"/>
      <c r="M6121" s="301" t="str">
        <f>N6121&amp;AS[[#This Row],[Insurer Code]]&amp;"; "&amp;O6121&amp;AS[[#This Row],[Reporting Year]]&amp;"; "&amp;P6121&amp;AS[[#This Row],[Insurance Category Code]]&amp;"; "&amp;Q6121&amp;AS[[#This Row],[Large Provider Entity Code]]&amp;"; "&amp;R6121&amp;AS[[#This Row],[Age Band Code]]&amp;"; "&amp;S6121&amp;AS[[#This Row],[Sex Code]]</f>
        <v xml:space="preserve">Insurer Code ; Reporting Year ; Insurance Category Code ; Large Provider Entity Code ; Age Band Code ; Sex Code </v>
      </c>
      <c r="N6121" s="297" t="s">
        <v>197</v>
      </c>
      <c r="O6121" s="297" t="s">
        <v>198</v>
      </c>
      <c r="P6121" s="297" t="s">
        <v>199</v>
      </c>
      <c r="Q6121" s="297" t="s">
        <v>200</v>
      </c>
      <c r="R6121" s="297" t="s">
        <v>213</v>
      </c>
      <c r="S6121" s="297" t="s">
        <v>214</v>
      </c>
    </row>
    <row r="6122" spans="1:19" x14ac:dyDescent="0.4">
      <c r="A6122" s="548"/>
      <c r="B6122" s="292"/>
      <c r="C6122" s="292"/>
      <c r="D6122" s="292"/>
      <c r="E6122" s="549"/>
      <c r="F6122" s="549"/>
      <c r="G6122" s="550"/>
      <c r="H6122" s="551"/>
      <c r="I6122" s="552"/>
      <c r="J6122" s="553"/>
      <c r="K6122" s="554"/>
      <c r="M6122" s="301" t="str">
        <f>N6122&amp;AS[[#This Row],[Insurer Code]]&amp;"; "&amp;O6122&amp;AS[[#This Row],[Reporting Year]]&amp;"; "&amp;P6122&amp;AS[[#This Row],[Insurance Category Code]]&amp;"; "&amp;Q6122&amp;AS[[#This Row],[Large Provider Entity Code]]&amp;"; "&amp;R6122&amp;AS[[#This Row],[Age Band Code]]&amp;"; "&amp;S6122&amp;AS[[#This Row],[Sex Code]]</f>
        <v xml:space="preserve">Insurer Code ; Reporting Year ; Insurance Category Code ; Large Provider Entity Code ; Age Band Code ; Sex Code </v>
      </c>
      <c r="N6122" s="297" t="s">
        <v>197</v>
      </c>
      <c r="O6122" s="297" t="s">
        <v>198</v>
      </c>
      <c r="P6122" s="297" t="s">
        <v>199</v>
      </c>
      <c r="Q6122" s="297" t="s">
        <v>200</v>
      </c>
      <c r="R6122" s="297" t="s">
        <v>213</v>
      </c>
      <c r="S6122" s="297" t="s">
        <v>214</v>
      </c>
    </row>
    <row r="6123" spans="1:19" x14ac:dyDescent="0.4">
      <c r="A6123" s="548"/>
      <c r="B6123" s="292"/>
      <c r="C6123" s="292"/>
      <c r="D6123" s="292"/>
      <c r="E6123" s="549"/>
      <c r="F6123" s="549"/>
      <c r="G6123" s="550"/>
      <c r="H6123" s="551"/>
      <c r="I6123" s="552"/>
      <c r="J6123" s="553"/>
      <c r="K6123" s="554"/>
      <c r="M6123" s="301" t="str">
        <f>N6123&amp;AS[[#This Row],[Insurer Code]]&amp;"; "&amp;O6123&amp;AS[[#This Row],[Reporting Year]]&amp;"; "&amp;P6123&amp;AS[[#This Row],[Insurance Category Code]]&amp;"; "&amp;Q6123&amp;AS[[#This Row],[Large Provider Entity Code]]&amp;"; "&amp;R6123&amp;AS[[#This Row],[Age Band Code]]&amp;"; "&amp;S6123&amp;AS[[#This Row],[Sex Code]]</f>
        <v xml:space="preserve">Insurer Code ; Reporting Year ; Insurance Category Code ; Large Provider Entity Code ; Age Band Code ; Sex Code </v>
      </c>
      <c r="N6123" s="297" t="s">
        <v>197</v>
      </c>
      <c r="O6123" s="297" t="s">
        <v>198</v>
      </c>
      <c r="P6123" s="297" t="s">
        <v>199</v>
      </c>
      <c r="Q6123" s="297" t="s">
        <v>200</v>
      </c>
      <c r="R6123" s="297" t="s">
        <v>213</v>
      </c>
      <c r="S6123" s="297" t="s">
        <v>214</v>
      </c>
    </row>
    <row r="6124" spans="1:19" x14ac:dyDescent="0.4">
      <c r="A6124" s="548"/>
      <c r="B6124" s="292"/>
      <c r="C6124" s="292"/>
      <c r="D6124" s="292"/>
      <c r="E6124" s="549"/>
      <c r="F6124" s="549"/>
      <c r="G6124" s="550"/>
      <c r="H6124" s="551"/>
      <c r="I6124" s="552"/>
      <c r="J6124" s="553"/>
      <c r="K6124" s="554"/>
      <c r="M6124" s="301" t="str">
        <f>N6124&amp;AS[[#This Row],[Insurer Code]]&amp;"; "&amp;O6124&amp;AS[[#This Row],[Reporting Year]]&amp;"; "&amp;P6124&amp;AS[[#This Row],[Insurance Category Code]]&amp;"; "&amp;Q6124&amp;AS[[#This Row],[Large Provider Entity Code]]&amp;"; "&amp;R6124&amp;AS[[#This Row],[Age Band Code]]&amp;"; "&amp;S6124&amp;AS[[#This Row],[Sex Code]]</f>
        <v xml:space="preserve">Insurer Code ; Reporting Year ; Insurance Category Code ; Large Provider Entity Code ; Age Band Code ; Sex Code </v>
      </c>
      <c r="N6124" s="297" t="s">
        <v>197</v>
      </c>
      <c r="O6124" s="297" t="s">
        <v>198</v>
      </c>
      <c r="P6124" s="297" t="s">
        <v>199</v>
      </c>
      <c r="Q6124" s="297" t="s">
        <v>200</v>
      </c>
      <c r="R6124" s="297" t="s">
        <v>213</v>
      </c>
      <c r="S6124" s="297" t="s">
        <v>214</v>
      </c>
    </row>
    <row r="6125" spans="1:19" x14ac:dyDescent="0.4">
      <c r="A6125" s="548"/>
      <c r="B6125" s="292"/>
      <c r="C6125" s="292"/>
      <c r="D6125" s="292"/>
      <c r="E6125" s="549"/>
      <c r="F6125" s="549"/>
      <c r="G6125" s="550"/>
      <c r="H6125" s="551"/>
      <c r="I6125" s="552"/>
      <c r="J6125" s="553"/>
      <c r="K6125" s="554"/>
      <c r="M6125" s="301" t="str">
        <f>N6125&amp;AS[[#This Row],[Insurer Code]]&amp;"; "&amp;O6125&amp;AS[[#This Row],[Reporting Year]]&amp;"; "&amp;P6125&amp;AS[[#This Row],[Insurance Category Code]]&amp;"; "&amp;Q6125&amp;AS[[#This Row],[Large Provider Entity Code]]&amp;"; "&amp;R6125&amp;AS[[#This Row],[Age Band Code]]&amp;"; "&amp;S6125&amp;AS[[#This Row],[Sex Code]]</f>
        <v xml:space="preserve">Insurer Code ; Reporting Year ; Insurance Category Code ; Large Provider Entity Code ; Age Band Code ; Sex Code </v>
      </c>
      <c r="N6125" s="297" t="s">
        <v>197</v>
      </c>
      <c r="O6125" s="297" t="s">
        <v>198</v>
      </c>
      <c r="P6125" s="297" t="s">
        <v>199</v>
      </c>
      <c r="Q6125" s="297" t="s">
        <v>200</v>
      </c>
      <c r="R6125" s="297" t="s">
        <v>213</v>
      </c>
      <c r="S6125" s="297" t="s">
        <v>214</v>
      </c>
    </row>
    <row r="6126" spans="1:19" x14ac:dyDescent="0.4">
      <c r="A6126" s="548"/>
      <c r="B6126" s="292"/>
      <c r="C6126" s="292"/>
      <c r="D6126" s="292"/>
      <c r="E6126" s="549"/>
      <c r="F6126" s="549"/>
      <c r="G6126" s="550"/>
      <c r="H6126" s="551"/>
      <c r="I6126" s="552"/>
      <c r="J6126" s="553"/>
      <c r="K6126" s="554"/>
      <c r="M6126" s="301" t="str">
        <f>N6126&amp;AS[[#This Row],[Insurer Code]]&amp;"; "&amp;O6126&amp;AS[[#This Row],[Reporting Year]]&amp;"; "&amp;P6126&amp;AS[[#This Row],[Insurance Category Code]]&amp;"; "&amp;Q6126&amp;AS[[#This Row],[Large Provider Entity Code]]&amp;"; "&amp;R6126&amp;AS[[#This Row],[Age Band Code]]&amp;"; "&amp;S6126&amp;AS[[#This Row],[Sex Code]]</f>
        <v xml:space="preserve">Insurer Code ; Reporting Year ; Insurance Category Code ; Large Provider Entity Code ; Age Band Code ; Sex Code </v>
      </c>
      <c r="N6126" s="297" t="s">
        <v>197</v>
      </c>
      <c r="O6126" s="297" t="s">
        <v>198</v>
      </c>
      <c r="P6126" s="297" t="s">
        <v>199</v>
      </c>
      <c r="Q6126" s="297" t="s">
        <v>200</v>
      </c>
      <c r="R6126" s="297" t="s">
        <v>213</v>
      </c>
      <c r="S6126" s="297" t="s">
        <v>214</v>
      </c>
    </row>
    <row r="6127" spans="1:19" x14ac:dyDescent="0.4">
      <c r="A6127" s="548"/>
      <c r="B6127" s="292"/>
      <c r="C6127" s="292"/>
      <c r="D6127" s="292"/>
      <c r="E6127" s="549"/>
      <c r="F6127" s="549"/>
      <c r="G6127" s="550"/>
      <c r="H6127" s="551"/>
      <c r="I6127" s="552"/>
      <c r="J6127" s="553"/>
      <c r="K6127" s="554"/>
      <c r="M6127" s="301" t="str">
        <f>N6127&amp;AS[[#This Row],[Insurer Code]]&amp;"; "&amp;O6127&amp;AS[[#This Row],[Reporting Year]]&amp;"; "&amp;P6127&amp;AS[[#This Row],[Insurance Category Code]]&amp;"; "&amp;Q6127&amp;AS[[#This Row],[Large Provider Entity Code]]&amp;"; "&amp;R6127&amp;AS[[#This Row],[Age Band Code]]&amp;"; "&amp;S6127&amp;AS[[#This Row],[Sex Code]]</f>
        <v xml:space="preserve">Insurer Code ; Reporting Year ; Insurance Category Code ; Large Provider Entity Code ; Age Band Code ; Sex Code </v>
      </c>
      <c r="N6127" s="297" t="s">
        <v>197</v>
      </c>
      <c r="O6127" s="297" t="s">
        <v>198</v>
      </c>
      <c r="P6127" s="297" t="s">
        <v>199</v>
      </c>
      <c r="Q6127" s="297" t="s">
        <v>200</v>
      </c>
      <c r="R6127" s="297" t="s">
        <v>213</v>
      </c>
      <c r="S6127" s="297" t="s">
        <v>214</v>
      </c>
    </row>
    <row r="6128" spans="1:19" x14ac:dyDescent="0.4">
      <c r="A6128" s="548"/>
      <c r="B6128" s="292"/>
      <c r="C6128" s="292"/>
      <c r="D6128" s="292"/>
      <c r="E6128" s="549"/>
      <c r="F6128" s="549"/>
      <c r="G6128" s="550"/>
      <c r="H6128" s="551"/>
      <c r="I6128" s="552"/>
      <c r="J6128" s="553"/>
      <c r="K6128" s="554"/>
      <c r="M6128" s="301" t="str">
        <f>N6128&amp;AS[[#This Row],[Insurer Code]]&amp;"; "&amp;O6128&amp;AS[[#This Row],[Reporting Year]]&amp;"; "&amp;P6128&amp;AS[[#This Row],[Insurance Category Code]]&amp;"; "&amp;Q6128&amp;AS[[#This Row],[Large Provider Entity Code]]&amp;"; "&amp;R6128&amp;AS[[#This Row],[Age Band Code]]&amp;"; "&amp;S6128&amp;AS[[#This Row],[Sex Code]]</f>
        <v xml:space="preserve">Insurer Code ; Reporting Year ; Insurance Category Code ; Large Provider Entity Code ; Age Band Code ; Sex Code </v>
      </c>
      <c r="N6128" s="297" t="s">
        <v>197</v>
      </c>
      <c r="O6128" s="297" t="s">
        <v>198</v>
      </c>
      <c r="P6128" s="297" t="s">
        <v>199</v>
      </c>
      <c r="Q6128" s="297" t="s">
        <v>200</v>
      </c>
      <c r="R6128" s="297" t="s">
        <v>213</v>
      </c>
      <c r="S6128" s="297" t="s">
        <v>214</v>
      </c>
    </row>
    <row r="6129" spans="1:19" x14ac:dyDescent="0.4">
      <c r="A6129" s="548"/>
      <c r="B6129" s="292"/>
      <c r="C6129" s="292"/>
      <c r="D6129" s="292"/>
      <c r="E6129" s="549"/>
      <c r="F6129" s="549"/>
      <c r="G6129" s="550"/>
      <c r="H6129" s="551"/>
      <c r="I6129" s="552"/>
      <c r="J6129" s="553"/>
      <c r="K6129" s="554"/>
      <c r="M6129" s="301" t="str">
        <f>N6129&amp;AS[[#This Row],[Insurer Code]]&amp;"; "&amp;O6129&amp;AS[[#This Row],[Reporting Year]]&amp;"; "&amp;P6129&amp;AS[[#This Row],[Insurance Category Code]]&amp;"; "&amp;Q6129&amp;AS[[#This Row],[Large Provider Entity Code]]&amp;"; "&amp;R6129&amp;AS[[#This Row],[Age Band Code]]&amp;"; "&amp;S6129&amp;AS[[#This Row],[Sex Code]]</f>
        <v xml:space="preserve">Insurer Code ; Reporting Year ; Insurance Category Code ; Large Provider Entity Code ; Age Band Code ; Sex Code </v>
      </c>
      <c r="N6129" s="297" t="s">
        <v>197</v>
      </c>
      <c r="O6129" s="297" t="s">
        <v>198</v>
      </c>
      <c r="P6129" s="297" t="s">
        <v>199</v>
      </c>
      <c r="Q6129" s="297" t="s">
        <v>200</v>
      </c>
      <c r="R6129" s="297" t="s">
        <v>213</v>
      </c>
      <c r="S6129" s="297" t="s">
        <v>214</v>
      </c>
    </row>
    <row r="6130" spans="1:19" x14ac:dyDescent="0.4">
      <c r="A6130" s="548"/>
      <c r="B6130" s="292"/>
      <c r="C6130" s="292"/>
      <c r="D6130" s="292"/>
      <c r="E6130" s="549"/>
      <c r="F6130" s="549"/>
      <c r="G6130" s="550"/>
      <c r="H6130" s="551"/>
      <c r="I6130" s="552"/>
      <c r="J6130" s="553"/>
      <c r="K6130" s="554"/>
      <c r="M6130" s="301" t="str">
        <f>N6130&amp;AS[[#This Row],[Insurer Code]]&amp;"; "&amp;O6130&amp;AS[[#This Row],[Reporting Year]]&amp;"; "&amp;P6130&amp;AS[[#This Row],[Insurance Category Code]]&amp;"; "&amp;Q6130&amp;AS[[#This Row],[Large Provider Entity Code]]&amp;"; "&amp;R6130&amp;AS[[#This Row],[Age Band Code]]&amp;"; "&amp;S6130&amp;AS[[#This Row],[Sex Code]]</f>
        <v xml:space="preserve">Insurer Code ; Reporting Year ; Insurance Category Code ; Large Provider Entity Code ; Age Band Code ; Sex Code </v>
      </c>
      <c r="N6130" s="297" t="s">
        <v>197</v>
      </c>
      <c r="O6130" s="297" t="s">
        <v>198</v>
      </c>
      <c r="P6130" s="297" t="s">
        <v>199</v>
      </c>
      <c r="Q6130" s="297" t="s">
        <v>200</v>
      </c>
      <c r="R6130" s="297" t="s">
        <v>213</v>
      </c>
      <c r="S6130" s="297" t="s">
        <v>214</v>
      </c>
    </row>
    <row r="6131" spans="1:19" x14ac:dyDescent="0.4">
      <c r="A6131" s="548"/>
      <c r="B6131" s="292"/>
      <c r="C6131" s="292"/>
      <c r="D6131" s="292"/>
      <c r="E6131" s="549"/>
      <c r="F6131" s="549"/>
      <c r="G6131" s="550"/>
      <c r="H6131" s="551"/>
      <c r="I6131" s="552"/>
      <c r="J6131" s="553"/>
      <c r="K6131" s="554"/>
      <c r="M6131" s="301" t="str">
        <f>N6131&amp;AS[[#This Row],[Insurer Code]]&amp;"; "&amp;O6131&amp;AS[[#This Row],[Reporting Year]]&amp;"; "&amp;P6131&amp;AS[[#This Row],[Insurance Category Code]]&amp;"; "&amp;Q6131&amp;AS[[#This Row],[Large Provider Entity Code]]&amp;"; "&amp;R6131&amp;AS[[#This Row],[Age Band Code]]&amp;"; "&amp;S6131&amp;AS[[#This Row],[Sex Code]]</f>
        <v xml:space="preserve">Insurer Code ; Reporting Year ; Insurance Category Code ; Large Provider Entity Code ; Age Band Code ; Sex Code </v>
      </c>
      <c r="N6131" s="297" t="s">
        <v>197</v>
      </c>
      <c r="O6131" s="297" t="s">
        <v>198</v>
      </c>
      <c r="P6131" s="297" t="s">
        <v>199</v>
      </c>
      <c r="Q6131" s="297" t="s">
        <v>200</v>
      </c>
      <c r="R6131" s="297" t="s">
        <v>213</v>
      </c>
      <c r="S6131" s="297" t="s">
        <v>214</v>
      </c>
    </row>
    <row r="6132" spans="1:19" x14ac:dyDescent="0.4">
      <c r="A6132" s="548"/>
      <c r="B6132" s="292"/>
      <c r="C6132" s="292"/>
      <c r="D6132" s="292"/>
      <c r="E6132" s="549"/>
      <c r="F6132" s="549"/>
      <c r="G6132" s="550"/>
      <c r="H6132" s="551"/>
      <c r="I6132" s="552"/>
      <c r="J6132" s="553"/>
      <c r="K6132" s="554"/>
      <c r="M6132" s="301" t="str">
        <f>N6132&amp;AS[[#This Row],[Insurer Code]]&amp;"; "&amp;O6132&amp;AS[[#This Row],[Reporting Year]]&amp;"; "&amp;P6132&amp;AS[[#This Row],[Insurance Category Code]]&amp;"; "&amp;Q6132&amp;AS[[#This Row],[Large Provider Entity Code]]&amp;"; "&amp;R6132&amp;AS[[#This Row],[Age Band Code]]&amp;"; "&amp;S6132&amp;AS[[#This Row],[Sex Code]]</f>
        <v xml:space="preserve">Insurer Code ; Reporting Year ; Insurance Category Code ; Large Provider Entity Code ; Age Band Code ; Sex Code </v>
      </c>
      <c r="N6132" s="297" t="s">
        <v>197</v>
      </c>
      <c r="O6132" s="297" t="s">
        <v>198</v>
      </c>
      <c r="P6132" s="297" t="s">
        <v>199</v>
      </c>
      <c r="Q6132" s="297" t="s">
        <v>200</v>
      </c>
      <c r="R6132" s="297" t="s">
        <v>213</v>
      </c>
      <c r="S6132" s="297" t="s">
        <v>214</v>
      </c>
    </row>
    <row r="6133" spans="1:19" x14ac:dyDescent="0.4">
      <c r="A6133" s="548"/>
      <c r="B6133" s="292"/>
      <c r="C6133" s="292"/>
      <c r="D6133" s="292"/>
      <c r="E6133" s="549"/>
      <c r="F6133" s="549"/>
      <c r="G6133" s="550"/>
      <c r="H6133" s="551"/>
      <c r="I6133" s="552"/>
      <c r="J6133" s="553"/>
      <c r="K6133" s="554"/>
      <c r="M6133" s="301" t="str">
        <f>N6133&amp;AS[[#This Row],[Insurer Code]]&amp;"; "&amp;O6133&amp;AS[[#This Row],[Reporting Year]]&amp;"; "&amp;P6133&amp;AS[[#This Row],[Insurance Category Code]]&amp;"; "&amp;Q6133&amp;AS[[#This Row],[Large Provider Entity Code]]&amp;"; "&amp;R6133&amp;AS[[#This Row],[Age Band Code]]&amp;"; "&amp;S6133&amp;AS[[#This Row],[Sex Code]]</f>
        <v xml:space="preserve">Insurer Code ; Reporting Year ; Insurance Category Code ; Large Provider Entity Code ; Age Band Code ; Sex Code </v>
      </c>
      <c r="N6133" s="297" t="s">
        <v>197</v>
      </c>
      <c r="O6133" s="297" t="s">
        <v>198</v>
      </c>
      <c r="P6133" s="297" t="s">
        <v>199</v>
      </c>
      <c r="Q6133" s="297" t="s">
        <v>200</v>
      </c>
      <c r="R6133" s="297" t="s">
        <v>213</v>
      </c>
      <c r="S6133" s="297" t="s">
        <v>214</v>
      </c>
    </row>
    <row r="6134" spans="1:19" x14ac:dyDescent="0.4">
      <c r="A6134" s="548"/>
      <c r="B6134" s="292"/>
      <c r="C6134" s="292"/>
      <c r="D6134" s="292"/>
      <c r="E6134" s="549"/>
      <c r="F6134" s="549"/>
      <c r="G6134" s="550"/>
      <c r="H6134" s="551"/>
      <c r="I6134" s="552"/>
      <c r="J6134" s="553"/>
      <c r="K6134" s="554"/>
      <c r="M6134" s="301" t="str">
        <f>N6134&amp;AS[[#This Row],[Insurer Code]]&amp;"; "&amp;O6134&amp;AS[[#This Row],[Reporting Year]]&amp;"; "&amp;P6134&amp;AS[[#This Row],[Insurance Category Code]]&amp;"; "&amp;Q6134&amp;AS[[#This Row],[Large Provider Entity Code]]&amp;"; "&amp;R6134&amp;AS[[#This Row],[Age Band Code]]&amp;"; "&amp;S6134&amp;AS[[#This Row],[Sex Code]]</f>
        <v xml:space="preserve">Insurer Code ; Reporting Year ; Insurance Category Code ; Large Provider Entity Code ; Age Band Code ; Sex Code </v>
      </c>
      <c r="N6134" s="297" t="s">
        <v>197</v>
      </c>
      <c r="O6134" s="297" t="s">
        <v>198</v>
      </c>
      <c r="P6134" s="297" t="s">
        <v>199</v>
      </c>
      <c r="Q6134" s="297" t="s">
        <v>200</v>
      </c>
      <c r="R6134" s="297" t="s">
        <v>213</v>
      </c>
      <c r="S6134" s="297" t="s">
        <v>214</v>
      </c>
    </row>
    <row r="6135" spans="1:19" x14ac:dyDescent="0.4">
      <c r="A6135" s="548"/>
      <c r="B6135" s="292"/>
      <c r="C6135" s="292"/>
      <c r="D6135" s="292"/>
      <c r="E6135" s="549"/>
      <c r="F6135" s="549"/>
      <c r="G6135" s="550"/>
      <c r="H6135" s="551"/>
      <c r="I6135" s="552"/>
      <c r="J6135" s="553"/>
      <c r="K6135" s="554"/>
      <c r="M6135" s="301" t="str">
        <f>N6135&amp;AS[[#This Row],[Insurer Code]]&amp;"; "&amp;O6135&amp;AS[[#This Row],[Reporting Year]]&amp;"; "&amp;P6135&amp;AS[[#This Row],[Insurance Category Code]]&amp;"; "&amp;Q6135&amp;AS[[#This Row],[Large Provider Entity Code]]&amp;"; "&amp;R6135&amp;AS[[#This Row],[Age Band Code]]&amp;"; "&amp;S6135&amp;AS[[#This Row],[Sex Code]]</f>
        <v xml:space="preserve">Insurer Code ; Reporting Year ; Insurance Category Code ; Large Provider Entity Code ; Age Band Code ; Sex Code </v>
      </c>
      <c r="N6135" s="297" t="s">
        <v>197</v>
      </c>
      <c r="O6135" s="297" t="s">
        <v>198</v>
      </c>
      <c r="P6135" s="297" t="s">
        <v>199</v>
      </c>
      <c r="Q6135" s="297" t="s">
        <v>200</v>
      </c>
      <c r="R6135" s="297" t="s">
        <v>213</v>
      </c>
      <c r="S6135" s="297" t="s">
        <v>214</v>
      </c>
    </row>
    <row r="6136" spans="1:19" x14ac:dyDescent="0.4">
      <c r="A6136" s="548"/>
      <c r="B6136" s="292"/>
      <c r="C6136" s="292"/>
      <c r="D6136" s="292"/>
      <c r="E6136" s="549"/>
      <c r="F6136" s="549"/>
      <c r="G6136" s="550"/>
      <c r="H6136" s="551"/>
      <c r="I6136" s="552"/>
      <c r="J6136" s="553"/>
      <c r="K6136" s="554"/>
      <c r="M6136" s="301" t="str">
        <f>N6136&amp;AS[[#This Row],[Insurer Code]]&amp;"; "&amp;O6136&amp;AS[[#This Row],[Reporting Year]]&amp;"; "&amp;P6136&amp;AS[[#This Row],[Insurance Category Code]]&amp;"; "&amp;Q6136&amp;AS[[#This Row],[Large Provider Entity Code]]&amp;"; "&amp;R6136&amp;AS[[#This Row],[Age Band Code]]&amp;"; "&amp;S6136&amp;AS[[#This Row],[Sex Code]]</f>
        <v xml:space="preserve">Insurer Code ; Reporting Year ; Insurance Category Code ; Large Provider Entity Code ; Age Band Code ; Sex Code </v>
      </c>
      <c r="N6136" s="297" t="s">
        <v>197</v>
      </c>
      <c r="O6136" s="297" t="s">
        <v>198</v>
      </c>
      <c r="P6136" s="297" t="s">
        <v>199</v>
      </c>
      <c r="Q6136" s="297" t="s">
        <v>200</v>
      </c>
      <c r="R6136" s="297" t="s">
        <v>213</v>
      </c>
      <c r="S6136" s="297" t="s">
        <v>214</v>
      </c>
    </row>
    <row r="6137" spans="1:19" x14ac:dyDescent="0.4">
      <c r="A6137" s="548"/>
      <c r="B6137" s="292"/>
      <c r="C6137" s="292"/>
      <c r="D6137" s="292"/>
      <c r="E6137" s="549"/>
      <c r="F6137" s="549"/>
      <c r="G6137" s="550"/>
      <c r="H6137" s="551"/>
      <c r="I6137" s="552"/>
      <c r="J6137" s="553"/>
      <c r="K6137" s="554"/>
      <c r="M6137" s="301" t="str">
        <f>N6137&amp;AS[[#This Row],[Insurer Code]]&amp;"; "&amp;O6137&amp;AS[[#This Row],[Reporting Year]]&amp;"; "&amp;P6137&amp;AS[[#This Row],[Insurance Category Code]]&amp;"; "&amp;Q6137&amp;AS[[#This Row],[Large Provider Entity Code]]&amp;"; "&amp;R6137&amp;AS[[#This Row],[Age Band Code]]&amp;"; "&amp;S6137&amp;AS[[#This Row],[Sex Code]]</f>
        <v xml:space="preserve">Insurer Code ; Reporting Year ; Insurance Category Code ; Large Provider Entity Code ; Age Band Code ; Sex Code </v>
      </c>
      <c r="N6137" s="297" t="s">
        <v>197</v>
      </c>
      <c r="O6137" s="297" t="s">
        <v>198</v>
      </c>
      <c r="P6137" s="297" t="s">
        <v>199</v>
      </c>
      <c r="Q6137" s="297" t="s">
        <v>200</v>
      </c>
      <c r="R6137" s="297" t="s">
        <v>213</v>
      </c>
      <c r="S6137" s="297" t="s">
        <v>214</v>
      </c>
    </row>
    <row r="6138" spans="1:19" x14ac:dyDescent="0.4">
      <c r="A6138" s="548"/>
      <c r="B6138" s="292"/>
      <c r="C6138" s="292"/>
      <c r="D6138" s="292"/>
      <c r="E6138" s="549"/>
      <c r="F6138" s="549"/>
      <c r="G6138" s="550"/>
      <c r="H6138" s="551"/>
      <c r="I6138" s="552"/>
      <c r="J6138" s="553"/>
      <c r="K6138" s="554"/>
      <c r="M6138" s="301" t="str">
        <f>N6138&amp;AS[[#This Row],[Insurer Code]]&amp;"; "&amp;O6138&amp;AS[[#This Row],[Reporting Year]]&amp;"; "&amp;P6138&amp;AS[[#This Row],[Insurance Category Code]]&amp;"; "&amp;Q6138&amp;AS[[#This Row],[Large Provider Entity Code]]&amp;"; "&amp;R6138&amp;AS[[#This Row],[Age Band Code]]&amp;"; "&amp;S6138&amp;AS[[#This Row],[Sex Code]]</f>
        <v xml:space="preserve">Insurer Code ; Reporting Year ; Insurance Category Code ; Large Provider Entity Code ; Age Band Code ; Sex Code </v>
      </c>
      <c r="N6138" s="297" t="s">
        <v>197</v>
      </c>
      <c r="O6138" s="297" t="s">
        <v>198</v>
      </c>
      <c r="P6138" s="297" t="s">
        <v>199</v>
      </c>
      <c r="Q6138" s="297" t="s">
        <v>200</v>
      </c>
      <c r="R6138" s="297" t="s">
        <v>213</v>
      </c>
      <c r="S6138" s="297" t="s">
        <v>214</v>
      </c>
    </row>
    <row r="6139" spans="1:19" x14ac:dyDescent="0.4">
      <c r="A6139" s="548"/>
      <c r="B6139" s="292"/>
      <c r="C6139" s="292"/>
      <c r="D6139" s="292"/>
      <c r="E6139" s="549"/>
      <c r="F6139" s="549"/>
      <c r="G6139" s="550"/>
      <c r="H6139" s="551"/>
      <c r="I6139" s="552"/>
      <c r="J6139" s="553"/>
      <c r="K6139" s="554"/>
      <c r="M6139" s="301" t="str">
        <f>N6139&amp;AS[[#This Row],[Insurer Code]]&amp;"; "&amp;O6139&amp;AS[[#This Row],[Reporting Year]]&amp;"; "&amp;P6139&amp;AS[[#This Row],[Insurance Category Code]]&amp;"; "&amp;Q6139&amp;AS[[#This Row],[Large Provider Entity Code]]&amp;"; "&amp;R6139&amp;AS[[#This Row],[Age Band Code]]&amp;"; "&amp;S6139&amp;AS[[#This Row],[Sex Code]]</f>
        <v xml:space="preserve">Insurer Code ; Reporting Year ; Insurance Category Code ; Large Provider Entity Code ; Age Band Code ; Sex Code </v>
      </c>
      <c r="N6139" s="297" t="s">
        <v>197</v>
      </c>
      <c r="O6139" s="297" t="s">
        <v>198</v>
      </c>
      <c r="P6139" s="297" t="s">
        <v>199</v>
      </c>
      <c r="Q6139" s="297" t="s">
        <v>200</v>
      </c>
      <c r="R6139" s="297" t="s">
        <v>213</v>
      </c>
      <c r="S6139" s="297" t="s">
        <v>214</v>
      </c>
    </row>
    <row r="6140" spans="1:19" x14ac:dyDescent="0.4">
      <c r="A6140" s="548"/>
      <c r="B6140" s="292"/>
      <c r="C6140" s="292"/>
      <c r="D6140" s="292"/>
      <c r="E6140" s="549"/>
      <c r="F6140" s="549"/>
      <c r="G6140" s="550"/>
      <c r="H6140" s="551"/>
      <c r="I6140" s="552"/>
      <c r="J6140" s="553"/>
      <c r="K6140" s="554"/>
      <c r="M6140" s="301" t="str">
        <f>N6140&amp;AS[[#This Row],[Insurer Code]]&amp;"; "&amp;O6140&amp;AS[[#This Row],[Reporting Year]]&amp;"; "&amp;P6140&amp;AS[[#This Row],[Insurance Category Code]]&amp;"; "&amp;Q6140&amp;AS[[#This Row],[Large Provider Entity Code]]&amp;"; "&amp;R6140&amp;AS[[#This Row],[Age Band Code]]&amp;"; "&amp;S6140&amp;AS[[#This Row],[Sex Code]]</f>
        <v xml:space="preserve">Insurer Code ; Reporting Year ; Insurance Category Code ; Large Provider Entity Code ; Age Band Code ; Sex Code </v>
      </c>
      <c r="N6140" s="297" t="s">
        <v>197</v>
      </c>
      <c r="O6140" s="297" t="s">
        <v>198</v>
      </c>
      <c r="P6140" s="297" t="s">
        <v>199</v>
      </c>
      <c r="Q6140" s="297" t="s">
        <v>200</v>
      </c>
      <c r="R6140" s="297" t="s">
        <v>213</v>
      </c>
      <c r="S6140" s="297" t="s">
        <v>214</v>
      </c>
    </row>
    <row r="6141" spans="1:19" x14ac:dyDescent="0.4">
      <c r="A6141" s="548"/>
      <c r="B6141" s="292"/>
      <c r="C6141" s="292"/>
      <c r="D6141" s="292"/>
      <c r="E6141" s="549"/>
      <c r="F6141" s="549"/>
      <c r="G6141" s="550"/>
      <c r="H6141" s="551"/>
      <c r="I6141" s="552"/>
      <c r="J6141" s="553"/>
      <c r="K6141" s="554"/>
      <c r="M6141" s="301" t="str">
        <f>N6141&amp;AS[[#This Row],[Insurer Code]]&amp;"; "&amp;O6141&amp;AS[[#This Row],[Reporting Year]]&amp;"; "&amp;P6141&amp;AS[[#This Row],[Insurance Category Code]]&amp;"; "&amp;Q6141&amp;AS[[#This Row],[Large Provider Entity Code]]&amp;"; "&amp;R6141&amp;AS[[#This Row],[Age Band Code]]&amp;"; "&amp;S6141&amp;AS[[#This Row],[Sex Code]]</f>
        <v xml:space="preserve">Insurer Code ; Reporting Year ; Insurance Category Code ; Large Provider Entity Code ; Age Band Code ; Sex Code </v>
      </c>
      <c r="N6141" s="297" t="s">
        <v>197</v>
      </c>
      <c r="O6141" s="297" t="s">
        <v>198</v>
      </c>
      <c r="P6141" s="297" t="s">
        <v>199</v>
      </c>
      <c r="Q6141" s="297" t="s">
        <v>200</v>
      </c>
      <c r="R6141" s="297" t="s">
        <v>213</v>
      </c>
      <c r="S6141" s="297" t="s">
        <v>214</v>
      </c>
    </row>
    <row r="6142" spans="1:19" x14ac:dyDescent="0.4">
      <c r="A6142" s="548"/>
      <c r="B6142" s="292"/>
      <c r="C6142" s="292"/>
      <c r="D6142" s="292"/>
      <c r="E6142" s="549"/>
      <c r="F6142" s="549"/>
      <c r="G6142" s="550"/>
      <c r="H6142" s="551"/>
      <c r="I6142" s="552"/>
      <c r="J6142" s="553"/>
      <c r="K6142" s="554"/>
      <c r="M6142" s="301" t="str">
        <f>N6142&amp;AS[[#This Row],[Insurer Code]]&amp;"; "&amp;O6142&amp;AS[[#This Row],[Reporting Year]]&amp;"; "&amp;P6142&amp;AS[[#This Row],[Insurance Category Code]]&amp;"; "&amp;Q6142&amp;AS[[#This Row],[Large Provider Entity Code]]&amp;"; "&amp;R6142&amp;AS[[#This Row],[Age Band Code]]&amp;"; "&amp;S6142&amp;AS[[#This Row],[Sex Code]]</f>
        <v xml:space="preserve">Insurer Code ; Reporting Year ; Insurance Category Code ; Large Provider Entity Code ; Age Band Code ; Sex Code </v>
      </c>
      <c r="N6142" s="297" t="s">
        <v>197</v>
      </c>
      <c r="O6142" s="297" t="s">
        <v>198</v>
      </c>
      <c r="P6142" s="297" t="s">
        <v>199</v>
      </c>
      <c r="Q6142" s="297" t="s">
        <v>200</v>
      </c>
      <c r="R6142" s="297" t="s">
        <v>213</v>
      </c>
      <c r="S6142" s="297" t="s">
        <v>214</v>
      </c>
    </row>
    <row r="6143" spans="1:19" x14ac:dyDescent="0.4">
      <c r="A6143" s="548"/>
      <c r="B6143" s="292"/>
      <c r="C6143" s="292"/>
      <c r="D6143" s="292"/>
      <c r="E6143" s="549"/>
      <c r="F6143" s="549"/>
      <c r="G6143" s="550"/>
      <c r="H6143" s="551"/>
      <c r="I6143" s="552"/>
      <c r="J6143" s="553"/>
      <c r="K6143" s="554"/>
      <c r="M6143" s="301" t="str">
        <f>N6143&amp;AS[[#This Row],[Insurer Code]]&amp;"; "&amp;O6143&amp;AS[[#This Row],[Reporting Year]]&amp;"; "&amp;P6143&amp;AS[[#This Row],[Insurance Category Code]]&amp;"; "&amp;Q6143&amp;AS[[#This Row],[Large Provider Entity Code]]&amp;"; "&amp;R6143&amp;AS[[#This Row],[Age Band Code]]&amp;"; "&amp;S6143&amp;AS[[#This Row],[Sex Code]]</f>
        <v xml:space="preserve">Insurer Code ; Reporting Year ; Insurance Category Code ; Large Provider Entity Code ; Age Band Code ; Sex Code </v>
      </c>
      <c r="N6143" s="297" t="s">
        <v>197</v>
      </c>
      <c r="O6143" s="297" t="s">
        <v>198</v>
      </c>
      <c r="P6143" s="297" t="s">
        <v>199</v>
      </c>
      <c r="Q6143" s="297" t="s">
        <v>200</v>
      </c>
      <c r="R6143" s="297" t="s">
        <v>213</v>
      </c>
      <c r="S6143" s="297" t="s">
        <v>214</v>
      </c>
    </row>
    <row r="6144" spans="1:19" x14ac:dyDescent="0.4">
      <c r="A6144" s="548"/>
      <c r="B6144" s="292"/>
      <c r="C6144" s="292"/>
      <c r="D6144" s="292"/>
      <c r="E6144" s="549"/>
      <c r="F6144" s="549"/>
      <c r="G6144" s="550"/>
      <c r="H6144" s="551"/>
      <c r="I6144" s="552"/>
      <c r="J6144" s="553"/>
      <c r="K6144" s="554"/>
      <c r="M6144" s="301" t="str">
        <f>N6144&amp;AS[[#This Row],[Insurer Code]]&amp;"; "&amp;O6144&amp;AS[[#This Row],[Reporting Year]]&amp;"; "&amp;P6144&amp;AS[[#This Row],[Insurance Category Code]]&amp;"; "&amp;Q6144&amp;AS[[#This Row],[Large Provider Entity Code]]&amp;"; "&amp;R6144&amp;AS[[#This Row],[Age Band Code]]&amp;"; "&amp;S6144&amp;AS[[#This Row],[Sex Code]]</f>
        <v xml:space="preserve">Insurer Code ; Reporting Year ; Insurance Category Code ; Large Provider Entity Code ; Age Band Code ; Sex Code </v>
      </c>
      <c r="N6144" s="297" t="s">
        <v>197</v>
      </c>
      <c r="O6144" s="297" t="s">
        <v>198</v>
      </c>
      <c r="P6144" s="297" t="s">
        <v>199</v>
      </c>
      <c r="Q6144" s="297" t="s">
        <v>200</v>
      </c>
      <c r="R6144" s="297" t="s">
        <v>213</v>
      </c>
      <c r="S6144" s="297" t="s">
        <v>214</v>
      </c>
    </row>
    <row r="6145" spans="1:19" x14ac:dyDescent="0.4">
      <c r="A6145" s="548"/>
      <c r="B6145" s="292"/>
      <c r="C6145" s="292"/>
      <c r="D6145" s="292"/>
      <c r="E6145" s="549"/>
      <c r="F6145" s="549"/>
      <c r="G6145" s="550"/>
      <c r="H6145" s="551"/>
      <c r="I6145" s="552"/>
      <c r="J6145" s="553"/>
      <c r="K6145" s="554"/>
      <c r="M6145" s="301" t="str">
        <f>N6145&amp;AS[[#This Row],[Insurer Code]]&amp;"; "&amp;O6145&amp;AS[[#This Row],[Reporting Year]]&amp;"; "&amp;P6145&amp;AS[[#This Row],[Insurance Category Code]]&amp;"; "&amp;Q6145&amp;AS[[#This Row],[Large Provider Entity Code]]&amp;"; "&amp;R6145&amp;AS[[#This Row],[Age Band Code]]&amp;"; "&amp;S6145&amp;AS[[#This Row],[Sex Code]]</f>
        <v xml:space="preserve">Insurer Code ; Reporting Year ; Insurance Category Code ; Large Provider Entity Code ; Age Band Code ; Sex Code </v>
      </c>
      <c r="N6145" s="297" t="s">
        <v>197</v>
      </c>
      <c r="O6145" s="297" t="s">
        <v>198</v>
      </c>
      <c r="P6145" s="297" t="s">
        <v>199</v>
      </c>
      <c r="Q6145" s="297" t="s">
        <v>200</v>
      </c>
      <c r="R6145" s="297" t="s">
        <v>213</v>
      </c>
      <c r="S6145" s="297" t="s">
        <v>214</v>
      </c>
    </row>
    <row r="6146" spans="1:19" x14ac:dyDescent="0.4">
      <c r="A6146" s="548"/>
      <c r="B6146" s="292"/>
      <c r="C6146" s="292"/>
      <c r="D6146" s="292"/>
      <c r="E6146" s="549"/>
      <c r="F6146" s="549"/>
      <c r="G6146" s="550"/>
      <c r="H6146" s="551"/>
      <c r="I6146" s="552"/>
      <c r="J6146" s="553"/>
      <c r="K6146" s="554"/>
      <c r="M6146" s="301" t="str">
        <f>N6146&amp;AS[[#This Row],[Insurer Code]]&amp;"; "&amp;O6146&amp;AS[[#This Row],[Reporting Year]]&amp;"; "&amp;P6146&amp;AS[[#This Row],[Insurance Category Code]]&amp;"; "&amp;Q6146&amp;AS[[#This Row],[Large Provider Entity Code]]&amp;"; "&amp;R6146&amp;AS[[#This Row],[Age Band Code]]&amp;"; "&amp;S6146&amp;AS[[#This Row],[Sex Code]]</f>
        <v xml:space="preserve">Insurer Code ; Reporting Year ; Insurance Category Code ; Large Provider Entity Code ; Age Band Code ; Sex Code </v>
      </c>
      <c r="N6146" s="297" t="s">
        <v>197</v>
      </c>
      <c r="O6146" s="297" t="s">
        <v>198</v>
      </c>
      <c r="P6146" s="297" t="s">
        <v>199</v>
      </c>
      <c r="Q6146" s="297" t="s">
        <v>200</v>
      </c>
      <c r="R6146" s="297" t="s">
        <v>213</v>
      </c>
      <c r="S6146" s="297" t="s">
        <v>214</v>
      </c>
    </row>
    <row r="6147" spans="1:19" x14ac:dyDescent="0.4">
      <c r="A6147" s="548"/>
      <c r="B6147" s="292"/>
      <c r="C6147" s="292"/>
      <c r="D6147" s="292"/>
      <c r="E6147" s="549"/>
      <c r="F6147" s="549"/>
      <c r="G6147" s="550"/>
      <c r="H6147" s="551"/>
      <c r="I6147" s="552"/>
      <c r="J6147" s="553"/>
      <c r="K6147" s="554"/>
      <c r="M6147" s="301" t="str">
        <f>N6147&amp;AS[[#This Row],[Insurer Code]]&amp;"; "&amp;O6147&amp;AS[[#This Row],[Reporting Year]]&amp;"; "&amp;P6147&amp;AS[[#This Row],[Insurance Category Code]]&amp;"; "&amp;Q6147&amp;AS[[#This Row],[Large Provider Entity Code]]&amp;"; "&amp;R6147&amp;AS[[#This Row],[Age Band Code]]&amp;"; "&amp;S6147&amp;AS[[#This Row],[Sex Code]]</f>
        <v xml:space="preserve">Insurer Code ; Reporting Year ; Insurance Category Code ; Large Provider Entity Code ; Age Band Code ; Sex Code </v>
      </c>
      <c r="N6147" s="297" t="s">
        <v>197</v>
      </c>
      <c r="O6147" s="297" t="s">
        <v>198</v>
      </c>
      <c r="P6147" s="297" t="s">
        <v>199</v>
      </c>
      <c r="Q6147" s="297" t="s">
        <v>200</v>
      </c>
      <c r="R6147" s="297" t="s">
        <v>213</v>
      </c>
      <c r="S6147" s="297" t="s">
        <v>214</v>
      </c>
    </row>
    <row r="6148" spans="1:19" x14ac:dyDescent="0.4">
      <c r="A6148" s="548"/>
      <c r="B6148" s="292"/>
      <c r="C6148" s="292"/>
      <c r="D6148" s="292"/>
      <c r="E6148" s="549"/>
      <c r="F6148" s="549"/>
      <c r="G6148" s="550"/>
      <c r="H6148" s="551"/>
      <c r="I6148" s="552"/>
      <c r="J6148" s="553"/>
      <c r="K6148" s="554"/>
      <c r="M6148" s="301" t="str">
        <f>N6148&amp;AS[[#This Row],[Insurer Code]]&amp;"; "&amp;O6148&amp;AS[[#This Row],[Reporting Year]]&amp;"; "&amp;P6148&amp;AS[[#This Row],[Insurance Category Code]]&amp;"; "&amp;Q6148&amp;AS[[#This Row],[Large Provider Entity Code]]&amp;"; "&amp;R6148&amp;AS[[#This Row],[Age Band Code]]&amp;"; "&amp;S6148&amp;AS[[#This Row],[Sex Code]]</f>
        <v xml:space="preserve">Insurer Code ; Reporting Year ; Insurance Category Code ; Large Provider Entity Code ; Age Band Code ; Sex Code </v>
      </c>
      <c r="N6148" s="297" t="s">
        <v>197</v>
      </c>
      <c r="O6148" s="297" t="s">
        <v>198</v>
      </c>
      <c r="P6148" s="297" t="s">
        <v>199</v>
      </c>
      <c r="Q6148" s="297" t="s">
        <v>200</v>
      </c>
      <c r="R6148" s="297" t="s">
        <v>213</v>
      </c>
      <c r="S6148" s="297" t="s">
        <v>214</v>
      </c>
    </row>
    <row r="6149" spans="1:19" x14ac:dyDescent="0.4">
      <c r="A6149" s="548"/>
      <c r="B6149" s="292"/>
      <c r="C6149" s="292"/>
      <c r="D6149" s="292"/>
      <c r="E6149" s="549"/>
      <c r="F6149" s="549"/>
      <c r="G6149" s="550"/>
      <c r="H6149" s="551"/>
      <c r="I6149" s="552"/>
      <c r="J6149" s="553"/>
      <c r="K6149" s="554"/>
      <c r="M6149" s="301" t="str">
        <f>N6149&amp;AS[[#This Row],[Insurer Code]]&amp;"; "&amp;O6149&amp;AS[[#This Row],[Reporting Year]]&amp;"; "&amp;P6149&amp;AS[[#This Row],[Insurance Category Code]]&amp;"; "&amp;Q6149&amp;AS[[#This Row],[Large Provider Entity Code]]&amp;"; "&amp;R6149&amp;AS[[#This Row],[Age Band Code]]&amp;"; "&amp;S6149&amp;AS[[#This Row],[Sex Code]]</f>
        <v xml:space="preserve">Insurer Code ; Reporting Year ; Insurance Category Code ; Large Provider Entity Code ; Age Band Code ; Sex Code </v>
      </c>
      <c r="N6149" s="297" t="s">
        <v>197</v>
      </c>
      <c r="O6149" s="297" t="s">
        <v>198</v>
      </c>
      <c r="P6149" s="297" t="s">
        <v>199</v>
      </c>
      <c r="Q6149" s="297" t="s">
        <v>200</v>
      </c>
      <c r="R6149" s="297" t="s">
        <v>213</v>
      </c>
      <c r="S6149" s="297" t="s">
        <v>214</v>
      </c>
    </row>
    <row r="6150" spans="1:19" x14ac:dyDescent="0.4">
      <c r="A6150" s="548"/>
      <c r="B6150" s="292"/>
      <c r="C6150" s="292"/>
      <c r="D6150" s="292"/>
      <c r="E6150" s="549"/>
      <c r="F6150" s="549"/>
      <c r="G6150" s="550"/>
      <c r="H6150" s="551"/>
      <c r="I6150" s="552"/>
      <c r="J6150" s="553"/>
      <c r="K6150" s="554"/>
      <c r="M6150" s="301" t="str">
        <f>N6150&amp;AS[[#This Row],[Insurer Code]]&amp;"; "&amp;O6150&amp;AS[[#This Row],[Reporting Year]]&amp;"; "&amp;P6150&amp;AS[[#This Row],[Insurance Category Code]]&amp;"; "&amp;Q6150&amp;AS[[#This Row],[Large Provider Entity Code]]&amp;"; "&amp;R6150&amp;AS[[#This Row],[Age Band Code]]&amp;"; "&amp;S6150&amp;AS[[#This Row],[Sex Code]]</f>
        <v xml:space="preserve">Insurer Code ; Reporting Year ; Insurance Category Code ; Large Provider Entity Code ; Age Band Code ; Sex Code </v>
      </c>
      <c r="N6150" s="297" t="s">
        <v>197</v>
      </c>
      <c r="O6150" s="297" t="s">
        <v>198</v>
      </c>
      <c r="P6150" s="297" t="s">
        <v>199</v>
      </c>
      <c r="Q6150" s="297" t="s">
        <v>200</v>
      </c>
      <c r="R6150" s="297" t="s">
        <v>213</v>
      </c>
      <c r="S6150" s="297" t="s">
        <v>214</v>
      </c>
    </row>
    <row r="6151" spans="1:19" x14ac:dyDescent="0.4">
      <c r="A6151" s="548"/>
      <c r="B6151" s="292"/>
      <c r="C6151" s="292"/>
      <c r="D6151" s="292"/>
      <c r="E6151" s="549"/>
      <c r="F6151" s="549"/>
      <c r="G6151" s="550"/>
      <c r="H6151" s="551"/>
      <c r="I6151" s="552"/>
      <c r="J6151" s="553"/>
      <c r="K6151" s="554"/>
      <c r="M6151" s="301" t="str">
        <f>N6151&amp;AS[[#This Row],[Insurer Code]]&amp;"; "&amp;O6151&amp;AS[[#This Row],[Reporting Year]]&amp;"; "&amp;P6151&amp;AS[[#This Row],[Insurance Category Code]]&amp;"; "&amp;Q6151&amp;AS[[#This Row],[Large Provider Entity Code]]&amp;"; "&amp;R6151&amp;AS[[#This Row],[Age Band Code]]&amp;"; "&amp;S6151&amp;AS[[#This Row],[Sex Code]]</f>
        <v xml:space="preserve">Insurer Code ; Reporting Year ; Insurance Category Code ; Large Provider Entity Code ; Age Band Code ; Sex Code </v>
      </c>
      <c r="N6151" s="297" t="s">
        <v>197</v>
      </c>
      <c r="O6151" s="297" t="s">
        <v>198</v>
      </c>
      <c r="P6151" s="297" t="s">
        <v>199</v>
      </c>
      <c r="Q6151" s="297" t="s">
        <v>200</v>
      </c>
      <c r="R6151" s="297" t="s">
        <v>213</v>
      </c>
      <c r="S6151" s="297" t="s">
        <v>214</v>
      </c>
    </row>
    <row r="6152" spans="1:19" x14ac:dyDescent="0.4">
      <c r="A6152" s="548"/>
      <c r="B6152" s="292"/>
      <c r="C6152" s="292"/>
      <c r="D6152" s="292"/>
      <c r="E6152" s="549"/>
      <c r="F6152" s="549"/>
      <c r="G6152" s="550"/>
      <c r="H6152" s="551"/>
      <c r="I6152" s="552"/>
      <c r="J6152" s="553"/>
      <c r="K6152" s="554"/>
      <c r="M6152" s="301" t="str">
        <f>N6152&amp;AS[[#This Row],[Insurer Code]]&amp;"; "&amp;O6152&amp;AS[[#This Row],[Reporting Year]]&amp;"; "&amp;P6152&amp;AS[[#This Row],[Insurance Category Code]]&amp;"; "&amp;Q6152&amp;AS[[#This Row],[Large Provider Entity Code]]&amp;"; "&amp;R6152&amp;AS[[#This Row],[Age Band Code]]&amp;"; "&amp;S6152&amp;AS[[#This Row],[Sex Code]]</f>
        <v xml:space="preserve">Insurer Code ; Reporting Year ; Insurance Category Code ; Large Provider Entity Code ; Age Band Code ; Sex Code </v>
      </c>
      <c r="N6152" s="297" t="s">
        <v>197</v>
      </c>
      <c r="O6152" s="297" t="s">
        <v>198</v>
      </c>
      <c r="P6152" s="297" t="s">
        <v>199</v>
      </c>
      <c r="Q6152" s="297" t="s">
        <v>200</v>
      </c>
      <c r="R6152" s="297" t="s">
        <v>213</v>
      </c>
      <c r="S6152" s="297" t="s">
        <v>214</v>
      </c>
    </row>
    <row r="6153" spans="1:19" x14ac:dyDescent="0.4">
      <c r="A6153" s="548"/>
      <c r="B6153" s="292"/>
      <c r="C6153" s="292"/>
      <c r="D6153" s="292"/>
      <c r="E6153" s="549"/>
      <c r="F6153" s="549"/>
      <c r="G6153" s="550"/>
      <c r="H6153" s="551"/>
      <c r="I6153" s="552"/>
      <c r="J6153" s="553"/>
      <c r="K6153" s="554"/>
      <c r="M6153" s="301" t="str">
        <f>N6153&amp;AS[[#This Row],[Insurer Code]]&amp;"; "&amp;O6153&amp;AS[[#This Row],[Reporting Year]]&amp;"; "&amp;P6153&amp;AS[[#This Row],[Insurance Category Code]]&amp;"; "&amp;Q6153&amp;AS[[#This Row],[Large Provider Entity Code]]&amp;"; "&amp;R6153&amp;AS[[#This Row],[Age Band Code]]&amp;"; "&amp;S6153&amp;AS[[#This Row],[Sex Code]]</f>
        <v xml:space="preserve">Insurer Code ; Reporting Year ; Insurance Category Code ; Large Provider Entity Code ; Age Band Code ; Sex Code </v>
      </c>
      <c r="N6153" s="297" t="s">
        <v>197</v>
      </c>
      <c r="O6153" s="297" t="s">
        <v>198</v>
      </c>
      <c r="P6153" s="297" t="s">
        <v>199</v>
      </c>
      <c r="Q6153" s="297" t="s">
        <v>200</v>
      </c>
      <c r="R6153" s="297" t="s">
        <v>213</v>
      </c>
      <c r="S6153" s="297" t="s">
        <v>214</v>
      </c>
    </row>
    <row r="6154" spans="1:19" x14ac:dyDescent="0.4">
      <c r="A6154" s="548"/>
      <c r="B6154" s="292"/>
      <c r="C6154" s="292"/>
      <c r="D6154" s="292"/>
      <c r="E6154" s="549"/>
      <c r="F6154" s="549"/>
      <c r="G6154" s="550"/>
      <c r="H6154" s="551"/>
      <c r="I6154" s="552"/>
      <c r="J6154" s="553"/>
      <c r="K6154" s="554"/>
      <c r="M6154" s="301" t="str">
        <f>N6154&amp;AS[[#This Row],[Insurer Code]]&amp;"; "&amp;O6154&amp;AS[[#This Row],[Reporting Year]]&amp;"; "&amp;P6154&amp;AS[[#This Row],[Insurance Category Code]]&amp;"; "&amp;Q6154&amp;AS[[#This Row],[Large Provider Entity Code]]&amp;"; "&amp;R6154&amp;AS[[#This Row],[Age Band Code]]&amp;"; "&amp;S6154&amp;AS[[#This Row],[Sex Code]]</f>
        <v xml:space="preserve">Insurer Code ; Reporting Year ; Insurance Category Code ; Large Provider Entity Code ; Age Band Code ; Sex Code </v>
      </c>
      <c r="N6154" s="297" t="s">
        <v>197</v>
      </c>
      <c r="O6154" s="297" t="s">
        <v>198</v>
      </c>
      <c r="P6154" s="297" t="s">
        <v>199</v>
      </c>
      <c r="Q6154" s="297" t="s">
        <v>200</v>
      </c>
      <c r="R6154" s="297" t="s">
        <v>213</v>
      </c>
      <c r="S6154" s="297" t="s">
        <v>214</v>
      </c>
    </row>
    <row r="6155" spans="1:19" x14ac:dyDescent="0.4">
      <c r="A6155" s="548"/>
      <c r="B6155" s="292"/>
      <c r="C6155" s="292"/>
      <c r="D6155" s="292"/>
      <c r="E6155" s="549"/>
      <c r="F6155" s="549"/>
      <c r="G6155" s="550"/>
      <c r="H6155" s="551"/>
      <c r="I6155" s="552"/>
      <c r="J6155" s="553"/>
      <c r="K6155" s="554"/>
      <c r="M6155" s="301" t="str">
        <f>N6155&amp;AS[[#This Row],[Insurer Code]]&amp;"; "&amp;O6155&amp;AS[[#This Row],[Reporting Year]]&amp;"; "&amp;P6155&amp;AS[[#This Row],[Insurance Category Code]]&amp;"; "&amp;Q6155&amp;AS[[#This Row],[Large Provider Entity Code]]&amp;"; "&amp;R6155&amp;AS[[#This Row],[Age Band Code]]&amp;"; "&amp;S6155&amp;AS[[#This Row],[Sex Code]]</f>
        <v xml:space="preserve">Insurer Code ; Reporting Year ; Insurance Category Code ; Large Provider Entity Code ; Age Band Code ; Sex Code </v>
      </c>
      <c r="N6155" s="297" t="s">
        <v>197</v>
      </c>
      <c r="O6155" s="297" t="s">
        <v>198</v>
      </c>
      <c r="P6155" s="297" t="s">
        <v>199</v>
      </c>
      <c r="Q6155" s="297" t="s">
        <v>200</v>
      </c>
      <c r="R6155" s="297" t="s">
        <v>213</v>
      </c>
      <c r="S6155" s="297" t="s">
        <v>214</v>
      </c>
    </row>
    <row r="6156" spans="1:19" x14ac:dyDescent="0.4">
      <c r="A6156" s="548"/>
      <c r="B6156" s="292"/>
      <c r="C6156" s="292"/>
      <c r="D6156" s="292"/>
      <c r="E6156" s="549"/>
      <c r="F6156" s="549"/>
      <c r="G6156" s="550"/>
      <c r="H6156" s="551"/>
      <c r="I6156" s="552"/>
      <c r="J6156" s="553"/>
      <c r="K6156" s="554"/>
      <c r="M6156" s="301" t="str">
        <f>N6156&amp;AS[[#This Row],[Insurer Code]]&amp;"; "&amp;O6156&amp;AS[[#This Row],[Reporting Year]]&amp;"; "&amp;P6156&amp;AS[[#This Row],[Insurance Category Code]]&amp;"; "&amp;Q6156&amp;AS[[#This Row],[Large Provider Entity Code]]&amp;"; "&amp;R6156&amp;AS[[#This Row],[Age Band Code]]&amp;"; "&amp;S6156&amp;AS[[#This Row],[Sex Code]]</f>
        <v xml:space="preserve">Insurer Code ; Reporting Year ; Insurance Category Code ; Large Provider Entity Code ; Age Band Code ; Sex Code </v>
      </c>
      <c r="N6156" s="297" t="s">
        <v>197</v>
      </c>
      <c r="O6156" s="297" t="s">
        <v>198</v>
      </c>
      <c r="P6156" s="297" t="s">
        <v>199</v>
      </c>
      <c r="Q6156" s="297" t="s">
        <v>200</v>
      </c>
      <c r="R6156" s="297" t="s">
        <v>213</v>
      </c>
      <c r="S6156" s="297" t="s">
        <v>214</v>
      </c>
    </row>
    <row r="6157" spans="1:19" x14ac:dyDescent="0.4">
      <c r="A6157" s="548"/>
      <c r="B6157" s="292"/>
      <c r="C6157" s="292"/>
      <c r="D6157" s="292"/>
      <c r="E6157" s="549"/>
      <c r="F6157" s="549"/>
      <c r="G6157" s="550"/>
      <c r="H6157" s="551"/>
      <c r="I6157" s="552"/>
      <c r="J6157" s="553"/>
      <c r="K6157" s="554"/>
      <c r="M6157" s="301" t="str">
        <f>N6157&amp;AS[[#This Row],[Insurer Code]]&amp;"; "&amp;O6157&amp;AS[[#This Row],[Reporting Year]]&amp;"; "&amp;P6157&amp;AS[[#This Row],[Insurance Category Code]]&amp;"; "&amp;Q6157&amp;AS[[#This Row],[Large Provider Entity Code]]&amp;"; "&amp;R6157&amp;AS[[#This Row],[Age Band Code]]&amp;"; "&amp;S6157&amp;AS[[#This Row],[Sex Code]]</f>
        <v xml:space="preserve">Insurer Code ; Reporting Year ; Insurance Category Code ; Large Provider Entity Code ; Age Band Code ; Sex Code </v>
      </c>
      <c r="N6157" s="297" t="s">
        <v>197</v>
      </c>
      <c r="O6157" s="297" t="s">
        <v>198</v>
      </c>
      <c r="P6157" s="297" t="s">
        <v>199</v>
      </c>
      <c r="Q6157" s="297" t="s">
        <v>200</v>
      </c>
      <c r="R6157" s="297" t="s">
        <v>213</v>
      </c>
      <c r="S6157" s="297" t="s">
        <v>214</v>
      </c>
    </row>
    <row r="6158" spans="1:19" x14ac:dyDescent="0.4">
      <c r="A6158" s="548"/>
      <c r="B6158" s="292"/>
      <c r="C6158" s="292"/>
      <c r="D6158" s="292"/>
      <c r="E6158" s="549"/>
      <c r="F6158" s="549"/>
      <c r="G6158" s="550"/>
      <c r="H6158" s="551"/>
      <c r="I6158" s="552"/>
      <c r="J6158" s="553"/>
      <c r="K6158" s="554"/>
      <c r="M6158" s="301" t="str">
        <f>N6158&amp;AS[[#This Row],[Insurer Code]]&amp;"; "&amp;O6158&amp;AS[[#This Row],[Reporting Year]]&amp;"; "&amp;P6158&amp;AS[[#This Row],[Insurance Category Code]]&amp;"; "&amp;Q6158&amp;AS[[#This Row],[Large Provider Entity Code]]&amp;"; "&amp;R6158&amp;AS[[#This Row],[Age Band Code]]&amp;"; "&amp;S6158&amp;AS[[#This Row],[Sex Code]]</f>
        <v xml:space="preserve">Insurer Code ; Reporting Year ; Insurance Category Code ; Large Provider Entity Code ; Age Band Code ; Sex Code </v>
      </c>
      <c r="N6158" s="297" t="s">
        <v>197</v>
      </c>
      <c r="O6158" s="297" t="s">
        <v>198</v>
      </c>
      <c r="P6158" s="297" t="s">
        <v>199</v>
      </c>
      <c r="Q6158" s="297" t="s">
        <v>200</v>
      </c>
      <c r="R6158" s="297" t="s">
        <v>213</v>
      </c>
      <c r="S6158" s="297" t="s">
        <v>214</v>
      </c>
    </row>
    <row r="6159" spans="1:19" x14ac:dyDescent="0.4">
      <c r="A6159" s="548"/>
      <c r="B6159" s="292"/>
      <c r="C6159" s="292"/>
      <c r="D6159" s="292"/>
      <c r="E6159" s="549"/>
      <c r="F6159" s="549"/>
      <c r="G6159" s="550"/>
      <c r="H6159" s="551"/>
      <c r="I6159" s="552"/>
      <c r="J6159" s="553"/>
      <c r="K6159" s="554"/>
      <c r="M6159" s="301" t="str">
        <f>N6159&amp;AS[[#This Row],[Insurer Code]]&amp;"; "&amp;O6159&amp;AS[[#This Row],[Reporting Year]]&amp;"; "&amp;P6159&amp;AS[[#This Row],[Insurance Category Code]]&amp;"; "&amp;Q6159&amp;AS[[#This Row],[Large Provider Entity Code]]&amp;"; "&amp;R6159&amp;AS[[#This Row],[Age Band Code]]&amp;"; "&amp;S6159&amp;AS[[#This Row],[Sex Code]]</f>
        <v xml:space="preserve">Insurer Code ; Reporting Year ; Insurance Category Code ; Large Provider Entity Code ; Age Band Code ; Sex Code </v>
      </c>
      <c r="N6159" s="297" t="s">
        <v>197</v>
      </c>
      <c r="O6159" s="297" t="s">
        <v>198</v>
      </c>
      <c r="P6159" s="297" t="s">
        <v>199</v>
      </c>
      <c r="Q6159" s="297" t="s">
        <v>200</v>
      </c>
      <c r="R6159" s="297" t="s">
        <v>213</v>
      </c>
      <c r="S6159" s="297" t="s">
        <v>214</v>
      </c>
    </row>
    <row r="6160" spans="1:19" x14ac:dyDescent="0.4">
      <c r="A6160" s="548"/>
      <c r="B6160" s="292"/>
      <c r="C6160" s="292"/>
      <c r="D6160" s="292"/>
      <c r="E6160" s="549"/>
      <c r="F6160" s="549"/>
      <c r="G6160" s="550"/>
      <c r="H6160" s="551"/>
      <c r="I6160" s="552"/>
      <c r="J6160" s="553"/>
      <c r="K6160" s="554"/>
      <c r="M6160" s="301" t="str">
        <f>N6160&amp;AS[[#This Row],[Insurer Code]]&amp;"; "&amp;O6160&amp;AS[[#This Row],[Reporting Year]]&amp;"; "&amp;P6160&amp;AS[[#This Row],[Insurance Category Code]]&amp;"; "&amp;Q6160&amp;AS[[#This Row],[Large Provider Entity Code]]&amp;"; "&amp;R6160&amp;AS[[#This Row],[Age Band Code]]&amp;"; "&amp;S6160&amp;AS[[#This Row],[Sex Code]]</f>
        <v xml:space="preserve">Insurer Code ; Reporting Year ; Insurance Category Code ; Large Provider Entity Code ; Age Band Code ; Sex Code </v>
      </c>
      <c r="N6160" s="297" t="s">
        <v>197</v>
      </c>
      <c r="O6160" s="297" t="s">
        <v>198</v>
      </c>
      <c r="P6160" s="297" t="s">
        <v>199</v>
      </c>
      <c r="Q6160" s="297" t="s">
        <v>200</v>
      </c>
      <c r="R6160" s="297" t="s">
        <v>213</v>
      </c>
      <c r="S6160" s="297" t="s">
        <v>214</v>
      </c>
    </row>
    <row r="6161" spans="1:19" x14ac:dyDescent="0.4">
      <c r="A6161" s="548"/>
      <c r="B6161" s="292"/>
      <c r="C6161" s="292"/>
      <c r="D6161" s="292"/>
      <c r="E6161" s="549"/>
      <c r="F6161" s="549"/>
      <c r="G6161" s="550"/>
      <c r="H6161" s="551"/>
      <c r="I6161" s="552"/>
      <c r="J6161" s="553"/>
      <c r="K6161" s="554"/>
      <c r="M6161" s="301" t="str">
        <f>N6161&amp;AS[[#This Row],[Insurer Code]]&amp;"; "&amp;O6161&amp;AS[[#This Row],[Reporting Year]]&amp;"; "&amp;P6161&amp;AS[[#This Row],[Insurance Category Code]]&amp;"; "&amp;Q6161&amp;AS[[#This Row],[Large Provider Entity Code]]&amp;"; "&amp;R6161&amp;AS[[#This Row],[Age Band Code]]&amp;"; "&amp;S6161&amp;AS[[#This Row],[Sex Code]]</f>
        <v xml:space="preserve">Insurer Code ; Reporting Year ; Insurance Category Code ; Large Provider Entity Code ; Age Band Code ; Sex Code </v>
      </c>
      <c r="N6161" s="297" t="s">
        <v>197</v>
      </c>
      <c r="O6161" s="297" t="s">
        <v>198</v>
      </c>
      <c r="P6161" s="297" t="s">
        <v>199</v>
      </c>
      <c r="Q6161" s="297" t="s">
        <v>200</v>
      </c>
      <c r="R6161" s="297" t="s">
        <v>213</v>
      </c>
      <c r="S6161" s="297" t="s">
        <v>214</v>
      </c>
    </row>
    <row r="6162" spans="1:19" x14ac:dyDescent="0.4">
      <c r="A6162" s="548"/>
      <c r="B6162" s="292"/>
      <c r="C6162" s="292"/>
      <c r="D6162" s="292"/>
      <c r="E6162" s="549"/>
      <c r="F6162" s="549"/>
      <c r="G6162" s="550"/>
      <c r="H6162" s="551"/>
      <c r="I6162" s="552"/>
      <c r="J6162" s="553"/>
      <c r="K6162" s="554"/>
      <c r="M6162" s="301" t="str">
        <f>N6162&amp;AS[[#This Row],[Insurer Code]]&amp;"; "&amp;O6162&amp;AS[[#This Row],[Reporting Year]]&amp;"; "&amp;P6162&amp;AS[[#This Row],[Insurance Category Code]]&amp;"; "&amp;Q6162&amp;AS[[#This Row],[Large Provider Entity Code]]&amp;"; "&amp;R6162&amp;AS[[#This Row],[Age Band Code]]&amp;"; "&amp;S6162&amp;AS[[#This Row],[Sex Code]]</f>
        <v xml:space="preserve">Insurer Code ; Reporting Year ; Insurance Category Code ; Large Provider Entity Code ; Age Band Code ; Sex Code </v>
      </c>
      <c r="N6162" s="297" t="s">
        <v>197</v>
      </c>
      <c r="O6162" s="297" t="s">
        <v>198</v>
      </c>
      <c r="P6162" s="297" t="s">
        <v>199</v>
      </c>
      <c r="Q6162" s="297" t="s">
        <v>200</v>
      </c>
      <c r="R6162" s="297" t="s">
        <v>213</v>
      </c>
      <c r="S6162" s="297" t="s">
        <v>214</v>
      </c>
    </row>
    <row r="6163" spans="1:19" x14ac:dyDescent="0.4">
      <c r="A6163" s="548"/>
      <c r="B6163" s="292"/>
      <c r="C6163" s="292"/>
      <c r="D6163" s="292"/>
      <c r="E6163" s="549"/>
      <c r="F6163" s="549"/>
      <c r="G6163" s="550"/>
      <c r="H6163" s="551"/>
      <c r="I6163" s="552"/>
      <c r="J6163" s="553"/>
      <c r="K6163" s="554"/>
      <c r="M6163" s="301" t="str">
        <f>N6163&amp;AS[[#This Row],[Insurer Code]]&amp;"; "&amp;O6163&amp;AS[[#This Row],[Reporting Year]]&amp;"; "&amp;P6163&amp;AS[[#This Row],[Insurance Category Code]]&amp;"; "&amp;Q6163&amp;AS[[#This Row],[Large Provider Entity Code]]&amp;"; "&amp;R6163&amp;AS[[#This Row],[Age Band Code]]&amp;"; "&amp;S6163&amp;AS[[#This Row],[Sex Code]]</f>
        <v xml:space="preserve">Insurer Code ; Reporting Year ; Insurance Category Code ; Large Provider Entity Code ; Age Band Code ; Sex Code </v>
      </c>
      <c r="N6163" s="297" t="s">
        <v>197</v>
      </c>
      <c r="O6163" s="297" t="s">
        <v>198</v>
      </c>
      <c r="P6163" s="297" t="s">
        <v>199</v>
      </c>
      <c r="Q6163" s="297" t="s">
        <v>200</v>
      </c>
      <c r="R6163" s="297" t="s">
        <v>213</v>
      </c>
      <c r="S6163" s="297" t="s">
        <v>214</v>
      </c>
    </row>
    <row r="6164" spans="1:19" x14ac:dyDescent="0.4">
      <c r="A6164" s="548"/>
      <c r="B6164" s="292"/>
      <c r="C6164" s="292"/>
      <c r="D6164" s="292"/>
      <c r="E6164" s="549"/>
      <c r="F6164" s="549"/>
      <c r="G6164" s="550"/>
      <c r="H6164" s="551"/>
      <c r="I6164" s="552"/>
      <c r="J6164" s="553"/>
      <c r="K6164" s="554"/>
      <c r="M6164" s="301" t="str">
        <f>N6164&amp;AS[[#This Row],[Insurer Code]]&amp;"; "&amp;O6164&amp;AS[[#This Row],[Reporting Year]]&amp;"; "&amp;P6164&amp;AS[[#This Row],[Insurance Category Code]]&amp;"; "&amp;Q6164&amp;AS[[#This Row],[Large Provider Entity Code]]&amp;"; "&amp;R6164&amp;AS[[#This Row],[Age Band Code]]&amp;"; "&amp;S6164&amp;AS[[#This Row],[Sex Code]]</f>
        <v xml:space="preserve">Insurer Code ; Reporting Year ; Insurance Category Code ; Large Provider Entity Code ; Age Band Code ; Sex Code </v>
      </c>
      <c r="N6164" s="297" t="s">
        <v>197</v>
      </c>
      <c r="O6164" s="297" t="s">
        <v>198</v>
      </c>
      <c r="P6164" s="297" t="s">
        <v>199</v>
      </c>
      <c r="Q6164" s="297" t="s">
        <v>200</v>
      </c>
      <c r="R6164" s="297" t="s">
        <v>213</v>
      </c>
      <c r="S6164" s="297" t="s">
        <v>214</v>
      </c>
    </row>
    <row r="6165" spans="1:19" x14ac:dyDescent="0.4">
      <c r="A6165" s="548"/>
      <c r="B6165" s="292"/>
      <c r="C6165" s="292"/>
      <c r="D6165" s="292"/>
      <c r="E6165" s="549"/>
      <c r="F6165" s="549"/>
      <c r="G6165" s="550"/>
      <c r="H6165" s="551"/>
      <c r="I6165" s="552"/>
      <c r="J6165" s="553"/>
      <c r="K6165" s="554"/>
      <c r="M6165" s="301" t="str">
        <f>N6165&amp;AS[[#This Row],[Insurer Code]]&amp;"; "&amp;O6165&amp;AS[[#This Row],[Reporting Year]]&amp;"; "&amp;P6165&amp;AS[[#This Row],[Insurance Category Code]]&amp;"; "&amp;Q6165&amp;AS[[#This Row],[Large Provider Entity Code]]&amp;"; "&amp;R6165&amp;AS[[#This Row],[Age Band Code]]&amp;"; "&amp;S6165&amp;AS[[#This Row],[Sex Code]]</f>
        <v xml:space="preserve">Insurer Code ; Reporting Year ; Insurance Category Code ; Large Provider Entity Code ; Age Band Code ; Sex Code </v>
      </c>
      <c r="N6165" s="297" t="s">
        <v>197</v>
      </c>
      <c r="O6165" s="297" t="s">
        <v>198</v>
      </c>
      <c r="P6165" s="297" t="s">
        <v>199</v>
      </c>
      <c r="Q6165" s="297" t="s">
        <v>200</v>
      </c>
      <c r="R6165" s="297" t="s">
        <v>213</v>
      </c>
      <c r="S6165" s="297" t="s">
        <v>214</v>
      </c>
    </row>
    <row r="6166" spans="1:19" x14ac:dyDescent="0.4">
      <c r="A6166" s="548"/>
      <c r="B6166" s="292"/>
      <c r="C6166" s="292"/>
      <c r="D6166" s="292"/>
      <c r="E6166" s="549"/>
      <c r="F6166" s="549"/>
      <c r="G6166" s="550"/>
      <c r="H6166" s="551"/>
      <c r="I6166" s="552"/>
      <c r="J6166" s="553"/>
      <c r="K6166" s="554"/>
      <c r="M6166" s="301" t="str">
        <f>N6166&amp;AS[[#This Row],[Insurer Code]]&amp;"; "&amp;O6166&amp;AS[[#This Row],[Reporting Year]]&amp;"; "&amp;P6166&amp;AS[[#This Row],[Insurance Category Code]]&amp;"; "&amp;Q6166&amp;AS[[#This Row],[Large Provider Entity Code]]&amp;"; "&amp;R6166&amp;AS[[#This Row],[Age Band Code]]&amp;"; "&amp;S6166&amp;AS[[#This Row],[Sex Code]]</f>
        <v xml:space="preserve">Insurer Code ; Reporting Year ; Insurance Category Code ; Large Provider Entity Code ; Age Band Code ; Sex Code </v>
      </c>
      <c r="N6166" s="297" t="s">
        <v>197</v>
      </c>
      <c r="O6166" s="297" t="s">
        <v>198</v>
      </c>
      <c r="P6166" s="297" t="s">
        <v>199</v>
      </c>
      <c r="Q6166" s="297" t="s">
        <v>200</v>
      </c>
      <c r="R6166" s="297" t="s">
        <v>213</v>
      </c>
      <c r="S6166" s="297" t="s">
        <v>214</v>
      </c>
    </row>
    <row r="6167" spans="1:19" x14ac:dyDescent="0.4">
      <c r="A6167" s="548"/>
      <c r="B6167" s="292"/>
      <c r="C6167" s="292"/>
      <c r="D6167" s="292"/>
      <c r="E6167" s="549"/>
      <c r="F6167" s="549"/>
      <c r="G6167" s="550"/>
      <c r="H6167" s="551"/>
      <c r="I6167" s="552"/>
      <c r="J6167" s="553"/>
      <c r="K6167" s="554"/>
      <c r="M6167" s="301" t="str">
        <f>N6167&amp;AS[[#This Row],[Insurer Code]]&amp;"; "&amp;O6167&amp;AS[[#This Row],[Reporting Year]]&amp;"; "&amp;P6167&amp;AS[[#This Row],[Insurance Category Code]]&amp;"; "&amp;Q6167&amp;AS[[#This Row],[Large Provider Entity Code]]&amp;"; "&amp;R6167&amp;AS[[#This Row],[Age Band Code]]&amp;"; "&amp;S6167&amp;AS[[#This Row],[Sex Code]]</f>
        <v xml:space="preserve">Insurer Code ; Reporting Year ; Insurance Category Code ; Large Provider Entity Code ; Age Band Code ; Sex Code </v>
      </c>
      <c r="N6167" s="297" t="s">
        <v>197</v>
      </c>
      <c r="O6167" s="297" t="s">
        <v>198</v>
      </c>
      <c r="P6167" s="297" t="s">
        <v>199</v>
      </c>
      <c r="Q6167" s="297" t="s">
        <v>200</v>
      </c>
      <c r="R6167" s="297" t="s">
        <v>213</v>
      </c>
      <c r="S6167" s="297" t="s">
        <v>214</v>
      </c>
    </row>
    <row r="6168" spans="1:19" x14ac:dyDescent="0.4">
      <c r="A6168" s="548"/>
      <c r="B6168" s="292"/>
      <c r="C6168" s="292"/>
      <c r="D6168" s="292"/>
      <c r="E6168" s="549"/>
      <c r="F6168" s="549"/>
      <c r="G6168" s="550"/>
      <c r="H6168" s="551"/>
      <c r="I6168" s="552"/>
      <c r="J6168" s="553"/>
      <c r="K6168" s="554"/>
      <c r="M6168" s="301" t="str">
        <f>N6168&amp;AS[[#This Row],[Insurer Code]]&amp;"; "&amp;O6168&amp;AS[[#This Row],[Reporting Year]]&amp;"; "&amp;P6168&amp;AS[[#This Row],[Insurance Category Code]]&amp;"; "&amp;Q6168&amp;AS[[#This Row],[Large Provider Entity Code]]&amp;"; "&amp;R6168&amp;AS[[#This Row],[Age Band Code]]&amp;"; "&amp;S6168&amp;AS[[#This Row],[Sex Code]]</f>
        <v xml:space="preserve">Insurer Code ; Reporting Year ; Insurance Category Code ; Large Provider Entity Code ; Age Band Code ; Sex Code </v>
      </c>
      <c r="N6168" s="297" t="s">
        <v>197</v>
      </c>
      <c r="O6168" s="297" t="s">
        <v>198</v>
      </c>
      <c r="P6168" s="297" t="s">
        <v>199</v>
      </c>
      <c r="Q6168" s="297" t="s">
        <v>200</v>
      </c>
      <c r="R6168" s="297" t="s">
        <v>213</v>
      </c>
      <c r="S6168" s="297" t="s">
        <v>214</v>
      </c>
    </row>
    <row r="6169" spans="1:19" x14ac:dyDescent="0.4">
      <c r="A6169" s="548"/>
      <c r="B6169" s="292"/>
      <c r="C6169" s="292"/>
      <c r="D6169" s="292"/>
      <c r="E6169" s="549"/>
      <c r="F6169" s="549"/>
      <c r="G6169" s="550"/>
      <c r="H6169" s="551"/>
      <c r="I6169" s="552"/>
      <c r="J6169" s="553"/>
      <c r="K6169" s="554"/>
      <c r="M6169" s="301" t="str">
        <f>N6169&amp;AS[[#This Row],[Insurer Code]]&amp;"; "&amp;O6169&amp;AS[[#This Row],[Reporting Year]]&amp;"; "&amp;P6169&amp;AS[[#This Row],[Insurance Category Code]]&amp;"; "&amp;Q6169&amp;AS[[#This Row],[Large Provider Entity Code]]&amp;"; "&amp;R6169&amp;AS[[#This Row],[Age Band Code]]&amp;"; "&amp;S6169&amp;AS[[#This Row],[Sex Code]]</f>
        <v xml:space="preserve">Insurer Code ; Reporting Year ; Insurance Category Code ; Large Provider Entity Code ; Age Band Code ; Sex Code </v>
      </c>
      <c r="N6169" s="297" t="s">
        <v>197</v>
      </c>
      <c r="O6169" s="297" t="s">
        <v>198</v>
      </c>
      <c r="P6169" s="297" t="s">
        <v>199</v>
      </c>
      <c r="Q6169" s="297" t="s">
        <v>200</v>
      </c>
      <c r="R6169" s="297" t="s">
        <v>213</v>
      </c>
      <c r="S6169" s="297" t="s">
        <v>214</v>
      </c>
    </row>
    <row r="6170" spans="1:19" x14ac:dyDescent="0.4">
      <c r="A6170" s="548"/>
      <c r="B6170" s="292"/>
      <c r="C6170" s="292"/>
      <c r="D6170" s="292"/>
      <c r="E6170" s="549"/>
      <c r="F6170" s="549"/>
      <c r="G6170" s="550"/>
      <c r="H6170" s="551"/>
      <c r="I6170" s="552"/>
      <c r="J6170" s="553"/>
      <c r="K6170" s="554"/>
      <c r="M6170" s="301" t="str">
        <f>N6170&amp;AS[[#This Row],[Insurer Code]]&amp;"; "&amp;O6170&amp;AS[[#This Row],[Reporting Year]]&amp;"; "&amp;P6170&amp;AS[[#This Row],[Insurance Category Code]]&amp;"; "&amp;Q6170&amp;AS[[#This Row],[Large Provider Entity Code]]&amp;"; "&amp;R6170&amp;AS[[#This Row],[Age Band Code]]&amp;"; "&amp;S6170&amp;AS[[#This Row],[Sex Code]]</f>
        <v xml:space="preserve">Insurer Code ; Reporting Year ; Insurance Category Code ; Large Provider Entity Code ; Age Band Code ; Sex Code </v>
      </c>
      <c r="N6170" s="297" t="s">
        <v>197</v>
      </c>
      <c r="O6170" s="297" t="s">
        <v>198</v>
      </c>
      <c r="P6170" s="297" t="s">
        <v>199</v>
      </c>
      <c r="Q6170" s="297" t="s">
        <v>200</v>
      </c>
      <c r="R6170" s="297" t="s">
        <v>213</v>
      </c>
      <c r="S6170" s="297" t="s">
        <v>214</v>
      </c>
    </row>
    <row r="6171" spans="1:19" x14ac:dyDescent="0.4">
      <c r="A6171" s="548"/>
      <c r="B6171" s="292"/>
      <c r="C6171" s="292"/>
      <c r="D6171" s="292"/>
      <c r="E6171" s="549"/>
      <c r="F6171" s="549"/>
      <c r="G6171" s="550"/>
      <c r="H6171" s="551"/>
      <c r="I6171" s="552"/>
      <c r="J6171" s="553"/>
      <c r="K6171" s="554"/>
      <c r="M6171" s="301" t="str">
        <f>N6171&amp;AS[[#This Row],[Insurer Code]]&amp;"; "&amp;O6171&amp;AS[[#This Row],[Reporting Year]]&amp;"; "&amp;P6171&amp;AS[[#This Row],[Insurance Category Code]]&amp;"; "&amp;Q6171&amp;AS[[#This Row],[Large Provider Entity Code]]&amp;"; "&amp;R6171&amp;AS[[#This Row],[Age Band Code]]&amp;"; "&amp;S6171&amp;AS[[#This Row],[Sex Code]]</f>
        <v xml:space="preserve">Insurer Code ; Reporting Year ; Insurance Category Code ; Large Provider Entity Code ; Age Band Code ; Sex Code </v>
      </c>
      <c r="N6171" s="297" t="s">
        <v>197</v>
      </c>
      <c r="O6171" s="297" t="s">
        <v>198</v>
      </c>
      <c r="P6171" s="297" t="s">
        <v>199</v>
      </c>
      <c r="Q6171" s="297" t="s">
        <v>200</v>
      </c>
      <c r="R6171" s="297" t="s">
        <v>213</v>
      </c>
      <c r="S6171" s="297" t="s">
        <v>214</v>
      </c>
    </row>
    <row r="6172" spans="1:19" x14ac:dyDescent="0.4">
      <c r="A6172" s="548"/>
      <c r="B6172" s="292"/>
      <c r="C6172" s="292"/>
      <c r="D6172" s="292"/>
      <c r="E6172" s="549"/>
      <c r="F6172" s="549"/>
      <c r="G6172" s="550"/>
      <c r="H6172" s="551"/>
      <c r="I6172" s="552"/>
      <c r="J6172" s="553"/>
      <c r="K6172" s="554"/>
      <c r="M6172" s="301" t="str">
        <f>N6172&amp;AS[[#This Row],[Insurer Code]]&amp;"; "&amp;O6172&amp;AS[[#This Row],[Reporting Year]]&amp;"; "&amp;P6172&amp;AS[[#This Row],[Insurance Category Code]]&amp;"; "&amp;Q6172&amp;AS[[#This Row],[Large Provider Entity Code]]&amp;"; "&amp;R6172&amp;AS[[#This Row],[Age Band Code]]&amp;"; "&amp;S6172&amp;AS[[#This Row],[Sex Code]]</f>
        <v xml:space="preserve">Insurer Code ; Reporting Year ; Insurance Category Code ; Large Provider Entity Code ; Age Band Code ; Sex Code </v>
      </c>
      <c r="N6172" s="297" t="s">
        <v>197</v>
      </c>
      <c r="O6172" s="297" t="s">
        <v>198</v>
      </c>
      <c r="P6172" s="297" t="s">
        <v>199</v>
      </c>
      <c r="Q6172" s="297" t="s">
        <v>200</v>
      </c>
      <c r="R6172" s="297" t="s">
        <v>213</v>
      </c>
      <c r="S6172" s="297" t="s">
        <v>214</v>
      </c>
    </row>
    <row r="6173" spans="1:19" x14ac:dyDescent="0.4">
      <c r="A6173" s="548"/>
      <c r="B6173" s="292"/>
      <c r="C6173" s="292"/>
      <c r="D6173" s="292"/>
      <c r="E6173" s="549"/>
      <c r="F6173" s="549"/>
      <c r="G6173" s="550"/>
      <c r="H6173" s="551"/>
      <c r="I6173" s="552"/>
      <c r="J6173" s="553"/>
      <c r="K6173" s="554"/>
      <c r="M6173" s="301" t="str">
        <f>N6173&amp;AS[[#This Row],[Insurer Code]]&amp;"; "&amp;O6173&amp;AS[[#This Row],[Reporting Year]]&amp;"; "&amp;P6173&amp;AS[[#This Row],[Insurance Category Code]]&amp;"; "&amp;Q6173&amp;AS[[#This Row],[Large Provider Entity Code]]&amp;"; "&amp;R6173&amp;AS[[#This Row],[Age Band Code]]&amp;"; "&amp;S6173&amp;AS[[#This Row],[Sex Code]]</f>
        <v xml:space="preserve">Insurer Code ; Reporting Year ; Insurance Category Code ; Large Provider Entity Code ; Age Band Code ; Sex Code </v>
      </c>
      <c r="N6173" s="297" t="s">
        <v>197</v>
      </c>
      <c r="O6173" s="297" t="s">
        <v>198</v>
      </c>
      <c r="P6173" s="297" t="s">
        <v>199</v>
      </c>
      <c r="Q6173" s="297" t="s">
        <v>200</v>
      </c>
      <c r="R6173" s="297" t="s">
        <v>213</v>
      </c>
      <c r="S6173" s="297" t="s">
        <v>214</v>
      </c>
    </row>
    <row r="6174" spans="1:19" x14ac:dyDescent="0.4">
      <c r="A6174" s="548"/>
      <c r="B6174" s="292"/>
      <c r="C6174" s="292"/>
      <c r="D6174" s="292"/>
      <c r="E6174" s="549"/>
      <c r="F6174" s="549"/>
      <c r="G6174" s="550"/>
      <c r="H6174" s="551"/>
      <c r="I6174" s="552"/>
      <c r="J6174" s="553"/>
      <c r="K6174" s="554"/>
      <c r="M6174" s="301" t="str">
        <f>N6174&amp;AS[[#This Row],[Insurer Code]]&amp;"; "&amp;O6174&amp;AS[[#This Row],[Reporting Year]]&amp;"; "&amp;P6174&amp;AS[[#This Row],[Insurance Category Code]]&amp;"; "&amp;Q6174&amp;AS[[#This Row],[Large Provider Entity Code]]&amp;"; "&amp;R6174&amp;AS[[#This Row],[Age Band Code]]&amp;"; "&amp;S6174&amp;AS[[#This Row],[Sex Code]]</f>
        <v xml:space="preserve">Insurer Code ; Reporting Year ; Insurance Category Code ; Large Provider Entity Code ; Age Band Code ; Sex Code </v>
      </c>
      <c r="N6174" s="297" t="s">
        <v>197</v>
      </c>
      <c r="O6174" s="297" t="s">
        <v>198</v>
      </c>
      <c r="P6174" s="297" t="s">
        <v>199</v>
      </c>
      <c r="Q6174" s="297" t="s">
        <v>200</v>
      </c>
      <c r="R6174" s="297" t="s">
        <v>213</v>
      </c>
      <c r="S6174" s="297" t="s">
        <v>214</v>
      </c>
    </row>
    <row r="6175" spans="1:19" x14ac:dyDescent="0.4">
      <c r="A6175" s="548"/>
      <c r="B6175" s="292"/>
      <c r="C6175" s="292"/>
      <c r="D6175" s="292"/>
      <c r="E6175" s="549"/>
      <c r="F6175" s="549"/>
      <c r="G6175" s="550"/>
      <c r="H6175" s="551"/>
      <c r="I6175" s="552"/>
      <c r="J6175" s="553"/>
      <c r="K6175" s="554"/>
      <c r="M6175" s="301" t="str">
        <f>N6175&amp;AS[[#This Row],[Insurer Code]]&amp;"; "&amp;O6175&amp;AS[[#This Row],[Reporting Year]]&amp;"; "&amp;P6175&amp;AS[[#This Row],[Insurance Category Code]]&amp;"; "&amp;Q6175&amp;AS[[#This Row],[Large Provider Entity Code]]&amp;"; "&amp;R6175&amp;AS[[#This Row],[Age Band Code]]&amp;"; "&amp;S6175&amp;AS[[#This Row],[Sex Code]]</f>
        <v xml:space="preserve">Insurer Code ; Reporting Year ; Insurance Category Code ; Large Provider Entity Code ; Age Band Code ; Sex Code </v>
      </c>
      <c r="N6175" s="297" t="s">
        <v>197</v>
      </c>
      <c r="O6175" s="297" t="s">
        <v>198</v>
      </c>
      <c r="P6175" s="297" t="s">
        <v>199</v>
      </c>
      <c r="Q6175" s="297" t="s">
        <v>200</v>
      </c>
      <c r="R6175" s="297" t="s">
        <v>213</v>
      </c>
      <c r="S6175" s="297" t="s">
        <v>214</v>
      </c>
    </row>
    <row r="6176" spans="1:19" x14ac:dyDescent="0.4">
      <c r="A6176" s="548"/>
      <c r="B6176" s="292"/>
      <c r="C6176" s="292"/>
      <c r="D6176" s="292"/>
      <c r="E6176" s="549"/>
      <c r="F6176" s="549"/>
      <c r="G6176" s="550"/>
      <c r="H6176" s="551"/>
      <c r="I6176" s="552"/>
      <c r="J6176" s="553"/>
      <c r="K6176" s="554"/>
      <c r="M6176" s="301" t="str">
        <f>N6176&amp;AS[[#This Row],[Insurer Code]]&amp;"; "&amp;O6176&amp;AS[[#This Row],[Reporting Year]]&amp;"; "&amp;P6176&amp;AS[[#This Row],[Insurance Category Code]]&amp;"; "&amp;Q6176&amp;AS[[#This Row],[Large Provider Entity Code]]&amp;"; "&amp;R6176&amp;AS[[#This Row],[Age Band Code]]&amp;"; "&amp;S6176&amp;AS[[#This Row],[Sex Code]]</f>
        <v xml:space="preserve">Insurer Code ; Reporting Year ; Insurance Category Code ; Large Provider Entity Code ; Age Band Code ; Sex Code </v>
      </c>
      <c r="N6176" s="297" t="s">
        <v>197</v>
      </c>
      <c r="O6176" s="297" t="s">
        <v>198</v>
      </c>
      <c r="P6176" s="297" t="s">
        <v>199</v>
      </c>
      <c r="Q6176" s="297" t="s">
        <v>200</v>
      </c>
      <c r="R6176" s="297" t="s">
        <v>213</v>
      </c>
      <c r="S6176" s="297" t="s">
        <v>214</v>
      </c>
    </row>
    <row r="6177" spans="1:19" x14ac:dyDescent="0.4">
      <c r="A6177" s="548"/>
      <c r="B6177" s="292"/>
      <c r="C6177" s="292"/>
      <c r="D6177" s="292"/>
      <c r="E6177" s="549"/>
      <c r="F6177" s="549"/>
      <c r="G6177" s="550"/>
      <c r="H6177" s="551"/>
      <c r="I6177" s="552"/>
      <c r="J6177" s="553"/>
      <c r="K6177" s="554"/>
      <c r="M6177" s="301" t="str">
        <f>N6177&amp;AS[[#This Row],[Insurer Code]]&amp;"; "&amp;O6177&amp;AS[[#This Row],[Reporting Year]]&amp;"; "&amp;P6177&amp;AS[[#This Row],[Insurance Category Code]]&amp;"; "&amp;Q6177&amp;AS[[#This Row],[Large Provider Entity Code]]&amp;"; "&amp;R6177&amp;AS[[#This Row],[Age Band Code]]&amp;"; "&amp;S6177&amp;AS[[#This Row],[Sex Code]]</f>
        <v xml:space="preserve">Insurer Code ; Reporting Year ; Insurance Category Code ; Large Provider Entity Code ; Age Band Code ; Sex Code </v>
      </c>
      <c r="N6177" s="297" t="s">
        <v>197</v>
      </c>
      <c r="O6177" s="297" t="s">
        <v>198</v>
      </c>
      <c r="P6177" s="297" t="s">
        <v>199</v>
      </c>
      <c r="Q6177" s="297" t="s">
        <v>200</v>
      </c>
      <c r="R6177" s="297" t="s">
        <v>213</v>
      </c>
      <c r="S6177" s="297" t="s">
        <v>214</v>
      </c>
    </row>
    <row r="6178" spans="1:19" x14ac:dyDescent="0.4">
      <c r="A6178" s="548"/>
      <c r="B6178" s="292"/>
      <c r="C6178" s="292"/>
      <c r="D6178" s="292"/>
      <c r="E6178" s="549"/>
      <c r="F6178" s="549"/>
      <c r="G6178" s="550"/>
      <c r="H6178" s="551"/>
      <c r="I6178" s="552"/>
      <c r="J6178" s="553"/>
      <c r="K6178" s="554"/>
      <c r="M6178" s="301" t="str">
        <f>N6178&amp;AS[[#This Row],[Insurer Code]]&amp;"; "&amp;O6178&amp;AS[[#This Row],[Reporting Year]]&amp;"; "&amp;P6178&amp;AS[[#This Row],[Insurance Category Code]]&amp;"; "&amp;Q6178&amp;AS[[#This Row],[Large Provider Entity Code]]&amp;"; "&amp;R6178&amp;AS[[#This Row],[Age Band Code]]&amp;"; "&amp;S6178&amp;AS[[#This Row],[Sex Code]]</f>
        <v xml:space="preserve">Insurer Code ; Reporting Year ; Insurance Category Code ; Large Provider Entity Code ; Age Band Code ; Sex Code </v>
      </c>
      <c r="N6178" s="297" t="s">
        <v>197</v>
      </c>
      <c r="O6178" s="297" t="s">
        <v>198</v>
      </c>
      <c r="P6178" s="297" t="s">
        <v>199</v>
      </c>
      <c r="Q6178" s="297" t="s">
        <v>200</v>
      </c>
      <c r="R6178" s="297" t="s">
        <v>213</v>
      </c>
      <c r="S6178" s="297" t="s">
        <v>214</v>
      </c>
    </row>
    <row r="6179" spans="1:19" x14ac:dyDescent="0.4">
      <c r="A6179" s="291"/>
      <c r="B6179" s="292"/>
      <c r="C6179" s="312"/>
      <c r="D6179" s="292"/>
      <c r="E6179" s="489"/>
      <c r="F6179" s="489"/>
      <c r="G6179" s="490"/>
      <c r="H6179" s="520"/>
      <c r="I6179" s="523"/>
      <c r="J6179" s="521"/>
      <c r="K6179" s="522"/>
      <c r="M6179" s="301" t="str">
        <f>N6179&amp;AS[[#This Row],[Insurer Code]]&amp;"; "&amp;O6179&amp;AS[[#This Row],[Reporting Year]]&amp;"; "&amp;P6179&amp;AS[[#This Row],[Insurance Category Code]]&amp;"; "&amp;Q6179&amp;AS[[#This Row],[Large Provider Entity Code]]&amp;"; "&amp;R6179&amp;AS[[#This Row],[Age Band Code]]&amp;"; "&amp;S6179&amp;AS[[#This Row],[Sex Code]]</f>
        <v xml:space="preserve">Insurer Code ; Reporting Year ; Insurance Category Code ; Large Provider Entity Code ; Age Band Code ; Sex Code </v>
      </c>
      <c r="N6179" s="297" t="s">
        <v>197</v>
      </c>
      <c r="O6179" s="297" t="s">
        <v>198</v>
      </c>
      <c r="P6179" s="297" t="s">
        <v>199</v>
      </c>
      <c r="Q6179" s="297" t="s">
        <v>200</v>
      </c>
      <c r="R6179" s="297" t="s">
        <v>213</v>
      </c>
      <c r="S6179" s="297" t="s">
        <v>214</v>
      </c>
    </row>
    <row r="6180" spans="1:19" x14ac:dyDescent="0.4">
      <c r="A6180" s="291"/>
      <c r="B6180" s="292"/>
      <c r="C6180" s="312"/>
      <c r="D6180" s="292"/>
      <c r="E6180" s="489"/>
      <c r="F6180" s="489"/>
      <c r="G6180" s="490"/>
      <c r="H6180" s="520"/>
      <c r="I6180" s="523"/>
      <c r="J6180" s="521"/>
      <c r="K6180" s="522"/>
      <c r="M6180" s="301" t="str">
        <f>N6180&amp;AS[[#This Row],[Insurer Code]]&amp;"; "&amp;O6180&amp;AS[[#This Row],[Reporting Year]]&amp;"; "&amp;P6180&amp;AS[[#This Row],[Insurance Category Code]]&amp;"; "&amp;Q6180&amp;AS[[#This Row],[Large Provider Entity Code]]&amp;"; "&amp;R6180&amp;AS[[#This Row],[Age Band Code]]&amp;"; "&amp;S6180&amp;AS[[#This Row],[Sex Code]]</f>
        <v xml:space="preserve">Insurer Code ; Reporting Year ; Insurance Category Code ; Large Provider Entity Code ; Age Band Code ; Sex Code </v>
      </c>
      <c r="N6180" s="297" t="s">
        <v>197</v>
      </c>
      <c r="O6180" s="297" t="s">
        <v>198</v>
      </c>
      <c r="P6180" s="297" t="s">
        <v>199</v>
      </c>
      <c r="Q6180" s="297" t="s">
        <v>200</v>
      </c>
      <c r="R6180" s="297" t="s">
        <v>213</v>
      </c>
      <c r="S6180" s="297" t="s">
        <v>214</v>
      </c>
    </row>
    <row r="6181" spans="1:19" x14ac:dyDescent="0.4">
      <c r="A6181" s="291"/>
      <c r="B6181" s="292"/>
      <c r="C6181" s="312"/>
      <c r="D6181" s="292"/>
      <c r="E6181" s="489"/>
      <c r="F6181" s="489"/>
      <c r="G6181" s="490"/>
      <c r="H6181" s="520"/>
      <c r="I6181" s="523"/>
      <c r="J6181" s="521"/>
      <c r="K6181" s="522"/>
      <c r="M6181" s="301" t="str">
        <f>N6181&amp;AS[[#This Row],[Insurer Code]]&amp;"; "&amp;O6181&amp;AS[[#This Row],[Reporting Year]]&amp;"; "&amp;P6181&amp;AS[[#This Row],[Insurance Category Code]]&amp;"; "&amp;Q6181&amp;AS[[#This Row],[Large Provider Entity Code]]&amp;"; "&amp;R6181&amp;AS[[#This Row],[Age Band Code]]&amp;"; "&amp;S6181&amp;AS[[#This Row],[Sex Code]]</f>
        <v xml:space="preserve">Insurer Code ; Reporting Year ; Insurance Category Code ; Large Provider Entity Code ; Age Band Code ; Sex Code </v>
      </c>
      <c r="N6181" s="297" t="s">
        <v>197</v>
      </c>
      <c r="O6181" s="297" t="s">
        <v>198</v>
      </c>
      <c r="P6181" s="297" t="s">
        <v>199</v>
      </c>
      <c r="Q6181" s="297" t="s">
        <v>200</v>
      </c>
      <c r="R6181" s="297" t="s">
        <v>213</v>
      </c>
      <c r="S6181" s="297" t="s">
        <v>214</v>
      </c>
    </row>
    <row r="6182" spans="1:19" x14ac:dyDescent="0.4">
      <c r="A6182" s="291"/>
      <c r="B6182" s="292"/>
      <c r="C6182" s="312"/>
      <c r="D6182" s="292"/>
      <c r="E6182" s="489"/>
      <c r="F6182" s="489"/>
      <c r="G6182" s="490"/>
      <c r="H6182" s="520"/>
      <c r="I6182" s="523"/>
      <c r="J6182" s="521"/>
      <c r="K6182" s="522"/>
      <c r="M6182" s="301" t="str">
        <f>N6182&amp;AS[[#This Row],[Insurer Code]]&amp;"; "&amp;O6182&amp;AS[[#This Row],[Reporting Year]]&amp;"; "&amp;P6182&amp;AS[[#This Row],[Insurance Category Code]]&amp;"; "&amp;Q6182&amp;AS[[#This Row],[Large Provider Entity Code]]&amp;"; "&amp;R6182&amp;AS[[#This Row],[Age Band Code]]&amp;"; "&amp;S6182&amp;AS[[#This Row],[Sex Code]]</f>
        <v xml:space="preserve">Insurer Code ; Reporting Year ; Insurance Category Code ; Large Provider Entity Code ; Age Band Code ; Sex Code </v>
      </c>
      <c r="N6182" s="297" t="s">
        <v>197</v>
      </c>
      <c r="O6182" s="297" t="s">
        <v>198</v>
      </c>
      <c r="P6182" s="297" t="s">
        <v>199</v>
      </c>
      <c r="Q6182" s="297" t="s">
        <v>200</v>
      </c>
      <c r="R6182" s="297" t="s">
        <v>213</v>
      </c>
      <c r="S6182" s="297" t="s">
        <v>214</v>
      </c>
    </row>
    <row r="6183" spans="1:19" x14ac:dyDescent="0.4">
      <c r="A6183" s="291"/>
      <c r="B6183" s="292"/>
      <c r="C6183" s="312"/>
      <c r="D6183" s="292"/>
      <c r="E6183" s="489"/>
      <c r="F6183" s="489"/>
      <c r="G6183" s="490"/>
      <c r="H6183" s="520"/>
      <c r="I6183" s="523"/>
      <c r="J6183" s="521"/>
      <c r="K6183" s="522"/>
      <c r="M6183" s="301" t="str">
        <f>N6183&amp;AS[[#This Row],[Insurer Code]]&amp;"; "&amp;O6183&amp;AS[[#This Row],[Reporting Year]]&amp;"; "&amp;P6183&amp;AS[[#This Row],[Insurance Category Code]]&amp;"; "&amp;Q6183&amp;AS[[#This Row],[Large Provider Entity Code]]&amp;"; "&amp;R6183&amp;AS[[#This Row],[Age Band Code]]&amp;"; "&amp;S6183&amp;AS[[#This Row],[Sex Code]]</f>
        <v xml:space="preserve">Insurer Code ; Reporting Year ; Insurance Category Code ; Large Provider Entity Code ; Age Band Code ; Sex Code </v>
      </c>
      <c r="N6183" s="297" t="s">
        <v>197</v>
      </c>
      <c r="O6183" s="297" t="s">
        <v>198</v>
      </c>
      <c r="P6183" s="297" t="s">
        <v>199</v>
      </c>
      <c r="Q6183" s="297" t="s">
        <v>200</v>
      </c>
      <c r="R6183" s="297" t="s">
        <v>213</v>
      </c>
      <c r="S6183" s="297" t="s">
        <v>214</v>
      </c>
    </row>
    <row r="6184" spans="1:19" x14ac:dyDescent="0.4">
      <c r="A6184" s="291"/>
      <c r="B6184" s="292"/>
      <c r="C6184" s="312"/>
      <c r="D6184" s="292"/>
      <c r="E6184" s="489"/>
      <c r="F6184" s="489"/>
      <c r="G6184" s="490"/>
      <c r="H6184" s="520"/>
      <c r="I6184" s="523"/>
      <c r="J6184" s="521"/>
      <c r="K6184" s="522"/>
      <c r="M6184" s="301" t="str">
        <f>N6184&amp;AS[[#This Row],[Insurer Code]]&amp;"; "&amp;O6184&amp;AS[[#This Row],[Reporting Year]]&amp;"; "&amp;P6184&amp;AS[[#This Row],[Insurance Category Code]]&amp;"; "&amp;Q6184&amp;AS[[#This Row],[Large Provider Entity Code]]&amp;"; "&amp;R6184&amp;AS[[#This Row],[Age Band Code]]&amp;"; "&amp;S6184&amp;AS[[#This Row],[Sex Code]]</f>
        <v xml:space="preserve">Insurer Code ; Reporting Year ; Insurance Category Code ; Large Provider Entity Code ; Age Band Code ; Sex Code </v>
      </c>
      <c r="N6184" s="297" t="s">
        <v>197</v>
      </c>
      <c r="O6184" s="297" t="s">
        <v>198</v>
      </c>
      <c r="P6184" s="297" t="s">
        <v>199</v>
      </c>
      <c r="Q6184" s="297" t="s">
        <v>200</v>
      </c>
      <c r="R6184" s="297" t="s">
        <v>213</v>
      </c>
      <c r="S6184" s="297" t="s">
        <v>214</v>
      </c>
    </row>
    <row r="6185" spans="1:19" x14ac:dyDescent="0.4">
      <c r="A6185" s="291"/>
      <c r="B6185" s="292"/>
      <c r="C6185" s="312"/>
      <c r="D6185" s="292"/>
      <c r="E6185" s="489"/>
      <c r="F6185" s="489"/>
      <c r="G6185" s="490"/>
      <c r="H6185" s="520"/>
      <c r="I6185" s="523"/>
      <c r="J6185" s="521"/>
      <c r="K6185" s="522"/>
      <c r="M6185" s="301" t="str">
        <f>N6185&amp;AS[[#This Row],[Insurer Code]]&amp;"; "&amp;O6185&amp;AS[[#This Row],[Reporting Year]]&amp;"; "&amp;P6185&amp;AS[[#This Row],[Insurance Category Code]]&amp;"; "&amp;Q6185&amp;AS[[#This Row],[Large Provider Entity Code]]&amp;"; "&amp;R6185&amp;AS[[#This Row],[Age Band Code]]&amp;"; "&amp;S6185&amp;AS[[#This Row],[Sex Code]]</f>
        <v xml:space="preserve">Insurer Code ; Reporting Year ; Insurance Category Code ; Large Provider Entity Code ; Age Band Code ; Sex Code </v>
      </c>
      <c r="N6185" s="297" t="s">
        <v>197</v>
      </c>
      <c r="O6185" s="297" t="s">
        <v>198</v>
      </c>
      <c r="P6185" s="297" t="s">
        <v>199</v>
      </c>
      <c r="Q6185" s="297" t="s">
        <v>200</v>
      </c>
      <c r="R6185" s="297" t="s">
        <v>213</v>
      </c>
      <c r="S6185" s="297" t="s">
        <v>214</v>
      </c>
    </row>
    <row r="6186" spans="1:19" x14ac:dyDescent="0.4">
      <c r="A6186" s="291"/>
      <c r="B6186" s="292"/>
      <c r="C6186" s="312"/>
      <c r="D6186" s="292"/>
      <c r="E6186" s="489"/>
      <c r="F6186" s="489"/>
      <c r="G6186" s="490"/>
      <c r="H6186" s="520"/>
      <c r="I6186" s="523"/>
      <c r="J6186" s="521"/>
      <c r="K6186" s="522"/>
      <c r="M6186" s="301" t="str">
        <f>N6186&amp;AS[[#This Row],[Insurer Code]]&amp;"; "&amp;O6186&amp;AS[[#This Row],[Reporting Year]]&amp;"; "&amp;P6186&amp;AS[[#This Row],[Insurance Category Code]]&amp;"; "&amp;Q6186&amp;AS[[#This Row],[Large Provider Entity Code]]&amp;"; "&amp;R6186&amp;AS[[#This Row],[Age Band Code]]&amp;"; "&amp;S6186&amp;AS[[#This Row],[Sex Code]]</f>
        <v xml:space="preserve">Insurer Code ; Reporting Year ; Insurance Category Code ; Large Provider Entity Code ; Age Band Code ; Sex Code </v>
      </c>
      <c r="N6186" s="297" t="s">
        <v>197</v>
      </c>
      <c r="O6186" s="297" t="s">
        <v>198</v>
      </c>
      <c r="P6186" s="297" t="s">
        <v>199</v>
      </c>
      <c r="Q6186" s="297" t="s">
        <v>200</v>
      </c>
      <c r="R6186" s="297" t="s">
        <v>213</v>
      </c>
      <c r="S6186" s="297" t="s">
        <v>214</v>
      </c>
    </row>
    <row r="6187" spans="1:19" x14ac:dyDescent="0.4">
      <c r="A6187" s="291"/>
      <c r="B6187" s="292"/>
      <c r="C6187" s="312"/>
      <c r="D6187" s="292"/>
      <c r="E6187" s="489"/>
      <c r="F6187" s="489"/>
      <c r="G6187" s="490"/>
      <c r="H6187" s="520"/>
      <c r="I6187" s="523"/>
      <c r="J6187" s="521"/>
      <c r="K6187" s="522"/>
      <c r="M6187" s="301" t="str">
        <f>N6187&amp;AS[[#This Row],[Insurer Code]]&amp;"; "&amp;O6187&amp;AS[[#This Row],[Reporting Year]]&amp;"; "&amp;P6187&amp;AS[[#This Row],[Insurance Category Code]]&amp;"; "&amp;Q6187&amp;AS[[#This Row],[Large Provider Entity Code]]&amp;"; "&amp;R6187&amp;AS[[#This Row],[Age Band Code]]&amp;"; "&amp;S6187&amp;AS[[#This Row],[Sex Code]]</f>
        <v xml:space="preserve">Insurer Code ; Reporting Year ; Insurance Category Code ; Large Provider Entity Code ; Age Band Code ; Sex Code </v>
      </c>
      <c r="N6187" s="297" t="s">
        <v>197</v>
      </c>
      <c r="O6187" s="297" t="s">
        <v>198</v>
      </c>
      <c r="P6187" s="297" t="s">
        <v>199</v>
      </c>
      <c r="Q6187" s="297" t="s">
        <v>200</v>
      </c>
      <c r="R6187" s="297" t="s">
        <v>213</v>
      </c>
      <c r="S6187" s="297" t="s">
        <v>214</v>
      </c>
    </row>
    <row r="6188" spans="1:19" x14ac:dyDescent="0.4">
      <c r="A6188" s="291"/>
      <c r="B6188" s="292"/>
      <c r="C6188" s="312"/>
      <c r="D6188" s="292"/>
      <c r="E6188" s="489"/>
      <c r="F6188" s="489"/>
      <c r="G6188" s="490"/>
      <c r="H6188" s="520"/>
      <c r="I6188" s="523"/>
      <c r="J6188" s="521"/>
      <c r="K6188" s="522"/>
      <c r="M6188" s="301" t="str">
        <f>N6188&amp;AS[[#This Row],[Insurer Code]]&amp;"; "&amp;O6188&amp;AS[[#This Row],[Reporting Year]]&amp;"; "&amp;P6188&amp;AS[[#This Row],[Insurance Category Code]]&amp;"; "&amp;Q6188&amp;AS[[#This Row],[Large Provider Entity Code]]&amp;"; "&amp;R6188&amp;AS[[#This Row],[Age Band Code]]&amp;"; "&amp;S6188&amp;AS[[#This Row],[Sex Code]]</f>
        <v xml:space="preserve">Insurer Code ; Reporting Year ; Insurance Category Code ; Large Provider Entity Code ; Age Band Code ; Sex Code </v>
      </c>
      <c r="N6188" s="297" t="s">
        <v>197</v>
      </c>
      <c r="O6188" s="297" t="s">
        <v>198</v>
      </c>
      <c r="P6188" s="297" t="s">
        <v>199</v>
      </c>
      <c r="Q6188" s="297" t="s">
        <v>200</v>
      </c>
      <c r="R6188" s="297" t="s">
        <v>213</v>
      </c>
      <c r="S6188" s="297" t="s">
        <v>214</v>
      </c>
    </row>
    <row r="6189" spans="1:19" x14ac:dyDescent="0.4">
      <c r="A6189" s="291"/>
      <c r="B6189" s="292"/>
      <c r="C6189" s="312"/>
      <c r="D6189" s="292"/>
      <c r="E6189" s="489"/>
      <c r="F6189" s="489"/>
      <c r="G6189" s="490"/>
      <c r="H6189" s="520"/>
      <c r="I6189" s="523"/>
      <c r="J6189" s="521"/>
      <c r="K6189" s="522"/>
      <c r="M6189" s="301" t="str">
        <f>N6189&amp;AS[[#This Row],[Insurer Code]]&amp;"; "&amp;O6189&amp;AS[[#This Row],[Reporting Year]]&amp;"; "&amp;P6189&amp;AS[[#This Row],[Insurance Category Code]]&amp;"; "&amp;Q6189&amp;AS[[#This Row],[Large Provider Entity Code]]&amp;"; "&amp;R6189&amp;AS[[#This Row],[Age Band Code]]&amp;"; "&amp;S6189&amp;AS[[#This Row],[Sex Code]]</f>
        <v xml:space="preserve">Insurer Code ; Reporting Year ; Insurance Category Code ; Large Provider Entity Code ; Age Band Code ; Sex Code </v>
      </c>
      <c r="N6189" s="297" t="s">
        <v>197</v>
      </c>
      <c r="O6189" s="297" t="s">
        <v>198</v>
      </c>
      <c r="P6189" s="297" t="s">
        <v>199</v>
      </c>
      <c r="Q6189" s="297" t="s">
        <v>200</v>
      </c>
      <c r="R6189" s="297" t="s">
        <v>213</v>
      </c>
      <c r="S6189" s="297" t="s">
        <v>214</v>
      </c>
    </row>
    <row r="6190" spans="1:19" x14ac:dyDescent="0.4">
      <c r="A6190" s="291"/>
      <c r="B6190" s="292"/>
      <c r="C6190" s="312"/>
      <c r="D6190" s="292"/>
      <c r="E6190" s="489"/>
      <c r="F6190" s="489"/>
      <c r="G6190" s="490"/>
      <c r="H6190" s="520"/>
      <c r="I6190" s="523"/>
      <c r="J6190" s="521"/>
      <c r="K6190" s="522"/>
      <c r="M6190" s="301" t="str">
        <f>N6190&amp;AS[[#This Row],[Insurer Code]]&amp;"; "&amp;O6190&amp;AS[[#This Row],[Reporting Year]]&amp;"; "&amp;P6190&amp;AS[[#This Row],[Insurance Category Code]]&amp;"; "&amp;Q6190&amp;AS[[#This Row],[Large Provider Entity Code]]&amp;"; "&amp;R6190&amp;AS[[#This Row],[Age Band Code]]&amp;"; "&amp;S6190&amp;AS[[#This Row],[Sex Code]]</f>
        <v xml:space="preserve">Insurer Code ; Reporting Year ; Insurance Category Code ; Large Provider Entity Code ; Age Band Code ; Sex Code </v>
      </c>
      <c r="N6190" s="297" t="s">
        <v>197</v>
      </c>
      <c r="O6190" s="297" t="s">
        <v>198</v>
      </c>
      <c r="P6190" s="297" t="s">
        <v>199</v>
      </c>
      <c r="Q6190" s="297" t="s">
        <v>200</v>
      </c>
      <c r="R6190" s="297" t="s">
        <v>213</v>
      </c>
      <c r="S6190" s="297" t="s">
        <v>214</v>
      </c>
    </row>
    <row r="6191" spans="1:19" x14ac:dyDescent="0.4">
      <c r="A6191" s="291"/>
      <c r="B6191" s="292"/>
      <c r="C6191" s="312"/>
      <c r="D6191" s="292"/>
      <c r="E6191" s="489"/>
      <c r="F6191" s="489"/>
      <c r="G6191" s="490"/>
      <c r="H6191" s="520"/>
      <c r="I6191" s="523"/>
      <c r="J6191" s="521"/>
      <c r="K6191" s="522"/>
      <c r="M6191" s="301" t="str">
        <f>N6191&amp;AS[[#This Row],[Insurer Code]]&amp;"; "&amp;O6191&amp;AS[[#This Row],[Reporting Year]]&amp;"; "&amp;P6191&amp;AS[[#This Row],[Insurance Category Code]]&amp;"; "&amp;Q6191&amp;AS[[#This Row],[Large Provider Entity Code]]&amp;"; "&amp;R6191&amp;AS[[#This Row],[Age Band Code]]&amp;"; "&amp;S6191&amp;AS[[#This Row],[Sex Code]]</f>
        <v xml:space="preserve">Insurer Code ; Reporting Year ; Insurance Category Code ; Large Provider Entity Code ; Age Band Code ; Sex Code </v>
      </c>
      <c r="N6191" s="297" t="s">
        <v>197</v>
      </c>
      <c r="O6191" s="297" t="s">
        <v>198</v>
      </c>
      <c r="P6191" s="297" t="s">
        <v>199</v>
      </c>
      <c r="Q6191" s="297" t="s">
        <v>200</v>
      </c>
      <c r="R6191" s="297" t="s">
        <v>213</v>
      </c>
      <c r="S6191" s="297" t="s">
        <v>214</v>
      </c>
    </row>
    <row r="6192" spans="1:19" x14ac:dyDescent="0.4">
      <c r="A6192" s="291"/>
      <c r="B6192" s="292"/>
      <c r="C6192" s="312"/>
      <c r="D6192" s="292"/>
      <c r="E6192" s="489"/>
      <c r="F6192" s="489"/>
      <c r="G6192" s="490"/>
      <c r="H6192" s="520"/>
      <c r="I6192" s="523"/>
      <c r="J6192" s="521"/>
      <c r="K6192" s="522"/>
      <c r="M6192" s="301" t="str">
        <f>N6192&amp;AS[[#This Row],[Insurer Code]]&amp;"; "&amp;O6192&amp;AS[[#This Row],[Reporting Year]]&amp;"; "&amp;P6192&amp;AS[[#This Row],[Insurance Category Code]]&amp;"; "&amp;Q6192&amp;AS[[#This Row],[Large Provider Entity Code]]&amp;"; "&amp;R6192&amp;AS[[#This Row],[Age Band Code]]&amp;"; "&amp;S6192&amp;AS[[#This Row],[Sex Code]]</f>
        <v xml:space="preserve">Insurer Code ; Reporting Year ; Insurance Category Code ; Large Provider Entity Code ; Age Band Code ; Sex Code </v>
      </c>
      <c r="N6192" s="297" t="s">
        <v>197</v>
      </c>
      <c r="O6192" s="297" t="s">
        <v>198</v>
      </c>
      <c r="P6192" s="297" t="s">
        <v>199</v>
      </c>
      <c r="Q6192" s="297" t="s">
        <v>200</v>
      </c>
      <c r="R6192" s="297" t="s">
        <v>213</v>
      </c>
      <c r="S6192" s="297" t="s">
        <v>214</v>
      </c>
    </row>
    <row r="6193" spans="1:19" x14ac:dyDescent="0.4">
      <c r="A6193" s="291"/>
      <c r="B6193" s="292"/>
      <c r="C6193" s="312"/>
      <c r="D6193" s="292"/>
      <c r="E6193" s="489"/>
      <c r="F6193" s="489"/>
      <c r="G6193" s="490"/>
      <c r="H6193" s="520"/>
      <c r="I6193" s="523"/>
      <c r="J6193" s="521"/>
      <c r="K6193" s="522"/>
      <c r="M6193" s="301" t="str">
        <f>N6193&amp;AS[[#This Row],[Insurer Code]]&amp;"; "&amp;O6193&amp;AS[[#This Row],[Reporting Year]]&amp;"; "&amp;P6193&amp;AS[[#This Row],[Insurance Category Code]]&amp;"; "&amp;Q6193&amp;AS[[#This Row],[Large Provider Entity Code]]&amp;"; "&amp;R6193&amp;AS[[#This Row],[Age Band Code]]&amp;"; "&amp;S6193&amp;AS[[#This Row],[Sex Code]]</f>
        <v xml:space="preserve">Insurer Code ; Reporting Year ; Insurance Category Code ; Large Provider Entity Code ; Age Band Code ; Sex Code </v>
      </c>
      <c r="N6193" s="297" t="s">
        <v>197</v>
      </c>
      <c r="O6193" s="297" t="s">
        <v>198</v>
      </c>
      <c r="P6193" s="297" t="s">
        <v>199</v>
      </c>
      <c r="Q6193" s="297" t="s">
        <v>200</v>
      </c>
      <c r="R6193" s="297" t="s">
        <v>213</v>
      </c>
      <c r="S6193" s="297" t="s">
        <v>214</v>
      </c>
    </row>
    <row r="6194" spans="1:19" x14ac:dyDescent="0.4">
      <c r="A6194" s="291"/>
      <c r="B6194" s="292"/>
      <c r="C6194" s="312"/>
      <c r="D6194" s="292"/>
      <c r="E6194" s="489"/>
      <c r="F6194" s="489"/>
      <c r="G6194" s="490"/>
      <c r="H6194" s="520"/>
      <c r="I6194" s="523"/>
      <c r="J6194" s="521"/>
      <c r="K6194" s="522"/>
      <c r="M6194" s="301" t="str">
        <f>N6194&amp;AS[[#This Row],[Insurer Code]]&amp;"; "&amp;O6194&amp;AS[[#This Row],[Reporting Year]]&amp;"; "&amp;P6194&amp;AS[[#This Row],[Insurance Category Code]]&amp;"; "&amp;Q6194&amp;AS[[#This Row],[Large Provider Entity Code]]&amp;"; "&amp;R6194&amp;AS[[#This Row],[Age Band Code]]&amp;"; "&amp;S6194&amp;AS[[#This Row],[Sex Code]]</f>
        <v xml:space="preserve">Insurer Code ; Reporting Year ; Insurance Category Code ; Large Provider Entity Code ; Age Band Code ; Sex Code </v>
      </c>
      <c r="N6194" s="297" t="s">
        <v>197</v>
      </c>
      <c r="O6194" s="297" t="s">
        <v>198</v>
      </c>
      <c r="P6194" s="297" t="s">
        <v>199</v>
      </c>
      <c r="Q6194" s="297" t="s">
        <v>200</v>
      </c>
      <c r="R6194" s="297" t="s">
        <v>213</v>
      </c>
      <c r="S6194" s="297" t="s">
        <v>214</v>
      </c>
    </row>
    <row r="6195" spans="1:19" x14ac:dyDescent="0.4">
      <c r="A6195" s="291"/>
      <c r="B6195" s="292"/>
      <c r="C6195" s="312"/>
      <c r="D6195" s="292"/>
      <c r="E6195" s="489"/>
      <c r="F6195" s="489"/>
      <c r="G6195" s="490"/>
      <c r="H6195" s="520"/>
      <c r="I6195" s="523"/>
      <c r="J6195" s="521"/>
      <c r="K6195" s="522"/>
      <c r="M6195" s="301" t="str">
        <f>N6195&amp;AS[[#This Row],[Insurer Code]]&amp;"; "&amp;O6195&amp;AS[[#This Row],[Reporting Year]]&amp;"; "&amp;P6195&amp;AS[[#This Row],[Insurance Category Code]]&amp;"; "&amp;Q6195&amp;AS[[#This Row],[Large Provider Entity Code]]&amp;"; "&amp;R6195&amp;AS[[#This Row],[Age Band Code]]&amp;"; "&amp;S6195&amp;AS[[#This Row],[Sex Code]]</f>
        <v xml:space="preserve">Insurer Code ; Reporting Year ; Insurance Category Code ; Large Provider Entity Code ; Age Band Code ; Sex Code </v>
      </c>
      <c r="N6195" s="297" t="s">
        <v>197</v>
      </c>
      <c r="O6195" s="297" t="s">
        <v>198</v>
      </c>
      <c r="P6195" s="297" t="s">
        <v>199</v>
      </c>
      <c r="Q6195" s="297" t="s">
        <v>200</v>
      </c>
      <c r="R6195" s="297" t="s">
        <v>213</v>
      </c>
      <c r="S6195" s="297" t="s">
        <v>214</v>
      </c>
    </row>
    <row r="6196" spans="1:19" x14ac:dyDescent="0.4">
      <c r="A6196" s="291"/>
      <c r="B6196" s="292"/>
      <c r="C6196" s="312"/>
      <c r="D6196" s="292"/>
      <c r="E6196" s="489"/>
      <c r="F6196" s="489"/>
      <c r="G6196" s="490"/>
      <c r="H6196" s="520"/>
      <c r="I6196" s="523"/>
      <c r="J6196" s="521"/>
      <c r="K6196" s="522"/>
      <c r="M6196" s="301" t="str">
        <f>N6196&amp;AS[[#This Row],[Insurer Code]]&amp;"; "&amp;O6196&amp;AS[[#This Row],[Reporting Year]]&amp;"; "&amp;P6196&amp;AS[[#This Row],[Insurance Category Code]]&amp;"; "&amp;Q6196&amp;AS[[#This Row],[Large Provider Entity Code]]&amp;"; "&amp;R6196&amp;AS[[#This Row],[Age Band Code]]&amp;"; "&amp;S6196&amp;AS[[#This Row],[Sex Code]]</f>
        <v xml:space="preserve">Insurer Code ; Reporting Year ; Insurance Category Code ; Large Provider Entity Code ; Age Band Code ; Sex Code </v>
      </c>
      <c r="N6196" s="297" t="s">
        <v>197</v>
      </c>
      <c r="O6196" s="297" t="s">
        <v>198</v>
      </c>
      <c r="P6196" s="297" t="s">
        <v>199</v>
      </c>
      <c r="Q6196" s="297" t="s">
        <v>200</v>
      </c>
      <c r="R6196" s="297" t="s">
        <v>213</v>
      </c>
      <c r="S6196" s="297" t="s">
        <v>214</v>
      </c>
    </row>
    <row r="6197" spans="1:19" x14ac:dyDescent="0.4">
      <c r="A6197" s="291"/>
      <c r="B6197" s="292"/>
      <c r="C6197" s="312"/>
      <c r="D6197" s="292"/>
      <c r="E6197" s="489"/>
      <c r="F6197" s="489"/>
      <c r="G6197" s="490"/>
      <c r="H6197" s="520"/>
      <c r="I6197" s="523"/>
      <c r="J6197" s="521"/>
      <c r="K6197" s="522"/>
      <c r="M6197" s="301" t="str">
        <f>N6197&amp;AS[[#This Row],[Insurer Code]]&amp;"; "&amp;O6197&amp;AS[[#This Row],[Reporting Year]]&amp;"; "&amp;P6197&amp;AS[[#This Row],[Insurance Category Code]]&amp;"; "&amp;Q6197&amp;AS[[#This Row],[Large Provider Entity Code]]&amp;"; "&amp;R6197&amp;AS[[#This Row],[Age Band Code]]&amp;"; "&amp;S6197&amp;AS[[#This Row],[Sex Code]]</f>
        <v xml:space="preserve">Insurer Code ; Reporting Year ; Insurance Category Code ; Large Provider Entity Code ; Age Band Code ; Sex Code </v>
      </c>
      <c r="N6197" s="297" t="s">
        <v>197</v>
      </c>
      <c r="O6197" s="297" t="s">
        <v>198</v>
      </c>
      <c r="P6197" s="297" t="s">
        <v>199</v>
      </c>
      <c r="Q6197" s="297" t="s">
        <v>200</v>
      </c>
      <c r="R6197" s="297" t="s">
        <v>213</v>
      </c>
      <c r="S6197" s="297" t="s">
        <v>214</v>
      </c>
    </row>
    <row r="6198" spans="1:19" x14ac:dyDescent="0.4">
      <c r="A6198" s="291"/>
      <c r="B6198" s="292"/>
      <c r="C6198" s="312"/>
      <c r="D6198" s="292"/>
      <c r="E6198" s="489"/>
      <c r="F6198" s="489"/>
      <c r="G6198" s="490"/>
      <c r="H6198" s="520"/>
      <c r="I6198" s="523"/>
      <c r="J6198" s="521"/>
      <c r="K6198" s="522"/>
      <c r="M6198" s="301" t="str">
        <f>N6198&amp;AS[[#This Row],[Insurer Code]]&amp;"; "&amp;O6198&amp;AS[[#This Row],[Reporting Year]]&amp;"; "&amp;P6198&amp;AS[[#This Row],[Insurance Category Code]]&amp;"; "&amp;Q6198&amp;AS[[#This Row],[Large Provider Entity Code]]&amp;"; "&amp;R6198&amp;AS[[#This Row],[Age Band Code]]&amp;"; "&amp;S6198&amp;AS[[#This Row],[Sex Code]]</f>
        <v xml:space="preserve">Insurer Code ; Reporting Year ; Insurance Category Code ; Large Provider Entity Code ; Age Band Code ; Sex Code </v>
      </c>
      <c r="N6198" s="297" t="s">
        <v>197</v>
      </c>
      <c r="O6198" s="297" t="s">
        <v>198</v>
      </c>
      <c r="P6198" s="297" t="s">
        <v>199</v>
      </c>
      <c r="Q6198" s="297" t="s">
        <v>200</v>
      </c>
      <c r="R6198" s="297" t="s">
        <v>213</v>
      </c>
      <c r="S6198" s="297" t="s">
        <v>214</v>
      </c>
    </row>
    <row r="6199" spans="1:19" x14ac:dyDescent="0.4">
      <c r="A6199" s="291"/>
      <c r="B6199" s="292"/>
      <c r="C6199" s="312"/>
      <c r="D6199" s="292"/>
      <c r="E6199" s="489"/>
      <c r="F6199" s="489"/>
      <c r="G6199" s="490"/>
      <c r="H6199" s="520"/>
      <c r="I6199" s="523"/>
      <c r="J6199" s="521"/>
      <c r="K6199" s="522"/>
      <c r="M6199" s="301" t="str">
        <f>N6199&amp;AS[[#This Row],[Insurer Code]]&amp;"; "&amp;O6199&amp;AS[[#This Row],[Reporting Year]]&amp;"; "&amp;P6199&amp;AS[[#This Row],[Insurance Category Code]]&amp;"; "&amp;Q6199&amp;AS[[#This Row],[Large Provider Entity Code]]&amp;"; "&amp;R6199&amp;AS[[#This Row],[Age Band Code]]&amp;"; "&amp;S6199&amp;AS[[#This Row],[Sex Code]]</f>
        <v xml:space="preserve">Insurer Code ; Reporting Year ; Insurance Category Code ; Large Provider Entity Code ; Age Band Code ; Sex Code </v>
      </c>
      <c r="N6199" s="297" t="s">
        <v>197</v>
      </c>
      <c r="O6199" s="297" t="s">
        <v>198</v>
      </c>
      <c r="P6199" s="297" t="s">
        <v>199</v>
      </c>
      <c r="Q6199" s="297" t="s">
        <v>200</v>
      </c>
      <c r="R6199" s="297" t="s">
        <v>213</v>
      </c>
      <c r="S6199" s="297" t="s">
        <v>214</v>
      </c>
    </row>
    <row r="6200" spans="1:19" x14ac:dyDescent="0.4">
      <c r="A6200" s="291"/>
      <c r="B6200" s="292"/>
      <c r="C6200" s="312"/>
      <c r="D6200" s="292"/>
      <c r="E6200" s="489"/>
      <c r="F6200" s="489"/>
      <c r="G6200" s="490"/>
      <c r="H6200" s="520"/>
      <c r="I6200" s="523"/>
      <c r="J6200" s="521"/>
      <c r="K6200" s="522"/>
      <c r="M6200" s="301" t="str">
        <f>N6200&amp;AS[[#This Row],[Insurer Code]]&amp;"; "&amp;O6200&amp;AS[[#This Row],[Reporting Year]]&amp;"; "&amp;P6200&amp;AS[[#This Row],[Insurance Category Code]]&amp;"; "&amp;Q6200&amp;AS[[#This Row],[Large Provider Entity Code]]&amp;"; "&amp;R6200&amp;AS[[#This Row],[Age Band Code]]&amp;"; "&amp;S6200&amp;AS[[#This Row],[Sex Code]]</f>
        <v xml:space="preserve">Insurer Code ; Reporting Year ; Insurance Category Code ; Large Provider Entity Code ; Age Band Code ; Sex Code </v>
      </c>
      <c r="N6200" s="297" t="s">
        <v>197</v>
      </c>
      <c r="O6200" s="297" t="s">
        <v>198</v>
      </c>
      <c r="P6200" s="297" t="s">
        <v>199</v>
      </c>
      <c r="Q6200" s="297" t="s">
        <v>200</v>
      </c>
      <c r="R6200" s="297" t="s">
        <v>213</v>
      </c>
      <c r="S6200" s="297" t="s">
        <v>214</v>
      </c>
    </row>
    <row r="6201" spans="1:19" x14ac:dyDescent="0.4">
      <c r="A6201" s="291"/>
      <c r="B6201" s="292"/>
      <c r="C6201" s="312"/>
      <c r="D6201" s="292"/>
      <c r="E6201" s="489"/>
      <c r="F6201" s="489"/>
      <c r="G6201" s="490"/>
      <c r="H6201" s="520"/>
      <c r="I6201" s="523"/>
      <c r="J6201" s="521"/>
      <c r="K6201" s="522"/>
      <c r="M6201" s="301" t="str">
        <f>N6201&amp;AS[[#This Row],[Insurer Code]]&amp;"; "&amp;O6201&amp;AS[[#This Row],[Reporting Year]]&amp;"; "&amp;P6201&amp;AS[[#This Row],[Insurance Category Code]]&amp;"; "&amp;Q6201&amp;AS[[#This Row],[Large Provider Entity Code]]&amp;"; "&amp;R6201&amp;AS[[#This Row],[Age Band Code]]&amp;"; "&amp;S6201&amp;AS[[#This Row],[Sex Code]]</f>
        <v xml:space="preserve">Insurer Code ; Reporting Year ; Insurance Category Code ; Large Provider Entity Code ; Age Band Code ; Sex Code </v>
      </c>
      <c r="N6201" s="297" t="s">
        <v>197</v>
      </c>
      <c r="O6201" s="297" t="s">
        <v>198</v>
      </c>
      <c r="P6201" s="297" t="s">
        <v>199</v>
      </c>
      <c r="Q6201" s="297" t="s">
        <v>200</v>
      </c>
      <c r="R6201" s="297" t="s">
        <v>213</v>
      </c>
      <c r="S6201" s="297" t="s">
        <v>214</v>
      </c>
    </row>
    <row r="6202" spans="1:19" x14ac:dyDescent="0.4">
      <c r="A6202" s="291"/>
      <c r="B6202" s="292"/>
      <c r="C6202" s="312"/>
      <c r="D6202" s="292"/>
      <c r="E6202" s="489"/>
      <c r="F6202" s="489"/>
      <c r="G6202" s="490"/>
      <c r="H6202" s="520"/>
      <c r="I6202" s="523"/>
      <c r="J6202" s="521"/>
      <c r="K6202" s="522"/>
      <c r="M6202" s="301" t="str">
        <f>N6202&amp;AS[[#This Row],[Insurer Code]]&amp;"; "&amp;O6202&amp;AS[[#This Row],[Reporting Year]]&amp;"; "&amp;P6202&amp;AS[[#This Row],[Insurance Category Code]]&amp;"; "&amp;Q6202&amp;AS[[#This Row],[Large Provider Entity Code]]&amp;"; "&amp;R6202&amp;AS[[#This Row],[Age Band Code]]&amp;"; "&amp;S6202&amp;AS[[#This Row],[Sex Code]]</f>
        <v xml:space="preserve">Insurer Code ; Reporting Year ; Insurance Category Code ; Large Provider Entity Code ; Age Band Code ; Sex Code </v>
      </c>
      <c r="N6202" s="297" t="s">
        <v>197</v>
      </c>
      <c r="O6202" s="297" t="s">
        <v>198</v>
      </c>
      <c r="P6202" s="297" t="s">
        <v>199</v>
      </c>
      <c r="Q6202" s="297" t="s">
        <v>200</v>
      </c>
      <c r="R6202" s="297" t="s">
        <v>213</v>
      </c>
      <c r="S6202" s="297" t="s">
        <v>214</v>
      </c>
    </row>
    <row r="6203" spans="1:19" x14ac:dyDescent="0.4">
      <c r="A6203" s="291"/>
      <c r="B6203" s="292"/>
      <c r="C6203" s="312"/>
      <c r="D6203" s="292"/>
      <c r="E6203" s="489"/>
      <c r="F6203" s="489"/>
      <c r="G6203" s="490"/>
      <c r="H6203" s="520"/>
      <c r="I6203" s="523"/>
      <c r="J6203" s="521"/>
      <c r="K6203" s="522"/>
      <c r="M6203" s="301" t="str">
        <f>N6203&amp;AS[[#This Row],[Insurer Code]]&amp;"; "&amp;O6203&amp;AS[[#This Row],[Reporting Year]]&amp;"; "&amp;P6203&amp;AS[[#This Row],[Insurance Category Code]]&amp;"; "&amp;Q6203&amp;AS[[#This Row],[Large Provider Entity Code]]&amp;"; "&amp;R6203&amp;AS[[#This Row],[Age Band Code]]&amp;"; "&amp;S6203&amp;AS[[#This Row],[Sex Code]]</f>
        <v xml:space="preserve">Insurer Code ; Reporting Year ; Insurance Category Code ; Large Provider Entity Code ; Age Band Code ; Sex Code </v>
      </c>
      <c r="N6203" s="297" t="s">
        <v>197</v>
      </c>
      <c r="O6203" s="297" t="s">
        <v>198</v>
      </c>
      <c r="P6203" s="297" t="s">
        <v>199</v>
      </c>
      <c r="Q6203" s="297" t="s">
        <v>200</v>
      </c>
      <c r="R6203" s="297" t="s">
        <v>213</v>
      </c>
      <c r="S6203" s="297" t="s">
        <v>214</v>
      </c>
    </row>
    <row r="6204" spans="1:19" x14ac:dyDescent="0.4">
      <c r="A6204" s="291"/>
      <c r="B6204" s="292"/>
      <c r="C6204" s="312"/>
      <c r="D6204" s="292"/>
      <c r="E6204" s="489"/>
      <c r="F6204" s="489"/>
      <c r="G6204" s="490"/>
      <c r="H6204" s="520"/>
      <c r="I6204" s="523"/>
      <c r="J6204" s="521"/>
      <c r="K6204" s="522"/>
      <c r="M6204" s="301" t="str">
        <f>N6204&amp;AS[[#This Row],[Insurer Code]]&amp;"; "&amp;O6204&amp;AS[[#This Row],[Reporting Year]]&amp;"; "&amp;P6204&amp;AS[[#This Row],[Insurance Category Code]]&amp;"; "&amp;Q6204&amp;AS[[#This Row],[Large Provider Entity Code]]&amp;"; "&amp;R6204&amp;AS[[#This Row],[Age Band Code]]&amp;"; "&amp;S6204&amp;AS[[#This Row],[Sex Code]]</f>
        <v xml:space="preserve">Insurer Code ; Reporting Year ; Insurance Category Code ; Large Provider Entity Code ; Age Band Code ; Sex Code </v>
      </c>
      <c r="N6204" s="297" t="s">
        <v>197</v>
      </c>
      <c r="O6204" s="297" t="s">
        <v>198</v>
      </c>
      <c r="P6204" s="297" t="s">
        <v>199</v>
      </c>
      <c r="Q6204" s="297" t="s">
        <v>200</v>
      </c>
      <c r="R6204" s="297" t="s">
        <v>213</v>
      </c>
      <c r="S6204" s="297" t="s">
        <v>214</v>
      </c>
    </row>
    <row r="6205" spans="1:19" x14ac:dyDescent="0.4">
      <c r="A6205" s="291"/>
      <c r="B6205" s="292"/>
      <c r="C6205" s="312"/>
      <c r="D6205" s="292"/>
      <c r="E6205" s="489"/>
      <c r="F6205" s="489"/>
      <c r="G6205" s="490"/>
      <c r="H6205" s="520"/>
      <c r="I6205" s="523"/>
      <c r="J6205" s="521"/>
      <c r="K6205" s="522"/>
      <c r="M6205" s="301" t="str">
        <f>N6205&amp;AS[[#This Row],[Insurer Code]]&amp;"; "&amp;O6205&amp;AS[[#This Row],[Reporting Year]]&amp;"; "&amp;P6205&amp;AS[[#This Row],[Insurance Category Code]]&amp;"; "&amp;Q6205&amp;AS[[#This Row],[Large Provider Entity Code]]&amp;"; "&amp;R6205&amp;AS[[#This Row],[Age Band Code]]&amp;"; "&amp;S6205&amp;AS[[#This Row],[Sex Code]]</f>
        <v xml:space="preserve">Insurer Code ; Reporting Year ; Insurance Category Code ; Large Provider Entity Code ; Age Band Code ; Sex Code </v>
      </c>
      <c r="N6205" s="297" t="s">
        <v>197</v>
      </c>
      <c r="O6205" s="297" t="s">
        <v>198</v>
      </c>
      <c r="P6205" s="297" t="s">
        <v>199</v>
      </c>
      <c r="Q6205" s="297" t="s">
        <v>200</v>
      </c>
      <c r="R6205" s="297" t="s">
        <v>213</v>
      </c>
      <c r="S6205" s="297" t="s">
        <v>214</v>
      </c>
    </row>
    <row r="6206" spans="1:19" x14ac:dyDescent="0.4">
      <c r="A6206" s="291"/>
      <c r="B6206" s="292"/>
      <c r="C6206" s="312"/>
      <c r="D6206" s="292"/>
      <c r="E6206" s="489"/>
      <c r="F6206" s="489"/>
      <c r="G6206" s="490"/>
      <c r="H6206" s="520"/>
      <c r="I6206" s="523"/>
      <c r="J6206" s="521"/>
      <c r="K6206" s="522"/>
      <c r="M6206" s="301" t="str">
        <f>N6206&amp;AS[[#This Row],[Insurer Code]]&amp;"; "&amp;O6206&amp;AS[[#This Row],[Reporting Year]]&amp;"; "&amp;P6206&amp;AS[[#This Row],[Insurance Category Code]]&amp;"; "&amp;Q6206&amp;AS[[#This Row],[Large Provider Entity Code]]&amp;"; "&amp;R6206&amp;AS[[#This Row],[Age Band Code]]&amp;"; "&amp;S6206&amp;AS[[#This Row],[Sex Code]]</f>
        <v xml:space="preserve">Insurer Code ; Reporting Year ; Insurance Category Code ; Large Provider Entity Code ; Age Band Code ; Sex Code </v>
      </c>
      <c r="N6206" s="297" t="s">
        <v>197</v>
      </c>
      <c r="O6206" s="297" t="s">
        <v>198</v>
      </c>
      <c r="P6206" s="297" t="s">
        <v>199</v>
      </c>
      <c r="Q6206" s="297" t="s">
        <v>200</v>
      </c>
      <c r="R6206" s="297" t="s">
        <v>213</v>
      </c>
      <c r="S6206" s="297" t="s">
        <v>214</v>
      </c>
    </row>
    <row r="6207" spans="1:19" x14ac:dyDescent="0.4">
      <c r="A6207" s="291"/>
      <c r="B6207" s="292"/>
      <c r="C6207" s="312"/>
      <c r="D6207" s="292"/>
      <c r="E6207" s="489"/>
      <c r="F6207" s="489"/>
      <c r="G6207" s="490"/>
      <c r="H6207" s="520"/>
      <c r="I6207" s="523"/>
      <c r="J6207" s="521"/>
      <c r="K6207" s="522"/>
      <c r="M6207" s="301" t="str">
        <f>N6207&amp;AS[[#This Row],[Insurer Code]]&amp;"; "&amp;O6207&amp;AS[[#This Row],[Reporting Year]]&amp;"; "&amp;P6207&amp;AS[[#This Row],[Insurance Category Code]]&amp;"; "&amp;Q6207&amp;AS[[#This Row],[Large Provider Entity Code]]&amp;"; "&amp;R6207&amp;AS[[#This Row],[Age Band Code]]&amp;"; "&amp;S6207&amp;AS[[#This Row],[Sex Code]]</f>
        <v xml:space="preserve">Insurer Code ; Reporting Year ; Insurance Category Code ; Large Provider Entity Code ; Age Band Code ; Sex Code </v>
      </c>
      <c r="N6207" s="297" t="s">
        <v>197</v>
      </c>
      <c r="O6207" s="297" t="s">
        <v>198</v>
      </c>
      <c r="P6207" s="297" t="s">
        <v>199</v>
      </c>
      <c r="Q6207" s="297" t="s">
        <v>200</v>
      </c>
      <c r="R6207" s="297" t="s">
        <v>213</v>
      </c>
      <c r="S6207" s="297" t="s">
        <v>214</v>
      </c>
    </row>
    <row r="6208" spans="1:19" x14ac:dyDescent="0.4">
      <c r="A6208" s="291"/>
      <c r="B6208" s="292"/>
      <c r="C6208" s="312"/>
      <c r="D6208" s="292"/>
      <c r="E6208" s="489"/>
      <c r="F6208" s="489"/>
      <c r="G6208" s="490"/>
      <c r="H6208" s="520"/>
      <c r="I6208" s="523"/>
      <c r="J6208" s="521"/>
      <c r="K6208" s="522"/>
      <c r="M6208" s="301" t="str">
        <f>N6208&amp;AS[[#This Row],[Insurer Code]]&amp;"; "&amp;O6208&amp;AS[[#This Row],[Reporting Year]]&amp;"; "&amp;P6208&amp;AS[[#This Row],[Insurance Category Code]]&amp;"; "&amp;Q6208&amp;AS[[#This Row],[Large Provider Entity Code]]&amp;"; "&amp;R6208&amp;AS[[#This Row],[Age Band Code]]&amp;"; "&amp;S6208&amp;AS[[#This Row],[Sex Code]]</f>
        <v xml:space="preserve">Insurer Code ; Reporting Year ; Insurance Category Code ; Large Provider Entity Code ; Age Band Code ; Sex Code </v>
      </c>
      <c r="N6208" s="297" t="s">
        <v>197</v>
      </c>
      <c r="O6208" s="297" t="s">
        <v>198</v>
      </c>
      <c r="P6208" s="297" t="s">
        <v>199</v>
      </c>
      <c r="Q6208" s="297" t="s">
        <v>200</v>
      </c>
      <c r="R6208" s="297" t="s">
        <v>213</v>
      </c>
      <c r="S6208" s="297" t="s">
        <v>214</v>
      </c>
    </row>
    <row r="6209" spans="1:19" x14ac:dyDescent="0.4">
      <c r="A6209" s="291"/>
      <c r="B6209" s="292"/>
      <c r="C6209" s="312"/>
      <c r="D6209" s="292"/>
      <c r="E6209" s="489"/>
      <c r="F6209" s="489"/>
      <c r="G6209" s="490"/>
      <c r="H6209" s="520"/>
      <c r="I6209" s="523"/>
      <c r="J6209" s="521"/>
      <c r="K6209" s="522"/>
      <c r="M6209" s="301" t="str">
        <f>N6209&amp;AS[[#This Row],[Insurer Code]]&amp;"; "&amp;O6209&amp;AS[[#This Row],[Reporting Year]]&amp;"; "&amp;P6209&amp;AS[[#This Row],[Insurance Category Code]]&amp;"; "&amp;Q6209&amp;AS[[#This Row],[Large Provider Entity Code]]&amp;"; "&amp;R6209&amp;AS[[#This Row],[Age Band Code]]&amp;"; "&amp;S6209&amp;AS[[#This Row],[Sex Code]]</f>
        <v xml:space="preserve">Insurer Code ; Reporting Year ; Insurance Category Code ; Large Provider Entity Code ; Age Band Code ; Sex Code </v>
      </c>
      <c r="N6209" s="297" t="s">
        <v>197</v>
      </c>
      <c r="O6209" s="297" t="s">
        <v>198</v>
      </c>
      <c r="P6209" s="297" t="s">
        <v>199</v>
      </c>
      <c r="Q6209" s="297" t="s">
        <v>200</v>
      </c>
      <c r="R6209" s="297" t="s">
        <v>213</v>
      </c>
      <c r="S6209" s="297" t="s">
        <v>214</v>
      </c>
    </row>
    <row r="6210" spans="1:19" x14ac:dyDescent="0.4">
      <c r="A6210" s="291"/>
      <c r="B6210" s="292"/>
      <c r="C6210" s="312"/>
      <c r="D6210" s="292"/>
      <c r="E6210" s="489"/>
      <c r="F6210" s="489"/>
      <c r="G6210" s="490"/>
      <c r="H6210" s="520"/>
      <c r="I6210" s="523"/>
      <c r="J6210" s="521"/>
      <c r="K6210" s="522"/>
      <c r="M6210" s="301" t="str">
        <f>N6210&amp;AS[[#This Row],[Insurer Code]]&amp;"; "&amp;O6210&amp;AS[[#This Row],[Reporting Year]]&amp;"; "&amp;P6210&amp;AS[[#This Row],[Insurance Category Code]]&amp;"; "&amp;Q6210&amp;AS[[#This Row],[Large Provider Entity Code]]&amp;"; "&amp;R6210&amp;AS[[#This Row],[Age Band Code]]&amp;"; "&amp;S6210&amp;AS[[#This Row],[Sex Code]]</f>
        <v xml:space="preserve">Insurer Code ; Reporting Year ; Insurance Category Code ; Large Provider Entity Code ; Age Band Code ; Sex Code </v>
      </c>
      <c r="N6210" s="297" t="s">
        <v>197</v>
      </c>
      <c r="O6210" s="297" t="s">
        <v>198</v>
      </c>
      <c r="P6210" s="297" t="s">
        <v>199</v>
      </c>
      <c r="Q6210" s="297" t="s">
        <v>200</v>
      </c>
      <c r="R6210" s="297" t="s">
        <v>213</v>
      </c>
      <c r="S6210" s="297" t="s">
        <v>214</v>
      </c>
    </row>
    <row r="6211" spans="1:19" x14ac:dyDescent="0.4">
      <c r="A6211" s="291"/>
      <c r="B6211" s="292"/>
      <c r="C6211" s="312"/>
      <c r="D6211" s="292"/>
      <c r="E6211" s="489"/>
      <c r="F6211" s="489"/>
      <c r="G6211" s="490"/>
      <c r="H6211" s="520"/>
      <c r="I6211" s="523"/>
      <c r="J6211" s="521"/>
      <c r="K6211" s="522"/>
      <c r="M6211" s="301" t="str">
        <f>N6211&amp;AS[[#This Row],[Insurer Code]]&amp;"; "&amp;O6211&amp;AS[[#This Row],[Reporting Year]]&amp;"; "&amp;P6211&amp;AS[[#This Row],[Insurance Category Code]]&amp;"; "&amp;Q6211&amp;AS[[#This Row],[Large Provider Entity Code]]&amp;"; "&amp;R6211&amp;AS[[#This Row],[Age Band Code]]&amp;"; "&amp;S6211&amp;AS[[#This Row],[Sex Code]]</f>
        <v xml:space="preserve">Insurer Code ; Reporting Year ; Insurance Category Code ; Large Provider Entity Code ; Age Band Code ; Sex Code </v>
      </c>
      <c r="N6211" s="297" t="s">
        <v>197</v>
      </c>
      <c r="O6211" s="297" t="s">
        <v>198</v>
      </c>
      <c r="P6211" s="297" t="s">
        <v>199</v>
      </c>
      <c r="Q6211" s="297" t="s">
        <v>200</v>
      </c>
      <c r="R6211" s="297" t="s">
        <v>213</v>
      </c>
      <c r="S6211" s="297" t="s">
        <v>214</v>
      </c>
    </row>
    <row r="6212" spans="1:19" x14ac:dyDescent="0.4">
      <c r="A6212" s="291"/>
      <c r="B6212" s="292"/>
      <c r="C6212" s="312"/>
      <c r="D6212" s="292"/>
      <c r="E6212" s="489"/>
      <c r="F6212" s="489"/>
      <c r="G6212" s="490"/>
      <c r="H6212" s="520"/>
      <c r="I6212" s="523"/>
      <c r="J6212" s="521"/>
      <c r="K6212" s="522"/>
      <c r="M6212" s="301" t="str">
        <f>N6212&amp;AS[[#This Row],[Insurer Code]]&amp;"; "&amp;O6212&amp;AS[[#This Row],[Reporting Year]]&amp;"; "&amp;P6212&amp;AS[[#This Row],[Insurance Category Code]]&amp;"; "&amp;Q6212&amp;AS[[#This Row],[Large Provider Entity Code]]&amp;"; "&amp;R6212&amp;AS[[#This Row],[Age Band Code]]&amp;"; "&amp;S6212&amp;AS[[#This Row],[Sex Code]]</f>
        <v xml:space="preserve">Insurer Code ; Reporting Year ; Insurance Category Code ; Large Provider Entity Code ; Age Band Code ; Sex Code </v>
      </c>
      <c r="N6212" s="297" t="s">
        <v>197</v>
      </c>
      <c r="O6212" s="297" t="s">
        <v>198</v>
      </c>
      <c r="P6212" s="297" t="s">
        <v>199</v>
      </c>
      <c r="Q6212" s="297" t="s">
        <v>200</v>
      </c>
      <c r="R6212" s="297" t="s">
        <v>213</v>
      </c>
      <c r="S6212" s="297" t="s">
        <v>214</v>
      </c>
    </row>
    <row r="6213" spans="1:19" x14ac:dyDescent="0.4">
      <c r="A6213" s="291"/>
      <c r="B6213" s="292"/>
      <c r="C6213" s="312"/>
      <c r="D6213" s="292"/>
      <c r="E6213" s="489"/>
      <c r="F6213" s="489"/>
      <c r="G6213" s="490"/>
      <c r="H6213" s="520"/>
      <c r="I6213" s="523"/>
      <c r="J6213" s="521"/>
      <c r="K6213" s="522"/>
      <c r="M6213" s="301" t="str">
        <f>N6213&amp;AS[[#This Row],[Insurer Code]]&amp;"; "&amp;O6213&amp;AS[[#This Row],[Reporting Year]]&amp;"; "&amp;P6213&amp;AS[[#This Row],[Insurance Category Code]]&amp;"; "&amp;Q6213&amp;AS[[#This Row],[Large Provider Entity Code]]&amp;"; "&amp;R6213&amp;AS[[#This Row],[Age Band Code]]&amp;"; "&amp;S6213&amp;AS[[#This Row],[Sex Code]]</f>
        <v xml:space="preserve">Insurer Code ; Reporting Year ; Insurance Category Code ; Large Provider Entity Code ; Age Band Code ; Sex Code </v>
      </c>
      <c r="N6213" s="297" t="s">
        <v>197</v>
      </c>
      <c r="O6213" s="297" t="s">
        <v>198</v>
      </c>
      <c r="P6213" s="297" t="s">
        <v>199</v>
      </c>
      <c r="Q6213" s="297" t="s">
        <v>200</v>
      </c>
      <c r="R6213" s="297" t="s">
        <v>213</v>
      </c>
      <c r="S6213" s="297" t="s">
        <v>214</v>
      </c>
    </row>
    <row r="6214" spans="1:19" x14ac:dyDescent="0.4">
      <c r="A6214" s="291"/>
      <c r="B6214" s="292"/>
      <c r="C6214" s="312"/>
      <c r="D6214" s="292"/>
      <c r="E6214" s="489"/>
      <c r="F6214" s="489"/>
      <c r="G6214" s="490"/>
      <c r="H6214" s="520"/>
      <c r="I6214" s="523"/>
      <c r="J6214" s="521"/>
      <c r="K6214" s="522"/>
      <c r="M6214" s="301" t="str">
        <f>N6214&amp;AS[[#This Row],[Insurer Code]]&amp;"; "&amp;O6214&amp;AS[[#This Row],[Reporting Year]]&amp;"; "&amp;P6214&amp;AS[[#This Row],[Insurance Category Code]]&amp;"; "&amp;Q6214&amp;AS[[#This Row],[Large Provider Entity Code]]&amp;"; "&amp;R6214&amp;AS[[#This Row],[Age Band Code]]&amp;"; "&amp;S6214&amp;AS[[#This Row],[Sex Code]]</f>
        <v xml:space="preserve">Insurer Code ; Reporting Year ; Insurance Category Code ; Large Provider Entity Code ; Age Band Code ; Sex Code </v>
      </c>
      <c r="N6214" s="297" t="s">
        <v>197</v>
      </c>
      <c r="O6214" s="297" t="s">
        <v>198</v>
      </c>
      <c r="P6214" s="297" t="s">
        <v>199</v>
      </c>
      <c r="Q6214" s="297" t="s">
        <v>200</v>
      </c>
      <c r="R6214" s="297" t="s">
        <v>213</v>
      </c>
      <c r="S6214" s="297" t="s">
        <v>214</v>
      </c>
    </row>
    <row r="6215" spans="1:19" x14ac:dyDescent="0.4">
      <c r="A6215" s="291"/>
      <c r="B6215" s="292"/>
      <c r="C6215" s="312"/>
      <c r="D6215" s="292"/>
      <c r="E6215" s="489"/>
      <c r="F6215" s="489"/>
      <c r="G6215" s="490"/>
      <c r="H6215" s="520"/>
      <c r="I6215" s="523"/>
      <c r="J6215" s="521"/>
      <c r="K6215" s="522"/>
      <c r="M6215" s="301" t="str">
        <f>N6215&amp;AS[[#This Row],[Insurer Code]]&amp;"; "&amp;O6215&amp;AS[[#This Row],[Reporting Year]]&amp;"; "&amp;P6215&amp;AS[[#This Row],[Insurance Category Code]]&amp;"; "&amp;Q6215&amp;AS[[#This Row],[Large Provider Entity Code]]&amp;"; "&amp;R6215&amp;AS[[#This Row],[Age Band Code]]&amp;"; "&amp;S6215&amp;AS[[#This Row],[Sex Code]]</f>
        <v xml:space="preserve">Insurer Code ; Reporting Year ; Insurance Category Code ; Large Provider Entity Code ; Age Band Code ; Sex Code </v>
      </c>
      <c r="N6215" s="297" t="s">
        <v>197</v>
      </c>
      <c r="O6215" s="297" t="s">
        <v>198</v>
      </c>
      <c r="P6215" s="297" t="s">
        <v>199</v>
      </c>
      <c r="Q6215" s="297" t="s">
        <v>200</v>
      </c>
      <c r="R6215" s="297" t="s">
        <v>213</v>
      </c>
      <c r="S6215" s="297" t="s">
        <v>214</v>
      </c>
    </row>
    <row r="6216" spans="1:19" x14ac:dyDescent="0.4">
      <c r="A6216" s="291"/>
      <c r="B6216" s="292"/>
      <c r="C6216" s="312"/>
      <c r="D6216" s="292"/>
      <c r="E6216" s="489"/>
      <c r="F6216" s="489"/>
      <c r="G6216" s="490"/>
      <c r="H6216" s="520"/>
      <c r="I6216" s="523"/>
      <c r="J6216" s="521"/>
      <c r="K6216" s="522"/>
      <c r="M6216" s="301" t="str">
        <f>N6216&amp;AS[[#This Row],[Insurer Code]]&amp;"; "&amp;O6216&amp;AS[[#This Row],[Reporting Year]]&amp;"; "&amp;P6216&amp;AS[[#This Row],[Insurance Category Code]]&amp;"; "&amp;Q6216&amp;AS[[#This Row],[Large Provider Entity Code]]&amp;"; "&amp;R6216&amp;AS[[#This Row],[Age Band Code]]&amp;"; "&amp;S6216&amp;AS[[#This Row],[Sex Code]]</f>
        <v xml:space="preserve">Insurer Code ; Reporting Year ; Insurance Category Code ; Large Provider Entity Code ; Age Band Code ; Sex Code </v>
      </c>
      <c r="N6216" s="297" t="s">
        <v>197</v>
      </c>
      <c r="O6216" s="297" t="s">
        <v>198</v>
      </c>
      <c r="P6216" s="297" t="s">
        <v>199</v>
      </c>
      <c r="Q6216" s="297" t="s">
        <v>200</v>
      </c>
      <c r="R6216" s="297" t="s">
        <v>213</v>
      </c>
      <c r="S6216" s="297" t="s">
        <v>214</v>
      </c>
    </row>
    <row r="6217" spans="1:19" x14ac:dyDescent="0.4">
      <c r="A6217" s="291"/>
      <c r="B6217" s="292"/>
      <c r="C6217" s="312"/>
      <c r="D6217" s="292"/>
      <c r="E6217" s="489"/>
      <c r="F6217" s="489"/>
      <c r="G6217" s="490"/>
      <c r="H6217" s="520"/>
      <c r="I6217" s="523"/>
      <c r="J6217" s="521"/>
      <c r="K6217" s="522"/>
      <c r="M6217" s="301" t="str">
        <f>N6217&amp;AS[[#This Row],[Insurer Code]]&amp;"; "&amp;O6217&amp;AS[[#This Row],[Reporting Year]]&amp;"; "&amp;P6217&amp;AS[[#This Row],[Insurance Category Code]]&amp;"; "&amp;Q6217&amp;AS[[#This Row],[Large Provider Entity Code]]&amp;"; "&amp;R6217&amp;AS[[#This Row],[Age Band Code]]&amp;"; "&amp;S6217&amp;AS[[#This Row],[Sex Code]]</f>
        <v xml:space="preserve">Insurer Code ; Reporting Year ; Insurance Category Code ; Large Provider Entity Code ; Age Band Code ; Sex Code </v>
      </c>
      <c r="N6217" s="297" t="s">
        <v>197</v>
      </c>
      <c r="O6217" s="297" t="s">
        <v>198</v>
      </c>
      <c r="P6217" s="297" t="s">
        <v>199</v>
      </c>
      <c r="Q6217" s="297" t="s">
        <v>200</v>
      </c>
      <c r="R6217" s="297" t="s">
        <v>213</v>
      </c>
      <c r="S6217" s="297" t="s">
        <v>214</v>
      </c>
    </row>
    <row r="6218" spans="1:19" x14ac:dyDescent="0.4">
      <c r="A6218" s="291"/>
      <c r="B6218" s="292"/>
      <c r="C6218" s="312"/>
      <c r="D6218" s="292"/>
      <c r="E6218" s="489"/>
      <c r="F6218" s="489"/>
      <c r="G6218" s="490"/>
      <c r="H6218" s="520"/>
      <c r="I6218" s="523"/>
      <c r="J6218" s="521"/>
      <c r="K6218" s="522"/>
      <c r="M6218" s="301" t="str">
        <f>N6218&amp;AS[[#This Row],[Insurer Code]]&amp;"; "&amp;O6218&amp;AS[[#This Row],[Reporting Year]]&amp;"; "&amp;P6218&amp;AS[[#This Row],[Insurance Category Code]]&amp;"; "&amp;Q6218&amp;AS[[#This Row],[Large Provider Entity Code]]&amp;"; "&amp;R6218&amp;AS[[#This Row],[Age Band Code]]&amp;"; "&amp;S6218&amp;AS[[#This Row],[Sex Code]]</f>
        <v xml:space="preserve">Insurer Code ; Reporting Year ; Insurance Category Code ; Large Provider Entity Code ; Age Band Code ; Sex Code </v>
      </c>
      <c r="N6218" s="297" t="s">
        <v>197</v>
      </c>
      <c r="O6218" s="297" t="s">
        <v>198</v>
      </c>
      <c r="P6218" s="297" t="s">
        <v>199</v>
      </c>
      <c r="Q6218" s="297" t="s">
        <v>200</v>
      </c>
      <c r="R6218" s="297" t="s">
        <v>213</v>
      </c>
      <c r="S6218" s="297" t="s">
        <v>214</v>
      </c>
    </row>
    <row r="6219" spans="1:19" x14ac:dyDescent="0.4">
      <c r="A6219" s="291"/>
      <c r="B6219" s="292"/>
      <c r="C6219" s="312"/>
      <c r="D6219" s="292"/>
      <c r="E6219" s="489"/>
      <c r="F6219" s="489"/>
      <c r="G6219" s="490"/>
      <c r="H6219" s="520"/>
      <c r="I6219" s="523"/>
      <c r="J6219" s="521"/>
      <c r="K6219" s="522"/>
      <c r="M6219" s="301" t="str">
        <f>N6219&amp;AS[[#This Row],[Insurer Code]]&amp;"; "&amp;O6219&amp;AS[[#This Row],[Reporting Year]]&amp;"; "&amp;P6219&amp;AS[[#This Row],[Insurance Category Code]]&amp;"; "&amp;Q6219&amp;AS[[#This Row],[Large Provider Entity Code]]&amp;"; "&amp;R6219&amp;AS[[#This Row],[Age Band Code]]&amp;"; "&amp;S6219&amp;AS[[#This Row],[Sex Code]]</f>
        <v xml:space="preserve">Insurer Code ; Reporting Year ; Insurance Category Code ; Large Provider Entity Code ; Age Band Code ; Sex Code </v>
      </c>
      <c r="N6219" s="297" t="s">
        <v>197</v>
      </c>
      <c r="O6219" s="297" t="s">
        <v>198</v>
      </c>
      <c r="P6219" s="297" t="s">
        <v>199</v>
      </c>
      <c r="Q6219" s="297" t="s">
        <v>200</v>
      </c>
      <c r="R6219" s="297" t="s">
        <v>213</v>
      </c>
      <c r="S6219" s="297" t="s">
        <v>214</v>
      </c>
    </row>
    <row r="6220" spans="1:19" x14ac:dyDescent="0.4">
      <c r="A6220" s="291"/>
      <c r="B6220" s="292"/>
      <c r="C6220" s="312"/>
      <c r="D6220" s="292"/>
      <c r="E6220" s="489"/>
      <c r="F6220" s="489"/>
      <c r="G6220" s="490"/>
      <c r="H6220" s="520"/>
      <c r="I6220" s="523"/>
      <c r="J6220" s="521"/>
      <c r="K6220" s="522"/>
      <c r="M6220" s="301" t="str">
        <f>N6220&amp;AS[[#This Row],[Insurer Code]]&amp;"; "&amp;O6220&amp;AS[[#This Row],[Reporting Year]]&amp;"; "&amp;P6220&amp;AS[[#This Row],[Insurance Category Code]]&amp;"; "&amp;Q6220&amp;AS[[#This Row],[Large Provider Entity Code]]&amp;"; "&amp;R6220&amp;AS[[#This Row],[Age Band Code]]&amp;"; "&amp;S6220&amp;AS[[#This Row],[Sex Code]]</f>
        <v xml:space="preserve">Insurer Code ; Reporting Year ; Insurance Category Code ; Large Provider Entity Code ; Age Band Code ; Sex Code </v>
      </c>
      <c r="N6220" s="297" t="s">
        <v>197</v>
      </c>
      <c r="O6220" s="297" t="s">
        <v>198</v>
      </c>
      <c r="P6220" s="297" t="s">
        <v>199</v>
      </c>
      <c r="Q6220" s="297" t="s">
        <v>200</v>
      </c>
      <c r="R6220" s="297" t="s">
        <v>213</v>
      </c>
      <c r="S6220" s="297" t="s">
        <v>214</v>
      </c>
    </row>
    <row r="6221" spans="1:19" x14ac:dyDescent="0.4">
      <c r="A6221" s="291"/>
      <c r="B6221" s="292"/>
      <c r="C6221" s="312"/>
      <c r="D6221" s="292"/>
      <c r="E6221" s="489"/>
      <c r="F6221" s="489"/>
      <c r="G6221" s="490"/>
      <c r="H6221" s="520"/>
      <c r="I6221" s="523"/>
      <c r="J6221" s="521"/>
      <c r="K6221" s="522"/>
      <c r="M6221" s="301" t="str">
        <f>N6221&amp;AS[[#This Row],[Insurer Code]]&amp;"; "&amp;O6221&amp;AS[[#This Row],[Reporting Year]]&amp;"; "&amp;P6221&amp;AS[[#This Row],[Insurance Category Code]]&amp;"; "&amp;Q6221&amp;AS[[#This Row],[Large Provider Entity Code]]&amp;"; "&amp;R6221&amp;AS[[#This Row],[Age Band Code]]&amp;"; "&amp;S6221&amp;AS[[#This Row],[Sex Code]]</f>
        <v xml:space="preserve">Insurer Code ; Reporting Year ; Insurance Category Code ; Large Provider Entity Code ; Age Band Code ; Sex Code </v>
      </c>
      <c r="N6221" s="297" t="s">
        <v>197</v>
      </c>
      <c r="O6221" s="297" t="s">
        <v>198</v>
      </c>
      <c r="P6221" s="297" t="s">
        <v>199</v>
      </c>
      <c r="Q6221" s="297" t="s">
        <v>200</v>
      </c>
      <c r="R6221" s="297" t="s">
        <v>213</v>
      </c>
      <c r="S6221" s="297" t="s">
        <v>214</v>
      </c>
    </row>
    <row r="6222" spans="1:19" x14ac:dyDescent="0.4">
      <c r="A6222" s="291"/>
      <c r="B6222" s="292"/>
      <c r="C6222" s="312"/>
      <c r="D6222" s="292"/>
      <c r="E6222" s="489"/>
      <c r="F6222" s="489"/>
      <c r="G6222" s="490"/>
      <c r="H6222" s="520"/>
      <c r="I6222" s="523"/>
      <c r="J6222" s="521"/>
      <c r="K6222" s="522"/>
      <c r="M6222" s="301" t="str">
        <f>N6222&amp;AS[[#This Row],[Insurer Code]]&amp;"; "&amp;O6222&amp;AS[[#This Row],[Reporting Year]]&amp;"; "&amp;P6222&amp;AS[[#This Row],[Insurance Category Code]]&amp;"; "&amp;Q6222&amp;AS[[#This Row],[Large Provider Entity Code]]&amp;"; "&amp;R6222&amp;AS[[#This Row],[Age Band Code]]&amp;"; "&amp;S6222&amp;AS[[#This Row],[Sex Code]]</f>
        <v xml:space="preserve">Insurer Code ; Reporting Year ; Insurance Category Code ; Large Provider Entity Code ; Age Band Code ; Sex Code </v>
      </c>
      <c r="N6222" s="297" t="s">
        <v>197</v>
      </c>
      <c r="O6222" s="297" t="s">
        <v>198</v>
      </c>
      <c r="P6222" s="297" t="s">
        <v>199</v>
      </c>
      <c r="Q6222" s="297" t="s">
        <v>200</v>
      </c>
      <c r="R6222" s="297" t="s">
        <v>213</v>
      </c>
      <c r="S6222" s="297" t="s">
        <v>214</v>
      </c>
    </row>
    <row r="6223" spans="1:19" x14ac:dyDescent="0.4">
      <c r="A6223" s="291"/>
      <c r="B6223" s="292"/>
      <c r="C6223" s="312"/>
      <c r="D6223" s="292"/>
      <c r="E6223" s="489"/>
      <c r="F6223" s="489"/>
      <c r="G6223" s="490"/>
      <c r="H6223" s="520"/>
      <c r="I6223" s="523"/>
      <c r="J6223" s="521"/>
      <c r="K6223" s="522"/>
      <c r="M6223" s="301" t="str">
        <f>N6223&amp;AS[[#This Row],[Insurer Code]]&amp;"; "&amp;O6223&amp;AS[[#This Row],[Reporting Year]]&amp;"; "&amp;P6223&amp;AS[[#This Row],[Insurance Category Code]]&amp;"; "&amp;Q6223&amp;AS[[#This Row],[Large Provider Entity Code]]&amp;"; "&amp;R6223&amp;AS[[#This Row],[Age Band Code]]&amp;"; "&amp;S6223&amp;AS[[#This Row],[Sex Code]]</f>
        <v xml:space="preserve">Insurer Code ; Reporting Year ; Insurance Category Code ; Large Provider Entity Code ; Age Band Code ; Sex Code </v>
      </c>
      <c r="N6223" s="297" t="s">
        <v>197</v>
      </c>
      <c r="O6223" s="297" t="s">
        <v>198</v>
      </c>
      <c r="P6223" s="297" t="s">
        <v>199</v>
      </c>
      <c r="Q6223" s="297" t="s">
        <v>200</v>
      </c>
      <c r="R6223" s="297" t="s">
        <v>213</v>
      </c>
      <c r="S6223" s="297" t="s">
        <v>214</v>
      </c>
    </row>
    <row r="6224" spans="1:19" x14ac:dyDescent="0.4">
      <c r="A6224" s="291"/>
      <c r="B6224" s="292"/>
      <c r="C6224" s="312"/>
      <c r="D6224" s="292"/>
      <c r="E6224" s="489"/>
      <c r="F6224" s="489"/>
      <c r="G6224" s="490"/>
      <c r="H6224" s="520"/>
      <c r="I6224" s="523"/>
      <c r="J6224" s="521"/>
      <c r="K6224" s="522"/>
      <c r="M6224" s="301" t="str">
        <f>N6224&amp;AS[[#This Row],[Insurer Code]]&amp;"; "&amp;O6224&amp;AS[[#This Row],[Reporting Year]]&amp;"; "&amp;P6224&amp;AS[[#This Row],[Insurance Category Code]]&amp;"; "&amp;Q6224&amp;AS[[#This Row],[Large Provider Entity Code]]&amp;"; "&amp;R6224&amp;AS[[#This Row],[Age Band Code]]&amp;"; "&amp;S6224&amp;AS[[#This Row],[Sex Code]]</f>
        <v xml:space="preserve">Insurer Code ; Reporting Year ; Insurance Category Code ; Large Provider Entity Code ; Age Band Code ; Sex Code </v>
      </c>
      <c r="N6224" s="297" t="s">
        <v>197</v>
      </c>
      <c r="O6224" s="297" t="s">
        <v>198</v>
      </c>
      <c r="P6224" s="297" t="s">
        <v>199</v>
      </c>
      <c r="Q6224" s="297" t="s">
        <v>200</v>
      </c>
      <c r="R6224" s="297" t="s">
        <v>213</v>
      </c>
      <c r="S6224" s="297" t="s">
        <v>214</v>
      </c>
    </row>
    <row r="6225" spans="1:19" x14ac:dyDescent="0.4">
      <c r="A6225" s="291"/>
      <c r="B6225" s="292"/>
      <c r="C6225" s="312"/>
      <c r="D6225" s="292"/>
      <c r="E6225" s="489"/>
      <c r="F6225" s="489"/>
      <c r="G6225" s="490"/>
      <c r="H6225" s="520"/>
      <c r="I6225" s="523"/>
      <c r="J6225" s="521"/>
      <c r="K6225" s="522"/>
      <c r="M6225" s="301" t="str">
        <f>N6225&amp;AS[[#This Row],[Insurer Code]]&amp;"; "&amp;O6225&amp;AS[[#This Row],[Reporting Year]]&amp;"; "&amp;P6225&amp;AS[[#This Row],[Insurance Category Code]]&amp;"; "&amp;Q6225&amp;AS[[#This Row],[Large Provider Entity Code]]&amp;"; "&amp;R6225&amp;AS[[#This Row],[Age Band Code]]&amp;"; "&amp;S6225&amp;AS[[#This Row],[Sex Code]]</f>
        <v xml:space="preserve">Insurer Code ; Reporting Year ; Insurance Category Code ; Large Provider Entity Code ; Age Band Code ; Sex Code </v>
      </c>
      <c r="N6225" s="297" t="s">
        <v>197</v>
      </c>
      <c r="O6225" s="297" t="s">
        <v>198</v>
      </c>
      <c r="P6225" s="297" t="s">
        <v>199</v>
      </c>
      <c r="Q6225" s="297" t="s">
        <v>200</v>
      </c>
      <c r="R6225" s="297" t="s">
        <v>213</v>
      </c>
      <c r="S6225" s="297" t="s">
        <v>214</v>
      </c>
    </row>
    <row r="6226" spans="1:19" x14ac:dyDescent="0.4">
      <c r="A6226" s="291"/>
      <c r="B6226" s="292"/>
      <c r="C6226" s="312"/>
      <c r="D6226" s="292"/>
      <c r="E6226" s="489"/>
      <c r="F6226" s="489"/>
      <c r="G6226" s="490"/>
      <c r="H6226" s="520"/>
      <c r="I6226" s="523"/>
      <c r="J6226" s="521"/>
      <c r="K6226" s="522"/>
      <c r="M6226" s="301" t="str">
        <f>N6226&amp;AS[[#This Row],[Insurer Code]]&amp;"; "&amp;O6226&amp;AS[[#This Row],[Reporting Year]]&amp;"; "&amp;P6226&amp;AS[[#This Row],[Insurance Category Code]]&amp;"; "&amp;Q6226&amp;AS[[#This Row],[Large Provider Entity Code]]&amp;"; "&amp;R6226&amp;AS[[#This Row],[Age Band Code]]&amp;"; "&amp;S6226&amp;AS[[#This Row],[Sex Code]]</f>
        <v xml:space="preserve">Insurer Code ; Reporting Year ; Insurance Category Code ; Large Provider Entity Code ; Age Band Code ; Sex Code </v>
      </c>
      <c r="N6226" s="297" t="s">
        <v>197</v>
      </c>
      <c r="O6226" s="297" t="s">
        <v>198</v>
      </c>
      <c r="P6226" s="297" t="s">
        <v>199</v>
      </c>
      <c r="Q6226" s="297" t="s">
        <v>200</v>
      </c>
      <c r="R6226" s="297" t="s">
        <v>213</v>
      </c>
      <c r="S6226" s="297" t="s">
        <v>214</v>
      </c>
    </row>
    <row r="6227" spans="1:19" x14ac:dyDescent="0.4">
      <c r="A6227" s="291"/>
      <c r="B6227" s="292"/>
      <c r="C6227" s="312"/>
      <c r="D6227" s="292"/>
      <c r="E6227" s="489"/>
      <c r="F6227" s="489"/>
      <c r="G6227" s="490"/>
      <c r="H6227" s="520"/>
      <c r="I6227" s="523"/>
      <c r="J6227" s="521"/>
      <c r="K6227" s="522"/>
      <c r="M6227" s="301" t="str">
        <f>N6227&amp;AS[[#This Row],[Insurer Code]]&amp;"; "&amp;O6227&amp;AS[[#This Row],[Reporting Year]]&amp;"; "&amp;P6227&amp;AS[[#This Row],[Insurance Category Code]]&amp;"; "&amp;Q6227&amp;AS[[#This Row],[Large Provider Entity Code]]&amp;"; "&amp;R6227&amp;AS[[#This Row],[Age Band Code]]&amp;"; "&amp;S6227&amp;AS[[#This Row],[Sex Code]]</f>
        <v xml:space="preserve">Insurer Code ; Reporting Year ; Insurance Category Code ; Large Provider Entity Code ; Age Band Code ; Sex Code </v>
      </c>
      <c r="N6227" s="297" t="s">
        <v>197</v>
      </c>
      <c r="O6227" s="297" t="s">
        <v>198</v>
      </c>
      <c r="P6227" s="297" t="s">
        <v>199</v>
      </c>
      <c r="Q6227" s="297" t="s">
        <v>200</v>
      </c>
      <c r="R6227" s="297" t="s">
        <v>213</v>
      </c>
      <c r="S6227" s="297" t="s">
        <v>214</v>
      </c>
    </row>
    <row r="6228" spans="1:19" x14ac:dyDescent="0.4">
      <c r="A6228" s="291"/>
      <c r="B6228" s="292"/>
      <c r="C6228" s="312"/>
      <c r="D6228" s="292"/>
      <c r="E6228" s="489"/>
      <c r="F6228" s="489"/>
      <c r="G6228" s="490"/>
      <c r="H6228" s="520"/>
      <c r="I6228" s="523"/>
      <c r="J6228" s="521"/>
      <c r="K6228" s="522"/>
      <c r="M6228" s="301" t="str">
        <f>N6228&amp;AS[[#This Row],[Insurer Code]]&amp;"; "&amp;O6228&amp;AS[[#This Row],[Reporting Year]]&amp;"; "&amp;P6228&amp;AS[[#This Row],[Insurance Category Code]]&amp;"; "&amp;Q6228&amp;AS[[#This Row],[Large Provider Entity Code]]&amp;"; "&amp;R6228&amp;AS[[#This Row],[Age Band Code]]&amp;"; "&amp;S6228&amp;AS[[#This Row],[Sex Code]]</f>
        <v xml:space="preserve">Insurer Code ; Reporting Year ; Insurance Category Code ; Large Provider Entity Code ; Age Band Code ; Sex Code </v>
      </c>
      <c r="N6228" s="297" t="s">
        <v>197</v>
      </c>
      <c r="O6228" s="297" t="s">
        <v>198</v>
      </c>
      <c r="P6228" s="297" t="s">
        <v>199</v>
      </c>
      <c r="Q6228" s="297" t="s">
        <v>200</v>
      </c>
      <c r="R6228" s="297" t="s">
        <v>213</v>
      </c>
      <c r="S6228" s="297" t="s">
        <v>214</v>
      </c>
    </row>
    <row r="6229" spans="1:19" x14ac:dyDescent="0.4">
      <c r="A6229" s="291"/>
      <c r="B6229" s="292"/>
      <c r="C6229" s="312"/>
      <c r="D6229" s="292"/>
      <c r="E6229" s="489"/>
      <c r="F6229" s="489"/>
      <c r="G6229" s="490"/>
      <c r="H6229" s="520"/>
      <c r="I6229" s="523"/>
      <c r="J6229" s="521"/>
      <c r="K6229" s="522"/>
      <c r="M6229" s="301" t="str">
        <f>N6229&amp;AS[[#This Row],[Insurer Code]]&amp;"; "&amp;O6229&amp;AS[[#This Row],[Reporting Year]]&amp;"; "&amp;P6229&amp;AS[[#This Row],[Insurance Category Code]]&amp;"; "&amp;Q6229&amp;AS[[#This Row],[Large Provider Entity Code]]&amp;"; "&amp;R6229&amp;AS[[#This Row],[Age Band Code]]&amp;"; "&amp;S6229&amp;AS[[#This Row],[Sex Code]]</f>
        <v xml:space="preserve">Insurer Code ; Reporting Year ; Insurance Category Code ; Large Provider Entity Code ; Age Band Code ; Sex Code </v>
      </c>
      <c r="N6229" s="297" t="s">
        <v>197</v>
      </c>
      <c r="O6229" s="297" t="s">
        <v>198</v>
      </c>
      <c r="P6229" s="297" t="s">
        <v>199</v>
      </c>
      <c r="Q6229" s="297" t="s">
        <v>200</v>
      </c>
      <c r="R6229" s="297" t="s">
        <v>213</v>
      </c>
      <c r="S6229" s="297" t="s">
        <v>214</v>
      </c>
    </row>
    <row r="6230" spans="1:19" x14ac:dyDescent="0.4">
      <c r="A6230" s="291"/>
      <c r="B6230" s="292"/>
      <c r="C6230" s="312"/>
      <c r="D6230" s="292"/>
      <c r="E6230" s="489"/>
      <c r="F6230" s="489"/>
      <c r="G6230" s="490"/>
      <c r="H6230" s="520"/>
      <c r="I6230" s="523"/>
      <c r="J6230" s="521"/>
      <c r="K6230" s="522"/>
      <c r="M6230" s="301" t="str">
        <f>N6230&amp;AS[[#This Row],[Insurer Code]]&amp;"; "&amp;O6230&amp;AS[[#This Row],[Reporting Year]]&amp;"; "&amp;P6230&amp;AS[[#This Row],[Insurance Category Code]]&amp;"; "&amp;Q6230&amp;AS[[#This Row],[Large Provider Entity Code]]&amp;"; "&amp;R6230&amp;AS[[#This Row],[Age Band Code]]&amp;"; "&amp;S6230&amp;AS[[#This Row],[Sex Code]]</f>
        <v xml:space="preserve">Insurer Code ; Reporting Year ; Insurance Category Code ; Large Provider Entity Code ; Age Band Code ; Sex Code </v>
      </c>
      <c r="N6230" s="297" t="s">
        <v>197</v>
      </c>
      <c r="O6230" s="297" t="s">
        <v>198</v>
      </c>
      <c r="P6230" s="297" t="s">
        <v>199</v>
      </c>
      <c r="Q6230" s="297" t="s">
        <v>200</v>
      </c>
      <c r="R6230" s="297" t="s">
        <v>213</v>
      </c>
      <c r="S6230" s="297" t="s">
        <v>214</v>
      </c>
    </row>
    <row r="6231" spans="1:19" x14ac:dyDescent="0.4">
      <c r="A6231" s="291"/>
      <c r="B6231" s="292"/>
      <c r="C6231" s="312"/>
      <c r="D6231" s="292"/>
      <c r="E6231" s="489"/>
      <c r="F6231" s="489"/>
      <c r="G6231" s="490"/>
      <c r="H6231" s="520"/>
      <c r="I6231" s="523"/>
      <c r="J6231" s="521"/>
      <c r="K6231" s="522"/>
      <c r="M6231" s="301" t="str">
        <f>N6231&amp;AS[[#This Row],[Insurer Code]]&amp;"; "&amp;O6231&amp;AS[[#This Row],[Reporting Year]]&amp;"; "&amp;P6231&amp;AS[[#This Row],[Insurance Category Code]]&amp;"; "&amp;Q6231&amp;AS[[#This Row],[Large Provider Entity Code]]&amp;"; "&amp;R6231&amp;AS[[#This Row],[Age Band Code]]&amp;"; "&amp;S6231&amp;AS[[#This Row],[Sex Code]]</f>
        <v xml:space="preserve">Insurer Code ; Reporting Year ; Insurance Category Code ; Large Provider Entity Code ; Age Band Code ; Sex Code </v>
      </c>
      <c r="N6231" s="297" t="s">
        <v>197</v>
      </c>
      <c r="O6231" s="297" t="s">
        <v>198</v>
      </c>
      <c r="P6231" s="297" t="s">
        <v>199</v>
      </c>
      <c r="Q6231" s="297" t="s">
        <v>200</v>
      </c>
      <c r="R6231" s="297" t="s">
        <v>213</v>
      </c>
      <c r="S6231" s="297" t="s">
        <v>214</v>
      </c>
    </row>
    <row r="6232" spans="1:19" x14ac:dyDescent="0.4">
      <c r="A6232" s="291"/>
      <c r="B6232" s="292"/>
      <c r="C6232" s="312"/>
      <c r="D6232" s="292"/>
      <c r="E6232" s="489"/>
      <c r="F6232" s="489"/>
      <c r="G6232" s="490"/>
      <c r="H6232" s="520"/>
      <c r="I6232" s="523"/>
      <c r="J6232" s="521"/>
      <c r="K6232" s="522"/>
      <c r="M6232" s="301" t="str">
        <f>N6232&amp;AS[[#This Row],[Insurer Code]]&amp;"; "&amp;O6232&amp;AS[[#This Row],[Reporting Year]]&amp;"; "&amp;P6232&amp;AS[[#This Row],[Insurance Category Code]]&amp;"; "&amp;Q6232&amp;AS[[#This Row],[Large Provider Entity Code]]&amp;"; "&amp;R6232&amp;AS[[#This Row],[Age Band Code]]&amp;"; "&amp;S6232&amp;AS[[#This Row],[Sex Code]]</f>
        <v xml:space="preserve">Insurer Code ; Reporting Year ; Insurance Category Code ; Large Provider Entity Code ; Age Band Code ; Sex Code </v>
      </c>
      <c r="N6232" s="297" t="s">
        <v>197</v>
      </c>
      <c r="O6232" s="297" t="s">
        <v>198</v>
      </c>
      <c r="P6232" s="297" t="s">
        <v>199</v>
      </c>
      <c r="Q6232" s="297" t="s">
        <v>200</v>
      </c>
      <c r="R6232" s="297" t="s">
        <v>213</v>
      </c>
      <c r="S6232" s="297" t="s">
        <v>214</v>
      </c>
    </row>
    <row r="6233" spans="1:19" x14ac:dyDescent="0.4">
      <c r="A6233" s="291"/>
      <c r="B6233" s="292"/>
      <c r="C6233" s="312"/>
      <c r="D6233" s="292"/>
      <c r="E6233" s="489"/>
      <c r="F6233" s="489"/>
      <c r="G6233" s="490"/>
      <c r="H6233" s="520"/>
      <c r="I6233" s="523"/>
      <c r="J6233" s="521"/>
      <c r="K6233" s="522"/>
      <c r="M6233" s="301" t="str">
        <f>N6233&amp;AS[[#This Row],[Insurer Code]]&amp;"; "&amp;O6233&amp;AS[[#This Row],[Reporting Year]]&amp;"; "&amp;P6233&amp;AS[[#This Row],[Insurance Category Code]]&amp;"; "&amp;Q6233&amp;AS[[#This Row],[Large Provider Entity Code]]&amp;"; "&amp;R6233&amp;AS[[#This Row],[Age Band Code]]&amp;"; "&amp;S6233&amp;AS[[#This Row],[Sex Code]]</f>
        <v xml:space="preserve">Insurer Code ; Reporting Year ; Insurance Category Code ; Large Provider Entity Code ; Age Band Code ; Sex Code </v>
      </c>
      <c r="N6233" s="297" t="s">
        <v>197</v>
      </c>
      <c r="O6233" s="297" t="s">
        <v>198</v>
      </c>
      <c r="P6233" s="297" t="s">
        <v>199</v>
      </c>
      <c r="Q6233" s="297" t="s">
        <v>200</v>
      </c>
      <c r="R6233" s="297" t="s">
        <v>213</v>
      </c>
      <c r="S6233" s="297" t="s">
        <v>214</v>
      </c>
    </row>
    <row r="6234" spans="1:19" x14ac:dyDescent="0.4">
      <c r="A6234" s="291"/>
      <c r="B6234" s="292"/>
      <c r="C6234" s="312"/>
      <c r="D6234" s="292"/>
      <c r="E6234" s="489"/>
      <c r="F6234" s="489"/>
      <c r="G6234" s="490"/>
      <c r="H6234" s="520"/>
      <c r="I6234" s="523"/>
      <c r="J6234" s="521"/>
      <c r="K6234" s="522"/>
      <c r="M6234" s="301" t="str">
        <f>N6234&amp;AS[[#This Row],[Insurer Code]]&amp;"; "&amp;O6234&amp;AS[[#This Row],[Reporting Year]]&amp;"; "&amp;P6234&amp;AS[[#This Row],[Insurance Category Code]]&amp;"; "&amp;Q6234&amp;AS[[#This Row],[Large Provider Entity Code]]&amp;"; "&amp;R6234&amp;AS[[#This Row],[Age Band Code]]&amp;"; "&amp;S6234&amp;AS[[#This Row],[Sex Code]]</f>
        <v xml:space="preserve">Insurer Code ; Reporting Year ; Insurance Category Code ; Large Provider Entity Code ; Age Band Code ; Sex Code </v>
      </c>
      <c r="N6234" s="297" t="s">
        <v>197</v>
      </c>
      <c r="O6234" s="297" t="s">
        <v>198</v>
      </c>
      <c r="P6234" s="297" t="s">
        <v>199</v>
      </c>
      <c r="Q6234" s="297" t="s">
        <v>200</v>
      </c>
      <c r="R6234" s="297" t="s">
        <v>213</v>
      </c>
      <c r="S6234" s="297" t="s">
        <v>214</v>
      </c>
    </row>
    <row r="6235" spans="1:19" x14ac:dyDescent="0.4">
      <c r="A6235" s="291"/>
      <c r="B6235" s="292"/>
      <c r="C6235" s="312"/>
      <c r="D6235" s="292"/>
      <c r="E6235" s="489"/>
      <c r="F6235" s="489"/>
      <c r="G6235" s="490"/>
      <c r="H6235" s="520"/>
      <c r="I6235" s="523"/>
      <c r="J6235" s="521"/>
      <c r="K6235" s="522"/>
      <c r="M6235" s="301" t="str">
        <f>N6235&amp;AS[[#This Row],[Insurer Code]]&amp;"; "&amp;O6235&amp;AS[[#This Row],[Reporting Year]]&amp;"; "&amp;P6235&amp;AS[[#This Row],[Insurance Category Code]]&amp;"; "&amp;Q6235&amp;AS[[#This Row],[Large Provider Entity Code]]&amp;"; "&amp;R6235&amp;AS[[#This Row],[Age Band Code]]&amp;"; "&amp;S6235&amp;AS[[#This Row],[Sex Code]]</f>
        <v xml:space="preserve">Insurer Code ; Reporting Year ; Insurance Category Code ; Large Provider Entity Code ; Age Band Code ; Sex Code </v>
      </c>
      <c r="N6235" s="297" t="s">
        <v>197</v>
      </c>
      <c r="O6235" s="297" t="s">
        <v>198</v>
      </c>
      <c r="P6235" s="297" t="s">
        <v>199</v>
      </c>
      <c r="Q6235" s="297" t="s">
        <v>200</v>
      </c>
      <c r="R6235" s="297" t="s">
        <v>213</v>
      </c>
      <c r="S6235" s="297" t="s">
        <v>214</v>
      </c>
    </row>
    <row r="6236" spans="1:19" x14ac:dyDescent="0.4">
      <c r="A6236" s="291"/>
      <c r="B6236" s="292"/>
      <c r="C6236" s="312"/>
      <c r="D6236" s="292"/>
      <c r="E6236" s="489"/>
      <c r="F6236" s="489"/>
      <c r="G6236" s="490"/>
      <c r="H6236" s="520"/>
      <c r="I6236" s="523"/>
      <c r="J6236" s="521"/>
      <c r="K6236" s="522"/>
      <c r="M6236" s="301" t="str">
        <f>N6236&amp;AS[[#This Row],[Insurer Code]]&amp;"; "&amp;O6236&amp;AS[[#This Row],[Reporting Year]]&amp;"; "&amp;P6236&amp;AS[[#This Row],[Insurance Category Code]]&amp;"; "&amp;Q6236&amp;AS[[#This Row],[Large Provider Entity Code]]&amp;"; "&amp;R6236&amp;AS[[#This Row],[Age Band Code]]&amp;"; "&amp;S6236&amp;AS[[#This Row],[Sex Code]]</f>
        <v xml:space="preserve">Insurer Code ; Reporting Year ; Insurance Category Code ; Large Provider Entity Code ; Age Band Code ; Sex Code </v>
      </c>
      <c r="N6236" s="297" t="s">
        <v>197</v>
      </c>
      <c r="O6236" s="297" t="s">
        <v>198</v>
      </c>
      <c r="P6236" s="297" t="s">
        <v>199</v>
      </c>
      <c r="Q6236" s="297" t="s">
        <v>200</v>
      </c>
      <c r="R6236" s="297" t="s">
        <v>213</v>
      </c>
      <c r="S6236" s="297" t="s">
        <v>214</v>
      </c>
    </row>
    <row r="6237" spans="1:19" x14ac:dyDescent="0.4">
      <c r="A6237" s="291"/>
      <c r="B6237" s="292"/>
      <c r="C6237" s="312"/>
      <c r="D6237" s="292"/>
      <c r="E6237" s="489"/>
      <c r="F6237" s="489"/>
      <c r="G6237" s="490"/>
      <c r="H6237" s="520"/>
      <c r="I6237" s="523"/>
      <c r="J6237" s="521"/>
      <c r="K6237" s="522"/>
      <c r="M6237" s="301" t="str">
        <f>N6237&amp;AS[[#This Row],[Insurer Code]]&amp;"; "&amp;O6237&amp;AS[[#This Row],[Reporting Year]]&amp;"; "&amp;P6237&amp;AS[[#This Row],[Insurance Category Code]]&amp;"; "&amp;Q6237&amp;AS[[#This Row],[Large Provider Entity Code]]&amp;"; "&amp;R6237&amp;AS[[#This Row],[Age Band Code]]&amp;"; "&amp;S6237&amp;AS[[#This Row],[Sex Code]]</f>
        <v xml:space="preserve">Insurer Code ; Reporting Year ; Insurance Category Code ; Large Provider Entity Code ; Age Band Code ; Sex Code </v>
      </c>
      <c r="N6237" s="297" t="s">
        <v>197</v>
      </c>
      <c r="O6237" s="297" t="s">
        <v>198</v>
      </c>
      <c r="P6237" s="297" t="s">
        <v>199</v>
      </c>
      <c r="Q6237" s="297" t="s">
        <v>200</v>
      </c>
      <c r="R6237" s="297" t="s">
        <v>213</v>
      </c>
      <c r="S6237" s="297" t="s">
        <v>214</v>
      </c>
    </row>
    <row r="6238" spans="1:19" x14ac:dyDescent="0.4">
      <c r="A6238" s="291"/>
      <c r="B6238" s="292"/>
      <c r="C6238" s="312"/>
      <c r="D6238" s="292"/>
      <c r="E6238" s="489"/>
      <c r="F6238" s="489"/>
      <c r="G6238" s="490"/>
      <c r="H6238" s="520"/>
      <c r="I6238" s="523"/>
      <c r="J6238" s="521"/>
      <c r="K6238" s="522"/>
      <c r="M6238" s="301" t="str">
        <f>N6238&amp;AS[[#This Row],[Insurer Code]]&amp;"; "&amp;O6238&amp;AS[[#This Row],[Reporting Year]]&amp;"; "&amp;P6238&amp;AS[[#This Row],[Insurance Category Code]]&amp;"; "&amp;Q6238&amp;AS[[#This Row],[Large Provider Entity Code]]&amp;"; "&amp;R6238&amp;AS[[#This Row],[Age Band Code]]&amp;"; "&amp;S6238&amp;AS[[#This Row],[Sex Code]]</f>
        <v xml:space="preserve">Insurer Code ; Reporting Year ; Insurance Category Code ; Large Provider Entity Code ; Age Band Code ; Sex Code </v>
      </c>
      <c r="N6238" s="297" t="s">
        <v>197</v>
      </c>
      <c r="O6238" s="297" t="s">
        <v>198</v>
      </c>
      <c r="P6238" s="297" t="s">
        <v>199</v>
      </c>
      <c r="Q6238" s="297" t="s">
        <v>200</v>
      </c>
      <c r="R6238" s="297" t="s">
        <v>213</v>
      </c>
      <c r="S6238" s="297" t="s">
        <v>214</v>
      </c>
    </row>
    <row r="6239" spans="1:19" x14ac:dyDescent="0.4">
      <c r="A6239" s="291"/>
      <c r="B6239" s="292"/>
      <c r="C6239" s="312"/>
      <c r="D6239" s="292"/>
      <c r="E6239" s="489"/>
      <c r="F6239" s="489"/>
      <c r="G6239" s="490"/>
      <c r="H6239" s="520"/>
      <c r="I6239" s="523"/>
      <c r="J6239" s="521"/>
      <c r="K6239" s="522"/>
      <c r="M6239" s="301" t="str">
        <f>N6239&amp;AS[[#This Row],[Insurer Code]]&amp;"; "&amp;O6239&amp;AS[[#This Row],[Reporting Year]]&amp;"; "&amp;P6239&amp;AS[[#This Row],[Insurance Category Code]]&amp;"; "&amp;Q6239&amp;AS[[#This Row],[Large Provider Entity Code]]&amp;"; "&amp;R6239&amp;AS[[#This Row],[Age Band Code]]&amp;"; "&amp;S6239&amp;AS[[#This Row],[Sex Code]]</f>
        <v xml:space="preserve">Insurer Code ; Reporting Year ; Insurance Category Code ; Large Provider Entity Code ; Age Band Code ; Sex Code </v>
      </c>
      <c r="N6239" s="297" t="s">
        <v>197</v>
      </c>
      <c r="O6239" s="297" t="s">
        <v>198</v>
      </c>
      <c r="P6239" s="297" t="s">
        <v>199</v>
      </c>
      <c r="Q6239" s="297" t="s">
        <v>200</v>
      </c>
      <c r="R6239" s="297" t="s">
        <v>213</v>
      </c>
      <c r="S6239" s="297" t="s">
        <v>214</v>
      </c>
    </row>
    <row r="6240" spans="1:19" x14ac:dyDescent="0.4">
      <c r="A6240" s="291"/>
      <c r="B6240" s="292"/>
      <c r="C6240" s="312"/>
      <c r="D6240" s="292"/>
      <c r="E6240" s="489"/>
      <c r="F6240" s="489"/>
      <c r="G6240" s="490"/>
      <c r="H6240" s="520"/>
      <c r="I6240" s="523"/>
      <c r="J6240" s="521"/>
      <c r="K6240" s="522"/>
      <c r="M6240" s="301" t="str">
        <f>N6240&amp;AS[[#This Row],[Insurer Code]]&amp;"; "&amp;O6240&amp;AS[[#This Row],[Reporting Year]]&amp;"; "&amp;P6240&amp;AS[[#This Row],[Insurance Category Code]]&amp;"; "&amp;Q6240&amp;AS[[#This Row],[Large Provider Entity Code]]&amp;"; "&amp;R6240&amp;AS[[#This Row],[Age Band Code]]&amp;"; "&amp;S6240&amp;AS[[#This Row],[Sex Code]]</f>
        <v xml:space="preserve">Insurer Code ; Reporting Year ; Insurance Category Code ; Large Provider Entity Code ; Age Band Code ; Sex Code </v>
      </c>
      <c r="N6240" s="297" t="s">
        <v>197</v>
      </c>
      <c r="O6240" s="297" t="s">
        <v>198</v>
      </c>
      <c r="P6240" s="297" t="s">
        <v>199</v>
      </c>
      <c r="Q6240" s="297" t="s">
        <v>200</v>
      </c>
      <c r="R6240" s="297" t="s">
        <v>213</v>
      </c>
      <c r="S6240" s="297" t="s">
        <v>214</v>
      </c>
    </row>
    <row r="6241" spans="1:19" x14ac:dyDescent="0.4">
      <c r="A6241" s="291"/>
      <c r="B6241" s="292"/>
      <c r="C6241" s="312"/>
      <c r="D6241" s="292"/>
      <c r="E6241" s="489"/>
      <c r="F6241" s="489"/>
      <c r="G6241" s="490"/>
      <c r="H6241" s="520"/>
      <c r="I6241" s="523"/>
      <c r="J6241" s="521"/>
      <c r="K6241" s="522"/>
      <c r="M6241" s="301" t="str">
        <f>N6241&amp;AS[[#This Row],[Insurer Code]]&amp;"; "&amp;O6241&amp;AS[[#This Row],[Reporting Year]]&amp;"; "&amp;P6241&amp;AS[[#This Row],[Insurance Category Code]]&amp;"; "&amp;Q6241&amp;AS[[#This Row],[Large Provider Entity Code]]&amp;"; "&amp;R6241&amp;AS[[#This Row],[Age Band Code]]&amp;"; "&amp;S6241&amp;AS[[#This Row],[Sex Code]]</f>
        <v xml:space="preserve">Insurer Code ; Reporting Year ; Insurance Category Code ; Large Provider Entity Code ; Age Band Code ; Sex Code </v>
      </c>
      <c r="N6241" s="297" t="s">
        <v>197</v>
      </c>
      <c r="O6241" s="297" t="s">
        <v>198</v>
      </c>
      <c r="P6241" s="297" t="s">
        <v>199</v>
      </c>
      <c r="Q6241" s="297" t="s">
        <v>200</v>
      </c>
      <c r="R6241" s="297" t="s">
        <v>213</v>
      </c>
      <c r="S6241" s="297" t="s">
        <v>214</v>
      </c>
    </row>
    <row r="6242" spans="1:19" x14ac:dyDescent="0.4">
      <c r="A6242" s="291"/>
      <c r="B6242" s="292"/>
      <c r="C6242" s="312"/>
      <c r="D6242" s="292"/>
      <c r="E6242" s="489"/>
      <c r="F6242" s="489"/>
      <c r="G6242" s="490"/>
      <c r="H6242" s="520"/>
      <c r="I6242" s="523"/>
      <c r="J6242" s="521"/>
      <c r="K6242" s="522"/>
      <c r="M6242" s="301" t="str">
        <f>N6242&amp;AS[[#This Row],[Insurer Code]]&amp;"; "&amp;O6242&amp;AS[[#This Row],[Reporting Year]]&amp;"; "&amp;P6242&amp;AS[[#This Row],[Insurance Category Code]]&amp;"; "&amp;Q6242&amp;AS[[#This Row],[Large Provider Entity Code]]&amp;"; "&amp;R6242&amp;AS[[#This Row],[Age Band Code]]&amp;"; "&amp;S6242&amp;AS[[#This Row],[Sex Code]]</f>
        <v xml:space="preserve">Insurer Code ; Reporting Year ; Insurance Category Code ; Large Provider Entity Code ; Age Band Code ; Sex Code </v>
      </c>
      <c r="N6242" s="297" t="s">
        <v>197</v>
      </c>
      <c r="O6242" s="297" t="s">
        <v>198</v>
      </c>
      <c r="P6242" s="297" t="s">
        <v>199</v>
      </c>
      <c r="Q6242" s="297" t="s">
        <v>200</v>
      </c>
      <c r="R6242" s="297" t="s">
        <v>213</v>
      </c>
      <c r="S6242" s="297" t="s">
        <v>214</v>
      </c>
    </row>
    <row r="6243" spans="1:19" x14ac:dyDescent="0.4">
      <c r="A6243" s="291"/>
      <c r="B6243" s="292"/>
      <c r="C6243" s="312"/>
      <c r="D6243" s="292"/>
      <c r="E6243" s="489"/>
      <c r="F6243" s="489"/>
      <c r="G6243" s="490"/>
      <c r="H6243" s="520"/>
      <c r="I6243" s="523"/>
      <c r="J6243" s="521"/>
      <c r="K6243" s="522"/>
      <c r="M6243" s="301" t="str">
        <f>N6243&amp;AS[[#This Row],[Insurer Code]]&amp;"; "&amp;O6243&amp;AS[[#This Row],[Reporting Year]]&amp;"; "&amp;P6243&amp;AS[[#This Row],[Insurance Category Code]]&amp;"; "&amp;Q6243&amp;AS[[#This Row],[Large Provider Entity Code]]&amp;"; "&amp;R6243&amp;AS[[#This Row],[Age Band Code]]&amp;"; "&amp;S6243&amp;AS[[#This Row],[Sex Code]]</f>
        <v xml:space="preserve">Insurer Code ; Reporting Year ; Insurance Category Code ; Large Provider Entity Code ; Age Band Code ; Sex Code </v>
      </c>
      <c r="N6243" s="297" t="s">
        <v>197</v>
      </c>
      <c r="O6243" s="297" t="s">
        <v>198</v>
      </c>
      <c r="P6243" s="297" t="s">
        <v>199</v>
      </c>
      <c r="Q6243" s="297" t="s">
        <v>200</v>
      </c>
      <c r="R6243" s="297" t="s">
        <v>213</v>
      </c>
      <c r="S6243" s="297" t="s">
        <v>214</v>
      </c>
    </row>
    <row r="6244" spans="1:19" x14ac:dyDescent="0.4">
      <c r="A6244" s="291"/>
      <c r="B6244" s="292"/>
      <c r="C6244" s="312"/>
      <c r="D6244" s="292"/>
      <c r="E6244" s="489"/>
      <c r="F6244" s="489"/>
      <c r="G6244" s="490"/>
      <c r="H6244" s="520"/>
      <c r="I6244" s="523"/>
      <c r="J6244" s="521"/>
      <c r="K6244" s="522"/>
      <c r="M6244" s="301" t="str">
        <f>N6244&amp;AS[[#This Row],[Insurer Code]]&amp;"; "&amp;O6244&amp;AS[[#This Row],[Reporting Year]]&amp;"; "&amp;P6244&amp;AS[[#This Row],[Insurance Category Code]]&amp;"; "&amp;Q6244&amp;AS[[#This Row],[Large Provider Entity Code]]&amp;"; "&amp;R6244&amp;AS[[#This Row],[Age Band Code]]&amp;"; "&amp;S6244&amp;AS[[#This Row],[Sex Code]]</f>
        <v xml:space="preserve">Insurer Code ; Reporting Year ; Insurance Category Code ; Large Provider Entity Code ; Age Band Code ; Sex Code </v>
      </c>
      <c r="N6244" s="297" t="s">
        <v>197</v>
      </c>
      <c r="O6244" s="297" t="s">
        <v>198</v>
      </c>
      <c r="P6244" s="297" t="s">
        <v>199</v>
      </c>
      <c r="Q6244" s="297" t="s">
        <v>200</v>
      </c>
      <c r="R6244" s="297" t="s">
        <v>213</v>
      </c>
      <c r="S6244" s="297" t="s">
        <v>214</v>
      </c>
    </row>
    <row r="6245" spans="1:19" x14ac:dyDescent="0.4">
      <c r="A6245" s="291"/>
      <c r="B6245" s="292"/>
      <c r="C6245" s="312"/>
      <c r="D6245" s="292"/>
      <c r="E6245" s="489"/>
      <c r="F6245" s="489"/>
      <c r="G6245" s="490"/>
      <c r="H6245" s="520"/>
      <c r="I6245" s="523"/>
      <c r="J6245" s="521"/>
      <c r="K6245" s="522"/>
      <c r="M6245" s="301" t="str">
        <f>N6245&amp;AS[[#This Row],[Insurer Code]]&amp;"; "&amp;O6245&amp;AS[[#This Row],[Reporting Year]]&amp;"; "&amp;P6245&amp;AS[[#This Row],[Insurance Category Code]]&amp;"; "&amp;Q6245&amp;AS[[#This Row],[Large Provider Entity Code]]&amp;"; "&amp;R6245&amp;AS[[#This Row],[Age Band Code]]&amp;"; "&amp;S6245&amp;AS[[#This Row],[Sex Code]]</f>
        <v xml:space="preserve">Insurer Code ; Reporting Year ; Insurance Category Code ; Large Provider Entity Code ; Age Band Code ; Sex Code </v>
      </c>
      <c r="N6245" s="297" t="s">
        <v>197</v>
      </c>
      <c r="O6245" s="297" t="s">
        <v>198</v>
      </c>
      <c r="P6245" s="297" t="s">
        <v>199</v>
      </c>
      <c r="Q6245" s="297" t="s">
        <v>200</v>
      </c>
      <c r="R6245" s="297" t="s">
        <v>213</v>
      </c>
      <c r="S6245" s="297" t="s">
        <v>214</v>
      </c>
    </row>
    <row r="6246" spans="1:19" x14ac:dyDescent="0.4">
      <c r="A6246" s="291"/>
      <c r="B6246" s="292"/>
      <c r="C6246" s="312"/>
      <c r="D6246" s="292"/>
      <c r="E6246" s="489"/>
      <c r="F6246" s="489"/>
      <c r="G6246" s="490"/>
      <c r="H6246" s="520"/>
      <c r="I6246" s="523"/>
      <c r="J6246" s="521"/>
      <c r="K6246" s="522"/>
      <c r="M6246" s="301" t="str">
        <f>N6246&amp;AS[[#This Row],[Insurer Code]]&amp;"; "&amp;O6246&amp;AS[[#This Row],[Reporting Year]]&amp;"; "&amp;P6246&amp;AS[[#This Row],[Insurance Category Code]]&amp;"; "&amp;Q6246&amp;AS[[#This Row],[Large Provider Entity Code]]&amp;"; "&amp;R6246&amp;AS[[#This Row],[Age Band Code]]&amp;"; "&amp;S6246&amp;AS[[#This Row],[Sex Code]]</f>
        <v xml:space="preserve">Insurer Code ; Reporting Year ; Insurance Category Code ; Large Provider Entity Code ; Age Band Code ; Sex Code </v>
      </c>
      <c r="N6246" s="297" t="s">
        <v>197</v>
      </c>
      <c r="O6246" s="297" t="s">
        <v>198</v>
      </c>
      <c r="P6246" s="297" t="s">
        <v>199</v>
      </c>
      <c r="Q6246" s="297" t="s">
        <v>200</v>
      </c>
      <c r="R6246" s="297" t="s">
        <v>213</v>
      </c>
      <c r="S6246" s="297" t="s">
        <v>214</v>
      </c>
    </row>
    <row r="6247" spans="1:19" x14ac:dyDescent="0.4">
      <c r="A6247" s="291"/>
      <c r="B6247" s="292"/>
      <c r="C6247" s="312"/>
      <c r="D6247" s="292"/>
      <c r="E6247" s="489"/>
      <c r="F6247" s="489"/>
      <c r="G6247" s="490"/>
      <c r="H6247" s="520"/>
      <c r="I6247" s="523"/>
      <c r="J6247" s="521"/>
      <c r="K6247" s="522"/>
      <c r="M6247" s="301" t="str">
        <f>N6247&amp;AS[[#This Row],[Insurer Code]]&amp;"; "&amp;O6247&amp;AS[[#This Row],[Reporting Year]]&amp;"; "&amp;P6247&amp;AS[[#This Row],[Insurance Category Code]]&amp;"; "&amp;Q6247&amp;AS[[#This Row],[Large Provider Entity Code]]&amp;"; "&amp;R6247&amp;AS[[#This Row],[Age Band Code]]&amp;"; "&amp;S6247&amp;AS[[#This Row],[Sex Code]]</f>
        <v xml:space="preserve">Insurer Code ; Reporting Year ; Insurance Category Code ; Large Provider Entity Code ; Age Band Code ; Sex Code </v>
      </c>
      <c r="N6247" s="297" t="s">
        <v>197</v>
      </c>
      <c r="O6247" s="297" t="s">
        <v>198</v>
      </c>
      <c r="P6247" s="297" t="s">
        <v>199</v>
      </c>
      <c r="Q6247" s="297" t="s">
        <v>200</v>
      </c>
      <c r="R6247" s="297" t="s">
        <v>213</v>
      </c>
      <c r="S6247" s="297" t="s">
        <v>214</v>
      </c>
    </row>
    <row r="6248" spans="1:19" x14ac:dyDescent="0.4">
      <c r="A6248" s="291"/>
      <c r="B6248" s="292"/>
      <c r="C6248" s="312"/>
      <c r="D6248" s="292"/>
      <c r="E6248" s="489"/>
      <c r="F6248" s="489"/>
      <c r="G6248" s="490"/>
      <c r="H6248" s="520"/>
      <c r="I6248" s="523"/>
      <c r="J6248" s="521"/>
      <c r="K6248" s="522"/>
      <c r="M6248" s="301" t="str">
        <f>N6248&amp;AS[[#This Row],[Insurer Code]]&amp;"; "&amp;O6248&amp;AS[[#This Row],[Reporting Year]]&amp;"; "&amp;P6248&amp;AS[[#This Row],[Insurance Category Code]]&amp;"; "&amp;Q6248&amp;AS[[#This Row],[Large Provider Entity Code]]&amp;"; "&amp;R6248&amp;AS[[#This Row],[Age Band Code]]&amp;"; "&amp;S6248&amp;AS[[#This Row],[Sex Code]]</f>
        <v xml:space="preserve">Insurer Code ; Reporting Year ; Insurance Category Code ; Large Provider Entity Code ; Age Band Code ; Sex Code </v>
      </c>
      <c r="N6248" s="297" t="s">
        <v>197</v>
      </c>
      <c r="O6248" s="297" t="s">
        <v>198</v>
      </c>
      <c r="P6248" s="297" t="s">
        <v>199</v>
      </c>
      <c r="Q6248" s="297" t="s">
        <v>200</v>
      </c>
      <c r="R6248" s="297" t="s">
        <v>213</v>
      </c>
      <c r="S6248" s="297" t="s">
        <v>214</v>
      </c>
    </row>
    <row r="6249" spans="1:19" x14ac:dyDescent="0.4">
      <c r="A6249" s="291"/>
      <c r="B6249" s="292"/>
      <c r="C6249" s="312"/>
      <c r="D6249" s="292"/>
      <c r="E6249" s="489"/>
      <c r="F6249" s="489"/>
      <c r="G6249" s="490"/>
      <c r="H6249" s="520"/>
      <c r="I6249" s="523"/>
      <c r="J6249" s="521"/>
      <c r="K6249" s="522"/>
      <c r="M6249" s="301" t="str">
        <f>N6249&amp;AS[[#This Row],[Insurer Code]]&amp;"; "&amp;O6249&amp;AS[[#This Row],[Reporting Year]]&amp;"; "&amp;P6249&amp;AS[[#This Row],[Insurance Category Code]]&amp;"; "&amp;Q6249&amp;AS[[#This Row],[Large Provider Entity Code]]&amp;"; "&amp;R6249&amp;AS[[#This Row],[Age Band Code]]&amp;"; "&amp;S6249&amp;AS[[#This Row],[Sex Code]]</f>
        <v xml:space="preserve">Insurer Code ; Reporting Year ; Insurance Category Code ; Large Provider Entity Code ; Age Band Code ; Sex Code </v>
      </c>
      <c r="N6249" s="297" t="s">
        <v>197</v>
      </c>
      <c r="O6249" s="297" t="s">
        <v>198</v>
      </c>
      <c r="P6249" s="297" t="s">
        <v>199</v>
      </c>
      <c r="Q6249" s="297" t="s">
        <v>200</v>
      </c>
      <c r="R6249" s="297" t="s">
        <v>213</v>
      </c>
      <c r="S6249" s="297" t="s">
        <v>214</v>
      </c>
    </row>
    <row r="6250" spans="1:19" x14ac:dyDescent="0.4">
      <c r="A6250" s="291"/>
      <c r="B6250" s="292"/>
      <c r="C6250" s="312"/>
      <c r="D6250" s="292"/>
      <c r="E6250" s="489"/>
      <c r="F6250" s="489"/>
      <c r="G6250" s="490"/>
      <c r="H6250" s="520"/>
      <c r="I6250" s="523"/>
      <c r="J6250" s="521"/>
      <c r="K6250" s="522"/>
      <c r="M6250" s="301" t="str">
        <f>N6250&amp;AS[[#This Row],[Insurer Code]]&amp;"; "&amp;O6250&amp;AS[[#This Row],[Reporting Year]]&amp;"; "&amp;P6250&amp;AS[[#This Row],[Insurance Category Code]]&amp;"; "&amp;Q6250&amp;AS[[#This Row],[Large Provider Entity Code]]&amp;"; "&amp;R6250&amp;AS[[#This Row],[Age Band Code]]&amp;"; "&amp;S6250&amp;AS[[#This Row],[Sex Code]]</f>
        <v xml:space="preserve">Insurer Code ; Reporting Year ; Insurance Category Code ; Large Provider Entity Code ; Age Band Code ; Sex Code </v>
      </c>
      <c r="N6250" s="297" t="s">
        <v>197</v>
      </c>
      <c r="O6250" s="297" t="s">
        <v>198</v>
      </c>
      <c r="P6250" s="297" t="s">
        <v>199</v>
      </c>
      <c r="Q6250" s="297" t="s">
        <v>200</v>
      </c>
      <c r="R6250" s="297" t="s">
        <v>213</v>
      </c>
      <c r="S6250" s="297" t="s">
        <v>214</v>
      </c>
    </row>
    <row r="6251" spans="1:19" x14ac:dyDescent="0.4">
      <c r="A6251" s="291"/>
      <c r="B6251" s="292"/>
      <c r="C6251" s="312"/>
      <c r="D6251" s="292"/>
      <c r="E6251" s="489"/>
      <c r="F6251" s="489"/>
      <c r="G6251" s="490"/>
      <c r="H6251" s="520"/>
      <c r="I6251" s="523"/>
      <c r="J6251" s="521"/>
      <c r="K6251" s="522"/>
      <c r="M6251" s="301" t="str">
        <f>N6251&amp;AS[[#This Row],[Insurer Code]]&amp;"; "&amp;O6251&amp;AS[[#This Row],[Reporting Year]]&amp;"; "&amp;P6251&amp;AS[[#This Row],[Insurance Category Code]]&amp;"; "&amp;Q6251&amp;AS[[#This Row],[Large Provider Entity Code]]&amp;"; "&amp;R6251&amp;AS[[#This Row],[Age Band Code]]&amp;"; "&amp;S6251&amp;AS[[#This Row],[Sex Code]]</f>
        <v xml:space="preserve">Insurer Code ; Reporting Year ; Insurance Category Code ; Large Provider Entity Code ; Age Band Code ; Sex Code </v>
      </c>
      <c r="N6251" s="297" t="s">
        <v>197</v>
      </c>
      <c r="O6251" s="297" t="s">
        <v>198</v>
      </c>
      <c r="P6251" s="297" t="s">
        <v>199</v>
      </c>
      <c r="Q6251" s="297" t="s">
        <v>200</v>
      </c>
      <c r="R6251" s="297" t="s">
        <v>213</v>
      </c>
      <c r="S6251" s="297" t="s">
        <v>214</v>
      </c>
    </row>
    <row r="6252" spans="1:19" x14ac:dyDescent="0.4">
      <c r="A6252" s="291"/>
      <c r="B6252" s="292"/>
      <c r="C6252" s="312"/>
      <c r="D6252" s="292"/>
      <c r="E6252" s="489"/>
      <c r="F6252" s="489"/>
      <c r="G6252" s="490"/>
      <c r="H6252" s="520"/>
      <c r="I6252" s="523"/>
      <c r="J6252" s="521"/>
      <c r="K6252" s="522"/>
      <c r="M6252" s="301" t="str">
        <f>N6252&amp;AS[[#This Row],[Insurer Code]]&amp;"; "&amp;O6252&amp;AS[[#This Row],[Reporting Year]]&amp;"; "&amp;P6252&amp;AS[[#This Row],[Insurance Category Code]]&amp;"; "&amp;Q6252&amp;AS[[#This Row],[Large Provider Entity Code]]&amp;"; "&amp;R6252&amp;AS[[#This Row],[Age Band Code]]&amp;"; "&amp;S6252&amp;AS[[#This Row],[Sex Code]]</f>
        <v xml:space="preserve">Insurer Code ; Reporting Year ; Insurance Category Code ; Large Provider Entity Code ; Age Band Code ; Sex Code </v>
      </c>
      <c r="N6252" s="297" t="s">
        <v>197</v>
      </c>
      <c r="O6252" s="297" t="s">
        <v>198</v>
      </c>
      <c r="P6252" s="297" t="s">
        <v>199</v>
      </c>
      <c r="Q6252" s="297" t="s">
        <v>200</v>
      </c>
      <c r="R6252" s="297" t="s">
        <v>213</v>
      </c>
      <c r="S6252" s="297" t="s">
        <v>214</v>
      </c>
    </row>
    <row r="6253" spans="1:19" x14ac:dyDescent="0.4">
      <c r="A6253" s="291"/>
      <c r="B6253" s="292"/>
      <c r="C6253" s="312"/>
      <c r="D6253" s="292"/>
      <c r="E6253" s="489"/>
      <c r="F6253" s="489"/>
      <c r="G6253" s="490"/>
      <c r="H6253" s="520"/>
      <c r="I6253" s="523"/>
      <c r="J6253" s="521"/>
      <c r="K6253" s="522"/>
      <c r="M6253" s="301" t="str">
        <f>N6253&amp;AS[[#This Row],[Insurer Code]]&amp;"; "&amp;O6253&amp;AS[[#This Row],[Reporting Year]]&amp;"; "&amp;P6253&amp;AS[[#This Row],[Insurance Category Code]]&amp;"; "&amp;Q6253&amp;AS[[#This Row],[Large Provider Entity Code]]&amp;"; "&amp;R6253&amp;AS[[#This Row],[Age Band Code]]&amp;"; "&amp;S6253&amp;AS[[#This Row],[Sex Code]]</f>
        <v xml:space="preserve">Insurer Code ; Reporting Year ; Insurance Category Code ; Large Provider Entity Code ; Age Band Code ; Sex Code </v>
      </c>
      <c r="N6253" s="297" t="s">
        <v>197</v>
      </c>
      <c r="O6253" s="297" t="s">
        <v>198</v>
      </c>
      <c r="P6253" s="297" t="s">
        <v>199</v>
      </c>
      <c r="Q6253" s="297" t="s">
        <v>200</v>
      </c>
      <c r="R6253" s="297" t="s">
        <v>213</v>
      </c>
      <c r="S6253" s="297" t="s">
        <v>214</v>
      </c>
    </row>
    <row r="6254" spans="1:19" x14ac:dyDescent="0.4">
      <c r="A6254" s="291"/>
      <c r="B6254" s="292"/>
      <c r="C6254" s="312"/>
      <c r="D6254" s="292"/>
      <c r="E6254" s="489"/>
      <c r="F6254" s="489"/>
      <c r="G6254" s="490"/>
      <c r="H6254" s="520"/>
      <c r="I6254" s="523"/>
      <c r="J6254" s="521"/>
      <c r="K6254" s="522"/>
      <c r="M6254" s="301" t="str">
        <f>N6254&amp;AS[[#This Row],[Insurer Code]]&amp;"; "&amp;O6254&amp;AS[[#This Row],[Reporting Year]]&amp;"; "&amp;P6254&amp;AS[[#This Row],[Insurance Category Code]]&amp;"; "&amp;Q6254&amp;AS[[#This Row],[Large Provider Entity Code]]&amp;"; "&amp;R6254&amp;AS[[#This Row],[Age Band Code]]&amp;"; "&amp;S6254&amp;AS[[#This Row],[Sex Code]]</f>
        <v xml:space="preserve">Insurer Code ; Reporting Year ; Insurance Category Code ; Large Provider Entity Code ; Age Band Code ; Sex Code </v>
      </c>
      <c r="N6254" s="297" t="s">
        <v>197</v>
      </c>
      <c r="O6254" s="297" t="s">
        <v>198</v>
      </c>
      <c r="P6254" s="297" t="s">
        <v>199</v>
      </c>
      <c r="Q6254" s="297" t="s">
        <v>200</v>
      </c>
      <c r="R6254" s="297" t="s">
        <v>213</v>
      </c>
      <c r="S6254" s="297" t="s">
        <v>214</v>
      </c>
    </row>
    <row r="6255" spans="1:19" x14ac:dyDescent="0.4">
      <c r="A6255" s="291"/>
      <c r="B6255" s="292"/>
      <c r="C6255" s="312"/>
      <c r="D6255" s="292"/>
      <c r="E6255" s="489"/>
      <c r="F6255" s="489"/>
      <c r="G6255" s="490"/>
      <c r="H6255" s="520"/>
      <c r="I6255" s="523"/>
      <c r="J6255" s="521"/>
      <c r="K6255" s="522"/>
      <c r="M6255" s="301" t="str">
        <f>N6255&amp;AS[[#This Row],[Insurer Code]]&amp;"; "&amp;O6255&amp;AS[[#This Row],[Reporting Year]]&amp;"; "&amp;P6255&amp;AS[[#This Row],[Insurance Category Code]]&amp;"; "&amp;Q6255&amp;AS[[#This Row],[Large Provider Entity Code]]&amp;"; "&amp;R6255&amp;AS[[#This Row],[Age Band Code]]&amp;"; "&amp;S6255&amp;AS[[#This Row],[Sex Code]]</f>
        <v xml:space="preserve">Insurer Code ; Reporting Year ; Insurance Category Code ; Large Provider Entity Code ; Age Band Code ; Sex Code </v>
      </c>
      <c r="N6255" s="297" t="s">
        <v>197</v>
      </c>
      <c r="O6255" s="297" t="s">
        <v>198</v>
      </c>
      <c r="P6255" s="297" t="s">
        <v>199</v>
      </c>
      <c r="Q6255" s="297" t="s">
        <v>200</v>
      </c>
      <c r="R6255" s="297" t="s">
        <v>213</v>
      </c>
      <c r="S6255" s="297" t="s">
        <v>214</v>
      </c>
    </row>
    <row r="6256" spans="1:19" x14ac:dyDescent="0.4">
      <c r="A6256" s="291"/>
      <c r="B6256" s="292"/>
      <c r="C6256" s="312"/>
      <c r="D6256" s="292"/>
      <c r="E6256" s="489"/>
      <c r="F6256" s="489"/>
      <c r="G6256" s="490"/>
      <c r="H6256" s="520"/>
      <c r="I6256" s="523"/>
      <c r="J6256" s="521"/>
      <c r="K6256" s="522"/>
      <c r="M6256" s="301" t="str">
        <f>N6256&amp;AS[[#This Row],[Insurer Code]]&amp;"; "&amp;O6256&amp;AS[[#This Row],[Reporting Year]]&amp;"; "&amp;P6256&amp;AS[[#This Row],[Insurance Category Code]]&amp;"; "&amp;Q6256&amp;AS[[#This Row],[Large Provider Entity Code]]&amp;"; "&amp;R6256&amp;AS[[#This Row],[Age Band Code]]&amp;"; "&amp;S6256&amp;AS[[#This Row],[Sex Code]]</f>
        <v xml:space="preserve">Insurer Code ; Reporting Year ; Insurance Category Code ; Large Provider Entity Code ; Age Band Code ; Sex Code </v>
      </c>
      <c r="N6256" s="297" t="s">
        <v>197</v>
      </c>
      <c r="O6256" s="297" t="s">
        <v>198</v>
      </c>
      <c r="P6256" s="297" t="s">
        <v>199</v>
      </c>
      <c r="Q6256" s="297" t="s">
        <v>200</v>
      </c>
      <c r="R6256" s="297" t="s">
        <v>213</v>
      </c>
      <c r="S6256" s="297" t="s">
        <v>214</v>
      </c>
    </row>
    <row r="6257" spans="1:19" x14ac:dyDescent="0.4">
      <c r="A6257" s="291"/>
      <c r="B6257" s="292"/>
      <c r="C6257" s="312"/>
      <c r="D6257" s="292"/>
      <c r="E6257" s="489"/>
      <c r="F6257" s="489"/>
      <c r="G6257" s="490"/>
      <c r="H6257" s="520"/>
      <c r="I6257" s="523"/>
      <c r="J6257" s="521"/>
      <c r="K6257" s="522"/>
      <c r="M6257" s="301" t="str">
        <f>N6257&amp;AS[[#This Row],[Insurer Code]]&amp;"; "&amp;O6257&amp;AS[[#This Row],[Reporting Year]]&amp;"; "&amp;P6257&amp;AS[[#This Row],[Insurance Category Code]]&amp;"; "&amp;Q6257&amp;AS[[#This Row],[Large Provider Entity Code]]&amp;"; "&amp;R6257&amp;AS[[#This Row],[Age Band Code]]&amp;"; "&amp;S6257&amp;AS[[#This Row],[Sex Code]]</f>
        <v xml:space="preserve">Insurer Code ; Reporting Year ; Insurance Category Code ; Large Provider Entity Code ; Age Band Code ; Sex Code </v>
      </c>
      <c r="N6257" s="297" t="s">
        <v>197</v>
      </c>
      <c r="O6257" s="297" t="s">
        <v>198</v>
      </c>
      <c r="P6257" s="297" t="s">
        <v>199</v>
      </c>
      <c r="Q6257" s="297" t="s">
        <v>200</v>
      </c>
      <c r="R6257" s="297" t="s">
        <v>213</v>
      </c>
      <c r="S6257" s="297" t="s">
        <v>214</v>
      </c>
    </row>
    <row r="6258" spans="1:19" x14ac:dyDescent="0.4">
      <c r="A6258" s="291"/>
      <c r="B6258" s="292"/>
      <c r="C6258" s="312"/>
      <c r="D6258" s="292"/>
      <c r="E6258" s="489"/>
      <c r="F6258" s="489"/>
      <c r="G6258" s="490"/>
      <c r="H6258" s="520"/>
      <c r="I6258" s="523"/>
      <c r="J6258" s="521"/>
      <c r="K6258" s="522"/>
      <c r="M6258" s="301" t="str">
        <f>N6258&amp;AS[[#This Row],[Insurer Code]]&amp;"; "&amp;O6258&amp;AS[[#This Row],[Reporting Year]]&amp;"; "&amp;P6258&amp;AS[[#This Row],[Insurance Category Code]]&amp;"; "&amp;Q6258&amp;AS[[#This Row],[Large Provider Entity Code]]&amp;"; "&amp;R6258&amp;AS[[#This Row],[Age Band Code]]&amp;"; "&amp;S6258&amp;AS[[#This Row],[Sex Code]]</f>
        <v xml:space="preserve">Insurer Code ; Reporting Year ; Insurance Category Code ; Large Provider Entity Code ; Age Band Code ; Sex Code </v>
      </c>
      <c r="N6258" s="297" t="s">
        <v>197</v>
      </c>
      <c r="O6258" s="297" t="s">
        <v>198</v>
      </c>
      <c r="P6258" s="297" t="s">
        <v>199</v>
      </c>
      <c r="Q6258" s="297" t="s">
        <v>200</v>
      </c>
      <c r="R6258" s="297" t="s">
        <v>213</v>
      </c>
      <c r="S6258" s="297" t="s">
        <v>214</v>
      </c>
    </row>
    <row r="6259" spans="1:19" x14ac:dyDescent="0.4">
      <c r="A6259" s="291"/>
      <c r="B6259" s="292"/>
      <c r="C6259" s="312"/>
      <c r="D6259" s="292"/>
      <c r="E6259" s="489"/>
      <c r="F6259" s="489"/>
      <c r="G6259" s="490"/>
      <c r="H6259" s="520"/>
      <c r="I6259" s="523"/>
      <c r="J6259" s="521"/>
      <c r="K6259" s="522"/>
      <c r="M6259" s="301" t="str">
        <f>N6259&amp;AS[[#This Row],[Insurer Code]]&amp;"; "&amp;O6259&amp;AS[[#This Row],[Reporting Year]]&amp;"; "&amp;P6259&amp;AS[[#This Row],[Insurance Category Code]]&amp;"; "&amp;Q6259&amp;AS[[#This Row],[Large Provider Entity Code]]&amp;"; "&amp;R6259&amp;AS[[#This Row],[Age Band Code]]&amp;"; "&amp;S6259&amp;AS[[#This Row],[Sex Code]]</f>
        <v xml:space="preserve">Insurer Code ; Reporting Year ; Insurance Category Code ; Large Provider Entity Code ; Age Band Code ; Sex Code </v>
      </c>
      <c r="N6259" s="297" t="s">
        <v>197</v>
      </c>
      <c r="O6259" s="297" t="s">
        <v>198</v>
      </c>
      <c r="P6259" s="297" t="s">
        <v>199</v>
      </c>
      <c r="Q6259" s="297" t="s">
        <v>200</v>
      </c>
      <c r="R6259" s="297" t="s">
        <v>213</v>
      </c>
      <c r="S6259" s="297" t="s">
        <v>214</v>
      </c>
    </row>
    <row r="6260" spans="1:19" x14ac:dyDescent="0.4">
      <c r="A6260" s="291"/>
      <c r="B6260" s="292"/>
      <c r="C6260" s="312"/>
      <c r="D6260" s="292"/>
      <c r="E6260" s="489"/>
      <c r="F6260" s="489"/>
      <c r="G6260" s="490"/>
      <c r="H6260" s="520"/>
      <c r="I6260" s="523"/>
      <c r="J6260" s="521"/>
      <c r="K6260" s="522"/>
      <c r="M6260" s="301" t="str">
        <f>N6260&amp;AS[[#This Row],[Insurer Code]]&amp;"; "&amp;O6260&amp;AS[[#This Row],[Reporting Year]]&amp;"; "&amp;P6260&amp;AS[[#This Row],[Insurance Category Code]]&amp;"; "&amp;Q6260&amp;AS[[#This Row],[Large Provider Entity Code]]&amp;"; "&amp;R6260&amp;AS[[#This Row],[Age Band Code]]&amp;"; "&amp;S6260&amp;AS[[#This Row],[Sex Code]]</f>
        <v xml:space="preserve">Insurer Code ; Reporting Year ; Insurance Category Code ; Large Provider Entity Code ; Age Band Code ; Sex Code </v>
      </c>
      <c r="N6260" s="297" t="s">
        <v>197</v>
      </c>
      <c r="O6260" s="297" t="s">
        <v>198</v>
      </c>
      <c r="P6260" s="297" t="s">
        <v>199</v>
      </c>
      <c r="Q6260" s="297" t="s">
        <v>200</v>
      </c>
      <c r="R6260" s="297" t="s">
        <v>213</v>
      </c>
      <c r="S6260" s="297" t="s">
        <v>214</v>
      </c>
    </row>
    <row r="6261" spans="1:19" x14ac:dyDescent="0.4">
      <c r="A6261" s="291"/>
      <c r="B6261" s="292"/>
      <c r="C6261" s="312"/>
      <c r="D6261" s="292"/>
      <c r="E6261" s="489"/>
      <c r="F6261" s="489"/>
      <c r="G6261" s="490"/>
      <c r="H6261" s="520"/>
      <c r="I6261" s="523"/>
      <c r="J6261" s="521"/>
      <c r="K6261" s="522"/>
      <c r="M6261" s="301" t="str">
        <f>N6261&amp;AS[[#This Row],[Insurer Code]]&amp;"; "&amp;O6261&amp;AS[[#This Row],[Reporting Year]]&amp;"; "&amp;P6261&amp;AS[[#This Row],[Insurance Category Code]]&amp;"; "&amp;Q6261&amp;AS[[#This Row],[Large Provider Entity Code]]&amp;"; "&amp;R6261&amp;AS[[#This Row],[Age Band Code]]&amp;"; "&amp;S6261&amp;AS[[#This Row],[Sex Code]]</f>
        <v xml:space="preserve">Insurer Code ; Reporting Year ; Insurance Category Code ; Large Provider Entity Code ; Age Band Code ; Sex Code </v>
      </c>
      <c r="N6261" s="297" t="s">
        <v>197</v>
      </c>
      <c r="O6261" s="297" t="s">
        <v>198</v>
      </c>
      <c r="P6261" s="297" t="s">
        <v>199</v>
      </c>
      <c r="Q6261" s="297" t="s">
        <v>200</v>
      </c>
      <c r="R6261" s="297" t="s">
        <v>213</v>
      </c>
      <c r="S6261" s="297" t="s">
        <v>214</v>
      </c>
    </row>
    <row r="6262" spans="1:19" x14ac:dyDescent="0.4">
      <c r="A6262" s="291"/>
      <c r="B6262" s="292"/>
      <c r="C6262" s="312"/>
      <c r="D6262" s="292"/>
      <c r="E6262" s="489"/>
      <c r="F6262" s="489"/>
      <c r="G6262" s="490"/>
      <c r="H6262" s="520"/>
      <c r="I6262" s="523"/>
      <c r="J6262" s="521"/>
      <c r="K6262" s="522"/>
      <c r="M6262" s="301" t="str">
        <f>N6262&amp;AS[[#This Row],[Insurer Code]]&amp;"; "&amp;O6262&amp;AS[[#This Row],[Reporting Year]]&amp;"; "&amp;P6262&amp;AS[[#This Row],[Insurance Category Code]]&amp;"; "&amp;Q6262&amp;AS[[#This Row],[Large Provider Entity Code]]&amp;"; "&amp;R6262&amp;AS[[#This Row],[Age Band Code]]&amp;"; "&amp;S6262&amp;AS[[#This Row],[Sex Code]]</f>
        <v xml:space="preserve">Insurer Code ; Reporting Year ; Insurance Category Code ; Large Provider Entity Code ; Age Band Code ; Sex Code </v>
      </c>
      <c r="N6262" s="297" t="s">
        <v>197</v>
      </c>
      <c r="O6262" s="297" t="s">
        <v>198</v>
      </c>
      <c r="P6262" s="297" t="s">
        <v>199</v>
      </c>
      <c r="Q6262" s="297" t="s">
        <v>200</v>
      </c>
      <c r="R6262" s="297" t="s">
        <v>213</v>
      </c>
      <c r="S6262" s="297" t="s">
        <v>214</v>
      </c>
    </row>
    <row r="6263" spans="1:19" x14ac:dyDescent="0.4">
      <c r="A6263" s="291"/>
      <c r="B6263" s="292"/>
      <c r="C6263" s="312"/>
      <c r="D6263" s="292"/>
      <c r="E6263" s="489"/>
      <c r="F6263" s="489"/>
      <c r="G6263" s="490"/>
      <c r="H6263" s="520"/>
      <c r="I6263" s="523"/>
      <c r="J6263" s="521"/>
      <c r="K6263" s="522"/>
      <c r="M6263" s="301" t="str">
        <f>N6263&amp;AS[[#This Row],[Insurer Code]]&amp;"; "&amp;O6263&amp;AS[[#This Row],[Reporting Year]]&amp;"; "&amp;P6263&amp;AS[[#This Row],[Insurance Category Code]]&amp;"; "&amp;Q6263&amp;AS[[#This Row],[Large Provider Entity Code]]&amp;"; "&amp;R6263&amp;AS[[#This Row],[Age Band Code]]&amp;"; "&amp;S6263&amp;AS[[#This Row],[Sex Code]]</f>
        <v xml:space="preserve">Insurer Code ; Reporting Year ; Insurance Category Code ; Large Provider Entity Code ; Age Band Code ; Sex Code </v>
      </c>
      <c r="N6263" s="297" t="s">
        <v>197</v>
      </c>
      <c r="O6263" s="297" t="s">
        <v>198</v>
      </c>
      <c r="P6263" s="297" t="s">
        <v>199</v>
      </c>
      <c r="Q6263" s="297" t="s">
        <v>200</v>
      </c>
      <c r="R6263" s="297" t="s">
        <v>213</v>
      </c>
      <c r="S6263" s="297" t="s">
        <v>214</v>
      </c>
    </row>
    <row r="6264" spans="1:19" x14ac:dyDescent="0.4">
      <c r="A6264" s="291"/>
      <c r="B6264" s="292"/>
      <c r="C6264" s="312"/>
      <c r="D6264" s="292"/>
      <c r="E6264" s="489"/>
      <c r="F6264" s="489"/>
      <c r="G6264" s="490"/>
      <c r="H6264" s="520"/>
      <c r="I6264" s="523"/>
      <c r="J6264" s="521"/>
      <c r="K6264" s="522"/>
      <c r="M6264" s="301" t="str">
        <f>N6264&amp;AS[[#This Row],[Insurer Code]]&amp;"; "&amp;O6264&amp;AS[[#This Row],[Reporting Year]]&amp;"; "&amp;P6264&amp;AS[[#This Row],[Insurance Category Code]]&amp;"; "&amp;Q6264&amp;AS[[#This Row],[Large Provider Entity Code]]&amp;"; "&amp;R6264&amp;AS[[#This Row],[Age Band Code]]&amp;"; "&amp;S6264&amp;AS[[#This Row],[Sex Code]]</f>
        <v xml:space="preserve">Insurer Code ; Reporting Year ; Insurance Category Code ; Large Provider Entity Code ; Age Band Code ; Sex Code </v>
      </c>
      <c r="N6264" s="297" t="s">
        <v>197</v>
      </c>
      <c r="O6264" s="297" t="s">
        <v>198</v>
      </c>
      <c r="P6264" s="297" t="s">
        <v>199</v>
      </c>
      <c r="Q6264" s="297" t="s">
        <v>200</v>
      </c>
      <c r="R6264" s="297" t="s">
        <v>213</v>
      </c>
      <c r="S6264" s="297" t="s">
        <v>214</v>
      </c>
    </row>
    <row r="6265" spans="1:19" x14ac:dyDescent="0.4">
      <c r="A6265" s="291"/>
      <c r="B6265" s="292"/>
      <c r="C6265" s="312"/>
      <c r="D6265" s="292"/>
      <c r="E6265" s="489"/>
      <c r="F6265" s="489"/>
      <c r="G6265" s="490"/>
      <c r="H6265" s="520"/>
      <c r="I6265" s="523"/>
      <c r="J6265" s="521"/>
      <c r="K6265" s="522"/>
      <c r="M6265" s="301" t="str">
        <f>N6265&amp;AS[[#This Row],[Insurer Code]]&amp;"; "&amp;O6265&amp;AS[[#This Row],[Reporting Year]]&amp;"; "&amp;P6265&amp;AS[[#This Row],[Insurance Category Code]]&amp;"; "&amp;Q6265&amp;AS[[#This Row],[Large Provider Entity Code]]&amp;"; "&amp;R6265&amp;AS[[#This Row],[Age Band Code]]&amp;"; "&amp;S6265&amp;AS[[#This Row],[Sex Code]]</f>
        <v xml:space="preserve">Insurer Code ; Reporting Year ; Insurance Category Code ; Large Provider Entity Code ; Age Band Code ; Sex Code </v>
      </c>
      <c r="N6265" s="297" t="s">
        <v>197</v>
      </c>
      <c r="O6265" s="297" t="s">
        <v>198</v>
      </c>
      <c r="P6265" s="297" t="s">
        <v>199</v>
      </c>
      <c r="Q6265" s="297" t="s">
        <v>200</v>
      </c>
      <c r="R6265" s="297" t="s">
        <v>213</v>
      </c>
      <c r="S6265" s="297" t="s">
        <v>214</v>
      </c>
    </row>
    <row r="6266" spans="1:19" x14ac:dyDescent="0.4">
      <c r="A6266" s="291"/>
      <c r="B6266" s="292"/>
      <c r="C6266" s="312"/>
      <c r="D6266" s="292"/>
      <c r="E6266" s="489"/>
      <c r="F6266" s="489"/>
      <c r="G6266" s="490"/>
      <c r="H6266" s="520"/>
      <c r="I6266" s="523"/>
      <c r="J6266" s="521"/>
      <c r="K6266" s="522"/>
      <c r="M6266" s="301" t="str">
        <f>N6266&amp;AS[[#This Row],[Insurer Code]]&amp;"; "&amp;O6266&amp;AS[[#This Row],[Reporting Year]]&amp;"; "&amp;P6266&amp;AS[[#This Row],[Insurance Category Code]]&amp;"; "&amp;Q6266&amp;AS[[#This Row],[Large Provider Entity Code]]&amp;"; "&amp;R6266&amp;AS[[#This Row],[Age Band Code]]&amp;"; "&amp;S6266&amp;AS[[#This Row],[Sex Code]]</f>
        <v xml:space="preserve">Insurer Code ; Reporting Year ; Insurance Category Code ; Large Provider Entity Code ; Age Band Code ; Sex Code </v>
      </c>
      <c r="N6266" s="297" t="s">
        <v>197</v>
      </c>
      <c r="O6266" s="297" t="s">
        <v>198</v>
      </c>
      <c r="P6266" s="297" t="s">
        <v>199</v>
      </c>
      <c r="Q6266" s="297" t="s">
        <v>200</v>
      </c>
      <c r="R6266" s="297" t="s">
        <v>213</v>
      </c>
      <c r="S6266" s="297" t="s">
        <v>214</v>
      </c>
    </row>
    <row r="6267" spans="1:19" x14ac:dyDescent="0.4">
      <c r="A6267" s="291"/>
      <c r="B6267" s="292"/>
      <c r="C6267" s="312"/>
      <c r="D6267" s="292"/>
      <c r="E6267" s="489"/>
      <c r="F6267" s="489"/>
      <c r="G6267" s="490"/>
      <c r="H6267" s="520"/>
      <c r="I6267" s="523"/>
      <c r="J6267" s="521"/>
      <c r="K6267" s="522"/>
      <c r="M6267" s="301" t="str">
        <f>N6267&amp;AS[[#This Row],[Insurer Code]]&amp;"; "&amp;O6267&amp;AS[[#This Row],[Reporting Year]]&amp;"; "&amp;P6267&amp;AS[[#This Row],[Insurance Category Code]]&amp;"; "&amp;Q6267&amp;AS[[#This Row],[Large Provider Entity Code]]&amp;"; "&amp;R6267&amp;AS[[#This Row],[Age Band Code]]&amp;"; "&amp;S6267&amp;AS[[#This Row],[Sex Code]]</f>
        <v xml:space="preserve">Insurer Code ; Reporting Year ; Insurance Category Code ; Large Provider Entity Code ; Age Band Code ; Sex Code </v>
      </c>
      <c r="N6267" s="297" t="s">
        <v>197</v>
      </c>
      <c r="O6267" s="297" t="s">
        <v>198</v>
      </c>
      <c r="P6267" s="297" t="s">
        <v>199</v>
      </c>
      <c r="Q6267" s="297" t="s">
        <v>200</v>
      </c>
      <c r="R6267" s="297" t="s">
        <v>213</v>
      </c>
      <c r="S6267" s="297" t="s">
        <v>214</v>
      </c>
    </row>
    <row r="6268" spans="1:19" x14ac:dyDescent="0.4">
      <c r="A6268" s="291"/>
      <c r="B6268" s="292"/>
      <c r="C6268" s="312"/>
      <c r="D6268" s="292"/>
      <c r="E6268" s="489"/>
      <c r="F6268" s="489"/>
      <c r="G6268" s="490"/>
      <c r="H6268" s="520"/>
      <c r="I6268" s="523"/>
      <c r="J6268" s="521"/>
      <c r="K6268" s="522"/>
      <c r="M6268" s="301" t="str">
        <f>N6268&amp;AS[[#This Row],[Insurer Code]]&amp;"; "&amp;O6268&amp;AS[[#This Row],[Reporting Year]]&amp;"; "&amp;P6268&amp;AS[[#This Row],[Insurance Category Code]]&amp;"; "&amp;Q6268&amp;AS[[#This Row],[Large Provider Entity Code]]&amp;"; "&amp;R6268&amp;AS[[#This Row],[Age Band Code]]&amp;"; "&amp;S6268&amp;AS[[#This Row],[Sex Code]]</f>
        <v xml:space="preserve">Insurer Code ; Reporting Year ; Insurance Category Code ; Large Provider Entity Code ; Age Band Code ; Sex Code </v>
      </c>
      <c r="N6268" s="297" t="s">
        <v>197</v>
      </c>
      <c r="O6268" s="297" t="s">
        <v>198</v>
      </c>
      <c r="P6268" s="297" t="s">
        <v>199</v>
      </c>
      <c r="Q6268" s="297" t="s">
        <v>200</v>
      </c>
      <c r="R6268" s="297" t="s">
        <v>213</v>
      </c>
      <c r="S6268" s="297" t="s">
        <v>214</v>
      </c>
    </row>
    <row r="6269" spans="1:19" x14ac:dyDescent="0.4">
      <c r="A6269" s="291"/>
      <c r="B6269" s="292"/>
      <c r="C6269" s="312"/>
      <c r="D6269" s="292"/>
      <c r="E6269" s="489"/>
      <c r="F6269" s="489"/>
      <c r="G6269" s="490"/>
      <c r="H6269" s="520"/>
      <c r="I6269" s="523"/>
      <c r="J6269" s="521"/>
      <c r="K6269" s="522"/>
      <c r="M6269" s="301" t="str">
        <f>N6269&amp;AS[[#This Row],[Insurer Code]]&amp;"; "&amp;O6269&amp;AS[[#This Row],[Reporting Year]]&amp;"; "&amp;P6269&amp;AS[[#This Row],[Insurance Category Code]]&amp;"; "&amp;Q6269&amp;AS[[#This Row],[Large Provider Entity Code]]&amp;"; "&amp;R6269&amp;AS[[#This Row],[Age Band Code]]&amp;"; "&amp;S6269&amp;AS[[#This Row],[Sex Code]]</f>
        <v xml:space="preserve">Insurer Code ; Reporting Year ; Insurance Category Code ; Large Provider Entity Code ; Age Band Code ; Sex Code </v>
      </c>
      <c r="N6269" s="297" t="s">
        <v>197</v>
      </c>
      <c r="O6269" s="297" t="s">
        <v>198</v>
      </c>
      <c r="P6269" s="297" t="s">
        <v>199</v>
      </c>
      <c r="Q6269" s="297" t="s">
        <v>200</v>
      </c>
      <c r="R6269" s="297" t="s">
        <v>213</v>
      </c>
      <c r="S6269" s="297" t="s">
        <v>214</v>
      </c>
    </row>
    <row r="6270" spans="1:19" x14ac:dyDescent="0.4">
      <c r="A6270" s="291"/>
      <c r="B6270" s="292"/>
      <c r="C6270" s="312"/>
      <c r="D6270" s="292"/>
      <c r="E6270" s="489"/>
      <c r="F6270" s="489"/>
      <c r="G6270" s="490"/>
      <c r="H6270" s="520"/>
      <c r="I6270" s="523"/>
      <c r="J6270" s="521"/>
      <c r="K6270" s="522"/>
      <c r="M6270" s="301" t="str">
        <f>N6270&amp;AS[[#This Row],[Insurer Code]]&amp;"; "&amp;O6270&amp;AS[[#This Row],[Reporting Year]]&amp;"; "&amp;P6270&amp;AS[[#This Row],[Insurance Category Code]]&amp;"; "&amp;Q6270&amp;AS[[#This Row],[Large Provider Entity Code]]&amp;"; "&amp;R6270&amp;AS[[#This Row],[Age Band Code]]&amp;"; "&amp;S6270&amp;AS[[#This Row],[Sex Code]]</f>
        <v xml:space="preserve">Insurer Code ; Reporting Year ; Insurance Category Code ; Large Provider Entity Code ; Age Band Code ; Sex Code </v>
      </c>
      <c r="N6270" s="297" t="s">
        <v>197</v>
      </c>
      <c r="O6270" s="297" t="s">
        <v>198</v>
      </c>
      <c r="P6270" s="297" t="s">
        <v>199</v>
      </c>
      <c r="Q6270" s="297" t="s">
        <v>200</v>
      </c>
      <c r="R6270" s="297" t="s">
        <v>213</v>
      </c>
      <c r="S6270" s="297" t="s">
        <v>214</v>
      </c>
    </row>
    <row r="6271" spans="1:19" x14ac:dyDescent="0.4">
      <c r="A6271" s="291"/>
      <c r="B6271" s="292"/>
      <c r="C6271" s="312"/>
      <c r="D6271" s="292"/>
      <c r="E6271" s="489"/>
      <c r="F6271" s="489"/>
      <c r="G6271" s="490"/>
      <c r="H6271" s="520"/>
      <c r="I6271" s="523"/>
      <c r="J6271" s="521"/>
      <c r="K6271" s="522"/>
      <c r="M6271" s="301" t="str">
        <f>N6271&amp;AS[[#This Row],[Insurer Code]]&amp;"; "&amp;O6271&amp;AS[[#This Row],[Reporting Year]]&amp;"; "&amp;P6271&amp;AS[[#This Row],[Insurance Category Code]]&amp;"; "&amp;Q6271&amp;AS[[#This Row],[Large Provider Entity Code]]&amp;"; "&amp;R6271&amp;AS[[#This Row],[Age Band Code]]&amp;"; "&amp;S6271&amp;AS[[#This Row],[Sex Code]]</f>
        <v xml:space="preserve">Insurer Code ; Reporting Year ; Insurance Category Code ; Large Provider Entity Code ; Age Band Code ; Sex Code </v>
      </c>
      <c r="N6271" s="297" t="s">
        <v>197</v>
      </c>
      <c r="O6271" s="297" t="s">
        <v>198</v>
      </c>
      <c r="P6271" s="297" t="s">
        <v>199</v>
      </c>
      <c r="Q6271" s="297" t="s">
        <v>200</v>
      </c>
      <c r="R6271" s="297" t="s">
        <v>213</v>
      </c>
      <c r="S6271" s="297" t="s">
        <v>214</v>
      </c>
    </row>
    <row r="6272" spans="1:19" x14ac:dyDescent="0.4">
      <c r="A6272" s="291"/>
      <c r="B6272" s="292"/>
      <c r="C6272" s="312"/>
      <c r="D6272" s="292"/>
      <c r="E6272" s="489"/>
      <c r="F6272" s="489"/>
      <c r="G6272" s="490"/>
      <c r="H6272" s="520"/>
      <c r="I6272" s="523"/>
      <c r="J6272" s="521"/>
      <c r="K6272" s="522"/>
      <c r="M6272" s="301" t="str">
        <f>N6272&amp;AS[[#This Row],[Insurer Code]]&amp;"; "&amp;O6272&amp;AS[[#This Row],[Reporting Year]]&amp;"; "&amp;P6272&amp;AS[[#This Row],[Insurance Category Code]]&amp;"; "&amp;Q6272&amp;AS[[#This Row],[Large Provider Entity Code]]&amp;"; "&amp;R6272&amp;AS[[#This Row],[Age Band Code]]&amp;"; "&amp;S6272&amp;AS[[#This Row],[Sex Code]]</f>
        <v xml:space="preserve">Insurer Code ; Reporting Year ; Insurance Category Code ; Large Provider Entity Code ; Age Band Code ; Sex Code </v>
      </c>
      <c r="N6272" s="297" t="s">
        <v>197</v>
      </c>
      <c r="O6272" s="297" t="s">
        <v>198</v>
      </c>
      <c r="P6272" s="297" t="s">
        <v>199</v>
      </c>
      <c r="Q6272" s="297" t="s">
        <v>200</v>
      </c>
      <c r="R6272" s="297" t="s">
        <v>213</v>
      </c>
      <c r="S6272" s="297" t="s">
        <v>214</v>
      </c>
    </row>
    <row r="6273" spans="1:19" x14ac:dyDescent="0.4">
      <c r="A6273" s="291"/>
      <c r="B6273" s="292"/>
      <c r="C6273" s="312"/>
      <c r="D6273" s="292"/>
      <c r="E6273" s="489"/>
      <c r="F6273" s="489"/>
      <c r="G6273" s="490"/>
      <c r="H6273" s="520"/>
      <c r="I6273" s="523"/>
      <c r="J6273" s="521"/>
      <c r="K6273" s="522"/>
      <c r="M6273" s="301" t="str">
        <f>N6273&amp;AS[[#This Row],[Insurer Code]]&amp;"; "&amp;O6273&amp;AS[[#This Row],[Reporting Year]]&amp;"; "&amp;P6273&amp;AS[[#This Row],[Insurance Category Code]]&amp;"; "&amp;Q6273&amp;AS[[#This Row],[Large Provider Entity Code]]&amp;"; "&amp;R6273&amp;AS[[#This Row],[Age Band Code]]&amp;"; "&amp;S6273&amp;AS[[#This Row],[Sex Code]]</f>
        <v xml:space="preserve">Insurer Code ; Reporting Year ; Insurance Category Code ; Large Provider Entity Code ; Age Band Code ; Sex Code </v>
      </c>
      <c r="N6273" s="297" t="s">
        <v>197</v>
      </c>
      <c r="O6273" s="297" t="s">
        <v>198</v>
      </c>
      <c r="P6273" s="297" t="s">
        <v>199</v>
      </c>
      <c r="Q6273" s="297" t="s">
        <v>200</v>
      </c>
      <c r="R6273" s="297" t="s">
        <v>213</v>
      </c>
      <c r="S6273" s="297" t="s">
        <v>214</v>
      </c>
    </row>
    <row r="6274" spans="1:19" x14ac:dyDescent="0.4">
      <c r="A6274" s="291"/>
      <c r="B6274" s="292"/>
      <c r="C6274" s="312"/>
      <c r="D6274" s="292"/>
      <c r="E6274" s="489"/>
      <c r="F6274" s="489"/>
      <c r="G6274" s="490"/>
      <c r="H6274" s="520"/>
      <c r="I6274" s="523"/>
      <c r="J6274" s="521"/>
      <c r="K6274" s="522"/>
      <c r="M6274" s="301" t="str">
        <f>N6274&amp;AS[[#This Row],[Insurer Code]]&amp;"; "&amp;O6274&amp;AS[[#This Row],[Reporting Year]]&amp;"; "&amp;P6274&amp;AS[[#This Row],[Insurance Category Code]]&amp;"; "&amp;Q6274&amp;AS[[#This Row],[Large Provider Entity Code]]&amp;"; "&amp;R6274&amp;AS[[#This Row],[Age Band Code]]&amp;"; "&amp;S6274&amp;AS[[#This Row],[Sex Code]]</f>
        <v xml:space="preserve">Insurer Code ; Reporting Year ; Insurance Category Code ; Large Provider Entity Code ; Age Band Code ; Sex Code </v>
      </c>
      <c r="N6274" s="297" t="s">
        <v>197</v>
      </c>
      <c r="O6274" s="297" t="s">
        <v>198</v>
      </c>
      <c r="P6274" s="297" t="s">
        <v>199</v>
      </c>
      <c r="Q6274" s="297" t="s">
        <v>200</v>
      </c>
      <c r="R6274" s="297" t="s">
        <v>213</v>
      </c>
      <c r="S6274" s="297" t="s">
        <v>214</v>
      </c>
    </row>
    <row r="6275" spans="1:19" x14ac:dyDescent="0.4">
      <c r="A6275" s="291"/>
      <c r="B6275" s="292"/>
      <c r="C6275" s="312"/>
      <c r="D6275" s="292"/>
      <c r="E6275" s="489"/>
      <c r="F6275" s="489"/>
      <c r="G6275" s="490"/>
      <c r="H6275" s="520"/>
      <c r="I6275" s="523"/>
      <c r="J6275" s="521"/>
      <c r="K6275" s="522"/>
      <c r="M6275" s="301" t="str">
        <f>N6275&amp;AS[[#This Row],[Insurer Code]]&amp;"; "&amp;O6275&amp;AS[[#This Row],[Reporting Year]]&amp;"; "&amp;P6275&amp;AS[[#This Row],[Insurance Category Code]]&amp;"; "&amp;Q6275&amp;AS[[#This Row],[Large Provider Entity Code]]&amp;"; "&amp;R6275&amp;AS[[#This Row],[Age Band Code]]&amp;"; "&amp;S6275&amp;AS[[#This Row],[Sex Code]]</f>
        <v xml:space="preserve">Insurer Code ; Reporting Year ; Insurance Category Code ; Large Provider Entity Code ; Age Band Code ; Sex Code </v>
      </c>
      <c r="N6275" s="297" t="s">
        <v>197</v>
      </c>
      <c r="O6275" s="297" t="s">
        <v>198</v>
      </c>
      <c r="P6275" s="297" t="s">
        <v>199</v>
      </c>
      <c r="Q6275" s="297" t="s">
        <v>200</v>
      </c>
      <c r="R6275" s="297" t="s">
        <v>213</v>
      </c>
      <c r="S6275" s="297" t="s">
        <v>214</v>
      </c>
    </row>
    <row r="6276" spans="1:19" x14ac:dyDescent="0.4">
      <c r="A6276" s="291"/>
      <c r="B6276" s="292"/>
      <c r="C6276" s="312"/>
      <c r="D6276" s="292"/>
      <c r="E6276" s="489"/>
      <c r="F6276" s="489"/>
      <c r="G6276" s="490"/>
      <c r="H6276" s="520"/>
      <c r="I6276" s="523"/>
      <c r="J6276" s="521"/>
      <c r="K6276" s="522"/>
      <c r="M6276" s="301" t="str">
        <f>N6276&amp;AS[[#This Row],[Insurer Code]]&amp;"; "&amp;O6276&amp;AS[[#This Row],[Reporting Year]]&amp;"; "&amp;P6276&amp;AS[[#This Row],[Insurance Category Code]]&amp;"; "&amp;Q6276&amp;AS[[#This Row],[Large Provider Entity Code]]&amp;"; "&amp;R6276&amp;AS[[#This Row],[Age Band Code]]&amp;"; "&amp;S6276&amp;AS[[#This Row],[Sex Code]]</f>
        <v xml:space="preserve">Insurer Code ; Reporting Year ; Insurance Category Code ; Large Provider Entity Code ; Age Band Code ; Sex Code </v>
      </c>
      <c r="N6276" s="297" t="s">
        <v>197</v>
      </c>
      <c r="O6276" s="297" t="s">
        <v>198</v>
      </c>
      <c r="P6276" s="297" t="s">
        <v>199</v>
      </c>
      <c r="Q6276" s="297" t="s">
        <v>200</v>
      </c>
      <c r="R6276" s="297" t="s">
        <v>213</v>
      </c>
      <c r="S6276" s="297" t="s">
        <v>214</v>
      </c>
    </row>
    <row r="6277" spans="1:19" x14ac:dyDescent="0.4">
      <c r="A6277" s="291"/>
      <c r="B6277" s="292"/>
      <c r="C6277" s="312"/>
      <c r="D6277" s="292"/>
      <c r="E6277" s="489"/>
      <c r="F6277" s="489"/>
      <c r="G6277" s="490"/>
      <c r="H6277" s="520"/>
      <c r="I6277" s="523"/>
      <c r="J6277" s="521"/>
      <c r="K6277" s="522"/>
      <c r="M6277" s="301" t="str">
        <f>N6277&amp;AS[[#This Row],[Insurer Code]]&amp;"; "&amp;O6277&amp;AS[[#This Row],[Reporting Year]]&amp;"; "&amp;P6277&amp;AS[[#This Row],[Insurance Category Code]]&amp;"; "&amp;Q6277&amp;AS[[#This Row],[Large Provider Entity Code]]&amp;"; "&amp;R6277&amp;AS[[#This Row],[Age Band Code]]&amp;"; "&amp;S6277&amp;AS[[#This Row],[Sex Code]]</f>
        <v xml:space="preserve">Insurer Code ; Reporting Year ; Insurance Category Code ; Large Provider Entity Code ; Age Band Code ; Sex Code </v>
      </c>
      <c r="N6277" s="297" t="s">
        <v>197</v>
      </c>
      <c r="O6277" s="297" t="s">
        <v>198</v>
      </c>
      <c r="P6277" s="297" t="s">
        <v>199</v>
      </c>
      <c r="Q6277" s="297" t="s">
        <v>200</v>
      </c>
      <c r="R6277" s="297" t="s">
        <v>213</v>
      </c>
      <c r="S6277" s="297" t="s">
        <v>214</v>
      </c>
    </row>
    <row r="6278" spans="1:19" x14ac:dyDescent="0.4">
      <c r="A6278" s="291"/>
      <c r="B6278" s="292"/>
      <c r="C6278" s="312"/>
      <c r="D6278" s="292"/>
      <c r="E6278" s="489"/>
      <c r="F6278" s="489"/>
      <c r="G6278" s="490"/>
      <c r="H6278" s="520"/>
      <c r="I6278" s="523"/>
      <c r="J6278" s="521"/>
      <c r="K6278" s="522"/>
      <c r="M6278" s="301" t="str">
        <f>N6278&amp;AS[[#This Row],[Insurer Code]]&amp;"; "&amp;O6278&amp;AS[[#This Row],[Reporting Year]]&amp;"; "&amp;P6278&amp;AS[[#This Row],[Insurance Category Code]]&amp;"; "&amp;Q6278&amp;AS[[#This Row],[Large Provider Entity Code]]&amp;"; "&amp;R6278&amp;AS[[#This Row],[Age Band Code]]&amp;"; "&amp;S6278&amp;AS[[#This Row],[Sex Code]]</f>
        <v xml:space="preserve">Insurer Code ; Reporting Year ; Insurance Category Code ; Large Provider Entity Code ; Age Band Code ; Sex Code </v>
      </c>
      <c r="N6278" s="297" t="s">
        <v>197</v>
      </c>
      <c r="O6278" s="297" t="s">
        <v>198</v>
      </c>
      <c r="P6278" s="297" t="s">
        <v>199</v>
      </c>
      <c r="Q6278" s="297" t="s">
        <v>200</v>
      </c>
      <c r="R6278" s="297" t="s">
        <v>213</v>
      </c>
      <c r="S6278" s="297" t="s">
        <v>214</v>
      </c>
    </row>
    <row r="6279" spans="1:19" x14ac:dyDescent="0.4">
      <c r="A6279" s="291"/>
      <c r="B6279" s="292"/>
      <c r="C6279" s="312"/>
      <c r="D6279" s="292"/>
      <c r="E6279" s="489"/>
      <c r="F6279" s="489"/>
      <c r="G6279" s="490"/>
      <c r="H6279" s="520"/>
      <c r="I6279" s="523"/>
      <c r="J6279" s="521"/>
      <c r="K6279" s="522"/>
      <c r="M6279" s="301" t="str">
        <f>N6279&amp;AS[[#This Row],[Insurer Code]]&amp;"; "&amp;O6279&amp;AS[[#This Row],[Reporting Year]]&amp;"; "&amp;P6279&amp;AS[[#This Row],[Insurance Category Code]]&amp;"; "&amp;Q6279&amp;AS[[#This Row],[Large Provider Entity Code]]&amp;"; "&amp;R6279&amp;AS[[#This Row],[Age Band Code]]&amp;"; "&amp;S6279&amp;AS[[#This Row],[Sex Code]]</f>
        <v xml:space="preserve">Insurer Code ; Reporting Year ; Insurance Category Code ; Large Provider Entity Code ; Age Band Code ; Sex Code </v>
      </c>
      <c r="N6279" s="297" t="s">
        <v>197</v>
      </c>
      <c r="O6279" s="297" t="s">
        <v>198</v>
      </c>
      <c r="P6279" s="297" t="s">
        <v>199</v>
      </c>
      <c r="Q6279" s="297" t="s">
        <v>200</v>
      </c>
      <c r="R6279" s="297" t="s">
        <v>213</v>
      </c>
      <c r="S6279" s="297" t="s">
        <v>214</v>
      </c>
    </row>
    <row r="6280" spans="1:19" x14ac:dyDescent="0.4">
      <c r="A6280" s="291"/>
      <c r="B6280" s="292"/>
      <c r="C6280" s="312"/>
      <c r="D6280" s="292"/>
      <c r="E6280" s="489"/>
      <c r="F6280" s="489"/>
      <c r="G6280" s="490"/>
      <c r="H6280" s="520"/>
      <c r="I6280" s="523"/>
      <c r="J6280" s="521"/>
      <c r="K6280" s="522"/>
      <c r="M6280" s="301" t="str">
        <f>N6280&amp;AS[[#This Row],[Insurer Code]]&amp;"; "&amp;O6280&amp;AS[[#This Row],[Reporting Year]]&amp;"; "&amp;P6280&amp;AS[[#This Row],[Insurance Category Code]]&amp;"; "&amp;Q6280&amp;AS[[#This Row],[Large Provider Entity Code]]&amp;"; "&amp;R6280&amp;AS[[#This Row],[Age Band Code]]&amp;"; "&amp;S6280&amp;AS[[#This Row],[Sex Code]]</f>
        <v xml:space="preserve">Insurer Code ; Reporting Year ; Insurance Category Code ; Large Provider Entity Code ; Age Band Code ; Sex Code </v>
      </c>
      <c r="N6280" s="297" t="s">
        <v>197</v>
      </c>
      <c r="O6280" s="297" t="s">
        <v>198</v>
      </c>
      <c r="P6280" s="297" t="s">
        <v>199</v>
      </c>
      <c r="Q6280" s="297" t="s">
        <v>200</v>
      </c>
      <c r="R6280" s="297" t="s">
        <v>213</v>
      </c>
      <c r="S6280" s="297" t="s">
        <v>214</v>
      </c>
    </row>
    <row r="6281" spans="1:19" x14ac:dyDescent="0.4">
      <c r="A6281" s="291"/>
      <c r="B6281" s="292"/>
      <c r="C6281" s="312"/>
      <c r="D6281" s="292"/>
      <c r="E6281" s="489"/>
      <c r="F6281" s="489"/>
      <c r="G6281" s="490"/>
      <c r="H6281" s="520"/>
      <c r="I6281" s="523"/>
      <c r="J6281" s="521"/>
      <c r="K6281" s="522"/>
      <c r="M6281" s="301" t="str">
        <f>N6281&amp;AS[[#This Row],[Insurer Code]]&amp;"; "&amp;O6281&amp;AS[[#This Row],[Reporting Year]]&amp;"; "&amp;P6281&amp;AS[[#This Row],[Insurance Category Code]]&amp;"; "&amp;Q6281&amp;AS[[#This Row],[Large Provider Entity Code]]&amp;"; "&amp;R6281&amp;AS[[#This Row],[Age Band Code]]&amp;"; "&amp;S6281&amp;AS[[#This Row],[Sex Code]]</f>
        <v xml:space="preserve">Insurer Code ; Reporting Year ; Insurance Category Code ; Large Provider Entity Code ; Age Band Code ; Sex Code </v>
      </c>
      <c r="N6281" s="297" t="s">
        <v>197</v>
      </c>
      <c r="O6281" s="297" t="s">
        <v>198</v>
      </c>
      <c r="P6281" s="297" t="s">
        <v>199</v>
      </c>
      <c r="Q6281" s="297" t="s">
        <v>200</v>
      </c>
      <c r="R6281" s="297" t="s">
        <v>213</v>
      </c>
      <c r="S6281" s="297" t="s">
        <v>214</v>
      </c>
    </row>
    <row r="6282" spans="1:19" x14ac:dyDescent="0.4">
      <c r="A6282" s="291"/>
      <c r="B6282" s="292"/>
      <c r="C6282" s="312"/>
      <c r="D6282" s="292"/>
      <c r="E6282" s="489"/>
      <c r="F6282" s="489"/>
      <c r="G6282" s="490"/>
      <c r="H6282" s="520"/>
      <c r="I6282" s="523"/>
      <c r="J6282" s="521"/>
      <c r="K6282" s="522"/>
      <c r="M6282" s="301" t="str">
        <f>N6282&amp;AS[[#This Row],[Insurer Code]]&amp;"; "&amp;O6282&amp;AS[[#This Row],[Reporting Year]]&amp;"; "&amp;P6282&amp;AS[[#This Row],[Insurance Category Code]]&amp;"; "&amp;Q6282&amp;AS[[#This Row],[Large Provider Entity Code]]&amp;"; "&amp;R6282&amp;AS[[#This Row],[Age Band Code]]&amp;"; "&amp;S6282&amp;AS[[#This Row],[Sex Code]]</f>
        <v xml:space="preserve">Insurer Code ; Reporting Year ; Insurance Category Code ; Large Provider Entity Code ; Age Band Code ; Sex Code </v>
      </c>
      <c r="N6282" s="297" t="s">
        <v>197</v>
      </c>
      <c r="O6282" s="297" t="s">
        <v>198</v>
      </c>
      <c r="P6282" s="297" t="s">
        <v>199</v>
      </c>
      <c r="Q6282" s="297" t="s">
        <v>200</v>
      </c>
      <c r="R6282" s="297" t="s">
        <v>213</v>
      </c>
      <c r="S6282" s="297" t="s">
        <v>214</v>
      </c>
    </row>
    <row r="6283" spans="1:19" x14ac:dyDescent="0.4">
      <c r="A6283" s="291"/>
      <c r="B6283" s="292"/>
      <c r="C6283" s="312"/>
      <c r="D6283" s="292"/>
      <c r="E6283" s="489"/>
      <c r="F6283" s="489"/>
      <c r="G6283" s="490"/>
      <c r="H6283" s="520"/>
      <c r="I6283" s="523"/>
      <c r="J6283" s="521"/>
      <c r="K6283" s="522"/>
      <c r="M6283" s="301" t="str">
        <f>N6283&amp;AS[[#This Row],[Insurer Code]]&amp;"; "&amp;O6283&amp;AS[[#This Row],[Reporting Year]]&amp;"; "&amp;P6283&amp;AS[[#This Row],[Insurance Category Code]]&amp;"; "&amp;Q6283&amp;AS[[#This Row],[Large Provider Entity Code]]&amp;"; "&amp;R6283&amp;AS[[#This Row],[Age Band Code]]&amp;"; "&amp;S6283&amp;AS[[#This Row],[Sex Code]]</f>
        <v xml:space="preserve">Insurer Code ; Reporting Year ; Insurance Category Code ; Large Provider Entity Code ; Age Band Code ; Sex Code </v>
      </c>
      <c r="N6283" s="297" t="s">
        <v>197</v>
      </c>
      <c r="O6283" s="297" t="s">
        <v>198</v>
      </c>
      <c r="P6283" s="297" t="s">
        <v>199</v>
      </c>
      <c r="Q6283" s="297" t="s">
        <v>200</v>
      </c>
      <c r="R6283" s="297" t="s">
        <v>213</v>
      </c>
      <c r="S6283" s="297" t="s">
        <v>214</v>
      </c>
    </row>
    <row r="6284" spans="1:19" x14ac:dyDescent="0.4">
      <c r="A6284" s="291"/>
      <c r="B6284" s="292"/>
      <c r="C6284" s="312"/>
      <c r="D6284" s="292"/>
      <c r="E6284" s="489"/>
      <c r="F6284" s="489"/>
      <c r="G6284" s="490"/>
      <c r="H6284" s="520"/>
      <c r="I6284" s="523"/>
      <c r="J6284" s="521"/>
      <c r="K6284" s="522"/>
      <c r="M6284" s="301" t="str">
        <f>N6284&amp;AS[[#This Row],[Insurer Code]]&amp;"; "&amp;O6284&amp;AS[[#This Row],[Reporting Year]]&amp;"; "&amp;P6284&amp;AS[[#This Row],[Insurance Category Code]]&amp;"; "&amp;Q6284&amp;AS[[#This Row],[Large Provider Entity Code]]&amp;"; "&amp;R6284&amp;AS[[#This Row],[Age Band Code]]&amp;"; "&amp;S6284&amp;AS[[#This Row],[Sex Code]]</f>
        <v xml:space="preserve">Insurer Code ; Reporting Year ; Insurance Category Code ; Large Provider Entity Code ; Age Band Code ; Sex Code </v>
      </c>
      <c r="N6284" s="297" t="s">
        <v>197</v>
      </c>
      <c r="O6284" s="297" t="s">
        <v>198</v>
      </c>
      <c r="P6284" s="297" t="s">
        <v>199</v>
      </c>
      <c r="Q6284" s="297" t="s">
        <v>200</v>
      </c>
      <c r="R6284" s="297" t="s">
        <v>213</v>
      </c>
      <c r="S6284" s="297" t="s">
        <v>214</v>
      </c>
    </row>
    <row r="6285" spans="1:19" x14ac:dyDescent="0.4">
      <c r="A6285" s="291"/>
      <c r="B6285" s="292"/>
      <c r="C6285" s="312"/>
      <c r="D6285" s="292"/>
      <c r="E6285" s="489"/>
      <c r="F6285" s="489"/>
      <c r="G6285" s="490"/>
      <c r="H6285" s="520"/>
      <c r="I6285" s="523"/>
      <c r="J6285" s="521"/>
      <c r="K6285" s="522"/>
      <c r="M6285" s="301" t="str">
        <f>N6285&amp;AS[[#This Row],[Insurer Code]]&amp;"; "&amp;O6285&amp;AS[[#This Row],[Reporting Year]]&amp;"; "&amp;P6285&amp;AS[[#This Row],[Insurance Category Code]]&amp;"; "&amp;Q6285&amp;AS[[#This Row],[Large Provider Entity Code]]&amp;"; "&amp;R6285&amp;AS[[#This Row],[Age Band Code]]&amp;"; "&amp;S6285&amp;AS[[#This Row],[Sex Code]]</f>
        <v xml:space="preserve">Insurer Code ; Reporting Year ; Insurance Category Code ; Large Provider Entity Code ; Age Band Code ; Sex Code </v>
      </c>
      <c r="N6285" s="297" t="s">
        <v>197</v>
      </c>
      <c r="O6285" s="297" t="s">
        <v>198</v>
      </c>
      <c r="P6285" s="297" t="s">
        <v>199</v>
      </c>
      <c r="Q6285" s="297" t="s">
        <v>200</v>
      </c>
      <c r="R6285" s="297" t="s">
        <v>213</v>
      </c>
      <c r="S6285" s="297" t="s">
        <v>214</v>
      </c>
    </row>
    <row r="6286" spans="1:19" x14ac:dyDescent="0.4">
      <c r="A6286" s="291"/>
      <c r="B6286" s="292"/>
      <c r="C6286" s="312"/>
      <c r="D6286" s="292"/>
      <c r="E6286" s="489"/>
      <c r="F6286" s="489"/>
      <c r="G6286" s="490"/>
      <c r="H6286" s="520"/>
      <c r="I6286" s="523"/>
      <c r="J6286" s="521"/>
      <c r="K6286" s="522"/>
      <c r="M6286" s="301" t="str">
        <f>N6286&amp;AS[[#This Row],[Insurer Code]]&amp;"; "&amp;O6286&amp;AS[[#This Row],[Reporting Year]]&amp;"; "&amp;P6286&amp;AS[[#This Row],[Insurance Category Code]]&amp;"; "&amp;Q6286&amp;AS[[#This Row],[Large Provider Entity Code]]&amp;"; "&amp;R6286&amp;AS[[#This Row],[Age Band Code]]&amp;"; "&amp;S6286&amp;AS[[#This Row],[Sex Code]]</f>
        <v xml:space="preserve">Insurer Code ; Reporting Year ; Insurance Category Code ; Large Provider Entity Code ; Age Band Code ; Sex Code </v>
      </c>
      <c r="N6286" s="297" t="s">
        <v>197</v>
      </c>
      <c r="O6286" s="297" t="s">
        <v>198</v>
      </c>
      <c r="P6286" s="297" t="s">
        <v>199</v>
      </c>
      <c r="Q6286" s="297" t="s">
        <v>200</v>
      </c>
      <c r="R6286" s="297" t="s">
        <v>213</v>
      </c>
      <c r="S6286" s="297" t="s">
        <v>214</v>
      </c>
    </row>
    <row r="6287" spans="1:19" x14ac:dyDescent="0.4">
      <c r="A6287" s="291"/>
      <c r="B6287" s="292"/>
      <c r="C6287" s="312"/>
      <c r="D6287" s="292"/>
      <c r="E6287" s="489"/>
      <c r="F6287" s="489"/>
      <c r="G6287" s="490"/>
      <c r="H6287" s="520"/>
      <c r="I6287" s="523"/>
      <c r="J6287" s="521"/>
      <c r="K6287" s="522"/>
      <c r="M6287" s="301" t="str">
        <f>N6287&amp;AS[[#This Row],[Insurer Code]]&amp;"; "&amp;O6287&amp;AS[[#This Row],[Reporting Year]]&amp;"; "&amp;P6287&amp;AS[[#This Row],[Insurance Category Code]]&amp;"; "&amp;Q6287&amp;AS[[#This Row],[Large Provider Entity Code]]&amp;"; "&amp;R6287&amp;AS[[#This Row],[Age Band Code]]&amp;"; "&amp;S6287&amp;AS[[#This Row],[Sex Code]]</f>
        <v xml:space="preserve">Insurer Code ; Reporting Year ; Insurance Category Code ; Large Provider Entity Code ; Age Band Code ; Sex Code </v>
      </c>
      <c r="N6287" s="297" t="s">
        <v>197</v>
      </c>
      <c r="O6287" s="297" t="s">
        <v>198</v>
      </c>
      <c r="P6287" s="297" t="s">
        <v>199</v>
      </c>
      <c r="Q6287" s="297" t="s">
        <v>200</v>
      </c>
      <c r="R6287" s="297" t="s">
        <v>213</v>
      </c>
      <c r="S6287" s="297" t="s">
        <v>214</v>
      </c>
    </row>
    <row r="6288" spans="1:19" x14ac:dyDescent="0.4">
      <c r="A6288" s="291"/>
      <c r="B6288" s="292"/>
      <c r="C6288" s="312"/>
      <c r="D6288" s="292"/>
      <c r="E6288" s="489"/>
      <c r="F6288" s="489"/>
      <c r="G6288" s="490"/>
      <c r="H6288" s="520"/>
      <c r="I6288" s="523"/>
      <c r="J6288" s="521"/>
      <c r="K6288" s="522"/>
      <c r="M6288" s="301" t="str">
        <f>N6288&amp;AS[[#This Row],[Insurer Code]]&amp;"; "&amp;O6288&amp;AS[[#This Row],[Reporting Year]]&amp;"; "&amp;P6288&amp;AS[[#This Row],[Insurance Category Code]]&amp;"; "&amp;Q6288&amp;AS[[#This Row],[Large Provider Entity Code]]&amp;"; "&amp;R6288&amp;AS[[#This Row],[Age Band Code]]&amp;"; "&amp;S6288&amp;AS[[#This Row],[Sex Code]]</f>
        <v xml:space="preserve">Insurer Code ; Reporting Year ; Insurance Category Code ; Large Provider Entity Code ; Age Band Code ; Sex Code </v>
      </c>
      <c r="N6288" s="297" t="s">
        <v>197</v>
      </c>
      <c r="O6288" s="297" t="s">
        <v>198</v>
      </c>
      <c r="P6288" s="297" t="s">
        <v>199</v>
      </c>
      <c r="Q6288" s="297" t="s">
        <v>200</v>
      </c>
      <c r="R6288" s="297" t="s">
        <v>213</v>
      </c>
      <c r="S6288" s="297" t="s">
        <v>214</v>
      </c>
    </row>
    <row r="6289" spans="1:19" x14ac:dyDescent="0.4">
      <c r="A6289" s="291"/>
      <c r="B6289" s="292"/>
      <c r="C6289" s="312"/>
      <c r="D6289" s="292"/>
      <c r="E6289" s="489"/>
      <c r="F6289" s="489"/>
      <c r="G6289" s="490"/>
      <c r="H6289" s="520"/>
      <c r="I6289" s="523"/>
      <c r="J6289" s="521"/>
      <c r="K6289" s="522"/>
      <c r="M6289" s="301" t="str">
        <f>N6289&amp;AS[[#This Row],[Insurer Code]]&amp;"; "&amp;O6289&amp;AS[[#This Row],[Reporting Year]]&amp;"; "&amp;P6289&amp;AS[[#This Row],[Insurance Category Code]]&amp;"; "&amp;Q6289&amp;AS[[#This Row],[Large Provider Entity Code]]&amp;"; "&amp;R6289&amp;AS[[#This Row],[Age Band Code]]&amp;"; "&amp;S6289&amp;AS[[#This Row],[Sex Code]]</f>
        <v xml:space="preserve">Insurer Code ; Reporting Year ; Insurance Category Code ; Large Provider Entity Code ; Age Band Code ; Sex Code </v>
      </c>
      <c r="N6289" s="297" t="s">
        <v>197</v>
      </c>
      <c r="O6289" s="297" t="s">
        <v>198</v>
      </c>
      <c r="P6289" s="297" t="s">
        <v>199</v>
      </c>
      <c r="Q6289" s="297" t="s">
        <v>200</v>
      </c>
      <c r="R6289" s="297" t="s">
        <v>213</v>
      </c>
      <c r="S6289" s="297" t="s">
        <v>214</v>
      </c>
    </row>
    <row r="6290" spans="1:19" x14ac:dyDescent="0.4">
      <c r="A6290" s="291"/>
      <c r="B6290" s="292"/>
      <c r="C6290" s="312"/>
      <c r="D6290" s="292"/>
      <c r="E6290" s="489"/>
      <c r="F6290" s="489"/>
      <c r="G6290" s="490"/>
      <c r="H6290" s="520"/>
      <c r="I6290" s="523"/>
      <c r="J6290" s="521"/>
      <c r="K6290" s="522"/>
      <c r="M6290" s="301" t="str">
        <f>N6290&amp;AS[[#This Row],[Insurer Code]]&amp;"; "&amp;O6290&amp;AS[[#This Row],[Reporting Year]]&amp;"; "&amp;P6290&amp;AS[[#This Row],[Insurance Category Code]]&amp;"; "&amp;Q6290&amp;AS[[#This Row],[Large Provider Entity Code]]&amp;"; "&amp;R6290&amp;AS[[#This Row],[Age Band Code]]&amp;"; "&amp;S6290&amp;AS[[#This Row],[Sex Code]]</f>
        <v xml:space="preserve">Insurer Code ; Reporting Year ; Insurance Category Code ; Large Provider Entity Code ; Age Band Code ; Sex Code </v>
      </c>
      <c r="N6290" s="297" t="s">
        <v>197</v>
      </c>
      <c r="O6290" s="297" t="s">
        <v>198</v>
      </c>
      <c r="P6290" s="297" t="s">
        <v>199</v>
      </c>
      <c r="Q6290" s="297" t="s">
        <v>200</v>
      </c>
      <c r="R6290" s="297" t="s">
        <v>213</v>
      </c>
      <c r="S6290" s="297" t="s">
        <v>214</v>
      </c>
    </row>
    <row r="6291" spans="1:19" x14ac:dyDescent="0.4">
      <c r="A6291" s="291"/>
      <c r="B6291" s="292"/>
      <c r="C6291" s="312"/>
      <c r="D6291" s="292"/>
      <c r="E6291" s="489"/>
      <c r="F6291" s="489"/>
      <c r="G6291" s="490"/>
      <c r="H6291" s="520"/>
      <c r="I6291" s="523"/>
      <c r="J6291" s="521"/>
      <c r="K6291" s="522"/>
      <c r="M6291" s="301" t="str">
        <f>N6291&amp;AS[[#This Row],[Insurer Code]]&amp;"; "&amp;O6291&amp;AS[[#This Row],[Reporting Year]]&amp;"; "&amp;P6291&amp;AS[[#This Row],[Insurance Category Code]]&amp;"; "&amp;Q6291&amp;AS[[#This Row],[Large Provider Entity Code]]&amp;"; "&amp;R6291&amp;AS[[#This Row],[Age Band Code]]&amp;"; "&amp;S6291&amp;AS[[#This Row],[Sex Code]]</f>
        <v xml:space="preserve">Insurer Code ; Reporting Year ; Insurance Category Code ; Large Provider Entity Code ; Age Band Code ; Sex Code </v>
      </c>
      <c r="N6291" s="297" t="s">
        <v>197</v>
      </c>
      <c r="O6291" s="297" t="s">
        <v>198</v>
      </c>
      <c r="P6291" s="297" t="s">
        <v>199</v>
      </c>
      <c r="Q6291" s="297" t="s">
        <v>200</v>
      </c>
      <c r="R6291" s="297" t="s">
        <v>213</v>
      </c>
      <c r="S6291" s="297" t="s">
        <v>214</v>
      </c>
    </row>
    <row r="6292" spans="1:19" x14ac:dyDescent="0.4">
      <c r="A6292" s="291"/>
      <c r="B6292" s="292"/>
      <c r="C6292" s="312"/>
      <c r="D6292" s="292"/>
      <c r="E6292" s="489"/>
      <c r="F6292" s="489"/>
      <c r="G6292" s="490"/>
      <c r="H6292" s="520"/>
      <c r="I6292" s="523"/>
      <c r="J6292" s="521"/>
      <c r="K6292" s="522"/>
      <c r="M6292" s="301" t="str">
        <f>N6292&amp;AS[[#This Row],[Insurer Code]]&amp;"; "&amp;O6292&amp;AS[[#This Row],[Reporting Year]]&amp;"; "&amp;P6292&amp;AS[[#This Row],[Insurance Category Code]]&amp;"; "&amp;Q6292&amp;AS[[#This Row],[Large Provider Entity Code]]&amp;"; "&amp;R6292&amp;AS[[#This Row],[Age Band Code]]&amp;"; "&amp;S6292&amp;AS[[#This Row],[Sex Code]]</f>
        <v xml:space="preserve">Insurer Code ; Reporting Year ; Insurance Category Code ; Large Provider Entity Code ; Age Band Code ; Sex Code </v>
      </c>
      <c r="N6292" s="297" t="s">
        <v>197</v>
      </c>
      <c r="O6292" s="297" t="s">
        <v>198</v>
      </c>
      <c r="P6292" s="297" t="s">
        <v>199</v>
      </c>
      <c r="Q6292" s="297" t="s">
        <v>200</v>
      </c>
      <c r="R6292" s="297" t="s">
        <v>213</v>
      </c>
      <c r="S6292" s="297" t="s">
        <v>214</v>
      </c>
    </row>
    <row r="6293" spans="1:19" x14ac:dyDescent="0.4">
      <c r="A6293" s="291"/>
      <c r="B6293" s="292"/>
      <c r="C6293" s="312"/>
      <c r="D6293" s="292"/>
      <c r="E6293" s="489"/>
      <c r="F6293" s="489"/>
      <c r="G6293" s="490"/>
      <c r="H6293" s="520"/>
      <c r="I6293" s="523"/>
      <c r="J6293" s="521"/>
      <c r="K6293" s="522"/>
      <c r="M6293" s="301" t="str">
        <f>N6293&amp;AS[[#This Row],[Insurer Code]]&amp;"; "&amp;O6293&amp;AS[[#This Row],[Reporting Year]]&amp;"; "&amp;P6293&amp;AS[[#This Row],[Insurance Category Code]]&amp;"; "&amp;Q6293&amp;AS[[#This Row],[Large Provider Entity Code]]&amp;"; "&amp;R6293&amp;AS[[#This Row],[Age Band Code]]&amp;"; "&amp;S6293&amp;AS[[#This Row],[Sex Code]]</f>
        <v xml:space="preserve">Insurer Code ; Reporting Year ; Insurance Category Code ; Large Provider Entity Code ; Age Band Code ; Sex Code </v>
      </c>
      <c r="N6293" s="297" t="s">
        <v>197</v>
      </c>
      <c r="O6293" s="297" t="s">
        <v>198</v>
      </c>
      <c r="P6293" s="297" t="s">
        <v>199</v>
      </c>
      <c r="Q6293" s="297" t="s">
        <v>200</v>
      </c>
      <c r="R6293" s="297" t="s">
        <v>213</v>
      </c>
      <c r="S6293" s="297" t="s">
        <v>214</v>
      </c>
    </row>
    <row r="6294" spans="1:19" x14ac:dyDescent="0.4">
      <c r="A6294" s="291"/>
      <c r="B6294" s="292"/>
      <c r="C6294" s="312"/>
      <c r="D6294" s="292"/>
      <c r="E6294" s="489"/>
      <c r="F6294" s="489"/>
      <c r="G6294" s="490"/>
      <c r="H6294" s="520"/>
      <c r="I6294" s="523"/>
      <c r="J6294" s="521"/>
      <c r="K6294" s="522"/>
      <c r="M6294" s="301" t="str">
        <f>N6294&amp;AS[[#This Row],[Insurer Code]]&amp;"; "&amp;O6294&amp;AS[[#This Row],[Reporting Year]]&amp;"; "&amp;P6294&amp;AS[[#This Row],[Insurance Category Code]]&amp;"; "&amp;Q6294&amp;AS[[#This Row],[Large Provider Entity Code]]&amp;"; "&amp;R6294&amp;AS[[#This Row],[Age Band Code]]&amp;"; "&amp;S6294&amp;AS[[#This Row],[Sex Code]]</f>
        <v xml:space="preserve">Insurer Code ; Reporting Year ; Insurance Category Code ; Large Provider Entity Code ; Age Band Code ; Sex Code </v>
      </c>
      <c r="N6294" s="297" t="s">
        <v>197</v>
      </c>
      <c r="O6294" s="297" t="s">
        <v>198</v>
      </c>
      <c r="P6294" s="297" t="s">
        <v>199</v>
      </c>
      <c r="Q6294" s="297" t="s">
        <v>200</v>
      </c>
      <c r="R6294" s="297" t="s">
        <v>213</v>
      </c>
      <c r="S6294" s="297" t="s">
        <v>214</v>
      </c>
    </row>
    <row r="6295" spans="1:19" x14ac:dyDescent="0.4">
      <c r="A6295" s="291"/>
      <c r="B6295" s="292"/>
      <c r="C6295" s="312"/>
      <c r="D6295" s="292"/>
      <c r="E6295" s="489"/>
      <c r="F6295" s="489"/>
      <c r="G6295" s="490"/>
      <c r="H6295" s="520"/>
      <c r="I6295" s="523"/>
      <c r="J6295" s="521"/>
      <c r="K6295" s="522"/>
      <c r="M6295" s="301" t="str">
        <f>N6295&amp;AS[[#This Row],[Insurer Code]]&amp;"; "&amp;O6295&amp;AS[[#This Row],[Reporting Year]]&amp;"; "&amp;P6295&amp;AS[[#This Row],[Insurance Category Code]]&amp;"; "&amp;Q6295&amp;AS[[#This Row],[Large Provider Entity Code]]&amp;"; "&amp;R6295&amp;AS[[#This Row],[Age Band Code]]&amp;"; "&amp;S6295&amp;AS[[#This Row],[Sex Code]]</f>
        <v xml:space="preserve">Insurer Code ; Reporting Year ; Insurance Category Code ; Large Provider Entity Code ; Age Band Code ; Sex Code </v>
      </c>
      <c r="N6295" s="297" t="s">
        <v>197</v>
      </c>
      <c r="O6295" s="297" t="s">
        <v>198</v>
      </c>
      <c r="P6295" s="297" t="s">
        <v>199</v>
      </c>
      <c r="Q6295" s="297" t="s">
        <v>200</v>
      </c>
      <c r="R6295" s="297" t="s">
        <v>213</v>
      </c>
      <c r="S6295" s="297" t="s">
        <v>214</v>
      </c>
    </row>
    <row r="6296" spans="1:19" x14ac:dyDescent="0.4">
      <c r="A6296" s="291"/>
      <c r="B6296" s="292"/>
      <c r="C6296" s="312"/>
      <c r="D6296" s="292"/>
      <c r="E6296" s="489"/>
      <c r="F6296" s="489"/>
      <c r="G6296" s="490"/>
      <c r="H6296" s="520"/>
      <c r="I6296" s="523"/>
      <c r="J6296" s="521"/>
      <c r="K6296" s="522"/>
      <c r="M6296" s="301" t="str">
        <f>N6296&amp;AS[[#This Row],[Insurer Code]]&amp;"; "&amp;O6296&amp;AS[[#This Row],[Reporting Year]]&amp;"; "&amp;P6296&amp;AS[[#This Row],[Insurance Category Code]]&amp;"; "&amp;Q6296&amp;AS[[#This Row],[Large Provider Entity Code]]&amp;"; "&amp;R6296&amp;AS[[#This Row],[Age Band Code]]&amp;"; "&amp;S6296&amp;AS[[#This Row],[Sex Code]]</f>
        <v xml:space="preserve">Insurer Code ; Reporting Year ; Insurance Category Code ; Large Provider Entity Code ; Age Band Code ; Sex Code </v>
      </c>
      <c r="N6296" s="297" t="s">
        <v>197</v>
      </c>
      <c r="O6296" s="297" t="s">
        <v>198</v>
      </c>
      <c r="P6296" s="297" t="s">
        <v>199</v>
      </c>
      <c r="Q6296" s="297" t="s">
        <v>200</v>
      </c>
      <c r="R6296" s="297" t="s">
        <v>213</v>
      </c>
      <c r="S6296" s="297" t="s">
        <v>214</v>
      </c>
    </row>
    <row r="6297" spans="1:19" x14ac:dyDescent="0.4">
      <c r="A6297" s="291"/>
      <c r="B6297" s="292"/>
      <c r="C6297" s="312"/>
      <c r="D6297" s="292"/>
      <c r="E6297" s="489"/>
      <c r="F6297" s="489"/>
      <c r="G6297" s="490"/>
      <c r="H6297" s="520"/>
      <c r="I6297" s="523"/>
      <c r="J6297" s="521"/>
      <c r="K6297" s="522"/>
      <c r="M6297" s="301" t="str">
        <f>N6297&amp;AS[[#This Row],[Insurer Code]]&amp;"; "&amp;O6297&amp;AS[[#This Row],[Reporting Year]]&amp;"; "&amp;P6297&amp;AS[[#This Row],[Insurance Category Code]]&amp;"; "&amp;Q6297&amp;AS[[#This Row],[Large Provider Entity Code]]&amp;"; "&amp;R6297&amp;AS[[#This Row],[Age Band Code]]&amp;"; "&amp;S6297&amp;AS[[#This Row],[Sex Code]]</f>
        <v xml:space="preserve">Insurer Code ; Reporting Year ; Insurance Category Code ; Large Provider Entity Code ; Age Band Code ; Sex Code </v>
      </c>
      <c r="N6297" s="297" t="s">
        <v>197</v>
      </c>
      <c r="O6297" s="297" t="s">
        <v>198</v>
      </c>
      <c r="P6297" s="297" t="s">
        <v>199</v>
      </c>
      <c r="Q6297" s="297" t="s">
        <v>200</v>
      </c>
      <c r="R6297" s="297" t="s">
        <v>213</v>
      </c>
      <c r="S6297" s="297" t="s">
        <v>214</v>
      </c>
    </row>
    <row r="6298" spans="1:19" x14ac:dyDescent="0.4">
      <c r="A6298" s="548"/>
      <c r="B6298" s="292"/>
      <c r="C6298" s="292"/>
      <c r="D6298" s="292"/>
      <c r="E6298" s="549"/>
      <c r="F6298" s="549"/>
      <c r="G6298" s="550"/>
      <c r="H6298" s="551"/>
      <c r="I6298" s="552"/>
      <c r="J6298" s="553"/>
      <c r="K6298" s="554"/>
      <c r="M6298" s="301" t="str">
        <f>N6298&amp;AS[[#This Row],[Insurer Code]]&amp;"; "&amp;O6298&amp;AS[[#This Row],[Reporting Year]]&amp;"; "&amp;P6298&amp;AS[[#This Row],[Insurance Category Code]]&amp;"; "&amp;Q6298&amp;AS[[#This Row],[Large Provider Entity Code]]&amp;"; "&amp;R6298&amp;AS[[#This Row],[Age Band Code]]&amp;"; "&amp;S6298&amp;AS[[#This Row],[Sex Code]]</f>
        <v xml:space="preserve">Insurer Code ; Reporting Year ; Insurance Category Code ; Large Provider Entity Code ; Age Band Code ; Sex Code </v>
      </c>
      <c r="N6298" s="297" t="s">
        <v>197</v>
      </c>
      <c r="O6298" s="297" t="s">
        <v>198</v>
      </c>
      <c r="P6298" s="297" t="s">
        <v>199</v>
      </c>
      <c r="Q6298" s="297" t="s">
        <v>200</v>
      </c>
      <c r="R6298" s="297" t="s">
        <v>213</v>
      </c>
      <c r="S6298" s="297" t="s">
        <v>214</v>
      </c>
    </row>
    <row r="6299" spans="1:19" x14ac:dyDescent="0.4">
      <c r="A6299" s="548"/>
      <c r="B6299" s="292"/>
      <c r="C6299" s="292"/>
      <c r="D6299" s="292"/>
      <c r="E6299" s="549"/>
      <c r="F6299" s="549"/>
      <c r="G6299" s="550"/>
      <c r="H6299" s="551"/>
      <c r="I6299" s="552"/>
      <c r="J6299" s="553"/>
      <c r="K6299" s="554"/>
      <c r="M6299" s="301" t="str">
        <f>N6299&amp;AS[[#This Row],[Insurer Code]]&amp;"; "&amp;O6299&amp;AS[[#This Row],[Reporting Year]]&amp;"; "&amp;P6299&amp;AS[[#This Row],[Insurance Category Code]]&amp;"; "&amp;Q6299&amp;AS[[#This Row],[Large Provider Entity Code]]&amp;"; "&amp;R6299&amp;AS[[#This Row],[Age Band Code]]&amp;"; "&amp;S6299&amp;AS[[#This Row],[Sex Code]]</f>
        <v xml:space="preserve">Insurer Code ; Reporting Year ; Insurance Category Code ; Large Provider Entity Code ; Age Band Code ; Sex Code </v>
      </c>
      <c r="N6299" s="297" t="s">
        <v>197</v>
      </c>
      <c r="O6299" s="297" t="s">
        <v>198</v>
      </c>
      <c r="P6299" s="297" t="s">
        <v>199</v>
      </c>
      <c r="Q6299" s="297" t="s">
        <v>200</v>
      </c>
      <c r="R6299" s="297" t="s">
        <v>213</v>
      </c>
      <c r="S6299" s="297" t="s">
        <v>214</v>
      </c>
    </row>
    <row r="6300" spans="1:19" x14ac:dyDescent="0.4">
      <c r="A6300" s="548"/>
      <c r="B6300" s="292"/>
      <c r="C6300" s="292"/>
      <c r="D6300" s="292"/>
      <c r="E6300" s="549"/>
      <c r="F6300" s="549"/>
      <c r="G6300" s="550"/>
      <c r="H6300" s="551"/>
      <c r="I6300" s="552"/>
      <c r="J6300" s="553"/>
      <c r="K6300" s="554"/>
      <c r="M6300" s="301" t="str">
        <f>N6300&amp;AS[[#This Row],[Insurer Code]]&amp;"; "&amp;O6300&amp;AS[[#This Row],[Reporting Year]]&amp;"; "&amp;P6300&amp;AS[[#This Row],[Insurance Category Code]]&amp;"; "&amp;Q6300&amp;AS[[#This Row],[Large Provider Entity Code]]&amp;"; "&amp;R6300&amp;AS[[#This Row],[Age Band Code]]&amp;"; "&amp;S6300&amp;AS[[#This Row],[Sex Code]]</f>
        <v xml:space="preserve">Insurer Code ; Reporting Year ; Insurance Category Code ; Large Provider Entity Code ; Age Band Code ; Sex Code </v>
      </c>
      <c r="N6300" s="297" t="s">
        <v>197</v>
      </c>
      <c r="O6300" s="297" t="s">
        <v>198</v>
      </c>
      <c r="P6300" s="297" t="s">
        <v>199</v>
      </c>
      <c r="Q6300" s="297" t="s">
        <v>200</v>
      </c>
      <c r="R6300" s="297" t="s">
        <v>213</v>
      </c>
      <c r="S6300" s="297" t="s">
        <v>214</v>
      </c>
    </row>
    <row r="6301" spans="1:19" x14ac:dyDescent="0.4">
      <c r="A6301" s="548"/>
      <c r="B6301" s="292"/>
      <c r="C6301" s="292"/>
      <c r="D6301" s="292"/>
      <c r="E6301" s="549"/>
      <c r="F6301" s="549"/>
      <c r="G6301" s="550"/>
      <c r="H6301" s="551"/>
      <c r="I6301" s="552"/>
      <c r="J6301" s="553"/>
      <c r="K6301" s="554"/>
      <c r="M6301" s="301" t="str">
        <f>N6301&amp;AS[[#This Row],[Insurer Code]]&amp;"; "&amp;O6301&amp;AS[[#This Row],[Reporting Year]]&amp;"; "&amp;P6301&amp;AS[[#This Row],[Insurance Category Code]]&amp;"; "&amp;Q6301&amp;AS[[#This Row],[Large Provider Entity Code]]&amp;"; "&amp;R6301&amp;AS[[#This Row],[Age Band Code]]&amp;"; "&amp;S6301&amp;AS[[#This Row],[Sex Code]]</f>
        <v xml:space="preserve">Insurer Code ; Reporting Year ; Insurance Category Code ; Large Provider Entity Code ; Age Band Code ; Sex Code </v>
      </c>
      <c r="N6301" s="297" t="s">
        <v>197</v>
      </c>
      <c r="O6301" s="297" t="s">
        <v>198</v>
      </c>
      <c r="P6301" s="297" t="s">
        <v>199</v>
      </c>
      <c r="Q6301" s="297" t="s">
        <v>200</v>
      </c>
      <c r="R6301" s="297" t="s">
        <v>213</v>
      </c>
      <c r="S6301" s="297" t="s">
        <v>214</v>
      </c>
    </row>
    <row r="6302" spans="1:19" x14ac:dyDescent="0.4">
      <c r="A6302" s="548"/>
      <c r="B6302" s="292"/>
      <c r="C6302" s="292"/>
      <c r="D6302" s="292"/>
      <c r="E6302" s="549"/>
      <c r="F6302" s="549"/>
      <c r="G6302" s="550"/>
      <c r="H6302" s="551"/>
      <c r="I6302" s="552"/>
      <c r="J6302" s="553"/>
      <c r="K6302" s="554"/>
      <c r="M6302" s="301" t="str">
        <f>N6302&amp;AS[[#This Row],[Insurer Code]]&amp;"; "&amp;O6302&amp;AS[[#This Row],[Reporting Year]]&amp;"; "&amp;P6302&amp;AS[[#This Row],[Insurance Category Code]]&amp;"; "&amp;Q6302&amp;AS[[#This Row],[Large Provider Entity Code]]&amp;"; "&amp;R6302&amp;AS[[#This Row],[Age Band Code]]&amp;"; "&amp;S6302&amp;AS[[#This Row],[Sex Code]]</f>
        <v xml:space="preserve">Insurer Code ; Reporting Year ; Insurance Category Code ; Large Provider Entity Code ; Age Band Code ; Sex Code </v>
      </c>
      <c r="N6302" s="297" t="s">
        <v>197</v>
      </c>
      <c r="O6302" s="297" t="s">
        <v>198</v>
      </c>
      <c r="P6302" s="297" t="s">
        <v>199</v>
      </c>
      <c r="Q6302" s="297" t="s">
        <v>200</v>
      </c>
      <c r="R6302" s="297" t="s">
        <v>213</v>
      </c>
      <c r="S6302" s="297" t="s">
        <v>214</v>
      </c>
    </row>
    <row r="6303" spans="1:19" x14ac:dyDescent="0.4">
      <c r="A6303" s="548"/>
      <c r="B6303" s="292"/>
      <c r="C6303" s="292"/>
      <c r="D6303" s="292"/>
      <c r="E6303" s="549"/>
      <c r="F6303" s="549"/>
      <c r="G6303" s="550"/>
      <c r="H6303" s="551"/>
      <c r="I6303" s="552"/>
      <c r="J6303" s="553"/>
      <c r="K6303" s="554"/>
      <c r="M6303" s="301" t="str">
        <f>N6303&amp;AS[[#This Row],[Insurer Code]]&amp;"; "&amp;O6303&amp;AS[[#This Row],[Reporting Year]]&amp;"; "&amp;P6303&amp;AS[[#This Row],[Insurance Category Code]]&amp;"; "&amp;Q6303&amp;AS[[#This Row],[Large Provider Entity Code]]&amp;"; "&amp;R6303&amp;AS[[#This Row],[Age Band Code]]&amp;"; "&amp;S6303&amp;AS[[#This Row],[Sex Code]]</f>
        <v xml:space="preserve">Insurer Code ; Reporting Year ; Insurance Category Code ; Large Provider Entity Code ; Age Band Code ; Sex Code </v>
      </c>
      <c r="N6303" s="297" t="s">
        <v>197</v>
      </c>
      <c r="O6303" s="297" t="s">
        <v>198</v>
      </c>
      <c r="P6303" s="297" t="s">
        <v>199</v>
      </c>
      <c r="Q6303" s="297" t="s">
        <v>200</v>
      </c>
      <c r="R6303" s="297" t="s">
        <v>213</v>
      </c>
      <c r="S6303" s="297" t="s">
        <v>214</v>
      </c>
    </row>
    <row r="6304" spans="1:19" x14ac:dyDescent="0.4">
      <c r="A6304" s="548"/>
      <c r="B6304" s="292"/>
      <c r="C6304" s="292"/>
      <c r="D6304" s="292"/>
      <c r="E6304" s="549"/>
      <c r="F6304" s="549"/>
      <c r="G6304" s="550"/>
      <c r="H6304" s="551"/>
      <c r="I6304" s="552"/>
      <c r="J6304" s="553"/>
      <c r="K6304" s="554"/>
      <c r="M6304" s="301" t="str">
        <f>N6304&amp;AS[[#This Row],[Insurer Code]]&amp;"; "&amp;O6304&amp;AS[[#This Row],[Reporting Year]]&amp;"; "&amp;P6304&amp;AS[[#This Row],[Insurance Category Code]]&amp;"; "&amp;Q6304&amp;AS[[#This Row],[Large Provider Entity Code]]&amp;"; "&amp;R6304&amp;AS[[#This Row],[Age Band Code]]&amp;"; "&amp;S6304&amp;AS[[#This Row],[Sex Code]]</f>
        <v xml:space="preserve">Insurer Code ; Reporting Year ; Insurance Category Code ; Large Provider Entity Code ; Age Band Code ; Sex Code </v>
      </c>
      <c r="N6304" s="297" t="s">
        <v>197</v>
      </c>
      <c r="O6304" s="297" t="s">
        <v>198</v>
      </c>
      <c r="P6304" s="297" t="s">
        <v>199</v>
      </c>
      <c r="Q6304" s="297" t="s">
        <v>200</v>
      </c>
      <c r="R6304" s="297" t="s">
        <v>213</v>
      </c>
      <c r="S6304" s="297" t="s">
        <v>214</v>
      </c>
    </row>
    <row r="6305" spans="1:19" x14ac:dyDescent="0.4">
      <c r="A6305" s="548"/>
      <c r="B6305" s="292"/>
      <c r="C6305" s="292"/>
      <c r="D6305" s="292"/>
      <c r="E6305" s="549"/>
      <c r="F6305" s="549"/>
      <c r="G6305" s="550"/>
      <c r="H6305" s="551"/>
      <c r="I6305" s="552"/>
      <c r="J6305" s="553"/>
      <c r="K6305" s="554"/>
      <c r="M6305" s="301" t="str">
        <f>N6305&amp;AS[[#This Row],[Insurer Code]]&amp;"; "&amp;O6305&amp;AS[[#This Row],[Reporting Year]]&amp;"; "&amp;P6305&amp;AS[[#This Row],[Insurance Category Code]]&amp;"; "&amp;Q6305&amp;AS[[#This Row],[Large Provider Entity Code]]&amp;"; "&amp;R6305&amp;AS[[#This Row],[Age Band Code]]&amp;"; "&amp;S6305&amp;AS[[#This Row],[Sex Code]]</f>
        <v xml:space="preserve">Insurer Code ; Reporting Year ; Insurance Category Code ; Large Provider Entity Code ; Age Band Code ; Sex Code </v>
      </c>
      <c r="N6305" s="297" t="s">
        <v>197</v>
      </c>
      <c r="O6305" s="297" t="s">
        <v>198</v>
      </c>
      <c r="P6305" s="297" t="s">
        <v>199</v>
      </c>
      <c r="Q6305" s="297" t="s">
        <v>200</v>
      </c>
      <c r="R6305" s="297" t="s">
        <v>213</v>
      </c>
      <c r="S6305" s="297" t="s">
        <v>214</v>
      </c>
    </row>
    <row r="6306" spans="1:19" x14ac:dyDescent="0.4">
      <c r="A6306" s="548"/>
      <c r="B6306" s="292"/>
      <c r="C6306" s="292"/>
      <c r="D6306" s="292"/>
      <c r="E6306" s="549"/>
      <c r="F6306" s="549"/>
      <c r="G6306" s="550"/>
      <c r="H6306" s="551"/>
      <c r="I6306" s="552"/>
      <c r="J6306" s="553"/>
      <c r="K6306" s="554"/>
      <c r="M6306" s="301" t="str">
        <f>N6306&amp;AS[[#This Row],[Insurer Code]]&amp;"; "&amp;O6306&amp;AS[[#This Row],[Reporting Year]]&amp;"; "&amp;P6306&amp;AS[[#This Row],[Insurance Category Code]]&amp;"; "&amp;Q6306&amp;AS[[#This Row],[Large Provider Entity Code]]&amp;"; "&amp;R6306&amp;AS[[#This Row],[Age Band Code]]&amp;"; "&amp;S6306&amp;AS[[#This Row],[Sex Code]]</f>
        <v xml:space="preserve">Insurer Code ; Reporting Year ; Insurance Category Code ; Large Provider Entity Code ; Age Band Code ; Sex Code </v>
      </c>
      <c r="N6306" s="297" t="s">
        <v>197</v>
      </c>
      <c r="O6306" s="297" t="s">
        <v>198</v>
      </c>
      <c r="P6306" s="297" t="s">
        <v>199</v>
      </c>
      <c r="Q6306" s="297" t="s">
        <v>200</v>
      </c>
      <c r="R6306" s="297" t="s">
        <v>213</v>
      </c>
      <c r="S6306" s="297" t="s">
        <v>214</v>
      </c>
    </row>
    <row r="6307" spans="1:19" x14ac:dyDescent="0.4">
      <c r="A6307" s="548"/>
      <c r="B6307" s="292"/>
      <c r="C6307" s="292"/>
      <c r="D6307" s="292"/>
      <c r="E6307" s="549"/>
      <c r="F6307" s="549"/>
      <c r="G6307" s="550"/>
      <c r="H6307" s="551"/>
      <c r="I6307" s="552"/>
      <c r="J6307" s="553"/>
      <c r="K6307" s="554"/>
      <c r="M6307" s="301" t="str">
        <f>N6307&amp;AS[[#This Row],[Insurer Code]]&amp;"; "&amp;O6307&amp;AS[[#This Row],[Reporting Year]]&amp;"; "&amp;P6307&amp;AS[[#This Row],[Insurance Category Code]]&amp;"; "&amp;Q6307&amp;AS[[#This Row],[Large Provider Entity Code]]&amp;"; "&amp;R6307&amp;AS[[#This Row],[Age Band Code]]&amp;"; "&amp;S6307&amp;AS[[#This Row],[Sex Code]]</f>
        <v xml:space="preserve">Insurer Code ; Reporting Year ; Insurance Category Code ; Large Provider Entity Code ; Age Band Code ; Sex Code </v>
      </c>
      <c r="N6307" s="297" t="s">
        <v>197</v>
      </c>
      <c r="O6307" s="297" t="s">
        <v>198</v>
      </c>
      <c r="P6307" s="297" t="s">
        <v>199</v>
      </c>
      <c r="Q6307" s="297" t="s">
        <v>200</v>
      </c>
      <c r="R6307" s="297" t="s">
        <v>213</v>
      </c>
      <c r="S6307" s="297" t="s">
        <v>214</v>
      </c>
    </row>
    <row r="6308" spans="1:19" x14ac:dyDescent="0.4">
      <c r="A6308" s="548"/>
      <c r="B6308" s="292"/>
      <c r="C6308" s="292"/>
      <c r="D6308" s="292"/>
      <c r="E6308" s="549"/>
      <c r="F6308" s="549"/>
      <c r="G6308" s="550"/>
      <c r="H6308" s="551"/>
      <c r="I6308" s="552"/>
      <c r="J6308" s="553"/>
      <c r="K6308" s="554"/>
      <c r="M6308" s="301" t="str">
        <f>N6308&amp;AS[[#This Row],[Insurer Code]]&amp;"; "&amp;O6308&amp;AS[[#This Row],[Reporting Year]]&amp;"; "&amp;P6308&amp;AS[[#This Row],[Insurance Category Code]]&amp;"; "&amp;Q6308&amp;AS[[#This Row],[Large Provider Entity Code]]&amp;"; "&amp;R6308&amp;AS[[#This Row],[Age Band Code]]&amp;"; "&amp;S6308&amp;AS[[#This Row],[Sex Code]]</f>
        <v xml:space="preserve">Insurer Code ; Reporting Year ; Insurance Category Code ; Large Provider Entity Code ; Age Band Code ; Sex Code </v>
      </c>
      <c r="N6308" s="297" t="s">
        <v>197</v>
      </c>
      <c r="O6308" s="297" t="s">
        <v>198</v>
      </c>
      <c r="P6308" s="297" t="s">
        <v>199</v>
      </c>
      <c r="Q6308" s="297" t="s">
        <v>200</v>
      </c>
      <c r="R6308" s="297" t="s">
        <v>213</v>
      </c>
      <c r="S6308" s="297" t="s">
        <v>214</v>
      </c>
    </row>
    <row r="6309" spans="1:19" x14ac:dyDescent="0.4">
      <c r="A6309" s="548"/>
      <c r="B6309" s="292"/>
      <c r="C6309" s="292"/>
      <c r="D6309" s="292"/>
      <c r="E6309" s="549"/>
      <c r="F6309" s="549"/>
      <c r="G6309" s="550"/>
      <c r="H6309" s="551"/>
      <c r="I6309" s="552"/>
      <c r="J6309" s="553"/>
      <c r="K6309" s="554"/>
      <c r="M6309" s="301" t="str">
        <f>N6309&amp;AS[[#This Row],[Insurer Code]]&amp;"; "&amp;O6309&amp;AS[[#This Row],[Reporting Year]]&amp;"; "&amp;P6309&amp;AS[[#This Row],[Insurance Category Code]]&amp;"; "&amp;Q6309&amp;AS[[#This Row],[Large Provider Entity Code]]&amp;"; "&amp;R6309&amp;AS[[#This Row],[Age Band Code]]&amp;"; "&amp;S6309&amp;AS[[#This Row],[Sex Code]]</f>
        <v xml:space="preserve">Insurer Code ; Reporting Year ; Insurance Category Code ; Large Provider Entity Code ; Age Band Code ; Sex Code </v>
      </c>
      <c r="N6309" s="297" t="s">
        <v>197</v>
      </c>
      <c r="O6309" s="297" t="s">
        <v>198</v>
      </c>
      <c r="P6309" s="297" t="s">
        <v>199</v>
      </c>
      <c r="Q6309" s="297" t="s">
        <v>200</v>
      </c>
      <c r="R6309" s="297" t="s">
        <v>213</v>
      </c>
      <c r="S6309" s="297" t="s">
        <v>214</v>
      </c>
    </row>
    <row r="6310" spans="1:19" x14ac:dyDescent="0.4">
      <c r="A6310" s="548"/>
      <c r="B6310" s="292"/>
      <c r="C6310" s="292"/>
      <c r="D6310" s="292"/>
      <c r="E6310" s="549"/>
      <c r="F6310" s="549"/>
      <c r="G6310" s="550"/>
      <c r="H6310" s="551"/>
      <c r="I6310" s="552"/>
      <c r="J6310" s="553"/>
      <c r="K6310" s="554"/>
      <c r="M6310" s="301" t="str">
        <f>N6310&amp;AS[[#This Row],[Insurer Code]]&amp;"; "&amp;O6310&amp;AS[[#This Row],[Reporting Year]]&amp;"; "&amp;P6310&amp;AS[[#This Row],[Insurance Category Code]]&amp;"; "&amp;Q6310&amp;AS[[#This Row],[Large Provider Entity Code]]&amp;"; "&amp;R6310&amp;AS[[#This Row],[Age Band Code]]&amp;"; "&amp;S6310&amp;AS[[#This Row],[Sex Code]]</f>
        <v xml:space="preserve">Insurer Code ; Reporting Year ; Insurance Category Code ; Large Provider Entity Code ; Age Band Code ; Sex Code </v>
      </c>
      <c r="N6310" s="297" t="s">
        <v>197</v>
      </c>
      <c r="O6310" s="297" t="s">
        <v>198</v>
      </c>
      <c r="P6310" s="297" t="s">
        <v>199</v>
      </c>
      <c r="Q6310" s="297" t="s">
        <v>200</v>
      </c>
      <c r="R6310" s="297" t="s">
        <v>213</v>
      </c>
      <c r="S6310" s="297" t="s">
        <v>214</v>
      </c>
    </row>
    <row r="6311" spans="1:19" x14ac:dyDescent="0.4">
      <c r="A6311" s="548"/>
      <c r="B6311" s="292"/>
      <c r="C6311" s="292"/>
      <c r="D6311" s="292"/>
      <c r="E6311" s="549"/>
      <c r="F6311" s="549"/>
      <c r="G6311" s="550"/>
      <c r="H6311" s="551"/>
      <c r="I6311" s="552"/>
      <c r="J6311" s="553"/>
      <c r="K6311" s="554"/>
      <c r="M6311" s="301" t="str">
        <f>N6311&amp;AS[[#This Row],[Insurer Code]]&amp;"; "&amp;O6311&amp;AS[[#This Row],[Reporting Year]]&amp;"; "&amp;P6311&amp;AS[[#This Row],[Insurance Category Code]]&amp;"; "&amp;Q6311&amp;AS[[#This Row],[Large Provider Entity Code]]&amp;"; "&amp;R6311&amp;AS[[#This Row],[Age Band Code]]&amp;"; "&amp;S6311&amp;AS[[#This Row],[Sex Code]]</f>
        <v xml:space="preserve">Insurer Code ; Reporting Year ; Insurance Category Code ; Large Provider Entity Code ; Age Band Code ; Sex Code </v>
      </c>
      <c r="N6311" s="297" t="s">
        <v>197</v>
      </c>
      <c r="O6311" s="297" t="s">
        <v>198</v>
      </c>
      <c r="P6311" s="297" t="s">
        <v>199</v>
      </c>
      <c r="Q6311" s="297" t="s">
        <v>200</v>
      </c>
      <c r="R6311" s="297" t="s">
        <v>213</v>
      </c>
      <c r="S6311" s="297" t="s">
        <v>214</v>
      </c>
    </row>
    <row r="6312" spans="1:19" x14ac:dyDescent="0.4">
      <c r="A6312" s="548"/>
      <c r="B6312" s="292"/>
      <c r="C6312" s="292"/>
      <c r="D6312" s="292"/>
      <c r="E6312" s="549"/>
      <c r="F6312" s="549"/>
      <c r="G6312" s="550"/>
      <c r="H6312" s="551"/>
      <c r="I6312" s="552"/>
      <c r="J6312" s="553"/>
      <c r="K6312" s="554"/>
      <c r="M6312" s="301" t="str">
        <f>N6312&amp;AS[[#This Row],[Insurer Code]]&amp;"; "&amp;O6312&amp;AS[[#This Row],[Reporting Year]]&amp;"; "&amp;P6312&amp;AS[[#This Row],[Insurance Category Code]]&amp;"; "&amp;Q6312&amp;AS[[#This Row],[Large Provider Entity Code]]&amp;"; "&amp;R6312&amp;AS[[#This Row],[Age Band Code]]&amp;"; "&amp;S6312&amp;AS[[#This Row],[Sex Code]]</f>
        <v xml:space="preserve">Insurer Code ; Reporting Year ; Insurance Category Code ; Large Provider Entity Code ; Age Band Code ; Sex Code </v>
      </c>
      <c r="N6312" s="297" t="s">
        <v>197</v>
      </c>
      <c r="O6312" s="297" t="s">
        <v>198</v>
      </c>
      <c r="P6312" s="297" t="s">
        <v>199</v>
      </c>
      <c r="Q6312" s="297" t="s">
        <v>200</v>
      </c>
      <c r="R6312" s="297" t="s">
        <v>213</v>
      </c>
      <c r="S6312" s="297" t="s">
        <v>214</v>
      </c>
    </row>
    <row r="6313" spans="1:19" x14ac:dyDescent="0.4">
      <c r="A6313" s="548"/>
      <c r="B6313" s="292"/>
      <c r="C6313" s="292"/>
      <c r="D6313" s="292"/>
      <c r="E6313" s="549"/>
      <c r="F6313" s="549"/>
      <c r="G6313" s="550"/>
      <c r="H6313" s="551"/>
      <c r="I6313" s="552"/>
      <c r="J6313" s="553"/>
      <c r="K6313" s="554"/>
      <c r="M6313" s="301" t="str">
        <f>N6313&amp;AS[[#This Row],[Insurer Code]]&amp;"; "&amp;O6313&amp;AS[[#This Row],[Reporting Year]]&amp;"; "&amp;P6313&amp;AS[[#This Row],[Insurance Category Code]]&amp;"; "&amp;Q6313&amp;AS[[#This Row],[Large Provider Entity Code]]&amp;"; "&amp;R6313&amp;AS[[#This Row],[Age Band Code]]&amp;"; "&amp;S6313&amp;AS[[#This Row],[Sex Code]]</f>
        <v xml:space="preserve">Insurer Code ; Reporting Year ; Insurance Category Code ; Large Provider Entity Code ; Age Band Code ; Sex Code </v>
      </c>
      <c r="N6313" s="297" t="s">
        <v>197</v>
      </c>
      <c r="O6313" s="297" t="s">
        <v>198</v>
      </c>
      <c r="P6313" s="297" t="s">
        <v>199</v>
      </c>
      <c r="Q6313" s="297" t="s">
        <v>200</v>
      </c>
      <c r="R6313" s="297" t="s">
        <v>213</v>
      </c>
      <c r="S6313" s="297" t="s">
        <v>214</v>
      </c>
    </row>
    <row r="6314" spans="1:19" x14ac:dyDescent="0.4">
      <c r="A6314" s="548"/>
      <c r="B6314" s="292"/>
      <c r="C6314" s="292"/>
      <c r="D6314" s="292"/>
      <c r="E6314" s="549"/>
      <c r="F6314" s="549"/>
      <c r="G6314" s="550"/>
      <c r="H6314" s="551"/>
      <c r="I6314" s="552"/>
      <c r="J6314" s="553"/>
      <c r="K6314" s="554"/>
      <c r="M6314" s="301" t="str">
        <f>N6314&amp;AS[[#This Row],[Insurer Code]]&amp;"; "&amp;O6314&amp;AS[[#This Row],[Reporting Year]]&amp;"; "&amp;P6314&amp;AS[[#This Row],[Insurance Category Code]]&amp;"; "&amp;Q6314&amp;AS[[#This Row],[Large Provider Entity Code]]&amp;"; "&amp;R6314&amp;AS[[#This Row],[Age Band Code]]&amp;"; "&amp;S6314&amp;AS[[#This Row],[Sex Code]]</f>
        <v xml:space="preserve">Insurer Code ; Reporting Year ; Insurance Category Code ; Large Provider Entity Code ; Age Band Code ; Sex Code </v>
      </c>
      <c r="N6314" s="297" t="s">
        <v>197</v>
      </c>
      <c r="O6314" s="297" t="s">
        <v>198</v>
      </c>
      <c r="P6314" s="297" t="s">
        <v>199</v>
      </c>
      <c r="Q6314" s="297" t="s">
        <v>200</v>
      </c>
      <c r="R6314" s="297" t="s">
        <v>213</v>
      </c>
      <c r="S6314" s="297" t="s">
        <v>214</v>
      </c>
    </row>
    <row r="6315" spans="1:19" x14ac:dyDescent="0.4">
      <c r="A6315" s="548"/>
      <c r="B6315" s="292"/>
      <c r="C6315" s="292"/>
      <c r="D6315" s="292"/>
      <c r="E6315" s="549"/>
      <c r="F6315" s="549"/>
      <c r="G6315" s="550"/>
      <c r="H6315" s="551"/>
      <c r="I6315" s="552"/>
      <c r="J6315" s="553"/>
      <c r="K6315" s="554"/>
      <c r="M6315" s="301" t="str">
        <f>N6315&amp;AS[[#This Row],[Insurer Code]]&amp;"; "&amp;O6315&amp;AS[[#This Row],[Reporting Year]]&amp;"; "&amp;P6315&amp;AS[[#This Row],[Insurance Category Code]]&amp;"; "&amp;Q6315&amp;AS[[#This Row],[Large Provider Entity Code]]&amp;"; "&amp;R6315&amp;AS[[#This Row],[Age Band Code]]&amp;"; "&amp;S6315&amp;AS[[#This Row],[Sex Code]]</f>
        <v xml:space="preserve">Insurer Code ; Reporting Year ; Insurance Category Code ; Large Provider Entity Code ; Age Band Code ; Sex Code </v>
      </c>
      <c r="N6315" s="297" t="s">
        <v>197</v>
      </c>
      <c r="O6315" s="297" t="s">
        <v>198</v>
      </c>
      <c r="P6315" s="297" t="s">
        <v>199</v>
      </c>
      <c r="Q6315" s="297" t="s">
        <v>200</v>
      </c>
      <c r="R6315" s="297" t="s">
        <v>213</v>
      </c>
      <c r="S6315" s="297" t="s">
        <v>214</v>
      </c>
    </row>
    <row r="6316" spans="1:19" x14ac:dyDescent="0.4">
      <c r="A6316" s="548"/>
      <c r="B6316" s="292"/>
      <c r="C6316" s="292"/>
      <c r="D6316" s="292"/>
      <c r="E6316" s="549"/>
      <c r="F6316" s="549"/>
      <c r="G6316" s="550"/>
      <c r="H6316" s="551"/>
      <c r="I6316" s="552"/>
      <c r="J6316" s="553"/>
      <c r="K6316" s="554"/>
      <c r="M6316" s="301" t="str">
        <f>N6316&amp;AS[[#This Row],[Insurer Code]]&amp;"; "&amp;O6316&amp;AS[[#This Row],[Reporting Year]]&amp;"; "&amp;P6316&amp;AS[[#This Row],[Insurance Category Code]]&amp;"; "&amp;Q6316&amp;AS[[#This Row],[Large Provider Entity Code]]&amp;"; "&amp;R6316&amp;AS[[#This Row],[Age Band Code]]&amp;"; "&amp;S6316&amp;AS[[#This Row],[Sex Code]]</f>
        <v xml:space="preserve">Insurer Code ; Reporting Year ; Insurance Category Code ; Large Provider Entity Code ; Age Band Code ; Sex Code </v>
      </c>
      <c r="N6316" s="297" t="s">
        <v>197</v>
      </c>
      <c r="O6316" s="297" t="s">
        <v>198</v>
      </c>
      <c r="P6316" s="297" t="s">
        <v>199</v>
      </c>
      <c r="Q6316" s="297" t="s">
        <v>200</v>
      </c>
      <c r="R6316" s="297" t="s">
        <v>213</v>
      </c>
      <c r="S6316" s="297" t="s">
        <v>214</v>
      </c>
    </row>
    <row r="6317" spans="1:19" x14ac:dyDescent="0.4">
      <c r="A6317" s="548"/>
      <c r="B6317" s="292"/>
      <c r="C6317" s="292"/>
      <c r="D6317" s="292"/>
      <c r="E6317" s="549"/>
      <c r="F6317" s="549"/>
      <c r="G6317" s="550"/>
      <c r="H6317" s="551"/>
      <c r="I6317" s="552"/>
      <c r="J6317" s="553"/>
      <c r="K6317" s="554"/>
      <c r="M6317" s="301" t="str">
        <f>N6317&amp;AS[[#This Row],[Insurer Code]]&amp;"; "&amp;O6317&amp;AS[[#This Row],[Reporting Year]]&amp;"; "&amp;P6317&amp;AS[[#This Row],[Insurance Category Code]]&amp;"; "&amp;Q6317&amp;AS[[#This Row],[Large Provider Entity Code]]&amp;"; "&amp;R6317&amp;AS[[#This Row],[Age Band Code]]&amp;"; "&amp;S6317&amp;AS[[#This Row],[Sex Code]]</f>
        <v xml:space="preserve">Insurer Code ; Reporting Year ; Insurance Category Code ; Large Provider Entity Code ; Age Band Code ; Sex Code </v>
      </c>
      <c r="N6317" s="297" t="s">
        <v>197</v>
      </c>
      <c r="O6317" s="297" t="s">
        <v>198</v>
      </c>
      <c r="P6317" s="297" t="s">
        <v>199</v>
      </c>
      <c r="Q6317" s="297" t="s">
        <v>200</v>
      </c>
      <c r="R6317" s="297" t="s">
        <v>213</v>
      </c>
      <c r="S6317" s="297" t="s">
        <v>214</v>
      </c>
    </row>
    <row r="6318" spans="1:19" x14ac:dyDescent="0.4">
      <c r="A6318" s="548"/>
      <c r="B6318" s="292"/>
      <c r="C6318" s="292"/>
      <c r="D6318" s="292"/>
      <c r="E6318" s="549"/>
      <c r="F6318" s="549"/>
      <c r="G6318" s="550"/>
      <c r="H6318" s="551"/>
      <c r="I6318" s="552"/>
      <c r="J6318" s="553"/>
      <c r="K6318" s="554"/>
      <c r="M6318" s="301" t="str">
        <f>N6318&amp;AS[[#This Row],[Insurer Code]]&amp;"; "&amp;O6318&amp;AS[[#This Row],[Reporting Year]]&amp;"; "&amp;P6318&amp;AS[[#This Row],[Insurance Category Code]]&amp;"; "&amp;Q6318&amp;AS[[#This Row],[Large Provider Entity Code]]&amp;"; "&amp;R6318&amp;AS[[#This Row],[Age Band Code]]&amp;"; "&amp;S6318&amp;AS[[#This Row],[Sex Code]]</f>
        <v xml:space="preserve">Insurer Code ; Reporting Year ; Insurance Category Code ; Large Provider Entity Code ; Age Band Code ; Sex Code </v>
      </c>
      <c r="N6318" s="297" t="s">
        <v>197</v>
      </c>
      <c r="O6318" s="297" t="s">
        <v>198</v>
      </c>
      <c r="P6318" s="297" t="s">
        <v>199</v>
      </c>
      <c r="Q6318" s="297" t="s">
        <v>200</v>
      </c>
      <c r="R6318" s="297" t="s">
        <v>213</v>
      </c>
      <c r="S6318" s="297" t="s">
        <v>214</v>
      </c>
    </row>
    <row r="6319" spans="1:19" x14ac:dyDescent="0.4">
      <c r="A6319" s="548"/>
      <c r="B6319" s="292"/>
      <c r="C6319" s="292"/>
      <c r="D6319" s="292"/>
      <c r="E6319" s="549"/>
      <c r="F6319" s="549"/>
      <c r="G6319" s="550"/>
      <c r="H6319" s="551"/>
      <c r="I6319" s="552"/>
      <c r="J6319" s="553"/>
      <c r="K6319" s="554"/>
      <c r="M6319" s="301" t="str">
        <f>N6319&amp;AS[[#This Row],[Insurer Code]]&amp;"; "&amp;O6319&amp;AS[[#This Row],[Reporting Year]]&amp;"; "&amp;P6319&amp;AS[[#This Row],[Insurance Category Code]]&amp;"; "&amp;Q6319&amp;AS[[#This Row],[Large Provider Entity Code]]&amp;"; "&amp;R6319&amp;AS[[#This Row],[Age Band Code]]&amp;"; "&amp;S6319&amp;AS[[#This Row],[Sex Code]]</f>
        <v xml:space="preserve">Insurer Code ; Reporting Year ; Insurance Category Code ; Large Provider Entity Code ; Age Band Code ; Sex Code </v>
      </c>
      <c r="N6319" s="297" t="s">
        <v>197</v>
      </c>
      <c r="O6319" s="297" t="s">
        <v>198</v>
      </c>
      <c r="P6319" s="297" t="s">
        <v>199</v>
      </c>
      <c r="Q6319" s="297" t="s">
        <v>200</v>
      </c>
      <c r="R6319" s="297" t="s">
        <v>213</v>
      </c>
      <c r="S6319" s="297" t="s">
        <v>214</v>
      </c>
    </row>
    <row r="6320" spans="1:19" x14ac:dyDescent="0.4">
      <c r="A6320" s="548"/>
      <c r="B6320" s="292"/>
      <c r="C6320" s="292"/>
      <c r="D6320" s="292"/>
      <c r="E6320" s="549"/>
      <c r="F6320" s="549"/>
      <c r="G6320" s="550"/>
      <c r="H6320" s="551"/>
      <c r="I6320" s="552"/>
      <c r="J6320" s="553"/>
      <c r="K6320" s="554"/>
      <c r="M6320" s="301" t="str">
        <f>N6320&amp;AS[[#This Row],[Insurer Code]]&amp;"; "&amp;O6320&amp;AS[[#This Row],[Reporting Year]]&amp;"; "&amp;P6320&amp;AS[[#This Row],[Insurance Category Code]]&amp;"; "&amp;Q6320&amp;AS[[#This Row],[Large Provider Entity Code]]&amp;"; "&amp;R6320&amp;AS[[#This Row],[Age Band Code]]&amp;"; "&amp;S6320&amp;AS[[#This Row],[Sex Code]]</f>
        <v xml:space="preserve">Insurer Code ; Reporting Year ; Insurance Category Code ; Large Provider Entity Code ; Age Band Code ; Sex Code </v>
      </c>
      <c r="N6320" s="297" t="s">
        <v>197</v>
      </c>
      <c r="O6320" s="297" t="s">
        <v>198</v>
      </c>
      <c r="P6320" s="297" t="s">
        <v>199</v>
      </c>
      <c r="Q6320" s="297" t="s">
        <v>200</v>
      </c>
      <c r="R6320" s="297" t="s">
        <v>213</v>
      </c>
      <c r="S6320" s="297" t="s">
        <v>214</v>
      </c>
    </row>
    <row r="6321" spans="1:19" x14ac:dyDescent="0.4">
      <c r="A6321" s="548"/>
      <c r="B6321" s="292"/>
      <c r="C6321" s="292"/>
      <c r="D6321" s="292"/>
      <c r="E6321" s="549"/>
      <c r="F6321" s="549"/>
      <c r="G6321" s="550"/>
      <c r="H6321" s="551"/>
      <c r="I6321" s="552"/>
      <c r="J6321" s="553"/>
      <c r="K6321" s="554"/>
      <c r="M6321" s="301" t="str">
        <f>N6321&amp;AS[[#This Row],[Insurer Code]]&amp;"; "&amp;O6321&amp;AS[[#This Row],[Reporting Year]]&amp;"; "&amp;P6321&amp;AS[[#This Row],[Insurance Category Code]]&amp;"; "&amp;Q6321&amp;AS[[#This Row],[Large Provider Entity Code]]&amp;"; "&amp;R6321&amp;AS[[#This Row],[Age Band Code]]&amp;"; "&amp;S6321&amp;AS[[#This Row],[Sex Code]]</f>
        <v xml:space="preserve">Insurer Code ; Reporting Year ; Insurance Category Code ; Large Provider Entity Code ; Age Band Code ; Sex Code </v>
      </c>
      <c r="N6321" s="297" t="s">
        <v>197</v>
      </c>
      <c r="O6321" s="297" t="s">
        <v>198</v>
      </c>
      <c r="P6321" s="297" t="s">
        <v>199</v>
      </c>
      <c r="Q6321" s="297" t="s">
        <v>200</v>
      </c>
      <c r="R6321" s="297" t="s">
        <v>213</v>
      </c>
      <c r="S6321" s="297" t="s">
        <v>214</v>
      </c>
    </row>
    <row r="6322" spans="1:19" x14ac:dyDescent="0.4">
      <c r="A6322" s="548"/>
      <c r="B6322" s="292"/>
      <c r="C6322" s="292"/>
      <c r="D6322" s="292"/>
      <c r="E6322" s="549"/>
      <c r="F6322" s="549"/>
      <c r="G6322" s="550"/>
      <c r="H6322" s="551"/>
      <c r="I6322" s="552"/>
      <c r="J6322" s="553"/>
      <c r="K6322" s="554"/>
      <c r="M6322" s="301" t="str">
        <f>N6322&amp;AS[[#This Row],[Insurer Code]]&amp;"; "&amp;O6322&amp;AS[[#This Row],[Reporting Year]]&amp;"; "&amp;P6322&amp;AS[[#This Row],[Insurance Category Code]]&amp;"; "&amp;Q6322&amp;AS[[#This Row],[Large Provider Entity Code]]&amp;"; "&amp;R6322&amp;AS[[#This Row],[Age Band Code]]&amp;"; "&amp;S6322&amp;AS[[#This Row],[Sex Code]]</f>
        <v xml:space="preserve">Insurer Code ; Reporting Year ; Insurance Category Code ; Large Provider Entity Code ; Age Band Code ; Sex Code </v>
      </c>
      <c r="N6322" s="297" t="s">
        <v>197</v>
      </c>
      <c r="O6322" s="297" t="s">
        <v>198</v>
      </c>
      <c r="P6322" s="297" t="s">
        <v>199</v>
      </c>
      <c r="Q6322" s="297" t="s">
        <v>200</v>
      </c>
      <c r="R6322" s="297" t="s">
        <v>213</v>
      </c>
      <c r="S6322" s="297" t="s">
        <v>214</v>
      </c>
    </row>
    <row r="6323" spans="1:19" x14ac:dyDescent="0.4">
      <c r="A6323" s="548"/>
      <c r="B6323" s="292"/>
      <c r="C6323" s="292"/>
      <c r="D6323" s="292"/>
      <c r="E6323" s="549"/>
      <c r="F6323" s="549"/>
      <c r="G6323" s="550"/>
      <c r="H6323" s="551"/>
      <c r="I6323" s="552"/>
      <c r="J6323" s="553"/>
      <c r="K6323" s="554"/>
      <c r="M6323" s="301" t="str">
        <f>N6323&amp;AS[[#This Row],[Insurer Code]]&amp;"; "&amp;O6323&amp;AS[[#This Row],[Reporting Year]]&amp;"; "&amp;P6323&amp;AS[[#This Row],[Insurance Category Code]]&amp;"; "&amp;Q6323&amp;AS[[#This Row],[Large Provider Entity Code]]&amp;"; "&amp;R6323&amp;AS[[#This Row],[Age Band Code]]&amp;"; "&amp;S6323&amp;AS[[#This Row],[Sex Code]]</f>
        <v xml:space="preserve">Insurer Code ; Reporting Year ; Insurance Category Code ; Large Provider Entity Code ; Age Band Code ; Sex Code </v>
      </c>
      <c r="N6323" s="297" t="s">
        <v>197</v>
      </c>
      <c r="O6323" s="297" t="s">
        <v>198</v>
      </c>
      <c r="P6323" s="297" t="s">
        <v>199</v>
      </c>
      <c r="Q6323" s="297" t="s">
        <v>200</v>
      </c>
      <c r="R6323" s="297" t="s">
        <v>213</v>
      </c>
      <c r="S6323" s="297" t="s">
        <v>214</v>
      </c>
    </row>
    <row r="6324" spans="1:19" x14ac:dyDescent="0.4">
      <c r="A6324" s="548"/>
      <c r="B6324" s="292"/>
      <c r="C6324" s="292"/>
      <c r="D6324" s="292"/>
      <c r="E6324" s="549"/>
      <c r="F6324" s="549"/>
      <c r="G6324" s="550"/>
      <c r="H6324" s="551"/>
      <c r="I6324" s="552"/>
      <c r="J6324" s="553"/>
      <c r="K6324" s="554"/>
      <c r="M6324" s="301" t="str">
        <f>N6324&amp;AS[[#This Row],[Insurer Code]]&amp;"; "&amp;O6324&amp;AS[[#This Row],[Reporting Year]]&amp;"; "&amp;P6324&amp;AS[[#This Row],[Insurance Category Code]]&amp;"; "&amp;Q6324&amp;AS[[#This Row],[Large Provider Entity Code]]&amp;"; "&amp;R6324&amp;AS[[#This Row],[Age Band Code]]&amp;"; "&amp;S6324&amp;AS[[#This Row],[Sex Code]]</f>
        <v xml:space="preserve">Insurer Code ; Reporting Year ; Insurance Category Code ; Large Provider Entity Code ; Age Band Code ; Sex Code </v>
      </c>
      <c r="N6324" s="297" t="s">
        <v>197</v>
      </c>
      <c r="O6324" s="297" t="s">
        <v>198</v>
      </c>
      <c r="P6324" s="297" t="s">
        <v>199</v>
      </c>
      <c r="Q6324" s="297" t="s">
        <v>200</v>
      </c>
      <c r="R6324" s="297" t="s">
        <v>213</v>
      </c>
      <c r="S6324" s="297" t="s">
        <v>214</v>
      </c>
    </row>
    <row r="6325" spans="1:19" x14ac:dyDescent="0.4">
      <c r="A6325" s="548"/>
      <c r="B6325" s="292"/>
      <c r="C6325" s="292"/>
      <c r="D6325" s="292"/>
      <c r="E6325" s="549"/>
      <c r="F6325" s="549"/>
      <c r="G6325" s="550"/>
      <c r="H6325" s="551"/>
      <c r="I6325" s="552"/>
      <c r="J6325" s="553"/>
      <c r="K6325" s="554"/>
      <c r="M6325" s="301" t="str">
        <f>N6325&amp;AS[[#This Row],[Insurer Code]]&amp;"; "&amp;O6325&amp;AS[[#This Row],[Reporting Year]]&amp;"; "&amp;P6325&amp;AS[[#This Row],[Insurance Category Code]]&amp;"; "&amp;Q6325&amp;AS[[#This Row],[Large Provider Entity Code]]&amp;"; "&amp;R6325&amp;AS[[#This Row],[Age Band Code]]&amp;"; "&amp;S6325&amp;AS[[#This Row],[Sex Code]]</f>
        <v xml:space="preserve">Insurer Code ; Reporting Year ; Insurance Category Code ; Large Provider Entity Code ; Age Band Code ; Sex Code </v>
      </c>
      <c r="N6325" s="297" t="s">
        <v>197</v>
      </c>
      <c r="O6325" s="297" t="s">
        <v>198</v>
      </c>
      <c r="P6325" s="297" t="s">
        <v>199</v>
      </c>
      <c r="Q6325" s="297" t="s">
        <v>200</v>
      </c>
      <c r="R6325" s="297" t="s">
        <v>213</v>
      </c>
      <c r="S6325" s="297" t="s">
        <v>214</v>
      </c>
    </row>
    <row r="6326" spans="1:19" x14ac:dyDescent="0.4">
      <c r="A6326" s="548"/>
      <c r="B6326" s="292"/>
      <c r="C6326" s="292"/>
      <c r="D6326" s="292"/>
      <c r="E6326" s="549"/>
      <c r="F6326" s="549"/>
      <c r="G6326" s="550"/>
      <c r="H6326" s="551"/>
      <c r="I6326" s="552"/>
      <c r="J6326" s="553"/>
      <c r="K6326" s="554"/>
      <c r="M6326" s="301" t="str">
        <f>N6326&amp;AS[[#This Row],[Insurer Code]]&amp;"; "&amp;O6326&amp;AS[[#This Row],[Reporting Year]]&amp;"; "&amp;P6326&amp;AS[[#This Row],[Insurance Category Code]]&amp;"; "&amp;Q6326&amp;AS[[#This Row],[Large Provider Entity Code]]&amp;"; "&amp;R6326&amp;AS[[#This Row],[Age Band Code]]&amp;"; "&amp;S6326&amp;AS[[#This Row],[Sex Code]]</f>
        <v xml:space="preserve">Insurer Code ; Reporting Year ; Insurance Category Code ; Large Provider Entity Code ; Age Band Code ; Sex Code </v>
      </c>
      <c r="N6326" s="297" t="s">
        <v>197</v>
      </c>
      <c r="O6326" s="297" t="s">
        <v>198</v>
      </c>
      <c r="P6326" s="297" t="s">
        <v>199</v>
      </c>
      <c r="Q6326" s="297" t="s">
        <v>200</v>
      </c>
      <c r="R6326" s="297" t="s">
        <v>213</v>
      </c>
      <c r="S6326" s="297" t="s">
        <v>214</v>
      </c>
    </row>
    <row r="6327" spans="1:19" x14ac:dyDescent="0.4">
      <c r="A6327" s="548"/>
      <c r="B6327" s="292"/>
      <c r="C6327" s="292"/>
      <c r="D6327" s="292"/>
      <c r="E6327" s="549"/>
      <c r="F6327" s="549"/>
      <c r="G6327" s="550"/>
      <c r="H6327" s="551"/>
      <c r="I6327" s="552"/>
      <c r="J6327" s="553"/>
      <c r="K6327" s="554"/>
      <c r="M6327" s="301" t="str">
        <f>N6327&amp;AS[[#This Row],[Insurer Code]]&amp;"; "&amp;O6327&amp;AS[[#This Row],[Reporting Year]]&amp;"; "&amp;P6327&amp;AS[[#This Row],[Insurance Category Code]]&amp;"; "&amp;Q6327&amp;AS[[#This Row],[Large Provider Entity Code]]&amp;"; "&amp;R6327&amp;AS[[#This Row],[Age Band Code]]&amp;"; "&amp;S6327&amp;AS[[#This Row],[Sex Code]]</f>
        <v xml:space="preserve">Insurer Code ; Reporting Year ; Insurance Category Code ; Large Provider Entity Code ; Age Band Code ; Sex Code </v>
      </c>
      <c r="N6327" s="297" t="s">
        <v>197</v>
      </c>
      <c r="O6327" s="297" t="s">
        <v>198</v>
      </c>
      <c r="P6327" s="297" t="s">
        <v>199</v>
      </c>
      <c r="Q6327" s="297" t="s">
        <v>200</v>
      </c>
      <c r="R6327" s="297" t="s">
        <v>213</v>
      </c>
      <c r="S6327" s="297" t="s">
        <v>214</v>
      </c>
    </row>
    <row r="6328" spans="1:19" x14ac:dyDescent="0.4">
      <c r="A6328" s="548"/>
      <c r="B6328" s="292"/>
      <c r="C6328" s="292"/>
      <c r="D6328" s="292"/>
      <c r="E6328" s="549"/>
      <c r="F6328" s="549"/>
      <c r="G6328" s="550"/>
      <c r="H6328" s="551"/>
      <c r="I6328" s="552"/>
      <c r="J6328" s="553"/>
      <c r="K6328" s="554"/>
      <c r="M6328" s="301" t="str">
        <f>N6328&amp;AS[[#This Row],[Insurer Code]]&amp;"; "&amp;O6328&amp;AS[[#This Row],[Reporting Year]]&amp;"; "&amp;P6328&amp;AS[[#This Row],[Insurance Category Code]]&amp;"; "&amp;Q6328&amp;AS[[#This Row],[Large Provider Entity Code]]&amp;"; "&amp;R6328&amp;AS[[#This Row],[Age Band Code]]&amp;"; "&amp;S6328&amp;AS[[#This Row],[Sex Code]]</f>
        <v xml:space="preserve">Insurer Code ; Reporting Year ; Insurance Category Code ; Large Provider Entity Code ; Age Band Code ; Sex Code </v>
      </c>
      <c r="N6328" s="297" t="s">
        <v>197</v>
      </c>
      <c r="O6328" s="297" t="s">
        <v>198</v>
      </c>
      <c r="P6328" s="297" t="s">
        <v>199</v>
      </c>
      <c r="Q6328" s="297" t="s">
        <v>200</v>
      </c>
      <c r="R6328" s="297" t="s">
        <v>213</v>
      </c>
      <c r="S6328" s="297" t="s">
        <v>214</v>
      </c>
    </row>
    <row r="6329" spans="1:19" x14ac:dyDescent="0.4">
      <c r="A6329" s="548"/>
      <c r="B6329" s="292"/>
      <c r="C6329" s="292"/>
      <c r="D6329" s="292"/>
      <c r="E6329" s="549"/>
      <c r="F6329" s="549"/>
      <c r="G6329" s="550"/>
      <c r="H6329" s="551"/>
      <c r="I6329" s="552"/>
      <c r="J6329" s="553"/>
      <c r="K6329" s="554"/>
      <c r="M6329" s="301" t="str">
        <f>N6329&amp;AS[[#This Row],[Insurer Code]]&amp;"; "&amp;O6329&amp;AS[[#This Row],[Reporting Year]]&amp;"; "&amp;P6329&amp;AS[[#This Row],[Insurance Category Code]]&amp;"; "&amp;Q6329&amp;AS[[#This Row],[Large Provider Entity Code]]&amp;"; "&amp;R6329&amp;AS[[#This Row],[Age Band Code]]&amp;"; "&amp;S6329&amp;AS[[#This Row],[Sex Code]]</f>
        <v xml:space="preserve">Insurer Code ; Reporting Year ; Insurance Category Code ; Large Provider Entity Code ; Age Band Code ; Sex Code </v>
      </c>
      <c r="N6329" s="297" t="s">
        <v>197</v>
      </c>
      <c r="O6329" s="297" t="s">
        <v>198</v>
      </c>
      <c r="P6329" s="297" t="s">
        <v>199</v>
      </c>
      <c r="Q6329" s="297" t="s">
        <v>200</v>
      </c>
      <c r="R6329" s="297" t="s">
        <v>213</v>
      </c>
      <c r="S6329" s="297" t="s">
        <v>214</v>
      </c>
    </row>
    <row r="6330" spans="1:19" x14ac:dyDescent="0.4">
      <c r="A6330" s="548"/>
      <c r="B6330" s="292"/>
      <c r="C6330" s="292"/>
      <c r="D6330" s="292"/>
      <c r="E6330" s="549"/>
      <c r="F6330" s="549"/>
      <c r="G6330" s="550"/>
      <c r="H6330" s="551"/>
      <c r="I6330" s="552"/>
      <c r="J6330" s="553"/>
      <c r="K6330" s="554"/>
      <c r="M6330" s="301" t="str">
        <f>N6330&amp;AS[[#This Row],[Insurer Code]]&amp;"; "&amp;O6330&amp;AS[[#This Row],[Reporting Year]]&amp;"; "&amp;P6330&amp;AS[[#This Row],[Insurance Category Code]]&amp;"; "&amp;Q6330&amp;AS[[#This Row],[Large Provider Entity Code]]&amp;"; "&amp;R6330&amp;AS[[#This Row],[Age Band Code]]&amp;"; "&amp;S6330&amp;AS[[#This Row],[Sex Code]]</f>
        <v xml:space="preserve">Insurer Code ; Reporting Year ; Insurance Category Code ; Large Provider Entity Code ; Age Band Code ; Sex Code </v>
      </c>
      <c r="N6330" s="297" t="s">
        <v>197</v>
      </c>
      <c r="O6330" s="297" t="s">
        <v>198</v>
      </c>
      <c r="P6330" s="297" t="s">
        <v>199</v>
      </c>
      <c r="Q6330" s="297" t="s">
        <v>200</v>
      </c>
      <c r="R6330" s="297" t="s">
        <v>213</v>
      </c>
      <c r="S6330" s="297" t="s">
        <v>214</v>
      </c>
    </row>
    <row r="6331" spans="1:19" x14ac:dyDescent="0.4">
      <c r="A6331" s="548"/>
      <c r="B6331" s="292"/>
      <c r="C6331" s="292"/>
      <c r="D6331" s="292"/>
      <c r="E6331" s="549"/>
      <c r="F6331" s="549"/>
      <c r="G6331" s="550"/>
      <c r="H6331" s="551"/>
      <c r="I6331" s="552"/>
      <c r="J6331" s="553"/>
      <c r="K6331" s="554"/>
      <c r="M6331" s="301" t="str">
        <f>N6331&amp;AS[[#This Row],[Insurer Code]]&amp;"; "&amp;O6331&amp;AS[[#This Row],[Reporting Year]]&amp;"; "&amp;P6331&amp;AS[[#This Row],[Insurance Category Code]]&amp;"; "&amp;Q6331&amp;AS[[#This Row],[Large Provider Entity Code]]&amp;"; "&amp;R6331&amp;AS[[#This Row],[Age Band Code]]&amp;"; "&amp;S6331&amp;AS[[#This Row],[Sex Code]]</f>
        <v xml:space="preserve">Insurer Code ; Reporting Year ; Insurance Category Code ; Large Provider Entity Code ; Age Band Code ; Sex Code </v>
      </c>
      <c r="N6331" s="297" t="s">
        <v>197</v>
      </c>
      <c r="O6331" s="297" t="s">
        <v>198</v>
      </c>
      <c r="P6331" s="297" t="s">
        <v>199</v>
      </c>
      <c r="Q6331" s="297" t="s">
        <v>200</v>
      </c>
      <c r="R6331" s="297" t="s">
        <v>213</v>
      </c>
      <c r="S6331" s="297" t="s">
        <v>214</v>
      </c>
    </row>
    <row r="6332" spans="1:19" x14ac:dyDescent="0.4">
      <c r="A6332" s="548"/>
      <c r="B6332" s="292"/>
      <c r="C6332" s="292"/>
      <c r="D6332" s="292"/>
      <c r="E6332" s="549"/>
      <c r="F6332" s="549"/>
      <c r="G6332" s="550"/>
      <c r="H6332" s="551"/>
      <c r="I6332" s="552"/>
      <c r="J6332" s="553"/>
      <c r="K6332" s="554"/>
      <c r="M6332" s="301" t="str">
        <f>N6332&amp;AS[[#This Row],[Insurer Code]]&amp;"; "&amp;O6332&amp;AS[[#This Row],[Reporting Year]]&amp;"; "&amp;P6332&amp;AS[[#This Row],[Insurance Category Code]]&amp;"; "&amp;Q6332&amp;AS[[#This Row],[Large Provider Entity Code]]&amp;"; "&amp;R6332&amp;AS[[#This Row],[Age Band Code]]&amp;"; "&amp;S6332&amp;AS[[#This Row],[Sex Code]]</f>
        <v xml:space="preserve">Insurer Code ; Reporting Year ; Insurance Category Code ; Large Provider Entity Code ; Age Band Code ; Sex Code </v>
      </c>
      <c r="N6332" s="297" t="s">
        <v>197</v>
      </c>
      <c r="O6332" s="297" t="s">
        <v>198</v>
      </c>
      <c r="P6332" s="297" t="s">
        <v>199</v>
      </c>
      <c r="Q6332" s="297" t="s">
        <v>200</v>
      </c>
      <c r="R6332" s="297" t="s">
        <v>213</v>
      </c>
      <c r="S6332" s="297" t="s">
        <v>214</v>
      </c>
    </row>
    <row r="6333" spans="1:19" x14ac:dyDescent="0.4">
      <c r="A6333" s="548"/>
      <c r="B6333" s="292"/>
      <c r="C6333" s="292"/>
      <c r="D6333" s="292"/>
      <c r="E6333" s="549"/>
      <c r="F6333" s="549"/>
      <c r="G6333" s="550"/>
      <c r="H6333" s="551"/>
      <c r="I6333" s="552"/>
      <c r="J6333" s="553"/>
      <c r="K6333" s="554"/>
      <c r="M6333" s="301" t="str">
        <f>N6333&amp;AS[[#This Row],[Insurer Code]]&amp;"; "&amp;O6333&amp;AS[[#This Row],[Reporting Year]]&amp;"; "&amp;P6333&amp;AS[[#This Row],[Insurance Category Code]]&amp;"; "&amp;Q6333&amp;AS[[#This Row],[Large Provider Entity Code]]&amp;"; "&amp;R6333&amp;AS[[#This Row],[Age Band Code]]&amp;"; "&amp;S6333&amp;AS[[#This Row],[Sex Code]]</f>
        <v xml:space="preserve">Insurer Code ; Reporting Year ; Insurance Category Code ; Large Provider Entity Code ; Age Band Code ; Sex Code </v>
      </c>
      <c r="N6333" s="297" t="s">
        <v>197</v>
      </c>
      <c r="O6333" s="297" t="s">
        <v>198</v>
      </c>
      <c r="P6333" s="297" t="s">
        <v>199</v>
      </c>
      <c r="Q6333" s="297" t="s">
        <v>200</v>
      </c>
      <c r="R6333" s="297" t="s">
        <v>213</v>
      </c>
      <c r="S6333" s="297" t="s">
        <v>214</v>
      </c>
    </row>
    <row r="6334" spans="1:19" x14ac:dyDescent="0.4">
      <c r="A6334" s="548"/>
      <c r="B6334" s="292"/>
      <c r="C6334" s="292"/>
      <c r="D6334" s="292"/>
      <c r="E6334" s="549"/>
      <c r="F6334" s="549"/>
      <c r="G6334" s="550"/>
      <c r="H6334" s="551"/>
      <c r="I6334" s="552"/>
      <c r="J6334" s="553"/>
      <c r="K6334" s="554"/>
      <c r="M6334" s="301" t="str">
        <f>N6334&amp;AS[[#This Row],[Insurer Code]]&amp;"; "&amp;O6334&amp;AS[[#This Row],[Reporting Year]]&amp;"; "&amp;P6334&amp;AS[[#This Row],[Insurance Category Code]]&amp;"; "&amp;Q6334&amp;AS[[#This Row],[Large Provider Entity Code]]&amp;"; "&amp;R6334&amp;AS[[#This Row],[Age Band Code]]&amp;"; "&amp;S6334&amp;AS[[#This Row],[Sex Code]]</f>
        <v xml:space="preserve">Insurer Code ; Reporting Year ; Insurance Category Code ; Large Provider Entity Code ; Age Band Code ; Sex Code </v>
      </c>
      <c r="N6334" s="297" t="s">
        <v>197</v>
      </c>
      <c r="O6334" s="297" t="s">
        <v>198</v>
      </c>
      <c r="P6334" s="297" t="s">
        <v>199</v>
      </c>
      <c r="Q6334" s="297" t="s">
        <v>200</v>
      </c>
      <c r="R6334" s="297" t="s">
        <v>213</v>
      </c>
      <c r="S6334" s="297" t="s">
        <v>214</v>
      </c>
    </row>
    <row r="6335" spans="1:19" x14ac:dyDescent="0.4">
      <c r="A6335" s="548"/>
      <c r="B6335" s="292"/>
      <c r="C6335" s="292"/>
      <c r="D6335" s="292"/>
      <c r="E6335" s="549"/>
      <c r="F6335" s="549"/>
      <c r="G6335" s="550"/>
      <c r="H6335" s="551"/>
      <c r="I6335" s="552"/>
      <c r="J6335" s="553"/>
      <c r="K6335" s="554"/>
      <c r="M6335" s="301" t="str">
        <f>N6335&amp;AS[[#This Row],[Insurer Code]]&amp;"; "&amp;O6335&amp;AS[[#This Row],[Reporting Year]]&amp;"; "&amp;P6335&amp;AS[[#This Row],[Insurance Category Code]]&amp;"; "&amp;Q6335&amp;AS[[#This Row],[Large Provider Entity Code]]&amp;"; "&amp;R6335&amp;AS[[#This Row],[Age Band Code]]&amp;"; "&amp;S6335&amp;AS[[#This Row],[Sex Code]]</f>
        <v xml:space="preserve">Insurer Code ; Reporting Year ; Insurance Category Code ; Large Provider Entity Code ; Age Band Code ; Sex Code </v>
      </c>
      <c r="N6335" s="297" t="s">
        <v>197</v>
      </c>
      <c r="O6335" s="297" t="s">
        <v>198</v>
      </c>
      <c r="P6335" s="297" t="s">
        <v>199</v>
      </c>
      <c r="Q6335" s="297" t="s">
        <v>200</v>
      </c>
      <c r="R6335" s="297" t="s">
        <v>213</v>
      </c>
      <c r="S6335" s="297" t="s">
        <v>214</v>
      </c>
    </row>
    <row r="6336" spans="1:19" x14ac:dyDescent="0.4">
      <c r="A6336" s="548"/>
      <c r="B6336" s="292"/>
      <c r="C6336" s="292"/>
      <c r="D6336" s="292"/>
      <c r="E6336" s="549"/>
      <c r="F6336" s="549"/>
      <c r="G6336" s="550"/>
      <c r="H6336" s="551"/>
      <c r="I6336" s="552"/>
      <c r="J6336" s="553"/>
      <c r="K6336" s="554"/>
      <c r="M6336" s="301" t="str">
        <f>N6336&amp;AS[[#This Row],[Insurer Code]]&amp;"; "&amp;O6336&amp;AS[[#This Row],[Reporting Year]]&amp;"; "&amp;P6336&amp;AS[[#This Row],[Insurance Category Code]]&amp;"; "&amp;Q6336&amp;AS[[#This Row],[Large Provider Entity Code]]&amp;"; "&amp;R6336&amp;AS[[#This Row],[Age Band Code]]&amp;"; "&amp;S6336&amp;AS[[#This Row],[Sex Code]]</f>
        <v xml:space="preserve">Insurer Code ; Reporting Year ; Insurance Category Code ; Large Provider Entity Code ; Age Band Code ; Sex Code </v>
      </c>
      <c r="N6336" s="297" t="s">
        <v>197</v>
      </c>
      <c r="O6336" s="297" t="s">
        <v>198</v>
      </c>
      <c r="P6336" s="297" t="s">
        <v>199</v>
      </c>
      <c r="Q6336" s="297" t="s">
        <v>200</v>
      </c>
      <c r="R6336" s="297" t="s">
        <v>213</v>
      </c>
      <c r="S6336" s="297" t="s">
        <v>214</v>
      </c>
    </row>
    <row r="6337" spans="1:19" x14ac:dyDescent="0.4">
      <c r="A6337" s="548"/>
      <c r="B6337" s="292"/>
      <c r="C6337" s="292"/>
      <c r="D6337" s="292"/>
      <c r="E6337" s="549"/>
      <c r="F6337" s="549"/>
      <c r="G6337" s="550"/>
      <c r="H6337" s="551"/>
      <c r="I6337" s="552"/>
      <c r="J6337" s="553"/>
      <c r="K6337" s="554"/>
      <c r="M6337" s="301" t="str">
        <f>N6337&amp;AS[[#This Row],[Insurer Code]]&amp;"; "&amp;O6337&amp;AS[[#This Row],[Reporting Year]]&amp;"; "&amp;P6337&amp;AS[[#This Row],[Insurance Category Code]]&amp;"; "&amp;Q6337&amp;AS[[#This Row],[Large Provider Entity Code]]&amp;"; "&amp;R6337&amp;AS[[#This Row],[Age Band Code]]&amp;"; "&amp;S6337&amp;AS[[#This Row],[Sex Code]]</f>
        <v xml:space="preserve">Insurer Code ; Reporting Year ; Insurance Category Code ; Large Provider Entity Code ; Age Band Code ; Sex Code </v>
      </c>
      <c r="N6337" s="297" t="s">
        <v>197</v>
      </c>
      <c r="O6337" s="297" t="s">
        <v>198</v>
      </c>
      <c r="P6337" s="297" t="s">
        <v>199</v>
      </c>
      <c r="Q6337" s="297" t="s">
        <v>200</v>
      </c>
      <c r="R6337" s="297" t="s">
        <v>213</v>
      </c>
      <c r="S6337" s="297" t="s">
        <v>214</v>
      </c>
    </row>
    <row r="6338" spans="1:19" x14ac:dyDescent="0.4">
      <c r="A6338" s="548"/>
      <c r="B6338" s="292"/>
      <c r="C6338" s="292"/>
      <c r="D6338" s="292"/>
      <c r="E6338" s="549"/>
      <c r="F6338" s="549"/>
      <c r="G6338" s="550"/>
      <c r="H6338" s="551"/>
      <c r="I6338" s="552"/>
      <c r="J6338" s="553"/>
      <c r="K6338" s="554"/>
      <c r="M6338" s="301" t="str">
        <f>N6338&amp;AS[[#This Row],[Insurer Code]]&amp;"; "&amp;O6338&amp;AS[[#This Row],[Reporting Year]]&amp;"; "&amp;P6338&amp;AS[[#This Row],[Insurance Category Code]]&amp;"; "&amp;Q6338&amp;AS[[#This Row],[Large Provider Entity Code]]&amp;"; "&amp;R6338&amp;AS[[#This Row],[Age Band Code]]&amp;"; "&amp;S6338&amp;AS[[#This Row],[Sex Code]]</f>
        <v xml:space="preserve">Insurer Code ; Reporting Year ; Insurance Category Code ; Large Provider Entity Code ; Age Band Code ; Sex Code </v>
      </c>
      <c r="N6338" s="297" t="s">
        <v>197</v>
      </c>
      <c r="O6338" s="297" t="s">
        <v>198</v>
      </c>
      <c r="P6338" s="297" t="s">
        <v>199</v>
      </c>
      <c r="Q6338" s="297" t="s">
        <v>200</v>
      </c>
      <c r="R6338" s="297" t="s">
        <v>213</v>
      </c>
      <c r="S6338" s="297" t="s">
        <v>214</v>
      </c>
    </row>
    <row r="6339" spans="1:19" x14ac:dyDescent="0.4">
      <c r="A6339" s="548"/>
      <c r="B6339" s="292"/>
      <c r="C6339" s="292"/>
      <c r="D6339" s="292"/>
      <c r="E6339" s="549"/>
      <c r="F6339" s="549"/>
      <c r="G6339" s="550"/>
      <c r="H6339" s="551"/>
      <c r="I6339" s="552"/>
      <c r="J6339" s="553"/>
      <c r="K6339" s="554"/>
      <c r="M6339" s="301" t="str">
        <f>N6339&amp;AS[[#This Row],[Insurer Code]]&amp;"; "&amp;O6339&amp;AS[[#This Row],[Reporting Year]]&amp;"; "&amp;P6339&amp;AS[[#This Row],[Insurance Category Code]]&amp;"; "&amp;Q6339&amp;AS[[#This Row],[Large Provider Entity Code]]&amp;"; "&amp;R6339&amp;AS[[#This Row],[Age Band Code]]&amp;"; "&amp;S6339&amp;AS[[#This Row],[Sex Code]]</f>
        <v xml:space="preserve">Insurer Code ; Reporting Year ; Insurance Category Code ; Large Provider Entity Code ; Age Band Code ; Sex Code </v>
      </c>
      <c r="N6339" s="297" t="s">
        <v>197</v>
      </c>
      <c r="O6339" s="297" t="s">
        <v>198</v>
      </c>
      <c r="P6339" s="297" t="s">
        <v>199</v>
      </c>
      <c r="Q6339" s="297" t="s">
        <v>200</v>
      </c>
      <c r="R6339" s="297" t="s">
        <v>213</v>
      </c>
      <c r="S6339" s="297" t="s">
        <v>214</v>
      </c>
    </row>
    <row r="6340" spans="1:19" x14ac:dyDescent="0.4">
      <c r="A6340" s="548"/>
      <c r="B6340" s="292"/>
      <c r="C6340" s="292"/>
      <c r="D6340" s="292"/>
      <c r="E6340" s="549"/>
      <c r="F6340" s="549"/>
      <c r="G6340" s="550"/>
      <c r="H6340" s="551"/>
      <c r="I6340" s="552"/>
      <c r="J6340" s="553"/>
      <c r="K6340" s="554"/>
      <c r="M6340" s="301" t="str">
        <f>N6340&amp;AS[[#This Row],[Insurer Code]]&amp;"; "&amp;O6340&amp;AS[[#This Row],[Reporting Year]]&amp;"; "&amp;P6340&amp;AS[[#This Row],[Insurance Category Code]]&amp;"; "&amp;Q6340&amp;AS[[#This Row],[Large Provider Entity Code]]&amp;"; "&amp;R6340&amp;AS[[#This Row],[Age Band Code]]&amp;"; "&amp;S6340&amp;AS[[#This Row],[Sex Code]]</f>
        <v xml:space="preserve">Insurer Code ; Reporting Year ; Insurance Category Code ; Large Provider Entity Code ; Age Band Code ; Sex Code </v>
      </c>
      <c r="N6340" s="297" t="s">
        <v>197</v>
      </c>
      <c r="O6340" s="297" t="s">
        <v>198</v>
      </c>
      <c r="P6340" s="297" t="s">
        <v>199</v>
      </c>
      <c r="Q6340" s="297" t="s">
        <v>200</v>
      </c>
      <c r="R6340" s="297" t="s">
        <v>213</v>
      </c>
      <c r="S6340" s="297" t="s">
        <v>214</v>
      </c>
    </row>
    <row r="6341" spans="1:19" x14ac:dyDescent="0.4">
      <c r="A6341" s="548"/>
      <c r="B6341" s="292"/>
      <c r="C6341" s="292"/>
      <c r="D6341" s="292"/>
      <c r="E6341" s="549"/>
      <c r="F6341" s="549"/>
      <c r="G6341" s="550"/>
      <c r="H6341" s="551"/>
      <c r="I6341" s="552"/>
      <c r="J6341" s="553"/>
      <c r="K6341" s="554"/>
      <c r="M6341" s="301" t="str">
        <f>N6341&amp;AS[[#This Row],[Insurer Code]]&amp;"; "&amp;O6341&amp;AS[[#This Row],[Reporting Year]]&amp;"; "&amp;P6341&amp;AS[[#This Row],[Insurance Category Code]]&amp;"; "&amp;Q6341&amp;AS[[#This Row],[Large Provider Entity Code]]&amp;"; "&amp;R6341&amp;AS[[#This Row],[Age Band Code]]&amp;"; "&amp;S6341&amp;AS[[#This Row],[Sex Code]]</f>
        <v xml:space="preserve">Insurer Code ; Reporting Year ; Insurance Category Code ; Large Provider Entity Code ; Age Band Code ; Sex Code </v>
      </c>
      <c r="N6341" s="297" t="s">
        <v>197</v>
      </c>
      <c r="O6341" s="297" t="s">
        <v>198</v>
      </c>
      <c r="P6341" s="297" t="s">
        <v>199</v>
      </c>
      <c r="Q6341" s="297" t="s">
        <v>200</v>
      </c>
      <c r="R6341" s="297" t="s">
        <v>213</v>
      </c>
      <c r="S6341" s="297" t="s">
        <v>214</v>
      </c>
    </row>
    <row r="6342" spans="1:19" x14ac:dyDescent="0.4">
      <c r="A6342" s="548"/>
      <c r="B6342" s="292"/>
      <c r="C6342" s="292"/>
      <c r="D6342" s="292"/>
      <c r="E6342" s="549"/>
      <c r="F6342" s="549"/>
      <c r="G6342" s="550"/>
      <c r="H6342" s="551"/>
      <c r="I6342" s="552"/>
      <c r="J6342" s="553"/>
      <c r="K6342" s="554"/>
      <c r="M6342" s="301" t="str">
        <f>N6342&amp;AS[[#This Row],[Insurer Code]]&amp;"; "&amp;O6342&amp;AS[[#This Row],[Reporting Year]]&amp;"; "&amp;P6342&amp;AS[[#This Row],[Insurance Category Code]]&amp;"; "&amp;Q6342&amp;AS[[#This Row],[Large Provider Entity Code]]&amp;"; "&amp;R6342&amp;AS[[#This Row],[Age Band Code]]&amp;"; "&amp;S6342&amp;AS[[#This Row],[Sex Code]]</f>
        <v xml:space="preserve">Insurer Code ; Reporting Year ; Insurance Category Code ; Large Provider Entity Code ; Age Band Code ; Sex Code </v>
      </c>
      <c r="N6342" s="297" t="s">
        <v>197</v>
      </c>
      <c r="O6342" s="297" t="s">
        <v>198</v>
      </c>
      <c r="P6342" s="297" t="s">
        <v>199</v>
      </c>
      <c r="Q6342" s="297" t="s">
        <v>200</v>
      </c>
      <c r="R6342" s="297" t="s">
        <v>213</v>
      </c>
      <c r="S6342" s="297" t="s">
        <v>214</v>
      </c>
    </row>
    <row r="6343" spans="1:19" x14ac:dyDescent="0.4">
      <c r="A6343" s="548"/>
      <c r="B6343" s="292"/>
      <c r="C6343" s="292"/>
      <c r="D6343" s="292"/>
      <c r="E6343" s="549"/>
      <c r="F6343" s="549"/>
      <c r="G6343" s="550"/>
      <c r="H6343" s="551"/>
      <c r="I6343" s="552"/>
      <c r="J6343" s="553"/>
      <c r="K6343" s="554"/>
      <c r="M6343" s="301" t="str">
        <f>N6343&amp;AS[[#This Row],[Insurer Code]]&amp;"; "&amp;O6343&amp;AS[[#This Row],[Reporting Year]]&amp;"; "&amp;P6343&amp;AS[[#This Row],[Insurance Category Code]]&amp;"; "&amp;Q6343&amp;AS[[#This Row],[Large Provider Entity Code]]&amp;"; "&amp;R6343&amp;AS[[#This Row],[Age Band Code]]&amp;"; "&amp;S6343&amp;AS[[#This Row],[Sex Code]]</f>
        <v xml:space="preserve">Insurer Code ; Reporting Year ; Insurance Category Code ; Large Provider Entity Code ; Age Band Code ; Sex Code </v>
      </c>
      <c r="N6343" s="297" t="s">
        <v>197</v>
      </c>
      <c r="O6343" s="297" t="s">
        <v>198</v>
      </c>
      <c r="P6343" s="297" t="s">
        <v>199</v>
      </c>
      <c r="Q6343" s="297" t="s">
        <v>200</v>
      </c>
      <c r="R6343" s="297" t="s">
        <v>213</v>
      </c>
      <c r="S6343" s="297" t="s">
        <v>214</v>
      </c>
    </row>
    <row r="6344" spans="1:19" x14ac:dyDescent="0.4">
      <c r="A6344" s="548"/>
      <c r="B6344" s="292"/>
      <c r="C6344" s="292"/>
      <c r="D6344" s="292"/>
      <c r="E6344" s="549"/>
      <c r="F6344" s="549"/>
      <c r="G6344" s="550"/>
      <c r="H6344" s="551"/>
      <c r="I6344" s="552"/>
      <c r="J6344" s="553"/>
      <c r="K6344" s="554"/>
      <c r="M6344" s="301" t="str">
        <f>N6344&amp;AS[[#This Row],[Insurer Code]]&amp;"; "&amp;O6344&amp;AS[[#This Row],[Reporting Year]]&amp;"; "&amp;P6344&amp;AS[[#This Row],[Insurance Category Code]]&amp;"; "&amp;Q6344&amp;AS[[#This Row],[Large Provider Entity Code]]&amp;"; "&amp;R6344&amp;AS[[#This Row],[Age Band Code]]&amp;"; "&amp;S6344&amp;AS[[#This Row],[Sex Code]]</f>
        <v xml:space="preserve">Insurer Code ; Reporting Year ; Insurance Category Code ; Large Provider Entity Code ; Age Band Code ; Sex Code </v>
      </c>
      <c r="N6344" s="297" t="s">
        <v>197</v>
      </c>
      <c r="O6344" s="297" t="s">
        <v>198</v>
      </c>
      <c r="P6344" s="297" t="s">
        <v>199</v>
      </c>
      <c r="Q6344" s="297" t="s">
        <v>200</v>
      </c>
      <c r="R6344" s="297" t="s">
        <v>213</v>
      </c>
      <c r="S6344" s="297" t="s">
        <v>214</v>
      </c>
    </row>
    <row r="6345" spans="1:19" x14ac:dyDescent="0.4">
      <c r="A6345" s="548"/>
      <c r="B6345" s="292"/>
      <c r="C6345" s="292"/>
      <c r="D6345" s="292"/>
      <c r="E6345" s="549"/>
      <c r="F6345" s="549"/>
      <c r="G6345" s="550"/>
      <c r="H6345" s="551"/>
      <c r="I6345" s="552"/>
      <c r="J6345" s="553"/>
      <c r="K6345" s="554"/>
      <c r="M6345" s="301" t="str">
        <f>N6345&amp;AS[[#This Row],[Insurer Code]]&amp;"; "&amp;O6345&amp;AS[[#This Row],[Reporting Year]]&amp;"; "&amp;P6345&amp;AS[[#This Row],[Insurance Category Code]]&amp;"; "&amp;Q6345&amp;AS[[#This Row],[Large Provider Entity Code]]&amp;"; "&amp;R6345&amp;AS[[#This Row],[Age Band Code]]&amp;"; "&amp;S6345&amp;AS[[#This Row],[Sex Code]]</f>
        <v xml:space="preserve">Insurer Code ; Reporting Year ; Insurance Category Code ; Large Provider Entity Code ; Age Band Code ; Sex Code </v>
      </c>
      <c r="N6345" s="297" t="s">
        <v>197</v>
      </c>
      <c r="O6345" s="297" t="s">
        <v>198</v>
      </c>
      <c r="P6345" s="297" t="s">
        <v>199</v>
      </c>
      <c r="Q6345" s="297" t="s">
        <v>200</v>
      </c>
      <c r="R6345" s="297" t="s">
        <v>213</v>
      </c>
      <c r="S6345" s="297" t="s">
        <v>214</v>
      </c>
    </row>
    <row r="6346" spans="1:19" x14ac:dyDescent="0.4">
      <c r="A6346" s="548"/>
      <c r="B6346" s="292"/>
      <c r="C6346" s="292"/>
      <c r="D6346" s="292"/>
      <c r="E6346" s="549"/>
      <c r="F6346" s="549"/>
      <c r="G6346" s="550"/>
      <c r="H6346" s="551"/>
      <c r="I6346" s="552"/>
      <c r="J6346" s="553"/>
      <c r="K6346" s="554"/>
      <c r="M6346" s="301" t="str">
        <f>N6346&amp;AS[[#This Row],[Insurer Code]]&amp;"; "&amp;O6346&amp;AS[[#This Row],[Reporting Year]]&amp;"; "&amp;P6346&amp;AS[[#This Row],[Insurance Category Code]]&amp;"; "&amp;Q6346&amp;AS[[#This Row],[Large Provider Entity Code]]&amp;"; "&amp;R6346&amp;AS[[#This Row],[Age Band Code]]&amp;"; "&amp;S6346&amp;AS[[#This Row],[Sex Code]]</f>
        <v xml:space="preserve">Insurer Code ; Reporting Year ; Insurance Category Code ; Large Provider Entity Code ; Age Band Code ; Sex Code </v>
      </c>
      <c r="N6346" s="297" t="s">
        <v>197</v>
      </c>
      <c r="O6346" s="297" t="s">
        <v>198</v>
      </c>
      <c r="P6346" s="297" t="s">
        <v>199</v>
      </c>
      <c r="Q6346" s="297" t="s">
        <v>200</v>
      </c>
      <c r="R6346" s="297" t="s">
        <v>213</v>
      </c>
      <c r="S6346" s="297" t="s">
        <v>214</v>
      </c>
    </row>
    <row r="6347" spans="1:19" x14ac:dyDescent="0.4">
      <c r="A6347" s="548"/>
      <c r="B6347" s="292"/>
      <c r="C6347" s="292"/>
      <c r="D6347" s="292"/>
      <c r="E6347" s="549"/>
      <c r="F6347" s="549"/>
      <c r="G6347" s="550"/>
      <c r="H6347" s="551"/>
      <c r="I6347" s="552"/>
      <c r="J6347" s="553"/>
      <c r="K6347" s="554"/>
      <c r="M6347" s="301" t="str">
        <f>N6347&amp;AS[[#This Row],[Insurer Code]]&amp;"; "&amp;O6347&amp;AS[[#This Row],[Reporting Year]]&amp;"; "&amp;P6347&amp;AS[[#This Row],[Insurance Category Code]]&amp;"; "&amp;Q6347&amp;AS[[#This Row],[Large Provider Entity Code]]&amp;"; "&amp;R6347&amp;AS[[#This Row],[Age Band Code]]&amp;"; "&amp;S6347&amp;AS[[#This Row],[Sex Code]]</f>
        <v xml:space="preserve">Insurer Code ; Reporting Year ; Insurance Category Code ; Large Provider Entity Code ; Age Band Code ; Sex Code </v>
      </c>
      <c r="N6347" s="297" t="s">
        <v>197</v>
      </c>
      <c r="O6347" s="297" t="s">
        <v>198</v>
      </c>
      <c r="P6347" s="297" t="s">
        <v>199</v>
      </c>
      <c r="Q6347" s="297" t="s">
        <v>200</v>
      </c>
      <c r="R6347" s="297" t="s">
        <v>213</v>
      </c>
      <c r="S6347" s="297" t="s">
        <v>214</v>
      </c>
    </row>
    <row r="6348" spans="1:19" x14ac:dyDescent="0.4">
      <c r="A6348" s="548"/>
      <c r="B6348" s="292"/>
      <c r="C6348" s="292"/>
      <c r="D6348" s="292"/>
      <c r="E6348" s="549"/>
      <c r="F6348" s="549"/>
      <c r="G6348" s="550"/>
      <c r="H6348" s="551"/>
      <c r="I6348" s="552"/>
      <c r="J6348" s="553"/>
      <c r="K6348" s="554"/>
      <c r="M6348" s="301" t="str">
        <f>N6348&amp;AS[[#This Row],[Insurer Code]]&amp;"; "&amp;O6348&amp;AS[[#This Row],[Reporting Year]]&amp;"; "&amp;P6348&amp;AS[[#This Row],[Insurance Category Code]]&amp;"; "&amp;Q6348&amp;AS[[#This Row],[Large Provider Entity Code]]&amp;"; "&amp;R6348&amp;AS[[#This Row],[Age Band Code]]&amp;"; "&amp;S6348&amp;AS[[#This Row],[Sex Code]]</f>
        <v xml:space="preserve">Insurer Code ; Reporting Year ; Insurance Category Code ; Large Provider Entity Code ; Age Band Code ; Sex Code </v>
      </c>
      <c r="N6348" s="297" t="s">
        <v>197</v>
      </c>
      <c r="O6348" s="297" t="s">
        <v>198</v>
      </c>
      <c r="P6348" s="297" t="s">
        <v>199</v>
      </c>
      <c r="Q6348" s="297" t="s">
        <v>200</v>
      </c>
      <c r="R6348" s="297" t="s">
        <v>213</v>
      </c>
      <c r="S6348" s="297" t="s">
        <v>214</v>
      </c>
    </row>
    <row r="6349" spans="1:19" x14ac:dyDescent="0.4">
      <c r="A6349" s="548"/>
      <c r="B6349" s="292"/>
      <c r="C6349" s="292"/>
      <c r="D6349" s="292"/>
      <c r="E6349" s="549"/>
      <c r="F6349" s="549"/>
      <c r="G6349" s="550"/>
      <c r="H6349" s="551"/>
      <c r="I6349" s="552"/>
      <c r="J6349" s="553"/>
      <c r="K6349" s="554"/>
      <c r="M6349" s="301" t="str">
        <f>N6349&amp;AS[[#This Row],[Insurer Code]]&amp;"; "&amp;O6349&amp;AS[[#This Row],[Reporting Year]]&amp;"; "&amp;P6349&amp;AS[[#This Row],[Insurance Category Code]]&amp;"; "&amp;Q6349&amp;AS[[#This Row],[Large Provider Entity Code]]&amp;"; "&amp;R6349&amp;AS[[#This Row],[Age Band Code]]&amp;"; "&amp;S6349&amp;AS[[#This Row],[Sex Code]]</f>
        <v xml:space="preserve">Insurer Code ; Reporting Year ; Insurance Category Code ; Large Provider Entity Code ; Age Band Code ; Sex Code </v>
      </c>
      <c r="N6349" s="297" t="s">
        <v>197</v>
      </c>
      <c r="O6349" s="297" t="s">
        <v>198</v>
      </c>
      <c r="P6349" s="297" t="s">
        <v>199</v>
      </c>
      <c r="Q6349" s="297" t="s">
        <v>200</v>
      </c>
      <c r="R6349" s="297" t="s">
        <v>213</v>
      </c>
      <c r="S6349" s="297" t="s">
        <v>214</v>
      </c>
    </row>
    <row r="6350" spans="1:19" x14ac:dyDescent="0.4">
      <c r="A6350" s="548"/>
      <c r="B6350" s="292"/>
      <c r="C6350" s="292"/>
      <c r="D6350" s="292"/>
      <c r="E6350" s="549"/>
      <c r="F6350" s="549"/>
      <c r="G6350" s="550"/>
      <c r="H6350" s="551"/>
      <c r="I6350" s="552"/>
      <c r="J6350" s="553"/>
      <c r="K6350" s="554"/>
      <c r="M6350" s="301" t="str">
        <f>N6350&amp;AS[[#This Row],[Insurer Code]]&amp;"; "&amp;O6350&amp;AS[[#This Row],[Reporting Year]]&amp;"; "&amp;P6350&amp;AS[[#This Row],[Insurance Category Code]]&amp;"; "&amp;Q6350&amp;AS[[#This Row],[Large Provider Entity Code]]&amp;"; "&amp;R6350&amp;AS[[#This Row],[Age Band Code]]&amp;"; "&amp;S6350&amp;AS[[#This Row],[Sex Code]]</f>
        <v xml:space="preserve">Insurer Code ; Reporting Year ; Insurance Category Code ; Large Provider Entity Code ; Age Band Code ; Sex Code </v>
      </c>
      <c r="N6350" s="297" t="s">
        <v>197</v>
      </c>
      <c r="O6350" s="297" t="s">
        <v>198</v>
      </c>
      <c r="P6350" s="297" t="s">
        <v>199</v>
      </c>
      <c r="Q6350" s="297" t="s">
        <v>200</v>
      </c>
      <c r="R6350" s="297" t="s">
        <v>213</v>
      </c>
      <c r="S6350" s="297" t="s">
        <v>214</v>
      </c>
    </row>
    <row r="6351" spans="1:19" x14ac:dyDescent="0.4">
      <c r="A6351" s="548"/>
      <c r="B6351" s="292"/>
      <c r="C6351" s="292"/>
      <c r="D6351" s="292"/>
      <c r="E6351" s="549"/>
      <c r="F6351" s="549"/>
      <c r="G6351" s="550"/>
      <c r="H6351" s="551"/>
      <c r="I6351" s="552"/>
      <c r="J6351" s="553"/>
      <c r="K6351" s="554"/>
      <c r="M6351" s="301" t="str">
        <f>N6351&amp;AS[[#This Row],[Insurer Code]]&amp;"; "&amp;O6351&amp;AS[[#This Row],[Reporting Year]]&amp;"; "&amp;P6351&amp;AS[[#This Row],[Insurance Category Code]]&amp;"; "&amp;Q6351&amp;AS[[#This Row],[Large Provider Entity Code]]&amp;"; "&amp;R6351&amp;AS[[#This Row],[Age Band Code]]&amp;"; "&amp;S6351&amp;AS[[#This Row],[Sex Code]]</f>
        <v xml:space="preserve">Insurer Code ; Reporting Year ; Insurance Category Code ; Large Provider Entity Code ; Age Band Code ; Sex Code </v>
      </c>
      <c r="N6351" s="297" t="s">
        <v>197</v>
      </c>
      <c r="O6351" s="297" t="s">
        <v>198</v>
      </c>
      <c r="P6351" s="297" t="s">
        <v>199</v>
      </c>
      <c r="Q6351" s="297" t="s">
        <v>200</v>
      </c>
      <c r="R6351" s="297" t="s">
        <v>213</v>
      </c>
      <c r="S6351" s="297" t="s">
        <v>214</v>
      </c>
    </row>
    <row r="6352" spans="1:19" x14ac:dyDescent="0.4">
      <c r="A6352" s="291"/>
      <c r="B6352" s="292"/>
      <c r="C6352" s="312"/>
      <c r="D6352" s="292"/>
      <c r="E6352" s="489"/>
      <c r="F6352" s="489"/>
      <c r="G6352" s="490"/>
      <c r="H6352" s="520"/>
      <c r="I6352" s="523"/>
      <c r="J6352" s="521"/>
      <c r="K6352" s="522"/>
      <c r="M6352" s="301" t="str">
        <f>N6352&amp;AS[[#This Row],[Insurer Code]]&amp;"; "&amp;O6352&amp;AS[[#This Row],[Reporting Year]]&amp;"; "&amp;P6352&amp;AS[[#This Row],[Insurance Category Code]]&amp;"; "&amp;Q6352&amp;AS[[#This Row],[Large Provider Entity Code]]&amp;"; "&amp;R6352&amp;AS[[#This Row],[Age Band Code]]&amp;"; "&amp;S6352&amp;AS[[#This Row],[Sex Code]]</f>
        <v xml:space="preserve">Insurer Code ; Reporting Year ; Insurance Category Code ; Large Provider Entity Code ; Age Band Code ; Sex Code </v>
      </c>
      <c r="N6352" s="297" t="s">
        <v>197</v>
      </c>
      <c r="O6352" s="297" t="s">
        <v>198</v>
      </c>
      <c r="P6352" s="297" t="s">
        <v>199</v>
      </c>
      <c r="Q6352" s="297" t="s">
        <v>200</v>
      </c>
      <c r="R6352" s="297" t="s">
        <v>213</v>
      </c>
      <c r="S6352" s="297" t="s">
        <v>214</v>
      </c>
    </row>
    <row r="6353" spans="1:19" x14ac:dyDescent="0.4">
      <c r="A6353" s="291"/>
      <c r="B6353" s="292"/>
      <c r="C6353" s="312"/>
      <c r="D6353" s="292"/>
      <c r="E6353" s="489"/>
      <c r="F6353" s="489"/>
      <c r="G6353" s="490"/>
      <c r="H6353" s="520"/>
      <c r="I6353" s="523"/>
      <c r="J6353" s="521"/>
      <c r="K6353" s="522"/>
      <c r="M6353" s="301" t="str">
        <f>N6353&amp;AS[[#This Row],[Insurer Code]]&amp;"; "&amp;O6353&amp;AS[[#This Row],[Reporting Year]]&amp;"; "&amp;P6353&amp;AS[[#This Row],[Insurance Category Code]]&amp;"; "&amp;Q6353&amp;AS[[#This Row],[Large Provider Entity Code]]&amp;"; "&amp;R6353&amp;AS[[#This Row],[Age Band Code]]&amp;"; "&amp;S6353&amp;AS[[#This Row],[Sex Code]]</f>
        <v xml:space="preserve">Insurer Code ; Reporting Year ; Insurance Category Code ; Large Provider Entity Code ; Age Band Code ; Sex Code </v>
      </c>
      <c r="N6353" s="297" t="s">
        <v>197</v>
      </c>
      <c r="O6353" s="297" t="s">
        <v>198</v>
      </c>
      <c r="P6353" s="297" t="s">
        <v>199</v>
      </c>
      <c r="Q6353" s="297" t="s">
        <v>200</v>
      </c>
      <c r="R6353" s="297" t="s">
        <v>213</v>
      </c>
      <c r="S6353" s="297" t="s">
        <v>214</v>
      </c>
    </row>
    <row r="6354" spans="1:19" x14ac:dyDescent="0.4">
      <c r="A6354" s="291"/>
      <c r="B6354" s="292"/>
      <c r="C6354" s="312"/>
      <c r="D6354" s="292"/>
      <c r="E6354" s="489"/>
      <c r="F6354" s="489"/>
      <c r="G6354" s="490"/>
      <c r="H6354" s="520"/>
      <c r="I6354" s="523"/>
      <c r="J6354" s="521"/>
      <c r="K6354" s="522"/>
      <c r="M6354" s="301" t="str">
        <f>N6354&amp;AS[[#This Row],[Insurer Code]]&amp;"; "&amp;O6354&amp;AS[[#This Row],[Reporting Year]]&amp;"; "&amp;P6354&amp;AS[[#This Row],[Insurance Category Code]]&amp;"; "&amp;Q6354&amp;AS[[#This Row],[Large Provider Entity Code]]&amp;"; "&amp;R6354&amp;AS[[#This Row],[Age Band Code]]&amp;"; "&amp;S6354&amp;AS[[#This Row],[Sex Code]]</f>
        <v xml:space="preserve">Insurer Code ; Reporting Year ; Insurance Category Code ; Large Provider Entity Code ; Age Band Code ; Sex Code </v>
      </c>
      <c r="N6354" s="297" t="s">
        <v>197</v>
      </c>
      <c r="O6354" s="297" t="s">
        <v>198</v>
      </c>
      <c r="P6354" s="297" t="s">
        <v>199</v>
      </c>
      <c r="Q6354" s="297" t="s">
        <v>200</v>
      </c>
      <c r="R6354" s="297" t="s">
        <v>213</v>
      </c>
      <c r="S6354" s="297" t="s">
        <v>214</v>
      </c>
    </row>
    <row r="6355" spans="1:19" x14ac:dyDescent="0.4">
      <c r="A6355" s="291"/>
      <c r="B6355" s="292"/>
      <c r="C6355" s="312"/>
      <c r="D6355" s="292"/>
      <c r="E6355" s="489"/>
      <c r="F6355" s="489"/>
      <c r="G6355" s="490"/>
      <c r="H6355" s="520"/>
      <c r="I6355" s="523"/>
      <c r="J6355" s="521"/>
      <c r="K6355" s="522"/>
      <c r="M6355" s="301" t="str">
        <f>N6355&amp;AS[[#This Row],[Insurer Code]]&amp;"; "&amp;O6355&amp;AS[[#This Row],[Reporting Year]]&amp;"; "&amp;P6355&amp;AS[[#This Row],[Insurance Category Code]]&amp;"; "&amp;Q6355&amp;AS[[#This Row],[Large Provider Entity Code]]&amp;"; "&amp;R6355&amp;AS[[#This Row],[Age Band Code]]&amp;"; "&amp;S6355&amp;AS[[#This Row],[Sex Code]]</f>
        <v xml:space="preserve">Insurer Code ; Reporting Year ; Insurance Category Code ; Large Provider Entity Code ; Age Band Code ; Sex Code </v>
      </c>
      <c r="N6355" s="297" t="s">
        <v>197</v>
      </c>
      <c r="O6355" s="297" t="s">
        <v>198</v>
      </c>
      <c r="P6355" s="297" t="s">
        <v>199</v>
      </c>
      <c r="Q6355" s="297" t="s">
        <v>200</v>
      </c>
      <c r="R6355" s="297" t="s">
        <v>213</v>
      </c>
      <c r="S6355" s="297" t="s">
        <v>214</v>
      </c>
    </row>
    <row r="6356" spans="1:19" x14ac:dyDescent="0.4">
      <c r="A6356" s="291"/>
      <c r="B6356" s="292"/>
      <c r="C6356" s="312"/>
      <c r="D6356" s="292"/>
      <c r="E6356" s="489"/>
      <c r="F6356" s="489"/>
      <c r="G6356" s="490"/>
      <c r="H6356" s="520"/>
      <c r="I6356" s="523"/>
      <c r="J6356" s="521"/>
      <c r="K6356" s="522"/>
      <c r="M6356" s="301" t="str">
        <f>N6356&amp;AS[[#This Row],[Insurer Code]]&amp;"; "&amp;O6356&amp;AS[[#This Row],[Reporting Year]]&amp;"; "&amp;P6356&amp;AS[[#This Row],[Insurance Category Code]]&amp;"; "&amp;Q6356&amp;AS[[#This Row],[Large Provider Entity Code]]&amp;"; "&amp;R6356&amp;AS[[#This Row],[Age Band Code]]&amp;"; "&amp;S6356&amp;AS[[#This Row],[Sex Code]]</f>
        <v xml:space="preserve">Insurer Code ; Reporting Year ; Insurance Category Code ; Large Provider Entity Code ; Age Band Code ; Sex Code </v>
      </c>
      <c r="N6356" s="297" t="s">
        <v>197</v>
      </c>
      <c r="O6356" s="297" t="s">
        <v>198</v>
      </c>
      <c r="P6356" s="297" t="s">
        <v>199</v>
      </c>
      <c r="Q6356" s="297" t="s">
        <v>200</v>
      </c>
      <c r="R6356" s="297" t="s">
        <v>213</v>
      </c>
      <c r="S6356" s="297" t="s">
        <v>214</v>
      </c>
    </row>
    <row r="6357" spans="1:19" x14ac:dyDescent="0.4">
      <c r="A6357" s="291"/>
      <c r="B6357" s="292"/>
      <c r="C6357" s="312"/>
      <c r="D6357" s="292"/>
      <c r="E6357" s="489"/>
      <c r="F6357" s="489"/>
      <c r="G6357" s="490"/>
      <c r="H6357" s="520"/>
      <c r="I6357" s="523"/>
      <c r="J6357" s="521"/>
      <c r="K6357" s="522"/>
      <c r="M6357" s="301" t="str">
        <f>N6357&amp;AS[[#This Row],[Insurer Code]]&amp;"; "&amp;O6357&amp;AS[[#This Row],[Reporting Year]]&amp;"; "&amp;P6357&amp;AS[[#This Row],[Insurance Category Code]]&amp;"; "&amp;Q6357&amp;AS[[#This Row],[Large Provider Entity Code]]&amp;"; "&amp;R6357&amp;AS[[#This Row],[Age Band Code]]&amp;"; "&amp;S6357&amp;AS[[#This Row],[Sex Code]]</f>
        <v xml:space="preserve">Insurer Code ; Reporting Year ; Insurance Category Code ; Large Provider Entity Code ; Age Band Code ; Sex Code </v>
      </c>
      <c r="N6357" s="297" t="s">
        <v>197</v>
      </c>
      <c r="O6357" s="297" t="s">
        <v>198</v>
      </c>
      <c r="P6357" s="297" t="s">
        <v>199</v>
      </c>
      <c r="Q6357" s="297" t="s">
        <v>200</v>
      </c>
      <c r="R6357" s="297" t="s">
        <v>213</v>
      </c>
      <c r="S6357" s="297" t="s">
        <v>214</v>
      </c>
    </row>
    <row r="6358" spans="1:19" x14ac:dyDescent="0.4">
      <c r="A6358" s="291"/>
      <c r="B6358" s="292"/>
      <c r="C6358" s="312"/>
      <c r="D6358" s="292"/>
      <c r="E6358" s="489"/>
      <c r="F6358" s="489"/>
      <c r="G6358" s="490"/>
      <c r="H6358" s="520"/>
      <c r="I6358" s="523"/>
      <c r="J6358" s="521"/>
      <c r="K6358" s="522"/>
      <c r="M6358" s="301" t="str">
        <f>N6358&amp;AS[[#This Row],[Insurer Code]]&amp;"; "&amp;O6358&amp;AS[[#This Row],[Reporting Year]]&amp;"; "&amp;P6358&amp;AS[[#This Row],[Insurance Category Code]]&amp;"; "&amp;Q6358&amp;AS[[#This Row],[Large Provider Entity Code]]&amp;"; "&amp;R6358&amp;AS[[#This Row],[Age Band Code]]&amp;"; "&amp;S6358&amp;AS[[#This Row],[Sex Code]]</f>
        <v xml:space="preserve">Insurer Code ; Reporting Year ; Insurance Category Code ; Large Provider Entity Code ; Age Band Code ; Sex Code </v>
      </c>
      <c r="N6358" s="297" t="s">
        <v>197</v>
      </c>
      <c r="O6358" s="297" t="s">
        <v>198</v>
      </c>
      <c r="P6358" s="297" t="s">
        <v>199</v>
      </c>
      <c r="Q6358" s="297" t="s">
        <v>200</v>
      </c>
      <c r="R6358" s="297" t="s">
        <v>213</v>
      </c>
      <c r="S6358" s="297" t="s">
        <v>214</v>
      </c>
    </row>
    <row r="6359" spans="1:19" x14ac:dyDescent="0.4">
      <c r="A6359" s="291"/>
      <c r="B6359" s="292"/>
      <c r="C6359" s="312"/>
      <c r="D6359" s="292"/>
      <c r="E6359" s="489"/>
      <c r="F6359" s="489"/>
      <c r="G6359" s="490"/>
      <c r="H6359" s="520"/>
      <c r="I6359" s="523"/>
      <c r="J6359" s="521"/>
      <c r="K6359" s="522"/>
      <c r="M6359" s="301" t="str">
        <f>N6359&amp;AS[[#This Row],[Insurer Code]]&amp;"; "&amp;O6359&amp;AS[[#This Row],[Reporting Year]]&amp;"; "&amp;P6359&amp;AS[[#This Row],[Insurance Category Code]]&amp;"; "&amp;Q6359&amp;AS[[#This Row],[Large Provider Entity Code]]&amp;"; "&amp;R6359&amp;AS[[#This Row],[Age Band Code]]&amp;"; "&amp;S6359&amp;AS[[#This Row],[Sex Code]]</f>
        <v xml:space="preserve">Insurer Code ; Reporting Year ; Insurance Category Code ; Large Provider Entity Code ; Age Band Code ; Sex Code </v>
      </c>
      <c r="N6359" s="297" t="s">
        <v>197</v>
      </c>
      <c r="O6359" s="297" t="s">
        <v>198</v>
      </c>
      <c r="P6359" s="297" t="s">
        <v>199</v>
      </c>
      <c r="Q6359" s="297" t="s">
        <v>200</v>
      </c>
      <c r="R6359" s="297" t="s">
        <v>213</v>
      </c>
      <c r="S6359" s="297" t="s">
        <v>214</v>
      </c>
    </row>
    <row r="6360" spans="1:19" x14ac:dyDescent="0.4">
      <c r="A6360" s="291"/>
      <c r="B6360" s="292"/>
      <c r="C6360" s="312"/>
      <c r="D6360" s="292"/>
      <c r="E6360" s="489"/>
      <c r="F6360" s="489"/>
      <c r="G6360" s="490"/>
      <c r="H6360" s="520"/>
      <c r="I6360" s="523"/>
      <c r="J6360" s="521"/>
      <c r="K6360" s="522"/>
      <c r="M6360" s="301" t="str">
        <f>N6360&amp;AS[[#This Row],[Insurer Code]]&amp;"; "&amp;O6360&amp;AS[[#This Row],[Reporting Year]]&amp;"; "&amp;P6360&amp;AS[[#This Row],[Insurance Category Code]]&amp;"; "&amp;Q6360&amp;AS[[#This Row],[Large Provider Entity Code]]&amp;"; "&amp;R6360&amp;AS[[#This Row],[Age Band Code]]&amp;"; "&amp;S6360&amp;AS[[#This Row],[Sex Code]]</f>
        <v xml:space="preserve">Insurer Code ; Reporting Year ; Insurance Category Code ; Large Provider Entity Code ; Age Band Code ; Sex Code </v>
      </c>
      <c r="N6360" s="297" t="s">
        <v>197</v>
      </c>
      <c r="O6360" s="297" t="s">
        <v>198</v>
      </c>
      <c r="P6360" s="297" t="s">
        <v>199</v>
      </c>
      <c r="Q6360" s="297" t="s">
        <v>200</v>
      </c>
      <c r="R6360" s="297" t="s">
        <v>213</v>
      </c>
      <c r="S6360" s="297" t="s">
        <v>214</v>
      </c>
    </row>
    <row r="6361" spans="1:19" x14ac:dyDescent="0.4">
      <c r="A6361" s="291"/>
      <c r="B6361" s="292"/>
      <c r="C6361" s="312"/>
      <c r="D6361" s="292"/>
      <c r="E6361" s="489"/>
      <c r="F6361" s="489"/>
      <c r="G6361" s="490"/>
      <c r="H6361" s="520"/>
      <c r="I6361" s="523"/>
      <c r="J6361" s="521"/>
      <c r="K6361" s="522"/>
      <c r="M6361" s="301" t="str">
        <f>N6361&amp;AS[[#This Row],[Insurer Code]]&amp;"; "&amp;O6361&amp;AS[[#This Row],[Reporting Year]]&amp;"; "&amp;P6361&amp;AS[[#This Row],[Insurance Category Code]]&amp;"; "&amp;Q6361&amp;AS[[#This Row],[Large Provider Entity Code]]&amp;"; "&amp;R6361&amp;AS[[#This Row],[Age Band Code]]&amp;"; "&amp;S6361&amp;AS[[#This Row],[Sex Code]]</f>
        <v xml:space="preserve">Insurer Code ; Reporting Year ; Insurance Category Code ; Large Provider Entity Code ; Age Band Code ; Sex Code </v>
      </c>
      <c r="N6361" s="297" t="s">
        <v>197</v>
      </c>
      <c r="O6361" s="297" t="s">
        <v>198</v>
      </c>
      <c r="P6361" s="297" t="s">
        <v>199</v>
      </c>
      <c r="Q6361" s="297" t="s">
        <v>200</v>
      </c>
      <c r="R6361" s="297" t="s">
        <v>213</v>
      </c>
      <c r="S6361" s="297" t="s">
        <v>214</v>
      </c>
    </row>
    <row r="6362" spans="1:19" x14ac:dyDescent="0.4">
      <c r="A6362" s="291"/>
      <c r="B6362" s="292"/>
      <c r="C6362" s="312"/>
      <c r="D6362" s="292"/>
      <c r="E6362" s="489"/>
      <c r="F6362" s="489"/>
      <c r="G6362" s="490"/>
      <c r="H6362" s="520"/>
      <c r="I6362" s="523"/>
      <c r="J6362" s="521"/>
      <c r="K6362" s="522"/>
      <c r="M6362" s="301" t="str">
        <f>N6362&amp;AS[[#This Row],[Insurer Code]]&amp;"; "&amp;O6362&amp;AS[[#This Row],[Reporting Year]]&amp;"; "&amp;P6362&amp;AS[[#This Row],[Insurance Category Code]]&amp;"; "&amp;Q6362&amp;AS[[#This Row],[Large Provider Entity Code]]&amp;"; "&amp;R6362&amp;AS[[#This Row],[Age Band Code]]&amp;"; "&amp;S6362&amp;AS[[#This Row],[Sex Code]]</f>
        <v xml:space="preserve">Insurer Code ; Reporting Year ; Insurance Category Code ; Large Provider Entity Code ; Age Band Code ; Sex Code </v>
      </c>
      <c r="N6362" s="297" t="s">
        <v>197</v>
      </c>
      <c r="O6362" s="297" t="s">
        <v>198</v>
      </c>
      <c r="P6362" s="297" t="s">
        <v>199</v>
      </c>
      <c r="Q6362" s="297" t="s">
        <v>200</v>
      </c>
      <c r="R6362" s="297" t="s">
        <v>213</v>
      </c>
      <c r="S6362" s="297" t="s">
        <v>214</v>
      </c>
    </row>
    <row r="6363" spans="1:19" x14ac:dyDescent="0.4">
      <c r="A6363" s="291"/>
      <c r="B6363" s="292"/>
      <c r="C6363" s="312"/>
      <c r="D6363" s="292"/>
      <c r="E6363" s="489"/>
      <c r="F6363" s="489"/>
      <c r="G6363" s="490"/>
      <c r="H6363" s="520"/>
      <c r="I6363" s="523"/>
      <c r="J6363" s="521"/>
      <c r="K6363" s="522"/>
      <c r="M6363" s="301" t="str">
        <f>N6363&amp;AS[[#This Row],[Insurer Code]]&amp;"; "&amp;O6363&amp;AS[[#This Row],[Reporting Year]]&amp;"; "&amp;P6363&amp;AS[[#This Row],[Insurance Category Code]]&amp;"; "&amp;Q6363&amp;AS[[#This Row],[Large Provider Entity Code]]&amp;"; "&amp;R6363&amp;AS[[#This Row],[Age Band Code]]&amp;"; "&amp;S6363&amp;AS[[#This Row],[Sex Code]]</f>
        <v xml:space="preserve">Insurer Code ; Reporting Year ; Insurance Category Code ; Large Provider Entity Code ; Age Band Code ; Sex Code </v>
      </c>
      <c r="N6363" s="297" t="s">
        <v>197</v>
      </c>
      <c r="O6363" s="297" t="s">
        <v>198</v>
      </c>
      <c r="P6363" s="297" t="s">
        <v>199</v>
      </c>
      <c r="Q6363" s="297" t="s">
        <v>200</v>
      </c>
      <c r="R6363" s="297" t="s">
        <v>213</v>
      </c>
      <c r="S6363" s="297" t="s">
        <v>214</v>
      </c>
    </row>
    <row r="6364" spans="1:19" x14ac:dyDescent="0.4">
      <c r="A6364" s="291"/>
      <c r="B6364" s="292"/>
      <c r="C6364" s="312"/>
      <c r="D6364" s="292"/>
      <c r="E6364" s="489"/>
      <c r="F6364" s="489"/>
      <c r="G6364" s="490"/>
      <c r="H6364" s="520"/>
      <c r="I6364" s="523"/>
      <c r="J6364" s="521"/>
      <c r="K6364" s="522"/>
      <c r="M6364" s="301" t="str">
        <f>N6364&amp;AS[[#This Row],[Insurer Code]]&amp;"; "&amp;O6364&amp;AS[[#This Row],[Reporting Year]]&amp;"; "&amp;P6364&amp;AS[[#This Row],[Insurance Category Code]]&amp;"; "&amp;Q6364&amp;AS[[#This Row],[Large Provider Entity Code]]&amp;"; "&amp;R6364&amp;AS[[#This Row],[Age Band Code]]&amp;"; "&amp;S6364&amp;AS[[#This Row],[Sex Code]]</f>
        <v xml:space="preserve">Insurer Code ; Reporting Year ; Insurance Category Code ; Large Provider Entity Code ; Age Band Code ; Sex Code </v>
      </c>
      <c r="N6364" s="297" t="s">
        <v>197</v>
      </c>
      <c r="O6364" s="297" t="s">
        <v>198</v>
      </c>
      <c r="P6364" s="297" t="s">
        <v>199</v>
      </c>
      <c r="Q6364" s="297" t="s">
        <v>200</v>
      </c>
      <c r="R6364" s="297" t="s">
        <v>213</v>
      </c>
      <c r="S6364" s="297" t="s">
        <v>214</v>
      </c>
    </row>
    <row r="6365" spans="1:19" x14ac:dyDescent="0.4">
      <c r="A6365" s="291"/>
      <c r="B6365" s="292"/>
      <c r="C6365" s="312"/>
      <c r="D6365" s="292"/>
      <c r="E6365" s="489"/>
      <c r="F6365" s="489"/>
      <c r="G6365" s="490"/>
      <c r="H6365" s="520"/>
      <c r="I6365" s="523"/>
      <c r="J6365" s="521"/>
      <c r="K6365" s="522"/>
      <c r="M6365" s="301" t="str">
        <f>N6365&amp;AS[[#This Row],[Insurer Code]]&amp;"; "&amp;O6365&amp;AS[[#This Row],[Reporting Year]]&amp;"; "&amp;P6365&amp;AS[[#This Row],[Insurance Category Code]]&amp;"; "&amp;Q6365&amp;AS[[#This Row],[Large Provider Entity Code]]&amp;"; "&amp;R6365&amp;AS[[#This Row],[Age Band Code]]&amp;"; "&amp;S6365&amp;AS[[#This Row],[Sex Code]]</f>
        <v xml:space="preserve">Insurer Code ; Reporting Year ; Insurance Category Code ; Large Provider Entity Code ; Age Band Code ; Sex Code </v>
      </c>
      <c r="N6365" s="297" t="s">
        <v>197</v>
      </c>
      <c r="O6365" s="297" t="s">
        <v>198</v>
      </c>
      <c r="P6365" s="297" t="s">
        <v>199</v>
      </c>
      <c r="Q6365" s="297" t="s">
        <v>200</v>
      </c>
      <c r="R6365" s="297" t="s">
        <v>213</v>
      </c>
      <c r="S6365" s="297" t="s">
        <v>214</v>
      </c>
    </row>
    <row r="6366" spans="1:19" x14ac:dyDescent="0.4">
      <c r="A6366" s="291"/>
      <c r="B6366" s="292"/>
      <c r="C6366" s="312"/>
      <c r="D6366" s="292"/>
      <c r="E6366" s="489"/>
      <c r="F6366" s="489"/>
      <c r="G6366" s="490"/>
      <c r="H6366" s="520"/>
      <c r="I6366" s="523"/>
      <c r="J6366" s="521"/>
      <c r="K6366" s="522"/>
      <c r="M6366" s="301" t="str">
        <f>N6366&amp;AS[[#This Row],[Insurer Code]]&amp;"; "&amp;O6366&amp;AS[[#This Row],[Reporting Year]]&amp;"; "&amp;P6366&amp;AS[[#This Row],[Insurance Category Code]]&amp;"; "&amp;Q6366&amp;AS[[#This Row],[Large Provider Entity Code]]&amp;"; "&amp;R6366&amp;AS[[#This Row],[Age Band Code]]&amp;"; "&amp;S6366&amp;AS[[#This Row],[Sex Code]]</f>
        <v xml:space="preserve">Insurer Code ; Reporting Year ; Insurance Category Code ; Large Provider Entity Code ; Age Band Code ; Sex Code </v>
      </c>
      <c r="N6366" s="297" t="s">
        <v>197</v>
      </c>
      <c r="O6366" s="297" t="s">
        <v>198</v>
      </c>
      <c r="P6366" s="297" t="s">
        <v>199</v>
      </c>
      <c r="Q6366" s="297" t="s">
        <v>200</v>
      </c>
      <c r="R6366" s="297" t="s">
        <v>213</v>
      </c>
      <c r="S6366" s="297" t="s">
        <v>214</v>
      </c>
    </row>
    <row r="6367" spans="1:19" x14ac:dyDescent="0.4">
      <c r="A6367" s="291"/>
      <c r="B6367" s="292"/>
      <c r="C6367" s="312"/>
      <c r="D6367" s="292"/>
      <c r="E6367" s="489"/>
      <c r="F6367" s="489"/>
      <c r="G6367" s="490"/>
      <c r="H6367" s="520"/>
      <c r="I6367" s="523"/>
      <c r="J6367" s="521"/>
      <c r="K6367" s="522"/>
      <c r="M6367" s="301" t="str">
        <f>N6367&amp;AS[[#This Row],[Insurer Code]]&amp;"; "&amp;O6367&amp;AS[[#This Row],[Reporting Year]]&amp;"; "&amp;P6367&amp;AS[[#This Row],[Insurance Category Code]]&amp;"; "&amp;Q6367&amp;AS[[#This Row],[Large Provider Entity Code]]&amp;"; "&amp;R6367&amp;AS[[#This Row],[Age Band Code]]&amp;"; "&amp;S6367&amp;AS[[#This Row],[Sex Code]]</f>
        <v xml:space="preserve">Insurer Code ; Reporting Year ; Insurance Category Code ; Large Provider Entity Code ; Age Band Code ; Sex Code </v>
      </c>
      <c r="N6367" s="297" t="s">
        <v>197</v>
      </c>
      <c r="O6367" s="297" t="s">
        <v>198</v>
      </c>
      <c r="P6367" s="297" t="s">
        <v>199</v>
      </c>
      <c r="Q6367" s="297" t="s">
        <v>200</v>
      </c>
      <c r="R6367" s="297" t="s">
        <v>213</v>
      </c>
      <c r="S6367" s="297" t="s">
        <v>214</v>
      </c>
    </row>
    <row r="6368" spans="1:19" x14ac:dyDescent="0.4">
      <c r="A6368" s="291"/>
      <c r="B6368" s="292"/>
      <c r="C6368" s="312"/>
      <c r="D6368" s="292"/>
      <c r="E6368" s="489"/>
      <c r="F6368" s="489"/>
      <c r="G6368" s="490"/>
      <c r="H6368" s="520"/>
      <c r="I6368" s="523"/>
      <c r="J6368" s="521"/>
      <c r="K6368" s="522"/>
      <c r="M6368" s="301" t="str">
        <f>N6368&amp;AS[[#This Row],[Insurer Code]]&amp;"; "&amp;O6368&amp;AS[[#This Row],[Reporting Year]]&amp;"; "&amp;P6368&amp;AS[[#This Row],[Insurance Category Code]]&amp;"; "&amp;Q6368&amp;AS[[#This Row],[Large Provider Entity Code]]&amp;"; "&amp;R6368&amp;AS[[#This Row],[Age Band Code]]&amp;"; "&amp;S6368&amp;AS[[#This Row],[Sex Code]]</f>
        <v xml:space="preserve">Insurer Code ; Reporting Year ; Insurance Category Code ; Large Provider Entity Code ; Age Band Code ; Sex Code </v>
      </c>
      <c r="N6368" s="297" t="s">
        <v>197</v>
      </c>
      <c r="O6368" s="297" t="s">
        <v>198</v>
      </c>
      <c r="P6368" s="297" t="s">
        <v>199</v>
      </c>
      <c r="Q6368" s="297" t="s">
        <v>200</v>
      </c>
      <c r="R6368" s="297" t="s">
        <v>213</v>
      </c>
      <c r="S6368" s="297" t="s">
        <v>214</v>
      </c>
    </row>
    <row r="6369" spans="1:19" x14ac:dyDescent="0.4">
      <c r="A6369" s="291"/>
      <c r="B6369" s="292"/>
      <c r="C6369" s="312"/>
      <c r="D6369" s="292"/>
      <c r="E6369" s="489"/>
      <c r="F6369" s="489"/>
      <c r="G6369" s="490"/>
      <c r="H6369" s="520"/>
      <c r="I6369" s="523"/>
      <c r="J6369" s="521"/>
      <c r="K6369" s="522"/>
      <c r="M6369" s="301" t="str">
        <f>N6369&amp;AS[[#This Row],[Insurer Code]]&amp;"; "&amp;O6369&amp;AS[[#This Row],[Reporting Year]]&amp;"; "&amp;P6369&amp;AS[[#This Row],[Insurance Category Code]]&amp;"; "&amp;Q6369&amp;AS[[#This Row],[Large Provider Entity Code]]&amp;"; "&amp;R6369&amp;AS[[#This Row],[Age Band Code]]&amp;"; "&amp;S6369&amp;AS[[#This Row],[Sex Code]]</f>
        <v xml:space="preserve">Insurer Code ; Reporting Year ; Insurance Category Code ; Large Provider Entity Code ; Age Band Code ; Sex Code </v>
      </c>
      <c r="N6369" s="297" t="s">
        <v>197</v>
      </c>
      <c r="O6369" s="297" t="s">
        <v>198</v>
      </c>
      <c r="P6369" s="297" t="s">
        <v>199</v>
      </c>
      <c r="Q6369" s="297" t="s">
        <v>200</v>
      </c>
      <c r="R6369" s="297" t="s">
        <v>213</v>
      </c>
      <c r="S6369" s="297" t="s">
        <v>214</v>
      </c>
    </row>
    <row r="6370" spans="1:19" x14ac:dyDescent="0.4">
      <c r="A6370" s="291"/>
      <c r="B6370" s="292"/>
      <c r="C6370" s="312"/>
      <c r="D6370" s="292"/>
      <c r="E6370" s="489"/>
      <c r="F6370" s="489"/>
      <c r="G6370" s="490"/>
      <c r="H6370" s="520"/>
      <c r="I6370" s="523"/>
      <c r="J6370" s="521"/>
      <c r="K6370" s="522"/>
      <c r="M6370" s="301" t="str">
        <f>N6370&amp;AS[[#This Row],[Insurer Code]]&amp;"; "&amp;O6370&amp;AS[[#This Row],[Reporting Year]]&amp;"; "&amp;P6370&amp;AS[[#This Row],[Insurance Category Code]]&amp;"; "&amp;Q6370&amp;AS[[#This Row],[Large Provider Entity Code]]&amp;"; "&amp;R6370&amp;AS[[#This Row],[Age Band Code]]&amp;"; "&amp;S6370&amp;AS[[#This Row],[Sex Code]]</f>
        <v xml:space="preserve">Insurer Code ; Reporting Year ; Insurance Category Code ; Large Provider Entity Code ; Age Band Code ; Sex Code </v>
      </c>
      <c r="N6370" s="297" t="s">
        <v>197</v>
      </c>
      <c r="O6370" s="297" t="s">
        <v>198</v>
      </c>
      <c r="P6370" s="297" t="s">
        <v>199</v>
      </c>
      <c r="Q6370" s="297" t="s">
        <v>200</v>
      </c>
      <c r="R6370" s="297" t="s">
        <v>213</v>
      </c>
      <c r="S6370" s="297" t="s">
        <v>214</v>
      </c>
    </row>
    <row r="6371" spans="1:19" x14ac:dyDescent="0.4">
      <c r="A6371" s="291"/>
      <c r="B6371" s="292"/>
      <c r="C6371" s="312"/>
      <c r="D6371" s="292"/>
      <c r="E6371" s="489"/>
      <c r="F6371" s="489"/>
      <c r="G6371" s="490"/>
      <c r="H6371" s="520"/>
      <c r="I6371" s="523"/>
      <c r="J6371" s="521"/>
      <c r="K6371" s="522"/>
      <c r="M6371" s="301" t="str">
        <f>N6371&amp;AS[[#This Row],[Insurer Code]]&amp;"; "&amp;O6371&amp;AS[[#This Row],[Reporting Year]]&amp;"; "&amp;P6371&amp;AS[[#This Row],[Insurance Category Code]]&amp;"; "&amp;Q6371&amp;AS[[#This Row],[Large Provider Entity Code]]&amp;"; "&amp;R6371&amp;AS[[#This Row],[Age Band Code]]&amp;"; "&amp;S6371&amp;AS[[#This Row],[Sex Code]]</f>
        <v xml:space="preserve">Insurer Code ; Reporting Year ; Insurance Category Code ; Large Provider Entity Code ; Age Band Code ; Sex Code </v>
      </c>
      <c r="N6371" s="297" t="s">
        <v>197</v>
      </c>
      <c r="O6371" s="297" t="s">
        <v>198</v>
      </c>
      <c r="P6371" s="297" t="s">
        <v>199</v>
      </c>
      <c r="Q6371" s="297" t="s">
        <v>200</v>
      </c>
      <c r="R6371" s="297" t="s">
        <v>213</v>
      </c>
      <c r="S6371" s="297" t="s">
        <v>214</v>
      </c>
    </row>
    <row r="6372" spans="1:19" x14ac:dyDescent="0.4">
      <c r="A6372" s="291"/>
      <c r="B6372" s="292"/>
      <c r="C6372" s="312"/>
      <c r="D6372" s="292"/>
      <c r="E6372" s="489"/>
      <c r="F6372" s="489"/>
      <c r="G6372" s="490"/>
      <c r="H6372" s="520"/>
      <c r="I6372" s="523"/>
      <c r="J6372" s="521"/>
      <c r="K6372" s="522"/>
      <c r="M6372" s="301" t="str">
        <f>N6372&amp;AS[[#This Row],[Insurer Code]]&amp;"; "&amp;O6372&amp;AS[[#This Row],[Reporting Year]]&amp;"; "&amp;P6372&amp;AS[[#This Row],[Insurance Category Code]]&amp;"; "&amp;Q6372&amp;AS[[#This Row],[Large Provider Entity Code]]&amp;"; "&amp;R6372&amp;AS[[#This Row],[Age Band Code]]&amp;"; "&amp;S6372&amp;AS[[#This Row],[Sex Code]]</f>
        <v xml:space="preserve">Insurer Code ; Reporting Year ; Insurance Category Code ; Large Provider Entity Code ; Age Band Code ; Sex Code </v>
      </c>
      <c r="N6372" s="297" t="s">
        <v>197</v>
      </c>
      <c r="O6372" s="297" t="s">
        <v>198</v>
      </c>
      <c r="P6372" s="297" t="s">
        <v>199</v>
      </c>
      <c r="Q6372" s="297" t="s">
        <v>200</v>
      </c>
      <c r="R6372" s="297" t="s">
        <v>213</v>
      </c>
      <c r="S6372" s="297" t="s">
        <v>214</v>
      </c>
    </row>
    <row r="6373" spans="1:19" x14ac:dyDescent="0.4">
      <c r="A6373" s="291"/>
      <c r="B6373" s="292"/>
      <c r="C6373" s="312"/>
      <c r="D6373" s="292"/>
      <c r="E6373" s="489"/>
      <c r="F6373" s="489"/>
      <c r="G6373" s="490"/>
      <c r="H6373" s="520"/>
      <c r="I6373" s="523"/>
      <c r="J6373" s="521"/>
      <c r="K6373" s="522"/>
      <c r="M6373" s="301" t="str">
        <f>N6373&amp;AS[[#This Row],[Insurer Code]]&amp;"; "&amp;O6373&amp;AS[[#This Row],[Reporting Year]]&amp;"; "&amp;P6373&amp;AS[[#This Row],[Insurance Category Code]]&amp;"; "&amp;Q6373&amp;AS[[#This Row],[Large Provider Entity Code]]&amp;"; "&amp;R6373&amp;AS[[#This Row],[Age Band Code]]&amp;"; "&amp;S6373&amp;AS[[#This Row],[Sex Code]]</f>
        <v xml:space="preserve">Insurer Code ; Reporting Year ; Insurance Category Code ; Large Provider Entity Code ; Age Band Code ; Sex Code </v>
      </c>
      <c r="N6373" s="297" t="s">
        <v>197</v>
      </c>
      <c r="O6373" s="297" t="s">
        <v>198</v>
      </c>
      <c r="P6373" s="297" t="s">
        <v>199</v>
      </c>
      <c r="Q6373" s="297" t="s">
        <v>200</v>
      </c>
      <c r="R6373" s="297" t="s">
        <v>213</v>
      </c>
      <c r="S6373" s="297" t="s">
        <v>214</v>
      </c>
    </row>
    <row r="6374" spans="1:19" x14ac:dyDescent="0.4">
      <c r="A6374" s="291"/>
      <c r="B6374" s="292"/>
      <c r="C6374" s="312"/>
      <c r="D6374" s="292"/>
      <c r="E6374" s="489"/>
      <c r="F6374" s="489"/>
      <c r="G6374" s="490"/>
      <c r="H6374" s="520"/>
      <c r="I6374" s="523"/>
      <c r="J6374" s="521"/>
      <c r="K6374" s="522"/>
      <c r="M6374" s="301" t="str">
        <f>N6374&amp;AS[[#This Row],[Insurer Code]]&amp;"; "&amp;O6374&amp;AS[[#This Row],[Reporting Year]]&amp;"; "&amp;P6374&amp;AS[[#This Row],[Insurance Category Code]]&amp;"; "&amp;Q6374&amp;AS[[#This Row],[Large Provider Entity Code]]&amp;"; "&amp;R6374&amp;AS[[#This Row],[Age Band Code]]&amp;"; "&amp;S6374&amp;AS[[#This Row],[Sex Code]]</f>
        <v xml:space="preserve">Insurer Code ; Reporting Year ; Insurance Category Code ; Large Provider Entity Code ; Age Band Code ; Sex Code </v>
      </c>
      <c r="N6374" s="297" t="s">
        <v>197</v>
      </c>
      <c r="O6374" s="297" t="s">
        <v>198</v>
      </c>
      <c r="P6374" s="297" t="s">
        <v>199</v>
      </c>
      <c r="Q6374" s="297" t="s">
        <v>200</v>
      </c>
      <c r="R6374" s="297" t="s">
        <v>213</v>
      </c>
      <c r="S6374" s="297" t="s">
        <v>214</v>
      </c>
    </row>
    <row r="6375" spans="1:19" x14ac:dyDescent="0.4">
      <c r="A6375" s="291"/>
      <c r="B6375" s="292"/>
      <c r="C6375" s="312"/>
      <c r="D6375" s="292"/>
      <c r="E6375" s="489"/>
      <c r="F6375" s="489"/>
      <c r="G6375" s="490"/>
      <c r="H6375" s="520"/>
      <c r="I6375" s="523"/>
      <c r="J6375" s="521"/>
      <c r="K6375" s="522"/>
      <c r="M6375" s="301" t="str">
        <f>N6375&amp;AS[[#This Row],[Insurer Code]]&amp;"; "&amp;O6375&amp;AS[[#This Row],[Reporting Year]]&amp;"; "&amp;P6375&amp;AS[[#This Row],[Insurance Category Code]]&amp;"; "&amp;Q6375&amp;AS[[#This Row],[Large Provider Entity Code]]&amp;"; "&amp;R6375&amp;AS[[#This Row],[Age Band Code]]&amp;"; "&amp;S6375&amp;AS[[#This Row],[Sex Code]]</f>
        <v xml:space="preserve">Insurer Code ; Reporting Year ; Insurance Category Code ; Large Provider Entity Code ; Age Band Code ; Sex Code </v>
      </c>
      <c r="N6375" s="297" t="s">
        <v>197</v>
      </c>
      <c r="O6375" s="297" t="s">
        <v>198</v>
      </c>
      <c r="P6375" s="297" t="s">
        <v>199</v>
      </c>
      <c r="Q6375" s="297" t="s">
        <v>200</v>
      </c>
      <c r="R6375" s="297" t="s">
        <v>213</v>
      </c>
      <c r="S6375" s="297" t="s">
        <v>214</v>
      </c>
    </row>
    <row r="6376" spans="1:19" x14ac:dyDescent="0.4">
      <c r="A6376" s="291"/>
      <c r="B6376" s="292"/>
      <c r="C6376" s="312"/>
      <c r="D6376" s="292"/>
      <c r="E6376" s="489"/>
      <c r="F6376" s="489"/>
      <c r="G6376" s="490"/>
      <c r="H6376" s="520"/>
      <c r="I6376" s="523"/>
      <c r="J6376" s="521"/>
      <c r="K6376" s="522"/>
      <c r="M6376" s="301" t="str">
        <f>N6376&amp;AS[[#This Row],[Insurer Code]]&amp;"; "&amp;O6376&amp;AS[[#This Row],[Reporting Year]]&amp;"; "&amp;P6376&amp;AS[[#This Row],[Insurance Category Code]]&amp;"; "&amp;Q6376&amp;AS[[#This Row],[Large Provider Entity Code]]&amp;"; "&amp;R6376&amp;AS[[#This Row],[Age Band Code]]&amp;"; "&amp;S6376&amp;AS[[#This Row],[Sex Code]]</f>
        <v xml:space="preserve">Insurer Code ; Reporting Year ; Insurance Category Code ; Large Provider Entity Code ; Age Band Code ; Sex Code </v>
      </c>
      <c r="N6376" s="297" t="s">
        <v>197</v>
      </c>
      <c r="O6376" s="297" t="s">
        <v>198</v>
      </c>
      <c r="P6376" s="297" t="s">
        <v>199</v>
      </c>
      <c r="Q6376" s="297" t="s">
        <v>200</v>
      </c>
      <c r="R6376" s="297" t="s">
        <v>213</v>
      </c>
      <c r="S6376" s="297" t="s">
        <v>214</v>
      </c>
    </row>
    <row r="6377" spans="1:19" x14ac:dyDescent="0.4">
      <c r="A6377" s="291"/>
      <c r="B6377" s="292"/>
      <c r="C6377" s="312"/>
      <c r="D6377" s="292"/>
      <c r="E6377" s="489"/>
      <c r="F6377" s="489"/>
      <c r="G6377" s="490"/>
      <c r="H6377" s="520"/>
      <c r="I6377" s="523"/>
      <c r="J6377" s="521"/>
      <c r="K6377" s="522"/>
      <c r="M6377" s="301" t="str">
        <f>N6377&amp;AS[[#This Row],[Insurer Code]]&amp;"; "&amp;O6377&amp;AS[[#This Row],[Reporting Year]]&amp;"; "&amp;P6377&amp;AS[[#This Row],[Insurance Category Code]]&amp;"; "&amp;Q6377&amp;AS[[#This Row],[Large Provider Entity Code]]&amp;"; "&amp;R6377&amp;AS[[#This Row],[Age Band Code]]&amp;"; "&amp;S6377&amp;AS[[#This Row],[Sex Code]]</f>
        <v xml:space="preserve">Insurer Code ; Reporting Year ; Insurance Category Code ; Large Provider Entity Code ; Age Band Code ; Sex Code </v>
      </c>
      <c r="N6377" s="297" t="s">
        <v>197</v>
      </c>
      <c r="O6377" s="297" t="s">
        <v>198</v>
      </c>
      <c r="P6377" s="297" t="s">
        <v>199</v>
      </c>
      <c r="Q6377" s="297" t="s">
        <v>200</v>
      </c>
      <c r="R6377" s="297" t="s">
        <v>213</v>
      </c>
      <c r="S6377" s="297" t="s">
        <v>214</v>
      </c>
    </row>
    <row r="6378" spans="1:19" x14ac:dyDescent="0.4">
      <c r="A6378" s="291"/>
      <c r="B6378" s="292"/>
      <c r="C6378" s="312"/>
      <c r="D6378" s="292"/>
      <c r="E6378" s="489"/>
      <c r="F6378" s="489"/>
      <c r="G6378" s="490"/>
      <c r="H6378" s="520"/>
      <c r="I6378" s="523"/>
      <c r="J6378" s="521"/>
      <c r="K6378" s="522"/>
      <c r="M6378" s="301" t="str">
        <f>N6378&amp;AS[[#This Row],[Insurer Code]]&amp;"; "&amp;O6378&amp;AS[[#This Row],[Reporting Year]]&amp;"; "&amp;P6378&amp;AS[[#This Row],[Insurance Category Code]]&amp;"; "&amp;Q6378&amp;AS[[#This Row],[Large Provider Entity Code]]&amp;"; "&amp;R6378&amp;AS[[#This Row],[Age Band Code]]&amp;"; "&amp;S6378&amp;AS[[#This Row],[Sex Code]]</f>
        <v xml:space="preserve">Insurer Code ; Reporting Year ; Insurance Category Code ; Large Provider Entity Code ; Age Band Code ; Sex Code </v>
      </c>
      <c r="N6378" s="297" t="s">
        <v>197</v>
      </c>
      <c r="O6378" s="297" t="s">
        <v>198</v>
      </c>
      <c r="P6378" s="297" t="s">
        <v>199</v>
      </c>
      <c r="Q6378" s="297" t="s">
        <v>200</v>
      </c>
      <c r="R6378" s="297" t="s">
        <v>213</v>
      </c>
      <c r="S6378" s="297" t="s">
        <v>214</v>
      </c>
    </row>
    <row r="6379" spans="1:19" x14ac:dyDescent="0.4">
      <c r="A6379" s="291"/>
      <c r="B6379" s="292"/>
      <c r="C6379" s="312"/>
      <c r="D6379" s="292"/>
      <c r="E6379" s="489"/>
      <c r="F6379" s="489"/>
      <c r="G6379" s="490"/>
      <c r="H6379" s="520"/>
      <c r="I6379" s="523"/>
      <c r="J6379" s="521"/>
      <c r="K6379" s="522"/>
      <c r="M6379" s="301" t="str">
        <f>N6379&amp;AS[[#This Row],[Insurer Code]]&amp;"; "&amp;O6379&amp;AS[[#This Row],[Reporting Year]]&amp;"; "&amp;P6379&amp;AS[[#This Row],[Insurance Category Code]]&amp;"; "&amp;Q6379&amp;AS[[#This Row],[Large Provider Entity Code]]&amp;"; "&amp;R6379&amp;AS[[#This Row],[Age Band Code]]&amp;"; "&amp;S6379&amp;AS[[#This Row],[Sex Code]]</f>
        <v xml:space="preserve">Insurer Code ; Reporting Year ; Insurance Category Code ; Large Provider Entity Code ; Age Band Code ; Sex Code </v>
      </c>
      <c r="N6379" s="297" t="s">
        <v>197</v>
      </c>
      <c r="O6379" s="297" t="s">
        <v>198</v>
      </c>
      <c r="P6379" s="297" t="s">
        <v>199</v>
      </c>
      <c r="Q6379" s="297" t="s">
        <v>200</v>
      </c>
      <c r="R6379" s="297" t="s">
        <v>213</v>
      </c>
      <c r="S6379" s="297" t="s">
        <v>214</v>
      </c>
    </row>
    <row r="6380" spans="1:19" x14ac:dyDescent="0.4">
      <c r="A6380" s="291"/>
      <c r="B6380" s="292"/>
      <c r="C6380" s="312"/>
      <c r="D6380" s="292"/>
      <c r="E6380" s="489"/>
      <c r="F6380" s="489"/>
      <c r="G6380" s="490"/>
      <c r="H6380" s="520"/>
      <c r="I6380" s="523"/>
      <c r="J6380" s="521"/>
      <c r="K6380" s="522"/>
      <c r="M6380" s="301" t="str">
        <f>N6380&amp;AS[[#This Row],[Insurer Code]]&amp;"; "&amp;O6380&amp;AS[[#This Row],[Reporting Year]]&amp;"; "&amp;P6380&amp;AS[[#This Row],[Insurance Category Code]]&amp;"; "&amp;Q6380&amp;AS[[#This Row],[Large Provider Entity Code]]&amp;"; "&amp;R6380&amp;AS[[#This Row],[Age Band Code]]&amp;"; "&amp;S6380&amp;AS[[#This Row],[Sex Code]]</f>
        <v xml:space="preserve">Insurer Code ; Reporting Year ; Insurance Category Code ; Large Provider Entity Code ; Age Band Code ; Sex Code </v>
      </c>
      <c r="N6380" s="297" t="s">
        <v>197</v>
      </c>
      <c r="O6380" s="297" t="s">
        <v>198</v>
      </c>
      <c r="P6380" s="297" t="s">
        <v>199</v>
      </c>
      <c r="Q6380" s="297" t="s">
        <v>200</v>
      </c>
      <c r="R6380" s="297" t="s">
        <v>213</v>
      </c>
      <c r="S6380" s="297" t="s">
        <v>214</v>
      </c>
    </row>
    <row r="6381" spans="1:19" x14ac:dyDescent="0.4">
      <c r="A6381" s="291"/>
      <c r="B6381" s="292"/>
      <c r="C6381" s="312"/>
      <c r="D6381" s="292"/>
      <c r="E6381" s="489"/>
      <c r="F6381" s="489"/>
      <c r="G6381" s="490"/>
      <c r="H6381" s="520"/>
      <c r="I6381" s="523"/>
      <c r="J6381" s="521"/>
      <c r="K6381" s="522"/>
      <c r="M6381" s="301" t="str">
        <f>N6381&amp;AS[[#This Row],[Insurer Code]]&amp;"; "&amp;O6381&amp;AS[[#This Row],[Reporting Year]]&amp;"; "&amp;P6381&amp;AS[[#This Row],[Insurance Category Code]]&amp;"; "&amp;Q6381&amp;AS[[#This Row],[Large Provider Entity Code]]&amp;"; "&amp;R6381&amp;AS[[#This Row],[Age Band Code]]&amp;"; "&amp;S6381&amp;AS[[#This Row],[Sex Code]]</f>
        <v xml:space="preserve">Insurer Code ; Reporting Year ; Insurance Category Code ; Large Provider Entity Code ; Age Band Code ; Sex Code </v>
      </c>
      <c r="N6381" s="297" t="s">
        <v>197</v>
      </c>
      <c r="O6381" s="297" t="s">
        <v>198</v>
      </c>
      <c r="P6381" s="297" t="s">
        <v>199</v>
      </c>
      <c r="Q6381" s="297" t="s">
        <v>200</v>
      </c>
      <c r="R6381" s="297" t="s">
        <v>213</v>
      </c>
      <c r="S6381" s="297" t="s">
        <v>214</v>
      </c>
    </row>
    <row r="6382" spans="1:19" x14ac:dyDescent="0.4">
      <c r="A6382" s="548"/>
      <c r="B6382" s="292"/>
      <c r="C6382" s="292"/>
      <c r="D6382" s="292"/>
      <c r="E6382" s="549"/>
      <c r="F6382" s="549"/>
      <c r="G6382" s="550"/>
      <c r="H6382" s="551"/>
      <c r="I6382" s="552"/>
      <c r="J6382" s="553"/>
      <c r="K6382" s="554"/>
      <c r="M6382" s="301" t="str">
        <f>N6382&amp;AS[[#This Row],[Insurer Code]]&amp;"; "&amp;O6382&amp;AS[[#This Row],[Reporting Year]]&amp;"; "&amp;P6382&amp;AS[[#This Row],[Insurance Category Code]]&amp;"; "&amp;Q6382&amp;AS[[#This Row],[Large Provider Entity Code]]&amp;"; "&amp;R6382&amp;AS[[#This Row],[Age Band Code]]&amp;"; "&amp;S6382&amp;AS[[#This Row],[Sex Code]]</f>
        <v xml:space="preserve">Insurer Code ; Reporting Year ; Insurance Category Code ; Large Provider Entity Code ; Age Band Code ; Sex Code </v>
      </c>
      <c r="N6382" s="297" t="s">
        <v>197</v>
      </c>
      <c r="O6382" s="297" t="s">
        <v>198</v>
      </c>
      <c r="P6382" s="297" t="s">
        <v>199</v>
      </c>
      <c r="Q6382" s="297" t="s">
        <v>200</v>
      </c>
      <c r="R6382" s="297" t="s">
        <v>213</v>
      </c>
      <c r="S6382" s="297" t="s">
        <v>214</v>
      </c>
    </row>
    <row r="6383" spans="1:19" x14ac:dyDescent="0.4">
      <c r="A6383" s="548"/>
      <c r="B6383" s="292"/>
      <c r="C6383" s="292"/>
      <c r="D6383" s="292"/>
      <c r="E6383" s="549"/>
      <c r="F6383" s="549"/>
      <c r="G6383" s="550"/>
      <c r="H6383" s="551"/>
      <c r="I6383" s="552"/>
      <c r="J6383" s="553"/>
      <c r="K6383" s="554"/>
      <c r="M6383" s="301" t="str">
        <f>N6383&amp;AS[[#This Row],[Insurer Code]]&amp;"; "&amp;O6383&amp;AS[[#This Row],[Reporting Year]]&amp;"; "&amp;P6383&amp;AS[[#This Row],[Insurance Category Code]]&amp;"; "&amp;Q6383&amp;AS[[#This Row],[Large Provider Entity Code]]&amp;"; "&amp;R6383&amp;AS[[#This Row],[Age Band Code]]&amp;"; "&amp;S6383&amp;AS[[#This Row],[Sex Code]]</f>
        <v xml:space="preserve">Insurer Code ; Reporting Year ; Insurance Category Code ; Large Provider Entity Code ; Age Band Code ; Sex Code </v>
      </c>
      <c r="N6383" s="297" t="s">
        <v>197</v>
      </c>
      <c r="O6383" s="297" t="s">
        <v>198</v>
      </c>
      <c r="P6383" s="297" t="s">
        <v>199</v>
      </c>
      <c r="Q6383" s="297" t="s">
        <v>200</v>
      </c>
      <c r="R6383" s="297" t="s">
        <v>213</v>
      </c>
      <c r="S6383" s="297" t="s">
        <v>214</v>
      </c>
    </row>
    <row r="6384" spans="1:19" x14ac:dyDescent="0.4">
      <c r="A6384" s="548"/>
      <c r="B6384" s="292"/>
      <c r="C6384" s="292"/>
      <c r="D6384" s="292"/>
      <c r="E6384" s="549"/>
      <c r="F6384" s="549"/>
      <c r="G6384" s="550"/>
      <c r="H6384" s="551"/>
      <c r="I6384" s="552"/>
      <c r="J6384" s="553"/>
      <c r="K6384" s="554"/>
      <c r="M6384" s="301" t="str">
        <f>N6384&amp;AS[[#This Row],[Insurer Code]]&amp;"; "&amp;O6384&amp;AS[[#This Row],[Reporting Year]]&amp;"; "&amp;P6384&amp;AS[[#This Row],[Insurance Category Code]]&amp;"; "&amp;Q6384&amp;AS[[#This Row],[Large Provider Entity Code]]&amp;"; "&amp;R6384&amp;AS[[#This Row],[Age Band Code]]&amp;"; "&amp;S6384&amp;AS[[#This Row],[Sex Code]]</f>
        <v xml:space="preserve">Insurer Code ; Reporting Year ; Insurance Category Code ; Large Provider Entity Code ; Age Band Code ; Sex Code </v>
      </c>
      <c r="N6384" s="297" t="s">
        <v>197</v>
      </c>
      <c r="O6384" s="297" t="s">
        <v>198</v>
      </c>
      <c r="P6384" s="297" t="s">
        <v>199</v>
      </c>
      <c r="Q6384" s="297" t="s">
        <v>200</v>
      </c>
      <c r="R6384" s="297" t="s">
        <v>213</v>
      </c>
      <c r="S6384" s="297" t="s">
        <v>214</v>
      </c>
    </row>
    <row r="6385" spans="1:19" x14ac:dyDescent="0.4">
      <c r="A6385" s="548"/>
      <c r="B6385" s="292"/>
      <c r="C6385" s="292"/>
      <c r="D6385" s="292"/>
      <c r="E6385" s="549"/>
      <c r="F6385" s="549"/>
      <c r="G6385" s="550"/>
      <c r="H6385" s="551"/>
      <c r="I6385" s="552"/>
      <c r="J6385" s="553"/>
      <c r="K6385" s="554"/>
      <c r="M6385" s="301" t="str">
        <f>N6385&amp;AS[[#This Row],[Insurer Code]]&amp;"; "&amp;O6385&amp;AS[[#This Row],[Reporting Year]]&amp;"; "&amp;P6385&amp;AS[[#This Row],[Insurance Category Code]]&amp;"; "&amp;Q6385&amp;AS[[#This Row],[Large Provider Entity Code]]&amp;"; "&amp;R6385&amp;AS[[#This Row],[Age Band Code]]&amp;"; "&amp;S6385&amp;AS[[#This Row],[Sex Code]]</f>
        <v xml:space="preserve">Insurer Code ; Reporting Year ; Insurance Category Code ; Large Provider Entity Code ; Age Band Code ; Sex Code </v>
      </c>
      <c r="N6385" s="297" t="s">
        <v>197</v>
      </c>
      <c r="O6385" s="297" t="s">
        <v>198</v>
      </c>
      <c r="P6385" s="297" t="s">
        <v>199</v>
      </c>
      <c r="Q6385" s="297" t="s">
        <v>200</v>
      </c>
      <c r="R6385" s="297" t="s">
        <v>213</v>
      </c>
      <c r="S6385" s="297" t="s">
        <v>214</v>
      </c>
    </row>
    <row r="6386" spans="1:19" x14ac:dyDescent="0.4">
      <c r="A6386" s="548"/>
      <c r="B6386" s="292"/>
      <c r="C6386" s="292"/>
      <c r="D6386" s="292"/>
      <c r="E6386" s="549"/>
      <c r="F6386" s="549"/>
      <c r="G6386" s="550"/>
      <c r="H6386" s="551"/>
      <c r="I6386" s="552"/>
      <c r="J6386" s="553"/>
      <c r="K6386" s="554"/>
      <c r="M6386" s="301" t="str">
        <f>N6386&amp;AS[[#This Row],[Insurer Code]]&amp;"; "&amp;O6386&amp;AS[[#This Row],[Reporting Year]]&amp;"; "&amp;P6386&amp;AS[[#This Row],[Insurance Category Code]]&amp;"; "&amp;Q6386&amp;AS[[#This Row],[Large Provider Entity Code]]&amp;"; "&amp;R6386&amp;AS[[#This Row],[Age Band Code]]&amp;"; "&amp;S6386&amp;AS[[#This Row],[Sex Code]]</f>
        <v xml:space="preserve">Insurer Code ; Reporting Year ; Insurance Category Code ; Large Provider Entity Code ; Age Band Code ; Sex Code </v>
      </c>
      <c r="N6386" s="297" t="s">
        <v>197</v>
      </c>
      <c r="O6386" s="297" t="s">
        <v>198</v>
      </c>
      <c r="P6386" s="297" t="s">
        <v>199</v>
      </c>
      <c r="Q6386" s="297" t="s">
        <v>200</v>
      </c>
      <c r="R6386" s="297" t="s">
        <v>213</v>
      </c>
      <c r="S6386" s="297" t="s">
        <v>214</v>
      </c>
    </row>
    <row r="6387" spans="1:19" x14ac:dyDescent="0.4">
      <c r="A6387" s="548"/>
      <c r="B6387" s="292"/>
      <c r="C6387" s="292"/>
      <c r="D6387" s="292"/>
      <c r="E6387" s="549"/>
      <c r="F6387" s="549"/>
      <c r="G6387" s="550"/>
      <c r="H6387" s="551"/>
      <c r="I6387" s="552"/>
      <c r="J6387" s="553"/>
      <c r="K6387" s="554"/>
      <c r="M6387" s="301" t="str">
        <f>N6387&amp;AS[[#This Row],[Insurer Code]]&amp;"; "&amp;O6387&amp;AS[[#This Row],[Reporting Year]]&amp;"; "&amp;P6387&amp;AS[[#This Row],[Insurance Category Code]]&amp;"; "&amp;Q6387&amp;AS[[#This Row],[Large Provider Entity Code]]&amp;"; "&amp;R6387&amp;AS[[#This Row],[Age Band Code]]&amp;"; "&amp;S6387&amp;AS[[#This Row],[Sex Code]]</f>
        <v xml:space="preserve">Insurer Code ; Reporting Year ; Insurance Category Code ; Large Provider Entity Code ; Age Band Code ; Sex Code </v>
      </c>
      <c r="N6387" s="297" t="s">
        <v>197</v>
      </c>
      <c r="O6387" s="297" t="s">
        <v>198</v>
      </c>
      <c r="P6387" s="297" t="s">
        <v>199</v>
      </c>
      <c r="Q6387" s="297" t="s">
        <v>200</v>
      </c>
      <c r="R6387" s="297" t="s">
        <v>213</v>
      </c>
      <c r="S6387" s="297" t="s">
        <v>214</v>
      </c>
    </row>
    <row r="6388" spans="1:19" x14ac:dyDescent="0.4">
      <c r="A6388" s="548"/>
      <c r="B6388" s="292"/>
      <c r="C6388" s="292"/>
      <c r="D6388" s="292"/>
      <c r="E6388" s="549"/>
      <c r="F6388" s="549"/>
      <c r="G6388" s="550"/>
      <c r="H6388" s="551"/>
      <c r="I6388" s="552"/>
      <c r="J6388" s="553"/>
      <c r="K6388" s="554"/>
      <c r="M6388" s="301" t="str">
        <f>N6388&amp;AS[[#This Row],[Insurer Code]]&amp;"; "&amp;O6388&amp;AS[[#This Row],[Reporting Year]]&amp;"; "&amp;P6388&amp;AS[[#This Row],[Insurance Category Code]]&amp;"; "&amp;Q6388&amp;AS[[#This Row],[Large Provider Entity Code]]&amp;"; "&amp;R6388&amp;AS[[#This Row],[Age Band Code]]&amp;"; "&amp;S6388&amp;AS[[#This Row],[Sex Code]]</f>
        <v xml:space="preserve">Insurer Code ; Reporting Year ; Insurance Category Code ; Large Provider Entity Code ; Age Band Code ; Sex Code </v>
      </c>
      <c r="N6388" s="297" t="s">
        <v>197</v>
      </c>
      <c r="O6388" s="297" t="s">
        <v>198</v>
      </c>
      <c r="P6388" s="297" t="s">
        <v>199</v>
      </c>
      <c r="Q6388" s="297" t="s">
        <v>200</v>
      </c>
      <c r="R6388" s="297" t="s">
        <v>213</v>
      </c>
      <c r="S6388" s="297" t="s">
        <v>214</v>
      </c>
    </row>
    <row r="6389" spans="1:19" x14ac:dyDescent="0.4">
      <c r="A6389" s="548"/>
      <c r="B6389" s="292"/>
      <c r="C6389" s="292"/>
      <c r="D6389" s="292"/>
      <c r="E6389" s="549"/>
      <c r="F6389" s="549"/>
      <c r="G6389" s="550"/>
      <c r="H6389" s="551"/>
      <c r="I6389" s="552"/>
      <c r="J6389" s="553"/>
      <c r="K6389" s="554"/>
      <c r="M6389" s="301" t="str">
        <f>N6389&amp;AS[[#This Row],[Insurer Code]]&amp;"; "&amp;O6389&amp;AS[[#This Row],[Reporting Year]]&amp;"; "&amp;P6389&amp;AS[[#This Row],[Insurance Category Code]]&amp;"; "&amp;Q6389&amp;AS[[#This Row],[Large Provider Entity Code]]&amp;"; "&amp;R6389&amp;AS[[#This Row],[Age Band Code]]&amp;"; "&amp;S6389&amp;AS[[#This Row],[Sex Code]]</f>
        <v xml:space="preserve">Insurer Code ; Reporting Year ; Insurance Category Code ; Large Provider Entity Code ; Age Band Code ; Sex Code </v>
      </c>
      <c r="N6389" s="297" t="s">
        <v>197</v>
      </c>
      <c r="O6389" s="297" t="s">
        <v>198</v>
      </c>
      <c r="P6389" s="297" t="s">
        <v>199</v>
      </c>
      <c r="Q6389" s="297" t="s">
        <v>200</v>
      </c>
      <c r="R6389" s="297" t="s">
        <v>213</v>
      </c>
      <c r="S6389" s="297" t="s">
        <v>214</v>
      </c>
    </row>
    <row r="6390" spans="1:19" x14ac:dyDescent="0.4">
      <c r="A6390" s="548"/>
      <c r="B6390" s="292"/>
      <c r="C6390" s="292"/>
      <c r="D6390" s="292"/>
      <c r="E6390" s="549"/>
      <c r="F6390" s="549"/>
      <c r="G6390" s="550"/>
      <c r="H6390" s="551"/>
      <c r="I6390" s="552"/>
      <c r="J6390" s="553"/>
      <c r="K6390" s="554"/>
      <c r="M6390" s="301" t="str">
        <f>N6390&amp;AS[[#This Row],[Insurer Code]]&amp;"; "&amp;O6390&amp;AS[[#This Row],[Reporting Year]]&amp;"; "&amp;P6390&amp;AS[[#This Row],[Insurance Category Code]]&amp;"; "&amp;Q6390&amp;AS[[#This Row],[Large Provider Entity Code]]&amp;"; "&amp;R6390&amp;AS[[#This Row],[Age Band Code]]&amp;"; "&amp;S6390&amp;AS[[#This Row],[Sex Code]]</f>
        <v xml:space="preserve">Insurer Code ; Reporting Year ; Insurance Category Code ; Large Provider Entity Code ; Age Band Code ; Sex Code </v>
      </c>
      <c r="N6390" s="297" t="s">
        <v>197</v>
      </c>
      <c r="O6390" s="297" t="s">
        <v>198</v>
      </c>
      <c r="P6390" s="297" t="s">
        <v>199</v>
      </c>
      <c r="Q6390" s="297" t="s">
        <v>200</v>
      </c>
      <c r="R6390" s="297" t="s">
        <v>213</v>
      </c>
      <c r="S6390" s="297" t="s">
        <v>214</v>
      </c>
    </row>
    <row r="6391" spans="1:19" x14ac:dyDescent="0.4">
      <c r="A6391" s="548"/>
      <c r="B6391" s="292"/>
      <c r="C6391" s="292"/>
      <c r="D6391" s="292"/>
      <c r="E6391" s="549"/>
      <c r="F6391" s="549"/>
      <c r="G6391" s="550"/>
      <c r="H6391" s="551"/>
      <c r="I6391" s="552"/>
      <c r="J6391" s="553"/>
      <c r="K6391" s="554"/>
      <c r="M6391" s="301" t="str">
        <f>N6391&amp;AS[[#This Row],[Insurer Code]]&amp;"; "&amp;O6391&amp;AS[[#This Row],[Reporting Year]]&amp;"; "&amp;P6391&amp;AS[[#This Row],[Insurance Category Code]]&amp;"; "&amp;Q6391&amp;AS[[#This Row],[Large Provider Entity Code]]&amp;"; "&amp;R6391&amp;AS[[#This Row],[Age Band Code]]&amp;"; "&amp;S6391&amp;AS[[#This Row],[Sex Code]]</f>
        <v xml:space="preserve">Insurer Code ; Reporting Year ; Insurance Category Code ; Large Provider Entity Code ; Age Band Code ; Sex Code </v>
      </c>
      <c r="N6391" s="297" t="s">
        <v>197</v>
      </c>
      <c r="O6391" s="297" t="s">
        <v>198</v>
      </c>
      <c r="P6391" s="297" t="s">
        <v>199</v>
      </c>
      <c r="Q6391" s="297" t="s">
        <v>200</v>
      </c>
      <c r="R6391" s="297" t="s">
        <v>213</v>
      </c>
      <c r="S6391" s="297" t="s">
        <v>214</v>
      </c>
    </row>
    <row r="6392" spans="1:19" x14ac:dyDescent="0.4">
      <c r="A6392" s="548"/>
      <c r="B6392" s="292"/>
      <c r="C6392" s="292"/>
      <c r="D6392" s="292"/>
      <c r="E6392" s="549"/>
      <c r="F6392" s="549"/>
      <c r="G6392" s="550"/>
      <c r="H6392" s="551"/>
      <c r="I6392" s="552"/>
      <c r="J6392" s="553"/>
      <c r="K6392" s="554"/>
      <c r="M6392" s="301" t="str">
        <f>N6392&amp;AS[[#This Row],[Insurer Code]]&amp;"; "&amp;O6392&amp;AS[[#This Row],[Reporting Year]]&amp;"; "&amp;P6392&amp;AS[[#This Row],[Insurance Category Code]]&amp;"; "&amp;Q6392&amp;AS[[#This Row],[Large Provider Entity Code]]&amp;"; "&amp;R6392&amp;AS[[#This Row],[Age Band Code]]&amp;"; "&amp;S6392&amp;AS[[#This Row],[Sex Code]]</f>
        <v xml:space="preserve">Insurer Code ; Reporting Year ; Insurance Category Code ; Large Provider Entity Code ; Age Band Code ; Sex Code </v>
      </c>
      <c r="N6392" s="297" t="s">
        <v>197</v>
      </c>
      <c r="O6392" s="297" t="s">
        <v>198</v>
      </c>
      <c r="P6392" s="297" t="s">
        <v>199</v>
      </c>
      <c r="Q6392" s="297" t="s">
        <v>200</v>
      </c>
      <c r="R6392" s="297" t="s">
        <v>213</v>
      </c>
      <c r="S6392" s="297" t="s">
        <v>214</v>
      </c>
    </row>
    <row r="6393" spans="1:19" x14ac:dyDescent="0.4">
      <c r="A6393" s="548"/>
      <c r="B6393" s="292"/>
      <c r="C6393" s="292"/>
      <c r="D6393" s="292"/>
      <c r="E6393" s="549"/>
      <c r="F6393" s="549"/>
      <c r="G6393" s="550"/>
      <c r="H6393" s="551"/>
      <c r="I6393" s="552"/>
      <c r="J6393" s="553"/>
      <c r="K6393" s="554"/>
      <c r="M6393" s="301" t="str">
        <f>N6393&amp;AS[[#This Row],[Insurer Code]]&amp;"; "&amp;O6393&amp;AS[[#This Row],[Reporting Year]]&amp;"; "&amp;P6393&amp;AS[[#This Row],[Insurance Category Code]]&amp;"; "&amp;Q6393&amp;AS[[#This Row],[Large Provider Entity Code]]&amp;"; "&amp;R6393&amp;AS[[#This Row],[Age Band Code]]&amp;"; "&amp;S6393&amp;AS[[#This Row],[Sex Code]]</f>
        <v xml:space="preserve">Insurer Code ; Reporting Year ; Insurance Category Code ; Large Provider Entity Code ; Age Band Code ; Sex Code </v>
      </c>
      <c r="N6393" s="297" t="s">
        <v>197</v>
      </c>
      <c r="O6393" s="297" t="s">
        <v>198</v>
      </c>
      <c r="P6393" s="297" t="s">
        <v>199</v>
      </c>
      <c r="Q6393" s="297" t="s">
        <v>200</v>
      </c>
      <c r="R6393" s="297" t="s">
        <v>213</v>
      </c>
      <c r="S6393" s="297" t="s">
        <v>214</v>
      </c>
    </row>
    <row r="6394" spans="1:19" x14ac:dyDescent="0.4">
      <c r="A6394" s="291"/>
      <c r="B6394" s="292"/>
      <c r="C6394" s="312"/>
      <c r="D6394" s="292"/>
      <c r="E6394" s="489"/>
      <c r="F6394" s="489"/>
      <c r="G6394" s="490"/>
      <c r="H6394" s="520"/>
      <c r="I6394" s="523"/>
      <c r="J6394" s="521"/>
      <c r="K6394" s="522"/>
      <c r="M6394" s="301" t="str">
        <f>N6394&amp;AS[[#This Row],[Insurer Code]]&amp;"; "&amp;O6394&amp;AS[[#This Row],[Reporting Year]]&amp;"; "&amp;P6394&amp;AS[[#This Row],[Insurance Category Code]]&amp;"; "&amp;Q6394&amp;AS[[#This Row],[Large Provider Entity Code]]&amp;"; "&amp;R6394&amp;AS[[#This Row],[Age Band Code]]&amp;"; "&amp;S6394&amp;AS[[#This Row],[Sex Code]]</f>
        <v xml:space="preserve">Insurer Code ; Reporting Year ; Insurance Category Code ; Large Provider Entity Code ; Age Band Code ; Sex Code </v>
      </c>
      <c r="N6394" s="297" t="s">
        <v>197</v>
      </c>
      <c r="O6394" s="297" t="s">
        <v>198</v>
      </c>
      <c r="P6394" s="297" t="s">
        <v>199</v>
      </c>
      <c r="Q6394" s="297" t="s">
        <v>200</v>
      </c>
      <c r="R6394" s="297" t="s">
        <v>213</v>
      </c>
      <c r="S6394" s="297" t="s">
        <v>214</v>
      </c>
    </row>
    <row r="6395" spans="1:19" x14ac:dyDescent="0.4">
      <c r="A6395" s="291"/>
      <c r="B6395" s="292"/>
      <c r="C6395" s="312"/>
      <c r="D6395" s="292"/>
      <c r="E6395" s="489"/>
      <c r="F6395" s="489"/>
      <c r="G6395" s="490"/>
      <c r="H6395" s="520"/>
      <c r="I6395" s="523"/>
      <c r="J6395" s="521"/>
      <c r="K6395" s="522"/>
      <c r="M6395" s="301" t="str">
        <f>N6395&amp;AS[[#This Row],[Insurer Code]]&amp;"; "&amp;O6395&amp;AS[[#This Row],[Reporting Year]]&amp;"; "&amp;P6395&amp;AS[[#This Row],[Insurance Category Code]]&amp;"; "&amp;Q6395&amp;AS[[#This Row],[Large Provider Entity Code]]&amp;"; "&amp;R6395&amp;AS[[#This Row],[Age Band Code]]&amp;"; "&amp;S6395&amp;AS[[#This Row],[Sex Code]]</f>
        <v xml:space="preserve">Insurer Code ; Reporting Year ; Insurance Category Code ; Large Provider Entity Code ; Age Band Code ; Sex Code </v>
      </c>
      <c r="N6395" s="297" t="s">
        <v>197</v>
      </c>
      <c r="O6395" s="297" t="s">
        <v>198</v>
      </c>
      <c r="P6395" s="297" t="s">
        <v>199</v>
      </c>
      <c r="Q6395" s="297" t="s">
        <v>200</v>
      </c>
      <c r="R6395" s="297" t="s">
        <v>213</v>
      </c>
      <c r="S6395" s="297" t="s">
        <v>214</v>
      </c>
    </row>
    <row r="6396" spans="1:19" x14ac:dyDescent="0.4">
      <c r="A6396" s="291"/>
      <c r="B6396" s="292"/>
      <c r="C6396" s="312"/>
      <c r="D6396" s="292"/>
      <c r="E6396" s="489"/>
      <c r="F6396" s="489"/>
      <c r="G6396" s="490"/>
      <c r="H6396" s="520"/>
      <c r="I6396" s="523"/>
      <c r="J6396" s="521"/>
      <c r="K6396" s="522"/>
      <c r="M6396" s="301" t="str">
        <f>N6396&amp;AS[[#This Row],[Insurer Code]]&amp;"; "&amp;O6396&amp;AS[[#This Row],[Reporting Year]]&amp;"; "&amp;P6396&amp;AS[[#This Row],[Insurance Category Code]]&amp;"; "&amp;Q6396&amp;AS[[#This Row],[Large Provider Entity Code]]&amp;"; "&amp;R6396&amp;AS[[#This Row],[Age Band Code]]&amp;"; "&amp;S6396&amp;AS[[#This Row],[Sex Code]]</f>
        <v xml:space="preserve">Insurer Code ; Reporting Year ; Insurance Category Code ; Large Provider Entity Code ; Age Band Code ; Sex Code </v>
      </c>
      <c r="N6396" s="297" t="s">
        <v>197</v>
      </c>
      <c r="O6396" s="297" t="s">
        <v>198</v>
      </c>
      <c r="P6396" s="297" t="s">
        <v>199</v>
      </c>
      <c r="Q6396" s="297" t="s">
        <v>200</v>
      </c>
      <c r="R6396" s="297" t="s">
        <v>213</v>
      </c>
      <c r="S6396" s="297" t="s">
        <v>214</v>
      </c>
    </row>
    <row r="6397" spans="1:19" x14ac:dyDescent="0.4">
      <c r="A6397" s="291"/>
      <c r="B6397" s="292"/>
      <c r="C6397" s="312"/>
      <c r="D6397" s="292"/>
      <c r="E6397" s="489"/>
      <c r="F6397" s="489"/>
      <c r="G6397" s="490"/>
      <c r="H6397" s="520"/>
      <c r="I6397" s="523"/>
      <c r="J6397" s="521"/>
      <c r="K6397" s="522"/>
      <c r="M6397" s="301" t="str">
        <f>N6397&amp;AS[[#This Row],[Insurer Code]]&amp;"; "&amp;O6397&amp;AS[[#This Row],[Reporting Year]]&amp;"; "&amp;P6397&amp;AS[[#This Row],[Insurance Category Code]]&amp;"; "&amp;Q6397&amp;AS[[#This Row],[Large Provider Entity Code]]&amp;"; "&amp;R6397&amp;AS[[#This Row],[Age Band Code]]&amp;"; "&amp;S6397&amp;AS[[#This Row],[Sex Code]]</f>
        <v xml:space="preserve">Insurer Code ; Reporting Year ; Insurance Category Code ; Large Provider Entity Code ; Age Band Code ; Sex Code </v>
      </c>
      <c r="N6397" s="297" t="s">
        <v>197</v>
      </c>
      <c r="O6397" s="297" t="s">
        <v>198</v>
      </c>
      <c r="P6397" s="297" t="s">
        <v>199</v>
      </c>
      <c r="Q6397" s="297" t="s">
        <v>200</v>
      </c>
      <c r="R6397" s="297" t="s">
        <v>213</v>
      </c>
      <c r="S6397" s="297" t="s">
        <v>214</v>
      </c>
    </row>
    <row r="6398" spans="1:19" x14ac:dyDescent="0.4">
      <c r="A6398" s="548"/>
      <c r="B6398" s="292"/>
      <c r="C6398" s="292"/>
      <c r="D6398" s="292"/>
      <c r="E6398" s="549"/>
      <c r="F6398" s="549"/>
      <c r="G6398" s="550"/>
      <c r="H6398" s="551"/>
      <c r="I6398" s="552"/>
      <c r="J6398" s="553"/>
      <c r="K6398" s="554"/>
      <c r="M6398" s="301" t="str">
        <f>N6398&amp;AS[[#This Row],[Insurer Code]]&amp;"; "&amp;O6398&amp;AS[[#This Row],[Reporting Year]]&amp;"; "&amp;P6398&amp;AS[[#This Row],[Insurance Category Code]]&amp;"; "&amp;Q6398&amp;AS[[#This Row],[Large Provider Entity Code]]&amp;"; "&amp;R6398&amp;AS[[#This Row],[Age Band Code]]&amp;"; "&amp;S6398&amp;AS[[#This Row],[Sex Code]]</f>
        <v xml:space="preserve">Insurer Code ; Reporting Year ; Insurance Category Code ; Large Provider Entity Code ; Age Band Code ; Sex Code </v>
      </c>
      <c r="N6398" s="297" t="s">
        <v>197</v>
      </c>
      <c r="O6398" s="297" t="s">
        <v>198</v>
      </c>
      <c r="P6398" s="297" t="s">
        <v>199</v>
      </c>
      <c r="Q6398" s="297" t="s">
        <v>200</v>
      </c>
      <c r="R6398" s="297" t="s">
        <v>213</v>
      </c>
      <c r="S6398" s="297" t="s">
        <v>214</v>
      </c>
    </row>
    <row r="6399" spans="1:19" x14ac:dyDescent="0.4">
      <c r="A6399" s="548"/>
      <c r="B6399" s="292"/>
      <c r="C6399" s="292"/>
      <c r="D6399" s="292"/>
      <c r="E6399" s="549"/>
      <c r="F6399" s="549"/>
      <c r="G6399" s="550"/>
      <c r="H6399" s="551"/>
      <c r="I6399" s="552"/>
      <c r="J6399" s="553"/>
      <c r="K6399" s="554"/>
      <c r="M6399" s="301" t="str">
        <f>N6399&amp;AS[[#This Row],[Insurer Code]]&amp;"; "&amp;O6399&amp;AS[[#This Row],[Reporting Year]]&amp;"; "&amp;P6399&amp;AS[[#This Row],[Insurance Category Code]]&amp;"; "&amp;Q6399&amp;AS[[#This Row],[Large Provider Entity Code]]&amp;"; "&amp;R6399&amp;AS[[#This Row],[Age Band Code]]&amp;"; "&amp;S6399&amp;AS[[#This Row],[Sex Code]]</f>
        <v xml:space="preserve">Insurer Code ; Reporting Year ; Insurance Category Code ; Large Provider Entity Code ; Age Band Code ; Sex Code </v>
      </c>
      <c r="N6399" s="297" t="s">
        <v>197</v>
      </c>
      <c r="O6399" s="297" t="s">
        <v>198</v>
      </c>
      <c r="P6399" s="297" t="s">
        <v>199</v>
      </c>
      <c r="Q6399" s="297" t="s">
        <v>200</v>
      </c>
      <c r="R6399" s="297" t="s">
        <v>213</v>
      </c>
      <c r="S6399" s="297" t="s">
        <v>214</v>
      </c>
    </row>
    <row r="6400" spans="1:19" x14ac:dyDescent="0.4">
      <c r="A6400" s="548"/>
      <c r="B6400" s="292"/>
      <c r="C6400" s="292"/>
      <c r="D6400" s="292"/>
      <c r="E6400" s="549"/>
      <c r="F6400" s="549"/>
      <c r="G6400" s="550"/>
      <c r="H6400" s="551"/>
      <c r="I6400" s="552"/>
      <c r="J6400" s="553"/>
      <c r="K6400" s="554"/>
      <c r="M6400" s="301" t="str">
        <f>N6400&amp;AS[[#This Row],[Insurer Code]]&amp;"; "&amp;O6400&amp;AS[[#This Row],[Reporting Year]]&amp;"; "&amp;P6400&amp;AS[[#This Row],[Insurance Category Code]]&amp;"; "&amp;Q6400&amp;AS[[#This Row],[Large Provider Entity Code]]&amp;"; "&amp;R6400&amp;AS[[#This Row],[Age Band Code]]&amp;"; "&amp;S6400&amp;AS[[#This Row],[Sex Code]]</f>
        <v xml:space="preserve">Insurer Code ; Reporting Year ; Insurance Category Code ; Large Provider Entity Code ; Age Band Code ; Sex Code </v>
      </c>
      <c r="N6400" s="297" t="s">
        <v>197</v>
      </c>
      <c r="O6400" s="297" t="s">
        <v>198</v>
      </c>
      <c r="P6400" s="297" t="s">
        <v>199</v>
      </c>
      <c r="Q6400" s="297" t="s">
        <v>200</v>
      </c>
      <c r="R6400" s="297" t="s">
        <v>213</v>
      </c>
      <c r="S6400" s="297" t="s">
        <v>214</v>
      </c>
    </row>
    <row r="6401" spans="1:19" x14ac:dyDescent="0.4">
      <c r="A6401" s="548"/>
      <c r="B6401" s="292"/>
      <c r="C6401" s="292"/>
      <c r="D6401" s="292"/>
      <c r="E6401" s="549"/>
      <c r="F6401" s="549"/>
      <c r="G6401" s="550"/>
      <c r="H6401" s="551"/>
      <c r="I6401" s="552"/>
      <c r="J6401" s="553"/>
      <c r="K6401" s="554"/>
      <c r="M6401" s="301" t="str">
        <f>N6401&amp;AS[[#This Row],[Insurer Code]]&amp;"; "&amp;O6401&amp;AS[[#This Row],[Reporting Year]]&amp;"; "&amp;P6401&amp;AS[[#This Row],[Insurance Category Code]]&amp;"; "&amp;Q6401&amp;AS[[#This Row],[Large Provider Entity Code]]&amp;"; "&amp;R6401&amp;AS[[#This Row],[Age Band Code]]&amp;"; "&amp;S6401&amp;AS[[#This Row],[Sex Code]]</f>
        <v xml:space="preserve">Insurer Code ; Reporting Year ; Insurance Category Code ; Large Provider Entity Code ; Age Band Code ; Sex Code </v>
      </c>
      <c r="N6401" s="297" t="s">
        <v>197</v>
      </c>
      <c r="O6401" s="297" t="s">
        <v>198</v>
      </c>
      <c r="P6401" s="297" t="s">
        <v>199</v>
      </c>
      <c r="Q6401" s="297" t="s">
        <v>200</v>
      </c>
      <c r="R6401" s="297" t="s">
        <v>213</v>
      </c>
      <c r="S6401" s="297" t="s">
        <v>214</v>
      </c>
    </row>
    <row r="6402" spans="1:19" x14ac:dyDescent="0.4">
      <c r="A6402" s="548"/>
      <c r="B6402" s="292"/>
      <c r="C6402" s="292"/>
      <c r="D6402" s="292"/>
      <c r="E6402" s="549"/>
      <c r="F6402" s="549"/>
      <c r="G6402" s="550"/>
      <c r="H6402" s="551"/>
      <c r="I6402" s="552"/>
      <c r="J6402" s="553"/>
      <c r="K6402" s="554"/>
      <c r="M6402" s="301" t="str">
        <f>N6402&amp;AS[[#This Row],[Insurer Code]]&amp;"; "&amp;O6402&amp;AS[[#This Row],[Reporting Year]]&amp;"; "&amp;P6402&amp;AS[[#This Row],[Insurance Category Code]]&amp;"; "&amp;Q6402&amp;AS[[#This Row],[Large Provider Entity Code]]&amp;"; "&amp;R6402&amp;AS[[#This Row],[Age Band Code]]&amp;"; "&amp;S6402&amp;AS[[#This Row],[Sex Code]]</f>
        <v xml:space="preserve">Insurer Code ; Reporting Year ; Insurance Category Code ; Large Provider Entity Code ; Age Band Code ; Sex Code </v>
      </c>
      <c r="N6402" s="297" t="s">
        <v>197</v>
      </c>
      <c r="O6402" s="297" t="s">
        <v>198</v>
      </c>
      <c r="P6402" s="297" t="s">
        <v>199</v>
      </c>
      <c r="Q6402" s="297" t="s">
        <v>200</v>
      </c>
      <c r="R6402" s="297" t="s">
        <v>213</v>
      </c>
      <c r="S6402" s="297" t="s">
        <v>214</v>
      </c>
    </row>
    <row r="6403" spans="1:19" x14ac:dyDescent="0.4">
      <c r="A6403" s="548"/>
      <c r="B6403" s="292"/>
      <c r="C6403" s="292"/>
      <c r="D6403" s="292"/>
      <c r="E6403" s="549"/>
      <c r="F6403" s="549"/>
      <c r="G6403" s="550"/>
      <c r="H6403" s="551"/>
      <c r="I6403" s="552"/>
      <c r="J6403" s="553"/>
      <c r="K6403" s="554"/>
      <c r="M6403" s="301" t="str">
        <f>N6403&amp;AS[[#This Row],[Insurer Code]]&amp;"; "&amp;O6403&amp;AS[[#This Row],[Reporting Year]]&amp;"; "&amp;P6403&amp;AS[[#This Row],[Insurance Category Code]]&amp;"; "&amp;Q6403&amp;AS[[#This Row],[Large Provider Entity Code]]&amp;"; "&amp;R6403&amp;AS[[#This Row],[Age Band Code]]&amp;"; "&amp;S6403&amp;AS[[#This Row],[Sex Code]]</f>
        <v xml:space="preserve">Insurer Code ; Reporting Year ; Insurance Category Code ; Large Provider Entity Code ; Age Band Code ; Sex Code </v>
      </c>
      <c r="N6403" s="297" t="s">
        <v>197</v>
      </c>
      <c r="O6403" s="297" t="s">
        <v>198</v>
      </c>
      <c r="P6403" s="297" t="s">
        <v>199</v>
      </c>
      <c r="Q6403" s="297" t="s">
        <v>200</v>
      </c>
      <c r="R6403" s="297" t="s">
        <v>213</v>
      </c>
      <c r="S6403" s="297" t="s">
        <v>214</v>
      </c>
    </row>
    <row r="6404" spans="1:19" x14ac:dyDescent="0.4">
      <c r="A6404" s="548"/>
      <c r="B6404" s="292"/>
      <c r="C6404" s="292"/>
      <c r="D6404" s="292"/>
      <c r="E6404" s="549"/>
      <c r="F6404" s="549"/>
      <c r="G6404" s="550"/>
      <c r="H6404" s="551"/>
      <c r="I6404" s="552"/>
      <c r="J6404" s="553"/>
      <c r="K6404" s="554"/>
      <c r="M6404" s="301" t="str">
        <f>N6404&amp;AS[[#This Row],[Insurer Code]]&amp;"; "&amp;O6404&amp;AS[[#This Row],[Reporting Year]]&amp;"; "&amp;P6404&amp;AS[[#This Row],[Insurance Category Code]]&amp;"; "&amp;Q6404&amp;AS[[#This Row],[Large Provider Entity Code]]&amp;"; "&amp;R6404&amp;AS[[#This Row],[Age Band Code]]&amp;"; "&amp;S6404&amp;AS[[#This Row],[Sex Code]]</f>
        <v xml:space="preserve">Insurer Code ; Reporting Year ; Insurance Category Code ; Large Provider Entity Code ; Age Band Code ; Sex Code </v>
      </c>
      <c r="N6404" s="297" t="s">
        <v>197</v>
      </c>
      <c r="O6404" s="297" t="s">
        <v>198</v>
      </c>
      <c r="P6404" s="297" t="s">
        <v>199</v>
      </c>
      <c r="Q6404" s="297" t="s">
        <v>200</v>
      </c>
      <c r="R6404" s="297" t="s">
        <v>213</v>
      </c>
      <c r="S6404" s="297" t="s">
        <v>214</v>
      </c>
    </row>
    <row r="6405" spans="1:19" x14ac:dyDescent="0.4">
      <c r="A6405" s="291"/>
      <c r="B6405" s="292"/>
      <c r="C6405" s="312"/>
      <c r="D6405" s="292"/>
      <c r="E6405" s="489"/>
      <c r="F6405" s="489"/>
      <c r="G6405" s="490"/>
      <c r="H6405" s="520"/>
      <c r="I6405" s="523"/>
      <c r="J6405" s="521"/>
      <c r="K6405" s="522"/>
      <c r="M6405" s="301" t="str">
        <f>N6405&amp;AS[[#This Row],[Insurer Code]]&amp;"; "&amp;O6405&amp;AS[[#This Row],[Reporting Year]]&amp;"; "&amp;P6405&amp;AS[[#This Row],[Insurance Category Code]]&amp;"; "&amp;Q6405&amp;AS[[#This Row],[Large Provider Entity Code]]&amp;"; "&amp;R6405&amp;AS[[#This Row],[Age Band Code]]&amp;"; "&amp;S6405&amp;AS[[#This Row],[Sex Code]]</f>
        <v xml:space="preserve">Insurer Code ; Reporting Year ; Insurance Category Code ; Large Provider Entity Code ; Age Band Code ; Sex Code </v>
      </c>
      <c r="N6405" s="297" t="s">
        <v>197</v>
      </c>
      <c r="O6405" s="297" t="s">
        <v>198</v>
      </c>
      <c r="P6405" s="297" t="s">
        <v>199</v>
      </c>
      <c r="Q6405" s="297" t="s">
        <v>200</v>
      </c>
      <c r="R6405" s="297" t="s">
        <v>213</v>
      </c>
      <c r="S6405" s="297" t="s">
        <v>214</v>
      </c>
    </row>
    <row r="6406" spans="1:19" x14ac:dyDescent="0.4">
      <c r="A6406" s="291"/>
      <c r="B6406" s="292"/>
      <c r="C6406" s="312"/>
      <c r="D6406" s="292"/>
      <c r="E6406" s="489"/>
      <c r="F6406" s="489"/>
      <c r="G6406" s="490"/>
      <c r="H6406" s="520"/>
      <c r="I6406" s="523"/>
      <c r="J6406" s="521"/>
      <c r="K6406" s="522"/>
      <c r="M6406" s="301" t="str">
        <f>N6406&amp;AS[[#This Row],[Insurer Code]]&amp;"; "&amp;O6406&amp;AS[[#This Row],[Reporting Year]]&amp;"; "&amp;P6406&amp;AS[[#This Row],[Insurance Category Code]]&amp;"; "&amp;Q6406&amp;AS[[#This Row],[Large Provider Entity Code]]&amp;"; "&amp;R6406&amp;AS[[#This Row],[Age Band Code]]&amp;"; "&amp;S6406&amp;AS[[#This Row],[Sex Code]]</f>
        <v xml:space="preserve">Insurer Code ; Reporting Year ; Insurance Category Code ; Large Provider Entity Code ; Age Band Code ; Sex Code </v>
      </c>
      <c r="N6406" s="297" t="s">
        <v>197</v>
      </c>
      <c r="O6406" s="297" t="s">
        <v>198</v>
      </c>
      <c r="P6406" s="297" t="s">
        <v>199</v>
      </c>
      <c r="Q6406" s="297" t="s">
        <v>200</v>
      </c>
      <c r="R6406" s="297" t="s">
        <v>213</v>
      </c>
      <c r="S6406" s="297" t="s">
        <v>214</v>
      </c>
    </row>
    <row r="6407" spans="1:19" x14ac:dyDescent="0.4">
      <c r="A6407" s="291"/>
      <c r="B6407" s="292"/>
      <c r="C6407" s="312"/>
      <c r="D6407" s="292"/>
      <c r="E6407" s="489"/>
      <c r="F6407" s="489"/>
      <c r="G6407" s="490"/>
      <c r="H6407" s="520"/>
      <c r="I6407" s="523"/>
      <c r="J6407" s="521"/>
      <c r="K6407" s="522"/>
      <c r="M6407" s="301" t="str">
        <f>N6407&amp;AS[[#This Row],[Insurer Code]]&amp;"; "&amp;O6407&amp;AS[[#This Row],[Reporting Year]]&amp;"; "&amp;P6407&amp;AS[[#This Row],[Insurance Category Code]]&amp;"; "&amp;Q6407&amp;AS[[#This Row],[Large Provider Entity Code]]&amp;"; "&amp;R6407&amp;AS[[#This Row],[Age Band Code]]&amp;"; "&amp;S6407&amp;AS[[#This Row],[Sex Code]]</f>
        <v xml:space="preserve">Insurer Code ; Reporting Year ; Insurance Category Code ; Large Provider Entity Code ; Age Band Code ; Sex Code </v>
      </c>
      <c r="N6407" s="297" t="s">
        <v>197</v>
      </c>
      <c r="O6407" s="297" t="s">
        <v>198</v>
      </c>
      <c r="P6407" s="297" t="s">
        <v>199</v>
      </c>
      <c r="Q6407" s="297" t="s">
        <v>200</v>
      </c>
      <c r="R6407" s="297" t="s">
        <v>213</v>
      </c>
      <c r="S6407" s="297" t="s">
        <v>214</v>
      </c>
    </row>
    <row r="6408" spans="1:19" x14ac:dyDescent="0.4">
      <c r="A6408" s="291"/>
      <c r="B6408" s="292"/>
      <c r="C6408" s="312"/>
      <c r="D6408" s="292"/>
      <c r="E6408" s="489"/>
      <c r="F6408" s="489"/>
      <c r="G6408" s="490"/>
      <c r="H6408" s="520"/>
      <c r="I6408" s="523"/>
      <c r="J6408" s="521"/>
      <c r="K6408" s="522"/>
      <c r="M6408" s="301" t="str">
        <f>N6408&amp;AS[[#This Row],[Insurer Code]]&amp;"; "&amp;O6408&amp;AS[[#This Row],[Reporting Year]]&amp;"; "&amp;P6408&amp;AS[[#This Row],[Insurance Category Code]]&amp;"; "&amp;Q6408&amp;AS[[#This Row],[Large Provider Entity Code]]&amp;"; "&amp;R6408&amp;AS[[#This Row],[Age Band Code]]&amp;"; "&amp;S6408&amp;AS[[#This Row],[Sex Code]]</f>
        <v xml:space="preserve">Insurer Code ; Reporting Year ; Insurance Category Code ; Large Provider Entity Code ; Age Band Code ; Sex Code </v>
      </c>
      <c r="N6408" s="297" t="s">
        <v>197</v>
      </c>
      <c r="O6408" s="297" t="s">
        <v>198</v>
      </c>
      <c r="P6408" s="297" t="s">
        <v>199</v>
      </c>
      <c r="Q6408" s="297" t="s">
        <v>200</v>
      </c>
      <c r="R6408" s="297" t="s">
        <v>213</v>
      </c>
      <c r="S6408" s="297" t="s">
        <v>214</v>
      </c>
    </row>
    <row r="6409" spans="1:19" x14ac:dyDescent="0.4">
      <c r="A6409" s="291"/>
      <c r="B6409" s="292"/>
      <c r="C6409" s="312"/>
      <c r="D6409" s="292"/>
      <c r="E6409" s="489"/>
      <c r="F6409" s="489"/>
      <c r="G6409" s="490"/>
      <c r="H6409" s="520"/>
      <c r="I6409" s="523"/>
      <c r="J6409" s="521"/>
      <c r="K6409" s="522"/>
      <c r="M6409" s="301" t="str">
        <f>N6409&amp;AS[[#This Row],[Insurer Code]]&amp;"; "&amp;O6409&amp;AS[[#This Row],[Reporting Year]]&amp;"; "&amp;P6409&amp;AS[[#This Row],[Insurance Category Code]]&amp;"; "&amp;Q6409&amp;AS[[#This Row],[Large Provider Entity Code]]&amp;"; "&amp;R6409&amp;AS[[#This Row],[Age Band Code]]&amp;"; "&amp;S6409&amp;AS[[#This Row],[Sex Code]]</f>
        <v xml:space="preserve">Insurer Code ; Reporting Year ; Insurance Category Code ; Large Provider Entity Code ; Age Band Code ; Sex Code </v>
      </c>
      <c r="N6409" s="297" t="s">
        <v>197</v>
      </c>
      <c r="O6409" s="297" t="s">
        <v>198</v>
      </c>
      <c r="P6409" s="297" t="s">
        <v>199</v>
      </c>
      <c r="Q6409" s="297" t="s">
        <v>200</v>
      </c>
      <c r="R6409" s="297" t="s">
        <v>213</v>
      </c>
      <c r="S6409" s="297" t="s">
        <v>214</v>
      </c>
    </row>
    <row r="6410" spans="1:19" x14ac:dyDescent="0.4">
      <c r="A6410" s="291"/>
      <c r="B6410" s="292"/>
      <c r="C6410" s="312"/>
      <c r="D6410" s="292"/>
      <c r="E6410" s="489"/>
      <c r="F6410" s="489"/>
      <c r="G6410" s="490"/>
      <c r="H6410" s="520"/>
      <c r="I6410" s="523"/>
      <c r="J6410" s="521"/>
      <c r="K6410" s="522"/>
      <c r="M6410" s="301" t="str">
        <f>N6410&amp;AS[[#This Row],[Insurer Code]]&amp;"; "&amp;O6410&amp;AS[[#This Row],[Reporting Year]]&amp;"; "&amp;P6410&amp;AS[[#This Row],[Insurance Category Code]]&amp;"; "&amp;Q6410&amp;AS[[#This Row],[Large Provider Entity Code]]&amp;"; "&amp;R6410&amp;AS[[#This Row],[Age Band Code]]&amp;"; "&amp;S6410&amp;AS[[#This Row],[Sex Code]]</f>
        <v xml:space="preserve">Insurer Code ; Reporting Year ; Insurance Category Code ; Large Provider Entity Code ; Age Band Code ; Sex Code </v>
      </c>
      <c r="N6410" s="297" t="s">
        <v>197</v>
      </c>
      <c r="O6410" s="297" t="s">
        <v>198</v>
      </c>
      <c r="P6410" s="297" t="s">
        <v>199</v>
      </c>
      <c r="Q6410" s="297" t="s">
        <v>200</v>
      </c>
      <c r="R6410" s="297" t="s">
        <v>213</v>
      </c>
      <c r="S6410" s="297" t="s">
        <v>214</v>
      </c>
    </row>
    <row r="6411" spans="1:19" x14ac:dyDescent="0.4">
      <c r="A6411" s="548"/>
      <c r="B6411" s="292"/>
      <c r="C6411" s="292"/>
      <c r="D6411" s="292"/>
      <c r="E6411" s="549"/>
      <c r="F6411" s="549"/>
      <c r="G6411" s="550"/>
      <c r="H6411" s="551"/>
      <c r="I6411" s="552"/>
      <c r="J6411" s="553"/>
      <c r="K6411" s="554"/>
      <c r="M6411" s="301" t="str">
        <f>N6411&amp;AS[[#This Row],[Insurer Code]]&amp;"; "&amp;O6411&amp;AS[[#This Row],[Reporting Year]]&amp;"; "&amp;P6411&amp;AS[[#This Row],[Insurance Category Code]]&amp;"; "&amp;Q6411&amp;AS[[#This Row],[Large Provider Entity Code]]&amp;"; "&amp;R6411&amp;AS[[#This Row],[Age Band Code]]&amp;"; "&amp;S6411&amp;AS[[#This Row],[Sex Code]]</f>
        <v xml:space="preserve">Insurer Code ; Reporting Year ; Insurance Category Code ; Large Provider Entity Code ; Age Band Code ; Sex Code </v>
      </c>
      <c r="N6411" s="297" t="s">
        <v>197</v>
      </c>
      <c r="O6411" s="297" t="s">
        <v>198</v>
      </c>
      <c r="P6411" s="297" t="s">
        <v>199</v>
      </c>
      <c r="Q6411" s="297" t="s">
        <v>200</v>
      </c>
      <c r="R6411" s="297" t="s">
        <v>213</v>
      </c>
      <c r="S6411" s="297" t="s">
        <v>214</v>
      </c>
    </row>
  </sheetData>
  <mergeCells count="3">
    <mergeCell ref="A5:K5"/>
    <mergeCell ref="A7:K7"/>
    <mergeCell ref="A6:K6"/>
  </mergeCells>
  <conditionalFormatting sqref="A12:A6411">
    <cfRule type="containsBlanks" dxfId="154" priority="5" stopIfTrue="1">
      <formula>LEN(TRIM(A12))=0</formula>
    </cfRule>
    <cfRule type="expression" dxfId="153" priority="6">
      <formula>AND(A12&lt;&gt;201, A12&lt;&gt;202, A12&lt;&gt;203, A12&lt;&gt;204, A12&lt;&gt;205, A12&lt;&gt;206, A12&lt;&gt;207)</formula>
    </cfRule>
  </conditionalFormatting>
  <conditionalFormatting sqref="B12:B6411">
    <cfRule type="containsBlanks" priority="9" stopIfTrue="1">
      <formula>LEN(TRIM(B12))=0</formula>
    </cfRule>
    <cfRule type="expression" dxfId="152" priority="10" stopIfTrue="1">
      <formula>ISNUMBER(B12)=FALSE</formula>
    </cfRule>
    <cfRule type="expression" dxfId="151" priority="11">
      <formula>AND(B12&lt;&gt;2024, B12&lt;&gt;2025)</formula>
    </cfRule>
  </conditionalFormatting>
  <conditionalFormatting sqref="C12:C6411">
    <cfRule type="containsBlanks" dxfId="150" priority="1" stopIfTrue="1">
      <formula>LEN(TRIM(C12))=0</formula>
    </cfRule>
    <cfRule type="expression" dxfId="149" priority="2">
      <formula>AND(C12&lt;&gt;1, C12&lt;&gt;2, C12&lt;&gt;3, C12&lt;&gt;4, C12&lt;&gt;5, C12&lt;&gt;6, C12&lt;&gt;7, C12&lt;&gt;8)</formula>
    </cfRule>
    <cfRule type="containsBlanks" dxfId="148" priority="3" stopIfTrue="1">
      <formula>LEN(TRIM(C12))=0</formula>
    </cfRule>
  </conditionalFormatting>
  <conditionalFormatting sqref="D12:D6411">
    <cfRule type="containsBlanks" dxfId="147" priority="7" stopIfTrue="1">
      <formula>LEN(TRIM(D12))=0</formula>
    </cfRule>
    <cfRule type="expression" dxfId="146" priority="8">
      <formula>AND(D12&lt;&gt;100, D12&lt;&gt;101, D12&lt;&gt;102, D12&lt;&gt;123, D12&lt;&gt;124, D12&lt;&gt;104, D12&lt;&gt;105, D12&lt;&gt;106, D12&lt;&gt;107, D12&lt;&gt;108, D12&lt;&gt;109, D12&lt;&gt;110, D12&lt;&gt;111, D12&lt;&gt;112, D12&lt;&gt;115, D12&lt;&gt;116, D12&lt;&gt;118, D12&lt;&gt;125, D12&lt;&gt;120, D12&lt;&gt;121, D12&lt;&gt;122, D12&lt;&gt;123, D12&lt;&gt;124, D12&lt;&gt;126, D12&lt;&gt;127, D12&lt;&gt;128, D12&lt;&gt;999)</formula>
    </cfRule>
  </conditionalFormatting>
  <dataValidations xWindow="500" yWindow="538" count="4">
    <dataValidation allowBlank="1" showInputMessage="1" showErrorMessage="1" promptTitle="Input requried" prompt="Enter non-negative number" sqref="J12:K6411" xr:uid="{56A80120-39AA-40F1-900D-7BD9211B6CF7}"/>
    <dataValidation allowBlank="1" showInputMessage="1" showErrorMessage="1" promptTitle="Input required" prompt="Enter non-negative integer" sqref="G12:G6411" xr:uid="{3EC8561F-4288-4E65-9CDE-D8D098D8CD4A}"/>
    <dataValidation allowBlank="1" showInputMessage="1" showErrorMessage="1" promptTitle="Input required" prompt="Enter non-negative number" sqref="H12:H6411" xr:uid="{C9B1D942-5644-4F14-A4C3-AF0A83FC3C9D}"/>
    <dataValidation allowBlank="1" showInputMessage="1" showErrorMessage="1" promptTitle="Input required" prompt="Enter non-negative integer; input must be greater than zero if the Claims Amount Excluded Due to Truncation is greater than zero" sqref="I12:I6411" xr:uid="{10B3D9B4-D183-48CF-8D44-78CCB01F878D}"/>
  </dataValidations>
  <pageMargins left="0.7" right="0.7" top="0.75" bottom="0.75" header="0.3" footer="0.3"/>
  <pageSetup scale="10" fitToHeight="5" orientation="landscape" r:id="rId1"/>
  <headerFooter>
    <oddFooter>&amp;L&amp;"-,Bold"Carrier Benchmark Data Submission Template&amp;"-,Regular" | NJ Hart Program&amp;RPage &amp;P</oddFooter>
  </headerFooter>
  <tableParts count="1">
    <tablePart r:id="rId2"/>
  </tableParts>
  <extLst>
    <ext xmlns:x14="http://schemas.microsoft.com/office/spreadsheetml/2009/9/main" uri="{CCE6A557-97BC-4b89-ADB6-D9C93CAAB3DF}">
      <x14:dataValidations xmlns:xm="http://schemas.microsoft.com/office/excel/2006/main" xWindow="500" yWindow="538" count="6">
        <x14:dataValidation type="list" allowBlank="1" showInputMessage="1" showErrorMessage="1" promptTitle="Input required" prompt="Input must be an option from the drop down list." xr:uid="{B92CEC39-CA60-4BE1-856B-7ED8AC2BE5C2}">
          <x14:formula1>
            <xm:f>'Reference Tables'!$A$21:$A$28</xm:f>
          </x14:formula1>
          <xm:sqref>C12:C6411</xm:sqref>
        </x14:dataValidation>
        <x14:dataValidation type="list" allowBlank="1" showInputMessage="1" showErrorMessage="1" errorTitle="Invalid input" error="Select option from the drop down list" promptTitle="Input required" prompt="Input must be an option from the drop down list" xr:uid="{F419F650-6055-4730-833C-62FD21B728E3}">
          <x14:formula1>
            <xm:f>'Reference Tables'!$A$16:$A$17</xm:f>
          </x14:formula1>
          <xm:sqref>B12:B6411</xm:sqref>
        </x14:dataValidation>
        <x14:dataValidation type="list" allowBlank="1" showInputMessage="1" showErrorMessage="1" error="Select Insurer Code as listed in the Reference Tables tab." promptTitle="Input required" prompt="Input must align with the Insurer Code in the file name and the Insurer Name on the Cover Page tab" xr:uid="{49970219-C7CA-4AAD-9E6B-30A1A834C1C5}">
          <x14:formula1>
            <xm:f>'Reference Tables'!$A$6:$A$12</xm:f>
          </x14:formula1>
          <xm:sqref>A12:A6411</xm:sqref>
        </x14:dataValidation>
        <x14:dataValidation type="list" allowBlank="1" showInputMessage="1" showErrorMessage="1" promptTitle="Input required" prompt="Input must be an option from the drop down list if Member Months field is greater than zero" xr:uid="{D048E513-4FE6-4501-9BC7-87CEA2559FE6}">
          <x14:formula1>
            <xm:f>'Reference Tables'!$A$60:$A$67</xm:f>
          </x14:formula1>
          <xm:sqref>E12:E6411</xm:sqref>
        </x14:dataValidation>
        <x14:dataValidation type="list" allowBlank="1" showInputMessage="1" showErrorMessage="1" promptTitle="Input required" prompt="Input must be an option from the drop down list if Member Months field is greater than zero" xr:uid="{ECB11A0D-92D6-433C-B946-01E99D54D8FA}">
          <x14:formula1>
            <xm:f>'Reference Tables'!$A$71:$A$72</xm:f>
          </x14:formula1>
          <xm:sqref>F12:F6411</xm:sqref>
        </x14:dataValidation>
        <x14:dataValidation type="list" allowBlank="1" showInputMessage="1" showErrorMessage="1" promptTitle="Input required" prompt="Input must be an option from the drop down list if Member Months field is greater than zero" xr:uid="{C06DCA83-0E33-4DB1-9B09-A22B6728F139}">
          <x14:formula1>
            <xm:f>'Reference Tables'!$A$32:$A$56</xm:f>
          </x14:formula1>
          <xm:sqref>D12:D6411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84A3-E999-4666-8EA1-4FED35BD25D0}">
  <sheetPr>
    <tabColor theme="9" tint="0.39997558519241921"/>
    <pageSetUpPr fitToPage="1"/>
  </sheetPr>
  <dimension ref="A1:X161"/>
  <sheetViews>
    <sheetView showGridLines="0" zoomScale="70" zoomScaleNormal="70" zoomScalePageLayoutView="60" workbookViewId="0">
      <selection activeCell="D19" sqref="D19"/>
    </sheetView>
  </sheetViews>
  <sheetFormatPr defaultColWidth="9" defaultRowHeight="16.8" x14ac:dyDescent="0.4"/>
  <cols>
    <col min="1" max="3" width="15.59765625" style="10" customWidth="1"/>
    <col min="4" max="4" width="27" style="10" customWidth="1"/>
    <col min="5" max="5" width="25.59765625" style="10" customWidth="1"/>
    <col min="6" max="6" width="29.69921875" style="10" customWidth="1"/>
    <col min="7" max="8" width="25.59765625" style="10" customWidth="1"/>
    <col min="9" max="9" width="9" style="10"/>
    <col min="10" max="10" width="86.8984375" style="10" customWidth="1"/>
    <col min="11" max="11" width="10" style="10" customWidth="1"/>
    <col min="12" max="16384" width="9" style="10"/>
  </cols>
  <sheetData>
    <row r="1" spans="1:24" ht="20.399999999999999" x14ac:dyDescent="0.45">
      <c r="A1" s="9" t="s">
        <v>215</v>
      </c>
      <c r="B1" s="260"/>
      <c r="C1" s="1"/>
      <c r="D1" s="1"/>
      <c r="E1" s="1"/>
      <c r="F1" s="1"/>
      <c r="G1" s="1"/>
      <c r="H1" s="1"/>
    </row>
    <row r="2" spans="1:24" ht="15" customHeight="1" x14ac:dyDescent="0.4">
      <c r="A2" s="21" t="s">
        <v>137</v>
      </c>
      <c r="B2" s="260"/>
      <c r="C2" s="1"/>
      <c r="D2" s="1"/>
      <c r="E2" s="1"/>
      <c r="F2" s="1"/>
      <c r="G2" s="1"/>
      <c r="H2" s="1"/>
    </row>
    <row r="3" spans="1:24" ht="15" customHeight="1" x14ac:dyDescent="0.4">
      <c r="A3" s="21"/>
      <c r="B3" s="260"/>
      <c r="C3" s="1"/>
      <c r="D3" s="1"/>
      <c r="E3" s="1"/>
      <c r="F3" s="1"/>
      <c r="G3" s="1"/>
      <c r="H3" s="1"/>
    </row>
    <row r="4" spans="1:24" x14ac:dyDescent="0.4">
      <c r="A4" s="253" t="s">
        <v>122</v>
      </c>
      <c r="B4" s="260"/>
      <c r="C4" s="1"/>
      <c r="D4" s="1"/>
      <c r="E4" s="1"/>
      <c r="F4" s="1"/>
      <c r="G4" s="1"/>
      <c r="H4" s="1"/>
    </row>
    <row r="5" spans="1:24" x14ac:dyDescent="0.4">
      <c r="A5" s="610" t="s">
        <v>216</v>
      </c>
      <c r="B5" s="610"/>
      <c r="C5" s="610"/>
      <c r="D5" s="610"/>
      <c r="E5" s="610"/>
      <c r="F5" s="610"/>
      <c r="G5" s="610"/>
      <c r="H5" s="397"/>
      <c r="I5" s="11"/>
    </row>
    <row r="6" spans="1:24" x14ac:dyDescent="0.4">
      <c r="A6" s="250" t="s">
        <v>123</v>
      </c>
      <c r="B6" s="266"/>
      <c r="C6" s="265"/>
      <c r="D6" s="265"/>
      <c r="E6" s="265"/>
      <c r="F6" s="265"/>
      <c r="G6" s="265"/>
      <c r="H6" s="265"/>
    </row>
    <row r="7" spans="1:24" ht="33" customHeight="1" x14ac:dyDescent="0.4">
      <c r="A7" s="611" t="s">
        <v>140</v>
      </c>
      <c r="B7" s="611"/>
      <c r="C7" s="611"/>
      <c r="D7" s="611"/>
      <c r="E7" s="611"/>
      <c r="F7" s="611"/>
      <c r="G7" s="611"/>
      <c r="H7" s="305"/>
    </row>
    <row r="8" spans="1:24" x14ac:dyDescent="0.4">
      <c r="A8" s="26"/>
      <c r="B8" s="26"/>
      <c r="C8" s="26"/>
      <c r="D8" s="26"/>
      <c r="E8" s="26"/>
      <c r="F8" s="26"/>
      <c r="G8" s="26"/>
      <c r="H8" s="26"/>
    </row>
    <row r="9" spans="1:24" ht="15" customHeight="1" x14ac:dyDescent="0.4">
      <c r="A9" s="1"/>
      <c r="B9" s="260"/>
      <c r="C9" s="1"/>
      <c r="D9" s="1"/>
      <c r="E9" s="1"/>
      <c r="F9" s="1"/>
      <c r="G9" s="1"/>
      <c r="H9" s="1"/>
    </row>
    <row r="10" spans="1:24" s="38" customFormat="1" x14ac:dyDescent="0.4">
      <c r="A10" s="308" t="s">
        <v>217</v>
      </c>
      <c r="B10" s="308" t="s">
        <v>218</v>
      </c>
      <c r="C10" s="308" t="s">
        <v>219</v>
      </c>
      <c r="D10" s="308" t="s">
        <v>220</v>
      </c>
      <c r="E10" s="308" t="s">
        <v>221</v>
      </c>
      <c r="F10" s="308" t="s">
        <v>222</v>
      </c>
      <c r="G10" s="308" t="s">
        <v>223</v>
      </c>
      <c r="H10" s="308" t="s">
        <v>224</v>
      </c>
    </row>
    <row r="11" spans="1:24" ht="15" customHeight="1" x14ac:dyDescent="0.4">
      <c r="A11" s="111" t="s">
        <v>48</v>
      </c>
      <c r="B11" s="112" t="s">
        <v>170</v>
      </c>
      <c r="C11" s="112" t="s">
        <v>86</v>
      </c>
      <c r="D11" s="112" t="s">
        <v>66</v>
      </c>
      <c r="E11" s="309" t="s">
        <v>171</v>
      </c>
      <c r="F11" s="24" t="s">
        <v>192</v>
      </c>
      <c r="G11" s="310" t="s">
        <v>225</v>
      </c>
      <c r="H11" s="23" t="s">
        <v>226</v>
      </c>
      <c r="J11" s="300" t="s">
        <v>196</v>
      </c>
    </row>
    <row r="12" spans="1:24" x14ac:dyDescent="0.4">
      <c r="A12" s="291"/>
      <c r="B12" s="292"/>
      <c r="C12" s="292"/>
      <c r="D12" s="292"/>
      <c r="E12" s="293"/>
      <c r="F12" s="394"/>
      <c r="G12" s="394"/>
      <c r="H12" s="293"/>
      <c r="J12" s="38" t="str">
        <f>K12&amp;SD[[#This Row],[Insurer Code]]&amp;"; "&amp;L12&amp;SD[[#This Row],[Reporting Year]]&amp;"; "&amp;M12&amp;SD[[#This Row],[Market Code]]&amp;"; "&amp;N12&amp;SD[[#This Row],[Large Provider Entity Code]]</f>
        <v xml:space="preserve">Insurer Code ; Reporting Year ; Market Code ; Large Provider Entity Code </v>
      </c>
      <c r="K12" s="299" t="s">
        <v>197</v>
      </c>
      <c r="L12" s="299" t="s">
        <v>198</v>
      </c>
      <c r="M12" s="299" t="s">
        <v>227</v>
      </c>
      <c r="N12" s="299" t="s">
        <v>200</v>
      </c>
      <c r="O12" s="299"/>
      <c r="P12" s="299"/>
      <c r="Q12" s="299"/>
      <c r="R12" s="299"/>
      <c r="S12" s="299"/>
      <c r="T12" s="299"/>
      <c r="U12" s="299"/>
      <c r="V12" s="299"/>
      <c r="W12" s="299"/>
      <c r="X12" s="299"/>
    </row>
    <row r="13" spans="1:24" x14ac:dyDescent="0.4">
      <c r="A13" s="291"/>
      <c r="B13" s="292"/>
      <c r="C13" s="292"/>
      <c r="D13" s="292"/>
      <c r="E13" s="293"/>
      <c r="F13" s="394"/>
      <c r="G13" s="394"/>
      <c r="H13" s="293"/>
      <c r="J13" s="38" t="str">
        <f>K13&amp;SD[[#This Row],[Insurer Code]]&amp;"; "&amp;L13&amp;SD[[#This Row],[Reporting Year]]&amp;"; "&amp;M13&amp;SD[[#This Row],[Market Code]]&amp;"; "&amp;N13&amp;SD[[#This Row],[Large Provider Entity Code]]</f>
        <v xml:space="preserve">Insurer Code ; Reporting Year ; Market Code ; Large Provider Entity Code </v>
      </c>
      <c r="K13" s="299" t="s">
        <v>197</v>
      </c>
      <c r="L13" s="299" t="s">
        <v>198</v>
      </c>
      <c r="M13" s="299" t="s">
        <v>227</v>
      </c>
      <c r="N13" s="299" t="s">
        <v>200</v>
      </c>
      <c r="O13" s="299"/>
      <c r="P13" s="299"/>
      <c r="Q13" s="299"/>
      <c r="R13" s="299"/>
      <c r="S13" s="299"/>
      <c r="T13" s="299"/>
      <c r="U13" s="299"/>
      <c r="V13" s="299"/>
      <c r="W13" s="299"/>
      <c r="X13" s="299"/>
    </row>
    <row r="14" spans="1:24" x14ac:dyDescent="0.4">
      <c r="A14" s="291"/>
      <c r="B14" s="292"/>
      <c r="C14" s="292"/>
      <c r="D14" s="292"/>
      <c r="E14" s="293"/>
      <c r="F14" s="394"/>
      <c r="G14" s="394"/>
      <c r="H14" s="293"/>
      <c r="J14" s="38" t="str">
        <f>K14&amp;SD[[#This Row],[Insurer Code]]&amp;"; "&amp;L14&amp;SD[[#This Row],[Reporting Year]]&amp;"; "&amp;M14&amp;SD[[#This Row],[Market Code]]&amp;"; "&amp;N14&amp;SD[[#This Row],[Large Provider Entity Code]]</f>
        <v xml:space="preserve">Insurer Code ; Reporting Year ; Market Code ; Large Provider Entity Code </v>
      </c>
      <c r="K14" s="299" t="s">
        <v>197</v>
      </c>
      <c r="L14" s="299" t="s">
        <v>198</v>
      </c>
      <c r="M14" s="299" t="s">
        <v>227</v>
      </c>
      <c r="N14" s="299" t="s">
        <v>200</v>
      </c>
      <c r="O14" s="299"/>
      <c r="P14" s="299"/>
      <c r="Q14" s="299"/>
      <c r="R14" s="299"/>
      <c r="S14" s="299"/>
      <c r="T14" s="299"/>
      <c r="U14" s="299"/>
      <c r="V14" s="299"/>
      <c r="W14" s="299"/>
      <c r="X14" s="299"/>
    </row>
    <row r="15" spans="1:24" x14ac:dyDescent="0.4">
      <c r="A15" s="291"/>
      <c r="B15" s="292"/>
      <c r="C15" s="292"/>
      <c r="D15" s="292"/>
      <c r="E15" s="293"/>
      <c r="F15" s="394"/>
      <c r="G15" s="394"/>
      <c r="H15" s="293"/>
      <c r="J15" s="38" t="str">
        <f>K15&amp;SD[[#This Row],[Insurer Code]]&amp;"; "&amp;L15&amp;SD[[#This Row],[Reporting Year]]&amp;"; "&amp;M15&amp;SD[[#This Row],[Market Code]]&amp;"; "&amp;N15&amp;SD[[#This Row],[Large Provider Entity Code]]</f>
        <v xml:space="preserve">Insurer Code ; Reporting Year ; Market Code ; Large Provider Entity Code </v>
      </c>
      <c r="K15" s="299" t="s">
        <v>197</v>
      </c>
      <c r="L15" s="299" t="s">
        <v>198</v>
      </c>
      <c r="M15" s="299" t="s">
        <v>227</v>
      </c>
      <c r="N15" s="299" t="s">
        <v>200</v>
      </c>
      <c r="O15" s="299"/>
      <c r="P15" s="299"/>
      <c r="Q15" s="299"/>
      <c r="R15" s="299"/>
      <c r="S15" s="299"/>
      <c r="T15" s="299"/>
      <c r="U15" s="299"/>
      <c r="V15" s="299"/>
      <c r="W15" s="299"/>
      <c r="X15" s="299"/>
    </row>
    <row r="16" spans="1:24" x14ac:dyDescent="0.4">
      <c r="A16" s="291"/>
      <c r="B16" s="292"/>
      <c r="C16" s="292"/>
      <c r="D16" s="292"/>
      <c r="E16" s="293"/>
      <c r="F16" s="394"/>
      <c r="G16" s="394"/>
      <c r="H16" s="293"/>
      <c r="J16" s="38" t="str">
        <f>K16&amp;SD[[#This Row],[Insurer Code]]&amp;"; "&amp;L16&amp;SD[[#This Row],[Reporting Year]]&amp;"; "&amp;M16&amp;SD[[#This Row],[Market Code]]&amp;"; "&amp;N16&amp;SD[[#This Row],[Large Provider Entity Code]]</f>
        <v xml:space="preserve">Insurer Code ; Reporting Year ; Market Code ; Large Provider Entity Code </v>
      </c>
      <c r="K16" s="299" t="s">
        <v>197</v>
      </c>
      <c r="L16" s="299" t="s">
        <v>198</v>
      </c>
      <c r="M16" s="299" t="s">
        <v>227</v>
      </c>
      <c r="N16" s="299" t="s">
        <v>200</v>
      </c>
      <c r="O16" s="299"/>
      <c r="P16" s="299"/>
      <c r="Q16" s="299"/>
      <c r="R16" s="299"/>
      <c r="S16" s="299"/>
      <c r="T16" s="299"/>
      <c r="U16" s="299"/>
      <c r="V16" s="299"/>
      <c r="W16" s="299"/>
      <c r="X16" s="299"/>
    </row>
    <row r="17" spans="1:24" x14ac:dyDescent="0.4">
      <c r="A17" s="291"/>
      <c r="B17" s="292"/>
      <c r="C17" s="292"/>
      <c r="D17" s="292"/>
      <c r="E17" s="293"/>
      <c r="F17" s="394"/>
      <c r="G17" s="394"/>
      <c r="H17" s="293"/>
      <c r="J17" s="38" t="str">
        <f>K17&amp;SD[[#This Row],[Insurer Code]]&amp;"; "&amp;L17&amp;SD[[#This Row],[Reporting Year]]&amp;"; "&amp;M17&amp;SD[[#This Row],[Market Code]]&amp;"; "&amp;N17&amp;SD[[#This Row],[Large Provider Entity Code]]</f>
        <v xml:space="preserve">Insurer Code ; Reporting Year ; Market Code ; Large Provider Entity Code </v>
      </c>
      <c r="K17" s="299" t="s">
        <v>197</v>
      </c>
      <c r="L17" s="299" t="s">
        <v>198</v>
      </c>
      <c r="M17" s="299" t="s">
        <v>227</v>
      </c>
      <c r="N17" s="299" t="s">
        <v>200</v>
      </c>
      <c r="O17" s="299"/>
      <c r="P17" s="299"/>
      <c r="Q17" s="299"/>
      <c r="R17" s="299"/>
      <c r="S17" s="299"/>
      <c r="T17" s="299"/>
      <c r="U17" s="299"/>
      <c r="V17" s="299"/>
      <c r="W17" s="299"/>
      <c r="X17" s="299"/>
    </row>
    <row r="18" spans="1:24" x14ac:dyDescent="0.4">
      <c r="A18" s="291"/>
      <c r="B18" s="292"/>
      <c r="C18" s="292"/>
      <c r="D18" s="292"/>
      <c r="E18" s="293"/>
      <c r="F18" s="394"/>
      <c r="G18" s="394"/>
      <c r="H18" s="293"/>
      <c r="J18" s="38" t="str">
        <f>K18&amp;SD[[#This Row],[Insurer Code]]&amp;"; "&amp;L18&amp;SD[[#This Row],[Reporting Year]]&amp;"; "&amp;M18&amp;SD[[#This Row],[Market Code]]&amp;"; "&amp;N18&amp;SD[[#This Row],[Large Provider Entity Code]]</f>
        <v xml:space="preserve">Insurer Code ; Reporting Year ; Market Code ; Large Provider Entity Code </v>
      </c>
      <c r="K18" s="299" t="s">
        <v>197</v>
      </c>
      <c r="L18" s="299" t="s">
        <v>198</v>
      </c>
      <c r="M18" s="299" t="s">
        <v>227</v>
      </c>
      <c r="N18" s="299" t="s">
        <v>200</v>
      </c>
      <c r="O18" s="299"/>
      <c r="P18" s="299"/>
      <c r="Q18" s="299"/>
      <c r="R18" s="299"/>
      <c r="S18" s="299"/>
      <c r="T18" s="299"/>
      <c r="U18" s="299"/>
      <c r="V18" s="299"/>
      <c r="W18" s="299"/>
      <c r="X18" s="299"/>
    </row>
    <row r="19" spans="1:24" x14ac:dyDescent="0.4">
      <c r="A19" s="291"/>
      <c r="B19" s="292"/>
      <c r="C19" s="292"/>
      <c r="D19" s="292"/>
      <c r="E19" s="293"/>
      <c r="F19" s="394"/>
      <c r="G19" s="394"/>
      <c r="H19" s="293"/>
      <c r="J19" s="38" t="str">
        <f>K19&amp;SD[[#This Row],[Insurer Code]]&amp;"; "&amp;L19&amp;SD[[#This Row],[Reporting Year]]&amp;"; "&amp;M19&amp;SD[[#This Row],[Market Code]]&amp;"; "&amp;N19&amp;SD[[#This Row],[Large Provider Entity Code]]</f>
        <v xml:space="preserve">Insurer Code ; Reporting Year ; Market Code ; Large Provider Entity Code </v>
      </c>
      <c r="K19" s="299" t="s">
        <v>197</v>
      </c>
      <c r="L19" s="299" t="s">
        <v>198</v>
      </c>
      <c r="M19" s="299" t="s">
        <v>227</v>
      </c>
      <c r="N19" s="299" t="s">
        <v>200</v>
      </c>
      <c r="O19" s="299"/>
      <c r="P19" s="299"/>
      <c r="Q19" s="299"/>
      <c r="R19" s="299"/>
      <c r="S19" s="299"/>
      <c r="T19" s="299"/>
      <c r="U19" s="299"/>
      <c r="V19" s="299"/>
      <c r="W19" s="299"/>
      <c r="X19" s="299"/>
    </row>
    <row r="20" spans="1:24" x14ac:dyDescent="0.4">
      <c r="A20" s="291"/>
      <c r="B20" s="292"/>
      <c r="C20" s="292"/>
      <c r="D20" s="292"/>
      <c r="E20" s="293"/>
      <c r="F20" s="394"/>
      <c r="G20" s="394"/>
      <c r="H20" s="293"/>
      <c r="J20" s="38" t="str">
        <f>K20&amp;SD[[#This Row],[Insurer Code]]&amp;"; "&amp;L20&amp;SD[[#This Row],[Reporting Year]]&amp;"; "&amp;M20&amp;SD[[#This Row],[Market Code]]&amp;"; "&amp;N20&amp;SD[[#This Row],[Large Provider Entity Code]]</f>
        <v xml:space="preserve">Insurer Code ; Reporting Year ; Market Code ; Large Provider Entity Code </v>
      </c>
      <c r="K20" s="299" t="s">
        <v>197</v>
      </c>
      <c r="L20" s="299" t="s">
        <v>198</v>
      </c>
      <c r="M20" s="299" t="s">
        <v>227</v>
      </c>
      <c r="N20" s="299" t="s">
        <v>200</v>
      </c>
      <c r="O20" s="299"/>
      <c r="P20" s="299"/>
      <c r="Q20" s="299"/>
      <c r="R20" s="299"/>
      <c r="S20" s="299"/>
      <c r="T20" s="299"/>
      <c r="U20" s="299"/>
      <c r="V20" s="299"/>
      <c r="W20" s="299"/>
      <c r="X20" s="299"/>
    </row>
    <row r="21" spans="1:24" x14ac:dyDescent="0.4">
      <c r="A21" s="291"/>
      <c r="B21" s="292"/>
      <c r="C21" s="292"/>
      <c r="D21" s="292"/>
      <c r="E21" s="293"/>
      <c r="F21" s="394"/>
      <c r="G21" s="394"/>
      <c r="H21" s="293"/>
      <c r="J21" s="38" t="str">
        <f>K21&amp;SD[[#This Row],[Insurer Code]]&amp;"; "&amp;L21&amp;SD[[#This Row],[Reporting Year]]&amp;"; "&amp;M21&amp;SD[[#This Row],[Market Code]]&amp;"; "&amp;N21&amp;SD[[#This Row],[Large Provider Entity Code]]</f>
        <v xml:space="preserve">Insurer Code ; Reporting Year ; Market Code ; Large Provider Entity Code </v>
      </c>
      <c r="K21" s="299" t="s">
        <v>197</v>
      </c>
      <c r="L21" s="299" t="s">
        <v>198</v>
      </c>
      <c r="M21" s="299" t="s">
        <v>227</v>
      </c>
      <c r="N21" s="299" t="s">
        <v>200</v>
      </c>
      <c r="O21" s="299"/>
      <c r="P21" s="299"/>
      <c r="Q21" s="299"/>
      <c r="R21" s="299"/>
      <c r="S21" s="299"/>
      <c r="T21" s="299"/>
      <c r="U21" s="299"/>
      <c r="V21" s="299"/>
      <c r="W21" s="299"/>
      <c r="X21" s="299"/>
    </row>
    <row r="22" spans="1:24" x14ac:dyDescent="0.4">
      <c r="A22" s="291"/>
      <c r="B22" s="292"/>
      <c r="C22" s="292"/>
      <c r="D22" s="292"/>
      <c r="E22" s="293"/>
      <c r="F22" s="394"/>
      <c r="G22" s="394"/>
      <c r="H22" s="293"/>
      <c r="J22" s="38" t="str">
        <f>K22&amp;SD[[#This Row],[Insurer Code]]&amp;"; "&amp;L22&amp;SD[[#This Row],[Reporting Year]]&amp;"; "&amp;M22&amp;SD[[#This Row],[Market Code]]&amp;"; "&amp;N22&amp;SD[[#This Row],[Large Provider Entity Code]]</f>
        <v xml:space="preserve">Insurer Code ; Reporting Year ; Market Code ; Large Provider Entity Code </v>
      </c>
      <c r="K22" s="299" t="s">
        <v>197</v>
      </c>
      <c r="L22" s="299" t="s">
        <v>198</v>
      </c>
      <c r="M22" s="299" t="s">
        <v>227</v>
      </c>
      <c r="N22" s="299" t="s">
        <v>200</v>
      </c>
      <c r="O22" s="299"/>
      <c r="P22" s="299"/>
      <c r="Q22" s="299"/>
      <c r="R22" s="299"/>
      <c r="S22" s="299"/>
      <c r="T22" s="299"/>
      <c r="U22" s="299"/>
      <c r="V22" s="299"/>
      <c r="W22" s="299"/>
      <c r="X22" s="299"/>
    </row>
    <row r="23" spans="1:24" x14ac:dyDescent="0.4">
      <c r="A23" s="291"/>
      <c r="B23" s="292"/>
      <c r="C23" s="292"/>
      <c r="D23" s="292"/>
      <c r="E23" s="293"/>
      <c r="F23" s="394"/>
      <c r="G23" s="394"/>
      <c r="H23" s="293"/>
      <c r="J23" s="38" t="str">
        <f>K23&amp;SD[[#This Row],[Insurer Code]]&amp;"; "&amp;L23&amp;SD[[#This Row],[Reporting Year]]&amp;"; "&amp;M23&amp;SD[[#This Row],[Market Code]]&amp;"; "&amp;N23&amp;SD[[#This Row],[Large Provider Entity Code]]</f>
        <v xml:space="preserve">Insurer Code ; Reporting Year ; Market Code ; Large Provider Entity Code </v>
      </c>
      <c r="K23" s="299" t="s">
        <v>197</v>
      </c>
      <c r="L23" s="299" t="s">
        <v>198</v>
      </c>
      <c r="M23" s="299" t="s">
        <v>227</v>
      </c>
      <c r="N23" s="299" t="s">
        <v>200</v>
      </c>
      <c r="O23" s="299"/>
      <c r="P23" s="299"/>
      <c r="Q23" s="299"/>
      <c r="R23" s="299"/>
      <c r="S23" s="299"/>
      <c r="T23" s="299"/>
      <c r="U23" s="299"/>
      <c r="V23" s="299"/>
      <c r="W23" s="299"/>
      <c r="X23" s="299"/>
    </row>
    <row r="24" spans="1:24" x14ac:dyDescent="0.4">
      <c r="A24" s="291"/>
      <c r="B24" s="292"/>
      <c r="C24" s="292"/>
      <c r="D24" s="292"/>
      <c r="E24" s="293"/>
      <c r="F24" s="394"/>
      <c r="G24" s="394"/>
      <c r="H24" s="293"/>
      <c r="J24" s="38" t="str">
        <f>K24&amp;SD[[#This Row],[Insurer Code]]&amp;"; "&amp;L24&amp;SD[[#This Row],[Reporting Year]]&amp;"; "&amp;M24&amp;SD[[#This Row],[Market Code]]&amp;"; "&amp;N24&amp;SD[[#This Row],[Large Provider Entity Code]]</f>
        <v xml:space="preserve">Insurer Code ; Reporting Year ; Market Code ; Large Provider Entity Code </v>
      </c>
      <c r="K24" s="299" t="s">
        <v>197</v>
      </c>
      <c r="L24" s="299" t="s">
        <v>198</v>
      </c>
      <c r="M24" s="299" t="s">
        <v>227</v>
      </c>
      <c r="N24" s="299" t="s">
        <v>200</v>
      </c>
      <c r="O24" s="299"/>
      <c r="P24" s="299"/>
      <c r="Q24" s="299"/>
      <c r="R24" s="299"/>
      <c r="S24" s="299"/>
      <c r="T24" s="299"/>
      <c r="U24" s="299"/>
      <c r="V24" s="299"/>
      <c r="W24" s="299"/>
      <c r="X24" s="299"/>
    </row>
    <row r="25" spans="1:24" x14ac:dyDescent="0.4">
      <c r="A25" s="291"/>
      <c r="B25" s="292"/>
      <c r="C25" s="292"/>
      <c r="D25" s="292"/>
      <c r="E25" s="293"/>
      <c r="F25" s="394"/>
      <c r="G25" s="394"/>
      <c r="H25" s="293"/>
      <c r="J25" s="38" t="str">
        <f>K25&amp;SD[[#This Row],[Insurer Code]]&amp;"; "&amp;L25&amp;SD[[#This Row],[Reporting Year]]&amp;"; "&amp;M25&amp;SD[[#This Row],[Market Code]]&amp;"; "&amp;N25&amp;SD[[#This Row],[Large Provider Entity Code]]</f>
        <v xml:space="preserve">Insurer Code ; Reporting Year ; Market Code ; Large Provider Entity Code </v>
      </c>
      <c r="K25" s="299" t="s">
        <v>197</v>
      </c>
      <c r="L25" s="299" t="s">
        <v>198</v>
      </c>
      <c r="M25" s="299" t="s">
        <v>227</v>
      </c>
      <c r="N25" s="299" t="s">
        <v>200</v>
      </c>
      <c r="O25" s="299"/>
      <c r="P25" s="299"/>
      <c r="Q25" s="299"/>
      <c r="R25" s="299"/>
      <c r="S25" s="299"/>
      <c r="T25" s="299"/>
      <c r="U25" s="299"/>
      <c r="V25" s="299"/>
      <c r="W25" s="299"/>
      <c r="X25" s="299"/>
    </row>
    <row r="26" spans="1:24" x14ac:dyDescent="0.4">
      <c r="A26" s="291"/>
      <c r="B26" s="292"/>
      <c r="C26" s="292"/>
      <c r="D26" s="292"/>
      <c r="E26" s="293"/>
      <c r="F26" s="394"/>
      <c r="G26" s="394"/>
      <c r="H26" s="293"/>
      <c r="J26" s="38" t="str">
        <f>K26&amp;SD[[#This Row],[Insurer Code]]&amp;"; "&amp;L26&amp;SD[[#This Row],[Reporting Year]]&amp;"; "&amp;M26&amp;SD[[#This Row],[Market Code]]&amp;"; "&amp;N26&amp;SD[[#This Row],[Large Provider Entity Code]]</f>
        <v xml:space="preserve">Insurer Code ; Reporting Year ; Market Code ; Large Provider Entity Code </v>
      </c>
      <c r="K26" s="299" t="s">
        <v>197</v>
      </c>
      <c r="L26" s="299" t="s">
        <v>198</v>
      </c>
      <c r="M26" s="299" t="s">
        <v>227</v>
      </c>
      <c r="N26" s="299" t="s">
        <v>200</v>
      </c>
      <c r="O26" s="299"/>
      <c r="P26" s="299"/>
      <c r="Q26" s="299"/>
      <c r="R26" s="299"/>
      <c r="S26" s="299"/>
      <c r="T26" s="299"/>
      <c r="U26" s="299"/>
      <c r="V26" s="299"/>
      <c r="W26" s="299"/>
      <c r="X26" s="299"/>
    </row>
    <row r="27" spans="1:24" x14ac:dyDescent="0.4">
      <c r="A27" s="291"/>
      <c r="B27" s="292"/>
      <c r="C27" s="292"/>
      <c r="D27" s="292"/>
      <c r="E27" s="293"/>
      <c r="F27" s="394"/>
      <c r="G27" s="394"/>
      <c r="H27" s="293"/>
      <c r="J27" s="38" t="str">
        <f>K27&amp;SD[[#This Row],[Insurer Code]]&amp;"; "&amp;L27&amp;SD[[#This Row],[Reporting Year]]&amp;"; "&amp;M27&amp;SD[[#This Row],[Market Code]]&amp;"; "&amp;N27&amp;SD[[#This Row],[Large Provider Entity Code]]</f>
        <v xml:space="preserve">Insurer Code ; Reporting Year ; Market Code ; Large Provider Entity Code </v>
      </c>
      <c r="K27" s="299" t="s">
        <v>197</v>
      </c>
      <c r="L27" s="299" t="s">
        <v>198</v>
      </c>
      <c r="M27" s="299" t="s">
        <v>227</v>
      </c>
      <c r="N27" s="299" t="s">
        <v>200</v>
      </c>
      <c r="O27" s="299"/>
      <c r="P27" s="299"/>
      <c r="Q27" s="299"/>
      <c r="R27" s="299"/>
      <c r="S27" s="299"/>
      <c r="T27" s="299"/>
      <c r="U27" s="299"/>
      <c r="V27" s="299"/>
      <c r="W27" s="299"/>
      <c r="X27" s="299"/>
    </row>
    <row r="28" spans="1:24" x14ac:dyDescent="0.4">
      <c r="A28" s="291"/>
      <c r="B28" s="292"/>
      <c r="C28" s="292"/>
      <c r="D28" s="292"/>
      <c r="E28" s="293"/>
      <c r="F28" s="394"/>
      <c r="G28" s="394"/>
      <c r="H28" s="293"/>
      <c r="J28" s="38" t="str">
        <f>K28&amp;SD[[#This Row],[Insurer Code]]&amp;"; "&amp;L28&amp;SD[[#This Row],[Reporting Year]]&amp;"; "&amp;M28&amp;SD[[#This Row],[Market Code]]&amp;"; "&amp;N28&amp;SD[[#This Row],[Large Provider Entity Code]]</f>
        <v xml:space="preserve">Insurer Code ; Reporting Year ; Market Code ; Large Provider Entity Code </v>
      </c>
      <c r="K28" s="299" t="s">
        <v>197</v>
      </c>
      <c r="L28" s="299" t="s">
        <v>198</v>
      </c>
      <c r="M28" s="299" t="s">
        <v>227</v>
      </c>
      <c r="N28" s="299" t="s">
        <v>200</v>
      </c>
      <c r="O28" s="299"/>
      <c r="P28" s="299"/>
      <c r="Q28" s="299"/>
      <c r="R28" s="299"/>
      <c r="S28" s="299"/>
      <c r="T28" s="299"/>
      <c r="U28" s="299"/>
      <c r="V28" s="299"/>
      <c r="W28" s="299"/>
      <c r="X28" s="299"/>
    </row>
    <row r="29" spans="1:24" x14ac:dyDescent="0.4">
      <c r="A29" s="291"/>
      <c r="B29" s="292"/>
      <c r="C29" s="292"/>
      <c r="D29" s="292"/>
      <c r="E29" s="293"/>
      <c r="F29" s="394"/>
      <c r="G29" s="394"/>
      <c r="H29" s="293"/>
      <c r="J29" s="38" t="str">
        <f>K29&amp;SD[[#This Row],[Insurer Code]]&amp;"; "&amp;L29&amp;SD[[#This Row],[Reporting Year]]&amp;"; "&amp;M29&amp;SD[[#This Row],[Market Code]]&amp;"; "&amp;N29&amp;SD[[#This Row],[Large Provider Entity Code]]</f>
        <v xml:space="preserve">Insurer Code ; Reporting Year ; Market Code ; Large Provider Entity Code </v>
      </c>
      <c r="K29" s="299" t="s">
        <v>197</v>
      </c>
      <c r="L29" s="299" t="s">
        <v>198</v>
      </c>
      <c r="M29" s="299" t="s">
        <v>227</v>
      </c>
      <c r="N29" s="299" t="s">
        <v>200</v>
      </c>
      <c r="O29" s="299"/>
      <c r="P29" s="299"/>
      <c r="Q29" s="299"/>
      <c r="R29" s="299"/>
      <c r="S29" s="299"/>
      <c r="T29" s="299"/>
      <c r="U29" s="299"/>
      <c r="V29" s="299"/>
      <c r="W29" s="299"/>
      <c r="X29" s="299"/>
    </row>
    <row r="30" spans="1:24" x14ac:dyDescent="0.4">
      <c r="A30" s="291"/>
      <c r="B30" s="292"/>
      <c r="C30" s="292"/>
      <c r="D30" s="292"/>
      <c r="E30" s="293"/>
      <c r="F30" s="394"/>
      <c r="G30" s="394"/>
      <c r="H30" s="293"/>
      <c r="J30" s="38" t="str">
        <f>K30&amp;SD[[#This Row],[Insurer Code]]&amp;"; "&amp;L30&amp;SD[[#This Row],[Reporting Year]]&amp;"; "&amp;M30&amp;SD[[#This Row],[Market Code]]&amp;"; "&amp;N30&amp;SD[[#This Row],[Large Provider Entity Code]]</f>
        <v xml:space="preserve">Insurer Code ; Reporting Year ; Market Code ; Large Provider Entity Code </v>
      </c>
      <c r="K30" s="299" t="s">
        <v>197</v>
      </c>
      <c r="L30" s="299" t="s">
        <v>198</v>
      </c>
      <c r="M30" s="299" t="s">
        <v>227</v>
      </c>
      <c r="N30" s="299" t="s">
        <v>200</v>
      </c>
      <c r="O30" s="299"/>
      <c r="P30" s="299"/>
      <c r="Q30" s="299"/>
      <c r="R30" s="299"/>
      <c r="S30" s="299"/>
      <c r="T30" s="299"/>
      <c r="U30" s="299"/>
      <c r="V30" s="299"/>
      <c r="W30" s="299"/>
      <c r="X30" s="299"/>
    </row>
    <row r="31" spans="1:24" x14ac:dyDescent="0.4">
      <c r="A31" s="291"/>
      <c r="B31" s="292"/>
      <c r="C31" s="292"/>
      <c r="D31" s="292"/>
      <c r="E31" s="293"/>
      <c r="F31" s="394"/>
      <c r="G31" s="394"/>
      <c r="H31" s="293"/>
      <c r="J31" s="38" t="str">
        <f>K31&amp;SD[[#This Row],[Insurer Code]]&amp;"; "&amp;L31&amp;SD[[#This Row],[Reporting Year]]&amp;"; "&amp;M31&amp;SD[[#This Row],[Market Code]]&amp;"; "&amp;N31&amp;SD[[#This Row],[Large Provider Entity Code]]</f>
        <v xml:space="preserve">Insurer Code ; Reporting Year ; Market Code ; Large Provider Entity Code </v>
      </c>
      <c r="K31" s="299" t="s">
        <v>197</v>
      </c>
      <c r="L31" s="299" t="s">
        <v>198</v>
      </c>
      <c r="M31" s="299" t="s">
        <v>227</v>
      </c>
      <c r="N31" s="299" t="s">
        <v>200</v>
      </c>
      <c r="O31" s="299"/>
      <c r="P31" s="299"/>
      <c r="Q31" s="299"/>
      <c r="R31" s="299"/>
      <c r="S31" s="299"/>
      <c r="T31" s="299"/>
      <c r="U31" s="299"/>
      <c r="V31" s="299"/>
      <c r="W31" s="299"/>
      <c r="X31" s="299"/>
    </row>
    <row r="32" spans="1:24" x14ac:dyDescent="0.4">
      <c r="A32" s="291"/>
      <c r="B32" s="292"/>
      <c r="C32" s="292"/>
      <c r="D32" s="292"/>
      <c r="E32" s="293"/>
      <c r="F32" s="394"/>
      <c r="G32" s="394"/>
      <c r="H32" s="293"/>
      <c r="J32" s="38" t="str">
        <f>K32&amp;SD[[#This Row],[Insurer Code]]&amp;"; "&amp;L32&amp;SD[[#This Row],[Reporting Year]]&amp;"; "&amp;M32&amp;SD[[#This Row],[Market Code]]&amp;"; "&amp;N32&amp;SD[[#This Row],[Large Provider Entity Code]]</f>
        <v xml:space="preserve">Insurer Code ; Reporting Year ; Market Code ; Large Provider Entity Code </v>
      </c>
      <c r="K32" s="299" t="s">
        <v>197</v>
      </c>
      <c r="L32" s="299" t="s">
        <v>198</v>
      </c>
      <c r="M32" s="299" t="s">
        <v>227</v>
      </c>
      <c r="N32" s="299" t="s">
        <v>200</v>
      </c>
      <c r="O32" s="299"/>
      <c r="P32" s="299"/>
      <c r="Q32" s="299"/>
      <c r="R32" s="299"/>
      <c r="S32" s="299"/>
      <c r="T32" s="299"/>
      <c r="U32" s="299"/>
      <c r="V32" s="299"/>
      <c r="W32" s="299"/>
      <c r="X32" s="299"/>
    </row>
    <row r="33" spans="1:24" x14ac:dyDescent="0.4">
      <c r="A33" s="291"/>
      <c r="B33" s="292"/>
      <c r="C33" s="292"/>
      <c r="D33" s="292"/>
      <c r="E33" s="293"/>
      <c r="F33" s="394"/>
      <c r="G33" s="394"/>
      <c r="H33" s="293"/>
      <c r="J33" s="38" t="str">
        <f>K33&amp;SD[[#This Row],[Insurer Code]]&amp;"; "&amp;L33&amp;SD[[#This Row],[Reporting Year]]&amp;"; "&amp;M33&amp;SD[[#This Row],[Market Code]]&amp;"; "&amp;N33&amp;SD[[#This Row],[Large Provider Entity Code]]</f>
        <v xml:space="preserve">Insurer Code ; Reporting Year ; Market Code ; Large Provider Entity Code </v>
      </c>
      <c r="K33" s="299" t="s">
        <v>197</v>
      </c>
      <c r="L33" s="299" t="s">
        <v>198</v>
      </c>
      <c r="M33" s="299" t="s">
        <v>227</v>
      </c>
      <c r="N33" s="299" t="s">
        <v>200</v>
      </c>
      <c r="O33" s="299"/>
      <c r="P33" s="299"/>
      <c r="Q33" s="299"/>
      <c r="R33" s="299"/>
      <c r="S33" s="299"/>
      <c r="T33" s="299"/>
      <c r="U33" s="299"/>
      <c r="V33" s="299"/>
      <c r="W33" s="299"/>
      <c r="X33" s="299"/>
    </row>
    <row r="34" spans="1:24" x14ac:dyDescent="0.4">
      <c r="A34" s="291"/>
      <c r="B34" s="292"/>
      <c r="C34" s="292"/>
      <c r="D34" s="292"/>
      <c r="E34" s="293"/>
      <c r="F34" s="394"/>
      <c r="G34" s="394"/>
      <c r="H34" s="293"/>
      <c r="J34" s="38" t="str">
        <f>K34&amp;SD[[#This Row],[Insurer Code]]&amp;"; "&amp;L34&amp;SD[[#This Row],[Reporting Year]]&amp;"; "&amp;M34&amp;SD[[#This Row],[Market Code]]&amp;"; "&amp;N34&amp;SD[[#This Row],[Large Provider Entity Code]]</f>
        <v xml:space="preserve">Insurer Code ; Reporting Year ; Market Code ; Large Provider Entity Code </v>
      </c>
      <c r="K34" s="299" t="s">
        <v>197</v>
      </c>
      <c r="L34" s="299" t="s">
        <v>198</v>
      </c>
      <c r="M34" s="299" t="s">
        <v>227</v>
      </c>
      <c r="N34" s="299" t="s">
        <v>200</v>
      </c>
      <c r="O34" s="299"/>
      <c r="P34" s="299"/>
      <c r="Q34" s="299"/>
      <c r="R34" s="299"/>
      <c r="S34" s="299"/>
      <c r="T34" s="299"/>
      <c r="U34" s="299"/>
      <c r="V34" s="299"/>
      <c r="W34" s="299"/>
      <c r="X34" s="299"/>
    </row>
    <row r="35" spans="1:24" x14ac:dyDescent="0.4">
      <c r="A35" s="291"/>
      <c r="B35" s="292"/>
      <c r="C35" s="292"/>
      <c r="D35" s="292"/>
      <c r="E35" s="293"/>
      <c r="F35" s="394"/>
      <c r="G35" s="394"/>
      <c r="H35" s="293"/>
      <c r="J35" s="38" t="str">
        <f>K35&amp;SD[[#This Row],[Insurer Code]]&amp;"; "&amp;L35&amp;SD[[#This Row],[Reporting Year]]&amp;"; "&amp;M35&amp;SD[[#This Row],[Market Code]]&amp;"; "&amp;N35&amp;SD[[#This Row],[Large Provider Entity Code]]</f>
        <v xml:space="preserve">Insurer Code ; Reporting Year ; Market Code ; Large Provider Entity Code </v>
      </c>
      <c r="K35" s="299" t="s">
        <v>197</v>
      </c>
      <c r="L35" s="299" t="s">
        <v>198</v>
      </c>
      <c r="M35" s="299" t="s">
        <v>227</v>
      </c>
      <c r="N35" s="299" t="s">
        <v>200</v>
      </c>
      <c r="O35" s="299"/>
      <c r="P35" s="299"/>
      <c r="Q35" s="299"/>
      <c r="R35" s="299"/>
      <c r="S35" s="299"/>
      <c r="T35" s="299"/>
      <c r="U35" s="299"/>
      <c r="V35" s="299"/>
      <c r="W35" s="299"/>
      <c r="X35" s="299"/>
    </row>
    <row r="36" spans="1:24" x14ac:dyDescent="0.4">
      <c r="A36" s="291"/>
      <c r="B36" s="292"/>
      <c r="C36" s="292"/>
      <c r="D36" s="292"/>
      <c r="E36" s="293"/>
      <c r="F36" s="394"/>
      <c r="G36" s="394"/>
      <c r="H36" s="293"/>
      <c r="J36" s="38" t="str">
        <f>K36&amp;SD[[#This Row],[Insurer Code]]&amp;"; "&amp;L36&amp;SD[[#This Row],[Reporting Year]]&amp;"; "&amp;M36&amp;SD[[#This Row],[Market Code]]&amp;"; "&amp;N36&amp;SD[[#This Row],[Large Provider Entity Code]]</f>
        <v xml:space="preserve">Insurer Code ; Reporting Year ; Market Code ; Large Provider Entity Code </v>
      </c>
      <c r="K36" s="299" t="s">
        <v>197</v>
      </c>
      <c r="L36" s="299" t="s">
        <v>198</v>
      </c>
      <c r="M36" s="299" t="s">
        <v>227</v>
      </c>
      <c r="N36" s="299" t="s">
        <v>200</v>
      </c>
      <c r="O36" s="299"/>
      <c r="P36" s="299"/>
      <c r="Q36" s="299"/>
      <c r="R36" s="299"/>
      <c r="S36" s="299"/>
      <c r="T36" s="299"/>
      <c r="U36" s="299"/>
      <c r="V36" s="299"/>
      <c r="W36" s="299"/>
      <c r="X36" s="299"/>
    </row>
    <row r="37" spans="1:24" x14ac:dyDescent="0.4">
      <c r="A37" s="291"/>
      <c r="B37" s="292"/>
      <c r="C37" s="292"/>
      <c r="D37" s="292"/>
      <c r="E37" s="293"/>
      <c r="F37" s="394"/>
      <c r="G37" s="394"/>
      <c r="H37" s="293"/>
      <c r="J37" s="38" t="str">
        <f>K37&amp;SD[[#This Row],[Insurer Code]]&amp;"; "&amp;L37&amp;SD[[#This Row],[Reporting Year]]&amp;"; "&amp;M37&amp;SD[[#This Row],[Market Code]]&amp;"; "&amp;N37&amp;SD[[#This Row],[Large Provider Entity Code]]</f>
        <v xml:space="preserve">Insurer Code ; Reporting Year ; Market Code ; Large Provider Entity Code </v>
      </c>
      <c r="K37" s="299" t="s">
        <v>197</v>
      </c>
      <c r="L37" s="299" t="s">
        <v>198</v>
      </c>
      <c r="M37" s="299" t="s">
        <v>227</v>
      </c>
      <c r="N37" s="299" t="s">
        <v>200</v>
      </c>
      <c r="O37" s="299"/>
      <c r="P37" s="299"/>
      <c r="Q37" s="299"/>
      <c r="R37" s="299"/>
      <c r="S37" s="299"/>
      <c r="T37" s="299"/>
      <c r="U37" s="299"/>
      <c r="V37" s="299"/>
      <c r="W37" s="299"/>
      <c r="X37" s="299"/>
    </row>
    <row r="38" spans="1:24" x14ac:dyDescent="0.4">
      <c r="A38" s="291"/>
      <c r="B38" s="292"/>
      <c r="C38" s="292"/>
      <c r="D38" s="292"/>
      <c r="E38" s="293"/>
      <c r="F38" s="394"/>
      <c r="G38" s="394"/>
      <c r="H38" s="293"/>
      <c r="J38" s="38" t="str">
        <f>K38&amp;SD[[#This Row],[Insurer Code]]&amp;"; "&amp;L38&amp;SD[[#This Row],[Reporting Year]]&amp;"; "&amp;M38&amp;SD[[#This Row],[Market Code]]&amp;"; "&amp;N38&amp;SD[[#This Row],[Large Provider Entity Code]]</f>
        <v xml:space="preserve">Insurer Code ; Reporting Year ; Market Code ; Large Provider Entity Code </v>
      </c>
      <c r="K38" s="299" t="s">
        <v>197</v>
      </c>
      <c r="L38" s="299" t="s">
        <v>198</v>
      </c>
      <c r="M38" s="299" t="s">
        <v>227</v>
      </c>
      <c r="N38" s="299" t="s">
        <v>200</v>
      </c>
      <c r="O38" s="299"/>
      <c r="P38" s="299"/>
      <c r="Q38" s="299"/>
      <c r="R38" s="299"/>
      <c r="S38" s="299"/>
      <c r="T38" s="299"/>
      <c r="U38" s="299"/>
      <c r="V38" s="299"/>
      <c r="W38" s="299"/>
      <c r="X38" s="299"/>
    </row>
    <row r="39" spans="1:24" x14ac:dyDescent="0.4">
      <c r="A39" s="291"/>
      <c r="B39" s="292"/>
      <c r="C39" s="292"/>
      <c r="D39" s="292"/>
      <c r="E39" s="293"/>
      <c r="F39" s="394"/>
      <c r="G39" s="394"/>
      <c r="H39" s="293"/>
      <c r="J39" s="38" t="str">
        <f>K39&amp;SD[[#This Row],[Insurer Code]]&amp;"; "&amp;L39&amp;SD[[#This Row],[Reporting Year]]&amp;"; "&amp;M39&amp;SD[[#This Row],[Market Code]]&amp;"; "&amp;N39&amp;SD[[#This Row],[Large Provider Entity Code]]</f>
        <v xml:space="preserve">Insurer Code ; Reporting Year ; Market Code ; Large Provider Entity Code </v>
      </c>
      <c r="K39" s="299" t="s">
        <v>197</v>
      </c>
      <c r="L39" s="299" t="s">
        <v>198</v>
      </c>
      <c r="M39" s="299" t="s">
        <v>227</v>
      </c>
      <c r="N39" s="299" t="s">
        <v>200</v>
      </c>
      <c r="O39" s="299"/>
      <c r="P39" s="299"/>
      <c r="Q39" s="299"/>
      <c r="R39" s="299"/>
      <c r="S39" s="299"/>
      <c r="T39" s="299"/>
      <c r="U39" s="299"/>
      <c r="V39" s="299"/>
      <c r="W39" s="299"/>
      <c r="X39" s="299"/>
    </row>
    <row r="40" spans="1:24" x14ac:dyDescent="0.4">
      <c r="A40" s="291"/>
      <c r="B40" s="292"/>
      <c r="C40" s="292"/>
      <c r="D40" s="292"/>
      <c r="E40" s="293"/>
      <c r="F40" s="394"/>
      <c r="G40" s="394"/>
      <c r="H40" s="293"/>
      <c r="J40" s="38" t="str">
        <f>K40&amp;SD[[#This Row],[Insurer Code]]&amp;"; "&amp;L40&amp;SD[[#This Row],[Reporting Year]]&amp;"; "&amp;M40&amp;SD[[#This Row],[Market Code]]&amp;"; "&amp;N40&amp;SD[[#This Row],[Large Provider Entity Code]]</f>
        <v xml:space="preserve">Insurer Code ; Reporting Year ; Market Code ; Large Provider Entity Code </v>
      </c>
      <c r="K40" s="299" t="s">
        <v>197</v>
      </c>
      <c r="L40" s="299" t="s">
        <v>198</v>
      </c>
      <c r="M40" s="299" t="s">
        <v>227</v>
      </c>
      <c r="N40" s="299" t="s">
        <v>200</v>
      </c>
      <c r="O40" s="299"/>
      <c r="P40" s="299"/>
      <c r="Q40" s="299"/>
      <c r="R40" s="299"/>
      <c r="S40" s="299"/>
      <c r="T40" s="299"/>
      <c r="U40" s="299"/>
      <c r="V40" s="299"/>
      <c r="W40" s="299"/>
      <c r="X40" s="299"/>
    </row>
    <row r="41" spans="1:24" x14ac:dyDescent="0.4">
      <c r="A41" s="291"/>
      <c r="B41" s="292"/>
      <c r="C41" s="292"/>
      <c r="D41" s="292"/>
      <c r="E41" s="293"/>
      <c r="F41" s="394"/>
      <c r="G41" s="394"/>
      <c r="H41" s="293"/>
      <c r="J41" s="38" t="str">
        <f>K41&amp;SD[[#This Row],[Insurer Code]]&amp;"; "&amp;L41&amp;SD[[#This Row],[Reporting Year]]&amp;"; "&amp;M41&amp;SD[[#This Row],[Market Code]]&amp;"; "&amp;N41&amp;SD[[#This Row],[Large Provider Entity Code]]</f>
        <v xml:space="preserve">Insurer Code ; Reporting Year ; Market Code ; Large Provider Entity Code </v>
      </c>
      <c r="K41" s="299" t="s">
        <v>197</v>
      </c>
      <c r="L41" s="299" t="s">
        <v>198</v>
      </c>
      <c r="M41" s="299" t="s">
        <v>227</v>
      </c>
      <c r="N41" s="299" t="s">
        <v>200</v>
      </c>
      <c r="O41" s="299"/>
      <c r="P41" s="299"/>
      <c r="Q41" s="299"/>
      <c r="R41" s="299"/>
      <c r="S41" s="299"/>
      <c r="T41" s="299"/>
      <c r="U41" s="299"/>
      <c r="V41" s="299"/>
      <c r="W41" s="299"/>
      <c r="X41" s="299"/>
    </row>
    <row r="42" spans="1:24" x14ac:dyDescent="0.4">
      <c r="A42" s="291"/>
      <c r="B42" s="292"/>
      <c r="C42" s="292"/>
      <c r="D42" s="292"/>
      <c r="E42" s="293"/>
      <c r="F42" s="394"/>
      <c r="G42" s="394"/>
      <c r="H42" s="293"/>
      <c r="J42" s="38" t="str">
        <f>K42&amp;SD[[#This Row],[Insurer Code]]&amp;"; "&amp;L42&amp;SD[[#This Row],[Reporting Year]]&amp;"; "&amp;M42&amp;SD[[#This Row],[Market Code]]&amp;"; "&amp;N42&amp;SD[[#This Row],[Large Provider Entity Code]]</f>
        <v xml:space="preserve">Insurer Code ; Reporting Year ; Market Code ; Large Provider Entity Code </v>
      </c>
      <c r="K42" s="299" t="s">
        <v>197</v>
      </c>
      <c r="L42" s="299" t="s">
        <v>198</v>
      </c>
      <c r="M42" s="299" t="s">
        <v>227</v>
      </c>
      <c r="N42" s="299" t="s">
        <v>200</v>
      </c>
      <c r="O42" s="299"/>
      <c r="P42" s="299"/>
      <c r="Q42" s="299"/>
      <c r="R42" s="299"/>
      <c r="S42" s="299"/>
      <c r="T42" s="299"/>
      <c r="U42" s="299"/>
      <c r="V42" s="299"/>
      <c r="W42" s="299"/>
      <c r="X42" s="299"/>
    </row>
    <row r="43" spans="1:24" x14ac:dyDescent="0.4">
      <c r="A43" s="291"/>
      <c r="B43" s="292"/>
      <c r="C43" s="292"/>
      <c r="D43" s="292"/>
      <c r="E43" s="293"/>
      <c r="F43" s="394"/>
      <c r="G43" s="394"/>
      <c r="H43" s="293"/>
      <c r="J43" s="38" t="str">
        <f>K43&amp;SD[[#This Row],[Insurer Code]]&amp;"; "&amp;L43&amp;SD[[#This Row],[Reporting Year]]&amp;"; "&amp;M43&amp;SD[[#This Row],[Market Code]]&amp;"; "&amp;N43&amp;SD[[#This Row],[Large Provider Entity Code]]</f>
        <v xml:space="preserve">Insurer Code ; Reporting Year ; Market Code ; Large Provider Entity Code </v>
      </c>
      <c r="K43" s="299" t="s">
        <v>197</v>
      </c>
      <c r="L43" s="299" t="s">
        <v>198</v>
      </c>
      <c r="M43" s="299" t="s">
        <v>227</v>
      </c>
      <c r="N43" s="299" t="s">
        <v>200</v>
      </c>
      <c r="O43" s="299"/>
      <c r="P43" s="299"/>
      <c r="Q43" s="299"/>
      <c r="R43" s="299"/>
      <c r="S43" s="299"/>
      <c r="T43" s="299"/>
      <c r="U43" s="299"/>
      <c r="V43" s="299"/>
      <c r="W43" s="299"/>
      <c r="X43" s="299"/>
    </row>
    <row r="44" spans="1:24" x14ac:dyDescent="0.4">
      <c r="A44" s="291"/>
      <c r="B44" s="292"/>
      <c r="C44" s="292"/>
      <c r="D44" s="292"/>
      <c r="E44" s="293"/>
      <c r="F44" s="394"/>
      <c r="G44" s="394"/>
      <c r="H44" s="293"/>
      <c r="J44" s="38" t="str">
        <f>K44&amp;SD[[#This Row],[Insurer Code]]&amp;"; "&amp;L44&amp;SD[[#This Row],[Reporting Year]]&amp;"; "&amp;M44&amp;SD[[#This Row],[Market Code]]&amp;"; "&amp;N44&amp;SD[[#This Row],[Large Provider Entity Code]]</f>
        <v xml:space="preserve">Insurer Code ; Reporting Year ; Market Code ; Large Provider Entity Code </v>
      </c>
      <c r="K44" s="299" t="s">
        <v>197</v>
      </c>
      <c r="L44" s="299" t="s">
        <v>198</v>
      </c>
      <c r="M44" s="299" t="s">
        <v>227</v>
      </c>
      <c r="N44" s="299" t="s">
        <v>200</v>
      </c>
      <c r="O44" s="299"/>
      <c r="P44" s="299"/>
      <c r="Q44" s="299"/>
      <c r="R44" s="299"/>
      <c r="S44" s="299"/>
      <c r="T44" s="299"/>
      <c r="U44" s="299"/>
      <c r="V44" s="299"/>
      <c r="W44" s="299"/>
      <c r="X44" s="299"/>
    </row>
    <row r="45" spans="1:24" x14ac:dyDescent="0.4">
      <c r="A45" s="291"/>
      <c r="B45" s="292"/>
      <c r="C45" s="292"/>
      <c r="D45" s="292"/>
      <c r="E45" s="293"/>
      <c r="F45" s="394"/>
      <c r="G45" s="394"/>
      <c r="H45" s="293"/>
      <c r="J45" s="38" t="str">
        <f>K45&amp;SD[[#This Row],[Insurer Code]]&amp;"; "&amp;L45&amp;SD[[#This Row],[Reporting Year]]&amp;"; "&amp;M45&amp;SD[[#This Row],[Market Code]]&amp;"; "&amp;N45&amp;SD[[#This Row],[Large Provider Entity Code]]</f>
        <v xml:space="preserve">Insurer Code ; Reporting Year ; Market Code ; Large Provider Entity Code </v>
      </c>
      <c r="K45" s="299" t="s">
        <v>197</v>
      </c>
      <c r="L45" s="299" t="s">
        <v>198</v>
      </c>
      <c r="M45" s="299" t="s">
        <v>227</v>
      </c>
      <c r="N45" s="299" t="s">
        <v>200</v>
      </c>
      <c r="O45" s="299"/>
      <c r="P45" s="299"/>
      <c r="Q45" s="299"/>
      <c r="R45" s="299"/>
      <c r="S45" s="299"/>
      <c r="T45" s="299"/>
      <c r="U45" s="299"/>
      <c r="V45" s="299"/>
      <c r="W45" s="299"/>
      <c r="X45" s="299"/>
    </row>
    <row r="46" spans="1:24" x14ac:dyDescent="0.4">
      <c r="A46" s="291"/>
      <c r="B46" s="292"/>
      <c r="C46" s="292"/>
      <c r="D46" s="292"/>
      <c r="E46" s="293"/>
      <c r="F46" s="394"/>
      <c r="G46" s="394"/>
      <c r="H46" s="293"/>
      <c r="J46" s="38" t="str">
        <f>K46&amp;SD[[#This Row],[Insurer Code]]&amp;"; "&amp;L46&amp;SD[[#This Row],[Reporting Year]]&amp;"; "&amp;M46&amp;SD[[#This Row],[Market Code]]&amp;"; "&amp;N46&amp;SD[[#This Row],[Large Provider Entity Code]]</f>
        <v xml:space="preserve">Insurer Code ; Reporting Year ; Market Code ; Large Provider Entity Code </v>
      </c>
      <c r="K46" s="299" t="s">
        <v>197</v>
      </c>
      <c r="L46" s="299" t="s">
        <v>198</v>
      </c>
      <c r="M46" s="299" t="s">
        <v>227</v>
      </c>
      <c r="N46" s="299" t="s">
        <v>200</v>
      </c>
      <c r="O46" s="299"/>
      <c r="P46" s="299"/>
      <c r="Q46" s="299"/>
      <c r="R46" s="299"/>
      <c r="S46" s="299"/>
      <c r="T46" s="299"/>
      <c r="U46" s="299"/>
      <c r="V46" s="299"/>
      <c r="W46" s="299"/>
      <c r="X46" s="299"/>
    </row>
    <row r="47" spans="1:24" x14ac:dyDescent="0.4">
      <c r="A47" s="291"/>
      <c r="B47" s="292"/>
      <c r="C47" s="292"/>
      <c r="D47" s="292"/>
      <c r="E47" s="293"/>
      <c r="F47" s="394"/>
      <c r="G47" s="394"/>
      <c r="H47" s="293"/>
      <c r="J47" s="38" t="str">
        <f>K47&amp;SD[[#This Row],[Insurer Code]]&amp;"; "&amp;L47&amp;SD[[#This Row],[Reporting Year]]&amp;"; "&amp;M47&amp;SD[[#This Row],[Market Code]]&amp;"; "&amp;N47&amp;SD[[#This Row],[Large Provider Entity Code]]</f>
        <v xml:space="preserve">Insurer Code ; Reporting Year ; Market Code ; Large Provider Entity Code </v>
      </c>
      <c r="K47" s="299" t="s">
        <v>197</v>
      </c>
      <c r="L47" s="299" t="s">
        <v>198</v>
      </c>
      <c r="M47" s="299" t="s">
        <v>227</v>
      </c>
      <c r="N47" s="299" t="s">
        <v>200</v>
      </c>
      <c r="O47" s="299"/>
      <c r="P47" s="299"/>
      <c r="Q47" s="299"/>
      <c r="R47" s="299"/>
      <c r="S47" s="299"/>
      <c r="T47" s="299"/>
      <c r="U47" s="299"/>
      <c r="V47" s="299"/>
      <c r="W47" s="299"/>
      <c r="X47" s="299"/>
    </row>
    <row r="48" spans="1:24" x14ac:dyDescent="0.4">
      <c r="A48" s="291"/>
      <c r="B48" s="292"/>
      <c r="C48" s="292"/>
      <c r="D48" s="292"/>
      <c r="E48" s="293"/>
      <c r="F48" s="394"/>
      <c r="G48" s="394"/>
      <c r="H48" s="293"/>
      <c r="J48" s="38" t="str">
        <f>K48&amp;SD[[#This Row],[Insurer Code]]&amp;"; "&amp;L48&amp;SD[[#This Row],[Reporting Year]]&amp;"; "&amp;M48&amp;SD[[#This Row],[Market Code]]&amp;"; "&amp;N48&amp;SD[[#This Row],[Large Provider Entity Code]]</f>
        <v xml:space="preserve">Insurer Code ; Reporting Year ; Market Code ; Large Provider Entity Code </v>
      </c>
      <c r="K48" s="299" t="s">
        <v>197</v>
      </c>
      <c r="L48" s="299" t="s">
        <v>198</v>
      </c>
      <c r="M48" s="299" t="s">
        <v>227</v>
      </c>
      <c r="N48" s="299" t="s">
        <v>200</v>
      </c>
      <c r="O48" s="299"/>
      <c r="P48" s="299"/>
      <c r="Q48" s="299"/>
      <c r="R48" s="299"/>
      <c r="S48" s="299"/>
      <c r="T48" s="299"/>
      <c r="U48" s="299"/>
      <c r="V48" s="299"/>
      <c r="W48" s="299"/>
      <c r="X48" s="299"/>
    </row>
    <row r="49" spans="1:24" x14ac:dyDescent="0.4">
      <c r="A49" s="291"/>
      <c r="B49" s="292"/>
      <c r="C49" s="292"/>
      <c r="D49" s="292"/>
      <c r="E49" s="293"/>
      <c r="F49" s="394"/>
      <c r="G49" s="394"/>
      <c r="H49" s="293"/>
      <c r="J49" s="38" t="str">
        <f>K49&amp;SD[[#This Row],[Insurer Code]]&amp;"; "&amp;L49&amp;SD[[#This Row],[Reporting Year]]&amp;"; "&amp;M49&amp;SD[[#This Row],[Market Code]]&amp;"; "&amp;N49&amp;SD[[#This Row],[Large Provider Entity Code]]</f>
        <v xml:space="preserve">Insurer Code ; Reporting Year ; Market Code ; Large Provider Entity Code </v>
      </c>
      <c r="K49" s="299" t="s">
        <v>197</v>
      </c>
      <c r="L49" s="299" t="s">
        <v>198</v>
      </c>
      <c r="M49" s="299" t="s">
        <v>227</v>
      </c>
      <c r="N49" s="299" t="s">
        <v>200</v>
      </c>
      <c r="O49" s="299"/>
      <c r="P49" s="299"/>
      <c r="Q49" s="299"/>
      <c r="R49" s="299"/>
      <c r="S49" s="299"/>
      <c r="T49" s="299"/>
      <c r="U49" s="299"/>
      <c r="V49" s="299"/>
      <c r="W49" s="299"/>
      <c r="X49" s="299"/>
    </row>
    <row r="50" spans="1:24" x14ac:dyDescent="0.4">
      <c r="A50" s="291"/>
      <c r="B50" s="292"/>
      <c r="C50" s="292"/>
      <c r="D50" s="292"/>
      <c r="E50" s="293"/>
      <c r="F50" s="394"/>
      <c r="G50" s="394"/>
      <c r="H50" s="293"/>
      <c r="J50" s="38" t="str">
        <f>K50&amp;SD[[#This Row],[Insurer Code]]&amp;"; "&amp;L50&amp;SD[[#This Row],[Reporting Year]]&amp;"; "&amp;M50&amp;SD[[#This Row],[Market Code]]&amp;"; "&amp;N50&amp;SD[[#This Row],[Large Provider Entity Code]]</f>
        <v xml:space="preserve">Insurer Code ; Reporting Year ; Market Code ; Large Provider Entity Code </v>
      </c>
      <c r="K50" s="299" t="s">
        <v>197</v>
      </c>
      <c r="L50" s="299" t="s">
        <v>198</v>
      </c>
      <c r="M50" s="299" t="s">
        <v>227</v>
      </c>
      <c r="N50" s="299" t="s">
        <v>200</v>
      </c>
      <c r="O50" s="299"/>
      <c r="P50" s="299"/>
      <c r="Q50" s="299"/>
      <c r="R50" s="299"/>
      <c r="S50" s="299"/>
      <c r="T50" s="299"/>
      <c r="U50" s="299"/>
      <c r="V50" s="299"/>
      <c r="W50" s="299"/>
      <c r="X50" s="299"/>
    </row>
    <row r="51" spans="1:24" x14ac:dyDescent="0.4">
      <c r="A51" s="291"/>
      <c r="B51" s="292"/>
      <c r="C51" s="292"/>
      <c r="D51" s="292"/>
      <c r="E51" s="293"/>
      <c r="F51" s="394"/>
      <c r="G51" s="394"/>
      <c r="H51" s="293"/>
      <c r="J51" s="38" t="str">
        <f>K51&amp;SD[[#This Row],[Insurer Code]]&amp;"; "&amp;L51&amp;SD[[#This Row],[Reporting Year]]&amp;"; "&amp;M51&amp;SD[[#This Row],[Market Code]]&amp;"; "&amp;N51&amp;SD[[#This Row],[Large Provider Entity Code]]</f>
        <v xml:space="preserve">Insurer Code ; Reporting Year ; Market Code ; Large Provider Entity Code </v>
      </c>
      <c r="K51" s="299" t="s">
        <v>197</v>
      </c>
      <c r="L51" s="299" t="s">
        <v>198</v>
      </c>
      <c r="M51" s="299" t="s">
        <v>227</v>
      </c>
      <c r="N51" s="299" t="s">
        <v>200</v>
      </c>
      <c r="O51" s="299"/>
      <c r="P51" s="299"/>
      <c r="Q51" s="299"/>
      <c r="R51" s="299"/>
      <c r="S51" s="299"/>
      <c r="T51" s="299"/>
      <c r="U51" s="299"/>
      <c r="V51" s="299"/>
      <c r="W51" s="299"/>
      <c r="X51" s="299"/>
    </row>
    <row r="52" spans="1:24" x14ac:dyDescent="0.4">
      <c r="A52" s="291"/>
      <c r="B52" s="292"/>
      <c r="C52" s="292"/>
      <c r="D52" s="292"/>
      <c r="E52" s="293"/>
      <c r="F52" s="394"/>
      <c r="G52" s="394"/>
      <c r="H52" s="293"/>
      <c r="J52" s="38" t="str">
        <f>K52&amp;SD[[#This Row],[Insurer Code]]&amp;"; "&amp;L52&amp;SD[[#This Row],[Reporting Year]]&amp;"; "&amp;M52&amp;SD[[#This Row],[Market Code]]&amp;"; "&amp;N52&amp;SD[[#This Row],[Large Provider Entity Code]]</f>
        <v xml:space="preserve">Insurer Code ; Reporting Year ; Market Code ; Large Provider Entity Code </v>
      </c>
      <c r="K52" s="299" t="s">
        <v>197</v>
      </c>
      <c r="L52" s="299" t="s">
        <v>198</v>
      </c>
      <c r="M52" s="299" t="s">
        <v>227</v>
      </c>
      <c r="N52" s="299" t="s">
        <v>200</v>
      </c>
      <c r="O52" s="299"/>
      <c r="P52" s="299"/>
      <c r="Q52" s="299"/>
      <c r="R52" s="299"/>
      <c r="S52" s="299"/>
      <c r="T52" s="299"/>
      <c r="U52" s="299"/>
      <c r="V52" s="299"/>
      <c r="W52" s="299"/>
      <c r="X52" s="299"/>
    </row>
    <row r="53" spans="1:24" x14ac:dyDescent="0.4">
      <c r="A53" s="291"/>
      <c r="B53" s="292"/>
      <c r="C53" s="292"/>
      <c r="D53" s="292"/>
      <c r="E53" s="293"/>
      <c r="F53" s="394"/>
      <c r="G53" s="394"/>
      <c r="H53" s="293"/>
      <c r="J53" s="38" t="str">
        <f>K53&amp;SD[[#This Row],[Insurer Code]]&amp;"; "&amp;L53&amp;SD[[#This Row],[Reporting Year]]&amp;"; "&amp;M53&amp;SD[[#This Row],[Market Code]]&amp;"; "&amp;N53&amp;SD[[#This Row],[Large Provider Entity Code]]</f>
        <v xml:space="preserve">Insurer Code ; Reporting Year ; Market Code ; Large Provider Entity Code </v>
      </c>
      <c r="K53" s="299" t="s">
        <v>197</v>
      </c>
      <c r="L53" s="299" t="s">
        <v>198</v>
      </c>
      <c r="M53" s="299" t="s">
        <v>227</v>
      </c>
      <c r="N53" s="299" t="s">
        <v>200</v>
      </c>
      <c r="O53" s="299"/>
      <c r="P53" s="299"/>
      <c r="Q53" s="299"/>
      <c r="R53" s="299"/>
      <c r="S53" s="299"/>
      <c r="T53" s="299"/>
      <c r="U53" s="299"/>
      <c r="V53" s="299"/>
      <c r="W53" s="299"/>
      <c r="X53" s="299"/>
    </row>
    <row r="54" spans="1:24" x14ac:dyDescent="0.4">
      <c r="A54" s="291"/>
      <c r="B54" s="292"/>
      <c r="C54" s="292"/>
      <c r="D54" s="292"/>
      <c r="E54" s="293"/>
      <c r="F54" s="394"/>
      <c r="G54" s="394"/>
      <c r="H54" s="293"/>
      <c r="J54" s="38" t="str">
        <f>K54&amp;SD[[#This Row],[Insurer Code]]&amp;"; "&amp;L54&amp;SD[[#This Row],[Reporting Year]]&amp;"; "&amp;M54&amp;SD[[#This Row],[Market Code]]&amp;"; "&amp;N54&amp;SD[[#This Row],[Large Provider Entity Code]]</f>
        <v xml:space="preserve">Insurer Code ; Reporting Year ; Market Code ; Large Provider Entity Code </v>
      </c>
      <c r="K54" s="299" t="s">
        <v>197</v>
      </c>
      <c r="L54" s="299" t="s">
        <v>198</v>
      </c>
      <c r="M54" s="299" t="s">
        <v>227</v>
      </c>
      <c r="N54" s="299" t="s">
        <v>200</v>
      </c>
      <c r="O54" s="299"/>
      <c r="P54" s="299"/>
      <c r="Q54" s="299"/>
      <c r="R54" s="299"/>
      <c r="S54" s="299"/>
      <c r="T54" s="299"/>
      <c r="U54" s="299"/>
      <c r="V54" s="299"/>
      <c r="W54" s="299"/>
      <c r="X54" s="299"/>
    </row>
    <row r="55" spans="1:24" x14ac:dyDescent="0.4">
      <c r="A55" s="291"/>
      <c r="B55" s="292"/>
      <c r="C55" s="292"/>
      <c r="D55" s="292"/>
      <c r="E55" s="293"/>
      <c r="F55" s="394"/>
      <c r="G55" s="394"/>
      <c r="H55" s="293"/>
      <c r="J55" s="38" t="str">
        <f>K55&amp;SD[[#This Row],[Insurer Code]]&amp;"; "&amp;L55&amp;SD[[#This Row],[Reporting Year]]&amp;"; "&amp;M55&amp;SD[[#This Row],[Market Code]]&amp;"; "&amp;N55&amp;SD[[#This Row],[Large Provider Entity Code]]</f>
        <v xml:space="preserve">Insurer Code ; Reporting Year ; Market Code ; Large Provider Entity Code </v>
      </c>
      <c r="K55" s="299" t="s">
        <v>197</v>
      </c>
      <c r="L55" s="299" t="s">
        <v>198</v>
      </c>
      <c r="M55" s="299" t="s">
        <v>227</v>
      </c>
      <c r="N55" s="299" t="s">
        <v>200</v>
      </c>
      <c r="O55" s="299"/>
      <c r="P55" s="299"/>
      <c r="Q55" s="299"/>
      <c r="R55" s="299"/>
      <c r="S55" s="299"/>
      <c r="T55" s="299"/>
      <c r="U55" s="299"/>
      <c r="V55" s="299"/>
      <c r="W55" s="299"/>
      <c r="X55" s="299"/>
    </row>
    <row r="56" spans="1:24" x14ac:dyDescent="0.4">
      <c r="A56" s="291"/>
      <c r="B56" s="292"/>
      <c r="C56" s="292"/>
      <c r="D56" s="292"/>
      <c r="E56" s="293"/>
      <c r="F56" s="394"/>
      <c r="G56" s="394"/>
      <c r="H56" s="293"/>
      <c r="J56" s="38" t="str">
        <f>K56&amp;SD[[#This Row],[Insurer Code]]&amp;"; "&amp;L56&amp;SD[[#This Row],[Reporting Year]]&amp;"; "&amp;M56&amp;SD[[#This Row],[Market Code]]&amp;"; "&amp;N56&amp;SD[[#This Row],[Large Provider Entity Code]]</f>
        <v xml:space="preserve">Insurer Code ; Reporting Year ; Market Code ; Large Provider Entity Code </v>
      </c>
      <c r="K56" s="299" t="s">
        <v>197</v>
      </c>
      <c r="L56" s="299" t="s">
        <v>198</v>
      </c>
      <c r="M56" s="299" t="s">
        <v>227</v>
      </c>
      <c r="N56" s="299" t="s">
        <v>200</v>
      </c>
      <c r="O56" s="299"/>
      <c r="P56" s="299"/>
      <c r="Q56" s="299"/>
      <c r="R56" s="299"/>
      <c r="S56" s="299"/>
      <c r="T56" s="299"/>
      <c r="U56" s="299"/>
      <c r="V56" s="299"/>
      <c r="W56" s="299"/>
      <c r="X56" s="299"/>
    </row>
    <row r="57" spans="1:24" x14ac:dyDescent="0.4">
      <c r="A57" s="291"/>
      <c r="B57" s="292"/>
      <c r="C57" s="292"/>
      <c r="D57" s="292"/>
      <c r="E57" s="293"/>
      <c r="F57" s="394"/>
      <c r="G57" s="394"/>
      <c r="H57" s="293"/>
      <c r="J57" s="38" t="str">
        <f>K57&amp;SD[[#This Row],[Insurer Code]]&amp;"; "&amp;L57&amp;SD[[#This Row],[Reporting Year]]&amp;"; "&amp;M57&amp;SD[[#This Row],[Market Code]]&amp;"; "&amp;N57&amp;SD[[#This Row],[Large Provider Entity Code]]</f>
        <v xml:space="preserve">Insurer Code ; Reporting Year ; Market Code ; Large Provider Entity Code </v>
      </c>
      <c r="K57" s="299" t="s">
        <v>197</v>
      </c>
      <c r="L57" s="299" t="s">
        <v>198</v>
      </c>
      <c r="M57" s="299" t="s">
        <v>227</v>
      </c>
      <c r="N57" s="299" t="s">
        <v>200</v>
      </c>
      <c r="O57" s="299"/>
      <c r="P57" s="299"/>
      <c r="Q57" s="299"/>
      <c r="R57" s="299"/>
      <c r="S57" s="299"/>
      <c r="T57" s="299"/>
      <c r="U57" s="299"/>
      <c r="V57" s="299"/>
      <c r="W57" s="299"/>
      <c r="X57" s="299"/>
    </row>
    <row r="58" spans="1:24" x14ac:dyDescent="0.4">
      <c r="A58" s="291"/>
      <c r="B58" s="292"/>
      <c r="C58" s="292"/>
      <c r="D58" s="292"/>
      <c r="E58" s="293"/>
      <c r="F58" s="394"/>
      <c r="G58" s="394"/>
      <c r="H58" s="293"/>
      <c r="J58" s="38" t="str">
        <f>K58&amp;SD[[#This Row],[Insurer Code]]&amp;"; "&amp;L58&amp;SD[[#This Row],[Reporting Year]]&amp;"; "&amp;M58&amp;SD[[#This Row],[Market Code]]&amp;"; "&amp;N58&amp;SD[[#This Row],[Large Provider Entity Code]]</f>
        <v xml:space="preserve">Insurer Code ; Reporting Year ; Market Code ; Large Provider Entity Code </v>
      </c>
      <c r="K58" s="299" t="s">
        <v>197</v>
      </c>
      <c r="L58" s="299" t="s">
        <v>198</v>
      </c>
      <c r="M58" s="299" t="s">
        <v>227</v>
      </c>
      <c r="N58" s="299" t="s">
        <v>200</v>
      </c>
      <c r="O58" s="299"/>
      <c r="P58" s="299"/>
      <c r="Q58" s="299"/>
      <c r="R58" s="299"/>
      <c r="S58" s="299"/>
      <c r="T58" s="299"/>
      <c r="U58" s="299"/>
      <c r="V58" s="299"/>
      <c r="W58" s="299"/>
      <c r="X58" s="299"/>
    </row>
    <row r="59" spans="1:24" x14ac:dyDescent="0.4">
      <c r="A59" s="291"/>
      <c r="B59" s="292"/>
      <c r="C59" s="292"/>
      <c r="D59" s="292"/>
      <c r="E59" s="293"/>
      <c r="F59" s="394"/>
      <c r="G59" s="394"/>
      <c r="H59" s="293"/>
      <c r="J59" s="38" t="str">
        <f>K59&amp;SD[[#This Row],[Insurer Code]]&amp;"; "&amp;L59&amp;SD[[#This Row],[Reporting Year]]&amp;"; "&amp;M59&amp;SD[[#This Row],[Market Code]]&amp;"; "&amp;N59&amp;SD[[#This Row],[Large Provider Entity Code]]</f>
        <v xml:space="preserve">Insurer Code ; Reporting Year ; Market Code ; Large Provider Entity Code </v>
      </c>
      <c r="K59" s="299" t="s">
        <v>197</v>
      </c>
      <c r="L59" s="299" t="s">
        <v>198</v>
      </c>
      <c r="M59" s="299" t="s">
        <v>227</v>
      </c>
      <c r="N59" s="299" t="s">
        <v>200</v>
      </c>
      <c r="O59" s="299"/>
      <c r="P59" s="299"/>
      <c r="Q59" s="299"/>
      <c r="R59" s="299"/>
      <c r="S59" s="299"/>
      <c r="T59" s="299"/>
      <c r="U59" s="299"/>
      <c r="V59" s="299"/>
      <c r="W59" s="299"/>
      <c r="X59" s="299"/>
    </row>
    <row r="60" spans="1:24" x14ac:dyDescent="0.4">
      <c r="A60" s="291"/>
      <c r="B60" s="292"/>
      <c r="C60" s="292"/>
      <c r="D60" s="292"/>
      <c r="E60" s="293"/>
      <c r="F60" s="394"/>
      <c r="G60" s="394"/>
      <c r="H60" s="293"/>
      <c r="J60" s="38" t="str">
        <f>K60&amp;SD[[#This Row],[Insurer Code]]&amp;"; "&amp;L60&amp;SD[[#This Row],[Reporting Year]]&amp;"; "&amp;M60&amp;SD[[#This Row],[Market Code]]&amp;"; "&amp;N60&amp;SD[[#This Row],[Large Provider Entity Code]]</f>
        <v xml:space="preserve">Insurer Code ; Reporting Year ; Market Code ; Large Provider Entity Code </v>
      </c>
      <c r="K60" s="299" t="s">
        <v>197</v>
      </c>
      <c r="L60" s="299" t="s">
        <v>198</v>
      </c>
      <c r="M60" s="299" t="s">
        <v>227</v>
      </c>
      <c r="N60" s="299" t="s">
        <v>200</v>
      </c>
      <c r="O60" s="299"/>
      <c r="P60" s="299"/>
      <c r="Q60" s="299"/>
      <c r="R60" s="299"/>
      <c r="S60" s="299"/>
      <c r="T60" s="299"/>
      <c r="U60" s="299"/>
      <c r="V60" s="299"/>
      <c r="W60" s="299"/>
      <c r="X60" s="299"/>
    </row>
    <row r="61" spans="1:24" x14ac:dyDescent="0.4">
      <c r="A61" s="291"/>
      <c r="B61" s="292"/>
      <c r="C61" s="292"/>
      <c r="D61" s="292"/>
      <c r="E61" s="293"/>
      <c r="F61" s="394"/>
      <c r="G61" s="394"/>
      <c r="H61" s="293"/>
      <c r="J61" s="38" t="str">
        <f>K61&amp;SD[[#This Row],[Insurer Code]]&amp;"; "&amp;L61&amp;SD[[#This Row],[Reporting Year]]&amp;"; "&amp;M61&amp;SD[[#This Row],[Market Code]]&amp;"; "&amp;N61&amp;SD[[#This Row],[Large Provider Entity Code]]</f>
        <v xml:space="preserve">Insurer Code ; Reporting Year ; Market Code ; Large Provider Entity Code </v>
      </c>
      <c r="K61" s="299" t="s">
        <v>197</v>
      </c>
      <c r="L61" s="299" t="s">
        <v>198</v>
      </c>
      <c r="M61" s="299" t="s">
        <v>227</v>
      </c>
      <c r="N61" s="299" t="s">
        <v>200</v>
      </c>
      <c r="O61" s="299"/>
      <c r="P61" s="299"/>
      <c r="Q61" s="299"/>
      <c r="R61" s="299"/>
      <c r="S61" s="299"/>
      <c r="T61" s="299"/>
      <c r="U61" s="299"/>
      <c r="V61" s="299"/>
      <c r="W61" s="299"/>
      <c r="X61" s="299"/>
    </row>
    <row r="62" spans="1:24" x14ac:dyDescent="0.4">
      <c r="A62" s="291"/>
      <c r="B62" s="292"/>
      <c r="C62" s="292"/>
      <c r="D62" s="292"/>
      <c r="E62" s="293"/>
      <c r="F62" s="394"/>
      <c r="G62" s="394"/>
      <c r="H62" s="293"/>
      <c r="J62" s="38" t="str">
        <f>K62&amp;SD[[#This Row],[Insurer Code]]&amp;"; "&amp;L62&amp;SD[[#This Row],[Reporting Year]]&amp;"; "&amp;M62&amp;SD[[#This Row],[Market Code]]&amp;"; "&amp;N62&amp;SD[[#This Row],[Large Provider Entity Code]]</f>
        <v xml:space="preserve">Insurer Code ; Reporting Year ; Market Code ; Large Provider Entity Code </v>
      </c>
      <c r="K62" s="299" t="s">
        <v>197</v>
      </c>
      <c r="L62" s="299" t="s">
        <v>198</v>
      </c>
      <c r="M62" s="299" t="s">
        <v>227</v>
      </c>
      <c r="N62" s="299" t="s">
        <v>200</v>
      </c>
      <c r="O62" s="299"/>
      <c r="P62" s="299"/>
      <c r="Q62" s="299"/>
      <c r="R62" s="299"/>
      <c r="S62" s="299"/>
      <c r="T62" s="299"/>
      <c r="U62" s="299"/>
      <c r="V62" s="299"/>
      <c r="W62" s="299"/>
      <c r="X62" s="299"/>
    </row>
    <row r="63" spans="1:24" x14ac:dyDescent="0.4">
      <c r="A63" s="291"/>
      <c r="B63" s="292"/>
      <c r="C63" s="292"/>
      <c r="D63" s="292"/>
      <c r="E63" s="293"/>
      <c r="F63" s="394"/>
      <c r="G63" s="394"/>
      <c r="H63" s="293"/>
      <c r="J63" s="38" t="str">
        <f>K63&amp;SD[[#This Row],[Insurer Code]]&amp;"; "&amp;L63&amp;SD[[#This Row],[Reporting Year]]&amp;"; "&amp;M63&amp;SD[[#This Row],[Market Code]]&amp;"; "&amp;N63&amp;SD[[#This Row],[Large Provider Entity Code]]</f>
        <v xml:space="preserve">Insurer Code ; Reporting Year ; Market Code ; Large Provider Entity Code </v>
      </c>
      <c r="K63" s="299" t="s">
        <v>197</v>
      </c>
      <c r="L63" s="299" t="s">
        <v>198</v>
      </c>
      <c r="M63" s="299" t="s">
        <v>227</v>
      </c>
      <c r="N63" s="299" t="s">
        <v>200</v>
      </c>
      <c r="O63" s="299"/>
      <c r="P63" s="299"/>
      <c r="Q63" s="299"/>
      <c r="R63" s="299"/>
      <c r="S63" s="299"/>
      <c r="T63" s="299"/>
      <c r="U63" s="299"/>
      <c r="V63" s="299"/>
      <c r="W63" s="299"/>
      <c r="X63" s="299"/>
    </row>
    <row r="64" spans="1:24" x14ac:dyDescent="0.4">
      <c r="A64" s="291"/>
      <c r="B64" s="292"/>
      <c r="C64" s="292"/>
      <c r="D64" s="292"/>
      <c r="E64" s="293"/>
      <c r="F64" s="394"/>
      <c r="G64" s="394"/>
      <c r="H64" s="293"/>
      <c r="J64" s="38" t="str">
        <f>K64&amp;SD[[#This Row],[Insurer Code]]&amp;"; "&amp;L64&amp;SD[[#This Row],[Reporting Year]]&amp;"; "&amp;M64&amp;SD[[#This Row],[Market Code]]&amp;"; "&amp;N64&amp;SD[[#This Row],[Large Provider Entity Code]]</f>
        <v xml:space="preserve">Insurer Code ; Reporting Year ; Market Code ; Large Provider Entity Code </v>
      </c>
      <c r="K64" s="299" t="s">
        <v>197</v>
      </c>
      <c r="L64" s="299" t="s">
        <v>198</v>
      </c>
      <c r="M64" s="299" t="s">
        <v>227</v>
      </c>
      <c r="N64" s="299" t="s">
        <v>200</v>
      </c>
      <c r="O64" s="299"/>
      <c r="P64" s="299"/>
      <c r="Q64" s="299"/>
      <c r="R64" s="299"/>
      <c r="S64" s="299"/>
      <c r="T64" s="299"/>
      <c r="U64" s="299"/>
      <c r="V64" s="299"/>
      <c r="W64" s="299"/>
      <c r="X64" s="299"/>
    </row>
    <row r="65" spans="1:24" x14ac:dyDescent="0.4">
      <c r="A65" s="291"/>
      <c r="B65" s="292"/>
      <c r="C65" s="292"/>
      <c r="D65" s="292"/>
      <c r="E65" s="293"/>
      <c r="F65" s="394"/>
      <c r="G65" s="394"/>
      <c r="H65" s="293"/>
      <c r="J65" s="38" t="str">
        <f>K65&amp;SD[[#This Row],[Insurer Code]]&amp;"; "&amp;L65&amp;SD[[#This Row],[Reporting Year]]&amp;"; "&amp;M65&amp;SD[[#This Row],[Market Code]]&amp;"; "&amp;N65&amp;SD[[#This Row],[Large Provider Entity Code]]</f>
        <v xml:space="preserve">Insurer Code ; Reporting Year ; Market Code ; Large Provider Entity Code </v>
      </c>
      <c r="K65" s="299" t="s">
        <v>197</v>
      </c>
      <c r="L65" s="299" t="s">
        <v>198</v>
      </c>
      <c r="M65" s="299" t="s">
        <v>227</v>
      </c>
      <c r="N65" s="299" t="s">
        <v>200</v>
      </c>
      <c r="O65" s="299"/>
      <c r="P65" s="299"/>
      <c r="Q65" s="299"/>
      <c r="R65" s="299"/>
      <c r="S65" s="299"/>
      <c r="T65" s="299"/>
      <c r="U65" s="299"/>
      <c r="V65" s="299"/>
      <c r="W65" s="299"/>
      <c r="X65" s="299"/>
    </row>
    <row r="66" spans="1:24" x14ac:dyDescent="0.4">
      <c r="A66" s="291"/>
      <c r="B66" s="292"/>
      <c r="C66" s="292"/>
      <c r="D66" s="292"/>
      <c r="E66" s="293"/>
      <c r="F66" s="394"/>
      <c r="G66" s="394"/>
      <c r="H66" s="293"/>
      <c r="J66" s="38" t="str">
        <f>K66&amp;SD[[#This Row],[Insurer Code]]&amp;"; "&amp;L66&amp;SD[[#This Row],[Reporting Year]]&amp;"; "&amp;M66&amp;SD[[#This Row],[Market Code]]&amp;"; "&amp;N66&amp;SD[[#This Row],[Large Provider Entity Code]]</f>
        <v xml:space="preserve">Insurer Code ; Reporting Year ; Market Code ; Large Provider Entity Code </v>
      </c>
      <c r="K66" s="299" t="s">
        <v>197</v>
      </c>
      <c r="L66" s="299" t="s">
        <v>198</v>
      </c>
      <c r="M66" s="299" t="s">
        <v>227</v>
      </c>
      <c r="N66" s="299" t="s">
        <v>200</v>
      </c>
      <c r="O66" s="299"/>
      <c r="P66" s="299"/>
      <c r="Q66" s="299"/>
      <c r="R66" s="299"/>
      <c r="S66" s="299"/>
      <c r="T66" s="299"/>
      <c r="U66" s="299"/>
      <c r="V66" s="299"/>
      <c r="W66" s="299"/>
      <c r="X66" s="299"/>
    </row>
    <row r="67" spans="1:24" x14ac:dyDescent="0.4">
      <c r="A67" s="291"/>
      <c r="B67" s="292"/>
      <c r="C67" s="292"/>
      <c r="D67" s="292"/>
      <c r="E67" s="293"/>
      <c r="F67" s="394"/>
      <c r="G67" s="394"/>
      <c r="H67" s="293"/>
      <c r="J67" s="38" t="str">
        <f>K67&amp;SD[[#This Row],[Insurer Code]]&amp;"; "&amp;L67&amp;SD[[#This Row],[Reporting Year]]&amp;"; "&amp;M67&amp;SD[[#This Row],[Market Code]]&amp;"; "&amp;N67&amp;SD[[#This Row],[Large Provider Entity Code]]</f>
        <v xml:space="preserve">Insurer Code ; Reporting Year ; Market Code ; Large Provider Entity Code </v>
      </c>
      <c r="K67" s="299" t="s">
        <v>197</v>
      </c>
      <c r="L67" s="299" t="s">
        <v>198</v>
      </c>
      <c r="M67" s="299" t="s">
        <v>227</v>
      </c>
      <c r="N67" s="299" t="s">
        <v>200</v>
      </c>
      <c r="O67" s="299"/>
      <c r="P67" s="299"/>
      <c r="Q67" s="299"/>
      <c r="R67" s="299"/>
      <c r="S67" s="299"/>
      <c r="T67" s="299"/>
      <c r="U67" s="299"/>
      <c r="V67" s="299"/>
      <c r="W67" s="299"/>
      <c r="X67" s="299"/>
    </row>
    <row r="68" spans="1:24" x14ac:dyDescent="0.4">
      <c r="A68" s="291"/>
      <c r="B68" s="292"/>
      <c r="C68" s="292"/>
      <c r="D68" s="292"/>
      <c r="E68" s="293"/>
      <c r="F68" s="394"/>
      <c r="G68" s="394"/>
      <c r="H68" s="293"/>
      <c r="J68" s="38" t="str">
        <f>K68&amp;SD[[#This Row],[Insurer Code]]&amp;"; "&amp;L68&amp;SD[[#This Row],[Reporting Year]]&amp;"; "&amp;M68&amp;SD[[#This Row],[Market Code]]&amp;"; "&amp;N68&amp;SD[[#This Row],[Large Provider Entity Code]]</f>
        <v xml:space="preserve">Insurer Code ; Reporting Year ; Market Code ; Large Provider Entity Code </v>
      </c>
      <c r="K68" s="299" t="s">
        <v>197</v>
      </c>
      <c r="L68" s="299" t="s">
        <v>198</v>
      </c>
      <c r="M68" s="299" t="s">
        <v>227</v>
      </c>
      <c r="N68" s="299" t="s">
        <v>200</v>
      </c>
      <c r="O68" s="299"/>
      <c r="P68" s="299"/>
      <c r="Q68" s="299"/>
      <c r="R68" s="299"/>
      <c r="S68" s="299"/>
      <c r="T68" s="299"/>
      <c r="U68" s="299"/>
      <c r="V68" s="299"/>
      <c r="W68" s="299"/>
      <c r="X68" s="299"/>
    </row>
    <row r="69" spans="1:24" x14ac:dyDescent="0.4">
      <c r="A69" s="291"/>
      <c r="B69" s="292"/>
      <c r="C69" s="292"/>
      <c r="D69" s="292"/>
      <c r="E69" s="293"/>
      <c r="F69" s="394"/>
      <c r="G69" s="394"/>
      <c r="H69" s="293"/>
      <c r="J69" s="38" t="str">
        <f>K69&amp;SD[[#This Row],[Insurer Code]]&amp;"; "&amp;L69&amp;SD[[#This Row],[Reporting Year]]&amp;"; "&amp;M69&amp;SD[[#This Row],[Market Code]]&amp;"; "&amp;N69&amp;SD[[#This Row],[Large Provider Entity Code]]</f>
        <v xml:space="preserve">Insurer Code ; Reporting Year ; Market Code ; Large Provider Entity Code </v>
      </c>
      <c r="K69" s="299" t="s">
        <v>197</v>
      </c>
      <c r="L69" s="299" t="s">
        <v>198</v>
      </c>
      <c r="M69" s="299" t="s">
        <v>227</v>
      </c>
      <c r="N69" s="299" t="s">
        <v>200</v>
      </c>
      <c r="O69" s="299"/>
      <c r="P69" s="299"/>
      <c r="Q69" s="299"/>
      <c r="R69" s="299"/>
      <c r="S69" s="299"/>
      <c r="T69" s="299"/>
      <c r="U69" s="299"/>
      <c r="V69" s="299"/>
      <c r="W69" s="299"/>
      <c r="X69" s="299"/>
    </row>
    <row r="70" spans="1:24" x14ac:dyDescent="0.4">
      <c r="A70" s="291"/>
      <c r="B70" s="292"/>
      <c r="C70" s="292"/>
      <c r="D70" s="292"/>
      <c r="E70" s="293"/>
      <c r="F70" s="394"/>
      <c r="G70" s="394"/>
      <c r="H70" s="293"/>
      <c r="J70" s="38" t="str">
        <f>K70&amp;SD[[#This Row],[Insurer Code]]&amp;"; "&amp;L70&amp;SD[[#This Row],[Reporting Year]]&amp;"; "&amp;M70&amp;SD[[#This Row],[Market Code]]&amp;"; "&amp;N70&amp;SD[[#This Row],[Large Provider Entity Code]]</f>
        <v xml:space="preserve">Insurer Code ; Reporting Year ; Market Code ; Large Provider Entity Code </v>
      </c>
      <c r="K70" s="299" t="s">
        <v>197</v>
      </c>
      <c r="L70" s="299" t="s">
        <v>198</v>
      </c>
      <c r="M70" s="299" t="s">
        <v>227</v>
      </c>
      <c r="N70" s="299" t="s">
        <v>200</v>
      </c>
      <c r="O70" s="299"/>
      <c r="P70" s="299"/>
      <c r="Q70" s="299"/>
      <c r="R70" s="299"/>
      <c r="S70" s="299"/>
      <c r="T70" s="299"/>
      <c r="U70" s="299"/>
      <c r="V70" s="299"/>
      <c r="W70" s="299"/>
      <c r="X70" s="299"/>
    </row>
    <row r="71" spans="1:24" x14ac:dyDescent="0.4">
      <c r="A71" s="291"/>
      <c r="B71" s="292"/>
      <c r="C71" s="292"/>
      <c r="D71" s="292"/>
      <c r="E71" s="293"/>
      <c r="F71" s="394"/>
      <c r="G71" s="394"/>
      <c r="H71" s="293"/>
      <c r="J71" s="38" t="str">
        <f>K71&amp;SD[[#This Row],[Insurer Code]]&amp;"; "&amp;L71&amp;SD[[#This Row],[Reporting Year]]&amp;"; "&amp;M71&amp;SD[[#This Row],[Market Code]]&amp;"; "&amp;N71&amp;SD[[#This Row],[Large Provider Entity Code]]</f>
        <v xml:space="preserve">Insurer Code ; Reporting Year ; Market Code ; Large Provider Entity Code </v>
      </c>
      <c r="K71" s="299" t="s">
        <v>197</v>
      </c>
      <c r="L71" s="299" t="s">
        <v>198</v>
      </c>
      <c r="M71" s="299" t="s">
        <v>227</v>
      </c>
      <c r="N71" s="299" t="s">
        <v>200</v>
      </c>
      <c r="O71" s="299"/>
      <c r="P71" s="299"/>
      <c r="Q71" s="299"/>
      <c r="R71" s="299"/>
      <c r="S71" s="299"/>
      <c r="T71" s="299"/>
      <c r="U71" s="299"/>
      <c r="V71" s="299"/>
      <c r="W71" s="299"/>
      <c r="X71" s="299"/>
    </row>
    <row r="72" spans="1:24" x14ac:dyDescent="0.4">
      <c r="A72" s="291"/>
      <c r="B72" s="292"/>
      <c r="C72" s="292"/>
      <c r="D72" s="292"/>
      <c r="E72" s="293"/>
      <c r="F72" s="394"/>
      <c r="G72" s="394"/>
      <c r="H72" s="293"/>
      <c r="J72" s="38" t="str">
        <f>K72&amp;SD[[#This Row],[Insurer Code]]&amp;"; "&amp;L72&amp;SD[[#This Row],[Reporting Year]]&amp;"; "&amp;M72&amp;SD[[#This Row],[Market Code]]&amp;"; "&amp;N72&amp;SD[[#This Row],[Large Provider Entity Code]]</f>
        <v xml:space="preserve">Insurer Code ; Reporting Year ; Market Code ; Large Provider Entity Code </v>
      </c>
      <c r="K72" s="299" t="s">
        <v>197</v>
      </c>
      <c r="L72" s="299" t="s">
        <v>198</v>
      </c>
      <c r="M72" s="299" t="s">
        <v>227</v>
      </c>
      <c r="N72" s="299" t="s">
        <v>200</v>
      </c>
      <c r="O72" s="299"/>
      <c r="P72" s="299"/>
      <c r="Q72" s="299"/>
      <c r="R72" s="299"/>
      <c r="S72" s="299"/>
      <c r="T72" s="299"/>
      <c r="U72" s="299"/>
      <c r="V72" s="299"/>
      <c r="W72" s="299"/>
      <c r="X72" s="299"/>
    </row>
    <row r="73" spans="1:24" x14ac:dyDescent="0.4">
      <c r="A73" s="291"/>
      <c r="B73" s="292"/>
      <c r="C73" s="292"/>
      <c r="D73" s="292"/>
      <c r="E73" s="293"/>
      <c r="F73" s="394"/>
      <c r="G73" s="394"/>
      <c r="H73" s="293"/>
      <c r="J73" s="38" t="str">
        <f>K73&amp;SD[[#This Row],[Insurer Code]]&amp;"; "&amp;L73&amp;SD[[#This Row],[Reporting Year]]&amp;"; "&amp;M73&amp;SD[[#This Row],[Market Code]]&amp;"; "&amp;N73&amp;SD[[#This Row],[Large Provider Entity Code]]</f>
        <v xml:space="preserve">Insurer Code ; Reporting Year ; Market Code ; Large Provider Entity Code </v>
      </c>
      <c r="K73" s="299" t="s">
        <v>197</v>
      </c>
      <c r="L73" s="299" t="s">
        <v>198</v>
      </c>
      <c r="M73" s="299" t="s">
        <v>227</v>
      </c>
      <c r="N73" s="299" t="s">
        <v>200</v>
      </c>
      <c r="O73" s="299"/>
      <c r="P73" s="299"/>
      <c r="Q73" s="299"/>
      <c r="R73" s="299"/>
      <c r="S73" s="299"/>
      <c r="T73" s="299"/>
      <c r="U73" s="299"/>
      <c r="V73" s="299"/>
      <c r="W73" s="299"/>
      <c r="X73" s="299"/>
    </row>
    <row r="74" spans="1:24" x14ac:dyDescent="0.4">
      <c r="A74" s="291"/>
      <c r="B74" s="292"/>
      <c r="C74" s="292"/>
      <c r="D74" s="292"/>
      <c r="E74" s="293"/>
      <c r="F74" s="394"/>
      <c r="G74" s="394"/>
      <c r="H74" s="293"/>
      <c r="J74" s="38" t="str">
        <f>K74&amp;SD[[#This Row],[Insurer Code]]&amp;"; "&amp;L74&amp;SD[[#This Row],[Reporting Year]]&amp;"; "&amp;M74&amp;SD[[#This Row],[Market Code]]&amp;"; "&amp;N74&amp;SD[[#This Row],[Large Provider Entity Code]]</f>
        <v xml:space="preserve">Insurer Code ; Reporting Year ; Market Code ; Large Provider Entity Code </v>
      </c>
      <c r="K74" s="299" t="s">
        <v>197</v>
      </c>
      <c r="L74" s="299" t="s">
        <v>198</v>
      </c>
      <c r="M74" s="299" t="s">
        <v>227</v>
      </c>
      <c r="N74" s="299" t="s">
        <v>200</v>
      </c>
      <c r="O74" s="299"/>
      <c r="P74" s="299"/>
      <c r="Q74" s="299"/>
      <c r="R74" s="299"/>
      <c r="S74" s="299"/>
      <c r="T74" s="299"/>
      <c r="U74" s="299"/>
      <c r="V74" s="299"/>
      <c r="W74" s="299"/>
      <c r="X74" s="299"/>
    </row>
    <row r="75" spans="1:24" x14ac:dyDescent="0.4">
      <c r="A75" s="291"/>
      <c r="B75" s="292"/>
      <c r="C75" s="292"/>
      <c r="D75" s="292"/>
      <c r="E75" s="293"/>
      <c r="F75" s="394"/>
      <c r="G75" s="394"/>
      <c r="H75" s="293"/>
      <c r="J75" s="38" t="str">
        <f>K75&amp;SD[[#This Row],[Insurer Code]]&amp;"; "&amp;L75&amp;SD[[#This Row],[Reporting Year]]&amp;"; "&amp;M75&amp;SD[[#This Row],[Market Code]]&amp;"; "&amp;N75&amp;SD[[#This Row],[Large Provider Entity Code]]</f>
        <v xml:space="preserve">Insurer Code ; Reporting Year ; Market Code ; Large Provider Entity Code </v>
      </c>
      <c r="K75" s="299" t="s">
        <v>197</v>
      </c>
      <c r="L75" s="299" t="s">
        <v>198</v>
      </c>
      <c r="M75" s="299" t="s">
        <v>227</v>
      </c>
      <c r="N75" s="299" t="s">
        <v>200</v>
      </c>
      <c r="O75" s="299"/>
      <c r="P75" s="299"/>
      <c r="Q75" s="299"/>
      <c r="R75" s="299"/>
      <c r="S75" s="299"/>
      <c r="T75" s="299"/>
      <c r="U75" s="299"/>
      <c r="V75" s="299"/>
      <c r="W75" s="299"/>
      <c r="X75" s="299"/>
    </row>
    <row r="76" spans="1:24" x14ac:dyDescent="0.4">
      <c r="A76" s="291"/>
      <c r="B76" s="292"/>
      <c r="C76" s="292"/>
      <c r="D76" s="292"/>
      <c r="E76" s="293"/>
      <c r="F76" s="394"/>
      <c r="G76" s="394"/>
      <c r="H76" s="293"/>
      <c r="J76" s="38" t="str">
        <f>K76&amp;SD[[#This Row],[Insurer Code]]&amp;"; "&amp;L76&amp;SD[[#This Row],[Reporting Year]]&amp;"; "&amp;M76&amp;SD[[#This Row],[Market Code]]&amp;"; "&amp;N76&amp;SD[[#This Row],[Large Provider Entity Code]]</f>
        <v xml:space="preserve">Insurer Code ; Reporting Year ; Market Code ; Large Provider Entity Code </v>
      </c>
      <c r="K76" s="299" t="s">
        <v>197</v>
      </c>
      <c r="L76" s="299" t="s">
        <v>198</v>
      </c>
      <c r="M76" s="299" t="s">
        <v>227</v>
      </c>
      <c r="N76" s="299" t="s">
        <v>200</v>
      </c>
      <c r="O76" s="299"/>
      <c r="P76" s="299"/>
      <c r="Q76" s="299"/>
      <c r="R76" s="299"/>
      <c r="S76" s="299"/>
      <c r="T76" s="299"/>
      <c r="U76" s="299"/>
      <c r="V76" s="299"/>
      <c r="W76" s="299"/>
      <c r="X76" s="299"/>
    </row>
    <row r="77" spans="1:24" x14ac:dyDescent="0.4">
      <c r="A77" s="291"/>
      <c r="B77" s="292"/>
      <c r="C77" s="292"/>
      <c r="D77" s="292"/>
      <c r="E77" s="293"/>
      <c r="F77" s="394"/>
      <c r="G77" s="394"/>
      <c r="H77" s="293"/>
      <c r="J77" s="38" t="str">
        <f>K77&amp;SD[[#This Row],[Insurer Code]]&amp;"; "&amp;L77&amp;SD[[#This Row],[Reporting Year]]&amp;"; "&amp;M77&amp;SD[[#This Row],[Market Code]]&amp;"; "&amp;N77&amp;SD[[#This Row],[Large Provider Entity Code]]</f>
        <v xml:space="preserve">Insurer Code ; Reporting Year ; Market Code ; Large Provider Entity Code </v>
      </c>
      <c r="K77" s="299" t="s">
        <v>197</v>
      </c>
      <c r="L77" s="299" t="s">
        <v>198</v>
      </c>
      <c r="M77" s="299" t="s">
        <v>227</v>
      </c>
      <c r="N77" s="299" t="s">
        <v>200</v>
      </c>
      <c r="O77" s="299"/>
      <c r="P77" s="299"/>
      <c r="Q77" s="299"/>
      <c r="R77" s="299"/>
      <c r="S77" s="299"/>
      <c r="T77" s="299"/>
      <c r="U77" s="299"/>
      <c r="V77" s="299"/>
      <c r="W77" s="299"/>
      <c r="X77" s="299"/>
    </row>
    <row r="78" spans="1:24" x14ac:dyDescent="0.4">
      <c r="A78" s="291"/>
      <c r="B78" s="292"/>
      <c r="C78" s="292"/>
      <c r="D78" s="292"/>
      <c r="E78" s="293"/>
      <c r="F78" s="394"/>
      <c r="G78" s="394"/>
      <c r="H78" s="293"/>
      <c r="J78" s="38" t="str">
        <f>K78&amp;SD[[#This Row],[Insurer Code]]&amp;"; "&amp;L78&amp;SD[[#This Row],[Reporting Year]]&amp;"; "&amp;M78&amp;SD[[#This Row],[Market Code]]&amp;"; "&amp;N78&amp;SD[[#This Row],[Large Provider Entity Code]]</f>
        <v xml:space="preserve">Insurer Code ; Reporting Year ; Market Code ; Large Provider Entity Code </v>
      </c>
      <c r="K78" s="299" t="s">
        <v>197</v>
      </c>
      <c r="L78" s="299" t="s">
        <v>198</v>
      </c>
      <c r="M78" s="299" t="s">
        <v>227</v>
      </c>
      <c r="N78" s="299" t="s">
        <v>200</v>
      </c>
      <c r="O78" s="299"/>
      <c r="P78" s="299"/>
      <c r="Q78" s="299"/>
      <c r="R78" s="299"/>
      <c r="S78" s="299"/>
      <c r="T78" s="299"/>
      <c r="U78" s="299"/>
      <c r="V78" s="299"/>
      <c r="W78" s="299"/>
      <c r="X78" s="299"/>
    </row>
    <row r="79" spans="1:24" x14ac:dyDescent="0.4">
      <c r="A79" s="291"/>
      <c r="B79" s="292"/>
      <c r="C79" s="292"/>
      <c r="D79" s="292"/>
      <c r="E79" s="293"/>
      <c r="F79" s="394"/>
      <c r="G79" s="394"/>
      <c r="H79" s="293"/>
      <c r="J79" s="38" t="str">
        <f>K79&amp;SD[[#This Row],[Insurer Code]]&amp;"; "&amp;L79&amp;SD[[#This Row],[Reporting Year]]&amp;"; "&amp;M79&amp;SD[[#This Row],[Market Code]]&amp;"; "&amp;N79&amp;SD[[#This Row],[Large Provider Entity Code]]</f>
        <v xml:space="preserve">Insurer Code ; Reporting Year ; Market Code ; Large Provider Entity Code </v>
      </c>
      <c r="K79" s="299" t="s">
        <v>197</v>
      </c>
      <c r="L79" s="299" t="s">
        <v>198</v>
      </c>
      <c r="M79" s="299" t="s">
        <v>227</v>
      </c>
      <c r="N79" s="299" t="s">
        <v>200</v>
      </c>
      <c r="O79" s="299"/>
      <c r="P79" s="299"/>
      <c r="Q79" s="299"/>
      <c r="R79" s="299"/>
      <c r="S79" s="299"/>
      <c r="T79" s="299"/>
      <c r="U79" s="299"/>
      <c r="V79" s="299"/>
      <c r="W79" s="299"/>
      <c r="X79" s="299"/>
    </row>
    <row r="80" spans="1:24" x14ac:dyDescent="0.4">
      <c r="A80" s="291"/>
      <c r="B80" s="292"/>
      <c r="C80" s="292"/>
      <c r="D80" s="292"/>
      <c r="E80" s="293"/>
      <c r="F80" s="394"/>
      <c r="G80" s="394"/>
      <c r="H80" s="293"/>
      <c r="J80" s="38" t="str">
        <f>K80&amp;SD[[#This Row],[Insurer Code]]&amp;"; "&amp;L80&amp;SD[[#This Row],[Reporting Year]]&amp;"; "&amp;M80&amp;SD[[#This Row],[Market Code]]&amp;"; "&amp;N80&amp;SD[[#This Row],[Large Provider Entity Code]]</f>
        <v xml:space="preserve">Insurer Code ; Reporting Year ; Market Code ; Large Provider Entity Code </v>
      </c>
      <c r="K80" s="299" t="s">
        <v>197</v>
      </c>
      <c r="L80" s="299" t="s">
        <v>198</v>
      </c>
      <c r="M80" s="299" t="s">
        <v>227</v>
      </c>
      <c r="N80" s="299" t="s">
        <v>200</v>
      </c>
      <c r="O80" s="299"/>
      <c r="P80" s="299"/>
      <c r="Q80" s="299"/>
      <c r="R80" s="299"/>
      <c r="S80" s="299"/>
      <c r="T80" s="299"/>
      <c r="U80" s="299"/>
      <c r="V80" s="299"/>
      <c r="W80" s="299"/>
      <c r="X80" s="299"/>
    </row>
    <row r="81" spans="1:24" x14ac:dyDescent="0.4">
      <c r="A81" s="291"/>
      <c r="B81" s="292"/>
      <c r="C81" s="292"/>
      <c r="D81" s="292"/>
      <c r="E81" s="293"/>
      <c r="F81" s="394"/>
      <c r="G81" s="394"/>
      <c r="H81" s="293"/>
      <c r="J81" s="38" t="str">
        <f>K81&amp;SD[[#This Row],[Insurer Code]]&amp;"; "&amp;L81&amp;SD[[#This Row],[Reporting Year]]&amp;"; "&amp;M81&amp;SD[[#This Row],[Market Code]]&amp;"; "&amp;N81&amp;SD[[#This Row],[Large Provider Entity Code]]</f>
        <v xml:space="preserve">Insurer Code ; Reporting Year ; Market Code ; Large Provider Entity Code </v>
      </c>
      <c r="K81" s="299" t="s">
        <v>197</v>
      </c>
      <c r="L81" s="299" t="s">
        <v>198</v>
      </c>
      <c r="M81" s="299" t="s">
        <v>227</v>
      </c>
      <c r="N81" s="299" t="s">
        <v>200</v>
      </c>
      <c r="O81" s="299"/>
      <c r="P81" s="299"/>
      <c r="Q81" s="299"/>
      <c r="R81" s="299"/>
      <c r="S81" s="299"/>
      <c r="T81" s="299"/>
      <c r="U81" s="299"/>
      <c r="V81" s="299"/>
      <c r="W81" s="299"/>
      <c r="X81" s="299"/>
    </row>
    <row r="82" spans="1:24" x14ac:dyDescent="0.4">
      <c r="A82" s="291"/>
      <c r="B82" s="292"/>
      <c r="C82" s="292"/>
      <c r="D82" s="292"/>
      <c r="E82" s="293"/>
      <c r="F82" s="394"/>
      <c r="G82" s="394"/>
      <c r="H82" s="293"/>
      <c r="J82" s="38" t="str">
        <f>K82&amp;SD[[#This Row],[Insurer Code]]&amp;"; "&amp;L82&amp;SD[[#This Row],[Reporting Year]]&amp;"; "&amp;M82&amp;SD[[#This Row],[Market Code]]&amp;"; "&amp;N82&amp;SD[[#This Row],[Large Provider Entity Code]]</f>
        <v xml:space="preserve">Insurer Code ; Reporting Year ; Market Code ; Large Provider Entity Code </v>
      </c>
      <c r="K82" s="299" t="s">
        <v>197</v>
      </c>
      <c r="L82" s="299" t="s">
        <v>198</v>
      </c>
      <c r="M82" s="299" t="s">
        <v>227</v>
      </c>
      <c r="N82" s="299" t="s">
        <v>200</v>
      </c>
      <c r="O82" s="299"/>
      <c r="P82" s="299"/>
      <c r="Q82" s="299"/>
      <c r="R82" s="299"/>
      <c r="S82" s="299"/>
      <c r="T82" s="299"/>
      <c r="U82" s="299"/>
      <c r="V82" s="299"/>
      <c r="W82" s="299"/>
      <c r="X82" s="299"/>
    </row>
    <row r="83" spans="1:24" x14ac:dyDescent="0.4">
      <c r="A83" s="291"/>
      <c r="B83" s="292"/>
      <c r="C83" s="292"/>
      <c r="D83" s="292"/>
      <c r="E83" s="293"/>
      <c r="F83" s="394"/>
      <c r="G83" s="394"/>
      <c r="H83" s="293"/>
      <c r="J83" s="38" t="str">
        <f>K83&amp;SD[[#This Row],[Insurer Code]]&amp;"; "&amp;L83&amp;SD[[#This Row],[Reporting Year]]&amp;"; "&amp;M83&amp;SD[[#This Row],[Market Code]]&amp;"; "&amp;N83&amp;SD[[#This Row],[Large Provider Entity Code]]</f>
        <v xml:space="preserve">Insurer Code ; Reporting Year ; Market Code ; Large Provider Entity Code </v>
      </c>
      <c r="K83" s="299" t="s">
        <v>197</v>
      </c>
      <c r="L83" s="299" t="s">
        <v>198</v>
      </c>
      <c r="M83" s="299" t="s">
        <v>227</v>
      </c>
      <c r="N83" s="299" t="s">
        <v>200</v>
      </c>
      <c r="O83" s="299"/>
      <c r="P83" s="299"/>
      <c r="Q83" s="299"/>
      <c r="R83" s="299"/>
      <c r="S83" s="299"/>
      <c r="T83" s="299"/>
      <c r="U83" s="299"/>
      <c r="V83" s="299"/>
      <c r="W83" s="299"/>
      <c r="X83" s="299"/>
    </row>
    <row r="84" spans="1:24" x14ac:dyDescent="0.4">
      <c r="A84" s="291"/>
      <c r="B84" s="292"/>
      <c r="C84" s="292"/>
      <c r="D84" s="292"/>
      <c r="E84" s="293"/>
      <c r="F84" s="394"/>
      <c r="G84" s="394"/>
      <c r="H84" s="293"/>
      <c r="J84" s="38" t="str">
        <f>K84&amp;SD[[#This Row],[Insurer Code]]&amp;"; "&amp;L84&amp;SD[[#This Row],[Reporting Year]]&amp;"; "&amp;M84&amp;SD[[#This Row],[Market Code]]&amp;"; "&amp;N84&amp;SD[[#This Row],[Large Provider Entity Code]]</f>
        <v xml:space="preserve">Insurer Code ; Reporting Year ; Market Code ; Large Provider Entity Code </v>
      </c>
      <c r="K84" s="299" t="s">
        <v>197</v>
      </c>
      <c r="L84" s="299" t="s">
        <v>198</v>
      </c>
      <c r="M84" s="299" t="s">
        <v>227</v>
      </c>
      <c r="N84" s="299" t="s">
        <v>200</v>
      </c>
      <c r="O84" s="299"/>
      <c r="P84" s="299"/>
      <c r="Q84" s="299"/>
      <c r="R84" s="299"/>
      <c r="S84" s="299"/>
      <c r="T84" s="299"/>
      <c r="U84" s="299"/>
      <c r="V84" s="299"/>
      <c r="W84" s="299"/>
      <c r="X84" s="299"/>
    </row>
    <row r="85" spans="1:24" x14ac:dyDescent="0.4">
      <c r="A85" s="291"/>
      <c r="B85" s="292"/>
      <c r="C85" s="292"/>
      <c r="D85" s="292"/>
      <c r="E85" s="293"/>
      <c r="F85" s="394"/>
      <c r="G85" s="394"/>
      <c r="H85" s="293"/>
      <c r="J85" s="38" t="str">
        <f>K85&amp;SD[[#This Row],[Insurer Code]]&amp;"; "&amp;L85&amp;SD[[#This Row],[Reporting Year]]&amp;"; "&amp;M85&amp;SD[[#This Row],[Market Code]]&amp;"; "&amp;N85&amp;SD[[#This Row],[Large Provider Entity Code]]</f>
        <v xml:space="preserve">Insurer Code ; Reporting Year ; Market Code ; Large Provider Entity Code </v>
      </c>
      <c r="K85" s="299" t="s">
        <v>197</v>
      </c>
      <c r="L85" s="299" t="s">
        <v>198</v>
      </c>
      <c r="M85" s="299" t="s">
        <v>227</v>
      </c>
      <c r="N85" s="299" t="s">
        <v>200</v>
      </c>
      <c r="O85" s="299"/>
      <c r="P85" s="299"/>
      <c r="Q85" s="299"/>
      <c r="R85" s="299"/>
      <c r="S85" s="299"/>
      <c r="T85" s="299"/>
      <c r="U85" s="299"/>
      <c r="V85" s="299"/>
      <c r="W85" s="299"/>
      <c r="X85" s="299"/>
    </row>
    <row r="86" spans="1:24" x14ac:dyDescent="0.4">
      <c r="A86" s="291"/>
      <c r="B86" s="292"/>
      <c r="C86" s="292"/>
      <c r="D86" s="292"/>
      <c r="E86" s="293"/>
      <c r="F86" s="394"/>
      <c r="G86" s="394"/>
      <c r="H86" s="293"/>
      <c r="J86" s="38" t="str">
        <f>K86&amp;SD[[#This Row],[Insurer Code]]&amp;"; "&amp;L86&amp;SD[[#This Row],[Reporting Year]]&amp;"; "&amp;M86&amp;SD[[#This Row],[Market Code]]&amp;"; "&amp;N86&amp;SD[[#This Row],[Large Provider Entity Code]]</f>
        <v xml:space="preserve">Insurer Code ; Reporting Year ; Market Code ; Large Provider Entity Code </v>
      </c>
      <c r="K86" s="299" t="s">
        <v>197</v>
      </c>
      <c r="L86" s="299" t="s">
        <v>198</v>
      </c>
      <c r="M86" s="299" t="s">
        <v>227</v>
      </c>
      <c r="N86" s="299" t="s">
        <v>200</v>
      </c>
      <c r="O86" s="299"/>
      <c r="P86" s="299"/>
      <c r="Q86" s="299"/>
      <c r="R86" s="299"/>
      <c r="S86" s="299"/>
      <c r="T86" s="299"/>
      <c r="U86" s="299"/>
      <c r="V86" s="299"/>
      <c r="W86" s="299"/>
      <c r="X86" s="299"/>
    </row>
    <row r="87" spans="1:24" x14ac:dyDescent="0.4">
      <c r="A87" s="291"/>
      <c r="B87" s="292"/>
      <c r="C87" s="292"/>
      <c r="D87" s="292"/>
      <c r="E87" s="293"/>
      <c r="F87" s="394"/>
      <c r="G87" s="394"/>
      <c r="H87" s="293"/>
      <c r="J87" s="38" t="str">
        <f>K87&amp;SD[[#This Row],[Insurer Code]]&amp;"; "&amp;L87&amp;SD[[#This Row],[Reporting Year]]&amp;"; "&amp;M87&amp;SD[[#This Row],[Market Code]]&amp;"; "&amp;N87&amp;SD[[#This Row],[Large Provider Entity Code]]</f>
        <v xml:space="preserve">Insurer Code ; Reporting Year ; Market Code ; Large Provider Entity Code </v>
      </c>
      <c r="K87" s="299" t="s">
        <v>197</v>
      </c>
      <c r="L87" s="299" t="s">
        <v>198</v>
      </c>
      <c r="M87" s="299" t="s">
        <v>227</v>
      </c>
      <c r="N87" s="299" t="s">
        <v>200</v>
      </c>
      <c r="O87" s="299"/>
      <c r="P87" s="299"/>
      <c r="Q87" s="299"/>
      <c r="R87" s="299"/>
      <c r="S87" s="299"/>
      <c r="T87" s="299"/>
      <c r="U87" s="299"/>
      <c r="V87" s="299"/>
      <c r="W87" s="299"/>
      <c r="X87" s="299"/>
    </row>
    <row r="88" spans="1:24" x14ac:dyDescent="0.4">
      <c r="A88" s="291"/>
      <c r="B88" s="292"/>
      <c r="C88" s="292"/>
      <c r="D88" s="292"/>
      <c r="E88" s="293"/>
      <c r="F88" s="394"/>
      <c r="G88" s="394"/>
      <c r="H88" s="293"/>
      <c r="J88" s="38" t="str">
        <f>K88&amp;SD[[#This Row],[Insurer Code]]&amp;"; "&amp;L88&amp;SD[[#This Row],[Reporting Year]]&amp;"; "&amp;M88&amp;SD[[#This Row],[Market Code]]&amp;"; "&amp;N88&amp;SD[[#This Row],[Large Provider Entity Code]]</f>
        <v xml:space="preserve">Insurer Code ; Reporting Year ; Market Code ; Large Provider Entity Code </v>
      </c>
      <c r="K88" s="299" t="s">
        <v>197</v>
      </c>
      <c r="L88" s="299" t="s">
        <v>198</v>
      </c>
      <c r="M88" s="299" t="s">
        <v>227</v>
      </c>
      <c r="N88" s="299" t="s">
        <v>200</v>
      </c>
      <c r="O88" s="299"/>
      <c r="P88" s="299"/>
      <c r="Q88" s="299"/>
      <c r="R88" s="299"/>
      <c r="S88" s="299"/>
      <c r="T88" s="299"/>
      <c r="U88" s="299"/>
      <c r="V88" s="299"/>
      <c r="W88" s="299"/>
      <c r="X88" s="299"/>
    </row>
    <row r="89" spans="1:24" x14ac:dyDescent="0.4">
      <c r="A89" s="291"/>
      <c r="B89" s="292"/>
      <c r="C89" s="292"/>
      <c r="D89" s="292"/>
      <c r="E89" s="293"/>
      <c r="F89" s="394"/>
      <c r="G89" s="394"/>
      <c r="H89" s="293"/>
      <c r="J89" s="38" t="str">
        <f>K89&amp;SD[[#This Row],[Insurer Code]]&amp;"; "&amp;L89&amp;SD[[#This Row],[Reporting Year]]&amp;"; "&amp;M89&amp;SD[[#This Row],[Market Code]]&amp;"; "&amp;N89&amp;SD[[#This Row],[Large Provider Entity Code]]</f>
        <v xml:space="preserve">Insurer Code ; Reporting Year ; Market Code ; Large Provider Entity Code </v>
      </c>
      <c r="K89" s="299" t="s">
        <v>197</v>
      </c>
      <c r="L89" s="299" t="s">
        <v>198</v>
      </c>
      <c r="M89" s="299" t="s">
        <v>227</v>
      </c>
      <c r="N89" s="299" t="s">
        <v>200</v>
      </c>
      <c r="O89" s="299"/>
      <c r="P89" s="299"/>
      <c r="Q89" s="299"/>
      <c r="R89" s="299"/>
      <c r="S89" s="299"/>
      <c r="T89" s="299"/>
      <c r="U89" s="299"/>
      <c r="V89" s="299"/>
      <c r="W89" s="299"/>
      <c r="X89" s="299"/>
    </row>
    <row r="90" spans="1:24" x14ac:dyDescent="0.4">
      <c r="A90" s="291"/>
      <c r="B90" s="292"/>
      <c r="C90" s="292"/>
      <c r="D90" s="292"/>
      <c r="E90" s="293"/>
      <c r="F90" s="394"/>
      <c r="G90" s="394"/>
      <c r="H90" s="293"/>
      <c r="J90" s="38" t="str">
        <f>K90&amp;SD[[#This Row],[Insurer Code]]&amp;"; "&amp;L90&amp;SD[[#This Row],[Reporting Year]]&amp;"; "&amp;M90&amp;SD[[#This Row],[Market Code]]&amp;"; "&amp;N90&amp;SD[[#This Row],[Large Provider Entity Code]]</f>
        <v xml:space="preserve">Insurer Code ; Reporting Year ; Market Code ; Large Provider Entity Code </v>
      </c>
      <c r="K90" s="299" t="s">
        <v>197</v>
      </c>
      <c r="L90" s="299" t="s">
        <v>198</v>
      </c>
      <c r="M90" s="299" t="s">
        <v>227</v>
      </c>
      <c r="N90" s="299" t="s">
        <v>200</v>
      </c>
      <c r="O90" s="299"/>
      <c r="P90" s="299"/>
      <c r="Q90" s="299"/>
      <c r="R90" s="299"/>
      <c r="S90" s="299"/>
      <c r="T90" s="299"/>
      <c r="U90" s="299"/>
      <c r="V90" s="299"/>
      <c r="W90" s="299"/>
      <c r="X90" s="299"/>
    </row>
    <row r="91" spans="1:24" x14ac:dyDescent="0.4">
      <c r="A91" s="291"/>
      <c r="B91" s="292"/>
      <c r="C91" s="292"/>
      <c r="D91" s="292"/>
      <c r="E91" s="293"/>
      <c r="F91" s="394"/>
      <c r="G91" s="394"/>
      <c r="H91" s="293"/>
      <c r="J91" s="38" t="str">
        <f>K91&amp;SD[[#This Row],[Insurer Code]]&amp;"; "&amp;L91&amp;SD[[#This Row],[Reporting Year]]&amp;"; "&amp;M91&amp;SD[[#This Row],[Market Code]]&amp;"; "&amp;N91&amp;SD[[#This Row],[Large Provider Entity Code]]</f>
        <v xml:space="preserve">Insurer Code ; Reporting Year ; Market Code ; Large Provider Entity Code </v>
      </c>
      <c r="K91" s="299" t="s">
        <v>197</v>
      </c>
      <c r="L91" s="299" t="s">
        <v>198</v>
      </c>
      <c r="M91" s="299" t="s">
        <v>227</v>
      </c>
      <c r="N91" s="299" t="s">
        <v>200</v>
      </c>
      <c r="O91" s="299"/>
      <c r="P91" s="299"/>
      <c r="Q91" s="299"/>
      <c r="R91" s="299"/>
      <c r="S91" s="299"/>
      <c r="T91" s="299"/>
      <c r="U91" s="299"/>
      <c r="V91" s="299"/>
      <c r="W91" s="299"/>
      <c r="X91" s="299"/>
    </row>
    <row r="92" spans="1:24" x14ac:dyDescent="0.4">
      <c r="A92" s="291"/>
      <c r="B92" s="292"/>
      <c r="C92" s="292"/>
      <c r="D92" s="292"/>
      <c r="E92" s="293"/>
      <c r="F92" s="394"/>
      <c r="G92" s="394"/>
      <c r="H92" s="293"/>
      <c r="J92" s="38" t="str">
        <f>K92&amp;SD[[#This Row],[Insurer Code]]&amp;"; "&amp;L92&amp;SD[[#This Row],[Reporting Year]]&amp;"; "&amp;M92&amp;SD[[#This Row],[Market Code]]&amp;"; "&amp;N92&amp;SD[[#This Row],[Large Provider Entity Code]]</f>
        <v xml:space="preserve">Insurer Code ; Reporting Year ; Market Code ; Large Provider Entity Code </v>
      </c>
      <c r="K92" s="299" t="s">
        <v>197</v>
      </c>
      <c r="L92" s="299" t="s">
        <v>198</v>
      </c>
      <c r="M92" s="299" t="s">
        <v>227</v>
      </c>
      <c r="N92" s="299" t="s">
        <v>200</v>
      </c>
      <c r="O92" s="299"/>
      <c r="P92" s="299"/>
      <c r="Q92" s="299"/>
      <c r="R92" s="299"/>
      <c r="S92" s="299"/>
      <c r="T92" s="299"/>
      <c r="U92" s="299"/>
      <c r="V92" s="299"/>
      <c r="W92" s="299"/>
      <c r="X92" s="299"/>
    </row>
    <row r="93" spans="1:24" x14ac:dyDescent="0.4">
      <c r="A93" s="291"/>
      <c r="B93" s="292"/>
      <c r="C93" s="292"/>
      <c r="D93" s="292"/>
      <c r="E93" s="293"/>
      <c r="F93" s="394"/>
      <c r="G93" s="394"/>
      <c r="H93" s="293"/>
      <c r="J93" s="38" t="str">
        <f>K93&amp;SD[[#This Row],[Insurer Code]]&amp;"; "&amp;L93&amp;SD[[#This Row],[Reporting Year]]&amp;"; "&amp;M93&amp;SD[[#This Row],[Market Code]]&amp;"; "&amp;N93&amp;SD[[#This Row],[Large Provider Entity Code]]</f>
        <v xml:space="preserve">Insurer Code ; Reporting Year ; Market Code ; Large Provider Entity Code </v>
      </c>
      <c r="K93" s="299" t="s">
        <v>197</v>
      </c>
      <c r="L93" s="299" t="s">
        <v>198</v>
      </c>
      <c r="M93" s="299" t="s">
        <v>227</v>
      </c>
      <c r="N93" s="299" t="s">
        <v>200</v>
      </c>
      <c r="O93" s="299"/>
      <c r="P93" s="299"/>
      <c r="Q93" s="299"/>
      <c r="R93" s="299"/>
      <c r="S93" s="299"/>
      <c r="T93" s="299"/>
      <c r="U93" s="299"/>
      <c r="V93" s="299"/>
      <c r="W93" s="299"/>
      <c r="X93" s="299"/>
    </row>
    <row r="94" spans="1:24" x14ac:dyDescent="0.4">
      <c r="A94" s="291"/>
      <c r="B94" s="292"/>
      <c r="C94" s="292"/>
      <c r="D94" s="292"/>
      <c r="E94" s="293"/>
      <c r="F94" s="394"/>
      <c r="G94" s="394"/>
      <c r="H94" s="293"/>
      <c r="J94" s="38" t="str">
        <f>K94&amp;SD[[#This Row],[Insurer Code]]&amp;"; "&amp;L94&amp;SD[[#This Row],[Reporting Year]]&amp;"; "&amp;M94&amp;SD[[#This Row],[Market Code]]&amp;"; "&amp;N94&amp;SD[[#This Row],[Large Provider Entity Code]]</f>
        <v xml:space="preserve">Insurer Code ; Reporting Year ; Market Code ; Large Provider Entity Code </v>
      </c>
      <c r="K94" s="299" t="s">
        <v>197</v>
      </c>
      <c r="L94" s="299" t="s">
        <v>198</v>
      </c>
      <c r="M94" s="299" t="s">
        <v>227</v>
      </c>
      <c r="N94" s="299" t="s">
        <v>200</v>
      </c>
      <c r="O94" s="299"/>
      <c r="P94" s="299"/>
      <c r="Q94" s="299"/>
      <c r="R94" s="299"/>
      <c r="S94" s="299"/>
      <c r="T94" s="299"/>
      <c r="U94" s="299"/>
      <c r="V94" s="299"/>
      <c r="W94" s="299"/>
      <c r="X94" s="299"/>
    </row>
    <row r="95" spans="1:24" x14ac:dyDescent="0.4">
      <c r="A95" s="291"/>
      <c r="B95" s="292"/>
      <c r="C95" s="292"/>
      <c r="D95" s="292"/>
      <c r="E95" s="293"/>
      <c r="F95" s="394"/>
      <c r="G95" s="394"/>
      <c r="H95" s="293"/>
      <c r="J95" s="38" t="str">
        <f>K95&amp;SD[[#This Row],[Insurer Code]]&amp;"; "&amp;L95&amp;SD[[#This Row],[Reporting Year]]&amp;"; "&amp;M95&amp;SD[[#This Row],[Market Code]]&amp;"; "&amp;N95&amp;SD[[#This Row],[Large Provider Entity Code]]</f>
        <v xml:space="preserve">Insurer Code ; Reporting Year ; Market Code ; Large Provider Entity Code </v>
      </c>
      <c r="K95" s="299" t="s">
        <v>197</v>
      </c>
      <c r="L95" s="299" t="s">
        <v>198</v>
      </c>
      <c r="M95" s="299" t="s">
        <v>227</v>
      </c>
      <c r="N95" s="299" t="s">
        <v>200</v>
      </c>
      <c r="O95" s="299"/>
      <c r="P95" s="299"/>
      <c r="Q95" s="299"/>
      <c r="R95" s="299"/>
      <c r="S95" s="299"/>
      <c r="T95" s="299"/>
      <c r="U95" s="299"/>
      <c r="V95" s="299"/>
      <c r="W95" s="299"/>
      <c r="X95" s="299"/>
    </row>
    <row r="96" spans="1:24" x14ac:dyDescent="0.4">
      <c r="A96" s="291"/>
      <c r="B96" s="292"/>
      <c r="C96" s="292"/>
      <c r="D96" s="292"/>
      <c r="E96" s="293"/>
      <c r="F96" s="394"/>
      <c r="G96" s="394"/>
      <c r="H96" s="293"/>
      <c r="J96" s="38" t="str">
        <f>K96&amp;SD[[#This Row],[Insurer Code]]&amp;"; "&amp;L96&amp;SD[[#This Row],[Reporting Year]]&amp;"; "&amp;M96&amp;SD[[#This Row],[Market Code]]&amp;"; "&amp;N96&amp;SD[[#This Row],[Large Provider Entity Code]]</f>
        <v xml:space="preserve">Insurer Code ; Reporting Year ; Market Code ; Large Provider Entity Code </v>
      </c>
      <c r="K96" s="299" t="s">
        <v>197</v>
      </c>
      <c r="L96" s="299" t="s">
        <v>198</v>
      </c>
      <c r="M96" s="299" t="s">
        <v>227</v>
      </c>
      <c r="N96" s="299" t="s">
        <v>200</v>
      </c>
      <c r="O96" s="299"/>
      <c r="P96" s="299"/>
      <c r="Q96" s="299"/>
      <c r="R96" s="299"/>
      <c r="S96" s="299"/>
      <c r="T96" s="299"/>
      <c r="U96" s="299"/>
      <c r="V96" s="299"/>
      <c r="W96" s="299"/>
      <c r="X96" s="299"/>
    </row>
    <row r="97" spans="1:24" x14ac:dyDescent="0.4">
      <c r="A97" s="291"/>
      <c r="B97" s="292"/>
      <c r="C97" s="292"/>
      <c r="D97" s="292"/>
      <c r="E97" s="293"/>
      <c r="F97" s="394"/>
      <c r="G97" s="394"/>
      <c r="H97" s="293"/>
      <c r="J97" s="38" t="str">
        <f>K97&amp;SD[[#This Row],[Insurer Code]]&amp;"; "&amp;L97&amp;SD[[#This Row],[Reporting Year]]&amp;"; "&amp;M97&amp;SD[[#This Row],[Market Code]]&amp;"; "&amp;N97&amp;SD[[#This Row],[Large Provider Entity Code]]</f>
        <v xml:space="preserve">Insurer Code ; Reporting Year ; Market Code ; Large Provider Entity Code </v>
      </c>
      <c r="K97" s="299" t="s">
        <v>197</v>
      </c>
      <c r="L97" s="299" t="s">
        <v>198</v>
      </c>
      <c r="M97" s="299" t="s">
        <v>227</v>
      </c>
      <c r="N97" s="299" t="s">
        <v>200</v>
      </c>
      <c r="O97" s="299"/>
      <c r="P97" s="299"/>
      <c r="Q97" s="299"/>
      <c r="R97" s="299"/>
      <c r="S97" s="299"/>
      <c r="T97" s="299"/>
      <c r="U97" s="299"/>
      <c r="V97" s="299"/>
      <c r="W97" s="299"/>
      <c r="X97" s="299"/>
    </row>
    <row r="98" spans="1:24" x14ac:dyDescent="0.4">
      <c r="A98" s="291"/>
      <c r="B98" s="292"/>
      <c r="C98" s="292"/>
      <c r="D98" s="292"/>
      <c r="E98" s="293"/>
      <c r="F98" s="394"/>
      <c r="G98" s="394"/>
      <c r="H98" s="293"/>
      <c r="J98" s="38" t="str">
        <f>K98&amp;SD[[#This Row],[Insurer Code]]&amp;"; "&amp;L98&amp;SD[[#This Row],[Reporting Year]]&amp;"; "&amp;M98&amp;SD[[#This Row],[Market Code]]&amp;"; "&amp;N98&amp;SD[[#This Row],[Large Provider Entity Code]]</f>
        <v xml:space="preserve">Insurer Code ; Reporting Year ; Market Code ; Large Provider Entity Code </v>
      </c>
      <c r="K98" s="299" t="s">
        <v>197</v>
      </c>
      <c r="L98" s="299" t="s">
        <v>198</v>
      </c>
      <c r="M98" s="299" t="s">
        <v>227</v>
      </c>
      <c r="N98" s="299" t="s">
        <v>200</v>
      </c>
      <c r="O98" s="299"/>
      <c r="P98" s="299"/>
      <c r="Q98" s="299"/>
      <c r="R98" s="299"/>
      <c r="S98" s="299"/>
      <c r="T98" s="299"/>
      <c r="U98" s="299"/>
      <c r="V98" s="299"/>
      <c r="W98" s="299"/>
      <c r="X98" s="299"/>
    </row>
    <row r="99" spans="1:24" x14ac:dyDescent="0.4">
      <c r="A99" s="291"/>
      <c r="B99" s="292"/>
      <c r="C99" s="292"/>
      <c r="D99" s="292"/>
      <c r="E99" s="293"/>
      <c r="F99" s="394"/>
      <c r="G99" s="394"/>
      <c r="H99" s="293"/>
      <c r="J99" s="38" t="str">
        <f>K99&amp;SD[[#This Row],[Insurer Code]]&amp;"; "&amp;L99&amp;SD[[#This Row],[Reporting Year]]&amp;"; "&amp;M99&amp;SD[[#This Row],[Market Code]]&amp;"; "&amp;N99&amp;SD[[#This Row],[Large Provider Entity Code]]</f>
        <v xml:space="preserve">Insurer Code ; Reporting Year ; Market Code ; Large Provider Entity Code </v>
      </c>
      <c r="K99" s="299" t="s">
        <v>197</v>
      </c>
      <c r="L99" s="299" t="s">
        <v>198</v>
      </c>
      <c r="M99" s="299" t="s">
        <v>227</v>
      </c>
      <c r="N99" s="299" t="s">
        <v>200</v>
      </c>
      <c r="O99" s="299"/>
      <c r="P99" s="299"/>
      <c r="Q99" s="299"/>
      <c r="R99" s="299"/>
      <c r="S99" s="299"/>
      <c r="T99" s="299"/>
      <c r="U99" s="299"/>
      <c r="V99" s="299"/>
      <c r="W99" s="299"/>
      <c r="X99" s="299"/>
    </row>
    <row r="100" spans="1:24" x14ac:dyDescent="0.4">
      <c r="A100" s="291"/>
      <c r="B100" s="292"/>
      <c r="C100" s="292"/>
      <c r="D100" s="292"/>
      <c r="E100" s="293"/>
      <c r="F100" s="394"/>
      <c r="G100" s="394"/>
      <c r="H100" s="293"/>
      <c r="J100" s="38" t="str">
        <f>K100&amp;SD[[#This Row],[Insurer Code]]&amp;"; "&amp;L100&amp;SD[[#This Row],[Reporting Year]]&amp;"; "&amp;M100&amp;SD[[#This Row],[Market Code]]&amp;"; "&amp;N100&amp;SD[[#This Row],[Large Provider Entity Code]]</f>
        <v xml:space="preserve">Insurer Code ; Reporting Year ; Market Code ; Large Provider Entity Code </v>
      </c>
      <c r="K100" s="299" t="s">
        <v>197</v>
      </c>
      <c r="L100" s="299" t="s">
        <v>198</v>
      </c>
      <c r="M100" s="299" t="s">
        <v>227</v>
      </c>
      <c r="N100" s="299" t="s">
        <v>200</v>
      </c>
      <c r="O100" s="299"/>
      <c r="P100" s="299"/>
      <c r="Q100" s="299"/>
      <c r="R100" s="299"/>
      <c r="S100" s="299"/>
      <c r="T100" s="299"/>
      <c r="U100" s="299"/>
      <c r="V100" s="299"/>
      <c r="W100" s="299"/>
      <c r="X100" s="299"/>
    </row>
    <row r="101" spans="1:24" x14ac:dyDescent="0.4">
      <c r="A101" s="291"/>
      <c r="B101" s="292"/>
      <c r="C101" s="292"/>
      <c r="D101" s="292"/>
      <c r="E101" s="293"/>
      <c r="F101" s="394"/>
      <c r="G101" s="394"/>
      <c r="H101" s="293"/>
      <c r="J101" s="38" t="str">
        <f>K101&amp;SD[[#This Row],[Insurer Code]]&amp;"; "&amp;L101&amp;SD[[#This Row],[Reporting Year]]&amp;"; "&amp;M101&amp;SD[[#This Row],[Market Code]]&amp;"; "&amp;N101&amp;SD[[#This Row],[Large Provider Entity Code]]</f>
        <v xml:space="preserve">Insurer Code ; Reporting Year ; Market Code ; Large Provider Entity Code </v>
      </c>
      <c r="K101" s="299" t="s">
        <v>197</v>
      </c>
      <c r="L101" s="299" t="s">
        <v>198</v>
      </c>
      <c r="M101" s="299" t="s">
        <v>227</v>
      </c>
      <c r="N101" s="299" t="s">
        <v>200</v>
      </c>
      <c r="O101" s="299"/>
      <c r="P101" s="299"/>
      <c r="Q101" s="299"/>
      <c r="R101" s="299"/>
      <c r="S101" s="299"/>
      <c r="T101" s="299"/>
      <c r="U101" s="299"/>
      <c r="V101" s="299"/>
      <c r="W101" s="299"/>
      <c r="X101" s="299"/>
    </row>
    <row r="102" spans="1:24" x14ac:dyDescent="0.4">
      <c r="A102" s="291"/>
      <c r="B102" s="292"/>
      <c r="C102" s="292"/>
      <c r="D102" s="292"/>
      <c r="E102" s="293"/>
      <c r="F102" s="394"/>
      <c r="G102" s="394"/>
      <c r="H102" s="293"/>
      <c r="J102" s="38" t="str">
        <f>K102&amp;SD[[#This Row],[Insurer Code]]&amp;"; "&amp;L102&amp;SD[[#This Row],[Reporting Year]]&amp;"; "&amp;M102&amp;SD[[#This Row],[Market Code]]&amp;"; "&amp;N102&amp;SD[[#This Row],[Large Provider Entity Code]]</f>
        <v xml:space="preserve">Insurer Code ; Reporting Year ; Market Code ; Large Provider Entity Code </v>
      </c>
      <c r="K102" s="299" t="s">
        <v>197</v>
      </c>
      <c r="L102" s="299" t="s">
        <v>198</v>
      </c>
      <c r="M102" s="299" t="s">
        <v>227</v>
      </c>
      <c r="N102" s="299" t="s">
        <v>200</v>
      </c>
      <c r="O102" s="299"/>
      <c r="P102" s="299"/>
      <c r="Q102" s="299"/>
      <c r="R102" s="299"/>
      <c r="S102" s="299"/>
      <c r="T102" s="299"/>
      <c r="U102" s="299"/>
      <c r="V102" s="299"/>
      <c r="W102" s="299"/>
      <c r="X102" s="299"/>
    </row>
    <row r="103" spans="1:24" x14ac:dyDescent="0.4">
      <c r="A103" s="291"/>
      <c r="B103" s="292"/>
      <c r="C103" s="292"/>
      <c r="D103" s="292"/>
      <c r="E103" s="293"/>
      <c r="F103" s="394"/>
      <c r="G103" s="394"/>
      <c r="H103" s="293"/>
      <c r="J103" s="38" t="str">
        <f>K103&amp;SD[[#This Row],[Insurer Code]]&amp;"; "&amp;L103&amp;SD[[#This Row],[Reporting Year]]&amp;"; "&amp;M103&amp;SD[[#This Row],[Market Code]]&amp;"; "&amp;N103&amp;SD[[#This Row],[Large Provider Entity Code]]</f>
        <v xml:space="preserve">Insurer Code ; Reporting Year ; Market Code ; Large Provider Entity Code </v>
      </c>
      <c r="K103" s="299" t="s">
        <v>197</v>
      </c>
      <c r="L103" s="299" t="s">
        <v>198</v>
      </c>
      <c r="M103" s="299" t="s">
        <v>227</v>
      </c>
      <c r="N103" s="299" t="s">
        <v>200</v>
      </c>
      <c r="O103" s="299"/>
      <c r="P103" s="299"/>
      <c r="Q103" s="299"/>
      <c r="R103" s="299"/>
      <c r="S103" s="299"/>
      <c r="T103" s="299"/>
      <c r="U103" s="299"/>
      <c r="V103" s="299"/>
      <c r="W103" s="299"/>
      <c r="X103" s="299"/>
    </row>
    <row r="104" spans="1:24" x14ac:dyDescent="0.4">
      <c r="A104" s="291"/>
      <c r="B104" s="292"/>
      <c r="C104" s="292"/>
      <c r="D104" s="292"/>
      <c r="E104" s="293"/>
      <c r="F104" s="394"/>
      <c r="G104" s="394"/>
      <c r="H104" s="293"/>
      <c r="J104" s="38" t="str">
        <f>K104&amp;SD[[#This Row],[Insurer Code]]&amp;"; "&amp;L104&amp;SD[[#This Row],[Reporting Year]]&amp;"; "&amp;M104&amp;SD[[#This Row],[Market Code]]&amp;"; "&amp;N104&amp;SD[[#This Row],[Large Provider Entity Code]]</f>
        <v xml:space="preserve">Insurer Code ; Reporting Year ; Market Code ; Large Provider Entity Code </v>
      </c>
      <c r="K104" s="299" t="s">
        <v>197</v>
      </c>
      <c r="L104" s="299" t="s">
        <v>198</v>
      </c>
      <c r="M104" s="299" t="s">
        <v>227</v>
      </c>
      <c r="N104" s="299" t="s">
        <v>200</v>
      </c>
      <c r="O104" s="299"/>
      <c r="P104" s="299"/>
      <c r="Q104" s="299"/>
      <c r="R104" s="299"/>
      <c r="S104" s="299"/>
      <c r="T104" s="299"/>
      <c r="U104" s="299"/>
      <c r="V104" s="299"/>
      <c r="W104" s="299"/>
      <c r="X104" s="299"/>
    </row>
    <row r="105" spans="1:24" x14ac:dyDescent="0.4">
      <c r="A105" s="291"/>
      <c r="B105" s="292"/>
      <c r="C105" s="292"/>
      <c r="D105" s="292"/>
      <c r="E105" s="293"/>
      <c r="F105" s="394"/>
      <c r="G105" s="394"/>
      <c r="H105" s="293"/>
      <c r="J105" s="38" t="str">
        <f>K105&amp;SD[[#This Row],[Insurer Code]]&amp;"; "&amp;L105&amp;SD[[#This Row],[Reporting Year]]&amp;"; "&amp;M105&amp;SD[[#This Row],[Market Code]]&amp;"; "&amp;N105&amp;SD[[#This Row],[Large Provider Entity Code]]</f>
        <v xml:space="preserve">Insurer Code ; Reporting Year ; Market Code ; Large Provider Entity Code </v>
      </c>
      <c r="K105" s="299" t="s">
        <v>197</v>
      </c>
      <c r="L105" s="299" t="s">
        <v>198</v>
      </c>
      <c r="M105" s="299" t="s">
        <v>227</v>
      </c>
      <c r="N105" s="299" t="s">
        <v>200</v>
      </c>
      <c r="O105" s="299"/>
      <c r="P105" s="299"/>
      <c r="Q105" s="299"/>
      <c r="R105" s="299"/>
      <c r="S105" s="299"/>
      <c r="T105" s="299"/>
      <c r="U105" s="299"/>
      <c r="V105" s="299"/>
      <c r="W105" s="299"/>
      <c r="X105" s="299"/>
    </row>
    <row r="106" spans="1:24" x14ac:dyDescent="0.4">
      <c r="A106" s="291"/>
      <c r="B106" s="292"/>
      <c r="C106" s="292"/>
      <c r="D106" s="292"/>
      <c r="E106" s="293"/>
      <c r="F106" s="394"/>
      <c r="G106" s="394"/>
      <c r="H106" s="293"/>
      <c r="J106" s="38" t="str">
        <f>K106&amp;SD[[#This Row],[Insurer Code]]&amp;"; "&amp;L106&amp;SD[[#This Row],[Reporting Year]]&amp;"; "&amp;M106&amp;SD[[#This Row],[Market Code]]&amp;"; "&amp;N106&amp;SD[[#This Row],[Large Provider Entity Code]]</f>
        <v xml:space="preserve">Insurer Code ; Reporting Year ; Market Code ; Large Provider Entity Code </v>
      </c>
      <c r="K106" s="299" t="s">
        <v>197</v>
      </c>
      <c r="L106" s="299" t="s">
        <v>198</v>
      </c>
      <c r="M106" s="299" t="s">
        <v>227</v>
      </c>
      <c r="N106" s="299" t="s">
        <v>200</v>
      </c>
      <c r="O106" s="299"/>
      <c r="P106" s="299"/>
      <c r="Q106" s="299"/>
      <c r="R106" s="299"/>
      <c r="S106" s="299"/>
      <c r="T106" s="299"/>
      <c r="U106" s="299"/>
      <c r="V106" s="299"/>
      <c r="W106" s="299"/>
      <c r="X106" s="299"/>
    </row>
    <row r="107" spans="1:24" x14ac:dyDescent="0.4">
      <c r="A107" s="291"/>
      <c r="B107" s="292"/>
      <c r="C107" s="292"/>
      <c r="D107" s="292"/>
      <c r="E107" s="293"/>
      <c r="F107" s="394"/>
      <c r="G107" s="394"/>
      <c r="H107" s="293"/>
      <c r="J107" s="38" t="str">
        <f>K107&amp;SD[[#This Row],[Insurer Code]]&amp;"; "&amp;L107&amp;SD[[#This Row],[Reporting Year]]&amp;"; "&amp;M107&amp;SD[[#This Row],[Market Code]]&amp;"; "&amp;N107&amp;SD[[#This Row],[Large Provider Entity Code]]</f>
        <v xml:space="preserve">Insurer Code ; Reporting Year ; Market Code ; Large Provider Entity Code </v>
      </c>
      <c r="K107" s="299" t="s">
        <v>197</v>
      </c>
      <c r="L107" s="299" t="s">
        <v>198</v>
      </c>
      <c r="M107" s="299" t="s">
        <v>227</v>
      </c>
      <c r="N107" s="299" t="s">
        <v>200</v>
      </c>
      <c r="O107" s="299"/>
      <c r="P107" s="299"/>
      <c r="Q107" s="299"/>
      <c r="R107" s="299"/>
      <c r="S107" s="299"/>
      <c r="T107" s="299"/>
      <c r="U107" s="299"/>
      <c r="V107" s="299"/>
      <c r="W107" s="299"/>
      <c r="X107" s="299"/>
    </row>
    <row r="108" spans="1:24" x14ac:dyDescent="0.4">
      <c r="A108" s="291"/>
      <c r="B108" s="292"/>
      <c r="C108" s="292"/>
      <c r="D108" s="292"/>
      <c r="E108" s="293"/>
      <c r="F108" s="394"/>
      <c r="G108" s="394"/>
      <c r="H108" s="293"/>
      <c r="J108" s="38" t="str">
        <f>K108&amp;SD[[#This Row],[Insurer Code]]&amp;"; "&amp;L108&amp;SD[[#This Row],[Reporting Year]]&amp;"; "&amp;M108&amp;SD[[#This Row],[Market Code]]&amp;"; "&amp;N108&amp;SD[[#This Row],[Large Provider Entity Code]]</f>
        <v xml:space="preserve">Insurer Code ; Reporting Year ; Market Code ; Large Provider Entity Code </v>
      </c>
      <c r="K108" s="299" t="s">
        <v>197</v>
      </c>
      <c r="L108" s="299" t="s">
        <v>198</v>
      </c>
      <c r="M108" s="299" t="s">
        <v>227</v>
      </c>
      <c r="N108" s="299" t="s">
        <v>200</v>
      </c>
      <c r="O108" s="299"/>
      <c r="P108" s="299"/>
      <c r="Q108" s="299"/>
      <c r="R108" s="299"/>
      <c r="S108" s="299"/>
      <c r="T108" s="299"/>
      <c r="U108" s="299"/>
      <c r="V108" s="299"/>
      <c r="W108" s="299"/>
      <c r="X108" s="299"/>
    </row>
    <row r="109" spans="1:24" x14ac:dyDescent="0.4">
      <c r="A109" s="291"/>
      <c r="B109" s="292"/>
      <c r="C109" s="292"/>
      <c r="D109" s="292"/>
      <c r="E109" s="293"/>
      <c r="F109" s="394"/>
      <c r="G109" s="394"/>
      <c r="H109" s="293"/>
      <c r="J109" s="38" t="str">
        <f>K109&amp;SD[[#This Row],[Insurer Code]]&amp;"; "&amp;L109&amp;SD[[#This Row],[Reporting Year]]&amp;"; "&amp;M109&amp;SD[[#This Row],[Market Code]]&amp;"; "&amp;N109&amp;SD[[#This Row],[Large Provider Entity Code]]</f>
        <v xml:space="preserve">Insurer Code ; Reporting Year ; Market Code ; Large Provider Entity Code </v>
      </c>
      <c r="K109" s="299" t="s">
        <v>197</v>
      </c>
      <c r="L109" s="299" t="s">
        <v>198</v>
      </c>
      <c r="M109" s="299" t="s">
        <v>227</v>
      </c>
      <c r="N109" s="299" t="s">
        <v>200</v>
      </c>
      <c r="O109" s="299"/>
      <c r="P109" s="299"/>
      <c r="Q109" s="299"/>
      <c r="R109" s="299"/>
      <c r="S109" s="299"/>
      <c r="T109" s="299"/>
      <c r="U109" s="299"/>
      <c r="V109" s="299"/>
      <c r="W109" s="299"/>
      <c r="X109" s="299"/>
    </row>
    <row r="110" spans="1:24" x14ac:dyDescent="0.4">
      <c r="A110" s="291"/>
      <c r="B110" s="292"/>
      <c r="C110" s="292"/>
      <c r="D110" s="292"/>
      <c r="E110" s="293"/>
      <c r="F110" s="394"/>
      <c r="G110" s="394"/>
      <c r="H110" s="293"/>
      <c r="J110" s="38" t="str">
        <f>K110&amp;SD[[#This Row],[Insurer Code]]&amp;"; "&amp;L110&amp;SD[[#This Row],[Reporting Year]]&amp;"; "&amp;M110&amp;SD[[#This Row],[Market Code]]&amp;"; "&amp;N110&amp;SD[[#This Row],[Large Provider Entity Code]]</f>
        <v xml:space="preserve">Insurer Code ; Reporting Year ; Market Code ; Large Provider Entity Code </v>
      </c>
      <c r="K110" s="299" t="s">
        <v>197</v>
      </c>
      <c r="L110" s="299" t="s">
        <v>198</v>
      </c>
      <c r="M110" s="299" t="s">
        <v>227</v>
      </c>
      <c r="N110" s="299" t="s">
        <v>200</v>
      </c>
      <c r="O110" s="299"/>
      <c r="P110" s="299"/>
      <c r="Q110" s="299"/>
      <c r="R110" s="299"/>
      <c r="S110" s="299"/>
      <c r="T110" s="299"/>
      <c r="U110" s="299"/>
      <c r="V110" s="299"/>
      <c r="W110" s="299"/>
      <c r="X110" s="299"/>
    </row>
    <row r="111" spans="1:24" x14ac:dyDescent="0.4">
      <c r="A111" s="291"/>
      <c r="B111" s="292"/>
      <c r="C111" s="292"/>
      <c r="D111" s="292"/>
      <c r="E111" s="293"/>
      <c r="F111" s="394"/>
      <c r="G111" s="394"/>
      <c r="H111" s="293"/>
      <c r="J111" s="38" t="str">
        <f>K111&amp;SD[[#This Row],[Insurer Code]]&amp;"; "&amp;L111&amp;SD[[#This Row],[Reporting Year]]&amp;"; "&amp;M111&amp;SD[[#This Row],[Market Code]]&amp;"; "&amp;N111&amp;SD[[#This Row],[Large Provider Entity Code]]</f>
        <v xml:space="preserve">Insurer Code ; Reporting Year ; Market Code ; Large Provider Entity Code </v>
      </c>
      <c r="K111" s="299" t="s">
        <v>197</v>
      </c>
      <c r="L111" s="299" t="s">
        <v>198</v>
      </c>
      <c r="M111" s="299" t="s">
        <v>227</v>
      </c>
      <c r="N111" s="299" t="s">
        <v>200</v>
      </c>
      <c r="O111" s="299"/>
      <c r="P111" s="299"/>
      <c r="Q111" s="299"/>
      <c r="R111" s="299"/>
      <c r="S111" s="299"/>
      <c r="T111" s="299"/>
      <c r="U111" s="299"/>
      <c r="V111" s="299"/>
      <c r="W111" s="299"/>
      <c r="X111" s="299"/>
    </row>
    <row r="112" spans="1:24" x14ac:dyDescent="0.4">
      <c r="A112" s="291"/>
      <c r="B112" s="292"/>
      <c r="C112" s="292"/>
      <c r="D112" s="292"/>
      <c r="E112" s="293"/>
      <c r="F112" s="394"/>
      <c r="G112" s="394"/>
      <c r="H112" s="293"/>
      <c r="J112" s="38" t="str">
        <f>K112&amp;SD[[#This Row],[Insurer Code]]&amp;"; "&amp;L112&amp;SD[[#This Row],[Reporting Year]]&amp;"; "&amp;M112&amp;SD[[#This Row],[Market Code]]&amp;"; "&amp;N112&amp;SD[[#This Row],[Large Provider Entity Code]]</f>
        <v xml:space="preserve">Insurer Code ; Reporting Year ; Market Code ; Large Provider Entity Code </v>
      </c>
      <c r="K112" s="299" t="s">
        <v>197</v>
      </c>
      <c r="L112" s="299" t="s">
        <v>198</v>
      </c>
      <c r="M112" s="299" t="s">
        <v>227</v>
      </c>
      <c r="N112" s="299" t="s">
        <v>200</v>
      </c>
      <c r="O112" s="299"/>
      <c r="P112" s="299"/>
      <c r="Q112" s="299"/>
      <c r="R112" s="299"/>
      <c r="S112" s="299"/>
      <c r="T112" s="299"/>
      <c r="U112" s="299"/>
      <c r="V112" s="299"/>
      <c r="W112" s="299"/>
      <c r="X112" s="299"/>
    </row>
    <row r="113" spans="1:24" x14ac:dyDescent="0.4">
      <c r="A113" s="291"/>
      <c r="B113" s="292"/>
      <c r="C113" s="292"/>
      <c r="D113" s="292"/>
      <c r="E113" s="293"/>
      <c r="F113" s="394"/>
      <c r="G113" s="394"/>
      <c r="H113" s="293"/>
      <c r="J113" s="38" t="str">
        <f>K113&amp;SD[[#This Row],[Insurer Code]]&amp;"; "&amp;L113&amp;SD[[#This Row],[Reporting Year]]&amp;"; "&amp;M113&amp;SD[[#This Row],[Market Code]]&amp;"; "&amp;N113&amp;SD[[#This Row],[Large Provider Entity Code]]</f>
        <v xml:space="preserve">Insurer Code ; Reporting Year ; Market Code ; Large Provider Entity Code </v>
      </c>
      <c r="K113" s="299" t="s">
        <v>197</v>
      </c>
      <c r="L113" s="299" t="s">
        <v>198</v>
      </c>
      <c r="M113" s="299" t="s">
        <v>227</v>
      </c>
      <c r="N113" s="299" t="s">
        <v>200</v>
      </c>
      <c r="O113" s="299"/>
      <c r="P113" s="299"/>
      <c r="Q113" s="299"/>
      <c r="R113" s="299"/>
      <c r="S113" s="299"/>
      <c r="T113" s="299"/>
      <c r="U113" s="299"/>
      <c r="V113" s="299"/>
      <c r="W113" s="299"/>
      <c r="X113" s="299"/>
    </row>
    <row r="114" spans="1:24" x14ac:dyDescent="0.4">
      <c r="A114" s="291"/>
      <c r="B114" s="292"/>
      <c r="C114" s="292"/>
      <c r="D114" s="292"/>
      <c r="E114" s="293"/>
      <c r="F114" s="394"/>
      <c r="G114" s="394"/>
      <c r="H114" s="293"/>
      <c r="J114" s="38" t="str">
        <f>K114&amp;SD[[#This Row],[Insurer Code]]&amp;"; "&amp;L114&amp;SD[[#This Row],[Reporting Year]]&amp;"; "&amp;M114&amp;SD[[#This Row],[Market Code]]&amp;"; "&amp;N114&amp;SD[[#This Row],[Large Provider Entity Code]]</f>
        <v xml:space="preserve">Insurer Code ; Reporting Year ; Market Code ; Large Provider Entity Code </v>
      </c>
      <c r="K114" s="299" t="s">
        <v>197</v>
      </c>
      <c r="L114" s="299" t="s">
        <v>198</v>
      </c>
      <c r="M114" s="299" t="s">
        <v>227</v>
      </c>
      <c r="N114" s="299" t="s">
        <v>200</v>
      </c>
      <c r="O114" s="299"/>
      <c r="P114" s="299"/>
      <c r="Q114" s="299"/>
      <c r="R114" s="299"/>
      <c r="S114" s="299"/>
      <c r="T114" s="299"/>
      <c r="U114" s="299"/>
      <c r="V114" s="299"/>
      <c r="W114" s="299"/>
      <c r="X114" s="299"/>
    </row>
    <row r="115" spans="1:24" x14ac:dyDescent="0.4">
      <c r="A115" s="291"/>
      <c r="B115" s="292"/>
      <c r="C115" s="292"/>
      <c r="D115" s="292"/>
      <c r="E115" s="293"/>
      <c r="F115" s="394"/>
      <c r="G115" s="394"/>
      <c r="H115" s="293"/>
      <c r="J115" s="38" t="str">
        <f>K115&amp;SD[[#This Row],[Insurer Code]]&amp;"; "&amp;L115&amp;SD[[#This Row],[Reporting Year]]&amp;"; "&amp;M115&amp;SD[[#This Row],[Market Code]]&amp;"; "&amp;N115&amp;SD[[#This Row],[Large Provider Entity Code]]</f>
        <v xml:space="preserve">Insurer Code ; Reporting Year ; Market Code ; Large Provider Entity Code </v>
      </c>
      <c r="K115" s="299" t="s">
        <v>197</v>
      </c>
      <c r="L115" s="299" t="s">
        <v>198</v>
      </c>
      <c r="M115" s="299" t="s">
        <v>227</v>
      </c>
      <c r="N115" s="299" t="s">
        <v>200</v>
      </c>
      <c r="O115" s="299"/>
      <c r="P115" s="299"/>
      <c r="Q115" s="299"/>
      <c r="R115" s="299"/>
      <c r="S115" s="299"/>
      <c r="T115" s="299"/>
      <c r="U115" s="299"/>
      <c r="V115" s="299"/>
      <c r="W115" s="299"/>
      <c r="X115" s="299"/>
    </row>
    <row r="116" spans="1:24" x14ac:dyDescent="0.4">
      <c r="A116" s="291"/>
      <c r="B116" s="292"/>
      <c r="C116" s="292"/>
      <c r="D116" s="292"/>
      <c r="E116" s="293"/>
      <c r="F116" s="394"/>
      <c r="G116" s="394"/>
      <c r="H116" s="293"/>
      <c r="J116" s="38" t="str">
        <f>K116&amp;SD[[#This Row],[Insurer Code]]&amp;"; "&amp;L116&amp;SD[[#This Row],[Reporting Year]]&amp;"; "&amp;M116&amp;SD[[#This Row],[Market Code]]&amp;"; "&amp;N116&amp;SD[[#This Row],[Large Provider Entity Code]]</f>
        <v xml:space="preserve">Insurer Code ; Reporting Year ; Market Code ; Large Provider Entity Code </v>
      </c>
      <c r="K116" s="299" t="s">
        <v>197</v>
      </c>
      <c r="L116" s="299" t="s">
        <v>198</v>
      </c>
      <c r="M116" s="299" t="s">
        <v>227</v>
      </c>
      <c r="N116" s="299" t="s">
        <v>200</v>
      </c>
      <c r="O116" s="299"/>
      <c r="P116" s="299"/>
      <c r="Q116" s="299"/>
      <c r="R116" s="299"/>
      <c r="S116" s="299"/>
      <c r="T116" s="299"/>
      <c r="U116" s="299"/>
      <c r="V116" s="299"/>
      <c r="W116" s="299"/>
      <c r="X116" s="299"/>
    </row>
    <row r="117" spans="1:24" x14ac:dyDescent="0.4">
      <c r="A117" s="291"/>
      <c r="B117" s="292"/>
      <c r="C117" s="292"/>
      <c r="D117" s="292"/>
      <c r="E117" s="293"/>
      <c r="F117" s="394"/>
      <c r="G117" s="394"/>
      <c r="H117" s="293"/>
      <c r="J117" s="38" t="str">
        <f>K117&amp;SD[[#This Row],[Insurer Code]]&amp;"; "&amp;L117&amp;SD[[#This Row],[Reporting Year]]&amp;"; "&amp;M117&amp;SD[[#This Row],[Market Code]]&amp;"; "&amp;N117&amp;SD[[#This Row],[Large Provider Entity Code]]</f>
        <v xml:space="preserve">Insurer Code ; Reporting Year ; Market Code ; Large Provider Entity Code </v>
      </c>
      <c r="K117" s="299" t="s">
        <v>197</v>
      </c>
      <c r="L117" s="299" t="s">
        <v>198</v>
      </c>
      <c r="M117" s="299" t="s">
        <v>227</v>
      </c>
      <c r="N117" s="299" t="s">
        <v>200</v>
      </c>
      <c r="O117" s="299"/>
      <c r="P117" s="299"/>
      <c r="Q117" s="299"/>
      <c r="R117" s="299"/>
      <c r="S117" s="299"/>
      <c r="T117" s="299"/>
      <c r="U117" s="299"/>
      <c r="V117" s="299"/>
      <c r="W117" s="299"/>
      <c r="X117" s="299"/>
    </row>
    <row r="118" spans="1:24" x14ac:dyDescent="0.4">
      <c r="A118" s="291"/>
      <c r="B118" s="292"/>
      <c r="C118" s="292"/>
      <c r="D118" s="292"/>
      <c r="E118" s="293"/>
      <c r="F118" s="394"/>
      <c r="G118" s="394"/>
      <c r="H118" s="293"/>
      <c r="J118" s="38" t="str">
        <f>K118&amp;SD[[#This Row],[Insurer Code]]&amp;"; "&amp;L118&amp;SD[[#This Row],[Reporting Year]]&amp;"; "&amp;M118&amp;SD[[#This Row],[Market Code]]&amp;"; "&amp;N118&amp;SD[[#This Row],[Large Provider Entity Code]]</f>
        <v xml:space="preserve">Insurer Code ; Reporting Year ; Market Code ; Large Provider Entity Code </v>
      </c>
      <c r="K118" s="299" t="s">
        <v>197</v>
      </c>
      <c r="L118" s="299" t="s">
        <v>198</v>
      </c>
      <c r="M118" s="299" t="s">
        <v>227</v>
      </c>
      <c r="N118" s="299" t="s">
        <v>200</v>
      </c>
      <c r="O118" s="299"/>
      <c r="P118" s="299"/>
      <c r="Q118" s="299"/>
      <c r="R118" s="299"/>
      <c r="S118" s="299"/>
      <c r="T118" s="299"/>
      <c r="U118" s="299"/>
      <c r="V118" s="299"/>
      <c r="W118" s="299"/>
      <c r="X118" s="299"/>
    </row>
    <row r="119" spans="1:24" x14ac:dyDescent="0.4">
      <c r="A119" s="291"/>
      <c r="B119" s="292"/>
      <c r="C119" s="292"/>
      <c r="D119" s="292"/>
      <c r="E119" s="293"/>
      <c r="F119" s="394"/>
      <c r="G119" s="394"/>
      <c r="H119" s="293"/>
      <c r="J119" s="38" t="str">
        <f>K119&amp;SD[[#This Row],[Insurer Code]]&amp;"; "&amp;L119&amp;SD[[#This Row],[Reporting Year]]&amp;"; "&amp;M119&amp;SD[[#This Row],[Market Code]]&amp;"; "&amp;N119&amp;SD[[#This Row],[Large Provider Entity Code]]</f>
        <v xml:space="preserve">Insurer Code ; Reporting Year ; Market Code ; Large Provider Entity Code </v>
      </c>
      <c r="K119" s="299" t="s">
        <v>197</v>
      </c>
      <c r="L119" s="299" t="s">
        <v>198</v>
      </c>
      <c r="M119" s="299" t="s">
        <v>227</v>
      </c>
      <c r="N119" s="299" t="s">
        <v>200</v>
      </c>
      <c r="O119" s="299"/>
      <c r="P119" s="299"/>
      <c r="Q119" s="299"/>
      <c r="R119" s="299"/>
      <c r="S119" s="299"/>
      <c r="T119" s="299"/>
      <c r="U119" s="299"/>
      <c r="V119" s="299"/>
      <c r="W119" s="299"/>
      <c r="X119" s="299"/>
    </row>
    <row r="120" spans="1:24" x14ac:dyDescent="0.4">
      <c r="A120" s="291"/>
      <c r="B120" s="292"/>
      <c r="C120" s="292"/>
      <c r="D120" s="292"/>
      <c r="E120" s="293"/>
      <c r="F120" s="394"/>
      <c r="G120" s="394"/>
      <c r="H120" s="293"/>
      <c r="J120" s="38" t="str">
        <f>K120&amp;SD[[#This Row],[Insurer Code]]&amp;"; "&amp;L120&amp;SD[[#This Row],[Reporting Year]]&amp;"; "&amp;M120&amp;SD[[#This Row],[Market Code]]&amp;"; "&amp;N120&amp;SD[[#This Row],[Large Provider Entity Code]]</f>
        <v xml:space="preserve">Insurer Code ; Reporting Year ; Market Code ; Large Provider Entity Code </v>
      </c>
      <c r="K120" s="299" t="s">
        <v>197</v>
      </c>
      <c r="L120" s="299" t="s">
        <v>198</v>
      </c>
      <c r="M120" s="299" t="s">
        <v>227</v>
      </c>
      <c r="N120" s="299" t="s">
        <v>200</v>
      </c>
      <c r="O120" s="299"/>
      <c r="P120" s="299"/>
      <c r="Q120" s="299"/>
      <c r="R120" s="299"/>
      <c r="S120" s="299"/>
      <c r="T120" s="299"/>
      <c r="U120" s="299"/>
      <c r="V120" s="299"/>
      <c r="W120" s="299"/>
      <c r="X120" s="299"/>
    </row>
    <row r="121" spans="1:24" x14ac:dyDescent="0.4">
      <c r="A121" s="291"/>
      <c r="B121" s="292"/>
      <c r="C121" s="292"/>
      <c r="D121" s="292"/>
      <c r="E121" s="293"/>
      <c r="F121" s="394"/>
      <c r="G121" s="394"/>
      <c r="H121" s="293"/>
      <c r="J121" s="38" t="str">
        <f>K121&amp;SD[[#This Row],[Insurer Code]]&amp;"; "&amp;L121&amp;SD[[#This Row],[Reporting Year]]&amp;"; "&amp;M121&amp;SD[[#This Row],[Market Code]]&amp;"; "&amp;N121&amp;SD[[#This Row],[Large Provider Entity Code]]</f>
        <v xml:space="preserve">Insurer Code ; Reporting Year ; Market Code ; Large Provider Entity Code </v>
      </c>
      <c r="K121" s="299" t="s">
        <v>197</v>
      </c>
      <c r="L121" s="299" t="s">
        <v>198</v>
      </c>
      <c r="M121" s="299" t="s">
        <v>227</v>
      </c>
      <c r="N121" s="299" t="s">
        <v>200</v>
      </c>
      <c r="O121" s="299"/>
      <c r="P121" s="299"/>
      <c r="Q121" s="299"/>
      <c r="R121" s="299"/>
      <c r="S121" s="299"/>
      <c r="T121" s="299"/>
      <c r="U121" s="299"/>
      <c r="V121" s="299"/>
      <c r="W121" s="299"/>
      <c r="X121" s="299"/>
    </row>
    <row r="122" spans="1:24" x14ac:dyDescent="0.4">
      <c r="A122" s="291"/>
      <c r="B122" s="292"/>
      <c r="C122" s="292"/>
      <c r="D122" s="292"/>
      <c r="E122" s="293"/>
      <c r="F122" s="394"/>
      <c r="G122" s="394"/>
      <c r="H122" s="293"/>
      <c r="J122" s="38" t="str">
        <f>K122&amp;SD[[#This Row],[Insurer Code]]&amp;"; "&amp;L122&amp;SD[[#This Row],[Reporting Year]]&amp;"; "&amp;M122&amp;SD[[#This Row],[Market Code]]&amp;"; "&amp;N122&amp;SD[[#This Row],[Large Provider Entity Code]]</f>
        <v xml:space="preserve">Insurer Code ; Reporting Year ; Market Code ; Large Provider Entity Code </v>
      </c>
      <c r="K122" s="299" t="s">
        <v>197</v>
      </c>
      <c r="L122" s="299" t="s">
        <v>198</v>
      </c>
      <c r="M122" s="299" t="s">
        <v>227</v>
      </c>
      <c r="N122" s="299" t="s">
        <v>200</v>
      </c>
      <c r="O122" s="299"/>
      <c r="P122" s="299"/>
      <c r="Q122" s="299"/>
      <c r="R122" s="299"/>
      <c r="S122" s="299"/>
      <c r="T122" s="299"/>
      <c r="U122" s="299"/>
      <c r="V122" s="299"/>
      <c r="W122" s="299"/>
      <c r="X122" s="299"/>
    </row>
    <row r="123" spans="1:24" x14ac:dyDescent="0.4">
      <c r="A123" s="291"/>
      <c r="B123" s="292"/>
      <c r="C123" s="292"/>
      <c r="D123" s="292"/>
      <c r="E123" s="293"/>
      <c r="F123" s="394"/>
      <c r="G123" s="394"/>
      <c r="H123" s="293"/>
      <c r="J123" s="38" t="str">
        <f>K123&amp;SD[[#This Row],[Insurer Code]]&amp;"; "&amp;L123&amp;SD[[#This Row],[Reporting Year]]&amp;"; "&amp;M123&amp;SD[[#This Row],[Market Code]]&amp;"; "&amp;N123&amp;SD[[#This Row],[Large Provider Entity Code]]</f>
        <v xml:space="preserve">Insurer Code ; Reporting Year ; Market Code ; Large Provider Entity Code </v>
      </c>
      <c r="K123" s="299" t="s">
        <v>197</v>
      </c>
      <c r="L123" s="299" t="s">
        <v>198</v>
      </c>
      <c r="M123" s="299" t="s">
        <v>227</v>
      </c>
      <c r="N123" s="299" t="s">
        <v>200</v>
      </c>
      <c r="O123" s="299"/>
      <c r="P123" s="299"/>
      <c r="Q123" s="299"/>
      <c r="R123" s="299"/>
      <c r="S123" s="299"/>
      <c r="T123" s="299"/>
      <c r="U123" s="299"/>
      <c r="V123" s="299"/>
      <c r="W123" s="299"/>
      <c r="X123" s="299"/>
    </row>
    <row r="124" spans="1:24" x14ac:dyDescent="0.4">
      <c r="A124" s="291"/>
      <c r="B124" s="292"/>
      <c r="C124" s="292"/>
      <c r="D124" s="292"/>
      <c r="E124" s="293"/>
      <c r="F124" s="394"/>
      <c r="G124" s="394"/>
      <c r="H124" s="293"/>
      <c r="J124" s="38" t="str">
        <f>K124&amp;SD[[#This Row],[Insurer Code]]&amp;"; "&amp;L124&amp;SD[[#This Row],[Reporting Year]]&amp;"; "&amp;M124&amp;SD[[#This Row],[Market Code]]&amp;"; "&amp;N124&amp;SD[[#This Row],[Large Provider Entity Code]]</f>
        <v xml:space="preserve">Insurer Code ; Reporting Year ; Market Code ; Large Provider Entity Code </v>
      </c>
      <c r="K124" s="299" t="s">
        <v>197</v>
      </c>
      <c r="L124" s="299" t="s">
        <v>198</v>
      </c>
      <c r="M124" s="299" t="s">
        <v>227</v>
      </c>
      <c r="N124" s="299" t="s">
        <v>200</v>
      </c>
      <c r="O124" s="299"/>
      <c r="P124" s="299"/>
      <c r="Q124" s="299"/>
      <c r="R124" s="299"/>
      <c r="S124" s="299"/>
      <c r="T124" s="299"/>
      <c r="U124" s="299"/>
      <c r="V124" s="299"/>
      <c r="W124" s="299"/>
      <c r="X124" s="299"/>
    </row>
    <row r="125" spans="1:24" x14ac:dyDescent="0.4">
      <c r="A125" s="291"/>
      <c r="B125" s="292"/>
      <c r="C125" s="292"/>
      <c r="D125" s="292"/>
      <c r="E125" s="293"/>
      <c r="F125" s="394"/>
      <c r="G125" s="394"/>
      <c r="H125" s="293"/>
      <c r="J125" s="38" t="str">
        <f>K125&amp;SD[[#This Row],[Insurer Code]]&amp;"; "&amp;L125&amp;SD[[#This Row],[Reporting Year]]&amp;"; "&amp;M125&amp;SD[[#This Row],[Market Code]]&amp;"; "&amp;N125&amp;SD[[#This Row],[Large Provider Entity Code]]</f>
        <v xml:space="preserve">Insurer Code ; Reporting Year ; Market Code ; Large Provider Entity Code </v>
      </c>
      <c r="K125" s="299" t="s">
        <v>197</v>
      </c>
      <c r="L125" s="299" t="s">
        <v>198</v>
      </c>
      <c r="M125" s="299" t="s">
        <v>227</v>
      </c>
      <c r="N125" s="299" t="s">
        <v>200</v>
      </c>
      <c r="O125" s="299"/>
      <c r="P125" s="299"/>
      <c r="Q125" s="299"/>
      <c r="R125" s="299"/>
      <c r="S125" s="299"/>
      <c r="T125" s="299"/>
      <c r="U125" s="299"/>
      <c r="V125" s="299"/>
      <c r="W125" s="299"/>
      <c r="X125" s="299"/>
    </row>
    <row r="126" spans="1:24" x14ac:dyDescent="0.4">
      <c r="A126" s="291"/>
      <c r="B126" s="292"/>
      <c r="C126" s="292"/>
      <c r="D126" s="292"/>
      <c r="E126" s="293"/>
      <c r="F126" s="394"/>
      <c r="G126" s="394"/>
      <c r="H126" s="293"/>
      <c r="J126" s="38" t="str">
        <f>K126&amp;SD[[#This Row],[Insurer Code]]&amp;"; "&amp;L126&amp;SD[[#This Row],[Reporting Year]]&amp;"; "&amp;M126&amp;SD[[#This Row],[Market Code]]&amp;"; "&amp;N126&amp;SD[[#This Row],[Large Provider Entity Code]]</f>
        <v xml:space="preserve">Insurer Code ; Reporting Year ; Market Code ; Large Provider Entity Code </v>
      </c>
      <c r="K126" s="299" t="s">
        <v>197</v>
      </c>
      <c r="L126" s="299" t="s">
        <v>198</v>
      </c>
      <c r="M126" s="299" t="s">
        <v>227</v>
      </c>
      <c r="N126" s="299" t="s">
        <v>200</v>
      </c>
      <c r="O126" s="299"/>
      <c r="P126" s="299"/>
      <c r="Q126" s="299"/>
      <c r="R126" s="299"/>
      <c r="S126" s="299"/>
      <c r="T126" s="299"/>
      <c r="U126" s="299"/>
      <c r="V126" s="299"/>
      <c r="W126" s="299"/>
      <c r="X126" s="299"/>
    </row>
    <row r="127" spans="1:24" x14ac:dyDescent="0.4">
      <c r="A127" s="291"/>
      <c r="B127" s="292"/>
      <c r="C127" s="292"/>
      <c r="D127" s="292"/>
      <c r="E127" s="293"/>
      <c r="F127" s="394"/>
      <c r="G127" s="394"/>
      <c r="H127" s="293"/>
      <c r="J127" s="38" t="str">
        <f>K127&amp;SD[[#This Row],[Insurer Code]]&amp;"; "&amp;L127&amp;SD[[#This Row],[Reporting Year]]&amp;"; "&amp;M127&amp;SD[[#This Row],[Market Code]]&amp;"; "&amp;N127&amp;SD[[#This Row],[Large Provider Entity Code]]</f>
        <v xml:space="preserve">Insurer Code ; Reporting Year ; Market Code ; Large Provider Entity Code </v>
      </c>
      <c r="K127" s="299" t="s">
        <v>197</v>
      </c>
      <c r="L127" s="299" t="s">
        <v>198</v>
      </c>
      <c r="M127" s="299" t="s">
        <v>227</v>
      </c>
      <c r="N127" s="299" t="s">
        <v>200</v>
      </c>
      <c r="O127" s="299"/>
      <c r="P127" s="299"/>
      <c r="Q127" s="299"/>
      <c r="R127" s="299"/>
      <c r="S127" s="299"/>
      <c r="T127" s="299"/>
      <c r="U127" s="299"/>
      <c r="V127" s="299"/>
      <c r="W127" s="299"/>
      <c r="X127" s="299"/>
    </row>
    <row r="128" spans="1:24" x14ac:dyDescent="0.4">
      <c r="A128" s="291"/>
      <c r="B128" s="292"/>
      <c r="C128" s="292"/>
      <c r="D128" s="292"/>
      <c r="E128" s="293"/>
      <c r="F128" s="394"/>
      <c r="G128" s="394"/>
      <c r="H128" s="293"/>
      <c r="J128" s="38" t="str">
        <f>K128&amp;SD[[#This Row],[Insurer Code]]&amp;"; "&amp;L128&amp;SD[[#This Row],[Reporting Year]]&amp;"; "&amp;M128&amp;SD[[#This Row],[Market Code]]&amp;"; "&amp;N128&amp;SD[[#This Row],[Large Provider Entity Code]]</f>
        <v xml:space="preserve">Insurer Code ; Reporting Year ; Market Code ; Large Provider Entity Code </v>
      </c>
      <c r="K128" s="299" t="s">
        <v>197</v>
      </c>
      <c r="L128" s="299" t="s">
        <v>198</v>
      </c>
      <c r="M128" s="299" t="s">
        <v>227</v>
      </c>
      <c r="N128" s="299" t="s">
        <v>200</v>
      </c>
      <c r="O128" s="299"/>
      <c r="P128" s="299"/>
      <c r="Q128" s="299"/>
      <c r="R128" s="299"/>
      <c r="S128" s="299"/>
      <c r="T128" s="299"/>
      <c r="U128" s="299"/>
      <c r="V128" s="299"/>
      <c r="W128" s="299"/>
      <c r="X128" s="299"/>
    </row>
    <row r="129" spans="1:24" x14ac:dyDescent="0.4">
      <c r="A129" s="291"/>
      <c r="B129" s="292"/>
      <c r="C129" s="292"/>
      <c r="D129" s="292"/>
      <c r="E129" s="293"/>
      <c r="F129" s="394"/>
      <c r="G129" s="394"/>
      <c r="H129" s="293"/>
      <c r="J129" s="38" t="str">
        <f>K129&amp;SD[[#This Row],[Insurer Code]]&amp;"; "&amp;L129&amp;SD[[#This Row],[Reporting Year]]&amp;"; "&amp;M129&amp;SD[[#This Row],[Market Code]]&amp;"; "&amp;N129&amp;SD[[#This Row],[Large Provider Entity Code]]</f>
        <v xml:space="preserve">Insurer Code ; Reporting Year ; Market Code ; Large Provider Entity Code </v>
      </c>
      <c r="K129" s="299" t="s">
        <v>197</v>
      </c>
      <c r="L129" s="299" t="s">
        <v>198</v>
      </c>
      <c r="M129" s="299" t="s">
        <v>227</v>
      </c>
      <c r="N129" s="299" t="s">
        <v>200</v>
      </c>
      <c r="O129" s="299"/>
      <c r="P129" s="299"/>
      <c r="Q129" s="299"/>
      <c r="R129" s="299"/>
      <c r="S129" s="299"/>
      <c r="T129" s="299"/>
      <c r="U129" s="299"/>
      <c r="V129" s="299"/>
      <c r="W129" s="299"/>
      <c r="X129" s="299"/>
    </row>
    <row r="130" spans="1:24" x14ac:dyDescent="0.4">
      <c r="A130" s="291"/>
      <c r="B130" s="292"/>
      <c r="C130" s="292"/>
      <c r="D130" s="292"/>
      <c r="E130" s="293"/>
      <c r="F130" s="394"/>
      <c r="G130" s="394"/>
      <c r="H130" s="293"/>
      <c r="J130" s="38" t="str">
        <f>K130&amp;SD[[#This Row],[Insurer Code]]&amp;"; "&amp;L130&amp;SD[[#This Row],[Reporting Year]]&amp;"; "&amp;M130&amp;SD[[#This Row],[Market Code]]&amp;"; "&amp;N130&amp;SD[[#This Row],[Large Provider Entity Code]]</f>
        <v xml:space="preserve">Insurer Code ; Reporting Year ; Market Code ; Large Provider Entity Code </v>
      </c>
      <c r="K130" s="299" t="s">
        <v>197</v>
      </c>
      <c r="L130" s="299" t="s">
        <v>198</v>
      </c>
      <c r="M130" s="299" t="s">
        <v>227</v>
      </c>
      <c r="N130" s="299" t="s">
        <v>200</v>
      </c>
      <c r="O130" s="299"/>
      <c r="P130" s="299"/>
      <c r="Q130" s="299"/>
      <c r="R130" s="299"/>
      <c r="S130" s="299"/>
      <c r="T130" s="299"/>
      <c r="U130" s="299"/>
      <c r="V130" s="299"/>
      <c r="W130" s="299"/>
      <c r="X130" s="299"/>
    </row>
    <row r="131" spans="1:24" x14ac:dyDescent="0.4">
      <c r="A131" s="291"/>
      <c r="B131" s="292"/>
      <c r="C131" s="292"/>
      <c r="D131" s="292"/>
      <c r="E131" s="293"/>
      <c r="F131" s="394"/>
      <c r="G131" s="394"/>
      <c r="H131" s="293"/>
      <c r="J131" s="38" t="str">
        <f>K131&amp;SD[[#This Row],[Insurer Code]]&amp;"; "&amp;L131&amp;SD[[#This Row],[Reporting Year]]&amp;"; "&amp;M131&amp;SD[[#This Row],[Market Code]]&amp;"; "&amp;N131&amp;SD[[#This Row],[Large Provider Entity Code]]</f>
        <v xml:space="preserve">Insurer Code ; Reporting Year ; Market Code ; Large Provider Entity Code </v>
      </c>
      <c r="K131" s="299" t="s">
        <v>197</v>
      </c>
      <c r="L131" s="299" t="s">
        <v>198</v>
      </c>
      <c r="M131" s="299" t="s">
        <v>227</v>
      </c>
      <c r="N131" s="299" t="s">
        <v>200</v>
      </c>
      <c r="O131" s="299"/>
      <c r="P131" s="299"/>
      <c r="Q131" s="299"/>
      <c r="R131" s="299"/>
      <c r="S131" s="299"/>
      <c r="T131" s="299"/>
      <c r="U131" s="299"/>
      <c r="V131" s="299"/>
      <c r="W131" s="299"/>
      <c r="X131" s="299"/>
    </row>
    <row r="132" spans="1:24" x14ac:dyDescent="0.4">
      <c r="A132" s="291"/>
      <c r="B132" s="292"/>
      <c r="C132" s="292"/>
      <c r="D132" s="292"/>
      <c r="E132" s="293"/>
      <c r="F132" s="394"/>
      <c r="G132" s="394"/>
      <c r="H132" s="293"/>
      <c r="J132" s="38" t="str">
        <f>K132&amp;SD[[#This Row],[Insurer Code]]&amp;"; "&amp;L132&amp;SD[[#This Row],[Reporting Year]]&amp;"; "&amp;M132&amp;SD[[#This Row],[Market Code]]&amp;"; "&amp;N132&amp;SD[[#This Row],[Large Provider Entity Code]]</f>
        <v xml:space="preserve">Insurer Code ; Reporting Year ; Market Code ; Large Provider Entity Code </v>
      </c>
      <c r="K132" s="299" t="s">
        <v>197</v>
      </c>
      <c r="L132" s="299" t="s">
        <v>198</v>
      </c>
      <c r="M132" s="299" t="s">
        <v>227</v>
      </c>
      <c r="N132" s="299" t="s">
        <v>200</v>
      </c>
      <c r="O132" s="299"/>
      <c r="P132" s="299"/>
      <c r="Q132" s="299"/>
      <c r="R132" s="299"/>
      <c r="S132" s="299"/>
      <c r="T132" s="299"/>
      <c r="U132" s="299"/>
      <c r="V132" s="299"/>
    </row>
    <row r="133" spans="1:24" x14ac:dyDescent="0.4">
      <c r="A133" s="291"/>
      <c r="B133" s="292"/>
      <c r="C133" s="292"/>
      <c r="D133" s="292"/>
      <c r="E133" s="293"/>
      <c r="F133" s="394"/>
      <c r="G133" s="394"/>
      <c r="H133" s="293"/>
      <c r="J133" s="38" t="str">
        <f>K133&amp;SD[[#This Row],[Insurer Code]]&amp;"; "&amp;L133&amp;SD[[#This Row],[Reporting Year]]&amp;"; "&amp;M133&amp;SD[[#This Row],[Market Code]]&amp;"; "&amp;N133&amp;SD[[#This Row],[Large Provider Entity Code]]</f>
        <v xml:space="preserve">Insurer Code ; Reporting Year ; Market Code ; Large Provider Entity Code </v>
      </c>
      <c r="K133" s="299" t="s">
        <v>197</v>
      </c>
      <c r="L133" s="299" t="s">
        <v>198</v>
      </c>
      <c r="M133" s="299" t="s">
        <v>227</v>
      </c>
      <c r="N133" s="299" t="s">
        <v>200</v>
      </c>
      <c r="O133" s="299"/>
      <c r="P133" s="299"/>
      <c r="Q133" s="299"/>
      <c r="R133" s="299"/>
      <c r="S133" s="299"/>
      <c r="T133" s="299"/>
      <c r="U133" s="299"/>
      <c r="V133" s="299"/>
    </row>
    <row r="134" spans="1:24" x14ac:dyDescent="0.4">
      <c r="A134" s="549"/>
      <c r="B134" s="292"/>
      <c r="C134" s="292"/>
      <c r="D134" s="292"/>
      <c r="E134" s="293"/>
      <c r="F134" s="555"/>
      <c r="G134" s="556"/>
      <c r="H134" s="293"/>
      <c r="J134" s="38" t="str">
        <f>K134&amp;SD[[#This Row],[Insurer Code]]&amp;"; "&amp;L134&amp;SD[[#This Row],[Reporting Year]]&amp;"; "&amp;M134&amp;SD[[#This Row],[Market Code]]&amp;"; "&amp;N134&amp;SD[[#This Row],[Large Provider Entity Code]]</f>
        <v xml:space="preserve">Insurer Code ; Reporting Year ; Market Code ; Large Provider Entity Code </v>
      </c>
      <c r="K134" s="299" t="s">
        <v>197</v>
      </c>
      <c r="L134" s="299" t="s">
        <v>198</v>
      </c>
      <c r="M134" s="299" t="s">
        <v>227</v>
      </c>
      <c r="N134" s="299" t="s">
        <v>200</v>
      </c>
      <c r="O134" s="299"/>
      <c r="P134" s="299"/>
      <c r="Q134" s="299"/>
      <c r="R134" s="299"/>
      <c r="S134" s="299"/>
      <c r="T134" s="299"/>
      <c r="U134" s="299"/>
      <c r="V134" s="299"/>
    </row>
    <row r="135" spans="1:24" x14ac:dyDescent="0.4">
      <c r="A135" s="549"/>
      <c r="B135" s="292"/>
      <c r="C135" s="292"/>
      <c r="D135" s="292"/>
      <c r="E135" s="293"/>
      <c r="F135" s="555"/>
      <c r="G135" s="556"/>
      <c r="H135" s="293"/>
      <c r="J135" s="38" t="str">
        <f>K135&amp;SD[[#This Row],[Insurer Code]]&amp;"; "&amp;L135&amp;SD[[#This Row],[Reporting Year]]&amp;"; "&amp;M135&amp;SD[[#This Row],[Market Code]]&amp;"; "&amp;N135&amp;SD[[#This Row],[Large Provider Entity Code]]</f>
        <v xml:space="preserve">Insurer Code ; Reporting Year ; Market Code ; Large Provider Entity Code </v>
      </c>
      <c r="K135" s="299" t="s">
        <v>197</v>
      </c>
      <c r="L135" s="299" t="s">
        <v>198</v>
      </c>
      <c r="M135" s="299" t="s">
        <v>227</v>
      </c>
      <c r="N135" s="299" t="s">
        <v>200</v>
      </c>
      <c r="O135" s="299"/>
      <c r="P135" s="299"/>
      <c r="Q135" s="299"/>
      <c r="R135" s="299"/>
      <c r="S135" s="299"/>
      <c r="T135" s="299"/>
      <c r="U135" s="299"/>
      <c r="V135" s="299"/>
    </row>
    <row r="136" spans="1:24" x14ac:dyDescent="0.4">
      <c r="A136" s="549"/>
      <c r="B136" s="292"/>
      <c r="C136" s="292"/>
      <c r="D136" s="292"/>
      <c r="E136" s="293"/>
      <c r="F136" s="555"/>
      <c r="G136" s="556"/>
      <c r="H136" s="293"/>
      <c r="J136" s="38" t="str">
        <f>K136&amp;SD[[#This Row],[Insurer Code]]&amp;"; "&amp;L136&amp;SD[[#This Row],[Reporting Year]]&amp;"; "&amp;M136&amp;SD[[#This Row],[Market Code]]&amp;"; "&amp;N136&amp;SD[[#This Row],[Large Provider Entity Code]]</f>
        <v xml:space="preserve">Insurer Code ; Reporting Year ; Market Code ; Large Provider Entity Code </v>
      </c>
      <c r="K136" s="299" t="s">
        <v>197</v>
      </c>
      <c r="L136" s="299" t="s">
        <v>198</v>
      </c>
      <c r="M136" s="299" t="s">
        <v>227</v>
      </c>
      <c r="N136" s="299" t="s">
        <v>200</v>
      </c>
      <c r="O136" s="299"/>
      <c r="P136" s="299"/>
      <c r="Q136" s="299"/>
      <c r="R136" s="299"/>
      <c r="S136" s="299"/>
      <c r="T136" s="299"/>
      <c r="U136" s="299"/>
      <c r="V136" s="299"/>
    </row>
    <row r="137" spans="1:24" x14ac:dyDescent="0.4">
      <c r="A137" s="549"/>
      <c r="B137" s="292"/>
      <c r="C137" s="292"/>
      <c r="D137" s="292"/>
      <c r="E137" s="293"/>
      <c r="F137" s="555"/>
      <c r="G137" s="556"/>
      <c r="H137" s="293"/>
      <c r="J137" s="38" t="str">
        <f>K137&amp;SD[[#This Row],[Insurer Code]]&amp;"; "&amp;L137&amp;SD[[#This Row],[Reporting Year]]&amp;"; "&amp;M137&amp;SD[[#This Row],[Market Code]]&amp;"; "&amp;N137&amp;SD[[#This Row],[Large Provider Entity Code]]</f>
        <v xml:space="preserve">Insurer Code ; Reporting Year ; Market Code ; Large Provider Entity Code </v>
      </c>
      <c r="K137" s="299" t="s">
        <v>197</v>
      </c>
      <c r="L137" s="299" t="s">
        <v>198</v>
      </c>
      <c r="M137" s="299" t="s">
        <v>227</v>
      </c>
      <c r="N137" s="299" t="s">
        <v>200</v>
      </c>
      <c r="O137" s="299"/>
      <c r="P137" s="299"/>
      <c r="Q137" s="299"/>
      <c r="R137" s="299"/>
      <c r="S137" s="299"/>
      <c r="T137" s="299"/>
      <c r="U137" s="299"/>
      <c r="V137" s="299"/>
    </row>
    <row r="138" spans="1:24" x14ac:dyDescent="0.4">
      <c r="A138" s="549"/>
      <c r="B138" s="292"/>
      <c r="C138" s="292"/>
      <c r="D138" s="292"/>
      <c r="E138" s="293"/>
      <c r="F138" s="555"/>
      <c r="G138" s="556"/>
      <c r="H138" s="293"/>
      <c r="J138" s="38" t="str">
        <f>K138&amp;SD[[#This Row],[Insurer Code]]&amp;"; "&amp;L138&amp;SD[[#This Row],[Reporting Year]]&amp;"; "&amp;M138&amp;SD[[#This Row],[Market Code]]&amp;"; "&amp;N138&amp;SD[[#This Row],[Large Provider Entity Code]]</f>
        <v xml:space="preserve">Insurer Code ; Reporting Year ; Market Code ; Large Provider Entity Code </v>
      </c>
      <c r="K138" s="299" t="s">
        <v>197</v>
      </c>
      <c r="L138" s="299" t="s">
        <v>198</v>
      </c>
      <c r="M138" s="299" t="s">
        <v>227</v>
      </c>
      <c r="N138" s="299" t="s">
        <v>200</v>
      </c>
      <c r="O138" s="299"/>
      <c r="P138" s="299"/>
      <c r="Q138" s="299"/>
      <c r="R138" s="299"/>
      <c r="S138" s="299"/>
      <c r="T138" s="299"/>
      <c r="U138" s="299"/>
      <c r="V138" s="299"/>
    </row>
    <row r="139" spans="1:24" x14ac:dyDescent="0.4">
      <c r="A139" s="549"/>
      <c r="B139" s="292"/>
      <c r="C139" s="292"/>
      <c r="D139" s="292"/>
      <c r="E139" s="293"/>
      <c r="F139" s="555"/>
      <c r="G139" s="556"/>
      <c r="H139" s="293"/>
      <c r="J139" s="38" t="str">
        <f>K139&amp;SD[[#This Row],[Insurer Code]]&amp;"; "&amp;L139&amp;SD[[#This Row],[Reporting Year]]&amp;"; "&amp;M139&amp;SD[[#This Row],[Market Code]]&amp;"; "&amp;N139&amp;SD[[#This Row],[Large Provider Entity Code]]</f>
        <v xml:space="preserve">Insurer Code ; Reporting Year ; Market Code ; Large Provider Entity Code </v>
      </c>
      <c r="K139" s="299" t="s">
        <v>197</v>
      </c>
      <c r="L139" s="299" t="s">
        <v>198</v>
      </c>
      <c r="M139" s="299" t="s">
        <v>227</v>
      </c>
      <c r="N139" s="299" t="s">
        <v>200</v>
      </c>
      <c r="O139" s="299"/>
      <c r="P139" s="299"/>
      <c r="Q139" s="299"/>
      <c r="R139" s="299"/>
      <c r="S139" s="299"/>
      <c r="T139" s="299"/>
      <c r="U139" s="299"/>
      <c r="V139" s="299"/>
    </row>
    <row r="140" spans="1:24" x14ac:dyDescent="0.4">
      <c r="A140" s="549"/>
      <c r="B140" s="292"/>
      <c r="C140" s="292"/>
      <c r="D140" s="292"/>
      <c r="E140" s="293"/>
      <c r="F140" s="555"/>
      <c r="G140" s="556"/>
      <c r="H140" s="293"/>
      <c r="J140" s="38" t="str">
        <f>K140&amp;SD[[#This Row],[Insurer Code]]&amp;"; "&amp;L140&amp;SD[[#This Row],[Reporting Year]]&amp;"; "&amp;M140&amp;SD[[#This Row],[Market Code]]&amp;"; "&amp;N140&amp;SD[[#This Row],[Large Provider Entity Code]]</f>
        <v xml:space="preserve">Insurer Code ; Reporting Year ; Market Code ; Large Provider Entity Code </v>
      </c>
      <c r="K140" s="299" t="s">
        <v>197</v>
      </c>
      <c r="L140" s="299" t="s">
        <v>198</v>
      </c>
      <c r="M140" s="299" t="s">
        <v>227</v>
      </c>
      <c r="N140" s="299" t="s">
        <v>200</v>
      </c>
      <c r="O140" s="299"/>
      <c r="P140" s="299"/>
      <c r="Q140" s="299"/>
      <c r="R140" s="299"/>
      <c r="S140" s="299"/>
      <c r="T140" s="299"/>
      <c r="U140" s="299"/>
      <c r="V140" s="299"/>
    </row>
    <row r="141" spans="1:24" x14ac:dyDescent="0.4">
      <c r="A141" s="549"/>
      <c r="B141" s="292"/>
      <c r="C141" s="292"/>
      <c r="D141" s="292"/>
      <c r="E141" s="293"/>
      <c r="F141" s="555"/>
      <c r="G141" s="556"/>
      <c r="H141" s="293"/>
      <c r="J141" s="38" t="str">
        <f>K141&amp;SD[[#This Row],[Insurer Code]]&amp;"; "&amp;L141&amp;SD[[#This Row],[Reporting Year]]&amp;"; "&amp;M141&amp;SD[[#This Row],[Market Code]]&amp;"; "&amp;N141&amp;SD[[#This Row],[Large Provider Entity Code]]</f>
        <v xml:space="preserve">Insurer Code ; Reporting Year ; Market Code ; Large Provider Entity Code </v>
      </c>
      <c r="K141" s="299" t="s">
        <v>197</v>
      </c>
      <c r="L141" s="299" t="s">
        <v>198</v>
      </c>
      <c r="M141" s="299" t="s">
        <v>227</v>
      </c>
      <c r="N141" s="299" t="s">
        <v>200</v>
      </c>
      <c r="O141" s="299"/>
      <c r="P141" s="299"/>
      <c r="Q141" s="299"/>
      <c r="R141" s="299"/>
      <c r="S141" s="299"/>
      <c r="T141" s="299"/>
      <c r="U141" s="299"/>
      <c r="V141" s="299"/>
    </row>
    <row r="142" spans="1:24" x14ac:dyDescent="0.4">
      <c r="A142" s="549"/>
      <c r="B142" s="292"/>
      <c r="C142" s="292"/>
      <c r="D142" s="292"/>
      <c r="E142" s="293"/>
      <c r="F142" s="555"/>
      <c r="G142" s="556"/>
      <c r="H142" s="293"/>
      <c r="J142" s="38" t="str">
        <f>K142&amp;SD[[#This Row],[Insurer Code]]&amp;"; "&amp;L142&amp;SD[[#This Row],[Reporting Year]]&amp;"; "&amp;M142&amp;SD[[#This Row],[Market Code]]&amp;"; "&amp;N142&amp;SD[[#This Row],[Large Provider Entity Code]]</f>
        <v xml:space="preserve">Insurer Code ; Reporting Year ; Market Code ; Large Provider Entity Code </v>
      </c>
      <c r="K142" s="299" t="s">
        <v>197</v>
      </c>
      <c r="L142" s="299" t="s">
        <v>198</v>
      </c>
      <c r="M142" s="299" t="s">
        <v>227</v>
      </c>
      <c r="N142" s="299" t="s">
        <v>200</v>
      </c>
      <c r="O142" s="299"/>
      <c r="P142" s="299"/>
      <c r="Q142" s="299"/>
      <c r="R142" s="299"/>
      <c r="S142" s="299"/>
      <c r="T142" s="299"/>
      <c r="U142" s="299"/>
      <c r="V142" s="299"/>
    </row>
    <row r="143" spans="1:24" x14ac:dyDescent="0.4">
      <c r="A143" s="549"/>
      <c r="B143" s="292"/>
      <c r="C143" s="292"/>
      <c r="D143" s="292"/>
      <c r="E143" s="293"/>
      <c r="F143" s="555"/>
      <c r="G143" s="556"/>
      <c r="H143" s="293"/>
      <c r="J143" s="38" t="str">
        <f>K143&amp;SD[[#This Row],[Insurer Code]]&amp;"; "&amp;L143&amp;SD[[#This Row],[Reporting Year]]&amp;"; "&amp;M143&amp;SD[[#This Row],[Market Code]]&amp;"; "&amp;N143&amp;SD[[#This Row],[Large Provider Entity Code]]</f>
        <v xml:space="preserve">Insurer Code ; Reporting Year ; Market Code ; Large Provider Entity Code </v>
      </c>
      <c r="K143" s="299" t="s">
        <v>197</v>
      </c>
      <c r="L143" s="299" t="s">
        <v>198</v>
      </c>
      <c r="M143" s="299" t="s">
        <v>227</v>
      </c>
      <c r="N143" s="299" t="s">
        <v>200</v>
      </c>
      <c r="O143" s="299"/>
      <c r="P143" s="299"/>
      <c r="Q143" s="299"/>
      <c r="R143" s="299"/>
      <c r="S143" s="299"/>
      <c r="T143" s="299"/>
      <c r="U143" s="299"/>
      <c r="V143" s="299"/>
    </row>
    <row r="144" spans="1:24" x14ac:dyDescent="0.4">
      <c r="A144" s="549"/>
      <c r="B144" s="292"/>
      <c r="C144" s="292"/>
      <c r="D144" s="292"/>
      <c r="E144" s="293"/>
      <c r="F144" s="555"/>
      <c r="G144" s="556"/>
      <c r="H144" s="293"/>
      <c r="J144" s="38" t="str">
        <f>K144&amp;SD[[#This Row],[Insurer Code]]&amp;"; "&amp;L144&amp;SD[[#This Row],[Reporting Year]]&amp;"; "&amp;M144&amp;SD[[#This Row],[Market Code]]&amp;"; "&amp;N144&amp;SD[[#This Row],[Large Provider Entity Code]]</f>
        <v xml:space="preserve">Insurer Code ; Reporting Year ; Market Code ; Large Provider Entity Code </v>
      </c>
      <c r="K144" s="299" t="s">
        <v>197</v>
      </c>
      <c r="L144" s="299" t="s">
        <v>198</v>
      </c>
      <c r="M144" s="299" t="s">
        <v>227</v>
      </c>
      <c r="N144" s="299" t="s">
        <v>200</v>
      </c>
      <c r="O144" s="299"/>
      <c r="P144" s="299"/>
      <c r="Q144" s="299"/>
      <c r="R144" s="299"/>
      <c r="S144" s="299"/>
      <c r="T144" s="299"/>
      <c r="U144" s="299"/>
      <c r="V144" s="299"/>
    </row>
    <row r="145" spans="1:22" x14ac:dyDescent="0.4">
      <c r="A145" s="549"/>
      <c r="B145" s="292"/>
      <c r="C145" s="292"/>
      <c r="D145" s="292"/>
      <c r="E145" s="293"/>
      <c r="F145" s="555"/>
      <c r="G145" s="556"/>
      <c r="H145" s="293"/>
      <c r="J145" s="38" t="str">
        <f>K145&amp;SD[[#This Row],[Insurer Code]]&amp;"; "&amp;L145&amp;SD[[#This Row],[Reporting Year]]&amp;"; "&amp;M145&amp;SD[[#This Row],[Market Code]]&amp;"; "&amp;N145&amp;SD[[#This Row],[Large Provider Entity Code]]</f>
        <v xml:space="preserve">Insurer Code ; Reporting Year ; Market Code ; Large Provider Entity Code </v>
      </c>
      <c r="K145" s="299" t="s">
        <v>197</v>
      </c>
      <c r="L145" s="299" t="s">
        <v>198</v>
      </c>
      <c r="M145" s="299" t="s">
        <v>227</v>
      </c>
      <c r="N145" s="299" t="s">
        <v>200</v>
      </c>
      <c r="O145" s="299"/>
      <c r="P145" s="299"/>
      <c r="Q145" s="299"/>
      <c r="R145" s="299"/>
      <c r="S145" s="299"/>
      <c r="T145" s="299"/>
      <c r="U145" s="299"/>
      <c r="V145" s="299"/>
    </row>
    <row r="146" spans="1:22" x14ac:dyDescent="0.4">
      <c r="A146" s="549"/>
      <c r="B146" s="292"/>
      <c r="C146" s="292"/>
      <c r="D146" s="292"/>
      <c r="E146" s="293"/>
      <c r="F146" s="555"/>
      <c r="G146" s="556"/>
      <c r="H146" s="293"/>
      <c r="J146" s="38" t="str">
        <f>K146&amp;SD[[#This Row],[Insurer Code]]&amp;"; "&amp;L146&amp;SD[[#This Row],[Reporting Year]]&amp;"; "&amp;M146&amp;SD[[#This Row],[Market Code]]&amp;"; "&amp;N146&amp;SD[[#This Row],[Large Provider Entity Code]]</f>
        <v xml:space="preserve">Insurer Code ; Reporting Year ; Market Code ; Large Provider Entity Code </v>
      </c>
      <c r="K146" s="299" t="s">
        <v>197</v>
      </c>
      <c r="L146" s="299" t="s">
        <v>198</v>
      </c>
      <c r="M146" s="299" t="s">
        <v>227</v>
      </c>
      <c r="N146" s="299" t="s">
        <v>200</v>
      </c>
      <c r="O146" s="299"/>
      <c r="P146" s="299"/>
      <c r="Q146" s="299"/>
      <c r="R146" s="299"/>
      <c r="S146" s="299"/>
      <c r="T146" s="299"/>
      <c r="U146" s="299"/>
      <c r="V146" s="299"/>
    </row>
    <row r="147" spans="1:22" x14ac:dyDescent="0.4">
      <c r="A147" s="549"/>
      <c r="B147" s="292"/>
      <c r="C147" s="292"/>
      <c r="D147" s="292"/>
      <c r="E147" s="293"/>
      <c r="F147" s="555"/>
      <c r="G147" s="556"/>
      <c r="H147" s="293"/>
      <c r="J147" s="38" t="str">
        <f>K147&amp;SD[[#This Row],[Insurer Code]]&amp;"; "&amp;L147&amp;SD[[#This Row],[Reporting Year]]&amp;"; "&amp;M147&amp;SD[[#This Row],[Market Code]]&amp;"; "&amp;N147&amp;SD[[#This Row],[Large Provider Entity Code]]</f>
        <v xml:space="preserve">Insurer Code ; Reporting Year ; Market Code ; Large Provider Entity Code </v>
      </c>
      <c r="K147" s="299" t="s">
        <v>197</v>
      </c>
      <c r="L147" s="299" t="s">
        <v>198</v>
      </c>
      <c r="M147" s="299" t="s">
        <v>227</v>
      </c>
      <c r="N147" s="299" t="s">
        <v>200</v>
      </c>
      <c r="O147" s="299"/>
      <c r="P147" s="299"/>
      <c r="Q147" s="299"/>
      <c r="R147" s="299"/>
      <c r="S147" s="299"/>
      <c r="T147" s="299"/>
      <c r="U147" s="299"/>
      <c r="V147" s="299"/>
    </row>
    <row r="148" spans="1:22" x14ac:dyDescent="0.4">
      <c r="A148" s="549"/>
      <c r="B148" s="292"/>
      <c r="C148" s="292"/>
      <c r="D148" s="292"/>
      <c r="E148" s="293"/>
      <c r="F148" s="555"/>
      <c r="G148" s="556"/>
      <c r="H148" s="293"/>
      <c r="J148" s="38" t="str">
        <f>K148&amp;SD[[#This Row],[Insurer Code]]&amp;"; "&amp;L148&amp;SD[[#This Row],[Reporting Year]]&amp;"; "&amp;M148&amp;SD[[#This Row],[Market Code]]&amp;"; "&amp;N148&amp;SD[[#This Row],[Large Provider Entity Code]]</f>
        <v xml:space="preserve">Insurer Code ; Reporting Year ; Market Code ; Large Provider Entity Code </v>
      </c>
      <c r="K148" s="299" t="s">
        <v>197</v>
      </c>
      <c r="L148" s="299" t="s">
        <v>198</v>
      </c>
      <c r="M148" s="299" t="s">
        <v>227</v>
      </c>
      <c r="N148" s="299" t="s">
        <v>200</v>
      </c>
      <c r="O148" s="299"/>
      <c r="P148" s="299"/>
      <c r="Q148" s="299"/>
      <c r="R148" s="299"/>
      <c r="S148" s="299"/>
      <c r="T148" s="299"/>
      <c r="U148" s="299"/>
      <c r="V148" s="299"/>
    </row>
    <row r="149" spans="1:22" x14ac:dyDescent="0.4">
      <c r="A149" s="549"/>
      <c r="B149" s="292"/>
      <c r="C149" s="292"/>
      <c r="D149" s="292"/>
      <c r="E149" s="293"/>
      <c r="F149" s="555"/>
      <c r="G149" s="556"/>
      <c r="H149" s="293"/>
      <c r="J149" s="38" t="str">
        <f>K149&amp;SD[[#This Row],[Insurer Code]]&amp;"; "&amp;L149&amp;SD[[#This Row],[Reporting Year]]&amp;"; "&amp;M149&amp;SD[[#This Row],[Market Code]]&amp;"; "&amp;N149&amp;SD[[#This Row],[Large Provider Entity Code]]</f>
        <v xml:space="preserve">Insurer Code ; Reporting Year ; Market Code ; Large Provider Entity Code </v>
      </c>
      <c r="K149" s="299" t="s">
        <v>197</v>
      </c>
      <c r="L149" s="299" t="s">
        <v>198</v>
      </c>
      <c r="M149" s="299" t="s">
        <v>227</v>
      </c>
      <c r="N149" s="299" t="s">
        <v>200</v>
      </c>
      <c r="O149" s="299"/>
      <c r="P149" s="299"/>
      <c r="Q149" s="299"/>
      <c r="R149" s="299"/>
      <c r="S149" s="299"/>
      <c r="T149" s="299"/>
      <c r="U149" s="299"/>
      <c r="V149" s="299"/>
    </row>
    <row r="150" spans="1:22" x14ac:dyDescent="0.4">
      <c r="A150" s="549"/>
      <c r="B150" s="292"/>
      <c r="C150" s="292"/>
      <c r="D150" s="292"/>
      <c r="E150" s="293"/>
      <c r="F150" s="555"/>
      <c r="G150" s="556"/>
      <c r="H150" s="293"/>
      <c r="J150" s="38" t="str">
        <f>K150&amp;SD[[#This Row],[Insurer Code]]&amp;"; "&amp;L150&amp;SD[[#This Row],[Reporting Year]]&amp;"; "&amp;M150&amp;SD[[#This Row],[Market Code]]&amp;"; "&amp;N150&amp;SD[[#This Row],[Large Provider Entity Code]]</f>
        <v xml:space="preserve">Insurer Code ; Reporting Year ; Market Code ; Large Provider Entity Code </v>
      </c>
      <c r="K150" s="299" t="s">
        <v>197</v>
      </c>
      <c r="L150" s="299" t="s">
        <v>198</v>
      </c>
      <c r="M150" s="299" t="s">
        <v>227</v>
      </c>
      <c r="N150" s="299" t="s">
        <v>200</v>
      </c>
      <c r="O150" s="299"/>
      <c r="P150" s="299"/>
      <c r="Q150" s="299"/>
      <c r="R150" s="299"/>
      <c r="S150" s="299"/>
      <c r="T150" s="299"/>
      <c r="U150" s="299"/>
      <c r="V150" s="299"/>
    </row>
    <row r="151" spans="1:22" x14ac:dyDescent="0.4">
      <c r="A151" s="549"/>
      <c r="B151" s="292"/>
      <c r="C151" s="292"/>
      <c r="D151" s="292"/>
      <c r="E151" s="293"/>
      <c r="F151" s="555"/>
      <c r="G151" s="556"/>
      <c r="H151" s="293"/>
      <c r="J151" s="38" t="str">
        <f>K151&amp;SD[[#This Row],[Insurer Code]]&amp;"; "&amp;L151&amp;SD[[#This Row],[Reporting Year]]&amp;"; "&amp;M151&amp;SD[[#This Row],[Market Code]]&amp;"; "&amp;N151&amp;SD[[#This Row],[Large Provider Entity Code]]</f>
        <v xml:space="preserve">Insurer Code ; Reporting Year ; Market Code ; Large Provider Entity Code </v>
      </c>
      <c r="K151" s="299" t="s">
        <v>197</v>
      </c>
      <c r="L151" s="299" t="s">
        <v>198</v>
      </c>
      <c r="M151" s="299" t="s">
        <v>227</v>
      </c>
      <c r="N151" s="299" t="s">
        <v>200</v>
      </c>
      <c r="O151" s="299"/>
      <c r="P151" s="299"/>
      <c r="Q151" s="299"/>
      <c r="R151" s="299"/>
      <c r="S151" s="299"/>
      <c r="T151" s="299"/>
      <c r="U151" s="299"/>
      <c r="V151" s="299"/>
    </row>
    <row r="152" spans="1:22" x14ac:dyDescent="0.4">
      <c r="A152" s="549"/>
      <c r="B152" s="292"/>
      <c r="C152" s="292"/>
      <c r="D152" s="292"/>
      <c r="E152" s="293"/>
      <c r="F152" s="555"/>
      <c r="G152" s="556"/>
      <c r="H152" s="293"/>
      <c r="J152" s="38" t="str">
        <f>K152&amp;SD[[#This Row],[Insurer Code]]&amp;"; "&amp;L152&amp;SD[[#This Row],[Reporting Year]]&amp;"; "&amp;M152&amp;SD[[#This Row],[Market Code]]&amp;"; "&amp;N152&amp;SD[[#This Row],[Large Provider Entity Code]]</f>
        <v xml:space="preserve">Insurer Code ; Reporting Year ; Market Code ; Large Provider Entity Code </v>
      </c>
      <c r="K152" s="299" t="s">
        <v>197</v>
      </c>
      <c r="L152" s="299" t="s">
        <v>198</v>
      </c>
      <c r="M152" s="299" t="s">
        <v>227</v>
      </c>
      <c r="N152" s="299" t="s">
        <v>200</v>
      </c>
      <c r="O152" s="299"/>
      <c r="P152" s="299"/>
      <c r="Q152" s="299"/>
      <c r="R152" s="299"/>
      <c r="S152" s="299"/>
      <c r="T152" s="299"/>
      <c r="U152" s="299"/>
      <c r="V152" s="299"/>
    </row>
    <row r="153" spans="1:22" x14ac:dyDescent="0.4">
      <c r="A153" s="549"/>
      <c r="B153" s="292"/>
      <c r="C153" s="292"/>
      <c r="D153" s="292"/>
      <c r="E153" s="293"/>
      <c r="F153" s="555"/>
      <c r="G153" s="556"/>
      <c r="H153" s="293"/>
      <c r="J153" s="38" t="str">
        <f>K153&amp;SD[[#This Row],[Insurer Code]]&amp;"; "&amp;L153&amp;SD[[#This Row],[Reporting Year]]&amp;"; "&amp;M153&amp;SD[[#This Row],[Market Code]]&amp;"; "&amp;N153&amp;SD[[#This Row],[Large Provider Entity Code]]</f>
        <v xml:space="preserve">Insurer Code ; Reporting Year ; Market Code ; Large Provider Entity Code </v>
      </c>
      <c r="K153" s="299" t="s">
        <v>197</v>
      </c>
      <c r="L153" s="299" t="s">
        <v>198</v>
      </c>
      <c r="M153" s="299" t="s">
        <v>227</v>
      </c>
      <c r="N153" s="299" t="s">
        <v>200</v>
      </c>
      <c r="O153" s="299"/>
      <c r="P153" s="299"/>
      <c r="Q153" s="299"/>
      <c r="R153" s="299"/>
      <c r="S153" s="299"/>
      <c r="T153" s="299"/>
      <c r="U153" s="299"/>
      <c r="V153" s="299"/>
    </row>
    <row r="154" spans="1:22" x14ac:dyDescent="0.4">
      <c r="A154" s="291"/>
      <c r="B154" s="292"/>
      <c r="C154" s="292"/>
      <c r="D154" s="292"/>
      <c r="E154" s="293"/>
      <c r="F154" s="394"/>
      <c r="G154" s="394"/>
      <c r="H154" s="293"/>
      <c r="J154" s="38" t="str">
        <f>K154&amp;SD[[#This Row],[Insurer Code]]&amp;"; "&amp;L154&amp;SD[[#This Row],[Reporting Year]]&amp;"; "&amp;M154&amp;SD[[#This Row],[Market Code]]&amp;"; "&amp;N154&amp;SD[[#This Row],[Large Provider Entity Code]]</f>
        <v xml:space="preserve">Insurer Code ; Reporting Year ; Market Code ; Large Provider Entity Code </v>
      </c>
      <c r="K154" s="299" t="s">
        <v>197</v>
      </c>
      <c r="L154" s="299" t="s">
        <v>198</v>
      </c>
      <c r="M154" s="299" t="s">
        <v>227</v>
      </c>
      <c r="N154" s="299" t="s">
        <v>200</v>
      </c>
      <c r="O154" s="299"/>
      <c r="P154" s="299"/>
      <c r="Q154" s="299"/>
      <c r="R154" s="299"/>
      <c r="S154" s="299"/>
      <c r="T154" s="299"/>
      <c r="U154" s="299"/>
      <c r="V154" s="299"/>
    </row>
    <row r="155" spans="1:22" x14ac:dyDescent="0.4">
      <c r="A155" s="291"/>
      <c r="B155" s="292"/>
      <c r="C155" s="292"/>
      <c r="D155" s="292"/>
      <c r="E155" s="293"/>
      <c r="F155" s="394"/>
      <c r="G155" s="394"/>
      <c r="H155" s="293"/>
      <c r="J155" s="38" t="str">
        <f>K155&amp;SD[[#This Row],[Insurer Code]]&amp;"; "&amp;L155&amp;SD[[#This Row],[Reporting Year]]&amp;"; "&amp;M155&amp;SD[[#This Row],[Market Code]]&amp;"; "&amp;N155&amp;SD[[#This Row],[Large Provider Entity Code]]</f>
        <v xml:space="preserve">Insurer Code ; Reporting Year ; Market Code ; Large Provider Entity Code </v>
      </c>
      <c r="K155" s="299" t="s">
        <v>197</v>
      </c>
      <c r="L155" s="299" t="s">
        <v>198</v>
      </c>
      <c r="M155" s="299" t="s">
        <v>227</v>
      </c>
      <c r="N155" s="299" t="s">
        <v>200</v>
      </c>
      <c r="O155" s="299"/>
      <c r="P155" s="299"/>
      <c r="Q155" s="299"/>
      <c r="R155" s="299"/>
      <c r="S155" s="299"/>
      <c r="T155" s="299"/>
      <c r="U155" s="299"/>
      <c r="V155" s="299"/>
    </row>
    <row r="156" spans="1:22" x14ac:dyDescent="0.4">
      <c r="A156" s="291"/>
      <c r="B156" s="292"/>
      <c r="C156" s="292"/>
      <c r="D156" s="292"/>
      <c r="E156" s="293"/>
      <c r="F156" s="394"/>
      <c r="G156" s="394"/>
      <c r="H156" s="293"/>
      <c r="J156" s="38" t="str">
        <f>K156&amp;SD[[#This Row],[Insurer Code]]&amp;"; "&amp;L156&amp;SD[[#This Row],[Reporting Year]]&amp;"; "&amp;M156&amp;SD[[#This Row],[Market Code]]&amp;"; "&amp;N156&amp;SD[[#This Row],[Large Provider Entity Code]]</f>
        <v xml:space="preserve">Insurer Code ; Reporting Year ; Market Code ; Large Provider Entity Code </v>
      </c>
      <c r="K156" s="299" t="s">
        <v>197</v>
      </c>
      <c r="L156" s="299" t="s">
        <v>198</v>
      </c>
      <c r="M156" s="299" t="s">
        <v>227</v>
      </c>
      <c r="N156" s="299" t="s">
        <v>200</v>
      </c>
      <c r="O156" s="299"/>
      <c r="P156" s="299"/>
      <c r="Q156" s="299"/>
      <c r="R156" s="299"/>
      <c r="S156" s="299"/>
      <c r="T156" s="299"/>
      <c r="U156" s="299"/>
      <c r="V156" s="299"/>
    </row>
    <row r="157" spans="1:22" x14ac:dyDescent="0.4">
      <c r="A157" s="291"/>
      <c r="B157" s="292"/>
      <c r="C157" s="292"/>
      <c r="D157" s="292"/>
      <c r="E157" s="293"/>
      <c r="F157" s="394"/>
      <c r="G157" s="394"/>
      <c r="H157" s="293"/>
      <c r="J157" s="38" t="str">
        <f>K157&amp;SD[[#This Row],[Insurer Code]]&amp;"; "&amp;L157&amp;SD[[#This Row],[Reporting Year]]&amp;"; "&amp;M157&amp;SD[[#This Row],[Market Code]]&amp;"; "&amp;N157&amp;SD[[#This Row],[Large Provider Entity Code]]</f>
        <v xml:space="preserve">Insurer Code ; Reporting Year ; Market Code ; Large Provider Entity Code </v>
      </c>
      <c r="K157" s="299" t="s">
        <v>197</v>
      </c>
      <c r="L157" s="299" t="s">
        <v>198</v>
      </c>
      <c r="M157" s="299" t="s">
        <v>227</v>
      </c>
      <c r="N157" s="299" t="s">
        <v>200</v>
      </c>
      <c r="O157" s="299"/>
      <c r="P157" s="299"/>
      <c r="Q157" s="299"/>
      <c r="R157" s="299"/>
      <c r="S157" s="299"/>
      <c r="T157" s="299"/>
      <c r="U157" s="299"/>
      <c r="V157" s="299"/>
    </row>
    <row r="158" spans="1:22" x14ac:dyDescent="0.4">
      <c r="A158" s="291"/>
      <c r="B158" s="292"/>
      <c r="C158" s="292"/>
      <c r="D158" s="292"/>
      <c r="E158" s="293"/>
      <c r="F158" s="394"/>
      <c r="G158" s="394"/>
      <c r="H158" s="293"/>
      <c r="J158" s="38" t="str">
        <f>K158&amp;SD[[#This Row],[Insurer Code]]&amp;"; "&amp;L158&amp;SD[[#This Row],[Reporting Year]]&amp;"; "&amp;M158&amp;SD[[#This Row],[Market Code]]&amp;"; "&amp;N158&amp;SD[[#This Row],[Large Provider Entity Code]]</f>
        <v xml:space="preserve">Insurer Code ; Reporting Year ; Market Code ; Large Provider Entity Code </v>
      </c>
      <c r="K158" s="299" t="s">
        <v>197</v>
      </c>
      <c r="L158" s="299" t="s">
        <v>198</v>
      </c>
      <c r="M158" s="299" t="s">
        <v>227</v>
      </c>
      <c r="N158" s="299" t="s">
        <v>200</v>
      </c>
      <c r="O158" s="299"/>
      <c r="P158" s="299"/>
      <c r="Q158" s="299"/>
      <c r="R158" s="299"/>
      <c r="S158" s="299"/>
      <c r="T158" s="299"/>
      <c r="U158" s="299"/>
      <c r="V158" s="299"/>
    </row>
    <row r="159" spans="1:22" x14ac:dyDescent="0.4">
      <c r="A159" s="291"/>
      <c r="B159" s="292"/>
      <c r="C159" s="292"/>
      <c r="D159" s="292"/>
      <c r="E159" s="293"/>
      <c r="F159" s="394"/>
      <c r="G159" s="394"/>
      <c r="H159" s="293"/>
      <c r="J159" s="38" t="str">
        <f>K159&amp;SD[[#This Row],[Insurer Code]]&amp;"; "&amp;L159&amp;SD[[#This Row],[Reporting Year]]&amp;"; "&amp;M159&amp;SD[[#This Row],[Market Code]]&amp;"; "&amp;N159&amp;SD[[#This Row],[Large Provider Entity Code]]</f>
        <v xml:space="preserve">Insurer Code ; Reporting Year ; Market Code ; Large Provider Entity Code </v>
      </c>
      <c r="K159" s="299" t="s">
        <v>197</v>
      </c>
      <c r="L159" s="299" t="s">
        <v>198</v>
      </c>
      <c r="M159" s="299" t="s">
        <v>227</v>
      </c>
      <c r="N159" s="299" t="s">
        <v>200</v>
      </c>
      <c r="O159" s="299"/>
      <c r="P159" s="299"/>
      <c r="Q159" s="299"/>
      <c r="R159" s="299"/>
      <c r="S159" s="299"/>
      <c r="T159" s="299"/>
      <c r="U159" s="299"/>
      <c r="V159" s="299"/>
    </row>
    <row r="160" spans="1:22" x14ac:dyDescent="0.4">
      <c r="A160" s="291"/>
      <c r="B160" s="292"/>
      <c r="C160" s="292"/>
      <c r="D160" s="292"/>
      <c r="E160" s="293"/>
      <c r="F160" s="394"/>
      <c r="G160" s="394"/>
      <c r="H160" s="293"/>
      <c r="J160" s="38" t="str">
        <f>K160&amp;SD[[#This Row],[Insurer Code]]&amp;"; "&amp;L160&amp;SD[[#This Row],[Reporting Year]]&amp;"; "&amp;M160&amp;SD[[#This Row],[Market Code]]&amp;"; "&amp;N160&amp;SD[[#This Row],[Large Provider Entity Code]]</f>
        <v xml:space="preserve">Insurer Code ; Reporting Year ; Market Code ; Large Provider Entity Code </v>
      </c>
      <c r="K160" s="299" t="s">
        <v>197</v>
      </c>
      <c r="L160" s="299" t="s">
        <v>198</v>
      </c>
      <c r="M160" s="299" t="s">
        <v>227</v>
      </c>
      <c r="N160" s="299" t="s">
        <v>200</v>
      </c>
      <c r="O160" s="299"/>
      <c r="P160" s="299"/>
      <c r="Q160" s="299"/>
      <c r="R160" s="299"/>
      <c r="S160" s="299"/>
      <c r="T160" s="299"/>
      <c r="U160" s="299"/>
      <c r="V160" s="299"/>
    </row>
    <row r="161" spans="1:22" x14ac:dyDescent="0.4">
      <c r="A161" s="291"/>
      <c r="B161" s="292"/>
      <c r="C161" s="292"/>
      <c r="D161" s="292"/>
      <c r="E161" s="293"/>
      <c r="F161" s="394"/>
      <c r="G161" s="394"/>
      <c r="H161" s="293"/>
      <c r="J161" s="38" t="str">
        <f>K161&amp;SD[[#This Row],[Insurer Code]]&amp;"; "&amp;L161&amp;SD[[#This Row],[Reporting Year]]&amp;"; "&amp;M161&amp;SD[[#This Row],[Market Code]]&amp;"; "&amp;N161&amp;SD[[#This Row],[Large Provider Entity Code]]</f>
        <v xml:space="preserve">Insurer Code ; Reporting Year ; Market Code ; Large Provider Entity Code </v>
      </c>
      <c r="K161" s="299" t="s">
        <v>197</v>
      </c>
      <c r="L161" s="299" t="s">
        <v>198</v>
      </c>
      <c r="M161" s="299" t="s">
        <v>227</v>
      </c>
      <c r="N161" s="299" t="s">
        <v>200</v>
      </c>
      <c r="O161" s="299"/>
      <c r="P161" s="299"/>
      <c r="Q161" s="299"/>
      <c r="R161" s="299"/>
      <c r="S161" s="299"/>
      <c r="T161" s="299"/>
      <c r="U161" s="299"/>
      <c r="V161" s="299"/>
    </row>
  </sheetData>
  <mergeCells count="2">
    <mergeCell ref="A7:G7"/>
    <mergeCell ref="A5:G5"/>
  </mergeCells>
  <conditionalFormatting sqref="A12:A161">
    <cfRule type="containsBlanks" dxfId="145" priority="4" stopIfTrue="1">
      <formula>LEN(TRIM(A12))=0</formula>
    </cfRule>
    <cfRule type="expression" dxfId="144" priority="5">
      <formula>AND(A12&lt;&gt;201, A12&lt;&gt;202, A12&lt;&gt;203, A12&lt;&gt;204, A12&lt;&gt;205, A12&lt;&gt;206, A12&lt;&gt;207)</formula>
    </cfRule>
  </conditionalFormatting>
  <conditionalFormatting sqref="B12 B14:B161">
    <cfRule type="containsBlanks" priority="11" stopIfTrue="1">
      <formula>LEN(TRIM(B12))=0</formula>
    </cfRule>
    <cfRule type="expression" dxfId="143" priority="12" stopIfTrue="1">
      <formula>ISNUMBER(B12)=FALSE</formula>
    </cfRule>
    <cfRule type="expression" dxfId="142" priority="13">
      <formula>AND(B12&lt;&gt;2024, B12&lt;&gt;2025)</formula>
    </cfRule>
  </conditionalFormatting>
  <conditionalFormatting sqref="C12:C161">
    <cfRule type="containsBlanks" dxfId="141" priority="8" stopIfTrue="1">
      <formula>LEN(TRIM(C12))=0</formula>
    </cfRule>
    <cfRule type="expression" dxfId="140" priority="14" stopIfTrue="1">
      <formula>ISNUMBER(C12)=FALSE</formula>
    </cfRule>
    <cfRule type="expression" dxfId="139" priority="15">
      <formula>AND(C12&lt;&gt;1, C12&lt;&gt;2, C12&lt;&gt;3)</formula>
    </cfRule>
  </conditionalFormatting>
  <conditionalFormatting sqref="D12:D161">
    <cfRule type="containsBlanks" dxfId="138" priority="16" stopIfTrue="1">
      <formula>LEN(TRIM(D12))=0</formula>
    </cfRule>
    <cfRule type="expression" dxfId="137" priority="17">
      <formula>AND(D12&lt;&gt;100, D12&lt;&gt;101, D12&lt;&gt;102, D12&lt;&gt;123, D12&lt;&gt;104, D12&lt;&gt;105, D12&lt;&gt;106, D12&lt;&gt;107, D12&lt;&gt;108, D12&lt;&gt;109, D12&lt;&gt;110, D12&lt;&gt;111, D12&lt;&gt;112, D12&lt;&gt;115, D12&lt;&gt;116, D12&lt;&gt;118, D12&lt;&gt;120, D12&lt;&gt;121, D12&lt;&gt;122, D12&lt;&gt;124, D12&lt;&gt;125, D12&lt;&gt;126, D12&lt;&gt;127, D12&lt;&gt;128, D12&lt;&gt;999)</formula>
    </cfRule>
  </conditionalFormatting>
  <conditionalFormatting sqref="F12:G161">
    <cfRule type="containsBlanks" dxfId="136" priority="20" stopIfTrue="1">
      <formula>LEN(TRIM(F12))=0</formula>
    </cfRule>
    <cfRule type="expression" dxfId="135" priority="21" stopIfTrue="1">
      <formula>ISNUMBER(F12)=FALSE</formula>
    </cfRule>
    <cfRule type="cellIs" dxfId="134" priority="22" stopIfTrue="1" operator="lessThan">
      <formula>0</formula>
    </cfRule>
  </conditionalFormatting>
  <dataValidations xWindow="528" yWindow="666" count="5">
    <dataValidation type="list" allowBlank="1" showInputMessage="1" showErrorMessage="1" error="Select Market Code as listed in the Reference Tables tab." promptTitle="Input required" prompt="Input must be an option from the drop down list" sqref="C12:C161" xr:uid="{36293285-792E-496B-8251-AA1952754560}">
      <formula1>"1,2,3"</formula1>
    </dataValidation>
    <dataValidation type="decimal" operator="greaterThanOrEqual" allowBlank="1" showInputMessage="1" showErrorMessage="1" error="Input must be a non-negative number" promptTitle="Input required" prompt="Enter non-negative number" sqref="G12:G161" xr:uid="{F1824CD9-8F8B-4113-B287-24FAFB00918E}">
      <formula1>0</formula1>
    </dataValidation>
    <dataValidation type="decimal" operator="greaterThanOrEqual" allowBlank="1" showInputMessage="1" showErrorMessage="1" error="Input must be a non-negative number." promptTitle="Input required" prompt="Enter non-negative number" sqref="F12:F161" xr:uid="{13746E80-0079-4789-A5C9-AC3F8718563B}">
      <formula1>0</formula1>
    </dataValidation>
    <dataValidation type="whole" operator="greaterThanOrEqual" allowBlank="1" showInputMessage="1" showErrorMessage="1" error="Input must be a non-negative integer" promptTitle="Input required" prompt="Enter non-negative integer_x000a_" sqref="E12:E161 B13" xr:uid="{06C8B741-E93A-4C27-B5AC-6886FE22E75E}">
      <formula1>0</formula1>
    </dataValidation>
    <dataValidation type="whole" operator="greaterThanOrEqual" allowBlank="1" showInputMessage="1" showErrorMessage="1" error="Input must be a non-negative integer" promptTitle="Input conditionally required" prompt="Enter non-negative integer if Large Provider Entity Code ≠ 100 or 999_x000a_" sqref="H12:H161" xr:uid="{A5C30935-9F3C-49E3-9AF6-F643878EC404}">
      <formula1>0</formula1>
    </dataValidation>
  </dataValidations>
  <pageMargins left="0.7" right="0.7" top="0.75" bottom="0.75" header="0.3" footer="0.3"/>
  <pageSetup scale="17" orientation="landscape" r:id="rId1"/>
  <headerFooter>
    <oddFooter>&amp;L&amp;"-,Bold"Carrier Benchmark Data Submission Template&amp;"-,Regular" | NJ Hart Program &amp;RPage &amp;P</oddFooter>
  </headerFooter>
  <tableParts count="1">
    <tablePart r:id="rId2"/>
  </tableParts>
  <extLst>
    <ext xmlns:x14="http://schemas.microsoft.com/office/spreadsheetml/2009/9/main" uri="{CCE6A557-97BC-4b89-ADB6-D9C93CAAB3DF}">
      <x14:dataValidations xmlns:xm="http://schemas.microsoft.com/office/excel/2006/main" xWindow="528" yWindow="666" count="3">
        <x14:dataValidation type="list" allowBlank="1" showInputMessage="1" showErrorMessage="1" errorTitle="Invalid input" error="Select option from the drop down list" promptTitle="Input required" prompt="Input must be an option from the drop down list" xr:uid="{EF43BCDA-B17B-4AA8-8BF0-D7AE4DE178ED}">
          <x14:formula1>
            <xm:f>'Reference Tables'!$A$16:$A$17</xm:f>
          </x14:formula1>
          <xm:sqref>B12 B14:B161</xm:sqref>
        </x14:dataValidation>
        <x14:dataValidation type="list" allowBlank="1" showInputMessage="1" showErrorMessage="1" error="Select Insurer Code as listed in the Reference Tables tab." promptTitle="Input required" prompt="Input must align with the Insurer Code in the file name and the Insurer Name on the Cover Page tab" xr:uid="{6EC724A7-61DF-45D4-92DD-B5E4B032FE07}">
          <x14:formula1>
            <xm:f>'Reference Tables'!$A$6:$A$12</xm:f>
          </x14:formula1>
          <xm:sqref>A12:A161</xm:sqref>
        </x14:dataValidation>
        <x14:dataValidation type="list" allowBlank="1" showInputMessage="1" showErrorMessage="1" promptTitle="Input required" prompt="Input must be an option from the drop down list if Member Months field is greater than zero" xr:uid="{E14A054D-03CA-46C3-BD68-D9E018459FCB}">
          <x14:formula1>
            <xm:f>'Reference Tables'!$A$32:$A$56</xm:f>
          </x14:formula1>
          <xm:sqref>D12:D161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7884F-0937-4229-9688-B814D0705138}">
  <sheetPr>
    <tabColor theme="9" tint="0.39997558519241921"/>
    <pageSetUpPr fitToPage="1"/>
  </sheetPr>
  <dimension ref="A1:L33"/>
  <sheetViews>
    <sheetView showGridLines="0" zoomScale="60" zoomScaleNormal="60" workbookViewId="0">
      <selection activeCell="C15" sqref="C15"/>
    </sheetView>
  </sheetViews>
  <sheetFormatPr defaultColWidth="9" defaultRowHeight="16.8" x14ac:dyDescent="0.4"/>
  <cols>
    <col min="1" max="2" width="15.59765625" style="10" customWidth="1"/>
    <col min="3" max="3" width="30.8984375" style="10" customWidth="1"/>
    <col min="4" max="4" width="24.19921875" style="10" customWidth="1"/>
    <col min="5" max="5" width="8.59765625" style="10" customWidth="1"/>
    <col min="6" max="6" width="67.3984375" style="10" customWidth="1"/>
    <col min="7" max="16384" width="9" style="10"/>
  </cols>
  <sheetData>
    <row r="1" spans="1:12" ht="20.399999999999999" x14ac:dyDescent="0.45">
      <c r="A1" s="9" t="s">
        <v>228</v>
      </c>
      <c r="B1" s="9"/>
      <c r="C1" s="9"/>
      <c r="D1" s="9"/>
    </row>
    <row r="2" spans="1:12" ht="30" customHeight="1" x14ac:dyDescent="0.4">
      <c r="A2" s="614" t="s">
        <v>137</v>
      </c>
      <c r="B2" s="614"/>
      <c r="C2" s="614"/>
      <c r="D2" s="614"/>
    </row>
    <row r="3" spans="1:12" ht="15" customHeight="1" x14ac:dyDescent="0.45">
      <c r="A3" s="21"/>
      <c r="B3" s="9"/>
      <c r="C3" s="9"/>
      <c r="D3" s="9"/>
    </row>
    <row r="4" spans="1:12" s="38" customFormat="1" x14ac:dyDescent="0.4">
      <c r="A4" s="253" t="s">
        <v>122</v>
      </c>
      <c r="B4" s="28"/>
      <c r="C4" s="28"/>
      <c r="D4" s="28"/>
    </row>
    <row r="5" spans="1:12" s="38" customFormat="1" ht="50.25" customHeight="1" x14ac:dyDescent="0.4">
      <c r="A5" s="610" t="s">
        <v>229</v>
      </c>
      <c r="B5" s="610"/>
      <c r="C5" s="610"/>
      <c r="D5" s="610"/>
    </row>
    <row r="6" spans="1:12" x14ac:dyDescent="0.4">
      <c r="A6" s="613" t="s">
        <v>230</v>
      </c>
      <c r="B6" s="613"/>
      <c r="C6" s="613"/>
      <c r="D6" s="613"/>
    </row>
    <row r="7" spans="1:12" ht="51" customHeight="1" x14ac:dyDescent="0.4">
      <c r="A7" s="611" t="s">
        <v>140</v>
      </c>
      <c r="B7" s="611"/>
      <c r="C7" s="611"/>
      <c r="D7" s="611"/>
    </row>
    <row r="8" spans="1:12" x14ac:dyDescent="0.4">
      <c r="A8" s="27"/>
      <c r="B8" s="1"/>
      <c r="C8" s="1"/>
      <c r="D8" s="1"/>
    </row>
    <row r="9" spans="1:12" x14ac:dyDescent="0.4">
      <c r="A9" s="4"/>
      <c r="B9" s="1"/>
      <c r="C9" s="1"/>
      <c r="D9" s="1"/>
    </row>
    <row r="10" spans="1:12" s="38" customFormat="1" x14ac:dyDescent="0.4">
      <c r="A10" s="28" t="s">
        <v>231</v>
      </c>
      <c r="B10" s="28" t="s">
        <v>232</v>
      </c>
      <c r="C10" s="28" t="s">
        <v>233</v>
      </c>
      <c r="D10" s="28" t="s">
        <v>234</v>
      </c>
    </row>
    <row r="11" spans="1:12" x14ac:dyDescent="0.4">
      <c r="A11" s="111" t="s">
        <v>48</v>
      </c>
      <c r="B11" s="112" t="s">
        <v>170</v>
      </c>
      <c r="C11" s="112" t="s">
        <v>103</v>
      </c>
      <c r="D11" s="309" t="s">
        <v>171</v>
      </c>
      <c r="F11" s="302" t="s">
        <v>196</v>
      </c>
    </row>
    <row r="12" spans="1:12" x14ac:dyDescent="0.4">
      <c r="A12" s="291"/>
      <c r="B12" s="292"/>
      <c r="C12" s="294"/>
      <c r="D12" s="293"/>
      <c r="F12" s="303" t="str">
        <f>G12&amp;LB[[#This Row],[Insurer Code]]&amp;"; "&amp;H12&amp;LB[[#This Row],[Reporting Year]]&amp;"; "&amp;I12&amp;LB[[#This Row],[Line of Business Category Code]]</f>
        <v xml:space="preserve">Insurer Code ; Reporting Year ; Line of Business Category Code </v>
      </c>
      <c r="G12" s="299" t="s">
        <v>197</v>
      </c>
      <c r="H12" s="299" t="s">
        <v>198</v>
      </c>
      <c r="I12" s="299" t="s">
        <v>235</v>
      </c>
      <c r="J12" s="299"/>
      <c r="K12" s="299"/>
      <c r="L12" s="299"/>
    </row>
    <row r="13" spans="1:12" x14ac:dyDescent="0.4">
      <c r="A13" s="291"/>
      <c r="B13" s="292"/>
      <c r="C13" s="294"/>
      <c r="D13" s="293"/>
      <c r="F13" s="303" t="str">
        <f>G13&amp;LB[[#This Row],[Insurer Code]]&amp;"; "&amp;H13&amp;LB[[#This Row],[Reporting Year]]&amp;"; "&amp;I13&amp;LB[[#This Row],[Line of Business Category Code]]</f>
        <v xml:space="preserve">Insurer Code ; Reporting Year ; Line of Business Category Code </v>
      </c>
      <c r="G13" s="299" t="s">
        <v>197</v>
      </c>
      <c r="H13" s="299" t="s">
        <v>198</v>
      </c>
      <c r="I13" s="299" t="s">
        <v>235</v>
      </c>
      <c r="J13" s="299"/>
      <c r="K13" s="299"/>
      <c r="L13" s="299"/>
    </row>
    <row r="14" spans="1:12" x14ac:dyDescent="0.4">
      <c r="A14" s="291"/>
      <c r="B14" s="292"/>
      <c r="C14" s="294"/>
      <c r="D14" s="293"/>
      <c r="F14" s="303" t="str">
        <f>G14&amp;LB[[#This Row],[Insurer Code]]&amp;"; "&amp;H14&amp;LB[[#This Row],[Reporting Year]]&amp;"; "&amp;I14&amp;LB[[#This Row],[Line of Business Category Code]]</f>
        <v xml:space="preserve">Insurer Code ; Reporting Year ; Line of Business Category Code </v>
      </c>
      <c r="G14" s="299" t="s">
        <v>197</v>
      </c>
      <c r="H14" s="299" t="s">
        <v>198</v>
      </c>
      <c r="I14" s="299" t="s">
        <v>235</v>
      </c>
      <c r="J14" s="299"/>
      <c r="K14" s="299"/>
      <c r="L14" s="299"/>
    </row>
    <row r="15" spans="1:12" x14ac:dyDescent="0.4">
      <c r="A15" s="291"/>
      <c r="B15" s="292"/>
      <c r="C15" s="294"/>
      <c r="D15" s="293"/>
      <c r="F15" s="303" t="str">
        <f>G15&amp;LB[[#This Row],[Insurer Code]]&amp;"; "&amp;H15&amp;LB[[#This Row],[Reporting Year]]&amp;"; "&amp;I15&amp;LB[[#This Row],[Line of Business Category Code]]</f>
        <v xml:space="preserve">Insurer Code ; Reporting Year ; Line of Business Category Code </v>
      </c>
      <c r="G15" s="299" t="s">
        <v>197</v>
      </c>
      <c r="H15" s="299" t="s">
        <v>198</v>
      </c>
      <c r="I15" s="299" t="s">
        <v>235</v>
      </c>
      <c r="J15" s="299"/>
      <c r="K15" s="299"/>
      <c r="L15" s="299"/>
    </row>
    <row r="16" spans="1:12" x14ac:dyDescent="0.4">
      <c r="A16" s="291"/>
      <c r="B16" s="292"/>
      <c r="C16" s="294"/>
      <c r="D16" s="293"/>
      <c r="F16" s="303" t="str">
        <f>G16&amp;LB[[#This Row],[Insurer Code]]&amp;"; "&amp;H16&amp;LB[[#This Row],[Reporting Year]]&amp;"; "&amp;I16&amp;LB[[#This Row],[Line of Business Category Code]]</f>
        <v xml:space="preserve">Insurer Code ; Reporting Year ; Line of Business Category Code </v>
      </c>
      <c r="G16" s="299" t="s">
        <v>197</v>
      </c>
      <c r="H16" s="299" t="s">
        <v>198</v>
      </c>
      <c r="I16" s="299" t="s">
        <v>235</v>
      </c>
      <c r="J16" s="299"/>
      <c r="K16" s="299"/>
      <c r="L16" s="299"/>
    </row>
    <row r="17" spans="1:12" x14ac:dyDescent="0.4">
      <c r="A17" s="291"/>
      <c r="B17" s="292"/>
      <c r="C17" s="294"/>
      <c r="D17" s="293"/>
      <c r="F17" s="303" t="str">
        <f>G17&amp;LB[[#This Row],[Insurer Code]]&amp;"; "&amp;H17&amp;LB[[#This Row],[Reporting Year]]&amp;"; "&amp;I17&amp;LB[[#This Row],[Line of Business Category Code]]</f>
        <v xml:space="preserve">Insurer Code ; Reporting Year ; Line of Business Category Code </v>
      </c>
      <c r="G17" s="299" t="s">
        <v>197</v>
      </c>
      <c r="H17" s="299" t="s">
        <v>198</v>
      </c>
      <c r="I17" s="299" t="s">
        <v>235</v>
      </c>
      <c r="J17" s="299"/>
      <c r="K17" s="299"/>
      <c r="L17" s="299"/>
    </row>
    <row r="18" spans="1:12" x14ac:dyDescent="0.4">
      <c r="A18" s="291"/>
      <c r="B18" s="292"/>
      <c r="C18" s="294"/>
      <c r="D18" s="293"/>
      <c r="F18" s="303" t="str">
        <f>G18&amp;LB[[#This Row],[Insurer Code]]&amp;"; "&amp;H18&amp;LB[[#This Row],[Reporting Year]]&amp;"; "&amp;I18&amp;LB[[#This Row],[Line of Business Category Code]]</f>
        <v xml:space="preserve">Insurer Code ; Reporting Year ; Line of Business Category Code </v>
      </c>
      <c r="G18" s="299" t="s">
        <v>197</v>
      </c>
      <c r="H18" s="299" t="s">
        <v>198</v>
      </c>
      <c r="I18" s="299" t="s">
        <v>235</v>
      </c>
      <c r="J18" s="299"/>
      <c r="K18" s="299"/>
      <c r="L18" s="299"/>
    </row>
    <row r="19" spans="1:12" x14ac:dyDescent="0.4">
      <c r="A19" s="291"/>
      <c r="B19" s="292"/>
      <c r="C19" s="294"/>
      <c r="D19" s="293"/>
      <c r="F19" s="303" t="str">
        <f>G19&amp;LB[[#This Row],[Insurer Code]]&amp;"; "&amp;H19&amp;LB[[#This Row],[Reporting Year]]&amp;"; "&amp;I19&amp;LB[[#This Row],[Line of Business Category Code]]</f>
        <v xml:space="preserve">Insurer Code ; Reporting Year ; Line of Business Category Code </v>
      </c>
      <c r="G19" s="299" t="s">
        <v>197</v>
      </c>
      <c r="H19" s="299" t="s">
        <v>198</v>
      </c>
      <c r="I19" s="299" t="s">
        <v>235</v>
      </c>
      <c r="J19" s="299"/>
      <c r="K19" s="299"/>
      <c r="L19" s="299"/>
    </row>
    <row r="20" spans="1:12" x14ac:dyDescent="0.4">
      <c r="A20" s="291"/>
      <c r="B20" s="292"/>
      <c r="C20" s="294"/>
      <c r="D20" s="293"/>
      <c r="F20" s="303" t="str">
        <f>G20&amp;LB[[#This Row],[Insurer Code]]&amp;"; "&amp;H20&amp;LB[[#This Row],[Reporting Year]]&amp;"; "&amp;I20&amp;LB[[#This Row],[Line of Business Category Code]]</f>
        <v xml:space="preserve">Insurer Code ; Reporting Year ; Line of Business Category Code </v>
      </c>
      <c r="G20" s="299" t="s">
        <v>197</v>
      </c>
      <c r="H20" s="299" t="s">
        <v>198</v>
      </c>
      <c r="I20" s="299" t="s">
        <v>235</v>
      </c>
      <c r="J20" s="299"/>
      <c r="K20" s="299"/>
      <c r="L20" s="299"/>
    </row>
    <row r="21" spans="1:12" x14ac:dyDescent="0.4">
      <c r="A21" s="291"/>
      <c r="B21" s="292"/>
      <c r="C21" s="294"/>
      <c r="D21" s="293"/>
      <c r="F21" s="303" t="str">
        <f>G21&amp;LB[[#This Row],[Insurer Code]]&amp;"; "&amp;H21&amp;LB[[#This Row],[Reporting Year]]&amp;"; "&amp;I21&amp;LB[[#This Row],[Line of Business Category Code]]</f>
        <v xml:space="preserve">Insurer Code ; Reporting Year ; Line of Business Category Code </v>
      </c>
      <c r="G21" s="299" t="s">
        <v>197</v>
      </c>
      <c r="H21" s="299" t="s">
        <v>198</v>
      </c>
      <c r="I21" s="299" t="s">
        <v>235</v>
      </c>
      <c r="J21" s="299"/>
      <c r="K21" s="299"/>
      <c r="L21" s="299"/>
    </row>
    <row r="22" spans="1:12" x14ac:dyDescent="0.4">
      <c r="A22" s="291"/>
      <c r="B22" s="292"/>
      <c r="C22" s="294"/>
      <c r="D22" s="293"/>
      <c r="F22" s="303" t="str">
        <f>G22&amp;LB[[#This Row],[Insurer Code]]&amp;"; "&amp;H22&amp;LB[[#This Row],[Reporting Year]]&amp;"; "&amp;I22&amp;LB[[#This Row],[Line of Business Category Code]]</f>
        <v xml:space="preserve">Insurer Code ; Reporting Year ; Line of Business Category Code </v>
      </c>
      <c r="G22" s="299" t="s">
        <v>197</v>
      </c>
      <c r="H22" s="299" t="s">
        <v>198</v>
      </c>
      <c r="I22" s="299" t="s">
        <v>235</v>
      </c>
      <c r="J22" s="299"/>
      <c r="K22" s="299"/>
      <c r="L22" s="299"/>
    </row>
    <row r="23" spans="1:12" x14ac:dyDescent="0.4">
      <c r="A23" s="291"/>
      <c r="B23" s="292"/>
      <c r="C23" s="294"/>
      <c r="D23" s="293"/>
      <c r="F23" s="303" t="str">
        <f>G23&amp;LB[[#This Row],[Insurer Code]]&amp;"; "&amp;H23&amp;LB[[#This Row],[Reporting Year]]&amp;"; "&amp;I23&amp;LB[[#This Row],[Line of Business Category Code]]</f>
        <v xml:space="preserve">Insurer Code ; Reporting Year ; Line of Business Category Code </v>
      </c>
      <c r="G23" s="299" t="s">
        <v>197</v>
      </c>
      <c r="H23" s="299" t="s">
        <v>198</v>
      </c>
      <c r="I23" s="299" t="s">
        <v>235</v>
      </c>
      <c r="J23" s="299"/>
      <c r="K23" s="299"/>
      <c r="L23" s="299"/>
    </row>
    <row r="24" spans="1:12" x14ac:dyDescent="0.4">
      <c r="A24" s="291"/>
      <c r="B24" s="292"/>
      <c r="C24" s="294"/>
      <c r="D24" s="293"/>
      <c r="F24" s="303" t="str">
        <f>G24&amp;LB[[#This Row],[Insurer Code]]&amp;"; "&amp;H24&amp;LB[[#This Row],[Reporting Year]]&amp;"; "&amp;I24&amp;LB[[#This Row],[Line of Business Category Code]]</f>
        <v xml:space="preserve">Insurer Code ; Reporting Year ; Line of Business Category Code </v>
      </c>
      <c r="G24" s="299" t="s">
        <v>197</v>
      </c>
      <c r="H24" s="299" t="s">
        <v>198</v>
      </c>
      <c r="I24" s="299" t="s">
        <v>235</v>
      </c>
      <c r="J24" s="299"/>
      <c r="K24" s="299"/>
      <c r="L24" s="299"/>
    </row>
    <row r="25" spans="1:12" x14ac:dyDescent="0.4">
      <c r="A25" s="291"/>
      <c r="B25" s="292"/>
      <c r="C25" s="294"/>
      <c r="D25" s="293"/>
      <c r="F25" s="303" t="str">
        <f>G25&amp;LB[[#This Row],[Insurer Code]]&amp;"; "&amp;H25&amp;LB[[#This Row],[Reporting Year]]&amp;"; "&amp;I25&amp;LB[[#This Row],[Line of Business Category Code]]</f>
        <v xml:space="preserve">Insurer Code ; Reporting Year ; Line of Business Category Code </v>
      </c>
      <c r="G25" s="299" t="s">
        <v>197</v>
      </c>
      <c r="H25" s="299" t="s">
        <v>198</v>
      </c>
      <c r="I25" s="299" t="s">
        <v>235</v>
      </c>
      <c r="J25" s="299"/>
      <c r="K25" s="299"/>
      <c r="L25" s="299"/>
    </row>
    <row r="26" spans="1:12" x14ac:dyDescent="0.4">
      <c r="A26" s="291"/>
      <c r="B26" s="292"/>
      <c r="C26" s="294"/>
      <c r="D26" s="293"/>
      <c r="F26" s="303" t="str">
        <f>G26&amp;LB[[#This Row],[Insurer Code]]&amp;"; "&amp;H26&amp;LB[[#This Row],[Reporting Year]]&amp;"; "&amp;I26&amp;LB[[#This Row],[Line of Business Category Code]]</f>
        <v xml:space="preserve">Insurer Code ; Reporting Year ; Line of Business Category Code </v>
      </c>
      <c r="G26" s="299" t="s">
        <v>197</v>
      </c>
      <c r="H26" s="299" t="s">
        <v>198</v>
      </c>
      <c r="I26" s="299" t="s">
        <v>235</v>
      </c>
      <c r="J26" s="299"/>
      <c r="K26" s="299"/>
      <c r="L26" s="299"/>
    </row>
    <row r="27" spans="1:12" x14ac:dyDescent="0.4">
      <c r="A27" s="291"/>
      <c r="B27" s="292"/>
      <c r="C27" s="294"/>
      <c r="D27" s="293"/>
      <c r="F27" s="303" t="str">
        <f>G27&amp;LB[[#This Row],[Insurer Code]]&amp;"; "&amp;H27&amp;LB[[#This Row],[Reporting Year]]&amp;"; "&amp;I27&amp;LB[[#This Row],[Line of Business Category Code]]</f>
        <v xml:space="preserve">Insurer Code ; Reporting Year ; Line of Business Category Code </v>
      </c>
      <c r="G27" s="299" t="s">
        <v>197</v>
      </c>
      <c r="H27" s="299" t="s">
        <v>198</v>
      </c>
      <c r="I27" s="299" t="s">
        <v>235</v>
      </c>
      <c r="J27" s="299"/>
      <c r="K27" s="299"/>
      <c r="L27" s="299"/>
    </row>
    <row r="28" spans="1:12" x14ac:dyDescent="0.4">
      <c r="A28" s="291"/>
      <c r="B28" s="292"/>
      <c r="C28" s="294"/>
      <c r="D28" s="293"/>
      <c r="F28" s="303" t="str">
        <f>G28&amp;LB[[#This Row],[Insurer Code]]&amp;"; "&amp;H28&amp;LB[[#This Row],[Reporting Year]]&amp;"; "&amp;I28&amp;LB[[#This Row],[Line of Business Category Code]]</f>
        <v xml:space="preserve">Insurer Code ; Reporting Year ; Line of Business Category Code </v>
      </c>
      <c r="G28" s="299" t="s">
        <v>197</v>
      </c>
      <c r="H28" s="299" t="s">
        <v>198</v>
      </c>
      <c r="I28" s="299" t="s">
        <v>235</v>
      </c>
      <c r="J28" s="299"/>
      <c r="K28" s="299"/>
      <c r="L28" s="299"/>
    </row>
    <row r="29" spans="1:12" x14ac:dyDescent="0.4">
      <c r="A29" s="291"/>
      <c r="B29" s="292"/>
      <c r="C29" s="294"/>
      <c r="D29" s="293"/>
      <c r="F29" s="303" t="str">
        <f>G29&amp;LB[[#This Row],[Insurer Code]]&amp;"; "&amp;H29&amp;LB[[#This Row],[Reporting Year]]&amp;"; "&amp;I29&amp;LB[[#This Row],[Line of Business Category Code]]</f>
        <v xml:space="preserve">Insurer Code ; Reporting Year ; Line of Business Category Code </v>
      </c>
      <c r="G29" s="299" t="s">
        <v>197</v>
      </c>
      <c r="H29" s="299" t="s">
        <v>198</v>
      </c>
      <c r="I29" s="299" t="s">
        <v>235</v>
      </c>
      <c r="J29" s="299"/>
      <c r="K29" s="299"/>
      <c r="L29" s="299"/>
    </row>
    <row r="30" spans="1:12" x14ac:dyDescent="0.4">
      <c r="A30" s="291"/>
      <c r="B30" s="292"/>
      <c r="C30" s="294"/>
      <c r="D30" s="293"/>
      <c r="F30" s="303" t="str">
        <f>G30&amp;LB[[#This Row],[Insurer Code]]&amp;"; "&amp;H30&amp;LB[[#This Row],[Reporting Year]]&amp;"; "&amp;I30&amp;LB[[#This Row],[Line of Business Category Code]]</f>
        <v xml:space="preserve">Insurer Code ; Reporting Year ; Line of Business Category Code </v>
      </c>
      <c r="G30" s="299" t="s">
        <v>197</v>
      </c>
      <c r="H30" s="299" t="s">
        <v>198</v>
      </c>
      <c r="I30" s="299" t="s">
        <v>235</v>
      </c>
      <c r="J30" s="299"/>
      <c r="K30" s="299"/>
      <c r="L30" s="299"/>
    </row>
    <row r="31" spans="1:12" x14ac:dyDescent="0.4">
      <c r="A31" s="291"/>
      <c r="B31" s="292"/>
      <c r="C31" s="294"/>
      <c r="D31" s="293"/>
      <c r="F31" s="303" t="str">
        <f>G31&amp;LB[[#This Row],[Insurer Code]]&amp;"; "&amp;H31&amp;LB[[#This Row],[Reporting Year]]&amp;"; "&amp;I31&amp;LB[[#This Row],[Line of Business Category Code]]</f>
        <v xml:space="preserve">Insurer Code ; Reporting Year ; Line of Business Category Code </v>
      </c>
      <c r="G31" s="299" t="s">
        <v>197</v>
      </c>
      <c r="H31" s="299" t="s">
        <v>198</v>
      </c>
      <c r="I31" s="299" t="s">
        <v>235</v>
      </c>
      <c r="J31" s="299"/>
      <c r="K31" s="299"/>
      <c r="L31" s="299"/>
    </row>
    <row r="32" spans="1:12" x14ac:dyDescent="0.4">
      <c r="A32" s="291"/>
      <c r="B32" s="292"/>
      <c r="C32" s="294"/>
      <c r="D32" s="293"/>
      <c r="F32" s="303" t="str">
        <f>G32&amp;LB[[#This Row],[Insurer Code]]&amp;"; "&amp;H32&amp;LB[[#This Row],[Reporting Year]]&amp;"; "&amp;I32&amp;LB[[#This Row],[Line of Business Category Code]]</f>
        <v xml:space="preserve">Insurer Code ; Reporting Year ; Line of Business Category Code </v>
      </c>
      <c r="G32" s="299" t="s">
        <v>197</v>
      </c>
      <c r="H32" s="299" t="s">
        <v>198</v>
      </c>
      <c r="I32" s="299" t="s">
        <v>235</v>
      </c>
      <c r="J32" s="299"/>
      <c r="K32" s="299"/>
      <c r="L32" s="299"/>
    </row>
    <row r="33" spans="1:12" x14ac:dyDescent="0.4">
      <c r="A33" s="291"/>
      <c r="B33" s="292"/>
      <c r="C33" s="294"/>
      <c r="D33" s="293"/>
      <c r="F33" s="303" t="str">
        <f>G33&amp;LB[[#This Row],[Insurer Code]]&amp;"; "&amp;H33&amp;LB[[#This Row],[Reporting Year]]&amp;"; "&amp;I33&amp;LB[[#This Row],[Line of Business Category Code]]</f>
        <v xml:space="preserve">Insurer Code ; Reporting Year ; Line of Business Category Code </v>
      </c>
      <c r="G33" s="299" t="s">
        <v>197</v>
      </c>
      <c r="H33" s="299" t="s">
        <v>198</v>
      </c>
      <c r="I33" s="299" t="s">
        <v>235</v>
      </c>
      <c r="J33" s="299"/>
      <c r="K33" s="299"/>
      <c r="L33" s="299"/>
    </row>
  </sheetData>
  <mergeCells count="4">
    <mergeCell ref="A7:D7"/>
    <mergeCell ref="A6:D6"/>
    <mergeCell ref="A5:D5"/>
    <mergeCell ref="A2:D2"/>
  </mergeCells>
  <conditionalFormatting sqref="A12:A33">
    <cfRule type="containsBlanks" dxfId="133" priority="1" stopIfTrue="1">
      <formula>LEN(TRIM(A12))=0</formula>
    </cfRule>
    <cfRule type="expression" dxfId="132" priority="2">
      <formula>AND(A12&lt;&gt;201, A12&lt;&gt;202, A12&lt;&gt;203, A12&lt;&gt;204, A12&lt;&gt;205, A12&lt;&gt;206, A12&lt;&gt;207)</formula>
    </cfRule>
  </conditionalFormatting>
  <conditionalFormatting sqref="B12:B33">
    <cfRule type="containsBlanks" dxfId="131" priority="5" stopIfTrue="1">
      <formula>LEN(TRIM(B12))=0</formula>
    </cfRule>
    <cfRule type="expression" dxfId="130" priority="6" stopIfTrue="1">
      <formula>ISNUMBER(B12)=FALSE</formula>
    </cfRule>
    <cfRule type="expression" dxfId="129" priority="7">
      <formula>AND(B12&lt;&gt;2024, B12&lt;&gt;2025)</formula>
    </cfRule>
  </conditionalFormatting>
  <conditionalFormatting sqref="C12:C33">
    <cfRule type="containsBlanks" dxfId="128" priority="8" stopIfTrue="1">
      <formula>LEN(TRIM(C12))=0</formula>
    </cfRule>
  </conditionalFormatting>
  <conditionalFormatting sqref="D12:D33">
    <cfRule type="containsBlanks" dxfId="127" priority="10" stopIfTrue="1">
      <formula>LEN(TRIM(D12))=0</formula>
    </cfRule>
    <cfRule type="expression" dxfId="126" priority="11">
      <formula>MOD(D12,1)&lt;&gt;0</formula>
    </cfRule>
  </conditionalFormatting>
  <dataValidations count="1">
    <dataValidation type="whole" operator="greaterThanOrEqual" allowBlank="1" showInputMessage="1" showErrorMessage="1" error="Input must be a non-negative integer" promptTitle="Input required" prompt="Enter non-negative integer_x000a_" sqref="D12:D33" xr:uid="{EF925ACA-A0CD-45D4-BA86-132F3CFCA8FC}">
      <formula1>0</formula1>
    </dataValidation>
  </dataValidations>
  <pageMargins left="0.7" right="0.7" top="0.75" bottom="0.75" header="0.3" footer="0.3"/>
  <pageSetup scale="70" orientation="landscape" r:id="rId1"/>
  <headerFooter>
    <oddFooter>&amp;L&amp;"-,Bold"Carrier Benchmark Data Submission Template&amp;"-,Regular" | NJ Hart Program&amp;RPage &amp;P</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promptTitle="Input required" prompt="Input must be an option from the drop down list" xr:uid="{B3360FBA-737D-4650-849A-DC15F9321208}">
          <x14:formula1>
            <xm:f>'Reference Tables'!$A$82:$A$92</xm:f>
          </x14:formula1>
          <xm:sqref>C12:C33</xm:sqref>
        </x14:dataValidation>
        <x14:dataValidation type="list" allowBlank="1" showInputMessage="1" showErrorMessage="1" errorTitle="Invalid input" error="Select option from the drop down list" promptTitle="Input required" prompt="Input must be an option from the drop down list" xr:uid="{03563612-1FF2-4C58-A28E-FBE4EAE026BF}">
          <x14:formula1>
            <xm:f>'Reference Tables'!$A$16:$A$17</xm:f>
          </x14:formula1>
          <xm:sqref>B12:B33</xm:sqref>
        </x14:dataValidation>
        <x14:dataValidation type="list" allowBlank="1" showInputMessage="1" showErrorMessage="1" error="Select Insurer Code as listed in the Reference Tables tab." promptTitle="Input required" prompt="Input must align with the Insurer Code in the file name and the Insurer Name on the Cover Page tab" xr:uid="{5F84D6DF-2411-4DA9-A671-D972D1A57C45}">
          <x14:formula1>
            <xm:f>'Reference Tables'!$A$6:$A$12</xm:f>
          </x14:formula1>
          <xm:sqref>A12:A33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EC296-A3C5-43B6-8E06-05D8A836297F}">
  <sheetPr>
    <tabColor theme="9" tint="0.39997558519241921"/>
    <pageSetUpPr fitToPage="1"/>
  </sheetPr>
  <dimension ref="A1:XEU34"/>
  <sheetViews>
    <sheetView showGridLines="0" zoomScale="80" zoomScaleNormal="80" workbookViewId="0">
      <selection activeCell="D13" sqref="D13"/>
    </sheetView>
  </sheetViews>
  <sheetFormatPr defaultColWidth="9" defaultRowHeight="16.8" x14ac:dyDescent="0.4"/>
  <cols>
    <col min="1" max="1" width="31.8984375" style="10" customWidth="1"/>
    <col min="2" max="2" width="22.3984375" style="10" customWidth="1"/>
    <col min="3" max="3" width="24.3984375" style="10" customWidth="1"/>
    <col min="4" max="4" width="31.69921875" style="10" customWidth="1"/>
    <col min="5" max="5" width="29.8984375" style="10" customWidth="1"/>
    <col min="6" max="6" width="38.3984375" style="10" customWidth="1"/>
    <col min="7" max="7" width="29.3984375" style="10" customWidth="1"/>
    <col min="8" max="8" width="9" style="10"/>
    <col min="9" max="9" width="60" style="10" customWidth="1"/>
    <col min="10" max="16384" width="9" style="10"/>
  </cols>
  <sheetData>
    <row r="1" spans="1:16375" ht="20.399999999999999" x14ac:dyDescent="0.45">
      <c r="A1" s="9" t="s">
        <v>236</v>
      </c>
      <c r="B1" s="9"/>
      <c r="C1" s="9"/>
      <c r="D1" s="9"/>
      <c r="E1" s="9"/>
      <c r="F1" s="9"/>
      <c r="G1" s="9"/>
      <c r="H1" s="306"/>
      <c r="I1" s="306"/>
      <c r="J1" s="615"/>
      <c r="K1" s="615"/>
      <c r="L1" s="615"/>
      <c r="M1" s="615"/>
      <c r="N1" s="615"/>
      <c r="O1" s="615"/>
      <c r="P1" s="615"/>
      <c r="Q1" s="615"/>
      <c r="R1" s="615"/>
      <c r="S1" s="615"/>
      <c r="T1" s="615"/>
      <c r="U1" s="615"/>
      <c r="V1" s="615"/>
      <c r="W1" s="615"/>
      <c r="X1" s="615"/>
      <c r="Y1" s="615"/>
      <c r="Z1" s="615"/>
      <c r="AA1" s="615"/>
      <c r="AB1" s="615"/>
      <c r="AC1" s="615"/>
      <c r="AD1" s="615"/>
      <c r="AE1" s="615"/>
      <c r="AF1" s="615"/>
      <c r="AG1" s="615"/>
      <c r="AH1" s="615"/>
      <c r="AI1" s="615"/>
      <c r="AJ1" s="615"/>
      <c r="AK1" s="615"/>
      <c r="AL1" s="615"/>
      <c r="AM1" s="615"/>
      <c r="AN1" s="615"/>
      <c r="AO1" s="615"/>
      <c r="AP1" s="615"/>
      <c r="AQ1" s="615"/>
      <c r="AR1" s="615"/>
      <c r="AS1" s="615"/>
      <c r="AT1" s="615"/>
      <c r="AU1" s="615"/>
      <c r="AV1" s="615"/>
      <c r="AW1" s="615"/>
      <c r="AX1" s="615"/>
      <c r="AY1" s="615"/>
      <c r="AZ1" s="615"/>
      <c r="BA1" s="615"/>
      <c r="BB1" s="615"/>
      <c r="BC1" s="615"/>
      <c r="BD1" s="615"/>
      <c r="BE1" s="615"/>
      <c r="BF1" s="615"/>
      <c r="BG1" s="615"/>
      <c r="BH1" s="615"/>
      <c r="BI1" s="615"/>
      <c r="BJ1" s="615"/>
      <c r="BK1" s="615"/>
      <c r="BL1" s="615"/>
      <c r="BM1" s="615"/>
      <c r="BN1" s="615"/>
      <c r="BO1" s="615"/>
      <c r="BP1" s="615"/>
      <c r="BQ1" s="615"/>
      <c r="BR1" s="615"/>
      <c r="BS1" s="615"/>
      <c r="BT1" s="615"/>
      <c r="BU1" s="615"/>
      <c r="BV1" s="615"/>
      <c r="BW1" s="615"/>
      <c r="BX1" s="615"/>
      <c r="BY1" s="615"/>
      <c r="BZ1" s="615"/>
      <c r="CA1" s="615"/>
      <c r="CB1" s="615"/>
      <c r="CC1" s="615"/>
      <c r="CD1" s="615"/>
      <c r="CE1" s="615"/>
      <c r="CF1" s="615"/>
      <c r="CG1" s="615"/>
      <c r="CH1" s="615"/>
      <c r="CI1" s="615"/>
      <c r="CJ1" s="615"/>
      <c r="CK1" s="615"/>
      <c r="CL1" s="615"/>
      <c r="CM1" s="615"/>
      <c r="CN1" s="615"/>
      <c r="CO1" s="615"/>
      <c r="CP1" s="615"/>
      <c r="CQ1" s="615"/>
      <c r="CR1" s="615"/>
      <c r="CS1" s="615"/>
      <c r="CT1" s="615"/>
      <c r="CU1" s="615"/>
      <c r="CV1" s="615"/>
      <c r="CW1" s="615"/>
      <c r="CX1" s="615"/>
      <c r="CY1" s="615"/>
      <c r="CZ1" s="615"/>
      <c r="DA1" s="615"/>
      <c r="DB1" s="615"/>
      <c r="DC1" s="615"/>
      <c r="DD1" s="615"/>
      <c r="DE1" s="615"/>
      <c r="DF1" s="615"/>
      <c r="DG1" s="615"/>
      <c r="DH1" s="615"/>
      <c r="DI1" s="615"/>
      <c r="DJ1" s="615"/>
      <c r="DK1" s="615"/>
      <c r="DL1" s="615"/>
      <c r="DM1" s="615"/>
      <c r="DN1" s="615"/>
      <c r="DO1" s="615"/>
      <c r="DP1" s="615"/>
      <c r="DQ1" s="615"/>
      <c r="DR1" s="615"/>
      <c r="DS1" s="615"/>
      <c r="DT1" s="615"/>
      <c r="DU1" s="615"/>
      <c r="DV1" s="615"/>
      <c r="DW1" s="615"/>
      <c r="DX1" s="615"/>
      <c r="DY1" s="615"/>
      <c r="DZ1" s="615"/>
      <c r="EA1" s="615"/>
      <c r="EB1" s="615"/>
      <c r="EC1" s="615"/>
      <c r="ED1" s="615"/>
      <c r="EE1" s="615"/>
      <c r="EF1" s="615"/>
      <c r="EG1" s="615"/>
      <c r="EH1" s="615"/>
      <c r="EI1" s="615"/>
      <c r="EJ1" s="615"/>
      <c r="EK1" s="615"/>
      <c r="EL1" s="615"/>
      <c r="EM1" s="615"/>
      <c r="EN1" s="615"/>
      <c r="EO1" s="615"/>
      <c r="EP1" s="615"/>
      <c r="EQ1" s="615"/>
      <c r="ER1" s="615"/>
      <c r="ES1" s="615"/>
      <c r="ET1" s="615"/>
      <c r="EU1" s="615"/>
      <c r="EV1" s="615"/>
      <c r="EW1" s="615"/>
      <c r="EX1" s="615"/>
      <c r="EY1" s="615"/>
      <c r="EZ1" s="615"/>
      <c r="FA1" s="615"/>
      <c r="FB1" s="615"/>
      <c r="FC1" s="615"/>
      <c r="FD1" s="615"/>
      <c r="FE1" s="615"/>
      <c r="FF1" s="615"/>
      <c r="FG1" s="615"/>
      <c r="FH1" s="615"/>
      <c r="FI1" s="615"/>
      <c r="FJ1" s="615"/>
      <c r="FK1" s="615"/>
      <c r="FL1" s="615"/>
      <c r="FM1" s="615"/>
      <c r="FN1" s="615"/>
      <c r="FO1" s="615"/>
      <c r="FP1" s="615"/>
      <c r="FQ1" s="615"/>
      <c r="FR1" s="615"/>
      <c r="FS1" s="615"/>
      <c r="FT1" s="615"/>
      <c r="FU1" s="615"/>
      <c r="FV1" s="615"/>
      <c r="FW1" s="615"/>
      <c r="FX1" s="615"/>
      <c r="FY1" s="615"/>
      <c r="FZ1" s="615"/>
      <c r="GA1" s="615"/>
      <c r="GB1" s="615"/>
      <c r="GC1" s="615"/>
      <c r="GD1" s="615"/>
      <c r="GE1" s="615"/>
      <c r="GF1" s="615"/>
      <c r="GG1" s="615"/>
      <c r="GH1" s="615"/>
      <c r="GI1" s="615"/>
      <c r="GJ1" s="615"/>
      <c r="GK1" s="615"/>
      <c r="GL1" s="615"/>
      <c r="GM1" s="615"/>
      <c r="GN1" s="615"/>
      <c r="GO1" s="615"/>
      <c r="GP1" s="615"/>
      <c r="GQ1" s="615"/>
      <c r="GR1" s="615"/>
      <c r="GS1" s="615"/>
      <c r="GT1" s="615"/>
      <c r="GU1" s="615"/>
      <c r="GV1" s="615"/>
      <c r="GW1" s="615"/>
      <c r="GX1" s="615"/>
      <c r="GY1" s="615"/>
      <c r="GZ1" s="615"/>
      <c r="HA1" s="615"/>
      <c r="HB1" s="615"/>
      <c r="HC1" s="615"/>
      <c r="HD1" s="615"/>
      <c r="HE1" s="615"/>
      <c r="HF1" s="615"/>
      <c r="HG1" s="615"/>
      <c r="HH1" s="615"/>
      <c r="HI1" s="615"/>
      <c r="HJ1" s="615"/>
      <c r="HK1" s="615"/>
      <c r="HL1" s="615"/>
      <c r="HM1" s="615"/>
      <c r="HN1" s="615"/>
      <c r="HO1" s="615"/>
      <c r="HP1" s="615"/>
      <c r="HQ1" s="615"/>
      <c r="HR1" s="615"/>
      <c r="HS1" s="615"/>
      <c r="HT1" s="615"/>
      <c r="HU1" s="615"/>
      <c r="HV1" s="615"/>
      <c r="HW1" s="615"/>
      <c r="HX1" s="615"/>
      <c r="HY1" s="615"/>
      <c r="HZ1" s="615"/>
      <c r="IA1" s="615"/>
      <c r="IB1" s="615"/>
      <c r="IC1" s="615"/>
      <c r="ID1" s="615"/>
      <c r="IE1" s="615"/>
      <c r="IF1" s="615"/>
      <c r="IG1" s="615"/>
      <c r="IH1" s="615"/>
      <c r="II1" s="615"/>
      <c r="IJ1" s="615"/>
      <c r="IK1" s="615"/>
      <c r="IL1" s="615"/>
      <c r="IM1" s="615"/>
      <c r="IN1" s="615"/>
      <c r="IO1" s="615"/>
      <c r="IP1" s="615"/>
      <c r="IQ1" s="615"/>
      <c r="IR1" s="615"/>
      <c r="IS1" s="615"/>
      <c r="IT1" s="615"/>
      <c r="IU1" s="615"/>
      <c r="IV1" s="615"/>
      <c r="IW1" s="615"/>
      <c r="IX1" s="615"/>
      <c r="IY1" s="615"/>
      <c r="IZ1" s="615"/>
      <c r="JA1" s="615"/>
      <c r="JB1" s="615"/>
      <c r="JC1" s="615"/>
      <c r="JD1" s="615"/>
      <c r="JE1" s="615"/>
      <c r="JF1" s="615"/>
      <c r="JG1" s="615"/>
      <c r="JH1" s="615"/>
      <c r="JI1" s="615"/>
      <c r="JJ1" s="615"/>
      <c r="JK1" s="615"/>
      <c r="JL1" s="615"/>
      <c r="JM1" s="615"/>
      <c r="JN1" s="615"/>
      <c r="JO1" s="615"/>
      <c r="JP1" s="615"/>
      <c r="JQ1" s="615"/>
      <c r="JR1" s="615"/>
      <c r="JS1" s="615"/>
      <c r="JT1" s="615"/>
      <c r="JU1" s="615"/>
      <c r="JV1" s="615"/>
      <c r="JW1" s="615"/>
      <c r="JX1" s="615"/>
      <c r="JY1" s="615"/>
      <c r="JZ1" s="615"/>
      <c r="KA1" s="615"/>
      <c r="KB1" s="615"/>
      <c r="KC1" s="615"/>
      <c r="KD1" s="615"/>
      <c r="KE1" s="615"/>
      <c r="KF1" s="615"/>
      <c r="KG1" s="615"/>
      <c r="KH1" s="615"/>
      <c r="KI1" s="615"/>
      <c r="KJ1" s="615"/>
      <c r="KK1" s="615"/>
      <c r="KL1" s="615"/>
      <c r="KM1" s="615"/>
      <c r="KN1" s="615"/>
      <c r="KO1" s="615"/>
      <c r="KP1" s="615"/>
      <c r="KQ1" s="615"/>
      <c r="KR1" s="615"/>
      <c r="KS1" s="615"/>
      <c r="KT1" s="615"/>
      <c r="KU1" s="615"/>
      <c r="KV1" s="615"/>
      <c r="KW1" s="615"/>
      <c r="KX1" s="615"/>
      <c r="KY1" s="615"/>
      <c r="KZ1" s="615"/>
      <c r="LA1" s="615"/>
      <c r="LB1" s="615"/>
      <c r="LC1" s="615"/>
      <c r="LD1" s="615"/>
      <c r="LE1" s="615"/>
      <c r="LF1" s="615"/>
      <c r="LG1" s="615"/>
      <c r="LH1" s="615"/>
      <c r="LI1" s="615"/>
      <c r="LJ1" s="615"/>
      <c r="LK1" s="615"/>
      <c r="LL1" s="615"/>
      <c r="LM1" s="615"/>
      <c r="LN1" s="615"/>
      <c r="LO1" s="615"/>
      <c r="LP1" s="615"/>
      <c r="LQ1" s="615"/>
      <c r="LR1" s="615"/>
      <c r="LS1" s="615"/>
      <c r="LT1" s="615"/>
      <c r="LU1" s="615"/>
      <c r="LV1" s="615"/>
      <c r="LW1" s="615"/>
      <c r="LX1" s="615"/>
      <c r="LY1" s="615"/>
      <c r="LZ1" s="615"/>
      <c r="MA1" s="615"/>
      <c r="MB1" s="615"/>
      <c r="MC1" s="615"/>
      <c r="MD1" s="615"/>
      <c r="ME1" s="615"/>
      <c r="MF1" s="615"/>
      <c r="MG1" s="615"/>
      <c r="MH1" s="615"/>
      <c r="MI1" s="615"/>
      <c r="MJ1" s="615"/>
      <c r="MK1" s="615"/>
      <c r="ML1" s="615"/>
      <c r="MM1" s="615"/>
      <c r="MN1" s="615"/>
      <c r="MO1" s="615"/>
      <c r="MP1" s="615"/>
      <c r="MQ1" s="615"/>
      <c r="MR1" s="615"/>
      <c r="MS1" s="615"/>
      <c r="MT1" s="615"/>
      <c r="MU1" s="615"/>
      <c r="MV1" s="615"/>
      <c r="MW1" s="615"/>
      <c r="MX1" s="615"/>
      <c r="MY1" s="615"/>
      <c r="MZ1" s="615"/>
      <c r="NA1" s="615"/>
      <c r="NB1" s="615"/>
      <c r="NC1" s="615"/>
      <c r="ND1" s="615"/>
      <c r="NE1" s="615"/>
      <c r="NF1" s="615"/>
      <c r="NG1" s="615"/>
      <c r="NH1" s="615"/>
      <c r="NI1" s="615"/>
      <c r="NJ1" s="615"/>
      <c r="NK1" s="615"/>
      <c r="NL1" s="615"/>
      <c r="NM1" s="615"/>
      <c r="NN1" s="615"/>
      <c r="NO1" s="615"/>
      <c r="NP1" s="615"/>
      <c r="NQ1" s="615"/>
      <c r="NR1" s="615"/>
      <c r="NS1" s="615"/>
      <c r="NT1" s="615"/>
      <c r="NU1" s="615"/>
      <c r="NV1" s="615"/>
      <c r="NW1" s="615"/>
      <c r="NX1" s="615"/>
      <c r="NY1" s="615"/>
      <c r="NZ1" s="615"/>
      <c r="OA1" s="615"/>
      <c r="OB1" s="615"/>
      <c r="OC1" s="615"/>
      <c r="OD1" s="615"/>
      <c r="OE1" s="615"/>
      <c r="OF1" s="615"/>
      <c r="OG1" s="615"/>
      <c r="OH1" s="615"/>
      <c r="OI1" s="615"/>
      <c r="OJ1" s="615"/>
      <c r="OK1" s="615"/>
      <c r="OL1" s="615"/>
      <c r="OM1" s="615"/>
      <c r="ON1" s="615"/>
      <c r="OO1" s="615"/>
      <c r="OP1" s="615"/>
      <c r="OQ1" s="615"/>
      <c r="OR1" s="615"/>
      <c r="OS1" s="615"/>
      <c r="OT1" s="615"/>
      <c r="OU1" s="615"/>
      <c r="OV1" s="615"/>
      <c r="OW1" s="615"/>
      <c r="OX1" s="615"/>
      <c r="OY1" s="615"/>
      <c r="OZ1" s="615"/>
      <c r="PA1" s="615"/>
      <c r="PB1" s="615"/>
      <c r="PC1" s="615"/>
      <c r="PD1" s="615"/>
      <c r="PE1" s="615"/>
      <c r="PF1" s="615"/>
      <c r="PG1" s="615"/>
      <c r="PH1" s="615"/>
      <c r="PI1" s="615"/>
      <c r="PJ1" s="615"/>
      <c r="PK1" s="615"/>
      <c r="PL1" s="615"/>
      <c r="PM1" s="615"/>
      <c r="PN1" s="615"/>
      <c r="PO1" s="615"/>
      <c r="PP1" s="615"/>
      <c r="PQ1" s="615"/>
      <c r="PR1" s="615"/>
      <c r="PS1" s="615"/>
      <c r="PT1" s="615"/>
      <c r="PU1" s="615"/>
      <c r="PV1" s="615"/>
      <c r="PW1" s="615"/>
      <c r="PX1" s="615"/>
      <c r="PY1" s="615"/>
      <c r="PZ1" s="615"/>
      <c r="QA1" s="615"/>
      <c r="QB1" s="615"/>
      <c r="QC1" s="615"/>
      <c r="QD1" s="615"/>
      <c r="QE1" s="615"/>
      <c r="QF1" s="615"/>
      <c r="QG1" s="615"/>
      <c r="QH1" s="615"/>
      <c r="QI1" s="615"/>
      <c r="QJ1" s="615"/>
      <c r="QK1" s="615"/>
      <c r="QL1" s="615"/>
      <c r="QM1" s="615"/>
      <c r="QN1" s="615"/>
      <c r="QO1" s="615"/>
      <c r="QP1" s="615"/>
      <c r="QQ1" s="615"/>
      <c r="QR1" s="615"/>
      <c r="QS1" s="615"/>
      <c r="QT1" s="615"/>
      <c r="QU1" s="615"/>
      <c r="QV1" s="615"/>
      <c r="QW1" s="615"/>
      <c r="QX1" s="615"/>
      <c r="QY1" s="615"/>
      <c r="QZ1" s="615"/>
      <c r="RA1" s="615"/>
      <c r="RB1" s="615"/>
      <c r="RC1" s="615"/>
      <c r="RD1" s="615"/>
      <c r="RE1" s="615"/>
      <c r="RF1" s="615"/>
      <c r="RG1" s="615"/>
      <c r="RH1" s="615"/>
      <c r="RI1" s="615"/>
      <c r="RJ1" s="615"/>
      <c r="RK1" s="615"/>
      <c r="RL1" s="615"/>
      <c r="RM1" s="615"/>
      <c r="RN1" s="615"/>
      <c r="RO1" s="615"/>
      <c r="RP1" s="615"/>
      <c r="RQ1" s="615"/>
      <c r="RR1" s="615"/>
      <c r="RS1" s="615"/>
      <c r="RT1" s="615"/>
      <c r="RU1" s="615"/>
      <c r="RV1" s="615"/>
      <c r="RW1" s="615"/>
      <c r="RX1" s="615"/>
      <c r="RY1" s="615"/>
      <c r="RZ1" s="615"/>
      <c r="SA1" s="615"/>
      <c r="SB1" s="615"/>
      <c r="SC1" s="615"/>
      <c r="SD1" s="615"/>
      <c r="SE1" s="615"/>
      <c r="SF1" s="615"/>
      <c r="SG1" s="615"/>
      <c r="SH1" s="615"/>
      <c r="SI1" s="615"/>
      <c r="SJ1" s="615"/>
      <c r="SK1" s="615"/>
      <c r="SL1" s="615"/>
      <c r="SM1" s="615"/>
      <c r="SN1" s="615"/>
      <c r="SO1" s="615"/>
      <c r="SP1" s="615"/>
      <c r="SQ1" s="615"/>
      <c r="SR1" s="615"/>
      <c r="SS1" s="615"/>
      <c r="ST1" s="615"/>
      <c r="SU1" s="615"/>
      <c r="SV1" s="615"/>
      <c r="SW1" s="615"/>
      <c r="SX1" s="615"/>
      <c r="SY1" s="615"/>
      <c r="SZ1" s="615"/>
      <c r="TA1" s="615"/>
      <c r="TB1" s="615"/>
      <c r="TC1" s="615"/>
      <c r="TD1" s="615"/>
      <c r="TE1" s="615"/>
      <c r="TF1" s="615"/>
      <c r="TG1" s="615"/>
      <c r="TH1" s="615"/>
      <c r="TI1" s="615"/>
      <c r="TJ1" s="615"/>
      <c r="TK1" s="615"/>
      <c r="TL1" s="615"/>
      <c r="TM1" s="615"/>
      <c r="TN1" s="615"/>
      <c r="TO1" s="615"/>
      <c r="TP1" s="615"/>
      <c r="TQ1" s="615"/>
      <c r="TR1" s="615"/>
      <c r="TS1" s="615"/>
      <c r="TT1" s="615"/>
      <c r="TU1" s="615"/>
      <c r="TV1" s="615"/>
      <c r="TW1" s="615"/>
      <c r="TX1" s="615"/>
      <c r="TY1" s="615"/>
      <c r="TZ1" s="615"/>
      <c r="UA1" s="615"/>
      <c r="UB1" s="615"/>
      <c r="UC1" s="615"/>
      <c r="UD1" s="615"/>
      <c r="UE1" s="615"/>
      <c r="UF1" s="615"/>
      <c r="UG1" s="615"/>
      <c r="UH1" s="615"/>
      <c r="UI1" s="615"/>
      <c r="UJ1" s="615"/>
      <c r="UK1" s="615"/>
      <c r="UL1" s="615"/>
      <c r="UM1" s="615"/>
      <c r="UN1" s="615"/>
      <c r="UO1" s="615"/>
      <c r="UP1" s="615"/>
      <c r="UQ1" s="615"/>
      <c r="UR1" s="615"/>
      <c r="US1" s="615"/>
      <c r="UT1" s="615"/>
      <c r="UU1" s="615"/>
      <c r="UV1" s="615"/>
      <c r="UW1" s="615"/>
      <c r="UX1" s="615"/>
      <c r="UY1" s="615"/>
      <c r="UZ1" s="615"/>
      <c r="VA1" s="615"/>
      <c r="VB1" s="615"/>
      <c r="VC1" s="615"/>
      <c r="VD1" s="615"/>
      <c r="VE1" s="615"/>
      <c r="VF1" s="615"/>
      <c r="VG1" s="615"/>
      <c r="VH1" s="615"/>
      <c r="VI1" s="615"/>
      <c r="VJ1" s="615"/>
      <c r="VK1" s="615"/>
      <c r="VL1" s="615"/>
      <c r="VM1" s="615"/>
      <c r="VN1" s="615"/>
      <c r="VO1" s="615"/>
      <c r="VP1" s="615"/>
      <c r="VQ1" s="615"/>
      <c r="VR1" s="615"/>
      <c r="VS1" s="615"/>
      <c r="VT1" s="615"/>
      <c r="VU1" s="615"/>
      <c r="VV1" s="615"/>
      <c r="VW1" s="615"/>
      <c r="VX1" s="615"/>
      <c r="VY1" s="615"/>
      <c r="VZ1" s="615"/>
      <c r="WA1" s="615"/>
      <c r="WB1" s="615"/>
      <c r="WC1" s="615"/>
      <c r="WD1" s="615"/>
      <c r="WE1" s="615"/>
      <c r="WF1" s="615"/>
      <c r="WG1" s="615"/>
      <c r="WH1" s="615"/>
      <c r="WI1" s="615"/>
      <c r="WJ1" s="615"/>
      <c r="WK1" s="615"/>
      <c r="WL1" s="615"/>
      <c r="WM1" s="615"/>
      <c r="WN1" s="615"/>
      <c r="WO1" s="615"/>
      <c r="WP1" s="615"/>
      <c r="WQ1" s="615"/>
      <c r="WR1" s="615"/>
      <c r="WS1" s="615"/>
      <c r="WT1" s="615"/>
      <c r="WU1" s="615"/>
      <c r="WV1" s="615"/>
      <c r="WW1" s="615"/>
      <c r="WX1" s="615"/>
      <c r="WY1" s="615"/>
      <c r="WZ1" s="615"/>
      <c r="XA1" s="615"/>
      <c r="XB1" s="615"/>
      <c r="XC1" s="615"/>
      <c r="XD1" s="615"/>
      <c r="XE1" s="615"/>
      <c r="XF1" s="615"/>
      <c r="XG1" s="615"/>
      <c r="XH1" s="615"/>
      <c r="XI1" s="615"/>
      <c r="XJ1" s="615"/>
      <c r="XK1" s="615"/>
      <c r="XL1" s="615"/>
      <c r="XM1" s="615"/>
      <c r="XN1" s="615"/>
      <c r="XO1" s="615"/>
      <c r="XP1" s="615"/>
      <c r="XQ1" s="615"/>
      <c r="XR1" s="615"/>
      <c r="XS1" s="615"/>
      <c r="XT1" s="615"/>
      <c r="XU1" s="615"/>
      <c r="XV1" s="615"/>
      <c r="XW1" s="615"/>
      <c r="XX1" s="615"/>
      <c r="XY1" s="615"/>
      <c r="XZ1" s="615"/>
      <c r="YA1" s="615"/>
      <c r="YB1" s="615"/>
      <c r="YC1" s="615"/>
      <c r="YD1" s="615"/>
      <c r="YE1" s="615"/>
      <c r="YF1" s="615"/>
      <c r="YG1" s="615"/>
      <c r="YH1" s="615"/>
      <c r="YI1" s="615"/>
      <c r="YJ1" s="615"/>
      <c r="YK1" s="615"/>
      <c r="YL1" s="615"/>
      <c r="YM1" s="615"/>
      <c r="YN1" s="615"/>
      <c r="YO1" s="615"/>
      <c r="YP1" s="615"/>
      <c r="YQ1" s="615"/>
      <c r="YR1" s="615"/>
      <c r="YS1" s="615"/>
      <c r="YT1" s="615"/>
      <c r="YU1" s="615"/>
      <c r="YV1" s="615"/>
      <c r="YW1" s="615"/>
      <c r="YX1" s="615"/>
      <c r="YY1" s="615"/>
      <c r="YZ1" s="615"/>
      <c r="ZA1" s="615"/>
      <c r="ZB1" s="615"/>
      <c r="ZC1" s="615"/>
      <c r="ZD1" s="615"/>
      <c r="ZE1" s="615"/>
      <c r="ZF1" s="615"/>
      <c r="ZG1" s="615"/>
      <c r="ZH1" s="615"/>
      <c r="ZI1" s="615"/>
      <c r="ZJ1" s="615"/>
      <c r="ZK1" s="615"/>
      <c r="ZL1" s="615"/>
      <c r="ZM1" s="615"/>
      <c r="ZN1" s="615"/>
      <c r="ZO1" s="615"/>
      <c r="ZP1" s="615"/>
      <c r="ZQ1" s="615"/>
      <c r="ZR1" s="615"/>
      <c r="ZS1" s="615"/>
      <c r="ZT1" s="615"/>
      <c r="ZU1" s="615"/>
      <c r="ZV1" s="615"/>
      <c r="ZW1" s="615"/>
      <c r="ZX1" s="615"/>
      <c r="ZY1" s="615"/>
      <c r="ZZ1" s="615"/>
      <c r="AAA1" s="615"/>
      <c r="AAB1" s="615"/>
      <c r="AAC1" s="615"/>
      <c r="AAD1" s="615"/>
      <c r="AAE1" s="615"/>
      <c r="AAF1" s="615"/>
      <c r="AAG1" s="615"/>
      <c r="AAH1" s="615"/>
      <c r="AAI1" s="615"/>
      <c r="AAJ1" s="615"/>
      <c r="AAK1" s="615"/>
      <c r="AAL1" s="615"/>
      <c r="AAM1" s="615"/>
      <c r="AAN1" s="615"/>
      <c r="AAO1" s="615"/>
      <c r="AAP1" s="615"/>
      <c r="AAQ1" s="615"/>
      <c r="AAR1" s="615"/>
      <c r="AAS1" s="615"/>
      <c r="AAT1" s="615"/>
      <c r="AAU1" s="615"/>
      <c r="AAV1" s="615"/>
      <c r="AAW1" s="615"/>
      <c r="AAX1" s="615"/>
      <c r="AAY1" s="615"/>
      <c r="AAZ1" s="615"/>
      <c r="ABA1" s="615"/>
      <c r="ABB1" s="615"/>
      <c r="ABC1" s="615"/>
      <c r="ABD1" s="615"/>
      <c r="ABE1" s="615"/>
      <c r="ABF1" s="615"/>
      <c r="ABG1" s="615"/>
      <c r="ABH1" s="615"/>
      <c r="ABI1" s="615"/>
      <c r="ABJ1" s="615"/>
      <c r="ABK1" s="615"/>
      <c r="ABL1" s="615"/>
      <c r="ABM1" s="615"/>
      <c r="ABN1" s="615"/>
      <c r="ABO1" s="615"/>
      <c r="ABP1" s="615"/>
      <c r="ABQ1" s="615"/>
      <c r="ABR1" s="615"/>
      <c r="ABS1" s="615"/>
      <c r="ABT1" s="615"/>
      <c r="ABU1" s="615"/>
      <c r="ABV1" s="615"/>
      <c r="ABW1" s="615"/>
      <c r="ABX1" s="615"/>
      <c r="ABY1" s="615"/>
      <c r="ABZ1" s="615"/>
      <c r="ACA1" s="615"/>
      <c r="ACB1" s="615"/>
      <c r="ACC1" s="615"/>
      <c r="ACD1" s="615"/>
      <c r="ACE1" s="615"/>
      <c r="ACF1" s="615"/>
      <c r="ACG1" s="615"/>
      <c r="ACH1" s="615"/>
      <c r="ACI1" s="615"/>
      <c r="ACJ1" s="615"/>
      <c r="ACK1" s="615"/>
      <c r="ACL1" s="615"/>
      <c r="ACM1" s="615"/>
      <c r="ACN1" s="615"/>
      <c r="ACO1" s="615"/>
      <c r="ACP1" s="615"/>
      <c r="ACQ1" s="615"/>
      <c r="ACR1" s="615"/>
      <c r="ACS1" s="615"/>
      <c r="ACT1" s="615"/>
      <c r="ACU1" s="615"/>
      <c r="ACV1" s="615"/>
      <c r="ACW1" s="615"/>
      <c r="ACX1" s="615"/>
      <c r="ACY1" s="615"/>
      <c r="ACZ1" s="615"/>
      <c r="ADA1" s="615"/>
      <c r="ADB1" s="615"/>
      <c r="ADC1" s="615"/>
      <c r="ADD1" s="615"/>
      <c r="ADE1" s="615"/>
      <c r="ADF1" s="615"/>
      <c r="ADG1" s="615"/>
      <c r="ADH1" s="615"/>
      <c r="ADI1" s="615"/>
      <c r="ADJ1" s="615"/>
      <c r="ADK1" s="615"/>
      <c r="ADL1" s="615"/>
      <c r="ADM1" s="615"/>
      <c r="ADN1" s="615"/>
      <c r="ADO1" s="615"/>
      <c r="ADP1" s="615"/>
      <c r="ADQ1" s="615"/>
      <c r="ADR1" s="615"/>
      <c r="ADS1" s="615"/>
      <c r="ADT1" s="615"/>
      <c r="ADU1" s="615"/>
      <c r="ADV1" s="615"/>
      <c r="ADW1" s="615"/>
      <c r="ADX1" s="615"/>
      <c r="ADY1" s="615"/>
      <c r="ADZ1" s="615"/>
      <c r="AEA1" s="615"/>
      <c r="AEB1" s="615"/>
      <c r="AEC1" s="615"/>
      <c r="AED1" s="615"/>
      <c r="AEE1" s="615"/>
      <c r="AEF1" s="615"/>
      <c r="AEG1" s="615"/>
      <c r="AEH1" s="615"/>
      <c r="AEI1" s="615"/>
      <c r="AEJ1" s="615"/>
      <c r="AEK1" s="615"/>
      <c r="AEL1" s="615"/>
      <c r="AEM1" s="615"/>
      <c r="AEN1" s="615"/>
      <c r="AEO1" s="615"/>
      <c r="AEP1" s="615"/>
      <c r="AEQ1" s="615"/>
      <c r="AER1" s="615"/>
      <c r="AES1" s="615"/>
      <c r="AET1" s="615"/>
      <c r="AEU1" s="615"/>
      <c r="AEV1" s="615"/>
      <c r="AEW1" s="615"/>
      <c r="AEX1" s="615"/>
      <c r="AEY1" s="615"/>
      <c r="AEZ1" s="615"/>
      <c r="AFA1" s="615"/>
      <c r="AFB1" s="615"/>
      <c r="AFC1" s="615"/>
      <c r="AFD1" s="615"/>
      <c r="AFE1" s="615"/>
      <c r="AFF1" s="615"/>
      <c r="AFG1" s="615"/>
      <c r="AFH1" s="615"/>
      <c r="AFI1" s="615"/>
      <c r="AFJ1" s="615"/>
      <c r="AFK1" s="615"/>
      <c r="AFL1" s="615"/>
      <c r="AFM1" s="615"/>
      <c r="AFN1" s="615"/>
      <c r="AFO1" s="615"/>
      <c r="AFP1" s="615"/>
      <c r="AFQ1" s="615"/>
      <c r="AFR1" s="615"/>
      <c r="AFS1" s="615"/>
      <c r="AFT1" s="615"/>
      <c r="AFU1" s="615"/>
      <c r="AFV1" s="615"/>
      <c r="AFW1" s="615"/>
      <c r="AFX1" s="615"/>
      <c r="AFY1" s="615"/>
      <c r="AFZ1" s="615"/>
      <c r="AGA1" s="615"/>
      <c r="AGB1" s="615"/>
      <c r="AGC1" s="615"/>
      <c r="AGD1" s="615"/>
      <c r="AGE1" s="615"/>
      <c r="AGF1" s="615"/>
      <c r="AGG1" s="615"/>
      <c r="AGH1" s="615"/>
      <c r="AGI1" s="615"/>
      <c r="AGJ1" s="615"/>
      <c r="AGK1" s="615"/>
      <c r="AGL1" s="615"/>
      <c r="AGM1" s="615"/>
      <c r="AGN1" s="615"/>
      <c r="AGO1" s="615"/>
      <c r="AGP1" s="615"/>
      <c r="AGQ1" s="615"/>
      <c r="AGR1" s="615"/>
      <c r="AGS1" s="615"/>
      <c r="AGT1" s="615"/>
      <c r="AGU1" s="615"/>
      <c r="AGV1" s="615"/>
      <c r="AGW1" s="615"/>
      <c r="AGX1" s="615"/>
      <c r="AGY1" s="615"/>
      <c r="AGZ1" s="615"/>
      <c r="AHA1" s="615"/>
      <c r="AHB1" s="615"/>
      <c r="AHC1" s="615"/>
      <c r="AHD1" s="615"/>
      <c r="AHE1" s="615"/>
      <c r="AHF1" s="615"/>
      <c r="AHG1" s="615"/>
      <c r="AHH1" s="615"/>
      <c r="AHI1" s="615"/>
      <c r="AHJ1" s="615"/>
      <c r="AHK1" s="615"/>
      <c r="AHL1" s="615"/>
      <c r="AHM1" s="615"/>
      <c r="AHN1" s="615"/>
      <c r="AHO1" s="615"/>
      <c r="AHP1" s="615"/>
      <c r="AHQ1" s="615"/>
      <c r="AHR1" s="615"/>
      <c r="AHS1" s="615"/>
      <c r="AHT1" s="615"/>
      <c r="AHU1" s="615"/>
      <c r="AHV1" s="615"/>
      <c r="AHW1" s="615"/>
      <c r="AHX1" s="615"/>
      <c r="AHY1" s="615"/>
      <c r="AHZ1" s="615"/>
      <c r="AIA1" s="615"/>
      <c r="AIB1" s="615"/>
      <c r="AIC1" s="615"/>
      <c r="AID1" s="615"/>
      <c r="AIE1" s="615"/>
      <c r="AIF1" s="615"/>
      <c r="AIG1" s="615"/>
      <c r="AIH1" s="615"/>
      <c r="AII1" s="615"/>
      <c r="AIJ1" s="615"/>
      <c r="AIK1" s="615"/>
      <c r="AIL1" s="615"/>
      <c r="AIM1" s="615"/>
      <c r="AIN1" s="615"/>
      <c r="AIO1" s="615"/>
      <c r="AIP1" s="615"/>
      <c r="AIQ1" s="615"/>
      <c r="AIR1" s="615"/>
      <c r="AIS1" s="615"/>
      <c r="AIT1" s="615"/>
      <c r="AIU1" s="615"/>
      <c r="AIV1" s="615"/>
      <c r="AIW1" s="615"/>
      <c r="AIX1" s="615"/>
      <c r="AIY1" s="615"/>
      <c r="AIZ1" s="615"/>
      <c r="AJA1" s="615"/>
      <c r="AJB1" s="615"/>
      <c r="AJC1" s="615"/>
      <c r="AJD1" s="615"/>
      <c r="AJE1" s="615"/>
      <c r="AJF1" s="615"/>
      <c r="AJG1" s="615"/>
      <c r="AJH1" s="615"/>
      <c r="AJI1" s="615"/>
      <c r="AJJ1" s="615"/>
      <c r="AJK1" s="615"/>
      <c r="AJL1" s="615"/>
      <c r="AJM1" s="615"/>
      <c r="AJN1" s="615"/>
      <c r="AJO1" s="615"/>
      <c r="AJP1" s="615"/>
      <c r="AJQ1" s="615"/>
      <c r="AJR1" s="615"/>
      <c r="AJS1" s="615"/>
      <c r="AJT1" s="615"/>
      <c r="AJU1" s="615"/>
      <c r="AJV1" s="615"/>
      <c r="AJW1" s="615"/>
      <c r="AJX1" s="615"/>
      <c r="AJY1" s="615"/>
      <c r="AJZ1" s="615"/>
      <c r="AKA1" s="615"/>
      <c r="AKB1" s="615"/>
      <c r="AKC1" s="615"/>
      <c r="AKD1" s="615"/>
      <c r="AKE1" s="615"/>
      <c r="AKF1" s="615"/>
      <c r="AKG1" s="615"/>
      <c r="AKH1" s="615"/>
      <c r="AKI1" s="615"/>
      <c r="AKJ1" s="615"/>
      <c r="AKK1" s="615"/>
      <c r="AKL1" s="615"/>
      <c r="AKM1" s="615"/>
      <c r="AKN1" s="615"/>
      <c r="AKO1" s="615"/>
      <c r="AKP1" s="615"/>
      <c r="AKQ1" s="615"/>
      <c r="AKR1" s="615"/>
      <c r="AKS1" s="615"/>
      <c r="AKT1" s="615"/>
      <c r="AKU1" s="615"/>
      <c r="AKV1" s="615"/>
      <c r="AKW1" s="615"/>
      <c r="AKX1" s="615"/>
      <c r="AKY1" s="615"/>
      <c r="AKZ1" s="615"/>
      <c r="ALA1" s="615"/>
      <c r="ALB1" s="615"/>
      <c r="ALC1" s="615"/>
      <c r="ALD1" s="615"/>
      <c r="ALE1" s="615"/>
      <c r="ALF1" s="615"/>
      <c r="ALG1" s="615"/>
      <c r="ALH1" s="615"/>
      <c r="ALI1" s="615"/>
      <c r="ALJ1" s="615"/>
      <c r="ALK1" s="615"/>
      <c r="ALL1" s="615"/>
      <c r="ALM1" s="615"/>
      <c r="ALN1" s="615"/>
      <c r="ALO1" s="615"/>
      <c r="ALP1" s="615"/>
      <c r="ALQ1" s="615"/>
      <c r="ALR1" s="615"/>
      <c r="ALS1" s="615"/>
      <c r="ALT1" s="615"/>
      <c r="ALU1" s="615"/>
      <c r="ALV1" s="615"/>
      <c r="ALW1" s="615"/>
      <c r="ALX1" s="615"/>
      <c r="ALY1" s="615"/>
      <c r="ALZ1" s="615"/>
      <c r="AMA1" s="615"/>
      <c r="AMB1" s="615"/>
      <c r="AMC1" s="615"/>
      <c r="AMD1" s="615"/>
      <c r="AME1" s="615"/>
      <c r="AMF1" s="615"/>
      <c r="AMG1" s="615"/>
      <c r="AMH1" s="615"/>
      <c r="AMI1" s="615"/>
      <c r="AMJ1" s="615"/>
      <c r="AMK1" s="615"/>
      <c r="AML1" s="615"/>
      <c r="AMM1" s="615"/>
      <c r="AMN1" s="615"/>
      <c r="AMO1" s="615"/>
      <c r="AMP1" s="615"/>
      <c r="AMQ1" s="615"/>
      <c r="AMR1" s="615"/>
      <c r="AMS1" s="615"/>
      <c r="AMT1" s="615"/>
      <c r="AMU1" s="615"/>
      <c r="AMV1" s="615"/>
      <c r="AMW1" s="615"/>
      <c r="AMX1" s="615"/>
      <c r="AMY1" s="615"/>
      <c r="AMZ1" s="615"/>
      <c r="ANA1" s="615"/>
      <c r="ANB1" s="615"/>
      <c r="ANC1" s="615"/>
      <c r="AND1" s="615"/>
      <c r="ANE1" s="615"/>
      <c r="ANF1" s="615"/>
      <c r="ANG1" s="615"/>
      <c r="ANH1" s="615"/>
      <c r="ANI1" s="615"/>
      <c r="ANJ1" s="615"/>
      <c r="ANK1" s="615"/>
      <c r="ANL1" s="615"/>
      <c r="ANM1" s="615"/>
      <c r="ANN1" s="615"/>
      <c r="ANO1" s="615"/>
      <c r="ANP1" s="615"/>
      <c r="ANQ1" s="615"/>
      <c r="ANR1" s="615"/>
      <c r="ANS1" s="615"/>
      <c r="ANT1" s="615"/>
      <c r="ANU1" s="615"/>
      <c r="ANV1" s="615"/>
      <c r="ANW1" s="615"/>
      <c r="ANX1" s="615"/>
      <c r="ANY1" s="615"/>
      <c r="ANZ1" s="615"/>
      <c r="AOA1" s="615"/>
      <c r="AOB1" s="615"/>
      <c r="AOC1" s="615"/>
      <c r="AOD1" s="615"/>
      <c r="AOE1" s="615"/>
      <c r="AOF1" s="615"/>
      <c r="AOG1" s="615"/>
      <c r="AOH1" s="615"/>
      <c r="AOI1" s="615"/>
      <c r="AOJ1" s="615"/>
      <c r="AOK1" s="615"/>
      <c r="AOL1" s="615"/>
      <c r="AOM1" s="615"/>
      <c r="AON1" s="615"/>
      <c r="AOO1" s="615"/>
      <c r="AOP1" s="615"/>
      <c r="AOQ1" s="615"/>
      <c r="AOR1" s="615"/>
      <c r="AOS1" s="615"/>
      <c r="AOT1" s="615"/>
      <c r="AOU1" s="615"/>
      <c r="AOV1" s="615"/>
      <c r="AOW1" s="615"/>
      <c r="AOX1" s="615"/>
      <c r="AOY1" s="615"/>
      <c r="AOZ1" s="615"/>
      <c r="APA1" s="615"/>
      <c r="APB1" s="615"/>
      <c r="APC1" s="615"/>
      <c r="APD1" s="615"/>
      <c r="APE1" s="615"/>
      <c r="APF1" s="615"/>
      <c r="APG1" s="615"/>
      <c r="APH1" s="615"/>
      <c r="API1" s="615"/>
      <c r="APJ1" s="615"/>
      <c r="APK1" s="615"/>
      <c r="APL1" s="615"/>
      <c r="APM1" s="615"/>
      <c r="APN1" s="615"/>
      <c r="APO1" s="615"/>
      <c r="APP1" s="615"/>
      <c r="APQ1" s="615"/>
      <c r="APR1" s="615"/>
      <c r="APS1" s="615"/>
      <c r="APT1" s="615"/>
      <c r="APU1" s="615"/>
      <c r="APV1" s="615"/>
      <c r="APW1" s="615"/>
      <c r="APX1" s="615"/>
      <c r="APY1" s="615"/>
      <c r="APZ1" s="615"/>
      <c r="AQA1" s="615"/>
      <c r="AQB1" s="615"/>
      <c r="AQC1" s="615"/>
      <c r="AQD1" s="615"/>
      <c r="AQE1" s="615"/>
      <c r="AQF1" s="615"/>
      <c r="AQG1" s="615"/>
      <c r="AQH1" s="615"/>
      <c r="AQI1" s="615"/>
      <c r="AQJ1" s="615"/>
      <c r="AQK1" s="615"/>
      <c r="AQL1" s="615"/>
      <c r="AQM1" s="615"/>
      <c r="AQN1" s="615"/>
      <c r="AQO1" s="615"/>
      <c r="AQP1" s="615"/>
      <c r="AQQ1" s="615"/>
      <c r="AQR1" s="615"/>
      <c r="AQS1" s="615"/>
      <c r="AQT1" s="615"/>
      <c r="AQU1" s="615"/>
      <c r="AQV1" s="615"/>
      <c r="AQW1" s="615"/>
      <c r="AQX1" s="615"/>
      <c r="AQY1" s="615"/>
      <c r="AQZ1" s="615"/>
      <c r="ARA1" s="615"/>
      <c r="ARB1" s="615"/>
      <c r="ARC1" s="615"/>
      <c r="ARD1" s="615"/>
      <c r="ARE1" s="615"/>
      <c r="ARF1" s="615"/>
      <c r="ARG1" s="615"/>
      <c r="ARH1" s="615"/>
      <c r="ARI1" s="615"/>
      <c r="ARJ1" s="615"/>
      <c r="ARK1" s="615"/>
      <c r="ARL1" s="615"/>
      <c r="ARM1" s="615"/>
      <c r="ARN1" s="615"/>
      <c r="ARO1" s="615"/>
      <c r="ARP1" s="615"/>
      <c r="ARQ1" s="615"/>
      <c r="ARR1" s="615"/>
      <c r="ARS1" s="615"/>
      <c r="ART1" s="615"/>
      <c r="ARU1" s="615"/>
      <c r="ARV1" s="615"/>
      <c r="ARW1" s="615"/>
      <c r="ARX1" s="615"/>
      <c r="ARY1" s="615"/>
      <c r="ARZ1" s="615"/>
      <c r="ASA1" s="615"/>
      <c r="ASB1" s="615"/>
      <c r="ASC1" s="615"/>
      <c r="ASD1" s="615"/>
      <c r="ASE1" s="615"/>
      <c r="ASF1" s="615"/>
      <c r="ASG1" s="615"/>
      <c r="ASH1" s="615"/>
      <c r="ASI1" s="615"/>
      <c r="ASJ1" s="615"/>
      <c r="ASK1" s="615"/>
      <c r="ASL1" s="615"/>
      <c r="ASM1" s="615"/>
      <c r="ASN1" s="615"/>
      <c r="ASO1" s="615"/>
      <c r="ASP1" s="615"/>
      <c r="ASQ1" s="615"/>
      <c r="ASR1" s="615"/>
      <c r="ASS1" s="615"/>
      <c r="AST1" s="615"/>
      <c r="ASU1" s="615"/>
      <c r="ASV1" s="615"/>
      <c r="ASW1" s="615"/>
      <c r="ASX1" s="615"/>
      <c r="ASY1" s="615"/>
      <c r="ASZ1" s="615"/>
      <c r="ATA1" s="615"/>
      <c r="ATB1" s="615"/>
      <c r="ATC1" s="615"/>
      <c r="ATD1" s="615"/>
      <c r="ATE1" s="615"/>
      <c r="ATF1" s="615"/>
      <c r="ATG1" s="615"/>
      <c r="ATH1" s="615"/>
      <c r="ATI1" s="615"/>
      <c r="ATJ1" s="615"/>
      <c r="ATK1" s="615"/>
      <c r="ATL1" s="615"/>
      <c r="ATM1" s="615"/>
      <c r="ATN1" s="615"/>
      <c r="ATO1" s="615"/>
      <c r="ATP1" s="615"/>
      <c r="ATQ1" s="615"/>
      <c r="ATR1" s="615"/>
      <c r="ATS1" s="615"/>
      <c r="ATT1" s="615"/>
      <c r="ATU1" s="615"/>
      <c r="ATV1" s="615"/>
      <c r="ATW1" s="615"/>
      <c r="ATX1" s="615"/>
      <c r="ATY1" s="615"/>
      <c r="ATZ1" s="615"/>
      <c r="AUA1" s="615"/>
      <c r="AUB1" s="615"/>
      <c r="AUC1" s="615"/>
      <c r="AUD1" s="615"/>
      <c r="AUE1" s="615"/>
      <c r="AUF1" s="615"/>
      <c r="AUG1" s="615"/>
      <c r="AUH1" s="615"/>
      <c r="AUI1" s="615"/>
      <c r="AUJ1" s="615"/>
      <c r="AUK1" s="615"/>
      <c r="AUL1" s="615"/>
      <c r="AUM1" s="615"/>
      <c r="AUN1" s="615"/>
      <c r="AUO1" s="615"/>
      <c r="AUP1" s="615"/>
      <c r="AUQ1" s="615"/>
      <c r="AUR1" s="615"/>
      <c r="AUS1" s="615"/>
      <c r="AUT1" s="615"/>
      <c r="AUU1" s="615"/>
      <c r="AUV1" s="615"/>
      <c r="AUW1" s="615"/>
      <c r="AUX1" s="615"/>
      <c r="AUY1" s="615"/>
      <c r="AUZ1" s="615"/>
      <c r="AVA1" s="615"/>
      <c r="AVB1" s="615"/>
      <c r="AVC1" s="615"/>
      <c r="AVD1" s="615"/>
      <c r="AVE1" s="615"/>
      <c r="AVF1" s="615"/>
      <c r="AVG1" s="615"/>
      <c r="AVH1" s="615"/>
      <c r="AVI1" s="615"/>
      <c r="AVJ1" s="615"/>
      <c r="AVK1" s="615"/>
      <c r="AVL1" s="615"/>
      <c r="AVM1" s="615"/>
      <c r="AVN1" s="615"/>
      <c r="AVO1" s="615"/>
      <c r="AVP1" s="615"/>
      <c r="AVQ1" s="615"/>
      <c r="AVR1" s="615"/>
      <c r="AVS1" s="615"/>
      <c r="AVT1" s="615"/>
      <c r="AVU1" s="615"/>
      <c r="AVV1" s="615"/>
      <c r="AVW1" s="615"/>
      <c r="AVX1" s="615"/>
      <c r="AVY1" s="615"/>
      <c r="AVZ1" s="615"/>
      <c r="AWA1" s="615"/>
      <c r="AWB1" s="615"/>
      <c r="AWC1" s="615"/>
      <c r="AWD1" s="615"/>
      <c r="AWE1" s="615"/>
      <c r="AWF1" s="615"/>
      <c r="AWG1" s="615"/>
      <c r="AWH1" s="615"/>
      <c r="AWI1" s="615"/>
      <c r="AWJ1" s="615"/>
      <c r="AWK1" s="615"/>
      <c r="AWL1" s="615"/>
      <c r="AWM1" s="615"/>
      <c r="AWN1" s="615"/>
      <c r="AWO1" s="615"/>
      <c r="AWP1" s="615"/>
      <c r="AWQ1" s="615"/>
      <c r="AWR1" s="615"/>
      <c r="AWS1" s="615"/>
      <c r="AWT1" s="615"/>
      <c r="AWU1" s="615"/>
      <c r="AWV1" s="615"/>
      <c r="AWW1" s="615"/>
      <c r="AWX1" s="615"/>
      <c r="AWY1" s="615"/>
      <c r="AWZ1" s="615"/>
      <c r="AXA1" s="615"/>
      <c r="AXB1" s="615"/>
      <c r="AXC1" s="615"/>
      <c r="AXD1" s="615"/>
      <c r="AXE1" s="615"/>
      <c r="AXF1" s="615"/>
      <c r="AXG1" s="615"/>
      <c r="AXH1" s="615"/>
      <c r="AXI1" s="615"/>
      <c r="AXJ1" s="615"/>
      <c r="AXK1" s="615"/>
      <c r="AXL1" s="615"/>
      <c r="AXM1" s="615"/>
      <c r="AXN1" s="615"/>
      <c r="AXO1" s="615"/>
      <c r="AXP1" s="615"/>
      <c r="AXQ1" s="615"/>
      <c r="AXR1" s="615"/>
      <c r="AXS1" s="615"/>
      <c r="AXT1" s="615"/>
      <c r="AXU1" s="615"/>
      <c r="AXV1" s="615"/>
      <c r="AXW1" s="615"/>
      <c r="AXX1" s="615"/>
      <c r="AXY1" s="615"/>
      <c r="AXZ1" s="615"/>
      <c r="AYA1" s="615"/>
      <c r="AYB1" s="615"/>
      <c r="AYC1" s="615"/>
      <c r="AYD1" s="615"/>
      <c r="AYE1" s="615"/>
      <c r="AYF1" s="615"/>
      <c r="AYG1" s="615"/>
      <c r="AYH1" s="615"/>
      <c r="AYI1" s="615"/>
      <c r="AYJ1" s="615"/>
      <c r="AYK1" s="615"/>
      <c r="AYL1" s="615"/>
      <c r="AYM1" s="615"/>
      <c r="AYN1" s="615"/>
      <c r="AYO1" s="615"/>
      <c r="AYP1" s="615"/>
      <c r="AYQ1" s="615"/>
      <c r="AYR1" s="615"/>
      <c r="AYS1" s="615"/>
      <c r="AYT1" s="615"/>
      <c r="AYU1" s="615"/>
      <c r="AYV1" s="615"/>
      <c r="AYW1" s="615"/>
      <c r="AYX1" s="615"/>
      <c r="AYY1" s="615"/>
      <c r="AYZ1" s="615"/>
      <c r="AZA1" s="615"/>
      <c r="AZB1" s="615"/>
      <c r="AZC1" s="615"/>
      <c r="AZD1" s="615"/>
      <c r="AZE1" s="615"/>
      <c r="AZF1" s="615"/>
      <c r="AZG1" s="615"/>
      <c r="AZH1" s="615"/>
      <c r="AZI1" s="615"/>
      <c r="AZJ1" s="615"/>
      <c r="AZK1" s="615"/>
      <c r="AZL1" s="615"/>
      <c r="AZM1" s="615"/>
      <c r="AZN1" s="615"/>
      <c r="AZO1" s="615"/>
      <c r="AZP1" s="615"/>
      <c r="AZQ1" s="615"/>
      <c r="AZR1" s="615"/>
      <c r="AZS1" s="615"/>
      <c r="AZT1" s="615"/>
      <c r="AZU1" s="615"/>
      <c r="AZV1" s="615"/>
      <c r="AZW1" s="615"/>
      <c r="AZX1" s="615"/>
      <c r="AZY1" s="615"/>
      <c r="AZZ1" s="615"/>
      <c r="BAA1" s="615"/>
      <c r="BAB1" s="615"/>
      <c r="BAC1" s="615"/>
      <c r="BAD1" s="615"/>
      <c r="BAE1" s="615"/>
      <c r="BAF1" s="615"/>
      <c r="BAG1" s="615"/>
      <c r="BAH1" s="615"/>
      <c r="BAI1" s="615"/>
      <c r="BAJ1" s="615"/>
      <c r="BAK1" s="615"/>
      <c r="BAL1" s="615"/>
      <c r="BAM1" s="615"/>
      <c r="BAN1" s="615"/>
      <c r="BAO1" s="615"/>
      <c r="BAP1" s="615"/>
      <c r="BAQ1" s="615"/>
      <c r="BAR1" s="615"/>
      <c r="BAS1" s="615"/>
      <c r="BAT1" s="615"/>
      <c r="BAU1" s="615"/>
      <c r="BAV1" s="615"/>
      <c r="BAW1" s="615"/>
      <c r="BAX1" s="615"/>
      <c r="BAY1" s="615"/>
      <c r="BAZ1" s="615"/>
      <c r="BBA1" s="615"/>
      <c r="BBB1" s="615"/>
      <c r="BBC1" s="615"/>
      <c r="BBD1" s="615"/>
      <c r="BBE1" s="615"/>
      <c r="BBF1" s="615"/>
      <c r="BBG1" s="615"/>
      <c r="BBH1" s="615"/>
      <c r="BBI1" s="615"/>
      <c r="BBJ1" s="615"/>
      <c r="BBK1" s="615"/>
      <c r="BBL1" s="615"/>
      <c r="BBM1" s="615"/>
      <c r="BBN1" s="615"/>
      <c r="BBO1" s="615"/>
      <c r="BBP1" s="615"/>
      <c r="BBQ1" s="615"/>
      <c r="BBR1" s="615"/>
      <c r="BBS1" s="615"/>
      <c r="BBT1" s="615"/>
      <c r="BBU1" s="615"/>
      <c r="BBV1" s="615"/>
      <c r="BBW1" s="615"/>
      <c r="BBX1" s="615"/>
      <c r="BBY1" s="615"/>
      <c r="BBZ1" s="615"/>
      <c r="BCA1" s="615"/>
      <c r="BCB1" s="615"/>
      <c r="BCC1" s="615"/>
      <c r="BCD1" s="615"/>
      <c r="BCE1" s="615"/>
      <c r="BCF1" s="615"/>
      <c r="BCG1" s="615"/>
      <c r="BCH1" s="615"/>
      <c r="BCI1" s="615"/>
      <c r="BCJ1" s="615"/>
      <c r="BCK1" s="615"/>
      <c r="BCL1" s="615"/>
      <c r="BCM1" s="615"/>
      <c r="BCN1" s="615"/>
      <c r="BCO1" s="615"/>
      <c r="BCP1" s="615"/>
      <c r="BCQ1" s="615"/>
      <c r="BCR1" s="615"/>
      <c r="BCS1" s="615"/>
      <c r="BCT1" s="615"/>
      <c r="BCU1" s="615"/>
      <c r="BCV1" s="615"/>
      <c r="BCW1" s="615"/>
      <c r="BCX1" s="615"/>
      <c r="BCY1" s="615"/>
      <c r="BCZ1" s="615"/>
      <c r="BDA1" s="615"/>
      <c r="BDB1" s="615"/>
      <c r="BDC1" s="615"/>
      <c r="BDD1" s="615"/>
      <c r="BDE1" s="615"/>
      <c r="BDF1" s="615"/>
      <c r="BDG1" s="615"/>
      <c r="BDH1" s="615"/>
      <c r="BDI1" s="615"/>
      <c r="BDJ1" s="615"/>
      <c r="BDK1" s="615"/>
      <c r="BDL1" s="615"/>
      <c r="BDM1" s="615"/>
      <c r="BDN1" s="615"/>
      <c r="BDO1" s="615"/>
      <c r="BDP1" s="615"/>
      <c r="BDQ1" s="615"/>
      <c r="BDR1" s="615"/>
      <c r="BDS1" s="615"/>
      <c r="BDT1" s="615"/>
      <c r="BDU1" s="615"/>
      <c r="BDV1" s="615"/>
      <c r="BDW1" s="615"/>
      <c r="BDX1" s="615"/>
      <c r="BDY1" s="615"/>
      <c r="BDZ1" s="615"/>
      <c r="BEA1" s="615"/>
      <c r="BEB1" s="615"/>
      <c r="BEC1" s="615"/>
      <c r="BED1" s="615"/>
      <c r="BEE1" s="615"/>
      <c r="BEF1" s="615"/>
      <c r="BEG1" s="615"/>
      <c r="BEH1" s="615"/>
      <c r="BEI1" s="615"/>
      <c r="BEJ1" s="615"/>
      <c r="BEK1" s="615"/>
      <c r="BEL1" s="615"/>
      <c r="BEM1" s="615"/>
      <c r="BEN1" s="615"/>
      <c r="BEO1" s="615"/>
      <c r="BEP1" s="615"/>
      <c r="BEQ1" s="615"/>
      <c r="BER1" s="615"/>
      <c r="BES1" s="615"/>
      <c r="BET1" s="615"/>
      <c r="BEU1" s="615"/>
      <c r="BEV1" s="615"/>
      <c r="BEW1" s="615"/>
      <c r="BEX1" s="615"/>
      <c r="BEY1" s="615"/>
      <c r="BEZ1" s="615"/>
      <c r="BFA1" s="615"/>
      <c r="BFB1" s="615"/>
      <c r="BFC1" s="615"/>
      <c r="BFD1" s="615"/>
      <c r="BFE1" s="615"/>
      <c r="BFF1" s="615"/>
      <c r="BFG1" s="615"/>
      <c r="BFH1" s="615"/>
      <c r="BFI1" s="615"/>
      <c r="BFJ1" s="615"/>
      <c r="BFK1" s="615"/>
      <c r="BFL1" s="615"/>
      <c r="BFM1" s="615"/>
      <c r="BFN1" s="615"/>
      <c r="BFO1" s="615"/>
      <c r="BFP1" s="615"/>
      <c r="BFQ1" s="615"/>
      <c r="BFR1" s="615"/>
      <c r="BFS1" s="615"/>
      <c r="BFT1" s="615"/>
      <c r="BFU1" s="615"/>
      <c r="BFV1" s="615"/>
      <c r="BFW1" s="615"/>
      <c r="BFX1" s="615"/>
      <c r="BFY1" s="615"/>
      <c r="BFZ1" s="615"/>
      <c r="BGA1" s="615"/>
      <c r="BGB1" s="615"/>
      <c r="BGC1" s="615"/>
      <c r="BGD1" s="615"/>
      <c r="BGE1" s="615"/>
      <c r="BGF1" s="615"/>
      <c r="BGG1" s="615"/>
      <c r="BGH1" s="615"/>
      <c r="BGI1" s="615"/>
      <c r="BGJ1" s="615"/>
      <c r="BGK1" s="615"/>
      <c r="BGL1" s="615"/>
      <c r="BGM1" s="615"/>
      <c r="BGN1" s="615"/>
      <c r="BGO1" s="615"/>
      <c r="BGP1" s="615"/>
      <c r="BGQ1" s="615"/>
      <c r="BGR1" s="615"/>
      <c r="BGS1" s="615"/>
      <c r="BGT1" s="615"/>
      <c r="BGU1" s="615"/>
      <c r="BGV1" s="615"/>
      <c r="BGW1" s="615"/>
      <c r="BGX1" s="615"/>
      <c r="BGY1" s="615"/>
      <c r="BGZ1" s="615"/>
      <c r="BHA1" s="615"/>
      <c r="BHB1" s="615"/>
      <c r="BHC1" s="615"/>
      <c r="BHD1" s="615"/>
      <c r="BHE1" s="615"/>
      <c r="BHF1" s="615"/>
      <c r="BHG1" s="615"/>
      <c r="BHH1" s="615"/>
      <c r="BHI1" s="615"/>
      <c r="BHJ1" s="615"/>
      <c r="BHK1" s="615"/>
      <c r="BHL1" s="615"/>
      <c r="BHM1" s="615"/>
      <c r="BHN1" s="615"/>
      <c r="BHO1" s="615"/>
      <c r="BHP1" s="615"/>
      <c r="BHQ1" s="615"/>
      <c r="BHR1" s="615"/>
      <c r="BHS1" s="615"/>
      <c r="BHT1" s="615"/>
      <c r="BHU1" s="615"/>
      <c r="BHV1" s="615"/>
      <c r="BHW1" s="615"/>
      <c r="BHX1" s="615"/>
      <c r="BHY1" s="615"/>
      <c r="BHZ1" s="615"/>
      <c r="BIA1" s="615"/>
      <c r="BIB1" s="615"/>
      <c r="BIC1" s="615"/>
      <c r="BID1" s="615"/>
      <c r="BIE1" s="615"/>
      <c r="BIF1" s="615"/>
      <c r="BIG1" s="615"/>
      <c r="BIH1" s="615"/>
      <c r="BII1" s="615"/>
      <c r="BIJ1" s="615"/>
      <c r="BIK1" s="615"/>
      <c r="BIL1" s="615"/>
      <c r="BIM1" s="615"/>
      <c r="BIN1" s="615"/>
      <c r="BIO1" s="615"/>
      <c r="BIP1" s="615"/>
      <c r="BIQ1" s="615"/>
      <c r="BIR1" s="615"/>
      <c r="BIS1" s="615"/>
      <c r="BIT1" s="615"/>
      <c r="BIU1" s="615"/>
      <c r="BIV1" s="615"/>
      <c r="BIW1" s="615"/>
      <c r="BIX1" s="615"/>
      <c r="BIY1" s="615"/>
      <c r="BIZ1" s="615"/>
      <c r="BJA1" s="615"/>
      <c r="BJB1" s="615"/>
      <c r="BJC1" s="615"/>
      <c r="BJD1" s="615"/>
      <c r="BJE1" s="615"/>
      <c r="BJF1" s="615"/>
      <c r="BJG1" s="615"/>
      <c r="BJH1" s="615"/>
      <c r="BJI1" s="615"/>
      <c r="BJJ1" s="615"/>
      <c r="BJK1" s="615"/>
      <c r="BJL1" s="615"/>
      <c r="BJM1" s="615"/>
      <c r="BJN1" s="615"/>
      <c r="BJO1" s="615"/>
      <c r="BJP1" s="615"/>
      <c r="BJQ1" s="615"/>
      <c r="BJR1" s="615"/>
      <c r="BJS1" s="615"/>
      <c r="BJT1" s="615"/>
      <c r="BJU1" s="615"/>
      <c r="BJV1" s="615"/>
      <c r="BJW1" s="615"/>
      <c r="BJX1" s="615"/>
      <c r="BJY1" s="615"/>
      <c r="BJZ1" s="615"/>
      <c r="BKA1" s="615"/>
      <c r="BKB1" s="615"/>
      <c r="BKC1" s="615"/>
      <c r="BKD1" s="615"/>
      <c r="BKE1" s="615"/>
      <c r="BKF1" s="615"/>
      <c r="BKG1" s="615"/>
      <c r="BKH1" s="615"/>
      <c r="BKI1" s="615"/>
      <c r="BKJ1" s="615"/>
      <c r="BKK1" s="615"/>
      <c r="BKL1" s="615"/>
      <c r="BKM1" s="615"/>
      <c r="BKN1" s="615"/>
      <c r="BKO1" s="615"/>
      <c r="BKP1" s="615"/>
      <c r="BKQ1" s="615"/>
      <c r="BKR1" s="615"/>
      <c r="BKS1" s="615"/>
      <c r="BKT1" s="615"/>
      <c r="BKU1" s="615"/>
      <c r="BKV1" s="615"/>
      <c r="BKW1" s="615"/>
      <c r="BKX1" s="615"/>
      <c r="BKY1" s="615"/>
      <c r="BKZ1" s="615"/>
      <c r="BLA1" s="615"/>
      <c r="BLB1" s="615"/>
      <c r="BLC1" s="615"/>
      <c r="BLD1" s="615"/>
      <c r="BLE1" s="615"/>
      <c r="BLF1" s="615"/>
      <c r="BLG1" s="615"/>
      <c r="BLH1" s="615"/>
      <c r="BLI1" s="615"/>
      <c r="BLJ1" s="615"/>
      <c r="BLK1" s="615"/>
      <c r="BLL1" s="615"/>
      <c r="BLM1" s="615"/>
      <c r="BLN1" s="615"/>
      <c r="BLO1" s="615"/>
      <c r="BLP1" s="615"/>
      <c r="BLQ1" s="615"/>
      <c r="BLR1" s="615"/>
      <c r="BLS1" s="615"/>
      <c r="BLT1" s="615"/>
      <c r="BLU1" s="615"/>
      <c r="BLV1" s="615"/>
      <c r="BLW1" s="615"/>
      <c r="BLX1" s="615"/>
      <c r="BLY1" s="615"/>
      <c r="BLZ1" s="615"/>
      <c r="BMA1" s="615"/>
      <c r="BMB1" s="615"/>
      <c r="BMC1" s="615"/>
      <c r="BMD1" s="615"/>
      <c r="BME1" s="615"/>
      <c r="BMF1" s="615"/>
      <c r="BMG1" s="615"/>
      <c r="BMH1" s="615"/>
      <c r="BMI1" s="615"/>
      <c r="BMJ1" s="615"/>
      <c r="BMK1" s="615"/>
      <c r="BML1" s="615"/>
      <c r="BMM1" s="615"/>
      <c r="BMN1" s="615"/>
      <c r="BMO1" s="615"/>
      <c r="BMP1" s="615"/>
      <c r="BMQ1" s="615"/>
      <c r="BMR1" s="615"/>
      <c r="BMS1" s="615"/>
      <c r="BMT1" s="615"/>
      <c r="BMU1" s="615"/>
      <c r="BMV1" s="615"/>
      <c r="BMW1" s="615"/>
      <c r="BMX1" s="615"/>
      <c r="BMY1" s="615"/>
      <c r="BMZ1" s="615"/>
      <c r="BNA1" s="615"/>
      <c r="BNB1" s="615"/>
      <c r="BNC1" s="615"/>
      <c r="BND1" s="615"/>
      <c r="BNE1" s="615"/>
      <c r="BNF1" s="615"/>
      <c r="BNG1" s="615"/>
      <c r="BNH1" s="615"/>
      <c r="BNI1" s="615"/>
      <c r="BNJ1" s="615"/>
      <c r="BNK1" s="615"/>
      <c r="BNL1" s="615"/>
      <c r="BNM1" s="615"/>
      <c r="BNN1" s="615"/>
      <c r="BNO1" s="615"/>
      <c r="BNP1" s="615"/>
      <c r="BNQ1" s="615"/>
      <c r="BNR1" s="615"/>
      <c r="BNS1" s="615"/>
      <c r="BNT1" s="615"/>
      <c r="BNU1" s="615"/>
      <c r="BNV1" s="615"/>
      <c r="BNW1" s="615"/>
      <c r="BNX1" s="615"/>
      <c r="BNY1" s="615"/>
      <c r="BNZ1" s="615"/>
      <c r="BOA1" s="615"/>
      <c r="BOB1" s="615"/>
      <c r="BOC1" s="615"/>
      <c r="BOD1" s="615"/>
      <c r="BOE1" s="615"/>
      <c r="BOF1" s="615"/>
      <c r="BOG1" s="615"/>
      <c r="BOH1" s="615"/>
      <c r="BOI1" s="615"/>
      <c r="BOJ1" s="615"/>
      <c r="BOK1" s="615"/>
      <c r="BOL1" s="615"/>
      <c r="BOM1" s="615"/>
      <c r="BON1" s="615"/>
      <c r="BOO1" s="615"/>
      <c r="BOP1" s="615"/>
      <c r="BOQ1" s="615"/>
      <c r="BOR1" s="615"/>
      <c r="BOS1" s="615"/>
      <c r="BOT1" s="615"/>
      <c r="BOU1" s="615"/>
      <c r="BOV1" s="615"/>
      <c r="BOW1" s="615"/>
      <c r="BOX1" s="615"/>
      <c r="BOY1" s="615"/>
      <c r="BOZ1" s="615"/>
      <c r="BPA1" s="615"/>
      <c r="BPB1" s="615"/>
      <c r="BPC1" s="615"/>
      <c r="BPD1" s="615"/>
      <c r="BPE1" s="615"/>
      <c r="BPF1" s="615"/>
      <c r="BPG1" s="615"/>
      <c r="BPH1" s="615"/>
      <c r="BPI1" s="615"/>
      <c r="BPJ1" s="615"/>
      <c r="BPK1" s="615"/>
      <c r="BPL1" s="615"/>
      <c r="BPM1" s="615"/>
      <c r="BPN1" s="615"/>
      <c r="BPO1" s="615"/>
      <c r="BPP1" s="615"/>
      <c r="BPQ1" s="615"/>
      <c r="BPR1" s="615"/>
      <c r="BPS1" s="615"/>
      <c r="BPT1" s="615"/>
      <c r="BPU1" s="615"/>
      <c r="BPV1" s="615"/>
      <c r="BPW1" s="615"/>
      <c r="BPX1" s="615"/>
      <c r="BPY1" s="615"/>
      <c r="BPZ1" s="615"/>
      <c r="BQA1" s="615"/>
      <c r="BQB1" s="615"/>
      <c r="BQC1" s="615"/>
      <c r="BQD1" s="615"/>
      <c r="BQE1" s="615"/>
      <c r="BQF1" s="615"/>
      <c r="BQG1" s="615"/>
      <c r="BQH1" s="615"/>
      <c r="BQI1" s="615"/>
      <c r="BQJ1" s="615"/>
      <c r="BQK1" s="615"/>
      <c r="BQL1" s="615"/>
      <c r="BQM1" s="615"/>
      <c r="BQN1" s="615"/>
      <c r="BQO1" s="615"/>
      <c r="BQP1" s="615"/>
      <c r="BQQ1" s="615"/>
      <c r="BQR1" s="615"/>
      <c r="BQS1" s="615"/>
      <c r="BQT1" s="615"/>
      <c r="BQU1" s="615"/>
      <c r="BQV1" s="615"/>
      <c r="BQW1" s="615"/>
      <c r="BQX1" s="615"/>
      <c r="BQY1" s="615"/>
      <c r="BQZ1" s="615"/>
      <c r="BRA1" s="615"/>
      <c r="BRB1" s="615"/>
      <c r="BRC1" s="615"/>
      <c r="BRD1" s="615"/>
      <c r="BRE1" s="615"/>
      <c r="BRF1" s="615"/>
      <c r="BRG1" s="615"/>
      <c r="BRH1" s="615"/>
      <c r="BRI1" s="615"/>
      <c r="BRJ1" s="615"/>
      <c r="BRK1" s="615"/>
      <c r="BRL1" s="615"/>
      <c r="BRM1" s="615"/>
      <c r="BRN1" s="615"/>
      <c r="BRO1" s="615"/>
      <c r="BRP1" s="615"/>
      <c r="BRQ1" s="615"/>
      <c r="BRR1" s="615"/>
      <c r="BRS1" s="615"/>
      <c r="BRT1" s="615"/>
      <c r="BRU1" s="615"/>
      <c r="BRV1" s="615"/>
      <c r="BRW1" s="615"/>
      <c r="BRX1" s="615"/>
      <c r="BRY1" s="615"/>
      <c r="BRZ1" s="615"/>
      <c r="BSA1" s="615"/>
      <c r="BSB1" s="615"/>
      <c r="BSC1" s="615"/>
      <c r="BSD1" s="615"/>
      <c r="BSE1" s="615"/>
      <c r="BSF1" s="615"/>
      <c r="BSG1" s="615"/>
      <c r="BSH1" s="615"/>
      <c r="BSI1" s="615"/>
      <c r="BSJ1" s="615"/>
      <c r="BSK1" s="615"/>
      <c r="BSL1" s="615"/>
      <c r="BSM1" s="615"/>
      <c r="BSN1" s="615"/>
      <c r="BSO1" s="615"/>
      <c r="BSP1" s="615"/>
      <c r="BSQ1" s="615"/>
      <c r="BSR1" s="615"/>
      <c r="BSS1" s="615"/>
      <c r="BST1" s="615"/>
      <c r="BSU1" s="615"/>
      <c r="BSV1" s="615"/>
      <c r="BSW1" s="615"/>
      <c r="BSX1" s="615"/>
      <c r="BSY1" s="615"/>
      <c r="BSZ1" s="615"/>
      <c r="BTA1" s="615"/>
      <c r="BTB1" s="615"/>
      <c r="BTC1" s="615"/>
      <c r="BTD1" s="615"/>
      <c r="BTE1" s="615"/>
      <c r="BTF1" s="615"/>
      <c r="BTG1" s="615"/>
      <c r="BTH1" s="615"/>
      <c r="BTI1" s="615"/>
      <c r="BTJ1" s="615"/>
      <c r="BTK1" s="615"/>
      <c r="BTL1" s="615"/>
      <c r="BTM1" s="615"/>
      <c r="BTN1" s="615"/>
      <c r="BTO1" s="615"/>
      <c r="BTP1" s="615"/>
      <c r="BTQ1" s="615"/>
      <c r="BTR1" s="615"/>
      <c r="BTS1" s="615"/>
      <c r="BTT1" s="615"/>
      <c r="BTU1" s="615"/>
      <c r="BTV1" s="615"/>
      <c r="BTW1" s="615"/>
      <c r="BTX1" s="615"/>
      <c r="BTY1" s="615"/>
      <c r="BTZ1" s="615"/>
      <c r="BUA1" s="615"/>
      <c r="BUB1" s="615"/>
      <c r="BUC1" s="615"/>
      <c r="BUD1" s="615"/>
      <c r="BUE1" s="615"/>
      <c r="BUF1" s="615"/>
      <c r="BUG1" s="615"/>
      <c r="BUH1" s="615"/>
      <c r="BUI1" s="615"/>
      <c r="BUJ1" s="615"/>
      <c r="BUK1" s="615"/>
      <c r="BUL1" s="615"/>
      <c r="BUM1" s="615"/>
      <c r="BUN1" s="615"/>
      <c r="BUO1" s="615"/>
      <c r="BUP1" s="615"/>
      <c r="BUQ1" s="615"/>
      <c r="BUR1" s="615"/>
      <c r="BUS1" s="615"/>
      <c r="BUT1" s="615"/>
      <c r="BUU1" s="615"/>
      <c r="BUV1" s="615"/>
      <c r="BUW1" s="615"/>
      <c r="BUX1" s="615"/>
      <c r="BUY1" s="615"/>
      <c r="BUZ1" s="615"/>
      <c r="BVA1" s="615"/>
      <c r="BVB1" s="615"/>
      <c r="BVC1" s="615"/>
      <c r="BVD1" s="615"/>
      <c r="BVE1" s="615"/>
      <c r="BVF1" s="615"/>
      <c r="BVG1" s="615"/>
      <c r="BVH1" s="615"/>
      <c r="BVI1" s="615"/>
      <c r="BVJ1" s="615"/>
      <c r="BVK1" s="615"/>
      <c r="BVL1" s="615"/>
      <c r="BVM1" s="615"/>
      <c r="BVN1" s="615"/>
      <c r="BVO1" s="615"/>
      <c r="BVP1" s="615"/>
      <c r="BVQ1" s="615"/>
      <c r="BVR1" s="615"/>
      <c r="BVS1" s="615"/>
      <c r="BVT1" s="615"/>
      <c r="BVU1" s="615"/>
      <c r="BVV1" s="615"/>
      <c r="BVW1" s="615"/>
      <c r="BVX1" s="615"/>
      <c r="BVY1" s="615"/>
      <c r="BVZ1" s="615"/>
      <c r="BWA1" s="615"/>
      <c r="BWB1" s="615"/>
      <c r="BWC1" s="615"/>
      <c r="BWD1" s="615"/>
      <c r="BWE1" s="615"/>
      <c r="BWF1" s="615"/>
      <c r="BWG1" s="615"/>
      <c r="BWH1" s="615"/>
      <c r="BWI1" s="615"/>
      <c r="BWJ1" s="615"/>
      <c r="BWK1" s="615"/>
      <c r="BWL1" s="615"/>
      <c r="BWM1" s="615"/>
      <c r="BWN1" s="615"/>
      <c r="BWO1" s="615"/>
      <c r="BWP1" s="615"/>
      <c r="BWQ1" s="615"/>
      <c r="BWR1" s="615"/>
      <c r="BWS1" s="615"/>
      <c r="BWT1" s="615"/>
      <c r="BWU1" s="615"/>
      <c r="BWV1" s="615"/>
      <c r="BWW1" s="615"/>
      <c r="BWX1" s="615"/>
      <c r="BWY1" s="615"/>
      <c r="BWZ1" s="615"/>
      <c r="BXA1" s="615"/>
      <c r="BXB1" s="615"/>
      <c r="BXC1" s="615"/>
      <c r="BXD1" s="615"/>
      <c r="BXE1" s="615"/>
      <c r="BXF1" s="615"/>
      <c r="BXG1" s="615"/>
      <c r="BXH1" s="615"/>
      <c r="BXI1" s="615"/>
      <c r="BXJ1" s="615"/>
      <c r="BXK1" s="615"/>
      <c r="BXL1" s="615"/>
      <c r="BXM1" s="615"/>
      <c r="BXN1" s="615"/>
      <c r="BXO1" s="615"/>
      <c r="BXP1" s="615"/>
      <c r="BXQ1" s="615"/>
      <c r="BXR1" s="615"/>
      <c r="BXS1" s="615"/>
      <c r="BXT1" s="615"/>
      <c r="BXU1" s="615"/>
      <c r="BXV1" s="615"/>
      <c r="BXW1" s="615"/>
      <c r="BXX1" s="615"/>
      <c r="BXY1" s="615"/>
      <c r="BXZ1" s="615"/>
      <c r="BYA1" s="615"/>
      <c r="BYB1" s="615"/>
      <c r="BYC1" s="615"/>
      <c r="BYD1" s="615"/>
      <c r="BYE1" s="615"/>
      <c r="BYF1" s="615"/>
      <c r="BYG1" s="615"/>
      <c r="BYH1" s="615"/>
      <c r="BYI1" s="615"/>
      <c r="BYJ1" s="615"/>
      <c r="BYK1" s="615"/>
      <c r="BYL1" s="615"/>
      <c r="BYM1" s="615"/>
      <c r="BYN1" s="615"/>
      <c r="BYO1" s="615"/>
      <c r="BYP1" s="615"/>
      <c r="BYQ1" s="615"/>
      <c r="BYR1" s="615"/>
      <c r="BYS1" s="615"/>
      <c r="BYT1" s="615"/>
      <c r="BYU1" s="615"/>
      <c r="BYV1" s="615"/>
      <c r="BYW1" s="615"/>
      <c r="BYX1" s="615"/>
      <c r="BYY1" s="615"/>
      <c r="BYZ1" s="615"/>
      <c r="BZA1" s="615"/>
      <c r="BZB1" s="615"/>
      <c r="BZC1" s="615"/>
      <c r="BZD1" s="615"/>
      <c r="BZE1" s="615"/>
      <c r="BZF1" s="615"/>
      <c r="BZG1" s="615"/>
      <c r="BZH1" s="615"/>
      <c r="BZI1" s="615"/>
      <c r="BZJ1" s="615"/>
      <c r="BZK1" s="615"/>
      <c r="BZL1" s="615"/>
      <c r="BZM1" s="615"/>
      <c r="BZN1" s="615"/>
      <c r="BZO1" s="615"/>
      <c r="BZP1" s="615"/>
      <c r="BZQ1" s="615"/>
      <c r="BZR1" s="615"/>
      <c r="BZS1" s="615"/>
      <c r="BZT1" s="615"/>
      <c r="BZU1" s="615"/>
      <c r="BZV1" s="615"/>
      <c r="BZW1" s="615"/>
      <c r="BZX1" s="615"/>
      <c r="BZY1" s="615"/>
      <c r="BZZ1" s="615"/>
      <c r="CAA1" s="615"/>
      <c r="CAB1" s="615"/>
      <c r="CAC1" s="615"/>
      <c r="CAD1" s="615"/>
      <c r="CAE1" s="615"/>
      <c r="CAF1" s="615"/>
      <c r="CAG1" s="615"/>
      <c r="CAH1" s="615"/>
      <c r="CAI1" s="615"/>
      <c r="CAJ1" s="615"/>
      <c r="CAK1" s="615"/>
      <c r="CAL1" s="615"/>
      <c r="CAM1" s="615"/>
      <c r="CAN1" s="615"/>
      <c r="CAO1" s="615"/>
      <c r="CAP1" s="615"/>
      <c r="CAQ1" s="615"/>
      <c r="CAR1" s="615"/>
      <c r="CAS1" s="615"/>
      <c r="CAT1" s="615"/>
      <c r="CAU1" s="615"/>
      <c r="CAV1" s="615"/>
      <c r="CAW1" s="615"/>
      <c r="CAX1" s="615"/>
      <c r="CAY1" s="615"/>
      <c r="CAZ1" s="615"/>
      <c r="CBA1" s="615"/>
      <c r="CBB1" s="615"/>
      <c r="CBC1" s="615"/>
      <c r="CBD1" s="615"/>
      <c r="CBE1" s="615"/>
      <c r="CBF1" s="615"/>
      <c r="CBG1" s="615"/>
      <c r="CBH1" s="615"/>
      <c r="CBI1" s="615"/>
      <c r="CBJ1" s="615"/>
      <c r="CBK1" s="615"/>
      <c r="CBL1" s="615"/>
      <c r="CBM1" s="615"/>
      <c r="CBN1" s="615"/>
      <c r="CBO1" s="615"/>
      <c r="CBP1" s="615"/>
      <c r="CBQ1" s="615"/>
      <c r="CBR1" s="615"/>
      <c r="CBS1" s="615"/>
      <c r="CBT1" s="615"/>
      <c r="CBU1" s="615"/>
      <c r="CBV1" s="615"/>
      <c r="CBW1" s="615"/>
      <c r="CBX1" s="615"/>
      <c r="CBY1" s="615"/>
      <c r="CBZ1" s="615"/>
      <c r="CCA1" s="615"/>
      <c r="CCB1" s="615"/>
      <c r="CCC1" s="615"/>
      <c r="CCD1" s="615"/>
      <c r="CCE1" s="615"/>
      <c r="CCF1" s="615"/>
      <c r="CCG1" s="615"/>
      <c r="CCH1" s="615"/>
      <c r="CCI1" s="615"/>
      <c r="CCJ1" s="615"/>
      <c r="CCK1" s="615"/>
      <c r="CCL1" s="615"/>
      <c r="CCM1" s="615"/>
      <c r="CCN1" s="615"/>
      <c r="CCO1" s="615"/>
      <c r="CCP1" s="615"/>
      <c r="CCQ1" s="615"/>
      <c r="CCR1" s="615"/>
      <c r="CCS1" s="615"/>
      <c r="CCT1" s="615"/>
      <c r="CCU1" s="615"/>
      <c r="CCV1" s="615"/>
      <c r="CCW1" s="615"/>
      <c r="CCX1" s="615"/>
      <c r="CCY1" s="615"/>
      <c r="CCZ1" s="615"/>
      <c r="CDA1" s="615"/>
      <c r="CDB1" s="615"/>
      <c r="CDC1" s="615"/>
      <c r="CDD1" s="615"/>
      <c r="CDE1" s="615"/>
      <c r="CDF1" s="615"/>
      <c r="CDG1" s="615"/>
      <c r="CDH1" s="615"/>
      <c r="CDI1" s="615"/>
      <c r="CDJ1" s="615"/>
      <c r="CDK1" s="615"/>
      <c r="CDL1" s="615"/>
      <c r="CDM1" s="615"/>
      <c r="CDN1" s="615"/>
      <c r="CDO1" s="615"/>
      <c r="CDP1" s="615"/>
      <c r="CDQ1" s="615"/>
      <c r="CDR1" s="615"/>
      <c r="CDS1" s="615"/>
      <c r="CDT1" s="615"/>
      <c r="CDU1" s="615"/>
      <c r="CDV1" s="615"/>
      <c r="CDW1" s="615"/>
      <c r="CDX1" s="615"/>
      <c r="CDY1" s="615"/>
      <c r="CDZ1" s="615"/>
      <c r="CEA1" s="615"/>
      <c r="CEB1" s="615"/>
      <c r="CEC1" s="615"/>
      <c r="CED1" s="615"/>
      <c r="CEE1" s="615"/>
      <c r="CEF1" s="615"/>
      <c r="CEG1" s="615"/>
      <c r="CEH1" s="615"/>
      <c r="CEI1" s="615"/>
      <c r="CEJ1" s="615"/>
      <c r="CEK1" s="615"/>
      <c r="CEL1" s="615"/>
      <c r="CEM1" s="615"/>
      <c r="CEN1" s="615"/>
      <c r="CEO1" s="615"/>
      <c r="CEP1" s="615"/>
      <c r="CEQ1" s="615"/>
      <c r="CER1" s="615"/>
      <c r="CES1" s="615"/>
      <c r="CET1" s="615"/>
      <c r="CEU1" s="615"/>
      <c r="CEV1" s="615"/>
      <c r="CEW1" s="615"/>
      <c r="CEX1" s="615"/>
      <c r="CEY1" s="615"/>
      <c r="CEZ1" s="615"/>
      <c r="CFA1" s="615"/>
      <c r="CFB1" s="615"/>
      <c r="CFC1" s="615"/>
      <c r="CFD1" s="615"/>
      <c r="CFE1" s="615"/>
      <c r="CFF1" s="615"/>
      <c r="CFG1" s="615"/>
      <c r="CFH1" s="615"/>
      <c r="CFI1" s="615"/>
      <c r="CFJ1" s="615"/>
      <c r="CFK1" s="615"/>
      <c r="CFL1" s="615"/>
      <c r="CFM1" s="615"/>
      <c r="CFN1" s="615"/>
      <c r="CFO1" s="615"/>
      <c r="CFP1" s="615"/>
      <c r="CFQ1" s="615"/>
      <c r="CFR1" s="615"/>
      <c r="CFS1" s="615"/>
      <c r="CFT1" s="615"/>
      <c r="CFU1" s="615"/>
      <c r="CFV1" s="615"/>
      <c r="CFW1" s="615"/>
      <c r="CFX1" s="615"/>
      <c r="CFY1" s="615"/>
      <c r="CFZ1" s="615"/>
      <c r="CGA1" s="615"/>
      <c r="CGB1" s="615"/>
      <c r="CGC1" s="615"/>
      <c r="CGD1" s="615"/>
      <c r="CGE1" s="615"/>
      <c r="CGF1" s="615"/>
      <c r="CGG1" s="615"/>
      <c r="CGH1" s="615"/>
      <c r="CGI1" s="615"/>
      <c r="CGJ1" s="615"/>
      <c r="CGK1" s="615"/>
      <c r="CGL1" s="615"/>
      <c r="CGM1" s="615"/>
      <c r="CGN1" s="615"/>
      <c r="CGO1" s="615"/>
      <c r="CGP1" s="615"/>
      <c r="CGQ1" s="615"/>
      <c r="CGR1" s="615"/>
      <c r="CGS1" s="615"/>
      <c r="CGT1" s="615"/>
      <c r="CGU1" s="615"/>
      <c r="CGV1" s="615"/>
      <c r="CGW1" s="615"/>
      <c r="CGX1" s="615"/>
      <c r="CGY1" s="615"/>
      <c r="CGZ1" s="615"/>
      <c r="CHA1" s="615"/>
      <c r="CHB1" s="615"/>
      <c r="CHC1" s="615"/>
      <c r="CHD1" s="615"/>
      <c r="CHE1" s="615"/>
      <c r="CHF1" s="615"/>
      <c r="CHG1" s="615"/>
      <c r="CHH1" s="615"/>
      <c r="CHI1" s="615"/>
      <c r="CHJ1" s="615"/>
      <c r="CHK1" s="615"/>
      <c r="CHL1" s="615"/>
      <c r="CHM1" s="615"/>
      <c r="CHN1" s="615"/>
      <c r="CHO1" s="615"/>
      <c r="CHP1" s="615"/>
      <c r="CHQ1" s="615"/>
      <c r="CHR1" s="615"/>
      <c r="CHS1" s="615"/>
      <c r="CHT1" s="615"/>
      <c r="CHU1" s="615"/>
      <c r="CHV1" s="615"/>
      <c r="CHW1" s="615"/>
      <c r="CHX1" s="615"/>
      <c r="CHY1" s="615"/>
      <c r="CHZ1" s="615"/>
      <c r="CIA1" s="615"/>
      <c r="CIB1" s="615"/>
      <c r="CIC1" s="615"/>
      <c r="CID1" s="615"/>
      <c r="CIE1" s="615"/>
      <c r="CIF1" s="615"/>
      <c r="CIG1" s="615"/>
      <c r="CIH1" s="615"/>
      <c r="CII1" s="615"/>
      <c r="CIJ1" s="615"/>
      <c r="CIK1" s="615"/>
      <c r="CIL1" s="615"/>
      <c r="CIM1" s="615"/>
      <c r="CIN1" s="615"/>
      <c r="CIO1" s="615"/>
      <c r="CIP1" s="615"/>
      <c r="CIQ1" s="615"/>
      <c r="CIR1" s="615"/>
      <c r="CIS1" s="615"/>
      <c r="CIT1" s="615"/>
      <c r="CIU1" s="615"/>
      <c r="CIV1" s="615"/>
      <c r="CIW1" s="615"/>
      <c r="CIX1" s="615"/>
      <c r="CIY1" s="615"/>
      <c r="CIZ1" s="615"/>
      <c r="CJA1" s="615"/>
      <c r="CJB1" s="615"/>
      <c r="CJC1" s="615"/>
      <c r="CJD1" s="615"/>
      <c r="CJE1" s="615"/>
      <c r="CJF1" s="615"/>
      <c r="CJG1" s="615"/>
      <c r="CJH1" s="615"/>
      <c r="CJI1" s="615"/>
      <c r="CJJ1" s="615"/>
      <c r="CJK1" s="615"/>
      <c r="CJL1" s="615"/>
      <c r="CJM1" s="615"/>
      <c r="CJN1" s="615"/>
      <c r="CJO1" s="615"/>
      <c r="CJP1" s="615"/>
      <c r="CJQ1" s="615"/>
      <c r="CJR1" s="615"/>
      <c r="CJS1" s="615"/>
      <c r="CJT1" s="615"/>
      <c r="CJU1" s="615"/>
      <c r="CJV1" s="615"/>
      <c r="CJW1" s="615"/>
      <c r="CJX1" s="615"/>
      <c r="CJY1" s="615"/>
      <c r="CJZ1" s="615"/>
      <c r="CKA1" s="615"/>
      <c r="CKB1" s="615"/>
      <c r="CKC1" s="615"/>
      <c r="CKD1" s="615"/>
      <c r="CKE1" s="615"/>
      <c r="CKF1" s="615"/>
      <c r="CKG1" s="615"/>
      <c r="CKH1" s="615"/>
      <c r="CKI1" s="615"/>
      <c r="CKJ1" s="615"/>
      <c r="CKK1" s="615"/>
      <c r="CKL1" s="615"/>
      <c r="CKM1" s="615"/>
      <c r="CKN1" s="615"/>
      <c r="CKO1" s="615"/>
      <c r="CKP1" s="615"/>
      <c r="CKQ1" s="615"/>
      <c r="CKR1" s="615"/>
      <c r="CKS1" s="615"/>
      <c r="CKT1" s="615"/>
      <c r="CKU1" s="615"/>
      <c r="CKV1" s="615"/>
      <c r="CKW1" s="615"/>
      <c r="CKX1" s="615"/>
      <c r="CKY1" s="615"/>
      <c r="CKZ1" s="615"/>
      <c r="CLA1" s="615"/>
      <c r="CLB1" s="615"/>
      <c r="CLC1" s="615"/>
      <c r="CLD1" s="615"/>
      <c r="CLE1" s="615"/>
      <c r="CLF1" s="615"/>
      <c r="CLG1" s="615"/>
      <c r="CLH1" s="615"/>
      <c r="CLI1" s="615"/>
      <c r="CLJ1" s="615"/>
      <c r="CLK1" s="615"/>
      <c r="CLL1" s="615"/>
      <c r="CLM1" s="615"/>
      <c r="CLN1" s="615"/>
      <c r="CLO1" s="615"/>
      <c r="CLP1" s="615"/>
      <c r="CLQ1" s="615"/>
      <c r="CLR1" s="615"/>
      <c r="CLS1" s="615"/>
      <c r="CLT1" s="615"/>
      <c r="CLU1" s="615"/>
      <c r="CLV1" s="615"/>
      <c r="CLW1" s="615"/>
      <c r="CLX1" s="615"/>
      <c r="CLY1" s="615"/>
      <c r="CLZ1" s="615"/>
      <c r="CMA1" s="615"/>
      <c r="CMB1" s="615"/>
      <c r="CMC1" s="615"/>
      <c r="CMD1" s="615"/>
      <c r="CME1" s="615"/>
      <c r="CMF1" s="615"/>
      <c r="CMG1" s="615"/>
      <c r="CMH1" s="615"/>
      <c r="CMI1" s="615"/>
      <c r="CMJ1" s="615"/>
      <c r="CMK1" s="615"/>
      <c r="CML1" s="615"/>
      <c r="CMM1" s="615"/>
      <c r="CMN1" s="615"/>
      <c r="CMO1" s="615"/>
      <c r="CMP1" s="615"/>
      <c r="CMQ1" s="615"/>
      <c r="CMR1" s="615"/>
      <c r="CMS1" s="615"/>
      <c r="CMT1" s="615"/>
      <c r="CMU1" s="615"/>
      <c r="CMV1" s="615"/>
      <c r="CMW1" s="615"/>
      <c r="CMX1" s="615"/>
      <c r="CMY1" s="615"/>
      <c r="CMZ1" s="615"/>
      <c r="CNA1" s="615"/>
      <c r="CNB1" s="615"/>
      <c r="CNC1" s="615"/>
      <c r="CND1" s="615"/>
      <c r="CNE1" s="615"/>
      <c r="CNF1" s="615"/>
      <c r="CNG1" s="615"/>
      <c r="CNH1" s="615"/>
      <c r="CNI1" s="615"/>
      <c r="CNJ1" s="615"/>
      <c r="CNK1" s="615"/>
      <c r="CNL1" s="615"/>
      <c r="CNM1" s="615"/>
      <c r="CNN1" s="615"/>
      <c r="CNO1" s="615"/>
      <c r="CNP1" s="615"/>
      <c r="CNQ1" s="615"/>
      <c r="CNR1" s="615"/>
      <c r="CNS1" s="615"/>
      <c r="CNT1" s="615"/>
      <c r="CNU1" s="615"/>
      <c r="CNV1" s="615"/>
      <c r="CNW1" s="615"/>
      <c r="CNX1" s="615"/>
      <c r="CNY1" s="615"/>
      <c r="CNZ1" s="615"/>
      <c r="COA1" s="615"/>
      <c r="COB1" s="615"/>
      <c r="COC1" s="615"/>
      <c r="COD1" s="615"/>
      <c r="COE1" s="615"/>
      <c r="COF1" s="615"/>
      <c r="COG1" s="615"/>
      <c r="COH1" s="615"/>
      <c r="COI1" s="615"/>
      <c r="COJ1" s="615"/>
      <c r="COK1" s="615"/>
      <c r="COL1" s="615"/>
      <c r="COM1" s="615"/>
      <c r="CON1" s="615"/>
      <c r="COO1" s="615"/>
      <c r="COP1" s="615"/>
      <c r="COQ1" s="615"/>
      <c r="COR1" s="615"/>
      <c r="COS1" s="615"/>
      <c r="COT1" s="615"/>
      <c r="COU1" s="615"/>
      <c r="COV1" s="615"/>
      <c r="COW1" s="615"/>
      <c r="COX1" s="615"/>
      <c r="COY1" s="615"/>
      <c r="COZ1" s="615"/>
      <c r="CPA1" s="615"/>
      <c r="CPB1" s="615"/>
      <c r="CPC1" s="615"/>
      <c r="CPD1" s="615"/>
      <c r="CPE1" s="615"/>
      <c r="CPF1" s="615"/>
      <c r="CPG1" s="615"/>
      <c r="CPH1" s="615"/>
      <c r="CPI1" s="615"/>
      <c r="CPJ1" s="615"/>
      <c r="CPK1" s="615"/>
      <c r="CPL1" s="615"/>
      <c r="CPM1" s="615"/>
      <c r="CPN1" s="615"/>
      <c r="CPO1" s="615"/>
      <c r="CPP1" s="615"/>
      <c r="CPQ1" s="615"/>
      <c r="CPR1" s="615"/>
      <c r="CPS1" s="615"/>
      <c r="CPT1" s="615"/>
      <c r="CPU1" s="615"/>
      <c r="CPV1" s="615"/>
      <c r="CPW1" s="615"/>
      <c r="CPX1" s="615"/>
      <c r="CPY1" s="615"/>
      <c r="CPZ1" s="615"/>
      <c r="CQA1" s="615"/>
      <c r="CQB1" s="615"/>
      <c r="CQC1" s="615"/>
      <c r="CQD1" s="615"/>
      <c r="CQE1" s="615"/>
      <c r="CQF1" s="615"/>
      <c r="CQG1" s="615"/>
      <c r="CQH1" s="615"/>
      <c r="CQI1" s="615"/>
      <c r="CQJ1" s="615"/>
      <c r="CQK1" s="615"/>
      <c r="CQL1" s="615"/>
      <c r="CQM1" s="615"/>
      <c r="CQN1" s="615"/>
      <c r="CQO1" s="615"/>
      <c r="CQP1" s="615"/>
      <c r="CQQ1" s="615"/>
      <c r="CQR1" s="615"/>
      <c r="CQS1" s="615"/>
      <c r="CQT1" s="615"/>
      <c r="CQU1" s="615"/>
      <c r="CQV1" s="615"/>
      <c r="CQW1" s="615"/>
      <c r="CQX1" s="615"/>
      <c r="CQY1" s="615"/>
      <c r="CQZ1" s="615"/>
      <c r="CRA1" s="615"/>
      <c r="CRB1" s="615"/>
      <c r="CRC1" s="615"/>
      <c r="CRD1" s="615"/>
      <c r="CRE1" s="615"/>
      <c r="CRF1" s="615"/>
      <c r="CRG1" s="615"/>
      <c r="CRH1" s="615"/>
      <c r="CRI1" s="615"/>
      <c r="CRJ1" s="615"/>
      <c r="CRK1" s="615"/>
      <c r="CRL1" s="615"/>
      <c r="CRM1" s="615"/>
      <c r="CRN1" s="615"/>
      <c r="CRO1" s="615"/>
      <c r="CRP1" s="615"/>
      <c r="CRQ1" s="615"/>
      <c r="CRR1" s="615"/>
      <c r="CRS1" s="615"/>
      <c r="CRT1" s="615"/>
      <c r="CRU1" s="615"/>
      <c r="CRV1" s="615"/>
      <c r="CRW1" s="615"/>
      <c r="CRX1" s="615"/>
      <c r="CRY1" s="615"/>
      <c r="CRZ1" s="615"/>
      <c r="CSA1" s="615"/>
      <c r="CSB1" s="615"/>
      <c r="CSC1" s="615"/>
      <c r="CSD1" s="615"/>
      <c r="CSE1" s="615"/>
      <c r="CSF1" s="615"/>
      <c r="CSG1" s="615"/>
      <c r="CSH1" s="615"/>
      <c r="CSI1" s="615"/>
      <c r="CSJ1" s="615"/>
      <c r="CSK1" s="615"/>
      <c r="CSL1" s="615"/>
      <c r="CSM1" s="615"/>
      <c r="CSN1" s="615"/>
      <c r="CSO1" s="615"/>
      <c r="CSP1" s="615"/>
      <c r="CSQ1" s="615"/>
      <c r="CSR1" s="615"/>
      <c r="CSS1" s="615"/>
      <c r="CST1" s="615"/>
      <c r="CSU1" s="615"/>
      <c r="CSV1" s="615"/>
      <c r="CSW1" s="615"/>
      <c r="CSX1" s="615"/>
      <c r="CSY1" s="615"/>
      <c r="CSZ1" s="615"/>
      <c r="CTA1" s="615"/>
      <c r="CTB1" s="615"/>
      <c r="CTC1" s="615"/>
      <c r="CTD1" s="615"/>
      <c r="CTE1" s="615"/>
      <c r="CTF1" s="615"/>
      <c r="CTG1" s="615"/>
      <c r="CTH1" s="615"/>
      <c r="CTI1" s="615"/>
      <c r="CTJ1" s="615"/>
      <c r="CTK1" s="615"/>
      <c r="CTL1" s="615"/>
      <c r="CTM1" s="615"/>
      <c r="CTN1" s="615"/>
      <c r="CTO1" s="615"/>
      <c r="CTP1" s="615"/>
      <c r="CTQ1" s="615"/>
      <c r="CTR1" s="615"/>
      <c r="CTS1" s="615"/>
      <c r="CTT1" s="615"/>
      <c r="CTU1" s="615"/>
      <c r="CTV1" s="615"/>
      <c r="CTW1" s="615"/>
      <c r="CTX1" s="615"/>
      <c r="CTY1" s="615"/>
      <c r="CTZ1" s="615"/>
      <c r="CUA1" s="615"/>
      <c r="CUB1" s="615"/>
      <c r="CUC1" s="615"/>
      <c r="CUD1" s="615"/>
      <c r="CUE1" s="615"/>
      <c r="CUF1" s="615"/>
      <c r="CUG1" s="615"/>
      <c r="CUH1" s="615"/>
      <c r="CUI1" s="615"/>
      <c r="CUJ1" s="615"/>
      <c r="CUK1" s="615"/>
      <c r="CUL1" s="615"/>
      <c r="CUM1" s="615"/>
      <c r="CUN1" s="615"/>
      <c r="CUO1" s="615"/>
      <c r="CUP1" s="615"/>
      <c r="CUQ1" s="615"/>
      <c r="CUR1" s="615"/>
      <c r="CUS1" s="615"/>
      <c r="CUT1" s="615"/>
      <c r="CUU1" s="615"/>
      <c r="CUV1" s="615"/>
      <c r="CUW1" s="615"/>
      <c r="CUX1" s="615"/>
      <c r="CUY1" s="615"/>
      <c r="CUZ1" s="615"/>
      <c r="CVA1" s="615"/>
      <c r="CVB1" s="615"/>
      <c r="CVC1" s="615"/>
      <c r="CVD1" s="615"/>
      <c r="CVE1" s="615"/>
      <c r="CVF1" s="615"/>
      <c r="CVG1" s="615"/>
      <c r="CVH1" s="615"/>
      <c r="CVI1" s="615"/>
      <c r="CVJ1" s="615"/>
      <c r="CVK1" s="615"/>
      <c r="CVL1" s="615"/>
      <c r="CVM1" s="615"/>
      <c r="CVN1" s="615"/>
      <c r="CVO1" s="615"/>
      <c r="CVP1" s="615"/>
      <c r="CVQ1" s="615"/>
      <c r="CVR1" s="615"/>
      <c r="CVS1" s="615"/>
      <c r="CVT1" s="615"/>
      <c r="CVU1" s="615"/>
      <c r="CVV1" s="615"/>
      <c r="CVW1" s="615"/>
      <c r="CVX1" s="615"/>
      <c r="CVY1" s="615"/>
      <c r="CVZ1" s="615"/>
      <c r="CWA1" s="615"/>
      <c r="CWB1" s="615"/>
      <c r="CWC1" s="615"/>
      <c r="CWD1" s="615"/>
      <c r="CWE1" s="615"/>
      <c r="CWF1" s="615"/>
      <c r="CWG1" s="615"/>
      <c r="CWH1" s="615"/>
      <c r="CWI1" s="615"/>
      <c r="CWJ1" s="615"/>
      <c r="CWK1" s="615"/>
      <c r="CWL1" s="615"/>
      <c r="CWM1" s="615"/>
      <c r="CWN1" s="615"/>
      <c r="CWO1" s="615"/>
      <c r="CWP1" s="615"/>
      <c r="CWQ1" s="615"/>
      <c r="CWR1" s="615"/>
      <c r="CWS1" s="615"/>
      <c r="CWT1" s="615"/>
      <c r="CWU1" s="615"/>
      <c r="CWV1" s="615"/>
      <c r="CWW1" s="615"/>
      <c r="CWX1" s="615"/>
      <c r="CWY1" s="615"/>
      <c r="CWZ1" s="615"/>
      <c r="CXA1" s="615"/>
      <c r="CXB1" s="615"/>
      <c r="CXC1" s="615"/>
      <c r="CXD1" s="615"/>
      <c r="CXE1" s="615"/>
      <c r="CXF1" s="615"/>
      <c r="CXG1" s="615"/>
      <c r="CXH1" s="615"/>
      <c r="CXI1" s="615"/>
      <c r="CXJ1" s="615"/>
      <c r="CXK1" s="615"/>
      <c r="CXL1" s="615"/>
      <c r="CXM1" s="615"/>
      <c r="CXN1" s="615"/>
      <c r="CXO1" s="615"/>
      <c r="CXP1" s="615"/>
      <c r="CXQ1" s="615"/>
      <c r="CXR1" s="615"/>
      <c r="CXS1" s="615"/>
      <c r="CXT1" s="615"/>
      <c r="CXU1" s="615"/>
      <c r="CXV1" s="615"/>
      <c r="CXW1" s="615"/>
      <c r="CXX1" s="615"/>
      <c r="CXY1" s="615"/>
      <c r="CXZ1" s="615"/>
      <c r="CYA1" s="615"/>
      <c r="CYB1" s="615"/>
      <c r="CYC1" s="615"/>
      <c r="CYD1" s="615"/>
      <c r="CYE1" s="615"/>
      <c r="CYF1" s="615"/>
      <c r="CYG1" s="615"/>
      <c r="CYH1" s="615"/>
      <c r="CYI1" s="615"/>
      <c r="CYJ1" s="615"/>
      <c r="CYK1" s="615"/>
      <c r="CYL1" s="615"/>
      <c r="CYM1" s="615"/>
      <c r="CYN1" s="615"/>
      <c r="CYO1" s="615"/>
      <c r="CYP1" s="615"/>
      <c r="CYQ1" s="615"/>
      <c r="CYR1" s="615"/>
      <c r="CYS1" s="615"/>
      <c r="CYT1" s="615"/>
      <c r="CYU1" s="615"/>
      <c r="CYV1" s="615"/>
      <c r="CYW1" s="615"/>
      <c r="CYX1" s="615"/>
      <c r="CYY1" s="615"/>
      <c r="CYZ1" s="615"/>
      <c r="CZA1" s="615"/>
      <c r="CZB1" s="615"/>
      <c r="CZC1" s="615"/>
      <c r="CZD1" s="615"/>
      <c r="CZE1" s="615"/>
      <c r="CZF1" s="615"/>
      <c r="CZG1" s="615"/>
      <c r="CZH1" s="615"/>
      <c r="CZI1" s="615"/>
      <c r="CZJ1" s="615"/>
      <c r="CZK1" s="615"/>
      <c r="CZL1" s="615"/>
      <c r="CZM1" s="615"/>
      <c r="CZN1" s="615"/>
      <c r="CZO1" s="615"/>
      <c r="CZP1" s="615"/>
      <c r="CZQ1" s="615"/>
      <c r="CZR1" s="615"/>
      <c r="CZS1" s="615"/>
      <c r="CZT1" s="615"/>
      <c r="CZU1" s="615"/>
      <c r="CZV1" s="615"/>
      <c r="CZW1" s="615"/>
      <c r="CZX1" s="615"/>
      <c r="CZY1" s="615"/>
      <c r="CZZ1" s="615"/>
      <c r="DAA1" s="615"/>
      <c r="DAB1" s="615"/>
      <c r="DAC1" s="615"/>
      <c r="DAD1" s="615"/>
      <c r="DAE1" s="615"/>
      <c r="DAF1" s="615"/>
      <c r="DAG1" s="615"/>
      <c r="DAH1" s="615"/>
      <c r="DAI1" s="615"/>
      <c r="DAJ1" s="615"/>
      <c r="DAK1" s="615"/>
      <c r="DAL1" s="615"/>
      <c r="DAM1" s="615"/>
      <c r="DAN1" s="615"/>
      <c r="DAO1" s="615"/>
      <c r="DAP1" s="615"/>
      <c r="DAQ1" s="615"/>
      <c r="DAR1" s="615"/>
      <c r="DAS1" s="615"/>
      <c r="DAT1" s="615"/>
      <c r="DAU1" s="615"/>
      <c r="DAV1" s="615"/>
      <c r="DAW1" s="615"/>
      <c r="DAX1" s="615"/>
      <c r="DAY1" s="615"/>
      <c r="DAZ1" s="615"/>
      <c r="DBA1" s="615"/>
      <c r="DBB1" s="615"/>
      <c r="DBC1" s="615"/>
      <c r="DBD1" s="615"/>
      <c r="DBE1" s="615"/>
      <c r="DBF1" s="615"/>
      <c r="DBG1" s="615"/>
      <c r="DBH1" s="615"/>
      <c r="DBI1" s="615"/>
      <c r="DBJ1" s="615"/>
      <c r="DBK1" s="615"/>
      <c r="DBL1" s="615"/>
      <c r="DBM1" s="615"/>
      <c r="DBN1" s="615"/>
      <c r="DBO1" s="615"/>
      <c r="DBP1" s="615"/>
      <c r="DBQ1" s="615"/>
      <c r="DBR1" s="615"/>
      <c r="DBS1" s="615"/>
      <c r="DBT1" s="615"/>
      <c r="DBU1" s="615"/>
      <c r="DBV1" s="615"/>
      <c r="DBW1" s="615"/>
      <c r="DBX1" s="615"/>
      <c r="DBY1" s="615"/>
      <c r="DBZ1" s="615"/>
      <c r="DCA1" s="615"/>
      <c r="DCB1" s="615"/>
      <c r="DCC1" s="615"/>
      <c r="DCD1" s="615"/>
      <c r="DCE1" s="615"/>
      <c r="DCF1" s="615"/>
      <c r="DCG1" s="615"/>
      <c r="DCH1" s="615"/>
      <c r="DCI1" s="615"/>
      <c r="DCJ1" s="615"/>
      <c r="DCK1" s="615"/>
      <c r="DCL1" s="615"/>
      <c r="DCM1" s="615"/>
      <c r="DCN1" s="615"/>
      <c r="DCO1" s="615"/>
      <c r="DCP1" s="615"/>
      <c r="DCQ1" s="615"/>
      <c r="DCR1" s="615"/>
      <c r="DCS1" s="615"/>
      <c r="DCT1" s="615"/>
      <c r="DCU1" s="615"/>
      <c r="DCV1" s="615"/>
      <c r="DCW1" s="615"/>
      <c r="DCX1" s="615"/>
      <c r="DCY1" s="615"/>
      <c r="DCZ1" s="615"/>
      <c r="DDA1" s="615"/>
      <c r="DDB1" s="615"/>
      <c r="DDC1" s="615"/>
      <c r="DDD1" s="615"/>
      <c r="DDE1" s="615"/>
      <c r="DDF1" s="615"/>
      <c r="DDG1" s="615"/>
      <c r="DDH1" s="615"/>
      <c r="DDI1" s="615"/>
      <c r="DDJ1" s="615"/>
      <c r="DDK1" s="615"/>
      <c r="DDL1" s="615"/>
      <c r="DDM1" s="615"/>
      <c r="DDN1" s="615"/>
      <c r="DDO1" s="615"/>
      <c r="DDP1" s="615"/>
      <c r="DDQ1" s="615"/>
      <c r="DDR1" s="615"/>
      <c r="DDS1" s="615"/>
      <c r="DDT1" s="615"/>
      <c r="DDU1" s="615"/>
      <c r="DDV1" s="615"/>
      <c r="DDW1" s="615"/>
      <c r="DDX1" s="615"/>
      <c r="DDY1" s="615"/>
      <c r="DDZ1" s="615"/>
      <c r="DEA1" s="615"/>
      <c r="DEB1" s="615"/>
      <c r="DEC1" s="615"/>
      <c r="DED1" s="615"/>
      <c r="DEE1" s="615"/>
      <c r="DEF1" s="615"/>
      <c r="DEG1" s="615"/>
      <c r="DEH1" s="615"/>
      <c r="DEI1" s="615"/>
      <c r="DEJ1" s="615"/>
      <c r="DEK1" s="615"/>
      <c r="DEL1" s="615"/>
      <c r="DEM1" s="615"/>
      <c r="DEN1" s="615"/>
      <c r="DEO1" s="615"/>
      <c r="DEP1" s="615"/>
      <c r="DEQ1" s="615"/>
      <c r="DER1" s="615"/>
      <c r="DES1" s="615"/>
      <c r="DET1" s="615"/>
      <c r="DEU1" s="615"/>
      <c r="DEV1" s="615"/>
      <c r="DEW1" s="615"/>
      <c r="DEX1" s="615"/>
      <c r="DEY1" s="615"/>
      <c r="DEZ1" s="615"/>
      <c r="DFA1" s="615"/>
      <c r="DFB1" s="615"/>
      <c r="DFC1" s="615"/>
      <c r="DFD1" s="615"/>
      <c r="DFE1" s="615"/>
      <c r="DFF1" s="615"/>
      <c r="DFG1" s="615"/>
      <c r="DFH1" s="615"/>
      <c r="DFI1" s="615"/>
      <c r="DFJ1" s="615"/>
      <c r="DFK1" s="615"/>
      <c r="DFL1" s="615"/>
      <c r="DFM1" s="615"/>
      <c r="DFN1" s="615"/>
      <c r="DFO1" s="615"/>
      <c r="DFP1" s="615"/>
      <c r="DFQ1" s="615"/>
      <c r="DFR1" s="615"/>
      <c r="DFS1" s="615"/>
      <c r="DFT1" s="615"/>
      <c r="DFU1" s="615"/>
      <c r="DFV1" s="615"/>
      <c r="DFW1" s="615"/>
      <c r="DFX1" s="615"/>
      <c r="DFY1" s="615"/>
      <c r="DFZ1" s="615"/>
      <c r="DGA1" s="615"/>
      <c r="DGB1" s="615"/>
      <c r="DGC1" s="615"/>
      <c r="DGD1" s="615"/>
      <c r="DGE1" s="615"/>
      <c r="DGF1" s="615"/>
      <c r="DGG1" s="615"/>
      <c r="DGH1" s="615"/>
      <c r="DGI1" s="615"/>
      <c r="DGJ1" s="615"/>
      <c r="DGK1" s="615"/>
      <c r="DGL1" s="615"/>
      <c r="DGM1" s="615"/>
      <c r="DGN1" s="615"/>
      <c r="DGO1" s="615"/>
      <c r="DGP1" s="615"/>
      <c r="DGQ1" s="615"/>
      <c r="DGR1" s="615"/>
      <c r="DGS1" s="615"/>
      <c r="DGT1" s="615"/>
      <c r="DGU1" s="615"/>
      <c r="DGV1" s="615"/>
      <c r="DGW1" s="615"/>
      <c r="DGX1" s="615"/>
      <c r="DGY1" s="615"/>
      <c r="DGZ1" s="615"/>
      <c r="DHA1" s="615"/>
      <c r="DHB1" s="615"/>
      <c r="DHC1" s="615"/>
      <c r="DHD1" s="615"/>
      <c r="DHE1" s="615"/>
      <c r="DHF1" s="615"/>
      <c r="DHG1" s="615"/>
      <c r="DHH1" s="615"/>
      <c r="DHI1" s="615"/>
      <c r="DHJ1" s="615"/>
      <c r="DHK1" s="615"/>
      <c r="DHL1" s="615"/>
      <c r="DHM1" s="615"/>
      <c r="DHN1" s="615"/>
      <c r="DHO1" s="615"/>
      <c r="DHP1" s="615"/>
      <c r="DHQ1" s="615"/>
      <c r="DHR1" s="615"/>
      <c r="DHS1" s="615"/>
      <c r="DHT1" s="615"/>
      <c r="DHU1" s="615"/>
      <c r="DHV1" s="615"/>
      <c r="DHW1" s="615"/>
      <c r="DHX1" s="615"/>
      <c r="DHY1" s="615"/>
      <c r="DHZ1" s="615"/>
      <c r="DIA1" s="615"/>
      <c r="DIB1" s="615"/>
      <c r="DIC1" s="615"/>
      <c r="DID1" s="615"/>
      <c r="DIE1" s="615"/>
      <c r="DIF1" s="615"/>
      <c r="DIG1" s="615"/>
      <c r="DIH1" s="615"/>
      <c r="DII1" s="615"/>
      <c r="DIJ1" s="615"/>
      <c r="DIK1" s="615"/>
      <c r="DIL1" s="615"/>
      <c r="DIM1" s="615"/>
      <c r="DIN1" s="615"/>
      <c r="DIO1" s="615"/>
      <c r="DIP1" s="615"/>
      <c r="DIQ1" s="615"/>
      <c r="DIR1" s="615"/>
      <c r="DIS1" s="615"/>
      <c r="DIT1" s="615"/>
      <c r="DIU1" s="615"/>
      <c r="DIV1" s="615"/>
      <c r="DIW1" s="615"/>
      <c r="DIX1" s="615"/>
      <c r="DIY1" s="615"/>
      <c r="DIZ1" s="615"/>
      <c r="DJA1" s="615"/>
      <c r="DJB1" s="615"/>
      <c r="DJC1" s="615"/>
      <c r="DJD1" s="615"/>
      <c r="DJE1" s="615"/>
      <c r="DJF1" s="615"/>
      <c r="DJG1" s="615"/>
      <c r="DJH1" s="615"/>
      <c r="DJI1" s="615"/>
      <c r="DJJ1" s="615"/>
      <c r="DJK1" s="615"/>
      <c r="DJL1" s="615"/>
      <c r="DJM1" s="615"/>
      <c r="DJN1" s="615"/>
      <c r="DJO1" s="615"/>
      <c r="DJP1" s="615"/>
      <c r="DJQ1" s="615"/>
      <c r="DJR1" s="615"/>
      <c r="DJS1" s="615"/>
      <c r="DJT1" s="615"/>
      <c r="DJU1" s="615"/>
      <c r="DJV1" s="615"/>
      <c r="DJW1" s="615"/>
      <c r="DJX1" s="615"/>
      <c r="DJY1" s="615"/>
      <c r="DJZ1" s="615"/>
      <c r="DKA1" s="615"/>
      <c r="DKB1" s="615"/>
      <c r="DKC1" s="615"/>
      <c r="DKD1" s="615"/>
      <c r="DKE1" s="615"/>
      <c r="DKF1" s="615"/>
      <c r="DKG1" s="615"/>
      <c r="DKH1" s="615"/>
      <c r="DKI1" s="615"/>
      <c r="DKJ1" s="615"/>
      <c r="DKK1" s="615"/>
      <c r="DKL1" s="615"/>
      <c r="DKM1" s="615"/>
      <c r="DKN1" s="615"/>
      <c r="DKO1" s="615"/>
      <c r="DKP1" s="615"/>
      <c r="DKQ1" s="615"/>
      <c r="DKR1" s="615"/>
      <c r="DKS1" s="615"/>
      <c r="DKT1" s="615"/>
      <c r="DKU1" s="615"/>
      <c r="DKV1" s="615"/>
      <c r="DKW1" s="615"/>
      <c r="DKX1" s="615"/>
      <c r="DKY1" s="615"/>
      <c r="DKZ1" s="615"/>
      <c r="DLA1" s="615"/>
      <c r="DLB1" s="615"/>
      <c r="DLC1" s="615"/>
      <c r="DLD1" s="615"/>
      <c r="DLE1" s="615"/>
      <c r="DLF1" s="615"/>
      <c r="DLG1" s="615"/>
      <c r="DLH1" s="615"/>
      <c r="DLI1" s="615"/>
      <c r="DLJ1" s="615"/>
      <c r="DLK1" s="615"/>
      <c r="DLL1" s="615"/>
      <c r="DLM1" s="615"/>
      <c r="DLN1" s="615"/>
      <c r="DLO1" s="615"/>
      <c r="DLP1" s="615"/>
      <c r="DLQ1" s="615"/>
      <c r="DLR1" s="615"/>
      <c r="DLS1" s="615"/>
      <c r="DLT1" s="615"/>
      <c r="DLU1" s="615"/>
      <c r="DLV1" s="615"/>
      <c r="DLW1" s="615"/>
      <c r="DLX1" s="615"/>
      <c r="DLY1" s="615"/>
      <c r="DLZ1" s="615"/>
      <c r="DMA1" s="615"/>
      <c r="DMB1" s="615"/>
      <c r="DMC1" s="615"/>
      <c r="DMD1" s="615"/>
      <c r="DME1" s="615"/>
      <c r="DMF1" s="615"/>
      <c r="DMG1" s="615"/>
      <c r="DMH1" s="615"/>
      <c r="DMI1" s="615"/>
      <c r="DMJ1" s="615"/>
      <c r="DMK1" s="615"/>
      <c r="DML1" s="615"/>
      <c r="DMM1" s="615"/>
      <c r="DMN1" s="615"/>
      <c r="DMO1" s="615"/>
      <c r="DMP1" s="615"/>
      <c r="DMQ1" s="615"/>
      <c r="DMR1" s="615"/>
      <c r="DMS1" s="615"/>
      <c r="DMT1" s="615"/>
      <c r="DMU1" s="615"/>
      <c r="DMV1" s="615"/>
      <c r="DMW1" s="615"/>
      <c r="DMX1" s="615"/>
      <c r="DMY1" s="615"/>
      <c r="DMZ1" s="615"/>
      <c r="DNA1" s="615"/>
      <c r="DNB1" s="615"/>
      <c r="DNC1" s="615"/>
      <c r="DND1" s="615"/>
      <c r="DNE1" s="615"/>
      <c r="DNF1" s="615"/>
      <c r="DNG1" s="615"/>
      <c r="DNH1" s="615"/>
      <c r="DNI1" s="615"/>
      <c r="DNJ1" s="615"/>
      <c r="DNK1" s="615"/>
      <c r="DNL1" s="615"/>
      <c r="DNM1" s="615"/>
      <c r="DNN1" s="615"/>
      <c r="DNO1" s="615"/>
      <c r="DNP1" s="615"/>
      <c r="DNQ1" s="615"/>
      <c r="DNR1" s="615"/>
      <c r="DNS1" s="615"/>
      <c r="DNT1" s="615"/>
      <c r="DNU1" s="615"/>
      <c r="DNV1" s="615"/>
      <c r="DNW1" s="615"/>
      <c r="DNX1" s="615"/>
      <c r="DNY1" s="615"/>
      <c r="DNZ1" s="615"/>
      <c r="DOA1" s="615"/>
      <c r="DOB1" s="615"/>
      <c r="DOC1" s="615"/>
      <c r="DOD1" s="615"/>
      <c r="DOE1" s="615"/>
      <c r="DOF1" s="615"/>
      <c r="DOG1" s="615"/>
      <c r="DOH1" s="615"/>
      <c r="DOI1" s="615"/>
      <c r="DOJ1" s="615"/>
      <c r="DOK1" s="615"/>
      <c r="DOL1" s="615"/>
      <c r="DOM1" s="615"/>
      <c r="DON1" s="615"/>
      <c r="DOO1" s="615"/>
      <c r="DOP1" s="615"/>
      <c r="DOQ1" s="615"/>
      <c r="DOR1" s="615"/>
      <c r="DOS1" s="615"/>
      <c r="DOT1" s="615"/>
      <c r="DOU1" s="615"/>
      <c r="DOV1" s="615"/>
      <c r="DOW1" s="615"/>
      <c r="DOX1" s="615"/>
      <c r="DOY1" s="615"/>
      <c r="DOZ1" s="615"/>
      <c r="DPA1" s="615"/>
      <c r="DPB1" s="615"/>
      <c r="DPC1" s="615"/>
      <c r="DPD1" s="615"/>
      <c r="DPE1" s="615"/>
      <c r="DPF1" s="615"/>
      <c r="DPG1" s="615"/>
      <c r="DPH1" s="615"/>
      <c r="DPI1" s="615"/>
      <c r="DPJ1" s="615"/>
      <c r="DPK1" s="615"/>
      <c r="DPL1" s="615"/>
      <c r="DPM1" s="615"/>
      <c r="DPN1" s="615"/>
      <c r="DPO1" s="615"/>
      <c r="DPP1" s="615"/>
      <c r="DPQ1" s="615"/>
      <c r="DPR1" s="615"/>
      <c r="DPS1" s="615"/>
      <c r="DPT1" s="615"/>
      <c r="DPU1" s="615"/>
      <c r="DPV1" s="615"/>
      <c r="DPW1" s="615"/>
      <c r="DPX1" s="615"/>
      <c r="DPY1" s="615"/>
      <c r="DPZ1" s="615"/>
      <c r="DQA1" s="615"/>
      <c r="DQB1" s="615"/>
      <c r="DQC1" s="615"/>
      <c r="DQD1" s="615"/>
      <c r="DQE1" s="615"/>
      <c r="DQF1" s="615"/>
      <c r="DQG1" s="615"/>
      <c r="DQH1" s="615"/>
      <c r="DQI1" s="615"/>
      <c r="DQJ1" s="615"/>
      <c r="DQK1" s="615"/>
      <c r="DQL1" s="615"/>
      <c r="DQM1" s="615"/>
      <c r="DQN1" s="615"/>
      <c r="DQO1" s="615"/>
      <c r="DQP1" s="615"/>
      <c r="DQQ1" s="615"/>
      <c r="DQR1" s="615"/>
      <c r="DQS1" s="615"/>
      <c r="DQT1" s="615"/>
      <c r="DQU1" s="615"/>
      <c r="DQV1" s="615"/>
      <c r="DQW1" s="615"/>
      <c r="DQX1" s="615"/>
      <c r="DQY1" s="615"/>
      <c r="DQZ1" s="615"/>
      <c r="DRA1" s="615"/>
      <c r="DRB1" s="615"/>
      <c r="DRC1" s="615"/>
      <c r="DRD1" s="615"/>
      <c r="DRE1" s="615"/>
      <c r="DRF1" s="615"/>
      <c r="DRG1" s="615"/>
      <c r="DRH1" s="615"/>
      <c r="DRI1" s="615"/>
      <c r="DRJ1" s="615"/>
      <c r="DRK1" s="615"/>
      <c r="DRL1" s="615"/>
      <c r="DRM1" s="615"/>
      <c r="DRN1" s="615"/>
      <c r="DRO1" s="615"/>
      <c r="DRP1" s="615"/>
      <c r="DRQ1" s="615"/>
      <c r="DRR1" s="615"/>
      <c r="DRS1" s="615"/>
      <c r="DRT1" s="615"/>
      <c r="DRU1" s="615"/>
      <c r="DRV1" s="615"/>
      <c r="DRW1" s="615"/>
      <c r="DRX1" s="615"/>
      <c r="DRY1" s="615"/>
      <c r="DRZ1" s="615"/>
      <c r="DSA1" s="615"/>
      <c r="DSB1" s="615"/>
      <c r="DSC1" s="615"/>
      <c r="DSD1" s="615"/>
      <c r="DSE1" s="615"/>
      <c r="DSF1" s="615"/>
      <c r="DSG1" s="615"/>
      <c r="DSH1" s="615"/>
      <c r="DSI1" s="615"/>
      <c r="DSJ1" s="615"/>
      <c r="DSK1" s="615"/>
      <c r="DSL1" s="615"/>
      <c r="DSM1" s="615"/>
      <c r="DSN1" s="615"/>
      <c r="DSO1" s="615"/>
      <c r="DSP1" s="615"/>
      <c r="DSQ1" s="615"/>
      <c r="DSR1" s="615"/>
      <c r="DSS1" s="615"/>
      <c r="DST1" s="615"/>
      <c r="DSU1" s="615"/>
      <c r="DSV1" s="615"/>
      <c r="DSW1" s="615"/>
      <c r="DSX1" s="615"/>
      <c r="DSY1" s="615"/>
      <c r="DSZ1" s="615"/>
      <c r="DTA1" s="615"/>
      <c r="DTB1" s="615"/>
      <c r="DTC1" s="615"/>
      <c r="DTD1" s="615"/>
      <c r="DTE1" s="615"/>
      <c r="DTF1" s="615"/>
      <c r="DTG1" s="615"/>
      <c r="DTH1" s="615"/>
      <c r="DTI1" s="615"/>
      <c r="DTJ1" s="615"/>
      <c r="DTK1" s="615"/>
      <c r="DTL1" s="615"/>
      <c r="DTM1" s="615"/>
      <c r="DTN1" s="615"/>
      <c r="DTO1" s="615"/>
      <c r="DTP1" s="615"/>
      <c r="DTQ1" s="615"/>
      <c r="DTR1" s="615"/>
      <c r="DTS1" s="615"/>
      <c r="DTT1" s="615"/>
      <c r="DTU1" s="615"/>
      <c r="DTV1" s="615"/>
      <c r="DTW1" s="615"/>
      <c r="DTX1" s="615"/>
      <c r="DTY1" s="615"/>
      <c r="DTZ1" s="615"/>
      <c r="DUA1" s="615"/>
      <c r="DUB1" s="615"/>
      <c r="DUC1" s="615"/>
      <c r="DUD1" s="615"/>
      <c r="DUE1" s="615"/>
      <c r="DUF1" s="615"/>
      <c r="DUG1" s="615"/>
      <c r="DUH1" s="615"/>
      <c r="DUI1" s="615"/>
      <c r="DUJ1" s="615"/>
      <c r="DUK1" s="615"/>
      <c r="DUL1" s="615"/>
      <c r="DUM1" s="615"/>
      <c r="DUN1" s="615"/>
      <c r="DUO1" s="615"/>
      <c r="DUP1" s="615"/>
      <c r="DUQ1" s="615"/>
      <c r="DUR1" s="615"/>
      <c r="DUS1" s="615"/>
      <c r="DUT1" s="615"/>
      <c r="DUU1" s="615"/>
      <c r="DUV1" s="615"/>
      <c r="DUW1" s="615"/>
      <c r="DUX1" s="615"/>
      <c r="DUY1" s="615"/>
      <c r="DUZ1" s="615"/>
      <c r="DVA1" s="615"/>
      <c r="DVB1" s="615"/>
      <c r="DVC1" s="615"/>
      <c r="DVD1" s="615"/>
      <c r="DVE1" s="615"/>
      <c r="DVF1" s="615"/>
      <c r="DVG1" s="615"/>
      <c r="DVH1" s="615"/>
      <c r="DVI1" s="615"/>
      <c r="DVJ1" s="615"/>
      <c r="DVK1" s="615"/>
      <c r="DVL1" s="615"/>
      <c r="DVM1" s="615"/>
      <c r="DVN1" s="615"/>
      <c r="DVO1" s="615"/>
      <c r="DVP1" s="615"/>
      <c r="DVQ1" s="615"/>
      <c r="DVR1" s="615"/>
      <c r="DVS1" s="615"/>
      <c r="DVT1" s="615"/>
      <c r="DVU1" s="615"/>
      <c r="DVV1" s="615"/>
      <c r="DVW1" s="615"/>
      <c r="DVX1" s="615"/>
      <c r="DVY1" s="615"/>
      <c r="DVZ1" s="615"/>
      <c r="DWA1" s="615"/>
      <c r="DWB1" s="615"/>
      <c r="DWC1" s="615"/>
      <c r="DWD1" s="615"/>
      <c r="DWE1" s="615"/>
      <c r="DWF1" s="615"/>
      <c r="DWG1" s="615"/>
      <c r="DWH1" s="615"/>
      <c r="DWI1" s="615"/>
      <c r="DWJ1" s="615"/>
      <c r="DWK1" s="615"/>
      <c r="DWL1" s="615"/>
      <c r="DWM1" s="615"/>
      <c r="DWN1" s="615"/>
      <c r="DWO1" s="615"/>
      <c r="DWP1" s="615"/>
      <c r="DWQ1" s="615"/>
      <c r="DWR1" s="615"/>
      <c r="DWS1" s="615"/>
      <c r="DWT1" s="615"/>
      <c r="DWU1" s="615"/>
      <c r="DWV1" s="615"/>
      <c r="DWW1" s="615"/>
      <c r="DWX1" s="615"/>
      <c r="DWY1" s="615"/>
      <c r="DWZ1" s="615"/>
      <c r="DXA1" s="615"/>
      <c r="DXB1" s="615"/>
      <c r="DXC1" s="615"/>
      <c r="DXD1" s="615"/>
      <c r="DXE1" s="615"/>
      <c r="DXF1" s="615"/>
      <c r="DXG1" s="615"/>
      <c r="DXH1" s="615"/>
      <c r="DXI1" s="615"/>
      <c r="DXJ1" s="615"/>
      <c r="DXK1" s="615"/>
      <c r="DXL1" s="615"/>
      <c r="DXM1" s="615"/>
      <c r="DXN1" s="615"/>
      <c r="DXO1" s="615"/>
      <c r="DXP1" s="615"/>
      <c r="DXQ1" s="615"/>
      <c r="DXR1" s="615"/>
      <c r="DXS1" s="615"/>
      <c r="DXT1" s="615"/>
      <c r="DXU1" s="615"/>
      <c r="DXV1" s="615"/>
      <c r="DXW1" s="615"/>
      <c r="DXX1" s="615"/>
      <c r="DXY1" s="615"/>
      <c r="DXZ1" s="615"/>
      <c r="DYA1" s="615"/>
      <c r="DYB1" s="615"/>
      <c r="DYC1" s="615"/>
      <c r="DYD1" s="615"/>
      <c r="DYE1" s="615"/>
      <c r="DYF1" s="615"/>
      <c r="DYG1" s="615"/>
      <c r="DYH1" s="615"/>
      <c r="DYI1" s="615"/>
      <c r="DYJ1" s="615"/>
      <c r="DYK1" s="615"/>
      <c r="DYL1" s="615"/>
      <c r="DYM1" s="615"/>
      <c r="DYN1" s="615"/>
      <c r="DYO1" s="615"/>
      <c r="DYP1" s="615"/>
      <c r="DYQ1" s="615"/>
      <c r="DYR1" s="615"/>
      <c r="DYS1" s="615"/>
      <c r="DYT1" s="615"/>
      <c r="DYU1" s="615"/>
      <c r="DYV1" s="615"/>
      <c r="DYW1" s="615"/>
      <c r="DYX1" s="615"/>
      <c r="DYY1" s="615"/>
      <c r="DYZ1" s="615"/>
      <c r="DZA1" s="615"/>
      <c r="DZB1" s="615"/>
      <c r="DZC1" s="615"/>
      <c r="DZD1" s="615"/>
      <c r="DZE1" s="615"/>
      <c r="DZF1" s="615"/>
      <c r="DZG1" s="615"/>
      <c r="DZH1" s="615"/>
      <c r="DZI1" s="615"/>
      <c r="DZJ1" s="615"/>
      <c r="DZK1" s="615"/>
      <c r="DZL1" s="615"/>
      <c r="DZM1" s="615"/>
      <c r="DZN1" s="615"/>
      <c r="DZO1" s="615"/>
      <c r="DZP1" s="615"/>
      <c r="DZQ1" s="615"/>
      <c r="DZR1" s="615"/>
      <c r="DZS1" s="615"/>
      <c r="DZT1" s="615"/>
      <c r="DZU1" s="615"/>
      <c r="DZV1" s="615"/>
      <c r="DZW1" s="615"/>
      <c r="DZX1" s="615"/>
      <c r="DZY1" s="615"/>
      <c r="DZZ1" s="615"/>
      <c r="EAA1" s="615"/>
      <c r="EAB1" s="615"/>
      <c r="EAC1" s="615"/>
      <c r="EAD1" s="615"/>
      <c r="EAE1" s="615"/>
      <c r="EAF1" s="615"/>
      <c r="EAG1" s="615"/>
      <c r="EAH1" s="615"/>
      <c r="EAI1" s="615"/>
      <c r="EAJ1" s="615"/>
      <c r="EAK1" s="615"/>
      <c r="EAL1" s="615"/>
      <c r="EAM1" s="615"/>
      <c r="EAN1" s="615"/>
      <c r="EAO1" s="615"/>
      <c r="EAP1" s="615"/>
      <c r="EAQ1" s="615"/>
      <c r="EAR1" s="615"/>
      <c r="EAS1" s="615"/>
      <c r="EAT1" s="615"/>
      <c r="EAU1" s="615"/>
      <c r="EAV1" s="615"/>
      <c r="EAW1" s="615"/>
      <c r="EAX1" s="615"/>
      <c r="EAY1" s="615"/>
      <c r="EAZ1" s="615"/>
      <c r="EBA1" s="615"/>
      <c r="EBB1" s="615"/>
      <c r="EBC1" s="615"/>
      <c r="EBD1" s="615"/>
      <c r="EBE1" s="615"/>
      <c r="EBF1" s="615"/>
      <c r="EBG1" s="615"/>
      <c r="EBH1" s="615"/>
      <c r="EBI1" s="615"/>
      <c r="EBJ1" s="615"/>
      <c r="EBK1" s="615"/>
      <c r="EBL1" s="615"/>
      <c r="EBM1" s="615"/>
      <c r="EBN1" s="615"/>
      <c r="EBO1" s="615"/>
      <c r="EBP1" s="615"/>
      <c r="EBQ1" s="615"/>
      <c r="EBR1" s="615"/>
      <c r="EBS1" s="615"/>
      <c r="EBT1" s="615"/>
      <c r="EBU1" s="615"/>
      <c r="EBV1" s="615"/>
      <c r="EBW1" s="615"/>
      <c r="EBX1" s="615"/>
      <c r="EBY1" s="615"/>
      <c r="EBZ1" s="615"/>
      <c r="ECA1" s="615"/>
      <c r="ECB1" s="615"/>
      <c r="ECC1" s="615"/>
      <c r="ECD1" s="615"/>
      <c r="ECE1" s="615"/>
      <c r="ECF1" s="615"/>
      <c r="ECG1" s="615"/>
      <c r="ECH1" s="615"/>
      <c r="ECI1" s="615"/>
      <c r="ECJ1" s="615"/>
      <c r="ECK1" s="615"/>
      <c r="ECL1" s="615"/>
      <c r="ECM1" s="615"/>
      <c r="ECN1" s="615"/>
      <c r="ECO1" s="615"/>
      <c r="ECP1" s="615"/>
      <c r="ECQ1" s="615"/>
      <c r="ECR1" s="615"/>
      <c r="ECS1" s="615"/>
      <c r="ECT1" s="615"/>
      <c r="ECU1" s="615"/>
      <c r="ECV1" s="615"/>
      <c r="ECW1" s="615"/>
      <c r="ECX1" s="615"/>
      <c r="ECY1" s="615"/>
      <c r="ECZ1" s="615"/>
      <c r="EDA1" s="615"/>
      <c r="EDB1" s="615"/>
      <c r="EDC1" s="615"/>
      <c r="EDD1" s="615"/>
      <c r="EDE1" s="615"/>
      <c r="EDF1" s="615"/>
      <c r="EDG1" s="615"/>
      <c r="EDH1" s="615"/>
      <c r="EDI1" s="615"/>
      <c r="EDJ1" s="615"/>
      <c r="EDK1" s="615"/>
      <c r="EDL1" s="615"/>
      <c r="EDM1" s="615"/>
      <c r="EDN1" s="615"/>
      <c r="EDO1" s="615"/>
      <c r="EDP1" s="615"/>
      <c r="EDQ1" s="615"/>
      <c r="EDR1" s="615"/>
      <c r="EDS1" s="615"/>
      <c r="EDT1" s="615"/>
      <c r="EDU1" s="615"/>
      <c r="EDV1" s="615"/>
      <c r="EDW1" s="615"/>
      <c r="EDX1" s="615"/>
      <c r="EDY1" s="615"/>
      <c r="EDZ1" s="615"/>
      <c r="EEA1" s="615"/>
      <c r="EEB1" s="615"/>
      <c r="EEC1" s="615"/>
      <c r="EED1" s="615"/>
      <c r="EEE1" s="615"/>
      <c r="EEF1" s="615"/>
      <c r="EEG1" s="615"/>
      <c r="EEH1" s="615"/>
      <c r="EEI1" s="615"/>
      <c r="EEJ1" s="615"/>
      <c r="EEK1" s="615"/>
      <c r="EEL1" s="615"/>
      <c r="EEM1" s="615"/>
      <c r="EEN1" s="615"/>
      <c r="EEO1" s="615"/>
      <c r="EEP1" s="615"/>
      <c r="EEQ1" s="615"/>
      <c r="EER1" s="615"/>
      <c r="EES1" s="615"/>
      <c r="EET1" s="615"/>
      <c r="EEU1" s="615"/>
      <c r="EEV1" s="615"/>
      <c r="EEW1" s="615"/>
      <c r="EEX1" s="615"/>
      <c r="EEY1" s="615"/>
      <c r="EEZ1" s="615"/>
      <c r="EFA1" s="615"/>
      <c r="EFB1" s="615"/>
      <c r="EFC1" s="615"/>
      <c r="EFD1" s="615"/>
      <c r="EFE1" s="615"/>
      <c r="EFF1" s="615"/>
      <c r="EFG1" s="615"/>
      <c r="EFH1" s="615"/>
      <c r="EFI1" s="615"/>
      <c r="EFJ1" s="615"/>
      <c r="EFK1" s="615"/>
      <c r="EFL1" s="615"/>
      <c r="EFM1" s="615"/>
      <c r="EFN1" s="615"/>
      <c r="EFO1" s="615"/>
      <c r="EFP1" s="615"/>
      <c r="EFQ1" s="615"/>
      <c r="EFR1" s="615"/>
      <c r="EFS1" s="615"/>
      <c r="EFT1" s="615"/>
      <c r="EFU1" s="615"/>
      <c r="EFV1" s="615"/>
      <c r="EFW1" s="615"/>
      <c r="EFX1" s="615"/>
      <c r="EFY1" s="615"/>
      <c r="EFZ1" s="615"/>
      <c r="EGA1" s="615"/>
      <c r="EGB1" s="615"/>
      <c r="EGC1" s="615"/>
      <c r="EGD1" s="615"/>
      <c r="EGE1" s="615"/>
      <c r="EGF1" s="615"/>
      <c r="EGG1" s="615"/>
      <c r="EGH1" s="615"/>
      <c r="EGI1" s="615"/>
      <c r="EGJ1" s="615"/>
      <c r="EGK1" s="615"/>
      <c r="EGL1" s="615"/>
      <c r="EGM1" s="615"/>
      <c r="EGN1" s="615"/>
      <c r="EGO1" s="615"/>
      <c r="EGP1" s="615"/>
      <c r="EGQ1" s="615"/>
      <c r="EGR1" s="615"/>
      <c r="EGS1" s="615"/>
      <c r="EGT1" s="615"/>
      <c r="EGU1" s="615"/>
      <c r="EGV1" s="615"/>
      <c r="EGW1" s="615"/>
      <c r="EGX1" s="615"/>
      <c r="EGY1" s="615"/>
      <c r="EGZ1" s="615"/>
      <c r="EHA1" s="615"/>
      <c r="EHB1" s="615"/>
      <c r="EHC1" s="615"/>
      <c r="EHD1" s="615"/>
      <c r="EHE1" s="615"/>
      <c r="EHF1" s="615"/>
      <c r="EHG1" s="615"/>
      <c r="EHH1" s="615"/>
      <c r="EHI1" s="615"/>
      <c r="EHJ1" s="615"/>
      <c r="EHK1" s="615"/>
      <c r="EHL1" s="615"/>
      <c r="EHM1" s="615"/>
      <c r="EHN1" s="615"/>
      <c r="EHO1" s="615"/>
      <c r="EHP1" s="615"/>
      <c r="EHQ1" s="615"/>
      <c r="EHR1" s="615"/>
      <c r="EHS1" s="615"/>
      <c r="EHT1" s="615"/>
      <c r="EHU1" s="615"/>
      <c r="EHV1" s="615"/>
      <c r="EHW1" s="615"/>
      <c r="EHX1" s="615"/>
      <c r="EHY1" s="615"/>
      <c r="EHZ1" s="615"/>
      <c r="EIA1" s="615"/>
      <c r="EIB1" s="615"/>
      <c r="EIC1" s="615"/>
      <c r="EID1" s="615"/>
      <c r="EIE1" s="615"/>
      <c r="EIF1" s="615"/>
      <c r="EIG1" s="615"/>
      <c r="EIH1" s="615"/>
      <c r="EII1" s="615"/>
      <c r="EIJ1" s="615"/>
      <c r="EIK1" s="615"/>
      <c r="EIL1" s="615"/>
      <c r="EIM1" s="615"/>
      <c r="EIN1" s="615"/>
      <c r="EIO1" s="615"/>
      <c r="EIP1" s="615"/>
      <c r="EIQ1" s="615"/>
      <c r="EIR1" s="615"/>
      <c r="EIS1" s="615"/>
      <c r="EIT1" s="615"/>
      <c r="EIU1" s="615"/>
      <c r="EIV1" s="615"/>
      <c r="EIW1" s="615"/>
      <c r="EIX1" s="615"/>
      <c r="EIY1" s="615"/>
      <c r="EIZ1" s="615"/>
      <c r="EJA1" s="615"/>
      <c r="EJB1" s="615"/>
      <c r="EJC1" s="615"/>
      <c r="EJD1" s="615"/>
      <c r="EJE1" s="615"/>
      <c r="EJF1" s="615"/>
      <c r="EJG1" s="615"/>
      <c r="EJH1" s="615"/>
      <c r="EJI1" s="615"/>
      <c r="EJJ1" s="615"/>
      <c r="EJK1" s="615"/>
      <c r="EJL1" s="615"/>
      <c r="EJM1" s="615"/>
      <c r="EJN1" s="615"/>
      <c r="EJO1" s="615"/>
      <c r="EJP1" s="615"/>
      <c r="EJQ1" s="615"/>
      <c r="EJR1" s="615"/>
      <c r="EJS1" s="615"/>
      <c r="EJT1" s="615"/>
      <c r="EJU1" s="615"/>
      <c r="EJV1" s="615"/>
      <c r="EJW1" s="615"/>
      <c r="EJX1" s="615"/>
      <c r="EJY1" s="615"/>
      <c r="EJZ1" s="615"/>
      <c r="EKA1" s="615"/>
      <c r="EKB1" s="615"/>
      <c r="EKC1" s="615"/>
      <c r="EKD1" s="615"/>
      <c r="EKE1" s="615"/>
      <c r="EKF1" s="615"/>
      <c r="EKG1" s="615"/>
      <c r="EKH1" s="615"/>
      <c r="EKI1" s="615"/>
      <c r="EKJ1" s="615"/>
      <c r="EKK1" s="615"/>
      <c r="EKL1" s="615"/>
      <c r="EKM1" s="615"/>
      <c r="EKN1" s="615"/>
      <c r="EKO1" s="615"/>
      <c r="EKP1" s="615"/>
      <c r="EKQ1" s="615"/>
      <c r="EKR1" s="615"/>
      <c r="EKS1" s="615"/>
      <c r="EKT1" s="615"/>
      <c r="EKU1" s="615"/>
      <c r="EKV1" s="615"/>
      <c r="EKW1" s="615"/>
      <c r="EKX1" s="615"/>
      <c r="EKY1" s="615"/>
      <c r="EKZ1" s="615"/>
      <c r="ELA1" s="615"/>
      <c r="ELB1" s="615"/>
      <c r="ELC1" s="615"/>
      <c r="ELD1" s="615"/>
      <c r="ELE1" s="615"/>
      <c r="ELF1" s="615"/>
      <c r="ELG1" s="615"/>
      <c r="ELH1" s="615"/>
      <c r="ELI1" s="615"/>
      <c r="ELJ1" s="615"/>
      <c r="ELK1" s="615"/>
      <c r="ELL1" s="615"/>
      <c r="ELM1" s="615"/>
      <c r="ELN1" s="615"/>
      <c r="ELO1" s="615"/>
      <c r="ELP1" s="615"/>
      <c r="ELQ1" s="615"/>
      <c r="ELR1" s="615"/>
      <c r="ELS1" s="615"/>
      <c r="ELT1" s="615"/>
      <c r="ELU1" s="615"/>
      <c r="ELV1" s="615"/>
      <c r="ELW1" s="615"/>
      <c r="ELX1" s="615"/>
      <c r="ELY1" s="615"/>
      <c r="ELZ1" s="615"/>
      <c r="EMA1" s="615"/>
      <c r="EMB1" s="615"/>
      <c r="EMC1" s="615"/>
      <c r="EMD1" s="615"/>
      <c r="EME1" s="615"/>
      <c r="EMF1" s="615"/>
      <c r="EMG1" s="615"/>
      <c r="EMH1" s="615"/>
      <c r="EMI1" s="615"/>
      <c r="EMJ1" s="615"/>
      <c r="EMK1" s="615"/>
      <c r="EML1" s="615"/>
      <c r="EMM1" s="615"/>
      <c r="EMN1" s="615"/>
      <c r="EMO1" s="615"/>
      <c r="EMP1" s="615"/>
      <c r="EMQ1" s="615"/>
      <c r="EMR1" s="615"/>
      <c r="EMS1" s="615"/>
      <c r="EMT1" s="615"/>
      <c r="EMU1" s="615"/>
      <c r="EMV1" s="615"/>
      <c r="EMW1" s="615"/>
      <c r="EMX1" s="615"/>
      <c r="EMY1" s="615"/>
      <c r="EMZ1" s="615"/>
      <c r="ENA1" s="615"/>
      <c r="ENB1" s="615"/>
      <c r="ENC1" s="615"/>
      <c r="END1" s="615"/>
      <c r="ENE1" s="615"/>
      <c r="ENF1" s="615"/>
      <c r="ENG1" s="615"/>
      <c r="ENH1" s="615"/>
      <c r="ENI1" s="615"/>
      <c r="ENJ1" s="615"/>
      <c r="ENK1" s="615"/>
      <c r="ENL1" s="615"/>
      <c r="ENM1" s="615"/>
      <c r="ENN1" s="615"/>
      <c r="ENO1" s="615"/>
      <c r="ENP1" s="615"/>
      <c r="ENQ1" s="615"/>
      <c r="ENR1" s="615"/>
      <c r="ENS1" s="615"/>
      <c r="ENT1" s="615"/>
      <c r="ENU1" s="615"/>
      <c r="ENV1" s="615"/>
      <c r="ENW1" s="615"/>
      <c r="ENX1" s="615"/>
      <c r="ENY1" s="615"/>
      <c r="ENZ1" s="615"/>
      <c r="EOA1" s="615"/>
      <c r="EOB1" s="615"/>
      <c r="EOC1" s="615"/>
      <c r="EOD1" s="615"/>
      <c r="EOE1" s="615"/>
      <c r="EOF1" s="615"/>
      <c r="EOG1" s="615"/>
      <c r="EOH1" s="615"/>
      <c r="EOI1" s="615"/>
      <c r="EOJ1" s="615"/>
      <c r="EOK1" s="615"/>
      <c r="EOL1" s="615"/>
      <c r="EOM1" s="615"/>
      <c r="EON1" s="615"/>
      <c r="EOO1" s="615"/>
      <c r="EOP1" s="615"/>
      <c r="EOQ1" s="615"/>
      <c r="EOR1" s="615"/>
      <c r="EOS1" s="615"/>
      <c r="EOT1" s="615"/>
      <c r="EOU1" s="615"/>
      <c r="EOV1" s="615"/>
      <c r="EOW1" s="615"/>
      <c r="EOX1" s="615"/>
      <c r="EOY1" s="615"/>
      <c r="EOZ1" s="615"/>
      <c r="EPA1" s="615"/>
      <c r="EPB1" s="615"/>
      <c r="EPC1" s="615"/>
      <c r="EPD1" s="615"/>
      <c r="EPE1" s="615"/>
      <c r="EPF1" s="615"/>
      <c r="EPG1" s="615"/>
      <c r="EPH1" s="615"/>
      <c r="EPI1" s="615"/>
      <c r="EPJ1" s="615"/>
      <c r="EPK1" s="615"/>
      <c r="EPL1" s="615"/>
      <c r="EPM1" s="615"/>
      <c r="EPN1" s="615"/>
      <c r="EPO1" s="615"/>
      <c r="EPP1" s="615"/>
      <c r="EPQ1" s="615"/>
      <c r="EPR1" s="615"/>
      <c r="EPS1" s="615"/>
      <c r="EPT1" s="615"/>
      <c r="EPU1" s="615"/>
      <c r="EPV1" s="615"/>
      <c r="EPW1" s="615"/>
      <c r="EPX1" s="615"/>
      <c r="EPY1" s="615"/>
      <c r="EPZ1" s="615"/>
      <c r="EQA1" s="615"/>
      <c r="EQB1" s="615"/>
      <c r="EQC1" s="615"/>
      <c r="EQD1" s="615"/>
      <c r="EQE1" s="615"/>
      <c r="EQF1" s="615"/>
      <c r="EQG1" s="615"/>
      <c r="EQH1" s="615"/>
      <c r="EQI1" s="615"/>
      <c r="EQJ1" s="615"/>
      <c r="EQK1" s="615"/>
      <c r="EQL1" s="615"/>
      <c r="EQM1" s="615"/>
      <c r="EQN1" s="615"/>
      <c r="EQO1" s="615"/>
      <c r="EQP1" s="615"/>
      <c r="EQQ1" s="615"/>
      <c r="EQR1" s="615"/>
      <c r="EQS1" s="615"/>
      <c r="EQT1" s="615"/>
      <c r="EQU1" s="615"/>
      <c r="EQV1" s="615"/>
      <c r="EQW1" s="615"/>
      <c r="EQX1" s="615"/>
      <c r="EQY1" s="615"/>
      <c r="EQZ1" s="615"/>
      <c r="ERA1" s="615"/>
      <c r="ERB1" s="615"/>
      <c r="ERC1" s="615"/>
      <c r="ERD1" s="615"/>
      <c r="ERE1" s="615"/>
      <c r="ERF1" s="615"/>
      <c r="ERG1" s="615"/>
      <c r="ERH1" s="615"/>
      <c r="ERI1" s="615"/>
      <c r="ERJ1" s="615"/>
      <c r="ERK1" s="615"/>
      <c r="ERL1" s="615"/>
      <c r="ERM1" s="615"/>
      <c r="ERN1" s="615"/>
      <c r="ERO1" s="615"/>
      <c r="ERP1" s="615"/>
      <c r="ERQ1" s="615"/>
      <c r="ERR1" s="615"/>
      <c r="ERS1" s="615"/>
      <c r="ERT1" s="615"/>
      <c r="ERU1" s="615"/>
      <c r="ERV1" s="615"/>
      <c r="ERW1" s="615"/>
      <c r="ERX1" s="615"/>
      <c r="ERY1" s="615"/>
      <c r="ERZ1" s="615"/>
      <c r="ESA1" s="615"/>
      <c r="ESB1" s="615"/>
      <c r="ESC1" s="615"/>
      <c r="ESD1" s="615"/>
      <c r="ESE1" s="615"/>
      <c r="ESF1" s="615"/>
      <c r="ESG1" s="615"/>
      <c r="ESH1" s="615"/>
      <c r="ESI1" s="615"/>
      <c r="ESJ1" s="615"/>
      <c r="ESK1" s="615"/>
      <c r="ESL1" s="615"/>
      <c r="ESM1" s="615"/>
      <c r="ESN1" s="615"/>
      <c r="ESO1" s="615"/>
      <c r="ESP1" s="615"/>
      <c r="ESQ1" s="615"/>
      <c r="ESR1" s="615"/>
      <c r="ESS1" s="615"/>
      <c r="EST1" s="615"/>
      <c r="ESU1" s="615"/>
      <c r="ESV1" s="615"/>
      <c r="ESW1" s="615"/>
      <c r="ESX1" s="615"/>
      <c r="ESY1" s="615"/>
      <c r="ESZ1" s="615"/>
      <c r="ETA1" s="615"/>
      <c r="ETB1" s="615"/>
      <c r="ETC1" s="615"/>
      <c r="ETD1" s="615"/>
      <c r="ETE1" s="615"/>
      <c r="ETF1" s="615"/>
      <c r="ETG1" s="615"/>
      <c r="ETH1" s="615"/>
      <c r="ETI1" s="615"/>
      <c r="ETJ1" s="615"/>
      <c r="ETK1" s="615"/>
      <c r="ETL1" s="615"/>
      <c r="ETM1" s="615"/>
      <c r="ETN1" s="615"/>
      <c r="ETO1" s="615"/>
      <c r="ETP1" s="615"/>
      <c r="ETQ1" s="615"/>
      <c r="ETR1" s="615"/>
      <c r="ETS1" s="615"/>
      <c r="ETT1" s="615"/>
      <c r="ETU1" s="615"/>
      <c r="ETV1" s="615"/>
      <c r="ETW1" s="615"/>
      <c r="ETX1" s="615"/>
      <c r="ETY1" s="615"/>
      <c r="ETZ1" s="615"/>
      <c r="EUA1" s="615"/>
      <c r="EUB1" s="615"/>
      <c r="EUC1" s="615"/>
      <c r="EUD1" s="615"/>
      <c r="EUE1" s="615"/>
      <c r="EUF1" s="615"/>
      <c r="EUG1" s="615"/>
      <c r="EUH1" s="615"/>
      <c r="EUI1" s="615"/>
      <c r="EUJ1" s="615"/>
      <c r="EUK1" s="615"/>
      <c r="EUL1" s="615"/>
      <c r="EUM1" s="615"/>
      <c r="EUN1" s="615"/>
      <c r="EUO1" s="615"/>
      <c r="EUP1" s="615"/>
      <c r="EUQ1" s="615"/>
      <c r="EUR1" s="615"/>
      <c r="EUS1" s="615"/>
      <c r="EUT1" s="615"/>
      <c r="EUU1" s="615"/>
      <c r="EUV1" s="615"/>
      <c r="EUW1" s="615"/>
      <c r="EUX1" s="615"/>
      <c r="EUY1" s="615"/>
      <c r="EUZ1" s="615"/>
      <c r="EVA1" s="615"/>
      <c r="EVB1" s="615"/>
      <c r="EVC1" s="615"/>
      <c r="EVD1" s="615"/>
      <c r="EVE1" s="615"/>
      <c r="EVF1" s="615"/>
      <c r="EVG1" s="615"/>
      <c r="EVH1" s="615"/>
      <c r="EVI1" s="615"/>
      <c r="EVJ1" s="615"/>
      <c r="EVK1" s="615"/>
      <c r="EVL1" s="615"/>
      <c r="EVM1" s="615"/>
      <c r="EVN1" s="615"/>
      <c r="EVO1" s="615"/>
      <c r="EVP1" s="615"/>
      <c r="EVQ1" s="615"/>
      <c r="EVR1" s="615"/>
      <c r="EVS1" s="615"/>
      <c r="EVT1" s="615"/>
      <c r="EVU1" s="615"/>
      <c r="EVV1" s="615"/>
      <c r="EVW1" s="615"/>
      <c r="EVX1" s="615"/>
      <c r="EVY1" s="615"/>
      <c r="EVZ1" s="615"/>
      <c r="EWA1" s="615"/>
      <c r="EWB1" s="615"/>
      <c r="EWC1" s="615"/>
      <c r="EWD1" s="615"/>
      <c r="EWE1" s="615"/>
      <c r="EWF1" s="615"/>
      <c r="EWG1" s="615"/>
      <c r="EWH1" s="615"/>
      <c r="EWI1" s="615"/>
      <c r="EWJ1" s="615"/>
      <c r="EWK1" s="615"/>
      <c r="EWL1" s="615"/>
      <c r="EWM1" s="615"/>
      <c r="EWN1" s="615"/>
      <c r="EWO1" s="615"/>
      <c r="EWP1" s="615"/>
      <c r="EWQ1" s="615"/>
      <c r="EWR1" s="615"/>
      <c r="EWS1" s="615"/>
      <c r="EWT1" s="615"/>
      <c r="EWU1" s="615"/>
      <c r="EWV1" s="615"/>
      <c r="EWW1" s="615"/>
      <c r="EWX1" s="615"/>
      <c r="EWY1" s="615"/>
      <c r="EWZ1" s="615"/>
      <c r="EXA1" s="615"/>
      <c r="EXB1" s="615"/>
      <c r="EXC1" s="615"/>
      <c r="EXD1" s="615"/>
      <c r="EXE1" s="615"/>
      <c r="EXF1" s="615"/>
      <c r="EXG1" s="615"/>
      <c r="EXH1" s="615"/>
      <c r="EXI1" s="615"/>
      <c r="EXJ1" s="615"/>
      <c r="EXK1" s="615"/>
      <c r="EXL1" s="615"/>
      <c r="EXM1" s="615"/>
      <c r="EXN1" s="615"/>
      <c r="EXO1" s="615"/>
      <c r="EXP1" s="615"/>
      <c r="EXQ1" s="615"/>
      <c r="EXR1" s="615"/>
      <c r="EXS1" s="615"/>
      <c r="EXT1" s="615"/>
      <c r="EXU1" s="615"/>
      <c r="EXV1" s="615"/>
      <c r="EXW1" s="615"/>
      <c r="EXX1" s="615"/>
      <c r="EXY1" s="615"/>
      <c r="EXZ1" s="615"/>
      <c r="EYA1" s="615"/>
      <c r="EYB1" s="615"/>
      <c r="EYC1" s="615"/>
      <c r="EYD1" s="615"/>
      <c r="EYE1" s="615"/>
      <c r="EYF1" s="615"/>
      <c r="EYG1" s="615"/>
      <c r="EYH1" s="615"/>
      <c r="EYI1" s="615"/>
      <c r="EYJ1" s="615"/>
      <c r="EYK1" s="615"/>
      <c r="EYL1" s="615"/>
      <c r="EYM1" s="615"/>
      <c r="EYN1" s="615"/>
      <c r="EYO1" s="615"/>
      <c r="EYP1" s="615"/>
      <c r="EYQ1" s="615"/>
      <c r="EYR1" s="615"/>
      <c r="EYS1" s="615"/>
      <c r="EYT1" s="615"/>
      <c r="EYU1" s="615"/>
      <c r="EYV1" s="615"/>
      <c r="EYW1" s="615"/>
      <c r="EYX1" s="615"/>
      <c r="EYY1" s="615"/>
      <c r="EYZ1" s="615"/>
      <c r="EZA1" s="615"/>
      <c r="EZB1" s="615"/>
      <c r="EZC1" s="615"/>
      <c r="EZD1" s="615"/>
      <c r="EZE1" s="615"/>
      <c r="EZF1" s="615"/>
      <c r="EZG1" s="615"/>
      <c r="EZH1" s="615"/>
      <c r="EZI1" s="615"/>
      <c r="EZJ1" s="615"/>
      <c r="EZK1" s="615"/>
      <c r="EZL1" s="615"/>
      <c r="EZM1" s="615"/>
      <c r="EZN1" s="615"/>
      <c r="EZO1" s="615"/>
      <c r="EZP1" s="615"/>
      <c r="EZQ1" s="615"/>
      <c r="EZR1" s="615"/>
      <c r="EZS1" s="615"/>
      <c r="EZT1" s="615"/>
      <c r="EZU1" s="615"/>
      <c r="EZV1" s="615"/>
      <c r="EZW1" s="615"/>
      <c r="EZX1" s="615"/>
      <c r="EZY1" s="615"/>
      <c r="EZZ1" s="615"/>
      <c r="FAA1" s="615"/>
      <c r="FAB1" s="615"/>
      <c r="FAC1" s="615"/>
      <c r="FAD1" s="615"/>
      <c r="FAE1" s="615"/>
      <c r="FAF1" s="615"/>
      <c r="FAG1" s="615"/>
      <c r="FAH1" s="615"/>
      <c r="FAI1" s="615"/>
      <c r="FAJ1" s="615"/>
      <c r="FAK1" s="615"/>
      <c r="FAL1" s="615"/>
      <c r="FAM1" s="615"/>
      <c r="FAN1" s="615"/>
      <c r="FAO1" s="615"/>
      <c r="FAP1" s="615"/>
      <c r="FAQ1" s="615"/>
      <c r="FAR1" s="615"/>
      <c r="FAS1" s="615"/>
      <c r="FAT1" s="615"/>
      <c r="FAU1" s="615"/>
      <c r="FAV1" s="615"/>
      <c r="FAW1" s="615"/>
      <c r="FAX1" s="615"/>
      <c r="FAY1" s="615"/>
      <c r="FAZ1" s="615"/>
      <c r="FBA1" s="615"/>
      <c r="FBB1" s="615"/>
      <c r="FBC1" s="615"/>
      <c r="FBD1" s="615"/>
      <c r="FBE1" s="615"/>
      <c r="FBF1" s="615"/>
      <c r="FBG1" s="615"/>
      <c r="FBH1" s="615"/>
      <c r="FBI1" s="615"/>
      <c r="FBJ1" s="615"/>
      <c r="FBK1" s="615"/>
      <c r="FBL1" s="615"/>
      <c r="FBM1" s="615"/>
      <c r="FBN1" s="615"/>
      <c r="FBO1" s="615"/>
      <c r="FBP1" s="615"/>
      <c r="FBQ1" s="615"/>
      <c r="FBR1" s="615"/>
      <c r="FBS1" s="615"/>
      <c r="FBT1" s="615"/>
      <c r="FBU1" s="615"/>
      <c r="FBV1" s="615"/>
      <c r="FBW1" s="615"/>
      <c r="FBX1" s="615"/>
      <c r="FBY1" s="615"/>
      <c r="FBZ1" s="615"/>
      <c r="FCA1" s="615"/>
      <c r="FCB1" s="615"/>
      <c r="FCC1" s="615"/>
      <c r="FCD1" s="615"/>
      <c r="FCE1" s="615"/>
      <c r="FCF1" s="615"/>
      <c r="FCG1" s="615"/>
      <c r="FCH1" s="615"/>
      <c r="FCI1" s="615"/>
      <c r="FCJ1" s="615"/>
      <c r="FCK1" s="615"/>
      <c r="FCL1" s="615"/>
      <c r="FCM1" s="615"/>
      <c r="FCN1" s="615"/>
      <c r="FCO1" s="615"/>
      <c r="FCP1" s="615"/>
      <c r="FCQ1" s="615"/>
      <c r="FCR1" s="615"/>
      <c r="FCS1" s="615"/>
      <c r="FCT1" s="615"/>
      <c r="FCU1" s="615"/>
      <c r="FCV1" s="615"/>
      <c r="FCW1" s="615"/>
      <c r="FCX1" s="615"/>
      <c r="FCY1" s="615"/>
      <c r="FCZ1" s="615"/>
      <c r="FDA1" s="615"/>
      <c r="FDB1" s="615"/>
      <c r="FDC1" s="615"/>
      <c r="FDD1" s="615"/>
      <c r="FDE1" s="615"/>
      <c r="FDF1" s="615"/>
      <c r="FDG1" s="615"/>
      <c r="FDH1" s="615"/>
      <c r="FDI1" s="615"/>
      <c r="FDJ1" s="615"/>
      <c r="FDK1" s="615"/>
      <c r="FDL1" s="615"/>
      <c r="FDM1" s="615"/>
      <c r="FDN1" s="615"/>
      <c r="FDO1" s="615"/>
      <c r="FDP1" s="615"/>
      <c r="FDQ1" s="615"/>
      <c r="FDR1" s="615"/>
      <c r="FDS1" s="615"/>
      <c r="FDT1" s="615"/>
      <c r="FDU1" s="615"/>
      <c r="FDV1" s="615"/>
      <c r="FDW1" s="615"/>
      <c r="FDX1" s="615"/>
      <c r="FDY1" s="615"/>
      <c r="FDZ1" s="615"/>
      <c r="FEA1" s="615"/>
      <c r="FEB1" s="615"/>
      <c r="FEC1" s="615"/>
      <c r="FED1" s="615"/>
      <c r="FEE1" s="615"/>
      <c r="FEF1" s="615"/>
      <c r="FEG1" s="615"/>
      <c r="FEH1" s="615"/>
      <c r="FEI1" s="615"/>
      <c r="FEJ1" s="615"/>
      <c r="FEK1" s="615"/>
      <c r="FEL1" s="615"/>
      <c r="FEM1" s="615"/>
      <c r="FEN1" s="615"/>
      <c r="FEO1" s="615"/>
      <c r="FEP1" s="615"/>
      <c r="FEQ1" s="615"/>
      <c r="FER1" s="615"/>
      <c r="FES1" s="615"/>
      <c r="FET1" s="615"/>
      <c r="FEU1" s="615"/>
      <c r="FEV1" s="615"/>
      <c r="FEW1" s="615"/>
      <c r="FEX1" s="615"/>
      <c r="FEY1" s="615"/>
      <c r="FEZ1" s="615"/>
      <c r="FFA1" s="615"/>
      <c r="FFB1" s="615"/>
      <c r="FFC1" s="615"/>
      <c r="FFD1" s="615"/>
      <c r="FFE1" s="615"/>
      <c r="FFF1" s="615"/>
      <c r="FFG1" s="615"/>
      <c r="FFH1" s="615"/>
      <c r="FFI1" s="615"/>
      <c r="FFJ1" s="615"/>
      <c r="FFK1" s="615"/>
      <c r="FFL1" s="615"/>
      <c r="FFM1" s="615"/>
      <c r="FFN1" s="615"/>
      <c r="FFO1" s="615"/>
      <c r="FFP1" s="615"/>
      <c r="FFQ1" s="615"/>
      <c r="FFR1" s="615"/>
      <c r="FFS1" s="615"/>
      <c r="FFT1" s="615"/>
      <c r="FFU1" s="615"/>
      <c r="FFV1" s="615"/>
      <c r="FFW1" s="615"/>
      <c r="FFX1" s="615"/>
      <c r="FFY1" s="615"/>
      <c r="FFZ1" s="615"/>
      <c r="FGA1" s="615"/>
      <c r="FGB1" s="615"/>
      <c r="FGC1" s="615"/>
      <c r="FGD1" s="615"/>
      <c r="FGE1" s="615"/>
      <c r="FGF1" s="615"/>
      <c r="FGG1" s="615"/>
      <c r="FGH1" s="615"/>
      <c r="FGI1" s="615"/>
      <c r="FGJ1" s="615"/>
      <c r="FGK1" s="615"/>
      <c r="FGL1" s="615"/>
      <c r="FGM1" s="615"/>
      <c r="FGN1" s="615"/>
      <c r="FGO1" s="615"/>
      <c r="FGP1" s="615"/>
      <c r="FGQ1" s="615"/>
      <c r="FGR1" s="615"/>
      <c r="FGS1" s="615"/>
      <c r="FGT1" s="615"/>
      <c r="FGU1" s="615"/>
      <c r="FGV1" s="615"/>
      <c r="FGW1" s="615"/>
      <c r="FGX1" s="615"/>
      <c r="FGY1" s="615"/>
      <c r="FGZ1" s="615"/>
      <c r="FHA1" s="615"/>
      <c r="FHB1" s="615"/>
      <c r="FHC1" s="615"/>
      <c r="FHD1" s="615"/>
      <c r="FHE1" s="615"/>
      <c r="FHF1" s="615"/>
      <c r="FHG1" s="615"/>
      <c r="FHH1" s="615"/>
      <c r="FHI1" s="615"/>
      <c r="FHJ1" s="615"/>
      <c r="FHK1" s="615"/>
      <c r="FHL1" s="615"/>
      <c r="FHM1" s="615"/>
      <c r="FHN1" s="615"/>
      <c r="FHO1" s="615"/>
      <c r="FHP1" s="615"/>
      <c r="FHQ1" s="615"/>
      <c r="FHR1" s="615"/>
      <c r="FHS1" s="615"/>
      <c r="FHT1" s="615"/>
      <c r="FHU1" s="615"/>
      <c r="FHV1" s="615"/>
      <c r="FHW1" s="615"/>
      <c r="FHX1" s="615"/>
      <c r="FHY1" s="615"/>
      <c r="FHZ1" s="615"/>
      <c r="FIA1" s="615"/>
      <c r="FIB1" s="615"/>
      <c r="FIC1" s="615"/>
      <c r="FID1" s="615"/>
      <c r="FIE1" s="615"/>
      <c r="FIF1" s="615"/>
      <c r="FIG1" s="615"/>
      <c r="FIH1" s="615"/>
      <c r="FII1" s="615"/>
      <c r="FIJ1" s="615"/>
      <c r="FIK1" s="615"/>
      <c r="FIL1" s="615"/>
      <c r="FIM1" s="615"/>
      <c r="FIN1" s="615"/>
      <c r="FIO1" s="615"/>
      <c r="FIP1" s="615"/>
      <c r="FIQ1" s="615"/>
      <c r="FIR1" s="615"/>
      <c r="FIS1" s="615"/>
      <c r="FIT1" s="615"/>
      <c r="FIU1" s="615"/>
      <c r="FIV1" s="615"/>
      <c r="FIW1" s="615"/>
      <c r="FIX1" s="615"/>
      <c r="FIY1" s="615"/>
      <c r="FIZ1" s="615"/>
      <c r="FJA1" s="615"/>
      <c r="FJB1" s="615"/>
      <c r="FJC1" s="615"/>
      <c r="FJD1" s="615"/>
      <c r="FJE1" s="615"/>
      <c r="FJF1" s="615"/>
      <c r="FJG1" s="615"/>
      <c r="FJH1" s="615"/>
      <c r="FJI1" s="615"/>
      <c r="FJJ1" s="615"/>
      <c r="FJK1" s="615"/>
      <c r="FJL1" s="615"/>
      <c r="FJM1" s="615"/>
      <c r="FJN1" s="615"/>
      <c r="FJO1" s="615"/>
      <c r="FJP1" s="615"/>
      <c r="FJQ1" s="615"/>
      <c r="FJR1" s="615"/>
      <c r="FJS1" s="615"/>
      <c r="FJT1" s="615"/>
      <c r="FJU1" s="615"/>
      <c r="FJV1" s="615"/>
      <c r="FJW1" s="615"/>
      <c r="FJX1" s="615"/>
      <c r="FJY1" s="615"/>
      <c r="FJZ1" s="615"/>
      <c r="FKA1" s="615"/>
      <c r="FKB1" s="615"/>
      <c r="FKC1" s="615"/>
      <c r="FKD1" s="615"/>
      <c r="FKE1" s="615"/>
      <c r="FKF1" s="615"/>
      <c r="FKG1" s="615"/>
      <c r="FKH1" s="615"/>
      <c r="FKI1" s="615"/>
      <c r="FKJ1" s="615"/>
      <c r="FKK1" s="615"/>
      <c r="FKL1" s="615"/>
      <c r="FKM1" s="615"/>
      <c r="FKN1" s="615"/>
      <c r="FKO1" s="615"/>
      <c r="FKP1" s="615"/>
      <c r="FKQ1" s="615"/>
      <c r="FKR1" s="615"/>
      <c r="FKS1" s="615"/>
      <c r="FKT1" s="615"/>
      <c r="FKU1" s="615"/>
      <c r="FKV1" s="615"/>
      <c r="FKW1" s="615"/>
      <c r="FKX1" s="615"/>
      <c r="FKY1" s="615"/>
      <c r="FKZ1" s="615"/>
      <c r="FLA1" s="615"/>
      <c r="FLB1" s="615"/>
      <c r="FLC1" s="615"/>
      <c r="FLD1" s="615"/>
      <c r="FLE1" s="615"/>
      <c r="FLF1" s="615"/>
      <c r="FLG1" s="615"/>
      <c r="FLH1" s="615"/>
      <c r="FLI1" s="615"/>
      <c r="FLJ1" s="615"/>
      <c r="FLK1" s="615"/>
      <c r="FLL1" s="615"/>
      <c r="FLM1" s="615"/>
      <c r="FLN1" s="615"/>
      <c r="FLO1" s="615"/>
      <c r="FLP1" s="615"/>
      <c r="FLQ1" s="615"/>
      <c r="FLR1" s="615"/>
      <c r="FLS1" s="615"/>
      <c r="FLT1" s="615"/>
      <c r="FLU1" s="615"/>
      <c r="FLV1" s="615"/>
      <c r="FLW1" s="615"/>
      <c r="FLX1" s="615"/>
      <c r="FLY1" s="615"/>
      <c r="FLZ1" s="615"/>
      <c r="FMA1" s="615"/>
      <c r="FMB1" s="615"/>
      <c r="FMC1" s="615"/>
      <c r="FMD1" s="615"/>
      <c r="FME1" s="615"/>
      <c r="FMF1" s="615"/>
      <c r="FMG1" s="615"/>
      <c r="FMH1" s="615"/>
      <c r="FMI1" s="615"/>
      <c r="FMJ1" s="615"/>
      <c r="FMK1" s="615"/>
      <c r="FML1" s="615"/>
      <c r="FMM1" s="615"/>
      <c r="FMN1" s="615"/>
      <c r="FMO1" s="615"/>
      <c r="FMP1" s="615"/>
      <c r="FMQ1" s="615"/>
      <c r="FMR1" s="615"/>
      <c r="FMS1" s="615"/>
      <c r="FMT1" s="615"/>
      <c r="FMU1" s="615"/>
      <c r="FMV1" s="615"/>
      <c r="FMW1" s="615"/>
      <c r="FMX1" s="615"/>
      <c r="FMY1" s="615"/>
      <c r="FMZ1" s="615"/>
      <c r="FNA1" s="615"/>
      <c r="FNB1" s="615"/>
      <c r="FNC1" s="615"/>
      <c r="FND1" s="615"/>
      <c r="FNE1" s="615"/>
      <c r="FNF1" s="615"/>
      <c r="FNG1" s="615"/>
      <c r="FNH1" s="615"/>
      <c r="FNI1" s="615"/>
      <c r="FNJ1" s="615"/>
      <c r="FNK1" s="615"/>
      <c r="FNL1" s="615"/>
      <c r="FNM1" s="615"/>
      <c r="FNN1" s="615"/>
      <c r="FNO1" s="615"/>
      <c r="FNP1" s="615"/>
      <c r="FNQ1" s="615"/>
      <c r="FNR1" s="615"/>
      <c r="FNS1" s="615"/>
      <c r="FNT1" s="615"/>
      <c r="FNU1" s="615"/>
      <c r="FNV1" s="615"/>
      <c r="FNW1" s="615"/>
      <c r="FNX1" s="615"/>
      <c r="FNY1" s="615"/>
      <c r="FNZ1" s="615"/>
      <c r="FOA1" s="615"/>
      <c r="FOB1" s="615"/>
      <c r="FOC1" s="615"/>
      <c r="FOD1" s="615"/>
      <c r="FOE1" s="615"/>
      <c r="FOF1" s="615"/>
      <c r="FOG1" s="615"/>
      <c r="FOH1" s="615"/>
      <c r="FOI1" s="615"/>
      <c r="FOJ1" s="615"/>
      <c r="FOK1" s="615"/>
      <c r="FOL1" s="615"/>
      <c r="FOM1" s="615"/>
      <c r="FON1" s="615"/>
      <c r="FOO1" s="615"/>
      <c r="FOP1" s="615"/>
      <c r="FOQ1" s="615"/>
      <c r="FOR1" s="615"/>
      <c r="FOS1" s="615"/>
      <c r="FOT1" s="615"/>
      <c r="FOU1" s="615"/>
      <c r="FOV1" s="615"/>
      <c r="FOW1" s="615"/>
      <c r="FOX1" s="615"/>
      <c r="FOY1" s="615"/>
      <c r="FOZ1" s="615"/>
      <c r="FPA1" s="615"/>
      <c r="FPB1" s="615"/>
      <c r="FPC1" s="615"/>
      <c r="FPD1" s="615"/>
      <c r="FPE1" s="615"/>
      <c r="FPF1" s="615"/>
      <c r="FPG1" s="615"/>
      <c r="FPH1" s="615"/>
      <c r="FPI1" s="615"/>
      <c r="FPJ1" s="615"/>
      <c r="FPK1" s="615"/>
      <c r="FPL1" s="615"/>
      <c r="FPM1" s="615"/>
      <c r="FPN1" s="615"/>
      <c r="FPO1" s="615"/>
      <c r="FPP1" s="615"/>
      <c r="FPQ1" s="615"/>
      <c r="FPR1" s="615"/>
      <c r="FPS1" s="615"/>
      <c r="FPT1" s="615"/>
      <c r="FPU1" s="615"/>
      <c r="FPV1" s="615"/>
      <c r="FPW1" s="615"/>
      <c r="FPX1" s="615"/>
      <c r="FPY1" s="615"/>
      <c r="FPZ1" s="615"/>
      <c r="FQA1" s="615"/>
      <c r="FQB1" s="615"/>
      <c r="FQC1" s="615"/>
      <c r="FQD1" s="615"/>
      <c r="FQE1" s="615"/>
      <c r="FQF1" s="615"/>
      <c r="FQG1" s="615"/>
      <c r="FQH1" s="615"/>
      <c r="FQI1" s="615"/>
      <c r="FQJ1" s="615"/>
      <c r="FQK1" s="615"/>
      <c r="FQL1" s="615"/>
      <c r="FQM1" s="615"/>
      <c r="FQN1" s="615"/>
      <c r="FQO1" s="615"/>
      <c r="FQP1" s="615"/>
      <c r="FQQ1" s="615"/>
      <c r="FQR1" s="615"/>
      <c r="FQS1" s="615"/>
      <c r="FQT1" s="615"/>
      <c r="FQU1" s="615"/>
      <c r="FQV1" s="615"/>
      <c r="FQW1" s="615"/>
      <c r="FQX1" s="615"/>
      <c r="FQY1" s="615"/>
      <c r="FQZ1" s="615"/>
      <c r="FRA1" s="615"/>
      <c r="FRB1" s="615"/>
      <c r="FRC1" s="615"/>
      <c r="FRD1" s="615"/>
      <c r="FRE1" s="615"/>
      <c r="FRF1" s="615"/>
      <c r="FRG1" s="615"/>
      <c r="FRH1" s="615"/>
      <c r="FRI1" s="615"/>
      <c r="FRJ1" s="615"/>
      <c r="FRK1" s="615"/>
      <c r="FRL1" s="615"/>
      <c r="FRM1" s="615"/>
      <c r="FRN1" s="615"/>
      <c r="FRO1" s="615"/>
      <c r="FRP1" s="615"/>
      <c r="FRQ1" s="615"/>
      <c r="FRR1" s="615"/>
      <c r="FRS1" s="615"/>
      <c r="FRT1" s="615"/>
      <c r="FRU1" s="615"/>
      <c r="FRV1" s="615"/>
      <c r="FRW1" s="615"/>
      <c r="FRX1" s="615"/>
      <c r="FRY1" s="615"/>
      <c r="FRZ1" s="615"/>
      <c r="FSA1" s="615"/>
      <c r="FSB1" s="615"/>
      <c r="FSC1" s="615"/>
      <c r="FSD1" s="615"/>
      <c r="FSE1" s="615"/>
      <c r="FSF1" s="615"/>
      <c r="FSG1" s="615"/>
      <c r="FSH1" s="615"/>
      <c r="FSI1" s="615"/>
      <c r="FSJ1" s="615"/>
      <c r="FSK1" s="615"/>
      <c r="FSL1" s="615"/>
      <c r="FSM1" s="615"/>
      <c r="FSN1" s="615"/>
      <c r="FSO1" s="615"/>
      <c r="FSP1" s="615"/>
      <c r="FSQ1" s="615"/>
      <c r="FSR1" s="615"/>
      <c r="FSS1" s="615"/>
      <c r="FST1" s="615"/>
      <c r="FSU1" s="615"/>
      <c r="FSV1" s="615"/>
      <c r="FSW1" s="615"/>
      <c r="FSX1" s="615"/>
      <c r="FSY1" s="615"/>
      <c r="FSZ1" s="615"/>
      <c r="FTA1" s="615"/>
      <c r="FTB1" s="615"/>
      <c r="FTC1" s="615"/>
      <c r="FTD1" s="615"/>
      <c r="FTE1" s="615"/>
      <c r="FTF1" s="615"/>
      <c r="FTG1" s="615"/>
      <c r="FTH1" s="615"/>
      <c r="FTI1" s="615"/>
      <c r="FTJ1" s="615"/>
      <c r="FTK1" s="615"/>
      <c r="FTL1" s="615"/>
      <c r="FTM1" s="615"/>
      <c r="FTN1" s="615"/>
      <c r="FTO1" s="615"/>
      <c r="FTP1" s="615"/>
      <c r="FTQ1" s="615"/>
      <c r="FTR1" s="615"/>
      <c r="FTS1" s="615"/>
      <c r="FTT1" s="615"/>
      <c r="FTU1" s="615"/>
      <c r="FTV1" s="615"/>
      <c r="FTW1" s="615"/>
      <c r="FTX1" s="615"/>
      <c r="FTY1" s="615"/>
      <c r="FTZ1" s="615"/>
      <c r="FUA1" s="615"/>
      <c r="FUB1" s="615"/>
      <c r="FUC1" s="615"/>
      <c r="FUD1" s="615"/>
      <c r="FUE1" s="615"/>
      <c r="FUF1" s="615"/>
      <c r="FUG1" s="615"/>
      <c r="FUH1" s="615"/>
      <c r="FUI1" s="615"/>
      <c r="FUJ1" s="615"/>
      <c r="FUK1" s="615"/>
      <c r="FUL1" s="615"/>
      <c r="FUM1" s="615"/>
      <c r="FUN1" s="615"/>
      <c r="FUO1" s="615"/>
      <c r="FUP1" s="615"/>
      <c r="FUQ1" s="615"/>
      <c r="FUR1" s="615"/>
      <c r="FUS1" s="615"/>
      <c r="FUT1" s="615"/>
      <c r="FUU1" s="615"/>
      <c r="FUV1" s="615"/>
      <c r="FUW1" s="615"/>
      <c r="FUX1" s="615"/>
      <c r="FUY1" s="615"/>
      <c r="FUZ1" s="615"/>
      <c r="FVA1" s="615"/>
      <c r="FVB1" s="615"/>
      <c r="FVC1" s="615"/>
      <c r="FVD1" s="615"/>
      <c r="FVE1" s="615"/>
      <c r="FVF1" s="615"/>
      <c r="FVG1" s="615"/>
      <c r="FVH1" s="615"/>
      <c r="FVI1" s="615"/>
      <c r="FVJ1" s="615"/>
      <c r="FVK1" s="615"/>
      <c r="FVL1" s="615"/>
      <c r="FVM1" s="615"/>
      <c r="FVN1" s="615"/>
      <c r="FVO1" s="615"/>
      <c r="FVP1" s="615"/>
      <c r="FVQ1" s="615"/>
      <c r="FVR1" s="615"/>
      <c r="FVS1" s="615"/>
      <c r="FVT1" s="615"/>
      <c r="FVU1" s="615"/>
      <c r="FVV1" s="615"/>
      <c r="FVW1" s="615"/>
      <c r="FVX1" s="615"/>
      <c r="FVY1" s="615"/>
      <c r="FVZ1" s="615"/>
      <c r="FWA1" s="615"/>
      <c r="FWB1" s="615"/>
      <c r="FWC1" s="615"/>
      <c r="FWD1" s="615"/>
      <c r="FWE1" s="615"/>
      <c r="FWF1" s="615"/>
      <c r="FWG1" s="615"/>
      <c r="FWH1" s="615"/>
      <c r="FWI1" s="615"/>
      <c r="FWJ1" s="615"/>
      <c r="FWK1" s="615"/>
      <c r="FWL1" s="615"/>
      <c r="FWM1" s="615"/>
      <c r="FWN1" s="615"/>
      <c r="FWO1" s="615"/>
      <c r="FWP1" s="615"/>
      <c r="FWQ1" s="615"/>
      <c r="FWR1" s="615"/>
      <c r="FWS1" s="615"/>
      <c r="FWT1" s="615"/>
      <c r="FWU1" s="615"/>
      <c r="FWV1" s="615"/>
      <c r="FWW1" s="615"/>
      <c r="FWX1" s="615"/>
      <c r="FWY1" s="615"/>
      <c r="FWZ1" s="615"/>
      <c r="FXA1" s="615"/>
      <c r="FXB1" s="615"/>
      <c r="FXC1" s="615"/>
      <c r="FXD1" s="615"/>
      <c r="FXE1" s="615"/>
      <c r="FXF1" s="615"/>
      <c r="FXG1" s="615"/>
      <c r="FXH1" s="615"/>
      <c r="FXI1" s="615"/>
      <c r="FXJ1" s="615"/>
      <c r="FXK1" s="615"/>
      <c r="FXL1" s="615"/>
      <c r="FXM1" s="615"/>
      <c r="FXN1" s="615"/>
      <c r="FXO1" s="615"/>
      <c r="FXP1" s="615"/>
      <c r="FXQ1" s="615"/>
      <c r="FXR1" s="615"/>
      <c r="FXS1" s="615"/>
      <c r="FXT1" s="615"/>
      <c r="FXU1" s="615"/>
      <c r="FXV1" s="615"/>
      <c r="FXW1" s="615"/>
      <c r="FXX1" s="615"/>
      <c r="FXY1" s="615"/>
      <c r="FXZ1" s="615"/>
      <c r="FYA1" s="615"/>
      <c r="FYB1" s="615"/>
      <c r="FYC1" s="615"/>
      <c r="FYD1" s="615"/>
      <c r="FYE1" s="615"/>
      <c r="FYF1" s="615"/>
      <c r="FYG1" s="615"/>
      <c r="FYH1" s="615"/>
      <c r="FYI1" s="615"/>
      <c r="FYJ1" s="615"/>
      <c r="FYK1" s="615"/>
      <c r="FYL1" s="615"/>
      <c r="FYM1" s="615"/>
      <c r="FYN1" s="615"/>
      <c r="FYO1" s="615"/>
      <c r="FYP1" s="615"/>
      <c r="FYQ1" s="615"/>
      <c r="FYR1" s="615"/>
      <c r="FYS1" s="615"/>
      <c r="FYT1" s="615"/>
      <c r="FYU1" s="615"/>
      <c r="FYV1" s="615"/>
      <c r="FYW1" s="615"/>
      <c r="FYX1" s="615"/>
      <c r="FYY1" s="615"/>
      <c r="FYZ1" s="615"/>
      <c r="FZA1" s="615"/>
      <c r="FZB1" s="615"/>
      <c r="FZC1" s="615"/>
      <c r="FZD1" s="615"/>
      <c r="FZE1" s="615"/>
      <c r="FZF1" s="615"/>
      <c r="FZG1" s="615"/>
      <c r="FZH1" s="615"/>
      <c r="FZI1" s="615"/>
      <c r="FZJ1" s="615"/>
      <c r="FZK1" s="615"/>
      <c r="FZL1" s="615"/>
      <c r="FZM1" s="615"/>
      <c r="FZN1" s="615"/>
      <c r="FZO1" s="615"/>
      <c r="FZP1" s="615"/>
      <c r="FZQ1" s="615"/>
      <c r="FZR1" s="615"/>
      <c r="FZS1" s="615"/>
      <c r="FZT1" s="615"/>
      <c r="FZU1" s="615"/>
      <c r="FZV1" s="615"/>
      <c r="FZW1" s="615"/>
      <c r="FZX1" s="615"/>
      <c r="FZY1" s="615"/>
      <c r="FZZ1" s="615"/>
      <c r="GAA1" s="615"/>
      <c r="GAB1" s="615"/>
      <c r="GAC1" s="615"/>
      <c r="GAD1" s="615"/>
      <c r="GAE1" s="615"/>
      <c r="GAF1" s="615"/>
      <c r="GAG1" s="615"/>
      <c r="GAH1" s="615"/>
      <c r="GAI1" s="615"/>
      <c r="GAJ1" s="615"/>
      <c r="GAK1" s="615"/>
      <c r="GAL1" s="615"/>
      <c r="GAM1" s="615"/>
      <c r="GAN1" s="615"/>
      <c r="GAO1" s="615"/>
      <c r="GAP1" s="615"/>
      <c r="GAQ1" s="615"/>
      <c r="GAR1" s="615"/>
      <c r="GAS1" s="615"/>
      <c r="GAT1" s="615"/>
      <c r="GAU1" s="615"/>
      <c r="GAV1" s="615"/>
      <c r="GAW1" s="615"/>
      <c r="GAX1" s="615"/>
      <c r="GAY1" s="615"/>
      <c r="GAZ1" s="615"/>
      <c r="GBA1" s="615"/>
      <c r="GBB1" s="615"/>
      <c r="GBC1" s="615"/>
      <c r="GBD1" s="615"/>
      <c r="GBE1" s="615"/>
      <c r="GBF1" s="615"/>
      <c r="GBG1" s="615"/>
      <c r="GBH1" s="615"/>
      <c r="GBI1" s="615"/>
      <c r="GBJ1" s="615"/>
      <c r="GBK1" s="615"/>
      <c r="GBL1" s="615"/>
      <c r="GBM1" s="615"/>
      <c r="GBN1" s="615"/>
      <c r="GBO1" s="615"/>
      <c r="GBP1" s="615"/>
      <c r="GBQ1" s="615"/>
      <c r="GBR1" s="615"/>
      <c r="GBS1" s="615"/>
      <c r="GBT1" s="615"/>
      <c r="GBU1" s="615"/>
      <c r="GBV1" s="615"/>
      <c r="GBW1" s="615"/>
      <c r="GBX1" s="615"/>
      <c r="GBY1" s="615"/>
      <c r="GBZ1" s="615"/>
      <c r="GCA1" s="615"/>
      <c r="GCB1" s="615"/>
      <c r="GCC1" s="615"/>
      <c r="GCD1" s="615"/>
      <c r="GCE1" s="615"/>
      <c r="GCF1" s="615"/>
      <c r="GCG1" s="615"/>
      <c r="GCH1" s="615"/>
      <c r="GCI1" s="615"/>
      <c r="GCJ1" s="615"/>
      <c r="GCK1" s="615"/>
      <c r="GCL1" s="615"/>
      <c r="GCM1" s="615"/>
      <c r="GCN1" s="615"/>
      <c r="GCO1" s="615"/>
      <c r="GCP1" s="615"/>
      <c r="GCQ1" s="615"/>
      <c r="GCR1" s="615"/>
      <c r="GCS1" s="615"/>
      <c r="GCT1" s="615"/>
      <c r="GCU1" s="615"/>
      <c r="GCV1" s="615"/>
      <c r="GCW1" s="615"/>
      <c r="GCX1" s="615"/>
      <c r="GCY1" s="615"/>
      <c r="GCZ1" s="615"/>
      <c r="GDA1" s="615"/>
      <c r="GDB1" s="615"/>
      <c r="GDC1" s="615"/>
      <c r="GDD1" s="615"/>
      <c r="GDE1" s="615"/>
      <c r="GDF1" s="615"/>
      <c r="GDG1" s="615"/>
      <c r="GDH1" s="615"/>
      <c r="GDI1" s="615"/>
      <c r="GDJ1" s="615"/>
      <c r="GDK1" s="615"/>
      <c r="GDL1" s="615"/>
      <c r="GDM1" s="615"/>
      <c r="GDN1" s="615"/>
      <c r="GDO1" s="615"/>
      <c r="GDP1" s="615"/>
      <c r="GDQ1" s="615"/>
      <c r="GDR1" s="615"/>
      <c r="GDS1" s="615"/>
      <c r="GDT1" s="615"/>
      <c r="GDU1" s="615"/>
      <c r="GDV1" s="615"/>
      <c r="GDW1" s="615"/>
      <c r="GDX1" s="615"/>
      <c r="GDY1" s="615"/>
      <c r="GDZ1" s="615"/>
      <c r="GEA1" s="615"/>
      <c r="GEB1" s="615"/>
      <c r="GEC1" s="615"/>
      <c r="GED1" s="615"/>
      <c r="GEE1" s="615"/>
      <c r="GEF1" s="615"/>
      <c r="GEG1" s="615"/>
      <c r="GEH1" s="615"/>
      <c r="GEI1" s="615"/>
      <c r="GEJ1" s="615"/>
      <c r="GEK1" s="615"/>
      <c r="GEL1" s="615"/>
      <c r="GEM1" s="615"/>
      <c r="GEN1" s="615"/>
      <c r="GEO1" s="615"/>
      <c r="GEP1" s="615"/>
      <c r="GEQ1" s="615"/>
      <c r="GER1" s="615"/>
      <c r="GES1" s="615"/>
      <c r="GET1" s="615"/>
      <c r="GEU1" s="615"/>
      <c r="GEV1" s="615"/>
      <c r="GEW1" s="615"/>
      <c r="GEX1" s="615"/>
      <c r="GEY1" s="615"/>
      <c r="GEZ1" s="615"/>
      <c r="GFA1" s="615"/>
      <c r="GFB1" s="615"/>
      <c r="GFC1" s="615"/>
      <c r="GFD1" s="615"/>
      <c r="GFE1" s="615"/>
      <c r="GFF1" s="615"/>
      <c r="GFG1" s="615"/>
      <c r="GFH1" s="615"/>
      <c r="GFI1" s="615"/>
      <c r="GFJ1" s="615"/>
      <c r="GFK1" s="615"/>
      <c r="GFL1" s="615"/>
      <c r="GFM1" s="615"/>
      <c r="GFN1" s="615"/>
      <c r="GFO1" s="615"/>
      <c r="GFP1" s="615"/>
      <c r="GFQ1" s="615"/>
      <c r="GFR1" s="615"/>
      <c r="GFS1" s="615"/>
      <c r="GFT1" s="615"/>
      <c r="GFU1" s="615"/>
      <c r="GFV1" s="615"/>
      <c r="GFW1" s="615"/>
      <c r="GFX1" s="615"/>
      <c r="GFY1" s="615"/>
      <c r="GFZ1" s="615"/>
      <c r="GGA1" s="615"/>
      <c r="GGB1" s="615"/>
      <c r="GGC1" s="615"/>
      <c r="GGD1" s="615"/>
      <c r="GGE1" s="615"/>
      <c r="GGF1" s="615"/>
      <c r="GGG1" s="615"/>
      <c r="GGH1" s="615"/>
      <c r="GGI1" s="615"/>
      <c r="GGJ1" s="615"/>
      <c r="GGK1" s="615"/>
      <c r="GGL1" s="615"/>
      <c r="GGM1" s="615"/>
      <c r="GGN1" s="615"/>
      <c r="GGO1" s="615"/>
      <c r="GGP1" s="615"/>
      <c r="GGQ1" s="615"/>
      <c r="GGR1" s="615"/>
      <c r="GGS1" s="615"/>
      <c r="GGT1" s="615"/>
      <c r="GGU1" s="615"/>
      <c r="GGV1" s="615"/>
      <c r="GGW1" s="615"/>
      <c r="GGX1" s="615"/>
      <c r="GGY1" s="615"/>
      <c r="GGZ1" s="615"/>
      <c r="GHA1" s="615"/>
      <c r="GHB1" s="615"/>
      <c r="GHC1" s="615"/>
      <c r="GHD1" s="615"/>
      <c r="GHE1" s="615"/>
      <c r="GHF1" s="615"/>
      <c r="GHG1" s="615"/>
      <c r="GHH1" s="615"/>
      <c r="GHI1" s="615"/>
      <c r="GHJ1" s="615"/>
      <c r="GHK1" s="615"/>
      <c r="GHL1" s="615"/>
      <c r="GHM1" s="615"/>
      <c r="GHN1" s="615"/>
      <c r="GHO1" s="615"/>
      <c r="GHP1" s="615"/>
      <c r="GHQ1" s="615"/>
      <c r="GHR1" s="615"/>
      <c r="GHS1" s="615"/>
      <c r="GHT1" s="615"/>
      <c r="GHU1" s="615"/>
      <c r="GHV1" s="615"/>
      <c r="GHW1" s="615"/>
      <c r="GHX1" s="615"/>
      <c r="GHY1" s="615"/>
      <c r="GHZ1" s="615"/>
      <c r="GIA1" s="615"/>
      <c r="GIB1" s="615"/>
      <c r="GIC1" s="615"/>
      <c r="GID1" s="615"/>
      <c r="GIE1" s="615"/>
      <c r="GIF1" s="615"/>
      <c r="GIG1" s="615"/>
      <c r="GIH1" s="615"/>
      <c r="GII1" s="615"/>
      <c r="GIJ1" s="615"/>
      <c r="GIK1" s="615"/>
      <c r="GIL1" s="615"/>
      <c r="GIM1" s="615"/>
      <c r="GIN1" s="615"/>
      <c r="GIO1" s="615"/>
      <c r="GIP1" s="615"/>
      <c r="GIQ1" s="615"/>
      <c r="GIR1" s="615"/>
      <c r="GIS1" s="615"/>
      <c r="GIT1" s="615"/>
      <c r="GIU1" s="615"/>
      <c r="GIV1" s="615"/>
      <c r="GIW1" s="615"/>
      <c r="GIX1" s="615"/>
      <c r="GIY1" s="615"/>
      <c r="GIZ1" s="615"/>
      <c r="GJA1" s="615"/>
      <c r="GJB1" s="615"/>
      <c r="GJC1" s="615"/>
      <c r="GJD1" s="615"/>
      <c r="GJE1" s="615"/>
      <c r="GJF1" s="615"/>
      <c r="GJG1" s="615"/>
      <c r="GJH1" s="615"/>
      <c r="GJI1" s="615"/>
      <c r="GJJ1" s="615"/>
      <c r="GJK1" s="615"/>
      <c r="GJL1" s="615"/>
      <c r="GJM1" s="615"/>
      <c r="GJN1" s="615"/>
      <c r="GJO1" s="615"/>
      <c r="GJP1" s="615"/>
      <c r="GJQ1" s="615"/>
      <c r="GJR1" s="615"/>
      <c r="GJS1" s="615"/>
      <c r="GJT1" s="615"/>
      <c r="GJU1" s="615"/>
      <c r="GJV1" s="615"/>
      <c r="GJW1" s="615"/>
      <c r="GJX1" s="615"/>
      <c r="GJY1" s="615"/>
      <c r="GJZ1" s="615"/>
      <c r="GKA1" s="615"/>
      <c r="GKB1" s="615"/>
      <c r="GKC1" s="615"/>
      <c r="GKD1" s="615"/>
      <c r="GKE1" s="615"/>
      <c r="GKF1" s="615"/>
      <c r="GKG1" s="615"/>
      <c r="GKH1" s="615"/>
      <c r="GKI1" s="615"/>
      <c r="GKJ1" s="615"/>
      <c r="GKK1" s="615"/>
      <c r="GKL1" s="615"/>
      <c r="GKM1" s="615"/>
      <c r="GKN1" s="615"/>
      <c r="GKO1" s="615"/>
      <c r="GKP1" s="615"/>
      <c r="GKQ1" s="615"/>
      <c r="GKR1" s="615"/>
      <c r="GKS1" s="615"/>
      <c r="GKT1" s="615"/>
      <c r="GKU1" s="615"/>
      <c r="GKV1" s="615"/>
      <c r="GKW1" s="615"/>
      <c r="GKX1" s="615"/>
      <c r="GKY1" s="615"/>
      <c r="GKZ1" s="615"/>
      <c r="GLA1" s="615"/>
      <c r="GLB1" s="615"/>
      <c r="GLC1" s="615"/>
      <c r="GLD1" s="615"/>
      <c r="GLE1" s="615"/>
      <c r="GLF1" s="615"/>
      <c r="GLG1" s="615"/>
      <c r="GLH1" s="615"/>
      <c r="GLI1" s="615"/>
      <c r="GLJ1" s="615"/>
      <c r="GLK1" s="615"/>
      <c r="GLL1" s="615"/>
      <c r="GLM1" s="615"/>
      <c r="GLN1" s="615"/>
      <c r="GLO1" s="615"/>
      <c r="GLP1" s="615"/>
      <c r="GLQ1" s="615"/>
      <c r="GLR1" s="615"/>
      <c r="GLS1" s="615"/>
      <c r="GLT1" s="615"/>
      <c r="GLU1" s="615"/>
      <c r="GLV1" s="615"/>
      <c r="GLW1" s="615"/>
      <c r="GLX1" s="615"/>
      <c r="GLY1" s="615"/>
      <c r="GLZ1" s="615"/>
      <c r="GMA1" s="615"/>
      <c r="GMB1" s="615"/>
      <c r="GMC1" s="615"/>
      <c r="GMD1" s="615"/>
      <c r="GME1" s="615"/>
      <c r="GMF1" s="615"/>
      <c r="GMG1" s="615"/>
      <c r="GMH1" s="615"/>
      <c r="GMI1" s="615"/>
      <c r="GMJ1" s="615"/>
      <c r="GMK1" s="615"/>
      <c r="GML1" s="615"/>
      <c r="GMM1" s="615"/>
      <c r="GMN1" s="615"/>
      <c r="GMO1" s="615"/>
      <c r="GMP1" s="615"/>
      <c r="GMQ1" s="615"/>
      <c r="GMR1" s="615"/>
      <c r="GMS1" s="615"/>
      <c r="GMT1" s="615"/>
      <c r="GMU1" s="615"/>
      <c r="GMV1" s="615"/>
      <c r="GMW1" s="615"/>
      <c r="GMX1" s="615"/>
      <c r="GMY1" s="615"/>
      <c r="GMZ1" s="615"/>
      <c r="GNA1" s="615"/>
      <c r="GNB1" s="615"/>
      <c r="GNC1" s="615"/>
      <c r="GND1" s="615"/>
      <c r="GNE1" s="615"/>
      <c r="GNF1" s="615"/>
      <c r="GNG1" s="615"/>
      <c r="GNH1" s="615"/>
      <c r="GNI1" s="615"/>
      <c r="GNJ1" s="615"/>
      <c r="GNK1" s="615"/>
      <c r="GNL1" s="615"/>
      <c r="GNM1" s="615"/>
      <c r="GNN1" s="615"/>
      <c r="GNO1" s="615"/>
      <c r="GNP1" s="615"/>
      <c r="GNQ1" s="615"/>
      <c r="GNR1" s="615"/>
      <c r="GNS1" s="615"/>
      <c r="GNT1" s="615"/>
      <c r="GNU1" s="615"/>
      <c r="GNV1" s="615"/>
      <c r="GNW1" s="615"/>
      <c r="GNX1" s="615"/>
      <c r="GNY1" s="615"/>
      <c r="GNZ1" s="615"/>
      <c r="GOA1" s="615"/>
      <c r="GOB1" s="615"/>
      <c r="GOC1" s="615"/>
      <c r="GOD1" s="615"/>
      <c r="GOE1" s="615"/>
      <c r="GOF1" s="615"/>
      <c r="GOG1" s="615"/>
      <c r="GOH1" s="615"/>
      <c r="GOI1" s="615"/>
      <c r="GOJ1" s="615"/>
      <c r="GOK1" s="615"/>
      <c r="GOL1" s="615"/>
      <c r="GOM1" s="615"/>
      <c r="GON1" s="615"/>
      <c r="GOO1" s="615"/>
      <c r="GOP1" s="615"/>
      <c r="GOQ1" s="615"/>
      <c r="GOR1" s="615"/>
      <c r="GOS1" s="615"/>
      <c r="GOT1" s="615"/>
      <c r="GOU1" s="615"/>
      <c r="GOV1" s="615"/>
      <c r="GOW1" s="615"/>
      <c r="GOX1" s="615"/>
      <c r="GOY1" s="615"/>
      <c r="GOZ1" s="615"/>
      <c r="GPA1" s="615"/>
      <c r="GPB1" s="615"/>
      <c r="GPC1" s="615"/>
      <c r="GPD1" s="615"/>
      <c r="GPE1" s="615"/>
      <c r="GPF1" s="615"/>
      <c r="GPG1" s="615"/>
      <c r="GPH1" s="615"/>
      <c r="GPI1" s="615"/>
      <c r="GPJ1" s="615"/>
      <c r="GPK1" s="615"/>
      <c r="GPL1" s="615"/>
      <c r="GPM1" s="615"/>
      <c r="GPN1" s="615"/>
      <c r="GPO1" s="615"/>
      <c r="GPP1" s="615"/>
      <c r="GPQ1" s="615"/>
      <c r="GPR1" s="615"/>
      <c r="GPS1" s="615"/>
      <c r="GPT1" s="615"/>
      <c r="GPU1" s="615"/>
      <c r="GPV1" s="615"/>
      <c r="GPW1" s="615"/>
      <c r="GPX1" s="615"/>
      <c r="GPY1" s="615"/>
      <c r="GPZ1" s="615"/>
      <c r="GQA1" s="615"/>
      <c r="GQB1" s="615"/>
      <c r="GQC1" s="615"/>
      <c r="GQD1" s="615"/>
      <c r="GQE1" s="615"/>
      <c r="GQF1" s="615"/>
      <c r="GQG1" s="615"/>
      <c r="GQH1" s="615"/>
      <c r="GQI1" s="615"/>
      <c r="GQJ1" s="615"/>
      <c r="GQK1" s="615"/>
      <c r="GQL1" s="615"/>
      <c r="GQM1" s="615"/>
      <c r="GQN1" s="615"/>
      <c r="GQO1" s="615"/>
      <c r="GQP1" s="615"/>
      <c r="GQQ1" s="615"/>
      <c r="GQR1" s="615"/>
      <c r="GQS1" s="615"/>
      <c r="GQT1" s="615"/>
      <c r="GQU1" s="615"/>
      <c r="GQV1" s="615"/>
      <c r="GQW1" s="615"/>
      <c r="GQX1" s="615"/>
      <c r="GQY1" s="615"/>
      <c r="GQZ1" s="615"/>
      <c r="GRA1" s="615"/>
      <c r="GRB1" s="615"/>
      <c r="GRC1" s="615"/>
      <c r="GRD1" s="615"/>
      <c r="GRE1" s="615"/>
      <c r="GRF1" s="615"/>
      <c r="GRG1" s="615"/>
      <c r="GRH1" s="615"/>
      <c r="GRI1" s="615"/>
      <c r="GRJ1" s="615"/>
      <c r="GRK1" s="615"/>
      <c r="GRL1" s="615"/>
      <c r="GRM1" s="615"/>
      <c r="GRN1" s="615"/>
      <c r="GRO1" s="615"/>
      <c r="GRP1" s="615"/>
      <c r="GRQ1" s="615"/>
      <c r="GRR1" s="615"/>
      <c r="GRS1" s="615"/>
      <c r="GRT1" s="615"/>
      <c r="GRU1" s="615"/>
      <c r="GRV1" s="615"/>
      <c r="GRW1" s="615"/>
      <c r="GRX1" s="615"/>
      <c r="GRY1" s="615"/>
      <c r="GRZ1" s="615"/>
      <c r="GSA1" s="615"/>
      <c r="GSB1" s="615"/>
      <c r="GSC1" s="615"/>
      <c r="GSD1" s="615"/>
      <c r="GSE1" s="615"/>
      <c r="GSF1" s="615"/>
      <c r="GSG1" s="615"/>
      <c r="GSH1" s="615"/>
      <c r="GSI1" s="615"/>
      <c r="GSJ1" s="615"/>
      <c r="GSK1" s="615"/>
      <c r="GSL1" s="615"/>
      <c r="GSM1" s="615"/>
      <c r="GSN1" s="615"/>
      <c r="GSO1" s="615"/>
      <c r="GSP1" s="615"/>
      <c r="GSQ1" s="615"/>
      <c r="GSR1" s="615"/>
      <c r="GSS1" s="615"/>
      <c r="GST1" s="615"/>
      <c r="GSU1" s="615"/>
      <c r="GSV1" s="615"/>
      <c r="GSW1" s="615"/>
      <c r="GSX1" s="615"/>
      <c r="GSY1" s="615"/>
      <c r="GSZ1" s="615"/>
      <c r="GTA1" s="615"/>
      <c r="GTB1" s="615"/>
      <c r="GTC1" s="615"/>
      <c r="GTD1" s="615"/>
      <c r="GTE1" s="615"/>
      <c r="GTF1" s="615"/>
      <c r="GTG1" s="615"/>
      <c r="GTH1" s="615"/>
      <c r="GTI1" s="615"/>
      <c r="GTJ1" s="615"/>
      <c r="GTK1" s="615"/>
      <c r="GTL1" s="615"/>
      <c r="GTM1" s="615"/>
      <c r="GTN1" s="615"/>
      <c r="GTO1" s="615"/>
      <c r="GTP1" s="615"/>
      <c r="GTQ1" s="615"/>
      <c r="GTR1" s="615"/>
      <c r="GTS1" s="615"/>
      <c r="GTT1" s="615"/>
      <c r="GTU1" s="615"/>
      <c r="GTV1" s="615"/>
      <c r="GTW1" s="615"/>
      <c r="GTX1" s="615"/>
      <c r="GTY1" s="615"/>
      <c r="GTZ1" s="615"/>
      <c r="GUA1" s="615"/>
      <c r="GUB1" s="615"/>
      <c r="GUC1" s="615"/>
      <c r="GUD1" s="615"/>
      <c r="GUE1" s="615"/>
      <c r="GUF1" s="615"/>
      <c r="GUG1" s="615"/>
      <c r="GUH1" s="615"/>
      <c r="GUI1" s="615"/>
      <c r="GUJ1" s="615"/>
      <c r="GUK1" s="615"/>
      <c r="GUL1" s="615"/>
      <c r="GUM1" s="615"/>
      <c r="GUN1" s="615"/>
      <c r="GUO1" s="615"/>
      <c r="GUP1" s="615"/>
      <c r="GUQ1" s="615"/>
      <c r="GUR1" s="615"/>
      <c r="GUS1" s="615"/>
      <c r="GUT1" s="615"/>
      <c r="GUU1" s="615"/>
      <c r="GUV1" s="615"/>
      <c r="GUW1" s="615"/>
      <c r="GUX1" s="615"/>
      <c r="GUY1" s="615"/>
      <c r="GUZ1" s="615"/>
      <c r="GVA1" s="615"/>
      <c r="GVB1" s="615"/>
      <c r="GVC1" s="615"/>
      <c r="GVD1" s="615"/>
      <c r="GVE1" s="615"/>
      <c r="GVF1" s="615"/>
      <c r="GVG1" s="615"/>
      <c r="GVH1" s="615"/>
      <c r="GVI1" s="615"/>
      <c r="GVJ1" s="615"/>
      <c r="GVK1" s="615"/>
      <c r="GVL1" s="615"/>
      <c r="GVM1" s="615"/>
      <c r="GVN1" s="615"/>
      <c r="GVO1" s="615"/>
      <c r="GVP1" s="615"/>
      <c r="GVQ1" s="615"/>
      <c r="GVR1" s="615"/>
      <c r="GVS1" s="615"/>
      <c r="GVT1" s="615"/>
      <c r="GVU1" s="615"/>
      <c r="GVV1" s="615"/>
      <c r="GVW1" s="615"/>
      <c r="GVX1" s="615"/>
      <c r="GVY1" s="615"/>
      <c r="GVZ1" s="615"/>
      <c r="GWA1" s="615"/>
      <c r="GWB1" s="615"/>
      <c r="GWC1" s="615"/>
      <c r="GWD1" s="615"/>
      <c r="GWE1" s="615"/>
      <c r="GWF1" s="615"/>
      <c r="GWG1" s="615"/>
      <c r="GWH1" s="615"/>
      <c r="GWI1" s="615"/>
      <c r="GWJ1" s="615"/>
      <c r="GWK1" s="615"/>
      <c r="GWL1" s="615"/>
      <c r="GWM1" s="615"/>
      <c r="GWN1" s="615"/>
      <c r="GWO1" s="615"/>
      <c r="GWP1" s="615"/>
      <c r="GWQ1" s="615"/>
      <c r="GWR1" s="615"/>
      <c r="GWS1" s="615"/>
      <c r="GWT1" s="615"/>
      <c r="GWU1" s="615"/>
      <c r="GWV1" s="615"/>
      <c r="GWW1" s="615"/>
      <c r="GWX1" s="615"/>
      <c r="GWY1" s="615"/>
      <c r="GWZ1" s="615"/>
      <c r="GXA1" s="615"/>
      <c r="GXB1" s="615"/>
      <c r="GXC1" s="615"/>
      <c r="GXD1" s="615"/>
      <c r="GXE1" s="615"/>
      <c r="GXF1" s="615"/>
      <c r="GXG1" s="615"/>
      <c r="GXH1" s="615"/>
      <c r="GXI1" s="615"/>
      <c r="GXJ1" s="615"/>
      <c r="GXK1" s="615"/>
      <c r="GXL1" s="615"/>
      <c r="GXM1" s="615"/>
      <c r="GXN1" s="615"/>
      <c r="GXO1" s="615"/>
      <c r="GXP1" s="615"/>
      <c r="GXQ1" s="615"/>
      <c r="GXR1" s="615"/>
      <c r="GXS1" s="615"/>
      <c r="GXT1" s="615"/>
      <c r="GXU1" s="615"/>
      <c r="GXV1" s="615"/>
      <c r="GXW1" s="615"/>
      <c r="GXX1" s="615"/>
      <c r="GXY1" s="615"/>
      <c r="GXZ1" s="615"/>
      <c r="GYA1" s="615"/>
      <c r="GYB1" s="615"/>
      <c r="GYC1" s="615"/>
      <c r="GYD1" s="615"/>
      <c r="GYE1" s="615"/>
      <c r="GYF1" s="615"/>
      <c r="GYG1" s="615"/>
      <c r="GYH1" s="615"/>
      <c r="GYI1" s="615"/>
      <c r="GYJ1" s="615"/>
      <c r="GYK1" s="615"/>
      <c r="GYL1" s="615"/>
      <c r="GYM1" s="615"/>
      <c r="GYN1" s="615"/>
      <c r="GYO1" s="615"/>
      <c r="GYP1" s="615"/>
      <c r="GYQ1" s="615"/>
      <c r="GYR1" s="615"/>
      <c r="GYS1" s="615"/>
      <c r="GYT1" s="615"/>
      <c r="GYU1" s="615"/>
      <c r="GYV1" s="615"/>
      <c r="GYW1" s="615"/>
      <c r="GYX1" s="615"/>
      <c r="GYY1" s="615"/>
      <c r="GYZ1" s="615"/>
      <c r="GZA1" s="615"/>
      <c r="GZB1" s="615"/>
      <c r="GZC1" s="615"/>
      <c r="GZD1" s="615"/>
      <c r="GZE1" s="615"/>
      <c r="GZF1" s="615"/>
      <c r="GZG1" s="615"/>
      <c r="GZH1" s="615"/>
      <c r="GZI1" s="615"/>
      <c r="GZJ1" s="615"/>
      <c r="GZK1" s="615"/>
      <c r="GZL1" s="615"/>
      <c r="GZM1" s="615"/>
      <c r="GZN1" s="615"/>
      <c r="GZO1" s="615"/>
      <c r="GZP1" s="615"/>
      <c r="GZQ1" s="615"/>
      <c r="GZR1" s="615"/>
      <c r="GZS1" s="615"/>
      <c r="GZT1" s="615"/>
      <c r="GZU1" s="615"/>
      <c r="GZV1" s="615"/>
      <c r="GZW1" s="615"/>
      <c r="GZX1" s="615"/>
      <c r="GZY1" s="615"/>
      <c r="GZZ1" s="615"/>
      <c r="HAA1" s="615"/>
      <c r="HAB1" s="615"/>
      <c r="HAC1" s="615"/>
      <c r="HAD1" s="615"/>
      <c r="HAE1" s="615"/>
      <c r="HAF1" s="615"/>
      <c r="HAG1" s="615"/>
      <c r="HAH1" s="615"/>
      <c r="HAI1" s="615"/>
      <c r="HAJ1" s="615"/>
      <c r="HAK1" s="615"/>
      <c r="HAL1" s="615"/>
      <c r="HAM1" s="615"/>
      <c r="HAN1" s="615"/>
      <c r="HAO1" s="615"/>
      <c r="HAP1" s="615"/>
      <c r="HAQ1" s="615"/>
      <c r="HAR1" s="615"/>
      <c r="HAS1" s="615"/>
      <c r="HAT1" s="615"/>
      <c r="HAU1" s="615"/>
      <c r="HAV1" s="615"/>
      <c r="HAW1" s="615"/>
      <c r="HAX1" s="615"/>
      <c r="HAY1" s="615"/>
      <c r="HAZ1" s="615"/>
      <c r="HBA1" s="615"/>
      <c r="HBB1" s="615"/>
      <c r="HBC1" s="615"/>
      <c r="HBD1" s="615"/>
      <c r="HBE1" s="615"/>
      <c r="HBF1" s="615"/>
      <c r="HBG1" s="615"/>
      <c r="HBH1" s="615"/>
      <c r="HBI1" s="615"/>
      <c r="HBJ1" s="615"/>
      <c r="HBK1" s="615"/>
      <c r="HBL1" s="615"/>
      <c r="HBM1" s="615"/>
      <c r="HBN1" s="615"/>
      <c r="HBO1" s="615"/>
      <c r="HBP1" s="615"/>
      <c r="HBQ1" s="615"/>
      <c r="HBR1" s="615"/>
      <c r="HBS1" s="615"/>
      <c r="HBT1" s="615"/>
      <c r="HBU1" s="615"/>
      <c r="HBV1" s="615"/>
      <c r="HBW1" s="615"/>
      <c r="HBX1" s="615"/>
      <c r="HBY1" s="615"/>
      <c r="HBZ1" s="615"/>
      <c r="HCA1" s="615"/>
      <c r="HCB1" s="615"/>
      <c r="HCC1" s="615"/>
      <c r="HCD1" s="615"/>
      <c r="HCE1" s="615"/>
      <c r="HCF1" s="615"/>
      <c r="HCG1" s="615"/>
      <c r="HCH1" s="615"/>
      <c r="HCI1" s="615"/>
      <c r="HCJ1" s="615"/>
      <c r="HCK1" s="615"/>
      <c r="HCL1" s="615"/>
      <c r="HCM1" s="615"/>
      <c r="HCN1" s="615"/>
      <c r="HCO1" s="615"/>
      <c r="HCP1" s="615"/>
      <c r="HCQ1" s="615"/>
      <c r="HCR1" s="615"/>
      <c r="HCS1" s="615"/>
      <c r="HCT1" s="615"/>
      <c r="HCU1" s="615"/>
      <c r="HCV1" s="615"/>
      <c r="HCW1" s="615"/>
      <c r="HCX1" s="615"/>
      <c r="HCY1" s="615"/>
      <c r="HCZ1" s="615"/>
      <c r="HDA1" s="615"/>
      <c r="HDB1" s="615"/>
      <c r="HDC1" s="615"/>
      <c r="HDD1" s="615"/>
      <c r="HDE1" s="615"/>
      <c r="HDF1" s="615"/>
      <c r="HDG1" s="615"/>
      <c r="HDH1" s="615"/>
      <c r="HDI1" s="615"/>
      <c r="HDJ1" s="615"/>
      <c r="HDK1" s="615"/>
      <c r="HDL1" s="615"/>
      <c r="HDM1" s="615"/>
      <c r="HDN1" s="615"/>
      <c r="HDO1" s="615"/>
      <c r="HDP1" s="615"/>
      <c r="HDQ1" s="615"/>
      <c r="HDR1" s="615"/>
      <c r="HDS1" s="615"/>
      <c r="HDT1" s="615"/>
      <c r="HDU1" s="615"/>
      <c r="HDV1" s="615"/>
      <c r="HDW1" s="615"/>
      <c r="HDX1" s="615"/>
      <c r="HDY1" s="615"/>
      <c r="HDZ1" s="615"/>
      <c r="HEA1" s="615"/>
      <c r="HEB1" s="615"/>
      <c r="HEC1" s="615"/>
      <c r="HED1" s="615"/>
      <c r="HEE1" s="615"/>
      <c r="HEF1" s="615"/>
      <c r="HEG1" s="615"/>
      <c r="HEH1" s="615"/>
      <c r="HEI1" s="615"/>
      <c r="HEJ1" s="615"/>
      <c r="HEK1" s="615"/>
      <c r="HEL1" s="615"/>
      <c r="HEM1" s="615"/>
      <c r="HEN1" s="615"/>
      <c r="HEO1" s="615"/>
      <c r="HEP1" s="615"/>
      <c r="HEQ1" s="615"/>
      <c r="HER1" s="615"/>
      <c r="HES1" s="615"/>
      <c r="HET1" s="615"/>
      <c r="HEU1" s="615"/>
      <c r="HEV1" s="615"/>
      <c r="HEW1" s="615"/>
      <c r="HEX1" s="615"/>
      <c r="HEY1" s="615"/>
      <c r="HEZ1" s="615"/>
      <c r="HFA1" s="615"/>
      <c r="HFB1" s="615"/>
      <c r="HFC1" s="615"/>
      <c r="HFD1" s="615"/>
      <c r="HFE1" s="615"/>
      <c r="HFF1" s="615"/>
      <c r="HFG1" s="615"/>
      <c r="HFH1" s="615"/>
      <c r="HFI1" s="615"/>
      <c r="HFJ1" s="615"/>
      <c r="HFK1" s="615"/>
      <c r="HFL1" s="615"/>
      <c r="HFM1" s="615"/>
      <c r="HFN1" s="615"/>
      <c r="HFO1" s="615"/>
      <c r="HFP1" s="615"/>
      <c r="HFQ1" s="615"/>
      <c r="HFR1" s="615"/>
      <c r="HFS1" s="615"/>
      <c r="HFT1" s="615"/>
      <c r="HFU1" s="615"/>
      <c r="HFV1" s="615"/>
      <c r="HFW1" s="615"/>
      <c r="HFX1" s="615"/>
      <c r="HFY1" s="615"/>
      <c r="HFZ1" s="615"/>
      <c r="HGA1" s="615"/>
      <c r="HGB1" s="615"/>
      <c r="HGC1" s="615"/>
      <c r="HGD1" s="615"/>
      <c r="HGE1" s="615"/>
      <c r="HGF1" s="615"/>
      <c r="HGG1" s="615"/>
      <c r="HGH1" s="615"/>
      <c r="HGI1" s="615"/>
      <c r="HGJ1" s="615"/>
      <c r="HGK1" s="615"/>
      <c r="HGL1" s="615"/>
      <c r="HGM1" s="615"/>
      <c r="HGN1" s="615"/>
      <c r="HGO1" s="615"/>
      <c r="HGP1" s="615"/>
      <c r="HGQ1" s="615"/>
      <c r="HGR1" s="615"/>
      <c r="HGS1" s="615"/>
      <c r="HGT1" s="615"/>
      <c r="HGU1" s="615"/>
      <c r="HGV1" s="615"/>
      <c r="HGW1" s="615"/>
      <c r="HGX1" s="615"/>
      <c r="HGY1" s="615"/>
      <c r="HGZ1" s="615"/>
      <c r="HHA1" s="615"/>
      <c r="HHB1" s="615"/>
      <c r="HHC1" s="615"/>
      <c r="HHD1" s="615"/>
      <c r="HHE1" s="615"/>
      <c r="HHF1" s="615"/>
      <c r="HHG1" s="615"/>
      <c r="HHH1" s="615"/>
      <c r="HHI1" s="615"/>
      <c r="HHJ1" s="615"/>
      <c r="HHK1" s="615"/>
      <c r="HHL1" s="615"/>
      <c r="HHM1" s="615"/>
      <c r="HHN1" s="615"/>
      <c r="HHO1" s="615"/>
      <c r="HHP1" s="615"/>
      <c r="HHQ1" s="615"/>
      <c r="HHR1" s="615"/>
      <c r="HHS1" s="615"/>
      <c r="HHT1" s="615"/>
      <c r="HHU1" s="615"/>
      <c r="HHV1" s="615"/>
      <c r="HHW1" s="615"/>
      <c r="HHX1" s="615"/>
      <c r="HHY1" s="615"/>
      <c r="HHZ1" s="615"/>
      <c r="HIA1" s="615"/>
      <c r="HIB1" s="615"/>
      <c r="HIC1" s="615"/>
      <c r="HID1" s="615"/>
      <c r="HIE1" s="615"/>
      <c r="HIF1" s="615"/>
      <c r="HIG1" s="615"/>
      <c r="HIH1" s="615"/>
      <c r="HII1" s="615"/>
      <c r="HIJ1" s="615"/>
      <c r="HIK1" s="615"/>
      <c r="HIL1" s="615"/>
      <c r="HIM1" s="615"/>
      <c r="HIN1" s="615"/>
      <c r="HIO1" s="615"/>
      <c r="HIP1" s="615"/>
      <c r="HIQ1" s="615"/>
      <c r="HIR1" s="615"/>
      <c r="HIS1" s="615"/>
      <c r="HIT1" s="615"/>
      <c r="HIU1" s="615"/>
      <c r="HIV1" s="615"/>
      <c r="HIW1" s="615"/>
      <c r="HIX1" s="615"/>
      <c r="HIY1" s="615"/>
      <c r="HIZ1" s="615"/>
      <c r="HJA1" s="615"/>
      <c r="HJB1" s="615"/>
      <c r="HJC1" s="615"/>
      <c r="HJD1" s="615"/>
      <c r="HJE1" s="615"/>
      <c r="HJF1" s="615"/>
      <c r="HJG1" s="615"/>
      <c r="HJH1" s="615"/>
      <c r="HJI1" s="615"/>
      <c r="HJJ1" s="615"/>
      <c r="HJK1" s="615"/>
      <c r="HJL1" s="615"/>
      <c r="HJM1" s="615"/>
      <c r="HJN1" s="615"/>
      <c r="HJO1" s="615"/>
      <c r="HJP1" s="615"/>
      <c r="HJQ1" s="615"/>
      <c r="HJR1" s="615"/>
      <c r="HJS1" s="615"/>
      <c r="HJT1" s="615"/>
      <c r="HJU1" s="615"/>
      <c r="HJV1" s="615"/>
      <c r="HJW1" s="615"/>
      <c r="HJX1" s="615"/>
      <c r="HJY1" s="615"/>
      <c r="HJZ1" s="615"/>
      <c r="HKA1" s="615"/>
      <c r="HKB1" s="615"/>
      <c r="HKC1" s="615"/>
      <c r="HKD1" s="615"/>
      <c r="HKE1" s="615"/>
      <c r="HKF1" s="615"/>
      <c r="HKG1" s="615"/>
      <c r="HKH1" s="615"/>
      <c r="HKI1" s="615"/>
      <c r="HKJ1" s="615"/>
      <c r="HKK1" s="615"/>
      <c r="HKL1" s="615"/>
      <c r="HKM1" s="615"/>
      <c r="HKN1" s="615"/>
      <c r="HKO1" s="615"/>
      <c r="HKP1" s="615"/>
      <c r="HKQ1" s="615"/>
      <c r="HKR1" s="615"/>
      <c r="HKS1" s="615"/>
      <c r="HKT1" s="615"/>
      <c r="HKU1" s="615"/>
      <c r="HKV1" s="615"/>
      <c r="HKW1" s="615"/>
      <c r="HKX1" s="615"/>
      <c r="HKY1" s="615"/>
      <c r="HKZ1" s="615"/>
      <c r="HLA1" s="615"/>
      <c r="HLB1" s="615"/>
      <c r="HLC1" s="615"/>
      <c r="HLD1" s="615"/>
      <c r="HLE1" s="615"/>
      <c r="HLF1" s="615"/>
      <c r="HLG1" s="615"/>
      <c r="HLH1" s="615"/>
      <c r="HLI1" s="615"/>
      <c r="HLJ1" s="615"/>
      <c r="HLK1" s="615"/>
      <c r="HLL1" s="615"/>
      <c r="HLM1" s="615"/>
      <c r="HLN1" s="615"/>
      <c r="HLO1" s="615"/>
      <c r="HLP1" s="615"/>
      <c r="HLQ1" s="615"/>
      <c r="HLR1" s="615"/>
      <c r="HLS1" s="615"/>
      <c r="HLT1" s="615"/>
      <c r="HLU1" s="615"/>
      <c r="HLV1" s="615"/>
      <c r="HLW1" s="615"/>
      <c r="HLX1" s="615"/>
      <c r="HLY1" s="615"/>
      <c r="HLZ1" s="615"/>
      <c r="HMA1" s="615"/>
      <c r="HMB1" s="615"/>
      <c r="HMC1" s="615"/>
      <c r="HMD1" s="615"/>
      <c r="HME1" s="615"/>
      <c r="HMF1" s="615"/>
      <c r="HMG1" s="615"/>
      <c r="HMH1" s="615"/>
      <c r="HMI1" s="615"/>
      <c r="HMJ1" s="615"/>
      <c r="HMK1" s="615"/>
      <c r="HML1" s="615"/>
      <c r="HMM1" s="615"/>
      <c r="HMN1" s="615"/>
      <c r="HMO1" s="615"/>
      <c r="HMP1" s="615"/>
      <c r="HMQ1" s="615"/>
      <c r="HMR1" s="615"/>
      <c r="HMS1" s="615"/>
      <c r="HMT1" s="615"/>
      <c r="HMU1" s="615"/>
      <c r="HMV1" s="615"/>
      <c r="HMW1" s="615"/>
      <c r="HMX1" s="615"/>
      <c r="HMY1" s="615"/>
      <c r="HMZ1" s="615"/>
      <c r="HNA1" s="615"/>
      <c r="HNB1" s="615"/>
      <c r="HNC1" s="615"/>
      <c r="HND1" s="615"/>
      <c r="HNE1" s="615"/>
      <c r="HNF1" s="615"/>
      <c r="HNG1" s="615"/>
      <c r="HNH1" s="615"/>
      <c r="HNI1" s="615"/>
      <c r="HNJ1" s="615"/>
      <c r="HNK1" s="615"/>
      <c r="HNL1" s="615"/>
      <c r="HNM1" s="615"/>
      <c r="HNN1" s="615"/>
      <c r="HNO1" s="615"/>
      <c r="HNP1" s="615"/>
      <c r="HNQ1" s="615"/>
      <c r="HNR1" s="615"/>
      <c r="HNS1" s="615"/>
      <c r="HNT1" s="615"/>
      <c r="HNU1" s="615"/>
      <c r="HNV1" s="615"/>
      <c r="HNW1" s="615"/>
      <c r="HNX1" s="615"/>
      <c r="HNY1" s="615"/>
      <c r="HNZ1" s="615"/>
      <c r="HOA1" s="615"/>
      <c r="HOB1" s="615"/>
      <c r="HOC1" s="615"/>
      <c r="HOD1" s="615"/>
      <c r="HOE1" s="615"/>
      <c r="HOF1" s="615"/>
      <c r="HOG1" s="615"/>
      <c r="HOH1" s="615"/>
      <c r="HOI1" s="615"/>
      <c r="HOJ1" s="615"/>
      <c r="HOK1" s="615"/>
      <c r="HOL1" s="615"/>
      <c r="HOM1" s="615"/>
      <c r="HON1" s="615"/>
      <c r="HOO1" s="615"/>
      <c r="HOP1" s="615"/>
      <c r="HOQ1" s="615"/>
      <c r="HOR1" s="615"/>
      <c r="HOS1" s="615"/>
      <c r="HOT1" s="615"/>
      <c r="HOU1" s="615"/>
      <c r="HOV1" s="615"/>
      <c r="HOW1" s="615"/>
      <c r="HOX1" s="615"/>
      <c r="HOY1" s="615"/>
      <c r="HOZ1" s="615"/>
      <c r="HPA1" s="615"/>
      <c r="HPB1" s="615"/>
      <c r="HPC1" s="615"/>
      <c r="HPD1" s="615"/>
      <c r="HPE1" s="615"/>
      <c r="HPF1" s="615"/>
      <c r="HPG1" s="615"/>
      <c r="HPH1" s="615"/>
      <c r="HPI1" s="615"/>
      <c r="HPJ1" s="615"/>
      <c r="HPK1" s="615"/>
      <c r="HPL1" s="615"/>
      <c r="HPM1" s="615"/>
      <c r="HPN1" s="615"/>
      <c r="HPO1" s="615"/>
      <c r="HPP1" s="615"/>
      <c r="HPQ1" s="615"/>
      <c r="HPR1" s="615"/>
      <c r="HPS1" s="615"/>
      <c r="HPT1" s="615"/>
      <c r="HPU1" s="615"/>
      <c r="HPV1" s="615"/>
      <c r="HPW1" s="615"/>
      <c r="HPX1" s="615"/>
      <c r="HPY1" s="615"/>
      <c r="HPZ1" s="615"/>
      <c r="HQA1" s="615"/>
      <c r="HQB1" s="615"/>
      <c r="HQC1" s="615"/>
      <c r="HQD1" s="615"/>
      <c r="HQE1" s="615"/>
      <c r="HQF1" s="615"/>
      <c r="HQG1" s="615"/>
      <c r="HQH1" s="615"/>
      <c r="HQI1" s="615"/>
      <c r="HQJ1" s="615"/>
      <c r="HQK1" s="615"/>
      <c r="HQL1" s="615"/>
      <c r="HQM1" s="615"/>
      <c r="HQN1" s="615"/>
      <c r="HQO1" s="615"/>
      <c r="HQP1" s="615"/>
      <c r="HQQ1" s="615"/>
      <c r="HQR1" s="615"/>
      <c r="HQS1" s="615"/>
      <c r="HQT1" s="615"/>
      <c r="HQU1" s="615"/>
      <c r="HQV1" s="615"/>
      <c r="HQW1" s="615"/>
      <c r="HQX1" s="615"/>
      <c r="HQY1" s="615"/>
      <c r="HQZ1" s="615"/>
      <c r="HRA1" s="615"/>
      <c r="HRB1" s="615"/>
      <c r="HRC1" s="615"/>
      <c r="HRD1" s="615"/>
      <c r="HRE1" s="615"/>
      <c r="HRF1" s="615"/>
      <c r="HRG1" s="615"/>
      <c r="HRH1" s="615"/>
      <c r="HRI1" s="615"/>
      <c r="HRJ1" s="615"/>
      <c r="HRK1" s="615"/>
      <c r="HRL1" s="615"/>
      <c r="HRM1" s="615"/>
      <c r="HRN1" s="615"/>
      <c r="HRO1" s="615"/>
      <c r="HRP1" s="615"/>
      <c r="HRQ1" s="615"/>
      <c r="HRR1" s="615"/>
      <c r="HRS1" s="615"/>
      <c r="HRT1" s="615"/>
      <c r="HRU1" s="615"/>
      <c r="HRV1" s="615"/>
      <c r="HRW1" s="615"/>
      <c r="HRX1" s="615"/>
      <c r="HRY1" s="615"/>
      <c r="HRZ1" s="615"/>
      <c r="HSA1" s="615"/>
      <c r="HSB1" s="615"/>
      <c r="HSC1" s="615"/>
      <c r="HSD1" s="615"/>
      <c r="HSE1" s="615"/>
      <c r="HSF1" s="615"/>
      <c r="HSG1" s="615"/>
      <c r="HSH1" s="615"/>
      <c r="HSI1" s="615"/>
      <c r="HSJ1" s="615"/>
      <c r="HSK1" s="615"/>
      <c r="HSL1" s="615"/>
      <c r="HSM1" s="615"/>
      <c r="HSN1" s="615"/>
      <c r="HSO1" s="615"/>
      <c r="HSP1" s="615"/>
      <c r="HSQ1" s="615"/>
      <c r="HSR1" s="615"/>
      <c r="HSS1" s="615"/>
      <c r="HST1" s="615"/>
      <c r="HSU1" s="615"/>
      <c r="HSV1" s="615"/>
      <c r="HSW1" s="615"/>
      <c r="HSX1" s="615"/>
      <c r="HSY1" s="615"/>
      <c r="HSZ1" s="615"/>
      <c r="HTA1" s="615"/>
      <c r="HTB1" s="615"/>
      <c r="HTC1" s="615"/>
      <c r="HTD1" s="615"/>
      <c r="HTE1" s="615"/>
      <c r="HTF1" s="615"/>
      <c r="HTG1" s="615"/>
      <c r="HTH1" s="615"/>
      <c r="HTI1" s="615"/>
      <c r="HTJ1" s="615"/>
      <c r="HTK1" s="615"/>
      <c r="HTL1" s="615"/>
      <c r="HTM1" s="615"/>
      <c r="HTN1" s="615"/>
      <c r="HTO1" s="615"/>
      <c r="HTP1" s="615"/>
      <c r="HTQ1" s="615"/>
      <c r="HTR1" s="615"/>
      <c r="HTS1" s="615"/>
      <c r="HTT1" s="615"/>
      <c r="HTU1" s="615"/>
      <c r="HTV1" s="615"/>
      <c r="HTW1" s="615"/>
      <c r="HTX1" s="615"/>
      <c r="HTY1" s="615"/>
      <c r="HTZ1" s="615"/>
      <c r="HUA1" s="615"/>
      <c r="HUB1" s="615"/>
      <c r="HUC1" s="615"/>
      <c r="HUD1" s="615"/>
      <c r="HUE1" s="615"/>
      <c r="HUF1" s="615"/>
      <c r="HUG1" s="615"/>
      <c r="HUH1" s="615"/>
      <c r="HUI1" s="615"/>
      <c r="HUJ1" s="615"/>
      <c r="HUK1" s="615"/>
      <c r="HUL1" s="615"/>
      <c r="HUM1" s="615"/>
      <c r="HUN1" s="615"/>
      <c r="HUO1" s="615"/>
      <c r="HUP1" s="615"/>
      <c r="HUQ1" s="615"/>
      <c r="HUR1" s="615"/>
      <c r="HUS1" s="615"/>
      <c r="HUT1" s="615"/>
      <c r="HUU1" s="615"/>
      <c r="HUV1" s="615"/>
      <c r="HUW1" s="615"/>
      <c r="HUX1" s="615"/>
      <c r="HUY1" s="615"/>
      <c r="HUZ1" s="615"/>
      <c r="HVA1" s="615"/>
      <c r="HVB1" s="615"/>
      <c r="HVC1" s="615"/>
      <c r="HVD1" s="615"/>
      <c r="HVE1" s="615"/>
      <c r="HVF1" s="615"/>
      <c r="HVG1" s="615"/>
      <c r="HVH1" s="615"/>
      <c r="HVI1" s="615"/>
      <c r="HVJ1" s="615"/>
      <c r="HVK1" s="615"/>
      <c r="HVL1" s="615"/>
      <c r="HVM1" s="615"/>
      <c r="HVN1" s="615"/>
      <c r="HVO1" s="615"/>
      <c r="HVP1" s="615"/>
      <c r="HVQ1" s="615"/>
      <c r="HVR1" s="615"/>
      <c r="HVS1" s="615"/>
      <c r="HVT1" s="615"/>
      <c r="HVU1" s="615"/>
      <c r="HVV1" s="615"/>
      <c r="HVW1" s="615"/>
      <c r="HVX1" s="615"/>
      <c r="HVY1" s="615"/>
      <c r="HVZ1" s="615"/>
      <c r="HWA1" s="615"/>
      <c r="HWB1" s="615"/>
      <c r="HWC1" s="615"/>
      <c r="HWD1" s="615"/>
      <c r="HWE1" s="615"/>
      <c r="HWF1" s="615"/>
      <c r="HWG1" s="615"/>
      <c r="HWH1" s="615"/>
      <c r="HWI1" s="615"/>
      <c r="HWJ1" s="615"/>
      <c r="HWK1" s="615"/>
      <c r="HWL1" s="615"/>
      <c r="HWM1" s="615"/>
      <c r="HWN1" s="615"/>
      <c r="HWO1" s="615"/>
      <c r="HWP1" s="615"/>
      <c r="HWQ1" s="615"/>
      <c r="HWR1" s="615"/>
      <c r="HWS1" s="615"/>
      <c r="HWT1" s="615"/>
      <c r="HWU1" s="615"/>
      <c r="HWV1" s="615"/>
      <c r="HWW1" s="615"/>
      <c r="HWX1" s="615"/>
      <c r="HWY1" s="615"/>
      <c r="HWZ1" s="615"/>
      <c r="HXA1" s="615"/>
      <c r="HXB1" s="615"/>
      <c r="HXC1" s="615"/>
      <c r="HXD1" s="615"/>
      <c r="HXE1" s="615"/>
      <c r="HXF1" s="615"/>
      <c r="HXG1" s="615"/>
      <c r="HXH1" s="615"/>
      <c r="HXI1" s="615"/>
      <c r="HXJ1" s="615"/>
      <c r="HXK1" s="615"/>
      <c r="HXL1" s="615"/>
      <c r="HXM1" s="615"/>
      <c r="HXN1" s="615"/>
      <c r="HXO1" s="615"/>
      <c r="HXP1" s="615"/>
      <c r="HXQ1" s="615"/>
      <c r="HXR1" s="615"/>
      <c r="HXS1" s="615"/>
      <c r="HXT1" s="615"/>
      <c r="HXU1" s="615"/>
      <c r="HXV1" s="615"/>
      <c r="HXW1" s="615"/>
      <c r="HXX1" s="615"/>
      <c r="HXY1" s="615"/>
      <c r="HXZ1" s="615"/>
      <c r="HYA1" s="615"/>
      <c r="HYB1" s="615"/>
      <c r="HYC1" s="615"/>
      <c r="HYD1" s="615"/>
      <c r="HYE1" s="615"/>
      <c r="HYF1" s="615"/>
      <c r="HYG1" s="615"/>
      <c r="HYH1" s="615"/>
      <c r="HYI1" s="615"/>
      <c r="HYJ1" s="615"/>
      <c r="HYK1" s="615"/>
      <c r="HYL1" s="615"/>
      <c r="HYM1" s="615"/>
      <c r="HYN1" s="615"/>
      <c r="HYO1" s="615"/>
      <c r="HYP1" s="615"/>
      <c r="HYQ1" s="615"/>
      <c r="HYR1" s="615"/>
      <c r="HYS1" s="615"/>
      <c r="HYT1" s="615"/>
      <c r="HYU1" s="615"/>
      <c r="HYV1" s="615"/>
      <c r="HYW1" s="615"/>
      <c r="HYX1" s="615"/>
      <c r="HYY1" s="615"/>
      <c r="HYZ1" s="615"/>
      <c r="HZA1" s="615"/>
      <c r="HZB1" s="615"/>
      <c r="HZC1" s="615"/>
      <c r="HZD1" s="615"/>
      <c r="HZE1" s="615"/>
      <c r="HZF1" s="615"/>
      <c r="HZG1" s="615"/>
      <c r="HZH1" s="615"/>
      <c r="HZI1" s="615"/>
      <c r="HZJ1" s="615"/>
      <c r="HZK1" s="615"/>
      <c r="HZL1" s="615"/>
      <c r="HZM1" s="615"/>
      <c r="HZN1" s="615"/>
      <c r="HZO1" s="615"/>
      <c r="HZP1" s="615"/>
      <c r="HZQ1" s="615"/>
      <c r="HZR1" s="615"/>
      <c r="HZS1" s="615"/>
      <c r="HZT1" s="615"/>
      <c r="HZU1" s="615"/>
      <c r="HZV1" s="615"/>
      <c r="HZW1" s="615"/>
      <c r="HZX1" s="615"/>
      <c r="HZY1" s="615"/>
      <c r="HZZ1" s="615"/>
      <c r="IAA1" s="615"/>
      <c r="IAB1" s="615"/>
      <c r="IAC1" s="615"/>
      <c r="IAD1" s="615"/>
      <c r="IAE1" s="615"/>
      <c r="IAF1" s="615"/>
      <c r="IAG1" s="615"/>
      <c r="IAH1" s="615"/>
      <c r="IAI1" s="615"/>
      <c r="IAJ1" s="615"/>
      <c r="IAK1" s="615"/>
      <c r="IAL1" s="615"/>
      <c r="IAM1" s="615"/>
      <c r="IAN1" s="615"/>
      <c r="IAO1" s="615"/>
      <c r="IAP1" s="615"/>
      <c r="IAQ1" s="615"/>
      <c r="IAR1" s="615"/>
      <c r="IAS1" s="615"/>
      <c r="IAT1" s="615"/>
      <c r="IAU1" s="615"/>
      <c r="IAV1" s="615"/>
      <c r="IAW1" s="615"/>
      <c r="IAX1" s="615"/>
      <c r="IAY1" s="615"/>
      <c r="IAZ1" s="615"/>
      <c r="IBA1" s="615"/>
      <c r="IBB1" s="615"/>
      <c r="IBC1" s="615"/>
      <c r="IBD1" s="615"/>
      <c r="IBE1" s="615"/>
      <c r="IBF1" s="615"/>
      <c r="IBG1" s="615"/>
      <c r="IBH1" s="615"/>
      <c r="IBI1" s="615"/>
      <c r="IBJ1" s="615"/>
      <c r="IBK1" s="615"/>
      <c r="IBL1" s="615"/>
      <c r="IBM1" s="615"/>
      <c r="IBN1" s="615"/>
      <c r="IBO1" s="615"/>
      <c r="IBP1" s="615"/>
      <c r="IBQ1" s="615"/>
      <c r="IBR1" s="615"/>
      <c r="IBS1" s="615"/>
      <c r="IBT1" s="615"/>
      <c r="IBU1" s="615"/>
      <c r="IBV1" s="615"/>
      <c r="IBW1" s="615"/>
      <c r="IBX1" s="615"/>
      <c r="IBY1" s="615"/>
      <c r="IBZ1" s="615"/>
      <c r="ICA1" s="615"/>
      <c r="ICB1" s="615"/>
      <c r="ICC1" s="615"/>
      <c r="ICD1" s="615"/>
      <c r="ICE1" s="615"/>
      <c r="ICF1" s="615"/>
      <c r="ICG1" s="615"/>
      <c r="ICH1" s="615"/>
      <c r="ICI1" s="615"/>
      <c r="ICJ1" s="615"/>
      <c r="ICK1" s="615"/>
      <c r="ICL1" s="615"/>
      <c r="ICM1" s="615"/>
      <c r="ICN1" s="615"/>
      <c r="ICO1" s="615"/>
      <c r="ICP1" s="615"/>
      <c r="ICQ1" s="615"/>
      <c r="ICR1" s="615"/>
      <c r="ICS1" s="615"/>
      <c r="ICT1" s="615"/>
      <c r="ICU1" s="615"/>
      <c r="ICV1" s="615"/>
      <c r="ICW1" s="615"/>
      <c r="ICX1" s="615"/>
      <c r="ICY1" s="615"/>
      <c r="ICZ1" s="615"/>
      <c r="IDA1" s="615"/>
      <c r="IDB1" s="615"/>
      <c r="IDC1" s="615"/>
      <c r="IDD1" s="615"/>
      <c r="IDE1" s="615"/>
      <c r="IDF1" s="615"/>
      <c r="IDG1" s="615"/>
      <c r="IDH1" s="615"/>
      <c r="IDI1" s="615"/>
      <c r="IDJ1" s="615"/>
      <c r="IDK1" s="615"/>
      <c r="IDL1" s="615"/>
      <c r="IDM1" s="615"/>
      <c r="IDN1" s="615"/>
      <c r="IDO1" s="615"/>
      <c r="IDP1" s="615"/>
      <c r="IDQ1" s="615"/>
      <c r="IDR1" s="615"/>
      <c r="IDS1" s="615"/>
      <c r="IDT1" s="615"/>
      <c r="IDU1" s="615"/>
      <c r="IDV1" s="615"/>
      <c r="IDW1" s="615"/>
      <c r="IDX1" s="615"/>
      <c r="IDY1" s="615"/>
      <c r="IDZ1" s="615"/>
      <c r="IEA1" s="615"/>
      <c r="IEB1" s="615"/>
      <c r="IEC1" s="615"/>
      <c r="IED1" s="615"/>
      <c r="IEE1" s="615"/>
      <c r="IEF1" s="615"/>
      <c r="IEG1" s="615"/>
      <c r="IEH1" s="615"/>
      <c r="IEI1" s="615"/>
      <c r="IEJ1" s="615"/>
      <c r="IEK1" s="615"/>
      <c r="IEL1" s="615"/>
      <c r="IEM1" s="615"/>
      <c r="IEN1" s="615"/>
      <c r="IEO1" s="615"/>
      <c r="IEP1" s="615"/>
      <c r="IEQ1" s="615"/>
      <c r="IER1" s="615"/>
      <c r="IES1" s="615"/>
      <c r="IET1" s="615"/>
      <c r="IEU1" s="615"/>
      <c r="IEV1" s="615"/>
      <c r="IEW1" s="615"/>
      <c r="IEX1" s="615"/>
      <c r="IEY1" s="615"/>
      <c r="IEZ1" s="615"/>
      <c r="IFA1" s="615"/>
      <c r="IFB1" s="615"/>
      <c r="IFC1" s="615"/>
      <c r="IFD1" s="615"/>
      <c r="IFE1" s="615"/>
      <c r="IFF1" s="615"/>
      <c r="IFG1" s="615"/>
      <c r="IFH1" s="615"/>
      <c r="IFI1" s="615"/>
      <c r="IFJ1" s="615"/>
      <c r="IFK1" s="615"/>
      <c r="IFL1" s="615"/>
      <c r="IFM1" s="615"/>
      <c r="IFN1" s="615"/>
      <c r="IFO1" s="615"/>
      <c r="IFP1" s="615"/>
      <c r="IFQ1" s="615"/>
      <c r="IFR1" s="615"/>
      <c r="IFS1" s="615"/>
      <c r="IFT1" s="615"/>
      <c r="IFU1" s="615"/>
      <c r="IFV1" s="615"/>
      <c r="IFW1" s="615"/>
      <c r="IFX1" s="615"/>
      <c r="IFY1" s="615"/>
      <c r="IFZ1" s="615"/>
      <c r="IGA1" s="615"/>
      <c r="IGB1" s="615"/>
      <c r="IGC1" s="615"/>
      <c r="IGD1" s="615"/>
      <c r="IGE1" s="615"/>
      <c r="IGF1" s="615"/>
      <c r="IGG1" s="615"/>
      <c r="IGH1" s="615"/>
      <c r="IGI1" s="615"/>
      <c r="IGJ1" s="615"/>
      <c r="IGK1" s="615"/>
      <c r="IGL1" s="615"/>
      <c r="IGM1" s="615"/>
      <c r="IGN1" s="615"/>
      <c r="IGO1" s="615"/>
      <c r="IGP1" s="615"/>
      <c r="IGQ1" s="615"/>
      <c r="IGR1" s="615"/>
      <c r="IGS1" s="615"/>
      <c r="IGT1" s="615"/>
      <c r="IGU1" s="615"/>
      <c r="IGV1" s="615"/>
      <c r="IGW1" s="615"/>
      <c r="IGX1" s="615"/>
      <c r="IGY1" s="615"/>
      <c r="IGZ1" s="615"/>
      <c r="IHA1" s="615"/>
      <c r="IHB1" s="615"/>
      <c r="IHC1" s="615"/>
      <c r="IHD1" s="615"/>
      <c r="IHE1" s="615"/>
      <c r="IHF1" s="615"/>
      <c r="IHG1" s="615"/>
      <c r="IHH1" s="615"/>
      <c r="IHI1" s="615"/>
      <c r="IHJ1" s="615"/>
      <c r="IHK1" s="615"/>
      <c r="IHL1" s="615"/>
      <c r="IHM1" s="615"/>
      <c r="IHN1" s="615"/>
      <c r="IHO1" s="615"/>
      <c r="IHP1" s="615"/>
      <c r="IHQ1" s="615"/>
      <c r="IHR1" s="615"/>
      <c r="IHS1" s="615"/>
      <c r="IHT1" s="615"/>
      <c r="IHU1" s="615"/>
      <c r="IHV1" s="615"/>
      <c r="IHW1" s="615"/>
      <c r="IHX1" s="615"/>
      <c r="IHY1" s="615"/>
      <c r="IHZ1" s="615"/>
      <c r="IIA1" s="615"/>
      <c r="IIB1" s="615"/>
      <c r="IIC1" s="615"/>
      <c r="IID1" s="615"/>
      <c r="IIE1" s="615"/>
      <c r="IIF1" s="615"/>
      <c r="IIG1" s="615"/>
      <c r="IIH1" s="615"/>
      <c r="III1" s="615"/>
      <c r="IIJ1" s="615"/>
      <c r="IIK1" s="615"/>
      <c r="IIL1" s="615"/>
      <c r="IIM1" s="615"/>
      <c r="IIN1" s="615"/>
      <c r="IIO1" s="615"/>
      <c r="IIP1" s="615"/>
      <c r="IIQ1" s="615"/>
      <c r="IIR1" s="615"/>
      <c r="IIS1" s="615"/>
      <c r="IIT1" s="615"/>
      <c r="IIU1" s="615"/>
      <c r="IIV1" s="615"/>
      <c r="IIW1" s="615"/>
      <c r="IIX1" s="615"/>
      <c r="IIY1" s="615"/>
      <c r="IIZ1" s="615"/>
      <c r="IJA1" s="615"/>
      <c r="IJB1" s="615"/>
      <c r="IJC1" s="615"/>
      <c r="IJD1" s="615"/>
      <c r="IJE1" s="615"/>
      <c r="IJF1" s="615"/>
      <c r="IJG1" s="615"/>
      <c r="IJH1" s="615"/>
      <c r="IJI1" s="615"/>
      <c r="IJJ1" s="615"/>
      <c r="IJK1" s="615"/>
      <c r="IJL1" s="615"/>
      <c r="IJM1" s="615"/>
      <c r="IJN1" s="615"/>
      <c r="IJO1" s="615"/>
      <c r="IJP1" s="615"/>
      <c r="IJQ1" s="615"/>
      <c r="IJR1" s="615"/>
      <c r="IJS1" s="615"/>
      <c r="IJT1" s="615"/>
      <c r="IJU1" s="615"/>
      <c r="IJV1" s="615"/>
      <c r="IJW1" s="615"/>
      <c r="IJX1" s="615"/>
      <c r="IJY1" s="615"/>
      <c r="IJZ1" s="615"/>
      <c r="IKA1" s="615"/>
      <c r="IKB1" s="615"/>
      <c r="IKC1" s="615"/>
      <c r="IKD1" s="615"/>
      <c r="IKE1" s="615"/>
      <c r="IKF1" s="615"/>
      <c r="IKG1" s="615"/>
      <c r="IKH1" s="615"/>
      <c r="IKI1" s="615"/>
      <c r="IKJ1" s="615"/>
      <c r="IKK1" s="615"/>
      <c r="IKL1" s="615"/>
      <c r="IKM1" s="615"/>
      <c r="IKN1" s="615"/>
      <c r="IKO1" s="615"/>
      <c r="IKP1" s="615"/>
      <c r="IKQ1" s="615"/>
      <c r="IKR1" s="615"/>
      <c r="IKS1" s="615"/>
      <c r="IKT1" s="615"/>
      <c r="IKU1" s="615"/>
      <c r="IKV1" s="615"/>
      <c r="IKW1" s="615"/>
      <c r="IKX1" s="615"/>
      <c r="IKY1" s="615"/>
      <c r="IKZ1" s="615"/>
      <c r="ILA1" s="615"/>
      <c r="ILB1" s="615"/>
      <c r="ILC1" s="615"/>
      <c r="ILD1" s="615"/>
      <c r="ILE1" s="615"/>
      <c r="ILF1" s="615"/>
      <c r="ILG1" s="615"/>
      <c r="ILH1" s="615"/>
      <c r="ILI1" s="615"/>
      <c r="ILJ1" s="615"/>
      <c r="ILK1" s="615"/>
      <c r="ILL1" s="615"/>
      <c r="ILM1" s="615"/>
      <c r="ILN1" s="615"/>
      <c r="ILO1" s="615"/>
      <c r="ILP1" s="615"/>
      <c r="ILQ1" s="615"/>
      <c r="ILR1" s="615"/>
      <c r="ILS1" s="615"/>
      <c r="ILT1" s="615"/>
      <c r="ILU1" s="615"/>
      <c r="ILV1" s="615"/>
      <c r="ILW1" s="615"/>
      <c r="ILX1" s="615"/>
      <c r="ILY1" s="615"/>
      <c r="ILZ1" s="615"/>
      <c r="IMA1" s="615"/>
      <c r="IMB1" s="615"/>
      <c r="IMC1" s="615"/>
      <c r="IMD1" s="615"/>
      <c r="IME1" s="615"/>
      <c r="IMF1" s="615"/>
      <c r="IMG1" s="615"/>
      <c r="IMH1" s="615"/>
      <c r="IMI1" s="615"/>
      <c r="IMJ1" s="615"/>
      <c r="IMK1" s="615"/>
      <c r="IML1" s="615"/>
      <c r="IMM1" s="615"/>
      <c r="IMN1" s="615"/>
      <c r="IMO1" s="615"/>
      <c r="IMP1" s="615"/>
      <c r="IMQ1" s="615"/>
      <c r="IMR1" s="615"/>
      <c r="IMS1" s="615"/>
      <c r="IMT1" s="615"/>
      <c r="IMU1" s="615"/>
      <c r="IMV1" s="615"/>
      <c r="IMW1" s="615"/>
      <c r="IMX1" s="615"/>
      <c r="IMY1" s="615"/>
      <c r="IMZ1" s="615"/>
      <c r="INA1" s="615"/>
      <c r="INB1" s="615"/>
      <c r="INC1" s="615"/>
      <c r="IND1" s="615"/>
      <c r="INE1" s="615"/>
      <c r="INF1" s="615"/>
      <c r="ING1" s="615"/>
      <c r="INH1" s="615"/>
      <c r="INI1" s="615"/>
      <c r="INJ1" s="615"/>
      <c r="INK1" s="615"/>
      <c r="INL1" s="615"/>
      <c r="INM1" s="615"/>
      <c r="INN1" s="615"/>
      <c r="INO1" s="615"/>
      <c r="INP1" s="615"/>
      <c r="INQ1" s="615"/>
      <c r="INR1" s="615"/>
      <c r="INS1" s="615"/>
      <c r="INT1" s="615"/>
      <c r="INU1" s="615"/>
      <c r="INV1" s="615"/>
      <c r="INW1" s="615"/>
      <c r="INX1" s="615"/>
      <c r="INY1" s="615"/>
      <c r="INZ1" s="615"/>
      <c r="IOA1" s="615"/>
      <c r="IOB1" s="615"/>
      <c r="IOC1" s="615"/>
      <c r="IOD1" s="615"/>
      <c r="IOE1" s="615"/>
      <c r="IOF1" s="615"/>
      <c r="IOG1" s="615"/>
      <c r="IOH1" s="615"/>
      <c r="IOI1" s="615"/>
      <c r="IOJ1" s="615"/>
      <c r="IOK1" s="615"/>
      <c r="IOL1" s="615"/>
      <c r="IOM1" s="615"/>
      <c r="ION1" s="615"/>
      <c r="IOO1" s="615"/>
      <c r="IOP1" s="615"/>
      <c r="IOQ1" s="615"/>
      <c r="IOR1" s="615"/>
      <c r="IOS1" s="615"/>
      <c r="IOT1" s="615"/>
      <c r="IOU1" s="615"/>
      <c r="IOV1" s="615"/>
      <c r="IOW1" s="615"/>
      <c r="IOX1" s="615"/>
      <c r="IOY1" s="615"/>
      <c r="IOZ1" s="615"/>
      <c r="IPA1" s="615"/>
      <c r="IPB1" s="615"/>
      <c r="IPC1" s="615"/>
      <c r="IPD1" s="615"/>
      <c r="IPE1" s="615"/>
      <c r="IPF1" s="615"/>
      <c r="IPG1" s="615"/>
      <c r="IPH1" s="615"/>
      <c r="IPI1" s="615"/>
      <c r="IPJ1" s="615"/>
      <c r="IPK1" s="615"/>
      <c r="IPL1" s="615"/>
      <c r="IPM1" s="615"/>
      <c r="IPN1" s="615"/>
      <c r="IPO1" s="615"/>
      <c r="IPP1" s="615"/>
      <c r="IPQ1" s="615"/>
      <c r="IPR1" s="615"/>
      <c r="IPS1" s="615"/>
      <c r="IPT1" s="615"/>
      <c r="IPU1" s="615"/>
      <c r="IPV1" s="615"/>
      <c r="IPW1" s="615"/>
      <c r="IPX1" s="615"/>
      <c r="IPY1" s="615"/>
      <c r="IPZ1" s="615"/>
      <c r="IQA1" s="615"/>
      <c r="IQB1" s="615"/>
      <c r="IQC1" s="615"/>
      <c r="IQD1" s="615"/>
      <c r="IQE1" s="615"/>
      <c r="IQF1" s="615"/>
      <c r="IQG1" s="615"/>
      <c r="IQH1" s="615"/>
      <c r="IQI1" s="615"/>
      <c r="IQJ1" s="615"/>
      <c r="IQK1" s="615"/>
      <c r="IQL1" s="615"/>
      <c r="IQM1" s="615"/>
      <c r="IQN1" s="615"/>
      <c r="IQO1" s="615"/>
      <c r="IQP1" s="615"/>
      <c r="IQQ1" s="615"/>
      <c r="IQR1" s="615"/>
      <c r="IQS1" s="615"/>
      <c r="IQT1" s="615"/>
      <c r="IQU1" s="615"/>
      <c r="IQV1" s="615"/>
      <c r="IQW1" s="615"/>
      <c r="IQX1" s="615"/>
      <c r="IQY1" s="615"/>
      <c r="IQZ1" s="615"/>
      <c r="IRA1" s="615"/>
      <c r="IRB1" s="615"/>
      <c r="IRC1" s="615"/>
      <c r="IRD1" s="615"/>
      <c r="IRE1" s="615"/>
      <c r="IRF1" s="615"/>
      <c r="IRG1" s="615"/>
      <c r="IRH1" s="615"/>
      <c r="IRI1" s="615"/>
      <c r="IRJ1" s="615"/>
      <c r="IRK1" s="615"/>
      <c r="IRL1" s="615"/>
      <c r="IRM1" s="615"/>
      <c r="IRN1" s="615"/>
      <c r="IRO1" s="615"/>
      <c r="IRP1" s="615"/>
      <c r="IRQ1" s="615"/>
      <c r="IRR1" s="615"/>
      <c r="IRS1" s="615"/>
      <c r="IRT1" s="615"/>
      <c r="IRU1" s="615"/>
      <c r="IRV1" s="615"/>
      <c r="IRW1" s="615"/>
      <c r="IRX1" s="615"/>
      <c r="IRY1" s="615"/>
      <c r="IRZ1" s="615"/>
      <c r="ISA1" s="615"/>
      <c r="ISB1" s="615"/>
      <c r="ISC1" s="615"/>
      <c r="ISD1" s="615"/>
      <c r="ISE1" s="615"/>
      <c r="ISF1" s="615"/>
      <c r="ISG1" s="615"/>
      <c r="ISH1" s="615"/>
      <c r="ISI1" s="615"/>
      <c r="ISJ1" s="615"/>
      <c r="ISK1" s="615"/>
      <c r="ISL1" s="615"/>
      <c r="ISM1" s="615"/>
      <c r="ISN1" s="615"/>
      <c r="ISO1" s="615"/>
      <c r="ISP1" s="615"/>
      <c r="ISQ1" s="615"/>
      <c r="ISR1" s="615"/>
      <c r="ISS1" s="615"/>
      <c r="IST1" s="615"/>
      <c r="ISU1" s="615"/>
      <c r="ISV1" s="615"/>
      <c r="ISW1" s="615"/>
      <c r="ISX1" s="615"/>
      <c r="ISY1" s="615"/>
      <c r="ISZ1" s="615"/>
      <c r="ITA1" s="615"/>
      <c r="ITB1" s="615"/>
      <c r="ITC1" s="615"/>
      <c r="ITD1" s="615"/>
      <c r="ITE1" s="615"/>
      <c r="ITF1" s="615"/>
      <c r="ITG1" s="615"/>
      <c r="ITH1" s="615"/>
      <c r="ITI1" s="615"/>
      <c r="ITJ1" s="615"/>
      <c r="ITK1" s="615"/>
      <c r="ITL1" s="615"/>
      <c r="ITM1" s="615"/>
      <c r="ITN1" s="615"/>
      <c r="ITO1" s="615"/>
      <c r="ITP1" s="615"/>
      <c r="ITQ1" s="615"/>
      <c r="ITR1" s="615"/>
      <c r="ITS1" s="615"/>
      <c r="ITT1" s="615"/>
      <c r="ITU1" s="615"/>
      <c r="ITV1" s="615"/>
      <c r="ITW1" s="615"/>
      <c r="ITX1" s="615"/>
      <c r="ITY1" s="615"/>
      <c r="ITZ1" s="615"/>
      <c r="IUA1" s="615"/>
      <c r="IUB1" s="615"/>
      <c r="IUC1" s="615"/>
      <c r="IUD1" s="615"/>
      <c r="IUE1" s="615"/>
      <c r="IUF1" s="615"/>
      <c r="IUG1" s="615"/>
      <c r="IUH1" s="615"/>
      <c r="IUI1" s="615"/>
      <c r="IUJ1" s="615"/>
      <c r="IUK1" s="615"/>
      <c r="IUL1" s="615"/>
      <c r="IUM1" s="615"/>
      <c r="IUN1" s="615"/>
      <c r="IUO1" s="615"/>
      <c r="IUP1" s="615"/>
      <c r="IUQ1" s="615"/>
      <c r="IUR1" s="615"/>
      <c r="IUS1" s="615"/>
      <c r="IUT1" s="615"/>
      <c r="IUU1" s="615"/>
      <c r="IUV1" s="615"/>
      <c r="IUW1" s="615"/>
      <c r="IUX1" s="615"/>
      <c r="IUY1" s="615"/>
      <c r="IUZ1" s="615"/>
      <c r="IVA1" s="615"/>
      <c r="IVB1" s="615"/>
      <c r="IVC1" s="615"/>
      <c r="IVD1" s="615"/>
      <c r="IVE1" s="615"/>
      <c r="IVF1" s="615"/>
      <c r="IVG1" s="615"/>
      <c r="IVH1" s="615"/>
      <c r="IVI1" s="615"/>
      <c r="IVJ1" s="615"/>
      <c r="IVK1" s="615"/>
      <c r="IVL1" s="615"/>
      <c r="IVM1" s="615"/>
      <c r="IVN1" s="615"/>
      <c r="IVO1" s="615"/>
      <c r="IVP1" s="615"/>
      <c r="IVQ1" s="615"/>
      <c r="IVR1" s="615"/>
      <c r="IVS1" s="615"/>
      <c r="IVT1" s="615"/>
      <c r="IVU1" s="615"/>
      <c r="IVV1" s="615"/>
      <c r="IVW1" s="615"/>
      <c r="IVX1" s="615"/>
      <c r="IVY1" s="615"/>
      <c r="IVZ1" s="615"/>
      <c r="IWA1" s="615"/>
      <c r="IWB1" s="615"/>
      <c r="IWC1" s="615"/>
      <c r="IWD1" s="615"/>
      <c r="IWE1" s="615"/>
      <c r="IWF1" s="615"/>
      <c r="IWG1" s="615"/>
      <c r="IWH1" s="615"/>
      <c r="IWI1" s="615"/>
      <c r="IWJ1" s="615"/>
      <c r="IWK1" s="615"/>
      <c r="IWL1" s="615"/>
      <c r="IWM1" s="615"/>
      <c r="IWN1" s="615"/>
      <c r="IWO1" s="615"/>
      <c r="IWP1" s="615"/>
      <c r="IWQ1" s="615"/>
      <c r="IWR1" s="615"/>
      <c r="IWS1" s="615"/>
      <c r="IWT1" s="615"/>
      <c r="IWU1" s="615"/>
      <c r="IWV1" s="615"/>
      <c r="IWW1" s="615"/>
      <c r="IWX1" s="615"/>
      <c r="IWY1" s="615"/>
      <c r="IWZ1" s="615"/>
      <c r="IXA1" s="615"/>
      <c r="IXB1" s="615"/>
      <c r="IXC1" s="615"/>
      <c r="IXD1" s="615"/>
      <c r="IXE1" s="615"/>
      <c r="IXF1" s="615"/>
      <c r="IXG1" s="615"/>
      <c r="IXH1" s="615"/>
      <c r="IXI1" s="615"/>
      <c r="IXJ1" s="615"/>
      <c r="IXK1" s="615"/>
      <c r="IXL1" s="615"/>
      <c r="IXM1" s="615"/>
      <c r="IXN1" s="615"/>
      <c r="IXO1" s="615"/>
      <c r="IXP1" s="615"/>
      <c r="IXQ1" s="615"/>
      <c r="IXR1" s="615"/>
      <c r="IXS1" s="615"/>
      <c r="IXT1" s="615"/>
      <c r="IXU1" s="615"/>
      <c r="IXV1" s="615"/>
      <c r="IXW1" s="615"/>
      <c r="IXX1" s="615"/>
      <c r="IXY1" s="615"/>
      <c r="IXZ1" s="615"/>
      <c r="IYA1" s="615"/>
      <c r="IYB1" s="615"/>
      <c r="IYC1" s="615"/>
      <c r="IYD1" s="615"/>
      <c r="IYE1" s="615"/>
      <c r="IYF1" s="615"/>
      <c r="IYG1" s="615"/>
      <c r="IYH1" s="615"/>
      <c r="IYI1" s="615"/>
      <c r="IYJ1" s="615"/>
      <c r="IYK1" s="615"/>
      <c r="IYL1" s="615"/>
      <c r="IYM1" s="615"/>
      <c r="IYN1" s="615"/>
      <c r="IYO1" s="615"/>
      <c r="IYP1" s="615"/>
      <c r="IYQ1" s="615"/>
      <c r="IYR1" s="615"/>
      <c r="IYS1" s="615"/>
      <c r="IYT1" s="615"/>
      <c r="IYU1" s="615"/>
      <c r="IYV1" s="615"/>
      <c r="IYW1" s="615"/>
      <c r="IYX1" s="615"/>
      <c r="IYY1" s="615"/>
      <c r="IYZ1" s="615"/>
      <c r="IZA1" s="615"/>
      <c r="IZB1" s="615"/>
      <c r="IZC1" s="615"/>
      <c r="IZD1" s="615"/>
      <c r="IZE1" s="615"/>
      <c r="IZF1" s="615"/>
      <c r="IZG1" s="615"/>
      <c r="IZH1" s="615"/>
      <c r="IZI1" s="615"/>
      <c r="IZJ1" s="615"/>
      <c r="IZK1" s="615"/>
      <c r="IZL1" s="615"/>
      <c r="IZM1" s="615"/>
      <c r="IZN1" s="615"/>
      <c r="IZO1" s="615"/>
      <c r="IZP1" s="615"/>
      <c r="IZQ1" s="615"/>
      <c r="IZR1" s="615"/>
      <c r="IZS1" s="615"/>
      <c r="IZT1" s="615"/>
      <c r="IZU1" s="615"/>
      <c r="IZV1" s="615"/>
      <c r="IZW1" s="615"/>
      <c r="IZX1" s="615"/>
      <c r="IZY1" s="615"/>
      <c r="IZZ1" s="615"/>
      <c r="JAA1" s="615"/>
      <c r="JAB1" s="615"/>
      <c r="JAC1" s="615"/>
      <c r="JAD1" s="615"/>
      <c r="JAE1" s="615"/>
      <c r="JAF1" s="615"/>
      <c r="JAG1" s="615"/>
      <c r="JAH1" s="615"/>
      <c r="JAI1" s="615"/>
      <c r="JAJ1" s="615"/>
      <c r="JAK1" s="615"/>
      <c r="JAL1" s="615"/>
      <c r="JAM1" s="615"/>
      <c r="JAN1" s="615"/>
      <c r="JAO1" s="615"/>
      <c r="JAP1" s="615"/>
      <c r="JAQ1" s="615"/>
      <c r="JAR1" s="615"/>
      <c r="JAS1" s="615"/>
      <c r="JAT1" s="615"/>
      <c r="JAU1" s="615"/>
      <c r="JAV1" s="615"/>
      <c r="JAW1" s="615"/>
      <c r="JAX1" s="615"/>
      <c r="JAY1" s="615"/>
      <c r="JAZ1" s="615"/>
      <c r="JBA1" s="615"/>
      <c r="JBB1" s="615"/>
      <c r="JBC1" s="615"/>
      <c r="JBD1" s="615"/>
      <c r="JBE1" s="615"/>
      <c r="JBF1" s="615"/>
      <c r="JBG1" s="615"/>
      <c r="JBH1" s="615"/>
      <c r="JBI1" s="615"/>
      <c r="JBJ1" s="615"/>
      <c r="JBK1" s="615"/>
      <c r="JBL1" s="615"/>
      <c r="JBM1" s="615"/>
      <c r="JBN1" s="615"/>
      <c r="JBO1" s="615"/>
      <c r="JBP1" s="615"/>
      <c r="JBQ1" s="615"/>
      <c r="JBR1" s="615"/>
      <c r="JBS1" s="615"/>
      <c r="JBT1" s="615"/>
      <c r="JBU1" s="615"/>
      <c r="JBV1" s="615"/>
      <c r="JBW1" s="615"/>
      <c r="JBX1" s="615"/>
      <c r="JBY1" s="615"/>
      <c r="JBZ1" s="615"/>
      <c r="JCA1" s="615"/>
      <c r="JCB1" s="615"/>
      <c r="JCC1" s="615"/>
      <c r="JCD1" s="615"/>
      <c r="JCE1" s="615"/>
      <c r="JCF1" s="615"/>
      <c r="JCG1" s="615"/>
      <c r="JCH1" s="615"/>
      <c r="JCI1" s="615"/>
      <c r="JCJ1" s="615"/>
      <c r="JCK1" s="615"/>
      <c r="JCL1" s="615"/>
      <c r="JCM1" s="615"/>
      <c r="JCN1" s="615"/>
      <c r="JCO1" s="615"/>
      <c r="JCP1" s="615"/>
      <c r="JCQ1" s="615"/>
      <c r="JCR1" s="615"/>
      <c r="JCS1" s="615"/>
      <c r="JCT1" s="615"/>
      <c r="JCU1" s="615"/>
      <c r="JCV1" s="615"/>
      <c r="JCW1" s="615"/>
      <c r="JCX1" s="615"/>
      <c r="JCY1" s="615"/>
      <c r="JCZ1" s="615"/>
      <c r="JDA1" s="615"/>
      <c r="JDB1" s="615"/>
      <c r="JDC1" s="615"/>
      <c r="JDD1" s="615"/>
      <c r="JDE1" s="615"/>
      <c r="JDF1" s="615"/>
      <c r="JDG1" s="615"/>
      <c r="JDH1" s="615"/>
      <c r="JDI1" s="615"/>
      <c r="JDJ1" s="615"/>
      <c r="JDK1" s="615"/>
      <c r="JDL1" s="615"/>
      <c r="JDM1" s="615"/>
      <c r="JDN1" s="615"/>
      <c r="JDO1" s="615"/>
      <c r="JDP1" s="615"/>
      <c r="JDQ1" s="615"/>
      <c r="JDR1" s="615"/>
      <c r="JDS1" s="615"/>
      <c r="JDT1" s="615"/>
      <c r="JDU1" s="615"/>
      <c r="JDV1" s="615"/>
      <c r="JDW1" s="615"/>
      <c r="JDX1" s="615"/>
      <c r="JDY1" s="615"/>
      <c r="JDZ1" s="615"/>
      <c r="JEA1" s="615"/>
      <c r="JEB1" s="615"/>
      <c r="JEC1" s="615"/>
      <c r="JED1" s="615"/>
      <c r="JEE1" s="615"/>
      <c r="JEF1" s="615"/>
      <c r="JEG1" s="615"/>
      <c r="JEH1" s="615"/>
      <c r="JEI1" s="615"/>
      <c r="JEJ1" s="615"/>
      <c r="JEK1" s="615"/>
      <c r="JEL1" s="615"/>
      <c r="JEM1" s="615"/>
      <c r="JEN1" s="615"/>
      <c r="JEO1" s="615"/>
      <c r="JEP1" s="615"/>
      <c r="JEQ1" s="615"/>
      <c r="JER1" s="615"/>
      <c r="JES1" s="615"/>
      <c r="JET1" s="615"/>
      <c r="JEU1" s="615"/>
      <c r="JEV1" s="615"/>
      <c r="JEW1" s="615"/>
      <c r="JEX1" s="615"/>
      <c r="JEY1" s="615"/>
      <c r="JEZ1" s="615"/>
      <c r="JFA1" s="615"/>
      <c r="JFB1" s="615"/>
      <c r="JFC1" s="615"/>
      <c r="JFD1" s="615"/>
      <c r="JFE1" s="615"/>
      <c r="JFF1" s="615"/>
      <c r="JFG1" s="615"/>
      <c r="JFH1" s="615"/>
      <c r="JFI1" s="615"/>
      <c r="JFJ1" s="615"/>
      <c r="JFK1" s="615"/>
      <c r="JFL1" s="615"/>
      <c r="JFM1" s="615"/>
      <c r="JFN1" s="615"/>
      <c r="JFO1" s="615"/>
      <c r="JFP1" s="615"/>
      <c r="JFQ1" s="615"/>
      <c r="JFR1" s="615"/>
      <c r="JFS1" s="615"/>
      <c r="JFT1" s="615"/>
      <c r="JFU1" s="615"/>
      <c r="JFV1" s="615"/>
      <c r="JFW1" s="615"/>
      <c r="JFX1" s="615"/>
      <c r="JFY1" s="615"/>
      <c r="JFZ1" s="615"/>
      <c r="JGA1" s="615"/>
      <c r="JGB1" s="615"/>
      <c r="JGC1" s="615"/>
      <c r="JGD1" s="615"/>
      <c r="JGE1" s="615"/>
      <c r="JGF1" s="615"/>
      <c r="JGG1" s="615"/>
      <c r="JGH1" s="615"/>
      <c r="JGI1" s="615"/>
      <c r="JGJ1" s="615"/>
      <c r="JGK1" s="615"/>
      <c r="JGL1" s="615"/>
      <c r="JGM1" s="615"/>
      <c r="JGN1" s="615"/>
      <c r="JGO1" s="615"/>
      <c r="JGP1" s="615"/>
      <c r="JGQ1" s="615"/>
      <c r="JGR1" s="615"/>
      <c r="JGS1" s="615"/>
      <c r="JGT1" s="615"/>
      <c r="JGU1" s="615"/>
      <c r="JGV1" s="615"/>
      <c r="JGW1" s="615"/>
      <c r="JGX1" s="615"/>
      <c r="JGY1" s="615"/>
      <c r="JGZ1" s="615"/>
      <c r="JHA1" s="615"/>
      <c r="JHB1" s="615"/>
      <c r="JHC1" s="615"/>
      <c r="JHD1" s="615"/>
      <c r="JHE1" s="615"/>
      <c r="JHF1" s="615"/>
      <c r="JHG1" s="615"/>
      <c r="JHH1" s="615"/>
      <c r="JHI1" s="615"/>
      <c r="JHJ1" s="615"/>
      <c r="JHK1" s="615"/>
      <c r="JHL1" s="615"/>
      <c r="JHM1" s="615"/>
      <c r="JHN1" s="615"/>
      <c r="JHO1" s="615"/>
      <c r="JHP1" s="615"/>
      <c r="JHQ1" s="615"/>
      <c r="JHR1" s="615"/>
      <c r="JHS1" s="615"/>
      <c r="JHT1" s="615"/>
      <c r="JHU1" s="615"/>
      <c r="JHV1" s="615"/>
      <c r="JHW1" s="615"/>
      <c r="JHX1" s="615"/>
      <c r="JHY1" s="615"/>
      <c r="JHZ1" s="615"/>
      <c r="JIA1" s="615"/>
      <c r="JIB1" s="615"/>
      <c r="JIC1" s="615"/>
      <c r="JID1" s="615"/>
      <c r="JIE1" s="615"/>
      <c r="JIF1" s="615"/>
      <c r="JIG1" s="615"/>
      <c r="JIH1" s="615"/>
      <c r="JII1" s="615"/>
      <c r="JIJ1" s="615"/>
      <c r="JIK1" s="615"/>
      <c r="JIL1" s="615"/>
      <c r="JIM1" s="615"/>
      <c r="JIN1" s="615"/>
      <c r="JIO1" s="615"/>
      <c r="JIP1" s="615"/>
      <c r="JIQ1" s="615"/>
      <c r="JIR1" s="615"/>
      <c r="JIS1" s="615"/>
      <c r="JIT1" s="615"/>
      <c r="JIU1" s="615"/>
      <c r="JIV1" s="615"/>
      <c r="JIW1" s="615"/>
      <c r="JIX1" s="615"/>
      <c r="JIY1" s="615"/>
      <c r="JIZ1" s="615"/>
      <c r="JJA1" s="615"/>
      <c r="JJB1" s="615"/>
      <c r="JJC1" s="615"/>
      <c r="JJD1" s="615"/>
      <c r="JJE1" s="615"/>
      <c r="JJF1" s="615"/>
      <c r="JJG1" s="615"/>
      <c r="JJH1" s="615"/>
      <c r="JJI1" s="615"/>
      <c r="JJJ1" s="615"/>
      <c r="JJK1" s="615"/>
      <c r="JJL1" s="615"/>
      <c r="JJM1" s="615"/>
      <c r="JJN1" s="615"/>
      <c r="JJO1" s="615"/>
      <c r="JJP1" s="615"/>
      <c r="JJQ1" s="615"/>
      <c r="JJR1" s="615"/>
      <c r="JJS1" s="615"/>
      <c r="JJT1" s="615"/>
      <c r="JJU1" s="615"/>
      <c r="JJV1" s="615"/>
      <c r="JJW1" s="615"/>
      <c r="JJX1" s="615"/>
      <c r="JJY1" s="615"/>
      <c r="JJZ1" s="615"/>
      <c r="JKA1" s="615"/>
      <c r="JKB1" s="615"/>
      <c r="JKC1" s="615"/>
      <c r="JKD1" s="615"/>
      <c r="JKE1" s="615"/>
      <c r="JKF1" s="615"/>
      <c r="JKG1" s="615"/>
      <c r="JKH1" s="615"/>
      <c r="JKI1" s="615"/>
      <c r="JKJ1" s="615"/>
      <c r="JKK1" s="615"/>
      <c r="JKL1" s="615"/>
      <c r="JKM1" s="615"/>
      <c r="JKN1" s="615"/>
      <c r="JKO1" s="615"/>
      <c r="JKP1" s="615"/>
      <c r="JKQ1" s="615"/>
      <c r="JKR1" s="615"/>
      <c r="JKS1" s="615"/>
      <c r="JKT1" s="615"/>
      <c r="JKU1" s="615"/>
      <c r="JKV1" s="615"/>
      <c r="JKW1" s="615"/>
      <c r="JKX1" s="615"/>
      <c r="JKY1" s="615"/>
      <c r="JKZ1" s="615"/>
      <c r="JLA1" s="615"/>
      <c r="JLB1" s="615"/>
      <c r="JLC1" s="615"/>
      <c r="JLD1" s="615"/>
      <c r="JLE1" s="615"/>
      <c r="JLF1" s="615"/>
      <c r="JLG1" s="615"/>
      <c r="JLH1" s="615"/>
      <c r="JLI1" s="615"/>
      <c r="JLJ1" s="615"/>
      <c r="JLK1" s="615"/>
      <c r="JLL1" s="615"/>
      <c r="JLM1" s="615"/>
      <c r="JLN1" s="615"/>
      <c r="JLO1" s="615"/>
      <c r="JLP1" s="615"/>
      <c r="JLQ1" s="615"/>
      <c r="JLR1" s="615"/>
      <c r="JLS1" s="615"/>
      <c r="JLT1" s="615"/>
      <c r="JLU1" s="615"/>
      <c r="JLV1" s="615"/>
      <c r="JLW1" s="615"/>
      <c r="JLX1" s="615"/>
      <c r="JLY1" s="615"/>
      <c r="JLZ1" s="615"/>
      <c r="JMA1" s="615"/>
      <c r="JMB1" s="615"/>
      <c r="JMC1" s="615"/>
      <c r="JMD1" s="615"/>
      <c r="JME1" s="615"/>
      <c r="JMF1" s="615"/>
      <c r="JMG1" s="615"/>
      <c r="JMH1" s="615"/>
      <c r="JMI1" s="615"/>
      <c r="JMJ1" s="615"/>
      <c r="JMK1" s="615"/>
      <c r="JML1" s="615"/>
      <c r="JMM1" s="615"/>
      <c r="JMN1" s="615"/>
      <c r="JMO1" s="615"/>
      <c r="JMP1" s="615"/>
      <c r="JMQ1" s="615"/>
      <c r="JMR1" s="615"/>
      <c r="JMS1" s="615"/>
      <c r="JMT1" s="615"/>
      <c r="JMU1" s="615"/>
      <c r="JMV1" s="615"/>
      <c r="JMW1" s="615"/>
      <c r="JMX1" s="615"/>
      <c r="JMY1" s="615"/>
      <c r="JMZ1" s="615"/>
      <c r="JNA1" s="615"/>
      <c r="JNB1" s="615"/>
      <c r="JNC1" s="615"/>
      <c r="JND1" s="615"/>
      <c r="JNE1" s="615"/>
      <c r="JNF1" s="615"/>
      <c r="JNG1" s="615"/>
      <c r="JNH1" s="615"/>
      <c r="JNI1" s="615"/>
      <c r="JNJ1" s="615"/>
      <c r="JNK1" s="615"/>
      <c r="JNL1" s="615"/>
      <c r="JNM1" s="615"/>
      <c r="JNN1" s="615"/>
      <c r="JNO1" s="615"/>
      <c r="JNP1" s="615"/>
      <c r="JNQ1" s="615"/>
      <c r="JNR1" s="615"/>
      <c r="JNS1" s="615"/>
      <c r="JNT1" s="615"/>
      <c r="JNU1" s="615"/>
      <c r="JNV1" s="615"/>
      <c r="JNW1" s="615"/>
      <c r="JNX1" s="615"/>
      <c r="JNY1" s="615"/>
      <c r="JNZ1" s="615"/>
      <c r="JOA1" s="615"/>
      <c r="JOB1" s="615"/>
      <c r="JOC1" s="615"/>
      <c r="JOD1" s="615"/>
      <c r="JOE1" s="615"/>
      <c r="JOF1" s="615"/>
      <c r="JOG1" s="615"/>
      <c r="JOH1" s="615"/>
      <c r="JOI1" s="615"/>
      <c r="JOJ1" s="615"/>
      <c r="JOK1" s="615"/>
      <c r="JOL1" s="615"/>
      <c r="JOM1" s="615"/>
      <c r="JON1" s="615"/>
      <c r="JOO1" s="615"/>
      <c r="JOP1" s="615"/>
      <c r="JOQ1" s="615"/>
      <c r="JOR1" s="615"/>
      <c r="JOS1" s="615"/>
      <c r="JOT1" s="615"/>
      <c r="JOU1" s="615"/>
      <c r="JOV1" s="615"/>
      <c r="JOW1" s="615"/>
      <c r="JOX1" s="615"/>
      <c r="JOY1" s="615"/>
      <c r="JOZ1" s="615"/>
      <c r="JPA1" s="615"/>
      <c r="JPB1" s="615"/>
      <c r="JPC1" s="615"/>
      <c r="JPD1" s="615"/>
      <c r="JPE1" s="615"/>
      <c r="JPF1" s="615"/>
      <c r="JPG1" s="615"/>
      <c r="JPH1" s="615"/>
      <c r="JPI1" s="615"/>
      <c r="JPJ1" s="615"/>
      <c r="JPK1" s="615"/>
      <c r="JPL1" s="615"/>
      <c r="JPM1" s="615"/>
      <c r="JPN1" s="615"/>
      <c r="JPO1" s="615"/>
      <c r="JPP1" s="615"/>
      <c r="JPQ1" s="615"/>
      <c r="JPR1" s="615"/>
      <c r="JPS1" s="615"/>
      <c r="JPT1" s="615"/>
      <c r="JPU1" s="615"/>
      <c r="JPV1" s="615"/>
      <c r="JPW1" s="615"/>
      <c r="JPX1" s="615"/>
      <c r="JPY1" s="615"/>
      <c r="JPZ1" s="615"/>
      <c r="JQA1" s="615"/>
      <c r="JQB1" s="615"/>
      <c r="JQC1" s="615"/>
      <c r="JQD1" s="615"/>
      <c r="JQE1" s="615"/>
      <c r="JQF1" s="615"/>
      <c r="JQG1" s="615"/>
      <c r="JQH1" s="615"/>
      <c r="JQI1" s="615"/>
      <c r="JQJ1" s="615"/>
      <c r="JQK1" s="615"/>
      <c r="JQL1" s="615"/>
      <c r="JQM1" s="615"/>
      <c r="JQN1" s="615"/>
      <c r="JQO1" s="615"/>
      <c r="JQP1" s="615"/>
      <c r="JQQ1" s="615"/>
      <c r="JQR1" s="615"/>
      <c r="JQS1" s="615"/>
      <c r="JQT1" s="615"/>
      <c r="JQU1" s="615"/>
      <c r="JQV1" s="615"/>
      <c r="JQW1" s="615"/>
      <c r="JQX1" s="615"/>
      <c r="JQY1" s="615"/>
      <c r="JQZ1" s="615"/>
      <c r="JRA1" s="615"/>
      <c r="JRB1" s="615"/>
      <c r="JRC1" s="615"/>
      <c r="JRD1" s="615"/>
      <c r="JRE1" s="615"/>
      <c r="JRF1" s="615"/>
      <c r="JRG1" s="615"/>
      <c r="JRH1" s="615"/>
      <c r="JRI1" s="615"/>
      <c r="JRJ1" s="615"/>
      <c r="JRK1" s="615"/>
      <c r="JRL1" s="615"/>
      <c r="JRM1" s="615"/>
      <c r="JRN1" s="615"/>
      <c r="JRO1" s="615"/>
      <c r="JRP1" s="615"/>
      <c r="JRQ1" s="615"/>
      <c r="JRR1" s="615"/>
      <c r="JRS1" s="615"/>
      <c r="JRT1" s="615"/>
      <c r="JRU1" s="615"/>
      <c r="JRV1" s="615"/>
      <c r="JRW1" s="615"/>
      <c r="JRX1" s="615"/>
      <c r="JRY1" s="615"/>
      <c r="JRZ1" s="615"/>
      <c r="JSA1" s="615"/>
      <c r="JSB1" s="615"/>
      <c r="JSC1" s="615"/>
      <c r="JSD1" s="615"/>
      <c r="JSE1" s="615"/>
      <c r="JSF1" s="615"/>
      <c r="JSG1" s="615"/>
      <c r="JSH1" s="615"/>
      <c r="JSI1" s="615"/>
      <c r="JSJ1" s="615"/>
      <c r="JSK1" s="615"/>
      <c r="JSL1" s="615"/>
      <c r="JSM1" s="615"/>
      <c r="JSN1" s="615"/>
      <c r="JSO1" s="615"/>
      <c r="JSP1" s="615"/>
      <c r="JSQ1" s="615"/>
      <c r="JSR1" s="615"/>
      <c r="JSS1" s="615"/>
      <c r="JST1" s="615"/>
      <c r="JSU1" s="615"/>
      <c r="JSV1" s="615"/>
      <c r="JSW1" s="615"/>
      <c r="JSX1" s="615"/>
      <c r="JSY1" s="615"/>
      <c r="JSZ1" s="615"/>
      <c r="JTA1" s="615"/>
      <c r="JTB1" s="615"/>
      <c r="JTC1" s="615"/>
      <c r="JTD1" s="615"/>
      <c r="JTE1" s="615"/>
      <c r="JTF1" s="615"/>
      <c r="JTG1" s="615"/>
      <c r="JTH1" s="615"/>
      <c r="JTI1" s="615"/>
      <c r="JTJ1" s="615"/>
      <c r="JTK1" s="615"/>
      <c r="JTL1" s="615"/>
      <c r="JTM1" s="615"/>
      <c r="JTN1" s="615"/>
      <c r="JTO1" s="615"/>
      <c r="JTP1" s="615"/>
      <c r="JTQ1" s="615"/>
      <c r="JTR1" s="615"/>
      <c r="JTS1" s="615"/>
      <c r="JTT1" s="615"/>
      <c r="JTU1" s="615"/>
      <c r="JTV1" s="615"/>
      <c r="JTW1" s="615"/>
      <c r="JTX1" s="615"/>
      <c r="JTY1" s="615"/>
      <c r="JTZ1" s="615"/>
      <c r="JUA1" s="615"/>
      <c r="JUB1" s="615"/>
      <c r="JUC1" s="615"/>
      <c r="JUD1" s="615"/>
      <c r="JUE1" s="615"/>
      <c r="JUF1" s="615"/>
      <c r="JUG1" s="615"/>
      <c r="JUH1" s="615"/>
      <c r="JUI1" s="615"/>
      <c r="JUJ1" s="615"/>
      <c r="JUK1" s="615"/>
      <c r="JUL1" s="615"/>
      <c r="JUM1" s="615"/>
      <c r="JUN1" s="615"/>
      <c r="JUO1" s="615"/>
      <c r="JUP1" s="615"/>
      <c r="JUQ1" s="615"/>
      <c r="JUR1" s="615"/>
      <c r="JUS1" s="615"/>
      <c r="JUT1" s="615"/>
      <c r="JUU1" s="615"/>
      <c r="JUV1" s="615"/>
      <c r="JUW1" s="615"/>
      <c r="JUX1" s="615"/>
      <c r="JUY1" s="615"/>
      <c r="JUZ1" s="615"/>
      <c r="JVA1" s="615"/>
      <c r="JVB1" s="615"/>
      <c r="JVC1" s="615"/>
      <c r="JVD1" s="615"/>
      <c r="JVE1" s="615"/>
      <c r="JVF1" s="615"/>
      <c r="JVG1" s="615"/>
      <c r="JVH1" s="615"/>
      <c r="JVI1" s="615"/>
      <c r="JVJ1" s="615"/>
      <c r="JVK1" s="615"/>
      <c r="JVL1" s="615"/>
      <c r="JVM1" s="615"/>
      <c r="JVN1" s="615"/>
      <c r="JVO1" s="615"/>
      <c r="JVP1" s="615"/>
      <c r="JVQ1" s="615"/>
      <c r="JVR1" s="615"/>
      <c r="JVS1" s="615"/>
      <c r="JVT1" s="615"/>
      <c r="JVU1" s="615"/>
      <c r="JVV1" s="615"/>
      <c r="JVW1" s="615"/>
      <c r="JVX1" s="615"/>
      <c r="JVY1" s="615"/>
      <c r="JVZ1" s="615"/>
      <c r="JWA1" s="615"/>
      <c r="JWB1" s="615"/>
      <c r="JWC1" s="615"/>
      <c r="JWD1" s="615"/>
      <c r="JWE1" s="615"/>
      <c r="JWF1" s="615"/>
      <c r="JWG1" s="615"/>
      <c r="JWH1" s="615"/>
      <c r="JWI1" s="615"/>
      <c r="JWJ1" s="615"/>
      <c r="JWK1" s="615"/>
      <c r="JWL1" s="615"/>
      <c r="JWM1" s="615"/>
      <c r="JWN1" s="615"/>
      <c r="JWO1" s="615"/>
      <c r="JWP1" s="615"/>
      <c r="JWQ1" s="615"/>
      <c r="JWR1" s="615"/>
      <c r="JWS1" s="615"/>
      <c r="JWT1" s="615"/>
      <c r="JWU1" s="615"/>
      <c r="JWV1" s="615"/>
      <c r="JWW1" s="615"/>
      <c r="JWX1" s="615"/>
      <c r="JWY1" s="615"/>
      <c r="JWZ1" s="615"/>
      <c r="JXA1" s="615"/>
      <c r="JXB1" s="615"/>
      <c r="JXC1" s="615"/>
      <c r="JXD1" s="615"/>
      <c r="JXE1" s="615"/>
      <c r="JXF1" s="615"/>
      <c r="JXG1" s="615"/>
      <c r="JXH1" s="615"/>
      <c r="JXI1" s="615"/>
      <c r="JXJ1" s="615"/>
      <c r="JXK1" s="615"/>
      <c r="JXL1" s="615"/>
      <c r="JXM1" s="615"/>
      <c r="JXN1" s="615"/>
      <c r="JXO1" s="615"/>
      <c r="JXP1" s="615"/>
      <c r="JXQ1" s="615"/>
      <c r="JXR1" s="615"/>
      <c r="JXS1" s="615"/>
      <c r="JXT1" s="615"/>
      <c r="JXU1" s="615"/>
      <c r="JXV1" s="615"/>
      <c r="JXW1" s="615"/>
      <c r="JXX1" s="615"/>
      <c r="JXY1" s="615"/>
      <c r="JXZ1" s="615"/>
      <c r="JYA1" s="615"/>
      <c r="JYB1" s="615"/>
      <c r="JYC1" s="615"/>
      <c r="JYD1" s="615"/>
      <c r="JYE1" s="615"/>
      <c r="JYF1" s="615"/>
      <c r="JYG1" s="615"/>
      <c r="JYH1" s="615"/>
      <c r="JYI1" s="615"/>
      <c r="JYJ1" s="615"/>
      <c r="JYK1" s="615"/>
      <c r="JYL1" s="615"/>
      <c r="JYM1" s="615"/>
      <c r="JYN1" s="615"/>
      <c r="JYO1" s="615"/>
      <c r="JYP1" s="615"/>
      <c r="JYQ1" s="615"/>
      <c r="JYR1" s="615"/>
      <c r="JYS1" s="615"/>
      <c r="JYT1" s="615"/>
      <c r="JYU1" s="615"/>
      <c r="JYV1" s="615"/>
      <c r="JYW1" s="615"/>
      <c r="JYX1" s="615"/>
      <c r="JYY1" s="615"/>
      <c r="JYZ1" s="615"/>
      <c r="JZA1" s="615"/>
      <c r="JZB1" s="615"/>
      <c r="JZC1" s="615"/>
      <c r="JZD1" s="615"/>
      <c r="JZE1" s="615"/>
      <c r="JZF1" s="615"/>
      <c r="JZG1" s="615"/>
      <c r="JZH1" s="615"/>
      <c r="JZI1" s="615"/>
      <c r="JZJ1" s="615"/>
      <c r="JZK1" s="615"/>
      <c r="JZL1" s="615"/>
      <c r="JZM1" s="615"/>
      <c r="JZN1" s="615"/>
      <c r="JZO1" s="615"/>
      <c r="JZP1" s="615"/>
      <c r="JZQ1" s="615"/>
      <c r="JZR1" s="615"/>
      <c r="JZS1" s="615"/>
      <c r="JZT1" s="615"/>
      <c r="JZU1" s="615"/>
      <c r="JZV1" s="615"/>
      <c r="JZW1" s="615"/>
      <c r="JZX1" s="615"/>
      <c r="JZY1" s="615"/>
      <c r="JZZ1" s="615"/>
      <c r="KAA1" s="615"/>
      <c r="KAB1" s="615"/>
      <c r="KAC1" s="615"/>
      <c r="KAD1" s="615"/>
      <c r="KAE1" s="615"/>
      <c r="KAF1" s="615"/>
      <c r="KAG1" s="615"/>
      <c r="KAH1" s="615"/>
      <c r="KAI1" s="615"/>
      <c r="KAJ1" s="615"/>
      <c r="KAK1" s="615"/>
      <c r="KAL1" s="615"/>
      <c r="KAM1" s="615"/>
      <c r="KAN1" s="615"/>
      <c r="KAO1" s="615"/>
      <c r="KAP1" s="615"/>
      <c r="KAQ1" s="615"/>
      <c r="KAR1" s="615"/>
      <c r="KAS1" s="615"/>
      <c r="KAT1" s="615"/>
      <c r="KAU1" s="615"/>
      <c r="KAV1" s="615"/>
      <c r="KAW1" s="615"/>
      <c r="KAX1" s="615"/>
      <c r="KAY1" s="615"/>
      <c r="KAZ1" s="615"/>
      <c r="KBA1" s="615"/>
      <c r="KBB1" s="615"/>
      <c r="KBC1" s="615"/>
      <c r="KBD1" s="615"/>
      <c r="KBE1" s="615"/>
      <c r="KBF1" s="615"/>
      <c r="KBG1" s="615"/>
      <c r="KBH1" s="615"/>
      <c r="KBI1" s="615"/>
      <c r="KBJ1" s="615"/>
      <c r="KBK1" s="615"/>
      <c r="KBL1" s="615"/>
      <c r="KBM1" s="615"/>
      <c r="KBN1" s="615"/>
      <c r="KBO1" s="615"/>
      <c r="KBP1" s="615"/>
      <c r="KBQ1" s="615"/>
      <c r="KBR1" s="615"/>
      <c r="KBS1" s="615"/>
      <c r="KBT1" s="615"/>
      <c r="KBU1" s="615"/>
      <c r="KBV1" s="615"/>
      <c r="KBW1" s="615"/>
      <c r="KBX1" s="615"/>
      <c r="KBY1" s="615"/>
      <c r="KBZ1" s="615"/>
      <c r="KCA1" s="615"/>
      <c r="KCB1" s="615"/>
      <c r="KCC1" s="615"/>
      <c r="KCD1" s="615"/>
      <c r="KCE1" s="615"/>
      <c r="KCF1" s="615"/>
      <c r="KCG1" s="615"/>
      <c r="KCH1" s="615"/>
      <c r="KCI1" s="615"/>
      <c r="KCJ1" s="615"/>
      <c r="KCK1" s="615"/>
      <c r="KCL1" s="615"/>
      <c r="KCM1" s="615"/>
      <c r="KCN1" s="615"/>
      <c r="KCO1" s="615"/>
      <c r="KCP1" s="615"/>
      <c r="KCQ1" s="615"/>
      <c r="KCR1" s="615"/>
      <c r="KCS1" s="615"/>
      <c r="KCT1" s="615"/>
      <c r="KCU1" s="615"/>
      <c r="KCV1" s="615"/>
      <c r="KCW1" s="615"/>
      <c r="KCX1" s="615"/>
      <c r="KCY1" s="615"/>
      <c r="KCZ1" s="615"/>
      <c r="KDA1" s="615"/>
      <c r="KDB1" s="615"/>
      <c r="KDC1" s="615"/>
      <c r="KDD1" s="615"/>
      <c r="KDE1" s="615"/>
      <c r="KDF1" s="615"/>
      <c r="KDG1" s="615"/>
      <c r="KDH1" s="615"/>
      <c r="KDI1" s="615"/>
      <c r="KDJ1" s="615"/>
      <c r="KDK1" s="615"/>
      <c r="KDL1" s="615"/>
      <c r="KDM1" s="615"/>
      <c r="KDN1" s="615"/>
      <c r="KDO1" s="615"/>
      <c r="KDP1" s="615"/>
      <c r="KDQ1" s="615"/>
      <c r="KDR1" s="615"/>
      <c r="KDS1" s="615"/>
      <c r="KDT1" s="615"/>
      <c r="KDU1" s="615"/>
      <c r="KDV1" s="615"/>
      <c r="KDW1" s="615"/>
      <c r="KDX1" s="615"/>
      <c r="KDY1" s="615"/>
      <c r="KDZ1" s="615"/>
      <c r="KEA1" s="615"/>
      <c r="KEB1" s="615"/>
      <c r="KEC1" s="615"/>
      <c r="KED1" s="615"/>
      <c r="KEE1" s="615"/>
      <c r="KEF1" s="615"/>
      <c r="KEG1" s="615"/>
      <c r="KEH1" s="615"/>
      <c r="KEI1" s="615"/>
      <c r="KEJ1" s="615"/>
      <c r="KEK1" s="615"/>
      <c r="KEL1" s="615"/>
      <c r="KEM1" s="615"/>
      <c r="KEN1" s="615"/>
      <c r="KEO1" s="615"/>
      <c r="KEP1" s="615"/>
      <c r="KEQ1" s="615"/>
      <c r="KER1" s="615"/>
      <c r="KES1" s="615"/>
      <c r="KET1" s="615"/>
      <c r="KEU1" s="615"/>
      <c r="KEV1" s="615"/>
      <c r="KEW1" s="615"/>
      <c r="KEX1" s="615"/>
      <c r="KEY1" s="615"/>
      <c r="KEZ1" s="615"/>
      <c r="KFA1" s="615"/>
      <c r="KFB1" s="615"/>
      <c r="KFC1" s="615"/>
      <c r="KFD1" s="615"/>
      <c r="KFE1" s="615"/>
      <c r="KFF1" s="615"/>
      <c r="KFG1" s="615"/>
      <c r="KFH1" s="615"/>
      <c r="KFI1" s="615"/>
      <c r="KFJ1" s="615"/>
      <c r="KFK1" s="615"/>
      <c r="KFL1" s="615"/>
      <c r="KFM1" s="615"/>
      <c r="KFN1" s="615"/>
      <c r="KFO1" s="615"/>
      <c r="KFP1" s="615"/>
      <c r="KFQ1" s="615"/>
      <c r="KFR1" s="615"/>
      <c r="KFS1" s="615"/>
      <c r="KFT1" s="615"/>
      <c r="KFU1" s="615"/>
      <c r="KFV1" s="615"/>
      <c r="KFW1" s="615"/>
      <c r="KFX1" s="615"/>
      <c r="KFY1" s="615"/>
      <c r="KFZ1" s="615"/>
      <c r="KGA1" s="615"/>
      <c r="KGB1" s="615"/>
      <c r="KGC1" s="615"/>
      <c r="KGD1" s="615"/>
      <c r="KGE1" s="615"/>
      <c r="KGF1" s="615"/>
      <c r="KGG1" s="615"/>
      <c r="KGH1" s="615"/>
      <c r="KGI1" s="615"/>
      <c r="KGJ1" s="615"/>
      <c r="KGK1" s="615"/>
      <c r="KGL1" s="615"/>
      <c r="KGM1" s="615"/>
      <c r="KGN1" s="615"/>
      <c r="KGO1" s="615"/>
      <c r="KGP1" s="615"/>
      <c r="KGQ1" s="615"/>
      <c r="KGR1" s="615"/>
      <c r="KGS1" s="615"/>
      <c r="KGT1" s="615"/>
      <c r="KGU1" s="615"/>
      <c r="KGV1" s="615"/>
      <c r="KGW1" s="615"/>
      <c r="KGX1" s="615"/>
      <c r="KGY1" s="615"/>
      <c r="KGZ1" s="615"/>
      <c r="KHA1" s="615"/>
      <c r="KHB1" s="615"/>
      <c r="KHC1" s="615"/>
      <c r="KHD1" s="615"/>
      <c r="KHE1" s="615"/>
      <c r="KHF1" s="615"/>
      <c r="KHG1" s="615"/>
      <c r="KHH1" s="615"/>
      <c r="KHI1" s="615"/>
      <c r="KHJ1" s="615"/>
      <c r="KHK1" s="615"/>
      <c r="KHL1" s="615"/>
      <c r="KHM1" s="615"/>
      <c r="KHN1" s="615"/>
      <c r="KHO1" s="615"/>
      <c r="KHP1" s="615"/>
      <c r="KHQ1" s="615"/>
      <c r="KHR1" s="615"/>
      <c r="KHS1" s="615"/>
      <c r="KHT1" s="615"/>
      <c r="KHU1" s="615"/>
      <c r="KHV1" s="615"/>
      <c r="KHW1" s="615"/>
      <c r="KHX1" s="615"/>
      <c r="KHY1" s="615"/>
      <c r="KHZ1" s="615"/>
      <c r="KIA1" s="615"/>
      <c r="KIB1" s="615"/>
      <c r="KIC1" s="615"/>
      <c r="KID1" s="615"/>
      <c r="KIE1" s="615"/>
      <c r="KIF1" s="615"/>
      <c r="KIG1" s="615"/>
      <c r="KIH1" s="615"/>
      <c r="KII1" s="615"/>
      <c r="KIJ1" s="615"/>
      <c r="KIK1" s="615"/>
      <c r="KIL1" s="615"/>
      <c r="KIM1" s="615"/>
      <c r="KIN1" s="615"/>
      <c r="KIO1" s="615"/>
      <c r="KIP1" s="615"/>
      <c r="KIQ1" s="615"/>
      <c r="KIR1" s="615"/>
      <c r="KIS1" s="615"/>
      <c r="KIT1" s="615"/>
      <c r="KIU1" s="615"/>
      <c r="KIV1" s="615"/>
      <c r="KIW1" s="615"/>
      <c r="KIX1" s="615"/>
      <c r="KIY1" s="615"/>
      <c r="KIZ1" s="615"/>
      <c r="KJA1" s="615"/>
      <c r="KJB1" s="615"/>
      <c r="KJC1" s="615"/>
      <c r="KJD1" s="615"/>
      <c r="KJE1" s="615"/>
      <c r="KJF1" s="615"/>
      <c r="KJG1" s="615"/>
      <c r="KJH1" s="615"/>
      <c r="KJI1" s="615"/>
      <c r="KJJ1" s="615"/>
      <c r="KJK1" s="615"/>
      <c r="KJL1" s="615"/>
      <c r="KJM1" s="615"/>
      <c r="KJN1" s="615"/>
      <c r="KJO1" s="615"/>
      <c r="KJP1" s="615"/>
      <c r="KJQ1" s="615"/>
      <c r="KJR1" s="615"/>
      <c r="KJS1" s="615"/>
      <c r="KJT1" s="615"/>
      <c r="KJU1" s="615"/>
      <c r="KJV1" s="615"/>
      <c r="KJW1" s="615"/>
      <c r="KJX1" s="615"/>
      <c r="KJY1" s="615"/>
      <c r="KJZ1" s="615"/>
      <c r="KKA1" s="615"/>
      <c r="KKB1" s="615"/>
      <c r="KKC1" s="615"/>
      <c r="KKD1" s="615"/>
      <c r="KKE1" s="615"/>
      <c r="KKF1" s="615"/>
      <c r="KKG1" s="615"/>
      <c r="KKH1" s="615"/>
      <c r="KKI1" s="615"/>
      <c r="KKJ1" s="615"/>
      <c r="KKK1" s="615"/>
      <c r="KKL1" s="615"/>
      <c r="KKM1" s="615"/>
      <c r="KKN1" s="615"/>
      <c r="KKO1" s="615"/>
      <c r="KKP1" s="615"/>
      <c r="KKQ1" s="615"/>
      <c r="KKR1" s="615"/>
      <c r="KKS1" s="615"/>
      <c r="KKT1" s="615"/>
      <c r="KKU1" s="615"/>
      <c r="KKV1" s="615"/>
      <c r="KKW1" s="615"/>
      <c r="KKX1" s="615"/>
      <c r="KKY1" s="615"/>
      <c r="KKZ1" s="615"/>
      <c r="KLA1" s="615"/>
      <c r="KLB1" s="615"/>
      <c r="KLC1" s="615"/>
      <c r="KLD1" s="615"/>
      <c r="KLE1" s="615"/>
      <c r="KLF1" s="615"/>
      <c r="KLG1" s="615"/>
      <c r="KLH1" s="615"/>
      <c r="KLI1" s="615"/>
      <c r="KLJ1" s="615"/>
      <c r="KLK1" s="615"/>
      <c r="KLL1" s="615"/>
      <c r="KLM1" s="615"/>
      <c r="KLN1" s="615"/>
      <c r="KLO1" s="615"/>
      <c r="KLP1" s="615"/>
      <c r="KLQ1" s="615"/>
      <c r="KLR1" s="615"/>
      <c r="KLS1" s="615"/>
      <c r="KLT1" s="615"/>
      <c r="KLU1" s="615"/>
      <c r="KLV1" s="615"/>
      <c r="KLW1" s="615"/>
      <c r="KLX1" s="615"/>
      <c r="KLY1" s="615"/>
      <c r="KLZ1" s="615"/>
      <c r="KMA1" s="615"/>
      <c r="KMB1" s="615"/>
      <c r="KMC1" s="615"/>
      <c r="KMD1" s="615"/>
      <c r="KME1" s="615"/>
      <c r="KMF1" s="615"/>
      <c r="KMG1" s="615"/>
      <c r="KMH1" s="615"/>
      <c r="KMI1" s="615"/>
      <c r="KMJ1" s="615"/>
      <c r="KMK1" s="615"/>
      <c r="KML1" s="615"/>
      <c r="KMM1" s="615"/>
      <c r="KMN1" s="615"/>
      <c r="KMO1" s="615"/>
      <c r="KMP1" s="615"/>
      <c r="KMQ1" s="615"/>
      <c r="KMR1" s="615"/>
      <c r="KMS1" s="615"/>
      <c r="KMT1" s="615"/>
      <c r="KMU1" s="615"/>
      <c r="KMV1" s="615"/>
      <c r="KMW1" s="615"/>
      <c r="KMX1" s="615"/>
      <c r="KMY1" s="615"/>
      <c r="KMZ1" s="615"/>
      <c r="KNA1" s="615"/>
      <c r="KNB1" s="615"/>
      <c r="KNC1" s="615"/>
      <c r="KND1" s="615"/>
      <c r="KNE1" s="615"/>
      <c r="KNF1" s="615"/>
      <c r="KNG1" s="615"/>
      <c r="KNH1" s="615"/>
      <c r="KNI1" s="615"/>
      <c r="KNJ1" s="615"/>
      <c r="KNK1" s="615"/>
      <c r="KNL1" s="615"/>
      <c r="KNM1" s="615"/>
      <c r="KNN1" s="615"/>
      <c r="KNO1" s="615"/>
      <c r="KNP1" s="615"/>
      <c r="KNQ1" s="615"/>
      <c r="KNR1" s="615"/>
      <c r="KNS1" s="615"/>
      <c r="KNT1" s="615"/>
      <c r="KNU1" s="615"/>
      <c r="KNV1" s="615"/>
      <c r="KNW1" s="615"/>
      <c r="KNX1" s="615"/>
      <c r="KNY1" s="615"/>
      <c r="KNZ1" s="615"/>
      <c r="KOA1" s="615"/>
      <c r="KOB1" s="615"/>
      <c r="KOC1" s="615"/>
      <c r="KOD1" s="615"/>
      <c r="KOE1" s="615"/>
      <c r="KOF1" s="615"/>
      <c r="KOG1" s="615"/>
      <c r="KOH1" s="615"/>
      <c r="KOI1" s="615"/>
      <c r="KOJ1" s="615"/>
      <c r="KOK1" s="615"/>
      <c r="KOL1" s="615"/>
      <c r="KOM1" s="615"/>
      <c r="KON1" s="615"/>
      <c r="KOO1" s="615"/>
      <c r="KOP1" s="615"/>
      <c r="KOQ1" s="615"/>
      <c r="KOR1" s="615"/>
      <c r="KOS1" s="615"/>
      <c r="KOT1" s="615"/>
      <c r="KOU1" s="615"/>
      <c r="KOV1" s="615"/>
      <c r="KOW1" s="615"/>
      <c r="KOX1" s="615"/>
      <c r="KOY1" s="615"/>
      <c r="KOZ1" s="615"/>
      <c r="KPA1" s="615"/>
      <c r="KPB1" s="615"/>
      <c r="KPC1" s="615"/>
      <c r="KPD1" s="615"/>
      <c r="KPE1" s="615"/>
      <c r="KPF1" s="615"/>
      <c r="KPG1" s="615"/>
      <c r="KPH1" s="615"/>
      <c r="KPI1" s="615"/>
      <c r="KPJ1" s="615"/>
      <c r="KPK1" s="615"/>
      <c r="KPL1" s="615"/>
      <c r="KPM1" s="615"/>
      <c r="KPN1" s="615"/>
      <c r="KPO1" s="615"/>
      <c r="KPP1" s="615"/>
      <c r="KPQ1" s="615"/>
      <c r="KPR1" s="615"/>
      <c r="KPS1" s="615"/>
      <c r="KPT1" s="615"/>
      <c r="KPU1" s="615"/>
      <c r="KPV1" s="615"/>
      <c r="KPW1" s="615"/>
      <c r="KPX1" s="615"/>
      <c r="KPY1" s="615"/>
      <c r="KPZ1" s="615"/>
      <c r="KQA1" s="615"/>
      <c r="KQB1" s="615"/>
      <c r="KQC1" s="615"/>
      <c r="KQD1" s="615"/>
      <c r="KQE1" s="615"/>
      <c r="KQF1" s="615"/>
      <c r="KQG1" s="615"/>
      <c r="KQH1" s="615"/>
      <c r="KQI1" s="615"/>
      <c r="KQJ1" s="615"/>
      <c r="KQK1" s="615"/>
      <c r="KQL1" s="615"/>
      <c r="KQM1" s="615"/>
      <c r="KQN1" s="615"/>
      <c r="KQO1" s="615"/>
      <c r="KQP1" s="615"/>
      <c r="KQQ1" s="615"/>
      <c r="KQR1" s="615"/>
      <c r="KQS1" s="615"/>
      <c r="KQT1" s="615"/>
      <c r="KQU1" s="615"/>
      <c r="KQV1" s="615"/>
      <c r="KQW1" s="615"/>
      <c r="KQX1" s="615"/>
      <c r="KQY1" s="615"/>
      <c r="KQZ1" s="615"/>
      <c r="KRA1" s="615"/>
      <c r="KRB1" s="615"/>
      <c r="KRC1" s="615"/>
      <c r="KRD1" s="615"/>
      <c r="KRE1" s="615"/>
      <c r="KRF1" s="615"/>
      <c r="KRG1" s="615"/>
      <c r="KRH1" s="615"/>
      <c r="KRI1" s="615"/>
      <c r="KRJ1" s="615"/>
      <c r="KRK1" s="615"/>
      <c r="KRL1" s="615"/>
      <c r="KRM1" s="615"/>
      <c r="KRN1" s="615"/>
      <c r="KRO1" s="615"/>
      <c r="KRP1" s="615"/>
      <c r="KRQ1" s="615"/>
      <c r="KRR1" s="615"/>
      <c r="KRS1" s="615"/>
      <c r="KRT1" s="615"/>
      <c r="KRU1" s="615"/>
      <c r="KRV1" s="615"/>
      <c r="KRW1" s="615"/>
      <c r="KRX1" s="615"/>
      <c r="KRY1" s="615"/>
      <c r="KRZ1" s="615"/>
      <c r="KSA1" s="615"/>
      <c r="KSB1" s="615"/>
      <c r="KSC1" s="615"/>
      <c r="KSD1" s="615"/>
      <c r="KSE1" s="615"/>
      <c r="KSF1" s="615"/>
      <c r="KSG1" s="615"/>
      <c r="KSH1" s="615"/>
      <c r="KSI1" s="615"/>
      <c r="KSJ1" s="615"/>
      <c r="KSK1" s="615"/>
      <c r="KSL1" s="615"/>
      <c r="KSM1" s="615"/>
      <c r="KSN1" s="615"/>
      <c r="KSO1" s="615"/>
      <c r="KSP1" s="615"/>
      <c r="KSQ1" s="615"/>
      <c r="KSR1" s="615"/>
      <c r="KSS1" s="615"/>
      <c r="KST1" s="615"/>
      <c r="KSU1" s="615"/>
      <c r="KSV1" s="615"/>
      <c r="KSW1" s="615"/>
      <c r="KSX1" s="615"/>
      <c r="KSY1" s="615"/>
      <c r="KSZ1" s="615"/>
      <c r="KTA1" s="615"/>
      <c r="KTB1" s="615"/>
      <c r="KTC1" s="615"/>
      <c r="KTD1" s="615"/>
      <c r="KTE1" s="615"/>
      <c r="KTF1" s="615"/>
      <c r="KTG1" s="615"/>
      <c r="KTH1" s="615"/>
      <c r="KTI1" s="615"/>
      <c r="KTJ1" s="615"/>
      <c r="KTK1" s="615"/>
      <c r="KTL1" s="615"/>
      <c r="KTM1" s="615"/>
      <c r="KTN1" s="615"/>
      <c r="KTO1" s="615"/>
      <c r="KTP1" s="615"/>
      <c r="KTQ1" s="615"/>
      <c r="KTR1" s="615"/>
      <c r="KTS1" s="615"/>
      <c r="KTT1" s="615"/>
      <c r="KTU1" s="615"/>
      <c r="KTV1" s="615"/>
      <c r="KTW1" s="615"/>
      <c r="KTX1" s="615"/>
      <c r="KTY1" s="615"/>
      <c r="KTZ1" s="615"/>
      <c r="KUA1" s="615"/>
      <c r="KUB1" s="615"/>
      <c r="KUC1" s="615"/>
      <c r="KUD1" s="615"/>
      <c r="KUE1" s="615"/>
      <c r="KUF1" s="615"/>
      <c r="KUG1" s="615"/>
      <c r="KUH1" s="615"/>
      <c r="KUI1" s="615"/>
      <c r="KUJ1" s="615"/>
      <c r="KUK1" s="615"/>
      <c r="KUL1" s="615"/>
      <c r="KUM1" s="615"/>
      <c r="KUN1" s="615"/>
      <c r="KUO1" s="615"/>
      <c r="KUP1" s="615"/>
      <c r="KUQ1" s="615"/>
      <c r="KUR1" s="615"/>
      <c r="KUS1" s="615"/>
      <c r="KUT1" s="615"/>
      <c r="KUU1" s="615"/>
      <c r="KUV1" s="615"/>
      <c r="KUW1" s="615"/>
      <c r="KUX1" s="615"/>
      <c r="KUY1" s="615"/>
      <c r="KUZ1" s="615"/>
      <c r="KVA1" s="615"/>
      <c r="KVB1" s="615"/>
      <c r="KVC1" s="615"/>
      <c r="KVD1" s="615"/>
      <c r="KVE1" s="615"/>
      <c r="KVF1" s="615"/>
      <c r="KVG1" s="615"/>
      <c r="KVH1" s="615"/>
      <c r="KVI1" s="615"/>
      <c r="KVJ1" s="615"/>
      <c r="KVK1" s="615"/>
      <c r="KVL1" s="615"/>
      <c r="KVM1" s="615"/>
      <c r="KVN1" s="615"/>
      <c r="KVO1" s="615"/>
      <c r="KVP1" s="615"/>
      <c r="KVQ1" s="615"/>
      <c r="KVR1" s="615"/>
      <c r="KVS1" s="615"/>
      <c r="KVT1" s="615"/>
      <c r="KVU1" s="615"/>
      <c r="KVV1" s="615"/>
      <c r="KVW1" s="615"/>
      <c r="KVX1" s="615"/>
      <c r="KVY1" s="615"/>
      <c r="KVZ1" s="615"/>
      <c r="KWA1" s="615"/>
      <c r="KWB1" s="615"/>
      <c r="KWC1" s="615"/>
      <c r="KWD1" s="615"/>
      <c r="KWE1" s="615"/>
      <c r="KWF1" s="615"/>
      <c r="KWG1" s="615"/>
      <c r="KWH1" s="615"/>
      <c r="KWI1" s="615"/>
      <c r="KWJ1" s="615"/>
      <c r="KWK1" s="615"/>
      <c r="KWL1" s="615"/>
      <c r="KWM1" s="615"/>
      <c r="KWN1" s="615"/>
      <c r="KWO1" s="615"/>
      <c r="KWP1" s="615"/>
      <c r="KWQ1" s="615"/>
      <c r="KWR1" s="615"/>
      <c r="KWS1" s="615"/>
      <c r="KWT1" s="615"/>
      <c r="KWU1" s="615"/>
      <c r="KWV1" s="615"/>
      <c r="KWW1" s="615"/>
      <c r="KWX1" s="615"/>
      <c r="KWY1" s="615"/>
      <c r="KWZ1" s="615"/>
      <c r="KXA1" s="615"/>
      <c r="KXB1" s="615"/>
      <c r="KXC1" s="615"/>
      <c r="KXD1" s="615"/>
      <c r="KXE1" s="615"/>
      <c r="KXF1" s="615"/>
      <c r="KXG1" s="615"/>
      <c r="KXH1" s="615"/>
      <c r="KXI1" s="615"/>
      <c r="KXJ1" s="615"/>
      <c r="KXK1" s="615"/>
      <c r="KXL1" s="615"/>
      <c r="KXM1" s="615"/>
      <c r="KXN1" s="615"/>
      <c r="KXO1" s="615"/>
      <c r="KXP1" s="615"/>
      <c r="KXQ1" s="615"/>
      <c r="KXR1" s="615"/>
      <c r="KXS1" s="615"/>
      <c r="KXT1" s="615"/>
      <c r="KXU1" s="615"/>
      <c r="KXV1" s="615"/>
      <c r="KXW1" s="615"/>
      <c r="KXX1" s="615"/>
      <c r="KXY1" s="615"/>
      <c r="KXZ1" s="615"/>
      <c r="KYA1" s="615"/>
      <c r="KYB1" s="615"/>
      <c r="KYC1" s="615"/>
      <c r="KYD1" s="615"/>
      <c r="KYE1" s="615"/>
      <c r="KYF1" s="615"/>
      <c r="KYG1" s="615"/>
      <c r="KYH1" s="615"/>
      <c r="KYI1" s="615"/>
      <c r="KYJ1" s="615"/>
      <c r="KYK1" s="615"/>
      <c r="KYL1" s="615"/>
      <c r="KYM1" s="615"/>
      <c r="KYN1" s="615"/>
      <c r="KYO1" s="615"/>
      <c r="KYP1" s="615"/>
      <c r="KYQ1" s="615"/>
      <c r="KYR1" s="615"/>
      <c r="KYS1" s="615"/>
      <c r="KYT1" s="615"/>
      <c r="KYU1" s="615"/>
      <c r="KYV1" s="615"/>
      <c r="KYW1" s="615"/>
      <c r="KYX1" s="615"/>
      <c r="KYY1" s="615"/>
      <c r="KYZ1" s="615"/>
      <c r="KZA1" s="615"/>
      <c r="KZB1" s="615"/>
      <c r="KZC1" s="615"/>
      <c r="KZD1" s="615"/>
      <c r="KZE1" s="615"/>
      <c r="KZF1" s="615"/>
      <c r="KZG1" s="615"/>
      <c r="KZH1" s="615"/>
      <c r="KZI1" s="615"/>
      <c r="KZJ1" s="615"/>
      <c r="KZK1" s="615"/>
      <c r="KZL1" s="615"/>
      <c r="KZM1" s="615"/>
      <c r="KZN1" s="615"/>
      <c r="KZO1" s="615"/>
      <c r="KZP1" s="615"/>
      <c r="KZQ1" s="615"/>
      <c r="KZR1" s="615"/>
      <c r="KZS1" s="615"/>
      <c r="KZT1" s="615"/>
      <c r="KZU1" s="615"/>
      <c r="KZV1" s="615"/>
      <c r="KZW1" s="615"/>
      <c r="KZX1" s="615"/>
      <c r="KZY1" s="615"/>
      <c r="KZZ1" s="615"/>
      <c r="LAA1" s="615"/>
      <c r="LAB1" s="615"/>
      <c r="LAC1" s="615"/>
      <c r="LAD1" s="615"/>
      <c r="LAE1" s="615"/>
      <c r="LAF1" s="615"/>
      <c r="LAG1" s="615"/>
      <c r="LAH1" s="615"/>
      <c r="LAI1" s="615"/>
      <c r="LAJ1" s="615"/>
      <c r="LAK1" s="615"/>
      <c r="LAL1" s="615"/>
      <c r="LAM1" s="615"/>
      <c r="LAN1" s="615"/>
      <c r="LAO1" s="615"/>
      <c r="LAP1" s="615"/>
      <c r="LAQ1" s="615"/>
      <c r="LAR1" s="615"/>
      <c r="LAS1" s="615"/>
      <c r="LAT1" s="615"/>
      <c r="LAU1" s="615"/>
      <c r="LAV1" s="615"/>
      <c r="LAW1" s="615"/>
      <c r="LAX1" s="615"/>
      <c r="LAY1" s="615"/>
      <c r="LAZ1" s="615"/>
      <c r="LBA1" s="615"/>
      <c r="LBB1" s="615"/>
      <c r="LBC1" s="615"/>
      <c r="LBD1" s="615"/>
      <c r="LBE1" s="615"/>
      <c r="LBF1" s="615"/>
      <c r="LBG1" s="615"/>
      <c r="LBH1" s="615"/>
      <c r="LBI1" s="615"/>
      <c r="LBJ1" s="615"/>
      <c r="LBK1" s="615"/>
      <c r="LBL1" s="615"/>
      <c r="LBM1" s="615"/>
      <c r="LBN1" s="615"/>
      <c r="LBO1" s="615"/>
      <c r="LBP1" s="615"/>
      <c r="LBQ1" s="615"/>
      <c r="LBR1" s="615"/>
      <c r="LBS1" s="615"/>
      <c r="LBT1" s="615"/>
      <c r="LBU1" s="615"/>
      <c r="LBV1" s="615"/>
      <c r="LBW1" s="615"/>
      <c r="LBX1" s="615"/>
      <c r="LBY1" s="615"/>
      <c r="LBZ1" s="615"/>
      <c r="LCA1" s="615"/>
      <c r="LCB1" s="615"/>
      <c r="LCC1" s="615"/>
      <c r="LCD1" s="615"/>
      <c r="LCE1" s="615"/>
      <c r="LCF1" s="615"/>
      <c r="LCG1" s="615"/>
      <c r="LCH1" s="615"/>
      <c r="LCI1" s="615"/>
      <c r="LCJ1" s="615"/>
      <c r="LCK1" s="615"/>
      <c r="LCL1" s="615"/>
      <c r="LCM1" s="615"/>
      <c r="LCN1" s="615"/>
      <c r="LCO1" s="615"/>
      <c r="LCP1" s="615"/>
      <c r="LCQ1" s="615"/>
      <c r="LCR1" s="615"/>
      <c r="LCS1" s="615"/>
      <c r="LCT1" s="615"/>
      <c r="LCU1" s="615"/>
      <c r="LCV1" s="615"/>
      <c r="LCW1" s="615"/>
      <c r="LCX1" s="615"/>
      <c r="LCY1" s="615"/>
      <c r="LCZ1" s="615"/>
      <c r="LDA1" s="615"/>
      <c r="LDB1" s="615"/>
      <c r="LDC1" s="615"/>
      <c r="LDD1" s="615"/>
      <c r="LDE1" s="615"/>
      <c r="LDF1" s="615"/>
      <c r="LDG1" s="615"/>
      <c r="LDH1" s="615"/>
      <c r="LDI1" s="615"/>
      <c r="LDJ1" s="615"/>
      <c r="LDK1" s="615"/>
      <c r="LDL1" s="615"/>
      <c r="LDM1" s="615"/>
      <c r="LDN1" s="615"/>
      <c r="LDO1" s="615"/>
      <c r="LDP1" s="615"/>
      <c r="LDQ1" s="615"/>
      <c r="LDR1" s="615"/>
      <c r="LDS1" s="615"/>
      <c r="LDT1" s="615"/>
      <c r="LDU1" s="615"/>
      <c r="LDV1" s="615"/>
      <c r="LDW1" s="615"/>
      <c r="LDX1" s="615"/>
      <c r="LDY1" s="615"/>
      <c r="LDZ1" s="615"/>
      <c r="LEA1" s="615"/>
      <c r="LEB1" s="615"/>
      <c r="LEC1" s="615"/>
      <c r="LED1" s="615"/>
      <c r="LEE1" s="615"/>
      <c r="LEF1" s="615"/>
      <c r="LEG1" s="615"/>
      <c r="LEH1" s="615"/>
      <c r="LEI1" s="615"/>
      <c r="LEJ1" s="615"/>
      <c r="LEK1" s="615"/>
      <c r="LEL1" s="615"/>
      <c r="LEM1" s="615"/>
      <c r="LEN1" s="615"/>
      <c r="LEO1" s="615"/>
      <c r="LEP1" s="615"/>
      <c r="LEQ1" s="615"/>
      <c r="LER1" s="615"/>
      <c r="LES1" s="615"/>
      <c r="LET1" s="615"/>
      <c r="LEU1" s="615"/>
      <c r="LEV1" s="615"/>
      <c r="LEW1" s="615"/>
      <c r="LEX1" s="615"/>
      <c r="LEY1" s="615"/>
      <c r="LEZ1" s="615"/>
      <c r="LFA1" s="615"/>
      <c r="LFB1" s="615"/>
      <c r="LFC1" s="615"/>
      <c r="LFD1" s="615"/>
      <c r="LFE1" s="615"/>
      <c r="LFF1" s="615"/>
      <c r="LFG1" s="615"/>
      <c r="LFH1" s="615"/>
      <c r="LFI1" s="615"/>
      <c r="LFJ1" s="615"/>
      <c r="LFK1" s="615"/>
      <c r="LFL1" s="615"/>
      <c r="LFM1" s="615"/>
      <c r="LFN1" s="615"/>
      <c r="LFO1" s="615"/>
      <c r="LFP1" s="615"/>
      <c r="LFQ1" s="615"/>
      <c r="LFR1" s="615"/>
      <c r="LFS1" s="615"/>
      <c r="LFT1" s="615"/>
      <c r="LFU1" s="615"/>
      <c r="LFV1" s="615"/>
      <c r="LFW1" s="615"/>
      <c r="LFX1" s="615"/>
      <c r="LFY1" s="615"/>
      <c r="LFZ1" s="615"/>
      <c r="LGA1" s="615"/>
      <c r="LGB1" s="615"/>
      <c r="LGC1" s="615"/>
      <c r="LGD1" s="615"/>
      <c r="LGE1" s="615"/>
      <c r="LGF1" s="615"/>
      <c r="LGG1" s="615"/>
      <c r="LGH1" s="615"/>
      <c r="LGI1" s="615"/>
      <c r="LGJ1" s="615"/>
      <c r="LGK1" s="615"/>
      <c r="LGL1" s="615"/>
      <c r="LGM1" s="615"/>
      <c r="LGN1" s="615"/>
      <c r="LGO1" s="615"/>
      <c r="LGP1" s="615"/>
      <c r="LGQ1" s="615"/>
      <c r="LGR1" s="615"/>
      <c r="LGS1" s="615"/>
      <c r="LGT1" s="615"/>
      <c r="LGU1" s="615"/>
      <c r="LGV1" s="615"/>
      <c r="LGW1" s="615"/>
      <c r="LGX1" s="615"/>
      <c r="LGY1" s="615"/>
      <c r="LGZ1" s="615"/>
      <c r="LHA1" s="615"/>
      <c r="LHB1" s="615"/>
      <c r="LHC1" s="615"/>
      <c r="LHD1" s="615"/>
      <c r="LHE1" s="615"/>
      <c r="LHF1" s="615"/>
      <c r="LHG1" s="615"/>
      <c r="LHH1" s="615"/>
      <c r="LHI1" s="615"/>
      <c r="LHJ1" s="615"/>
      <c r="LHK1" s="615"/>
      <c r="LHL1" s="615"/>
      <c r="LHM1" s="615"/>
      <c r="LHN1" s="615"/>
      <c r="LHO1" s="615"/>
      <c r="LHP1" s="615"/>
      <c r="LHQ1" s="615"/>
      <c r="LHR1" s="615"/>
      <c r="LHS1" s="615"/>
      <c r="LHT1" s="615"/>
      <c r="LHU1" s="615"/>
      <c r="LHV1" s="615"/>
      <c r="LHW1" s="615"/>
      <c r="LHX1" s="615"/>
      <c r="LHY1" s="615"/>
      <c r="LHZ1" s="615"/>
      <c r="LIA1" s="615"/>
      <c r="LIB1" s="615"/>
      <c r="LIC1" s="615"/>
      <c r="LID1" s="615"/>
      <c r="LIE1" s="615"/>
      <c r="LIF1" s="615"/>
      <c r="LIG1" s="615"/>
      <c r="LIH1" s="615"/>
      <c r="LII1" s="615"/>
      <c r="LIJ1" s="615"/>
      <c r="LIK1" s="615"/>
      <c r="LIL1" s="615"/>
      <c r="LIM1" s="615"/>
      <c r="LIN1" s="615"/>
      <c r="LIO1" s="615"/>
      <c r="LIP1" s="615"/>
      <c r="LIQ1" s="615"/>
      <c r="LIR1" s="615"/>
      <c r="LIS1" s="615"/>
      <c r="LIT1" s="615"/>
      <c r="LIU1" s="615"/>
      <c r="LIV1" s="615"/>
      <c r="LIW1" s="615"/>
      <c r="LIX1" s="615"/>
      <c r="LIY1" s="615"/>
      <c r="LIZ1" s="615"/>
      <c r="LJA1" s="615"/>
      <c r="LJB1" s="615"/>
      <c r="LJC1" s="615"/>
      <c r="LJD1" s="615"/>
      <c r="LJE1" s="615"/>
      <c r="LJF1" s="615"/>
      <c r="LJG1" s="615"/>
      <c r="LJH1" s="615"/>
      <c r="LJI1" s="615"/>
      <c r="LJJ1" s="615"/>
      <c r="LJK1" s="615"/>
      <c r="LJL1" s="615"/>
      <c r="LJM1" s="615"/>
      <c r="LJN1" s="615"/>
      <c r="LJO1" s="615"/>
      <c r="LJP1" s="615"/>
      <c r="LJQ1" s="615"/>
      <c r="LJR1" s="615"/>
      <c r="LJS1" s="615"/>
      <c r="LJT1" s="615"/>
      <c r="LJU1" s="615"/>
      <c r="LJV1" s="615"/>
      <c r="LJW1" s="615"/>
      <c r="LJX1" s="615"/>
      <c r="LJY1" s="615"/>
      <c r="LJZ1" s="615"/>
      <c r="LKA1" s="615"/>
      <c r="LKB1" s="615"/>
      <c r="LKC1" s="615"/>
      <c r="LKD1" s="615"/>
      <c r="LKE1" s="615"/>
      <c r="LKF1" s="615"/>
      <c r="LKG1" s="615"/>
      <c r="LKH1" s="615"/>
      <c r="LKI1" s="615"/>
      <c r="LKJ1" s="615"/>
      <c r="LKK1" s="615"/>
      <c r="LKL1" s="615"/>
      <c r="LKM1" s="615"/>
      <c r="LKN1" s="615"/>
      <c r="LKO1" s="615"/>
      <c r="LKP1" s="615"/>
      <c r="LKQ1" s="615"/>
      <c r="LKR1" s="615"/>
      <c r="LKS1" s="615"/>
      <c r="LKT1" s="615"/>
      <c r="LKU1" s="615"/>
      <c r="LKV1" s="615"/>
      <c r="LKW1" s="615"/>
      <c r="LKX1" s="615"/>
      <c r="LKY1" s="615"/>
      <c r="LKZ1" s="615"/>
      <c r="LLA1" s="615"/>
      <c r="LLB1" s="615"/>
      <c r="LLC1" s="615"/>
      <c r="LLD1" s="615"/>
      <c r="LLE1" s="615"/>
      <c r="LLF1" s="615"/>
      <c r="LLG1" s="615"/>
      <c r="LLH1" s="615"/>
      <c r="LLI1" s="615"/>
      <c r="LLJ1" s="615"/>
      <c r="LLK1" s="615"/>
      <c r="LLL1" s="615"/>
      <c r="LLM1" s="615"/>
      <c r="LLN1" s="615"/>
      <c r="LLO1" s="615"/>
      <c r="LLP1" s="615"/>
      <c r="LLQ1" s="615"/>
      <c r="LLR1" s="615"/>
      <c r="LLS1" s="615"/>
      <c r="LLT1" s="615"/>
      <c r="LLU1" s="615"/>
      <c r="LLV1" s="615"/>
      <c r="LLW1" s="615"/>
      <c r="LLX1" s="615"/>
      <c r="LLY1" s="615"/>
      <c r="LLZ1" s="615"/>
      <c r="LMA1" s="615"/>
      <c r="LMB1" s="615"/>
      <c r="LMC1" s="615"/>
      <c r="LMD1" s="615"/>
      <c r="LME1" s="615"/>
      <c r="LMF1" s="615"/>
      <c r="LMG1" s="615"/>
      <c r="LMH1" s="615"/>
      <c r="LMI1" s="615"/>
      <c r="LMJ1" s="615"/>
      <c r="LMK1" s="615"/>
      <c r="LML1" s="615"/>
      <c r="LMM1" s="615"/>
      <c r="LMN1" s="615"/>
      <c r="LMO1" s="615"/>
      <c r="LMP1" s="615"/>
      <c r="LMQ1" s="615"/>
      <c r="LMR1" s="615"/>
      <c r="LMS1" s="615"/>
      <c r="LMT1" s="615"/>
      <c r="LMU1" s="615"/>
      <c r="LMV1" s="615"/>
      <c r="LMW1" s="615"/>
      <c r="LMX1" s="615"/>
      <c r="LMY1" s="615"/>
      <c r="LMZ1" s="615"/>
      <c r="LNA1" s="615"/>
      <c r="LNB1" s="615"/>
      <c r="LNC1" s="615"/>
      <c r="LND1" s="615"/>
      <c r="LNE1" s="615"/>
      <c r="LNF1" s="615"/>
      <c r="LNG1" s="615"/>
      <c r="LNH1" s="615"/>
      <c r="LNI1" s="615"/>
      <c r="LNJ1" s="615"/>
      <c r="LNK1" s="615"/>
      <c r="LNL1" s="615"/>
      <c r="LNM1" s="615"/>
      <c r="LNN1" s="615"/>
      <c r="LNO1" s="615"/>
      <c r="LNP1" s="615"/>
      <c r="LNQ1" s="615"/>
      <c r="LNR1" s="615"/>
      <c r="LNS1" s="615"/>
      <c r="LNT1" s="615"/>
      <c r="LNU1" s="615"/>
      <c r="LNV1" s="615"/>
      <c r="LNW1" s="615"/>
      <c r="LNX1" s="615"/>
      <c r="LNY1" s="615"/>
      <c r="LNZ1" s="615"/>
      <c r="LOA1" s="615"/>
      <c r="LOB1" s="615"/>
      <c r="LOC1" s="615"/>
      <c r="LOD1" s="615"/>
      <c r="LOE1" s="615"/>
      <c r="LOF1" s="615"/>
      <c r="LOG1" s="615"/>
      <c r="LOH1" s="615"/>
      <c r="LOI1" s="615"/>
      <c r="LOJ1" s="615"/>
      <c r="LOK1" s="615"/>
      <c r="LOL1" s="615"/>
      <c r="LOM1" s="615"/>
      <c r="LON1" s="615"/>
      <c r="LOO1" s="615"/>
      <c r="LOP1" s="615"/>
      <c r="LOQ1" s="615"/>
      <c r="LOR1" s="615"/>
      <c r="LOS1" s="615"/>
      <c r="LOT1" s="615"/>
      <c r="LOU1" s="615"/>
      <c r="LOV1" s="615"/>
      <c r="LOW1" s="615"/>
      <c r="LOX1" s="615"/>
      <c r="LOY1" s="615"/>
      <c r="LOZ1" s="615"/>
      <c r="LPA1" s="615"/>
      <c r="LPB1" s="615"/>
      <c r="LPC1" s="615"/>
      <c r="LPD1" s="615"/>
      <c r="LPE1" s="615"/>
      <c r="LPF1" s="615"/>
      <c r="LPG1" s="615"/>
      <c r="LPH1" s="615"/>
      <c r="LPI1" s="615"/>
      <c r="LPJ1" s="615"/>
      <c r="LPK1" s="615"/>
      <c r="LPL1" s="615"/>
      <c r="LPM1" s="615"/>
      <c r="LPN1" s="615"/>
      <c r="LPO1" s="615"/>
      <c r="LPP1" s="615"/>
      <c r="LPQ1" s="615"/>
      <c r="LPR1" s="615"/>
      <c r="LPS1" s="615"/>
      <c r="LPT1" s="615"/>
      <c r="LPU1" s="615"/>
      <c r="LPV1" s="615"/>
      <c r="LPW1" s="615"/>
      <c r="LPX1" s="615"/>
      <c r="LPY1" s="615"/>
      <c r="LPZ1" s="615"/>
      <c r="LQA1" s="615"/>
      <c r="LQB1" s="615"/>
      <c r="LQC1" s="615"/>
      <c r="LQD1" s="615"/>
      <c r="LQE1" s="615"/>
      <c r="LQF1" s="615"/>
      <c r="LQG1" s="615"/>
      <c r="LQH1" s="615"/>
      <c r="LQI1" s="615"/>
      <c r="LQJ1" s="615"/>
      <c r="LQK1" s="615"/>
      <c r="LQL1" s="615"/>
      <c r="LQM1" s="615"/>
      <c r="LQN1" s="615"/>
      <c r="LQO1" s="615"/>
      <c r="LQP1" s="615"/>
      <c r="LQQ1" s="615"/>
      <c r="LQR1" s="615"/>
      <c r="LQS1" s="615"/>
      <c r="LQT1" s="615"/>
      <c r="LQU1" s="615"/>
      <c r="LQV1" s="615"/>
      <c r="LQW1" s="615"/>
      <c r="LQX1" s="615"/>
      <c r="LQY1" s="615"/>
      <c r="LQZ1" s="615"/>
      <c r="LRA1" s="615"/>
      <c r="LRB1" s="615"/>
      <c r="LRC1" s="615"/>
      <c r="LRD1" s="615"/>
      <c r="LRE1" s="615"/>
      <c r="LRF1" s="615"/>
      <c r="LRG1" s="615"/>
      <c r="LRH1" s="615"/>
      <c r="LRI1" s="615"/>
      <c r="LRJ1" s="615"/>
      <c r="LRK1" s="615"/>
      <c r="LRL1" s="615"/>
      <c r="LRM1" s="615"/>
      <c r="LRN1" s="615"/>
      <c r="LRO1" s="615"/>
      <c r="LRP1" s="615"/>
      <c r="LRQ1" s="615"/>
      <c r="LRR1" s="615"/>
      <c r="LRS1" s="615"/>
      <c r="LRT1" s="615"/>
      <c r="LRU1" s="615"/>
      <c r="LRV1" s="615"/>
      <c r="LRW1" s="615"/>
      <c r="LRX1" s="615"/>
      <c r="LRY1" s="615"/>
      <c r="LRZ1" s="615"/>
      <c r="LSA1" s="615"/>
      <c r="LSB1" s="615"/>
      <c r="LSC1" s="615"/>
      <c r="LSD1" s="615"/>
      <c r="LSE1" s="615"/>
      <c r="LSF1" s="615"/>
      <c r="LSG1" s="615"/>
      <c r="LSH1" s="615"/>
      <c r="LSI1" s="615"/>
      <c r="LSJ1" s="615"/>
      <c r="LSK1" s="615"/>
      <c r="LSL1" s="615"/>
      <c r="LSM1" s="615"/>
      <c r="LSN1" s="615"/>
      <c r="LSO1" s="615"/>
      <c r="LSP1" s="615"/>
      <c r="LSQ1" s="615"/>
      <c r="LSR1" s="615"/>
      <c r="LSS1" s="615"/>
      <c r="LST1" s="615"/>
      <c r="LSU1" s="615"/>
      <c r="LSV1" s="615"/>
      <c r="LSW1" s="615"/>
      <c r="LSX1" s="615"/>
      <c r="LSY1" s="615"/>
      <c r="LSZ1" s="615"/>
      <c r="LTA1" s="615"/>
      <c r="LTB1" s="615"/>
      <c r="LTC1" s="615"/>
      <c r="LTD1" s="615"/>
      <c r="LTE1" s="615"/>
      <c r="LTF1" s="615"/>
      <c r="LTG1" s="615"/>
      <c r="LTH1" s="615"/>
      <c r="LTI1" s="615"/>
      <c r="LTJ1" s="615"/>
      <c r="LTK1" s="615"/>
      <c r="LTL1" s="615"/>
      <c r="LTM1" s="615"/>
      <c r="LTN1" s="615"/>
      <c r="LTO1" s="615"/>
      <c r="LTP1" s="615"/>
      <c r="LTQ1" s="615"/>
      <c r="LTR1" s="615"/>
      <c r="LTS1" s="615"/>
      <c r="LTT1" s="615"/>
      <c r="LTU1" s="615"/>
      <c r="LTV1" s="615"/>
      <c r="LTW1" s="615"/>
      <c r="LTX1" s="615"/>
      <c r="LTY1" s="615"/>
      <c r="LTZ1" s="615"/>
      <c r="LUA1" s="615"/>
      <c r="LUB1" s="615"/>
      <c r="LUC1" s="615"/>
      <c r="LUD1" s="615"/>
      <c r="LUE1" s="615"/>
      <c r="LUF1" s="615"/>
      <c r="LUG1" s="615"/>
      <c r="LUH1" s="615"/>
      <c r="LUI1" s="615"/>
      <c r="LUJ1" s="615"/>
      <c r="LUK1" s="615"/>
      <c r="LUL1" s="615"/>
      <c r="LUM1" s="615"/>
      <c r="LUN1" s="615"/>
      <c r="LUO1" s="615"/>
      <c r="LUP1" s="615"/>
      <c r="LUQ1" s="615"/>
      <c r="LUR1" s="615"/>
      <c r="LUS1" s="615"/>
      <c r="LUT1" s="615"/>
      <c r="LUU1" s="615"/>
      <c r="LUV1" s="615"/>
      <c r="LUW1" s="615"/>
      <c r="LUX1" s="615"/>
      <c r="LUY1" s="615"/>
      <c r="LUZ1" s="615"/>
      <c r="LVA1" s="615"/>
      <c r="LVB1" s="615"/>
      <c r="LVC1" s="615"/>
      <c r="LVD1" s="615"/>
      <c r="LVE1" s="615"/>
      <c r="LVF1" s="615"/>
      <c r="LVG1" s="615"/>
      <c r="LVH1" s="615"/>
      <c r="LVI1" s="615"/>
      <c r="LVJ1" s="615"/>
      <c r="LVK1" s="615"/>
      <c r="LVL1" s="615"/>
      <c r="LVM1" s="615"/>
      <c r="LVN1" s="615"/>
      <c r="LVO1" s="615"/>
      <c r="LVP1" s="615"/>
      <c r="LVQ1" s="615"/>
      <c r="LVR1" s="615"/>
      <c r="LVS1" s="615"/>
      <c r="LVT1" s="615"/>
      <c r="LVU1" s="615"/>
      <c r="LVV1" s="615"/>
      <c r="LVW1" s="615"/>
      <c r="LVX1" s="615"/>
      <c r="LVY1" s="615"/>
      <c r="LVZ1" s="615"/>
      <c r="LWA1" s="615"/>
      <c r="LWB1" s="615"/>
      <c r="LWC1" s="615"/>
      <c r="LWD1" s="615"/>
      <c r="LWE1" s="615"/>
      <c r="LWF1" s="615"/>
      <c r="LWG1" s="615"/>
      <c r="LWH1" s="615"/>
      <c r="LWI1" s="615"/>
      <c r="LWJ1" s="615"/>
      <c r="LWK1" s="615"/>
      <c r="LWL1" s="615"/>
      <c r="LWM1" s="615"/>
      <c r="LWN1" s="615"/>
      <c r="LWO1" s="615"/>
      <c r="LWP1" s="615"/>
      <c r="LWQ1" s="615"/>
      <c r="LWR1" s="615"/>
      <c r="LWS1" s="615"/>
      <c r="LWT1" s="615"/>
      <c r="LWU1" s="615"/>
      <c r="LWV1" s="615"/>
      <c r="LWW1" s="615"/>
      <c r="LWX1" s="615"/>
      <c r="LWY1" s="615"/>
      <c r="LWZ1" s="615"/>
      <c r="LXA1" s="615"/>
      <c r="LXB1" s="615"/>
      <c r="LXC1" s="615"/>
      <c r="LXD1" s="615"/>
      <c r="LXE1" s="615"/>
      <c r="LXF1" s="615"/>
      <c r="LXG1" s="615"/>
      <c r="LXH1" s="615"/>
      <c r="LXI1" s="615"/>
      <c r="LXJ1" s="615"/>
      <c r="LXK1" s="615"/>
      <c r="LXL1" s="615"/>
      <c r="LXM1" s="615"/>
      <c r="LXN1" s="615"/>
      <c r="LXO1" s="615"/>
      <c r="LXP1" s="615"/>
      <c r="LXQ1" s="615"/>
      <c r="LXR1" s="615"/>
      <c r="LXS1" s="615"/>
      <c r="LXT1" s="615"/>
      <c r="LXU1" s="615"/>
      <c r="LXV1" s="615"/>
      <c r="LXW1" s="615"/>
      <c r="LXX1" s="615"/>
      <c r="LXY1" s="615"/>
      <c r="LXZ1" s="615"/>
      <c r="LYA1" s="615"/>
      <c r="LYB1" s="615"/>
      <c r="LYC1" s="615"/>
      <c r="LYD1" s="615"/>
      <c r="LYE1" s="615"/>
      <c r="LYF1" s="615"/>
      <c r="LYG1" s="615"/>
      <c r="LYH1" s="615"/>
      <c r="LYI1" s="615"/>
      <c r="LYJ1" s="615"/>
      <c r="LYK1" s="615"/>
      <c r="LYL1" s="615"/>
      <c r="LYM1" s="615"/>
      <c r="LYN1" s="615"/>
      <c r="LYO1" s="615"/>
      <c r="LYP1" s="615"/>
      <c r="LYQ1" s="615"/>
      <c r="LYR1" s="615"/>
      <c r="LYS1" s="615"/>
      <c r="LYT1" s="615"/>
      <c r="LYU1" s="615"/>
      <c r="LYV1" s="615"/>
      <c r="LYW1" s="615"/>
      <c r="LYX1" s="615"/>
      <c r="LYY1" s="615"/>
      <c r="LYZ1" s="615"/>
      <c r="LZA1" s="615"/>
      <c r="LZB1" s="615"/>
      <c r="LZC1" s="615"/>
      <c r="LZD1" s="615"/>
      <c r="LZE1" s="615"/>
      <c r="LZF1" s="615"/>
      <c r="LZG1" s="615"/>
      <c r="LZH1" s="615"/>
      <c r="LZI1" s="615"/>
      <c r="LZJ1" s="615"/>
      <c r="LZK1" s="615"/>
      <c r="LZL1" s="615"/>
      <c r="LZM1" s="615"/>
      <c r="LZN1" s="615"/>
      <c r="LZO1" s="615"/>
      <c r="LZP1" s="615"/>
      <c r="LZQ1" s="615"/>
      <c r="LZR1" s="615"/>
      <c r="LZS1" s="615"/>
      <c r="LZT1" s="615"/>
      <c r="LZU1" s="615"/>
      <c r="LZV1" s="615"/>
      <c r="LZW1" s="615"/>
      <c r="LZX1" s="615"/>
      <c r="LZY1" s="615"/>
      <c r="LZZ1" s="615"/>
      <c r="MAA1" s="615"/>
      <c r="MAB1" s="615"/>
      <c r="MAC1" s="615"/>
      <c r="MAD1" s="615"/>
      <c r="MAE1" s="615"/>
      <c r="MAF1" s="615"/>
      <c r="MAG1" s="615"/>
      <c r="MAH1" s="615"/>
      <c r="MAI1" s="615"/>
      <c r="MAJ1" s="615"/>
      <c r="MAK1" s="615"/>
      <c r="MAL1" s="615"/>
      <c r="MAM1" s="615"/>
      <c r="MAN1" s="615"/>
      <c r="MAO1" s="615"/>
      <c r="MAP1" s="615"/>
      <c r="MAQ1" s="615"/>
      <c r="MAR1" s="615"/>
      <c r="MAS1" s="615"/>
      <c r="MAT1" s="615"/>
      <c r="MAU1" s="615"/>
      <c r="MAV1" s="615"/>
      <c r="MAW1" s="615"/>
      <c r="MAX1" s="615"/>
      <c r="MAY1" s="615"/>
      <c r="MAZ1" s="615"/>
      <c r="MBA1" s="615"/>
      <c r="MBB1" s="615"/>
      <c r="MBC1" s="615"/>
      <c r="MBD1" s="615"/>
      <c r="MBE1" s="615"/>
      <c r="MBF1" s="615"/>
      <c r="MBG1" s="615"/>
      <c r="MBH1" s="615"/>
      <c r="MBI1" s="615"/>
      <c r="MBJ1" s="615"/>
      <c r="MBK1" s="615"/>
      <c r="MBL1" s="615"/>
      <c r="MBM1" s="615"/>
      <c r="MBN1" s="615"/>
      <c r="MBO1" s="615"/>
      <c r="MBP1" s="615"/>
      <c r="MBQ1" s="615"/>
      <c r="MBR1" s="615"/>
      <c r="MBS1" s="615"/>
      <c r="MBT1" s="615"/>
      <c r="MBU1" s="615"/>
      <c r="MBV1" s="615"/>
      <c r="MBW1" s="615"/>
      <c r="MBX1" s="615"/>
      <c r="MBY1" s="615"/>
      <c r="MBZ1" s="615"/>
      <c r="MCA1" s="615"/>
      <c r="MCB1" s="615"/>
      <c r="MCC1" s="615"/>
      <c r="MCD1" s="615"/>
      <c r="MCE1" s="615"/>
      <c r="MCF1" s="615"/>
      <c r="MCG1" s="615"/>
      <c r="MCH1" s="615"/>
      <c r="MCI1" s="615"/>
      <c r="MCJ1" s="615"/>
      <c r="MCK1" s="615"/>
      <c r="MCL1" s="615"/>
      <c r="MCM1" s="615"/>
      <c r="MCN1" s="615"/>
      <c r="MCO1" s="615"/>
      <c r="MCP1" s="615"/>
      <c r="MCQ1" s="615"/>
      <c r="MCR1" s="615"/>
      <c r="MCS1" s="615"/>
      <c r="MCT1" s="615"/>
      <c r="MCU1" s="615"/>
      <c r="MCV1" s="615"/>
      <c r="MCW1" s="615"/>
      <c r="MCX1" s="615"/>
      <c r="MCY1" s="615"/>
      <c r="MCZ1" s="615"/>
      <c r="MDA1" s="615"/>
      <c r="MDB1" s="615"/>
      <c r="MDC1" s="615"/>
      <c r="MDD1" s="615"/>
      <c r="MDE1" s="615"/>
      <c r="MDF1" s="615"/>
      <c r="MDG1" s="615"/>
      <c r="MDH1" s="615"/>
      <c r="MDI1" s="615"/>
      <c r="MDJ1" s="615"/>
      <c r="MDK1" s="615"/>
      <c r="MDL1" s="615"/>
      <c r="MDM1" s="615"/>
      <c r="MDN1" s="615"/>
      <c r="MDO1" s="615"/>
      <c r="MDP1" s="615"/>
      <c r="MDQ1" s="615"/>
      <c r="MDR1" s="615"/>
      <c r="MDS1" s="615"/>
      <c r="MDT1" s="615"/>
      <c r="MDU1" s="615"/>
      <c r="MDV1" s="615"/>
      <c r="MDW1" s="615"/>
      <c r="MDX1" s="615"/>
      <c r="MDY1" s="615"/>
      <c r="MDZ1" s="615"/>
      <c r="MEA1" s="615"/>
      <c r="MEB1" s="615"/>
      <c r="MEC1" s="615"/>
      <c r="MED1" s="615"/>
      <c r="MEE1" s="615"/>
      <c r="MEF1" s="615"/>
      <c r="MEG1" s="615"/>
      <c r="MEH1" s="615"/>
      <c r="MEI1" s="615"/>
      <c r="MEJ1" s="615"/>
      <c r="MEK1" s="615"/>
      <c r="MEL1" s="615"/>
      <c r="MEM1" s="615"/>
      <c r="MEN1" s="615"/>
      <c r="MEO1" s="615"/>
      <c r="MEP1" s="615"/>
      <c r="MEQ1" s="615"/>
      <c r="MER1" s="615"/>
      <c r="MES1" s="615"/>
      <c r="MET1" s="615"/>
      <c r="MEU1" s="615"/>
      <c r="MEV1" s="615"/>
      <c r="MEW1" s="615"/>
      <c r="MEX1" s="615"/>
      <c r="MEY1" s="615"/>
      <c r="MEZ1" s="615"/>
      <c r="MFA1" s="615"/>
      <c r="MFB1" s="615"/>
      <c r="MFC1" s="615"/>
      <c r="MFD1" s="615"/>
      <c r="MFE1" s="615"/>
      <c r="MFF1" s="615"/>
      <c r="MFG1" s="615"/>
      <c r="MFH1" s="615"/>
      <c r="MFI1" s="615"/>
      <c r="MFJ1" s="615"/>
      <c r="MFK1" s="615"/>
      <c r="MFL1" s="615"/>
      <c r="MFM1" s="615"/>
      <c r="MFN1" s="615"/>
      <c r="MFO1" s="615"/>
      <c r="MFP1" s="615"/>
      <c r="MFQ1" s="615"/>
      <c r="MFR1" s="615"/>
      <c r="MFS1" s="615"/>
      <c r="MFT1" s="615"/>
      <c r="MFU1" s="615"/>
      <c r="MFV1" s="615"/>
      <c r="MFW1" s="615"/>
      <c r="MFX1" s="615"/>
      <c r="MFY1" s="615"/>
      <c r="MFZ1" s="615"/>
      <c r="MGA1" s="615"/>
      <c r="MGB1" s="615"/>
      <c r="MGC1" s="615"/>
      <c r="MGD1" s="615"/>
      <c r="MGE1" s="615"/>
      <c r="MGF1" s="615"/>
      <c r="MGG1" s="615"/>
      <c r="MGH1" s="615"/>
      <c r="MGI1" s="615"/>
      <c r="MGJ1" s="615"/>
      <c r="MGK1" s="615"/>
      <c r="MGL1" s="615"/>
      <c r="MGM1" s="615"/>
      <c r="MGN1" s="615"/>
      <c r="MGO1" s="615"/>
      <c r="MGP1" s="615"/>
      <c r="MGQ1" s="615"/>
      <c r="MGR1" s="615"/>
      <c r="MGS1" s="615"/>
      <c r="MGT1" s="615"/>
      <c r="MGU1" s="615"/>
      <c r="MGV1" s="615"/>
      <c r="MGW1" s="615"/>
      <c r="MGX1" s="615"/>
      <c r="MGY1" s="615"/>
      <c r="MGZ1" s="615"/>
      <c r="MHA1" s="615"/>
      <c r="MHB1" s="615"/>
      <c r="MHC1" s="615"/>
      <c r="MHD1" s="615"/>
      <c r="MHE1" s="615"/>
      <c r="MHF1" s="615"/>
      <c r="MHG1" s="615"/>
      <c r="MHH1" s="615"/>
      <c r="MHI1" s="615"/>
      <c r="MHJ1" s="615"/>
      <c r="MHK1" s="615"/>
      <c r="MHL1" s="615"/>
      <c r="MHM1" s="615"/>
      <c r="MHN1" s="615"/>
      <c r="MHO1" s="615"/>
      <c r="MHP1" s="615"/>
      <c r="MHQ1" s="615"/>
      <c r="MHR1" s="615"/>
      <c r="MHS1" s="615"/>
      <c r="MHT1" s="615"/>
      <c r="MHU1" s="615"/>
      <c r="MHV1" s="615"/>
      <c r="MHW1" s="615"/>
      <c r="MHX1" s="615"/>
      <c r="MHY1" s="615"/>
      <c r="MHZ1" s="615"/>
      <c r="MIA1" s="615"/>
      <c r="MIB1" s="615"/>
      <c r="MIC1" s="615"/>
      <c r="MID1" s="615"/>
      <c r="MIE1" s="615"/>
      <c r="MIF1" s="615"/>
      <c r="MIG1" s="615"/>
      <c r="MIH1" s="615"/>
      <c r="MII1" s="615"/>
      <c r="MIJ1" s="615"/>
      <c r="MIK1" s="615"/>
      <c r="MIL1" s="615"/>
      <c r="MIM1" s="615"/>
      <c r="MIN1" s="615"/>
      <c r="MIO1" s="615"/>
      <c r="MIP1" s="615"/>
      <c r="MIQ1" s="615"/>
      <c r="MIR1" s="615"/>
      <c r="MIS1" s="615"/>
      <c r="MIT1" s="615"/>
      <c r="MIU1" s="615"/>
      <c r="MIV1" s="615"/>
      <c r="MIW1" s="615"/>
      <c r="MIX1" s="615"/>
      <c r="MIY1" s="615"/>
      <c r="MIZ1" s="615"/>
      <c r="MJA1" s="615"/>
      <c r="MJB1" s="615"/>
      <c r="MJC1" s="615"/>
      <c r="MJD1" s="615"/>
      <c r="MJE1" s="615"/>
      <c r="MJF1" s="615"/>
      <c r="MJG1" s="615"/>
      <c r="MJH1" s="615"/>
      <c r="MJI1" s="615"/>
      <c r="MJJ1" s="615"/>
      <c r="MJK1" s="615"/>
      <c r="MJL1" s="615"/>
      <c r="MJM1" s="615"/>
      <c r="MJN1" s="615"/>
      <c r="MJO1" s="615"/>
      <c r="MJP1" s="615"/>
      <c r="MJQ1" s="615"/>
      <c r="MJR1" s="615"/>
      <c r="MJS1" s="615"/>
      <c r="MJT1" s="615"/>
      <c r="MJU1" s="615"/>
      <c r="MJV1" s="615"/>
      <c r="MJW1" s="615"/>
      <c r="MJX1" s="615"/>
      <c r="MJY1" s="615"/>
      <c r="MJZ1" s="615"/>
      <c r="MKA1" s="615"/>
      <c r="MKB1" s="615"/>
      <c r="MKC1" s="615"/>
      <c r="MKD1" s="615"/>
      <c r="MKE1" s="615"/>
      <c r="MKF1" s="615"/>
      <c r="MKG1" s="615"/>
      <c r="MKH1" s="615"/>
      <c r="MKI1" s="615"/>
      <c r="MKJ1" s="615"/>
      <c r="MKK1" s="615"/>
      <c r="MKL1" s="615"/>
      <c r="MKM1" s="615"/>
      <c r="MKN1" s="615"/>
      <c r="MKO1" s="615"/>
      <c r="MKP1" s="615"/>
      <c r="MKQ1" s="615"/>
      <c r="MKR1" s="615"/>
      <c r="MKS1" s="615"/>
      <c r="MKT1" s="615"/>
      <c r="MKU1" s="615"/>
      <c r="MKV1" s="615"/>
      <c r="MKW1" s="615"/>
      <c r="MKX1" s="615"/>
      <c r="MKY1" s="615"/>
      <c r="MKZ1" s="615"/>
      <c r="MLA1" s="615"/>
      <c r="MLB1" s="615"/>
      <c r="MLC1" s="615"/>
      <c r="MLD1" s="615"/>
      <c r="MLE1" s="615"/>
      <c r="MLF1" s="615"/>
      <c r="MLG1" s="615"/>
      <c r="MLH1" s="615"/>
      <c r="MLI1" s="615"/>
      <c r="MLJ1" s="615"/>
      <c r="MLK1" s="615"/>
      <c r="MLL1" s="615"/>
      <c r="MLM1" s="615"/>
      <c r="MLN1" s="615"/>
      <c r="MLO1" s="615"/>
      <c r="MLP1" s="615"/>
      <c r="MLQ1" s="615"/>
      <c r="MLR1" s="615"/>
      <c r="MLS1" s="615"/>
      <c r="MLT1" s="615"/>
      <c r="MLU1" s="615"/>
      <c r="MLV1" s="615"/>
      <c r="MLW1" s="615"/>
      <c r="MLX1" s="615"/>
      <c r="MLY1" s="615"/>
      <c r="MLZ1" s="615"/>
      <c r="MMA1" s="615"/>
      <c r="MMB1" s="615"/>
      <c r="MMC1" s="615"/>
      <c r="MMD1" s="615"/>
      <c r="MME1" s="615"/>
      <c r="MMF1" s="615"/>
      <c r="MMG1" s="615"/>
      <c r="MMH1" s="615"/>
      <c r="MMI1" s="615"/>
      <c r="MMJ1" s="615"/>
      <c r="MMK1" s="615"/>
      <c r="MML1" s="615"/>
      <c r="MMM1" s="615"/>
      <c r="MMN1" s="615"/>
      <c r="MMO1" s="615"/>
      <c r="MMP1" s="615"/>
      <c r="MMQ1" s="615"/>
      <c r="MMR1" s="615"/>
      <c r="MMS1" s="615"/>
      <c r="MMT1" s="615"/>
      <c r="MMU1" s="615"/>
      <c r="MMV1" s="615"/>
      <c r="MMW1" s="615"/>
      <c r="MMX1" s="615"/>
      <c r="MMY1" s="615"/>
      <c r="MMZ1" s="615"/>
      <c r="MNA1" s="615"/>
      <c r="MNB1" s="615"/>
      <c r="MNC1" s="615"/>
      <c r="MND1" s="615"/>
      <c r="MNE1" s="615"/>
      <c r="MNF1" s="615"/>
      <c r="MNG1" s="615"/>
      <c r="MNH1" s="615"/>
      <c r="MNI1" s="615"/>
      <c r="MNJ1" s="615"/>
      <c r="MNK1" s="615"/>
      <c r="MNL1" s="615"/>
      <c r="MNM1" s="615"/>
      <c r="MNN1" s="615"/>
      <c r="MNO1" s="615"/>
      <c r="MNP1" s="615"/>
      <c r="MNQ1" s="615"/>
      <c r="MNR1" s="615"/>
      <c r="MNS1" s="615"/>
      <c r="MNT1" s="615"/>
      <c r="MNU1" s="615"/>
      <c r="MNV1" s="615"/>
      <c r="MNW1" s="615"/>
      <c r="MNX1" s="615"/>
      <c r="MNY1" s="615"/>
      <c r="MNZ1" s="615"/>
      <c r="MOA1" s="615"/>
      <c r="MOB1" s="615"/>
      <c r="MOC1" s="615"/>
      <c r="MOD1" s="615"/>
      <c r="MOE1" s="615"/>
      <c r="MOF1" s="615"/>
      <c r="MOG1" s="615"/>
      <c r="MOH1" s="615"/>
      <c r="MOI1" s="615"/>
      <c r="MOJ1" s="615"/>
      <c r="MOK1" s="615"/>
      <c r="MOL1" s="615"/>
      <c r="MOM1" s="615"/>
      <c r="MON1" s="615"/>
      <c r="MOO1" s="615"/>
      <c r="MOP1" s="615"/>
      <c r="MOQ1" s="615"/>
      <c r="MOR1" s="615"/>
      <c r="MOS1" s="615"/>
      <c r="MOT1" s="615"/>
      <c r="MOU1" s="615"/>
      <c r="MOV1" s="615"/>
      <c r="MOW1" s="615"/>
      <c r="MOX1" s="615"/>
      <c r="MOY1" s="615"/>
      <c r="MOZ1" s="615"/>
      <c r="MPA1" s="615"/>
      <c r="MPB1" s="615"/>
      <c r="MPC1" s="615"/>
      <c r="MPD1" s="615"/>
      <c r="MPE1" s="615"/>
      <c r="MPF1" s="615"/>
      <c r="MPG1" s="615"/>
      <c r="MPH1" s="615"/>
      <c r="MPI1" s="615"/>
      <c r="MPJ1" s="615"/>
      <c r="MPK1" s="615"/>
      <c r="MPL1" s="615"/>
      <c r="MPM1" s="615"/>
      <c r="MPN1" s="615"/>
      <c r="MPO1" s="615"/>
      <c r="MPP1" s="615"/>
      <c r="MPQ1" s="615"/>
      <c r="MPR1" s="615"/>
      <c r="MPS1" s="615"/>
      <c r="MPT1" s="615"/>
      <c r="MPU1" s="615"/>
      <c r="MPV1" s="615"/>
      <c r="MPW1" s="615"/>
      <c r="MPX1" s="615"/>
      <c r="MPY1" s="615"/>
      <c r="MPZ1" s="615"/>
      <c r="MQA1" s="615"/>
      <c r="MQB1" s="615"/>
      <c r="MQC1" s="615"/>
      <c r="MQD1" s="615"/>
      <c r="MQE1" s="615"/>
      <c r="MQF1" s="615"/>
      <c r="MQG1" s="615"/>
      <c r="MQH1" s="615"/>
      <c r="MQI1" s="615"/>
      <c r="MQJ1" s="615"/>
      <c r="MQK1" s="615"/>
      <c r="MQL1" s="615"/>
      <c r="MQM1" s="615"/>
      <c r="MQN1" s="615"/>
      <c r="MQO1" s="615"/>
      <c r="MQP1" s="615"/>
      <c r="MQQ1" s="615"/>
      <c r="MQR1" s="615"/>
      <c r="MQS1" s="615"/>
      <c r="MQT1" s="615"/>
      <c r="MQU1" s="615"/>
      <c r="MQV1" s="615"/>
      <c r="MQW1" s="615"/>
      <c r="MQX1" s="615"/>
      <c r="MQY1" s="615"/>
      <c r="MQZ1" s="615"/>
      <c r="MRA1" s="615"/>
      <c r="MRB1" s="615"/>
      <c r="MRC1" s="615"/>
      <c r="MRD1" s="615"/>
      <c r="MRE1" s="615"/>
      <c r="MRF1" s="615"/>
      <c r="MRG1" s="615"/>
      <c r="MRH1" s="615"/>
      <c r="MRI1" s="615"/>
      <c r="MRJ1" s="615"/>
      <c r="MRK1" s="615"/>
      <c r="MRL1" s="615"/>
      <c r="MRM1" s="615"/>
      <c r="MRN1" s="615"/>
      <c r="MRO1" s="615"/>
      <c r="MRP1" s="615"/>
      <c r="MRQ1" s="615"/>
      <c r="MRR1" s="615"/>
      <c r="MRS1" s="615"/>
      <c r="MRT1" s="615"/>
      <c r="MRU1" s="615"/>
      <c r="MRV1" s="615"/>
      <c r="MRW1" s="615"/>
      <c r="MRX1" s="615"/>
      <c r="MRY1" s="615"/>
      <c r="MRZ1" s="615"/>
      <c r="MSA1" s="615"/>
      <c r="MSB1" s="615"/>
      <c r="MSC1" s="615"/>
      <c r="MSD1" s="615"/>
      <c r="MSE1" s="615"/>
      <c r="MSF1" s="615"/>
      <c r="MSG1" s="615"/>
      <c r="MSH1" s="615"/>
      <c r="MSI1" s="615"/>
      <c r="MSJ1" s="615"/>
      <c r="MSK1" s="615"/>
      <c r="MSL1" s="615"/>
      <c r="MSM1" s="615"/>
      <c r="MSN1" s="615"/>
      <c r="MSO1" s="615"/>
      <c r="MSP1" s="615"/>
      <c r="MSQ1" s="615"/>
      <c r="MSR1" s="615"/>
      <c r="MSS1" s="615"/>
      <c r="MST1" s="615"/>
      <c r="MSU1" s="615"/>
      <c r="MSV1" s="615"/>
      <c r="MSW1" s="615"/>
      <c r="MSX1" s="615"/>
      <c r="MSY1" s="615"/>
      <c r="MSZ1" s="615"/>
      <c r="MTA1" s="615"/>
      <c r="MTB1" s="615"/>
      <c r="MTC1" s="615"/>
      <c r="MTD1" s="615"/>
      <c r="MTE1" s="615"/>
      <c r="MTF1" s="615"/>
      <c r="MTG1" s="615"/>
      <c r="MTH1" s="615"/>
      <c r="MTI1" s="615"/>
      <c r="MTJ1" s="615"/>
      <c r="MTK1" s="615"/>
      <c r="MTL1" s="615"/>
      <c r="MTM1" s="615"/>
      <c r="MTN1" s="615"/>
      <c r="MTO1" s="615"/>
      <c r="MTP1" s="615"/>
      <c r="MTQ1" s="615"/>
      <c r="MTR1" s="615"/>
      <c r="MTS1" s="615"/>
      <c r="MTT1" s="615"/>
      <c r="MTU1" s="615"/>
      <c r="MTV1" s="615"/>
      <c r="MTW1" s="615"/>
      <c r="MTX1" s="615"/>
      <c r="MTY1" s="615"/>
      <c r="MTZ1" s="615"/>
      <c r="MUA1" s="615"/>
      <c r="MUB1" s="615"/>
      <c r="MUC1" s="615"/>
      <c r="MUD1" s="615"/>
      <c r="MUE1" s="615"/>
      <c r="MUF1" s="615"/>
      <c r="MUG1" s="615"/>
      <c r="MUH1" s="615"/>
      <c r="MUI1" s="615"/>
      <c r="MUJ1" s="615"/>
      <c r="MUK1" s="615"/>
      <c r="MUL1" s="615"/>
      <c r="MUM1" s="615"/>
      <c r="MUN1" s="615"/>
      <c r="MUO1" s="615"/>
      <c r="MUP1" s="615"/>
      <c r="MUQ1" s="615"/>
      <c r="MUR1" s="615"/>
      <c r="MUS1" s="615"/>
      <c r="MUT1" s="615"/>
      <c r="MUU1" s="615"/>
      <c r="MUV1" s="615"/>
      <c r="MUW1" s="615"/>
      <c r="MUX1" s="615"/>
      <c r="MUY1" s="615"/>
      <c r="MUZ1" s="615"/>
      <c r="MVA1" s="615"/>
      <c r="MVB1" s="615"/>
      <c r="MVC1" s="615"/>
      <c r="MVD1" s="615"/>
      <c r="MVE1" s="615"/>
      <c r="MVF1" s="615"/>
      <c r="MVG1" s="615"/>
      <c r="MVH1" s="615"/>
      <c r="MVI1" s="615"/>
      <c r="MVJ1" s="615"/>
      <c r="MVK1" s="615"/>
      <c r="MVL1" s="615"/>
      <c r="MVM1" s="615"/>
      <c r="MVN1" s="615"/>
      <c r="MVO1" s="615"/>
      <c r="MVP1" s="615"/>
      <c r="MVQ1" s="615"/>
      <c r="MVR1" s="615"/>
      <c r="MVS1" s="615"/>
      <c r="MVT1" s="615"/>
      <c r="MVU1" s="615"/>
      <c r="MVV1" s="615"/>
      <c r="MVW1" s="615"/>
      <c r="MVX1" s="615"/>
      <c r="MVY1" s="615"/>
      <c r="MVZ1" s="615"/>
      <c r="MWA1" s="615"/>
      <c r="MWB1" s="615"/>
      <c r="MWC1" s="615"/>
      <c r="MWD1" s="615"/>
      <c r="MWE1" s="615"/>
      <c r="MWF1" s="615"/>
      <c r="MWG1" s="615"/>
      <c r="MWH1" s="615"/>
      <c r="MWI1" s="615"/>
      <c r="MWJ1" s="615"/>
      <c r="MWK1" s="615"/>
      <c r="MWL1" s="615"/>
      <c r="MWM1" s="615"/>
      <c r="MWN1" s="615"/>
      <c r="MWO1" s="615"/>
      <c r="MWP1" s="615"/>
      <c r="MWQ1" s="615"/>
      <c r="MWR1" s="615"/>
      <c r="MWS1" s="615"/>
      <c r="MWT1" s="615"/>
      <c r="MWU1" s="615"/>
      <c r="MWV1" s="615"/>
      <c r="MWW1" s="615"/>
      <c r="MWX1" s="615"/>
      <c r="MWY1" s="615"/>
      <c r="MWZ1" s="615"/>
      <c r="MXA1" s="615"/>
      <c r="MXB1" s="615"/>
      <c r="MXC1" s="615"/>
      <c r="MXD1" s="615"/>
      <c r="MXE1" s="615"/>
      <c r="MXF1" s="615"/>
      <c r="MXG1" s="615"/>
      <c r="MXH1" s="615"/>
      <c r="MXI1" s="615"/>
      <c r="MXJ1" s="615"/>
      <c r="MXK1" s="615"/>
      <c r="MXL1" s="615"/>
      <c r="MXM1" s="615"/>
      <c r="MXN1" s="615"/>
      <c r="MXO1" s="615"/>
      <c r="MXP1" s="615"/>
      <c r="MXQ1" s="615"/>
      <c r="MXR1" s="615"/>
      <c r="MXS1" s="615"/>
      <c r="MXT1" s="615"/>
      <c r="MXU1" s="615"/>
      <c r="MXV1" s="615"/>
      <c r="MXW1" s="615"/>
      <c r="MXX1" s="615"/>
      <c r="MXY1" s="615"/>
      <c r="MXZ1" s="615"/>
      <c r="MYA1" s="615"/>
      <c r="MYB1" s="615"/>
      <c r="MYC1" s="615"/>
      <c r="MYD1" s="615"/>
      <c r="MYE1" s="615"/>
      <c r="MYF1" s="615"/>
      <c r="MYG1" s="615"/>
      <c r="MYH1" s="615"/>
      <c r="MYI1" s="615"/>
      <c r="MYJ1" s="615"/>
      <c r="MYK1" s="615"/>
      <c r="MYL1" s="615"/>
      <c r="MYM1" s="615"/>
      <c r="MYN1" s="615"/>
      <c r="MYO1" s="615"/>
      <c r="MYP1" s="615"/>
      <c r="MYQ1" s="615"/>
      <c r="MYR1" s="615"/>
      <c r="MYS1" s="615"/>
      <c r="MYT1" s="615"/>
      <c r="MYU1" s="615"/>
      <c r="MYV1" s="615"/>
      <c r="MYW1" s="615"/>
      <c r="MYX1" s="615"/>
      <c r="MYY1" s="615"/>
      <c r="MYZ1" s="615"/>
      <c r="MZA1" s="615"/>
      <c r="MZB1" s="615"/>
      <c r="MZC1" s="615"/>
      <c r="MZD1" s="615"/>
      <c r="MZE1" s="615"/>
      <c r="MZF1" s="615"/>
      <c r="MZG1" s="615"/>
      <c r="MZH1" s="615"/>
      <c r="MZI1" s="615"/>
      <c r="MZJ1" s="615"/>
      <c r="MZK1" s="615"/>
      <c r="MZL1" s="615"/>
      <c r="MZM1" s="615"/>
      <c r="MZN1" s="615"/>
      <c r="MZO1" s="615"/>
      <c r="MZP1" s="615"/>
      <c r="MZQ1" s="615"/>
      <c r="MZR1" s="615"/>
      <c r="MZS1" s="615"/>
      <c r="MZT1" s="615"/>
      <c r="MZU1" s="615"/>
      <c r="MZV1" s="615"/>
      <c r="MZW1" s="615"/>
      <c r="MZX1" s="615"/>
      <c r="MZY1" s="615"/>
      <c r="MZZ1" s="615"/>
      <c r="NAA1" s="615"/>
      <c r="NAB1" s="615"/>
      <c r="NAC1" s="615"/>
      <c r="NAD1" s="615"/>
      <c r="NAE1" s="615"/>
      <c r="NAF1" s="615"/>
      <c r="NAG1" s="615"/>
      <c r="NAH1" s="615"/>
      <c r="NAI1" s="615"/>
      <c r="NAJ1" s="615"/>
      <c r="NAK1" s="615"/>
      <c r="NAL1" s="615"/>
      <c r="NAM1" s="615"/>
      <c r="NAN1" s="615"/>
      <c r="NAO1" s="615"/>
      <c r="NAP1" s="615"/>
      <c r="NAQ1" s="615"/>
      <c r="NAR1" s="615"/>
      <c r="NAS1" s="615"/>
      <c r="NAT1" s="615"/>
      <c r="NAU1" s="615"/>
      <c r="NAV1" s="615"/>
      <c r="NAW1" s="615"/>
      <c r="NAX1" s="615"/>
      <c r="NAY1" s="615"/>
      <c r="NAZ1" s="615"/>
      <c r="NBA1" s="615"/>
      <c r="NBB1" s="615"/>
      <c r="NBC1" s="615"/>
      <c r="NBD1" s="615"/>
      <c r="NBE1" s="615"/>
      <c r="NBF1" s="615"/>
      <c r="NBG1" s="615"/>
      <c r="NBH1" s="615"/>
      <c r="NBI1" s="615"/>
      <c r="NBJ1" s="615"/>
      <c r="NBK1" s="615"/>
      <c r="NBL1" s="615"/>
      <c r="NBM1" s="615"/>
      <c r="NBN1" s="615"/>
      <c r="NBO1" s="615"/>
      <c r="NBP1" s="615"/>
      <c r="NBQ1" s="615"/>
      <c r="NBR1" s="615"/>
      <c r="NBS1" s="615"/>
      <c r="NBT1" s="615"/>
      <c r="NBU1" s="615"/>
      <c r="NBV1" s="615"/>
      <c r="NBW1" s="615"/>
      <c r="NBX1" s="615"/>
      <c r="NBY1" s="615"/>
      <c r="NBZ1" s="615"/>
      <c r="NCA1" s="615"/>
      <c r="NCB1" s="615"/>
      <c r="NCC1" s="615"/>
      <c r="NCD1" s="615"/>
      <c r="NCE1" s="615"/>
      <c r="NCF1" s="615"/>
      <c r="NCG1" s="615"/>
      <c r="NCH1" s="615"/>
      <c r="NCI1" s="615"/>
      <c r="NCJ1" s="615"/>
      <c r="NCK1" s="615"/>
      <c r="NCL1" s="615"/>
      <c r="NCM1" s="615"/>
      <c r="NCN1" s="615"/>
      <c r="NCO1" s="615"/>
      <c r="NCP1" s="615"/>
      <c r="NCQ1" s="615"/>
      <c r="NCR1" s="615"/>
      <c r="NCS1" s="615"/>
      <c r="NCT1" s="615"/>
      <c r="NCU1" s="615"/>
      <c r="NCV1" s="615"/>
      <c r="NCW1" s="615"/>
      <c r="NCX1" s="615"/>
      <c r="NCY1" s="615"/>
      <c r="NCZ1" s="615"/>
      <c r="NDA1" s="615"/>
      <c r="NDB1" s="615"/>
      <c r="NDC1" s="615"/>
      <c r="NDD1" s="615"/>
      <c r="NDE1" s="615"/>
      <c r="NDF1" s="615"/>
      <c r="NDG1" s="615"/>
      <c r="NDH1" s="615"/>
      <c r="NDI1" s="615"/>
      <c r="NDJ1" s="615"/>
      <c r="NDK1" s="615"/>
      <c r="NDL1" s="615"/>
      <c r="NDM1" s="615"/>
      <c r="NDN1" s="615"/>
      <c r="NDO1" s="615"/>
      <c r="NDP1" s="615"/>
      <c r="NDQ1" s="615"/>
      <c r="NDR1" s="615"/>
      <c r="NDS1" s="615"/>
      <c r="NDT1" s="615"/>
      <c r="NDU1" s="615"/>
      <c r="NDV1" s="615"/>
      <c r="NDW1" s="615"/>
      <c r="NDX1" s="615"/>
      <c r="NDY1" s="615"/>
      <c r="NDZ1" s="615"/>
      <c r="NEA1" s="615"/>
      <c r="NEB1" s="615"/>
      <c r="NEC1" s="615"/>
      <c r="NED1" s="615"/>
      <c r="NEE1" s="615"/>
      <c r="NEF1" s="615"/>
      <c r="NEG1" s="615"/>
      <c r="NEH1" s="615"/>
      <c r="NEI1" s="615"/>
      <c r="NEJ1" s="615"/>
      <c r="NEK1" s="615"/>
      <c r="NEL1" s="615"/>
      <c r="NEM1" s="615"/>
      <c r="NEN1" s="615"/>
      <c r="NEO1" s="615"/>
      <c r="NEP1" s="615"/>
      <c r="NEQ1" s="615"/>
      <c r="NER1" s="615"/>
      <c r="NES1" s="615"/>
      <c r="NET1" s="615"/>
      <c r="NEU1" s="615"/>
      <c r="NEV1" s="615"/>
      <c r="NEW1" s="615"/>
      <c r="NEX1" s="615"/>
      <c r="NEY1" s="615"/>
      <c r="NEZ1" s="615"/>
      <c r="NFA1" s="615"/>
      <c r="NFB1" s="615"/>
      <c r="NFC1" s="615"/>
      <c r="NFD1" s="615"/>
      <c r="NFE1" s="615"/>
      <c r="NFF1" s="615"/>
      <c r="NFG1" s="615"/>
      <c r="NFH1" s="615"/>
      <c r="NFI1" s="615"/>
      <c r="NFJ1" s="615"/>
      <c r="NFK1" s="615"/>
      <c r="NFL1" s="615"/>
      <c r="NFM1" s="615"/>
      <c r="NFN1" s="615"/>
      <c r="NFO1" s="615"/>
      <c r="NFP1" s="615"/>
      <c r="NFQ1" s="615"/>
      <c r="NFR1" s="615"/>
      <c r="NFS1" s="615"/>
      <c r="NFT1" s="615"/>
      <c r="NFU1" s="615"/>
      <c r="NFV1" s="615"/>
      <c r="NFW1" s="615"/>
      <c r="NFX1" s="615"/>
      <c r="NFY1" s="615"/>
      <c r="NFZ1" s="615"/>
      <c r="NGA1" s="615"/>
      <c r="NGB1" s="615"/>
      <c r="NGC1" s="615"/>
      <c r="NGD1" s="615"/>
      <c r="NGE1" s="615"/>
      <c r="NGF1" s="615"/>
      <c r="NGG1" s="615"/>
      <c r="NGH1" s="615"/>
      <c r="NGI1" s="615"/>
      <c r="NGJ1" s="615"/>
      <c r="NGK1" s="615"/>
      <c r="NGL1" s="615"/>
      <c r="NGM1" s="615"/>
      <c r="NGN1" s="615"/>
      <c r="NGO1" s="615"/>
      <c r="NGP1" s="615"/>
      <c r="NGQ1" s="615"/>
      <c r="NGR1" s="615"/>
      <c r="NGS1" s="615"/>
      <c r="NGT1" s="615"/>
      <c r="NGU1" s="615"/>
      <c r="NGV1" s="615"/>
      <c r="NGW1" s="615"/>
      <c r="NGX1" s="615"/>
      <c r="NGY1" s="615"/>
      <c r="NGZ1" s="615"/>
      <c r="NHA1" s="615"/>
      <c r="NHB1" s="615"/>
      <c r="NHC1" s="615"/>
      <c r="NHD1" s="615"/>
      <c r="NHE1" s="615"/>
      <c r="NHF1" s="615"/>
      <c r="NHG1" s="615"/>
      <c r="NHH1" s="615"/>
      <c r="NHI1" s="615"/>
      <c r="NHJ1" s="615"/>
      <c r="NHK1" s="615"/>
      <c r="NHL1" s="615"/>
      <c r="NHM1" s="615"/>
      <c r="NHN1" s="615"/>
      <c r="NHO1" s="615"/>
      <c r="NHP1" s="615"/>
      <c r="NHQ1" s="615"/>
      <c r="NHR1" s="615"/>
      <c r="NHS1" s="615"/>
      <c r="NHT1" s="615"/>
      <c r="NHU1" s="615"/>
      <c r="NHV1" s="615"/>
      <c r="NHW1" s="615"/>
      <c r="NHX1" s="615"/>
      <c r="NHY1" s="615"/>
      <c r="NHZ1" s="615"/>
      <c r="NIA1" s="615"/>
      <c r="NIB1" s="615"/>
      <c r="NIC1" s="615"/>
      <c r="NID1" s="615"/>
      <c r="NIE1" s="615"/>
      <c r="NIF1" s="615"/>
      <c r="NIG1" s="615"/>
      <c r="NIH1" s="615"/>
      <c r="NII1" s="615"/>
      <c r="NIJ1" s="615"/>
      <c r="NIK1" s="615"/>
      <c r="NIL1" s="615"/>
      <c r="NIM1" s="615"/>
      <c r="NIN1" s="615"/>
      <c r="NIO1" s="615"/>
      <c r="NIP1" s="615"/>
      <c r="NIQ1" s="615"/>
      <c r="NIR1" s="615"/>
      <c r="NIS1" s="615"/>
      <c r="NIT1" s="615"/>
      <c r="NIU1" s="615"/>
      <c r="NIV1" s="615"/>
      <c r="NIW1" s="615"/>
      <c r="NIX1" s="615"/>
      <c r="NIY1" s="615"/>
      <c r="NIZ1" s="615"/>
      <c r="NJA1" s="615"/>
      <c r="NJB1" s="615"/>
      <c r="NJC1" s="615"/>
      <c r="NJD1" s="615"/>
      <c r="NJE1" s="615"/>
      <c r="NJF1" s="615"/>
      <c r="NJG1" s="615"/>
      <c r="NJH1" s="615"/>
      <c r="NJI1" s="615"/>
      <c r="NJJ1" s="615"/>
      <c r="NJK1" s="615"/>
      <c r="NJL1" s="615"/>
      <c r="NJM1" s="615"/>
      <c r="NJN1" s="615"/>
      <c r="NJO1" s="615"/>
      <c r="NJP1" s="615"/>
      <c r="NJQ1" s="615"/>
      <c r="NJR1" s="615"/>
      <c r="NJS1" s="615"/>
      <c r="NJT1" s="615"/>
      <c r="NJU1" s="615"/>
      <c r="NJV1" s="615"/>
      <c r="NJW1" s="615"/>
      <c r="NJX1" s="615"/>
      <c r="NJY1" s="615"/>
      <c r="NJZ1" s="615"/>
      <c r="NKA1" s="615"/>
      <c r="NKB1" s="615"/>
      <c r="NKC1" s="615"/>
      <c r="NKD1" s="615"/>
      <c r="NKE1" s="615"/>
      <c r="NKF1" s="615"/>
      <c r="NKG1" s="615"/>
      <c r="NKH1" s="615"/>
      <c r="NKI1" s="615"/>
      <c r="NKJ1" s="615"/>
      <c r="NKK1" s="615"/>
      <c r="NKL1" s="615"/>
      <c r="NKM1" s="615"/>
      <c r="NKN1" s="615"/>
      <c r="NKO1" s="615"/>
      <c r="NKP1" s="615"/>
      <c r="NKQ1" s="615"/>
      <c r="NKR1" s="615"/>
      <c r="NKS1" s="615"/>
      <c r="NKT1" s="615"/>
      <c r="NKU1" s="615"/>
      <c r="NKV1" s="615"/>
      <c r="NKW1" s="615"/>
      <c r="NKX1" s="615"/>
      <c r="NKY1" s="615"/>
      <c r="NKZ1" s="615"/>
      <c r="NLA1" s="615"/>
      <c r="NLB1" s="615"/>
      <c r="NLC1" s="615"/>
      <c r="NLD1" s="615"/>
      <c r="NLE1" s="615"/>
      <c r="NLF1" s="615"/>
      <c r="NLG1" s="615"/>
      <c r="NLH1" s="615"/>
      <c r="NLI1" s="615"/>
      <c r="NLJ1" s="615"/>
      <c r="NLK1" s="615"/>
      <c r="NLL1" s="615"/>
      <c r="NLM1" s="615"/>
      <c r="NLN1" s="615"/>
      <c r="NLO1" s="615"/>
      <c r="NLP1" s="615"/>
      <c r="NLQ1" s="615"/>
      <c r="NLR1" s="615"/>
      <c r="NLS1" s="615"/>
      <c r="NLT1" s="615"/>
      <c r="NLU1" s="615"/>
      <c r="NLV1" s="615"/>
      <c r="NLW1" s="615"/>
      <c r="NLX1" s="615"/>
      <c r="NLY1" s="615"/>
      <c r="NLZ1" s="615"/>
      <c r="NMA1" s="615"/>
      <c r="NMB1" s="615"/>
      <c r="NMC1" s="615"/>
      <c r="NMD1" s="615"/>
      <c r="NME1" s="615"/>
      <c r="NMF1" s="615"/>
      <c r="NMG1" s="615"/>
      <c r="NMH1" s="615"/>
      <c r="NMI1" s="615"/>
      <c r="NMJ1" s="615"/>
      <c r="NMK1" s="615"/>
      <c r="NML1" s="615"/>
      <c r="NMM1" s="615"/>
      <c r="NMN1" s="615"/>
      <c r="NMO1" s="615"/>
      <c r="NMP1" s="615"/>
      <c r="NMQ1" s="615"/>
      <c r="NMR1" s="615"/>
      <c r="NMS1" s="615"/>
      <c r="NMT1" s="615"/>
      <c r="NMU1" s="615"/>
      <c r="NMV1" s="615"/>
      <c r="NMW1" s="615"/>
      <c r="NMX1" s="615"/>
      <c r="NMY1" s="615"/>
      <c r="NMZ1" s="615"/>
      <c r="NNA1" s="615"/>
      <c r="NNB1" s="615"/>
      <c r="NNC1" s="615"/>
      <c r="NND1" s="615"/>
      <c r="NNE1" s="615"/>
      <c r="NNF1" s="615"/>
      <c r="NNG1" s="615"/>
      <c r="NNH1" s="615"/>
      <c r="NNI1" s="615"/>
      <c r="NNJ1" s="615"/>
      <c r="NNK1" s="615"/>
      <c r="NNL1" s="615"/>
      <c r="NNM1" s="615"/>
      <c r="NNN1" s="615"/>
      <c r="NNO1" s="615"/>
      <c r="NNP1" s="615"/>
      <c r="NNQ1" s="615"/>
      <c r="NNR1" s="615"/>
      <c r="NNS1" s="615"/>
      <c r="NNT1" s="615"/>
      <c r="NNU1" s="615"/>
      <c r="NNV1" s="615"/>
      <c r="NNW1" s="615"/>
      <c r="NNX1" s="615"/>
      <c r="NNY1" s="615"/>
      <c r="NNZ1" s="615"/>
      <c r="NOA1" s="615"/>
      <c r="NOB1" s="615"/>
      <c r="NOC1" s="615"/>
      <c r="NOD1" s="615"/>
      <c r="NOE1" s="615"/>
      <c r="NOF1" s="615"/>
      <c r="NOG1" s="615"/>
      <c r="NOH1" s="615"/>
      <c r="NOI1" s="615"/>
      <c r="NOJ1" s="615"/>
      <c r="NOK1" s="615"/>
      <c r="NOL1" s="615"/>
      <c r="NOM1" s="615"/>
      <c r="NON1" s="615"/>
      <c r="NOO1" s="615"/>
      <c r="NOP1" s="615"/>
      <c r="NOQ1" s="615"/>
      <c r="NOR1" s="615"/>
      <c r="NOS1" s="615"/>
      <c r="NOT1" s="615"/>
      <c r="NOU1" s="615"/>
      <c r="NOV1" s="615"/>
      <c r="NOW1" s="615"/>
      <c r="NOX1" s="615"/>
      <c r="NOY1" s="615"/>
      <c r="NOZ1" s="615"/>
      <c r="NPA1" s="615"/>
      <c r="NPB1" s="615"/>
      <c r="NPC1" s="615"/>
      <c r="NPD1" s="615"/>
      <c r="NPE1" s="615"/>
      <c r="NPF1" s="615"/>
      <c r="NPG1" s="615"/>
      <c r="NPH1" s="615"/>
      <c r="NPI1" s="615"/>
      <c r="NPJ1" s="615"/>
      <c r="NPK1" s="615"/>
      <c r="NPL1" s="615"/>
      <c r="NPM1" s="615"/>
      <c r="NPN1" s="615"/>
      <c r="NPO1" s="615"/>
      <c r="NPP1" s="615"/>
      <c r="NPQ1" s="615"/>
      <c r="NPR1" s="615"/>
      <c r="NPS1" s="615"/>
      <c r="NPT1" s="615"/>
      <c r="NPU1" s="615"/>
      <c r="NPV1" s="615"/>
      <c r="NPW1" s="615"/>
      <c r="NPX1" s="615"/>
      <c r="NPY1" s="615"/>
      <c r="NPZ1" s="615"/>
      <c r="NQA1" s="615"/>
      <c r="NQB1" s="615"/>
      <c r="NQC1" s="615"/>
      <c r="NQD1" s="615"/>
      <c r="NQE1" s="615"/>
      <c r="NQF1" s="615"/>
      <c r="NQG1" s="615"/>
      <c r="NQH1" s="615"/>
      <c r="NQI1" s="615"/>
      <c r="NQJ1" s="615"/>
      <c r="NQK1" s="615"/>
      <c r="NQL1" s="615"/>
      <c r="NQM1" s="615"/>
      <c r="NQN1" s="615"/>
      <c r="NQO1" s="615"/>
      <c r="NQP1" s="615"/>
      <c r="NQQ1" s="615"/>
      <c r="NQR1" s="615"/>
      <c r="NQS1" s="615"/>
      <c r="NQT1" s="615"/>
      <c r="NQU1" s="615"/>
      <c r="NQV1" s="615"/>
      <c r="NQW1" s="615"/>
      <c r="NQX1" s="615"/>
      <c r="NQY1" s="615"/>
      <c r="NQZ1" s="615"/>
      <c r="NRA1" s="615"/>
      <c r="NRB1" s="615"/>
      <c r="NRC1" s="615"/>
      <c r="NRD1" s="615"/>
      <c r="NRE1" s="615"/>
      <c r="NRF1" s="615"/>
      <c r="NRG1" s="615"/>
      <c r="NRH1" s="615"/>
      <c r="NRI1" s="615"/>
      <c r="NRJ1" s="615"/>
      <c r="NRK1" s="615"/>
      <c r="NRL1" s="615"/>
      <c r="NRM1" s="615"/>
      <c r="NRN1" s="615"/>
      <c r="NRO1" s="615"/>
      <c r="NRP1" s="615"/>
      <c r="NRQ1" s="615"/>
      <c r="NRR1" s="615"/>
      <c r="NRS1" s="615"/>
      <c r="NRT1" s="615"/>
      <c r="NRU1" s="615"/>
      <c r="NRV1" s="615"/>
      <c r="NRW1" s="615"/>
      <c r="NRX1" s="615"/>
      <c r="NRY1" s="615"/>
      <c r="NRZ1" s="615"/>
      <c r="NSA1" s="615"/>
      <c r="NSB1" s="615"/>
      <c r="NSC1" s="615"/>
      <c r="NSD1" s="615"/>
      <c r="NSE1" s="615"/>
      <c r="NSF1" s="615"/>
      <c r="NSG1" s="615"/>
      <c r="NSH1" s="615"/>
      <c r="NSI1" s="615"/>
      <c r="NSJ1" s="615"/>
      <c r="NSK1" s="615"/>
      <c r="NSL1" s="615"/>
      <c r="NSM1" s="615"/>
      <c r="NSN1" s="615"/>
      <c r="NSO1" s="615"/>
      <c r="NSP1" s="615"/>
      <c r="NSQ1" s="615"/>
      <c r="NSR1" s="615"/>
      <c r="NSS1" s="615"/>
      <c r="NST1" s="615"/>
      <c r="NSU1" s="615"/>
      <c r="NSV1" s="615"/>
      <c r="NSW1" s="615"/>
      <c r="NSX1" s="615"/>
      <c r="NSY1" s="615"/>
      <c r="NSZ1" s="615"/>
      <c r="NTA1" s="615"/>
      <c r="NTB1" s="615"/>
      <c r="NTC1" s="615"/>
      <c r="NTD1" s="615"/>
      <c r="NTE1" s="615"/>
      <c r="NTF1" s="615"/>
      <c r="NTG1" s="615"/>
      <c r="NTH1" s="615"/>
      <c r="NTI1" s="615"/>
      <c r="NTJ1" s="615"/>
      <c r="NTK1" s="615"/>
      <c r="NTL1" s="615"/>
      <c r="NTM1" s="615"/>
      <c r="NTN1" s="615"/>
      <c r="NTO1" s="615"/>
      <c r="NTP1" s="615"/>
      <c r="NTQ1" s="615"/>
      <c r="NTR1" s="615"/>
      <c r="NTS1" s="615"/>
      <c r="NTT1" s="615"/>
      <c r="NTU1" s="615"/>
      <c r="NTV1" s="615"/>
      <c r="NTW1" s="615"/>
      <c r="NTX1" s="615"/>
      <c r="NTY1" s="615"/>
      <c r="NTZ1" s="615"/>
      <c r="NUA1" s="615"/>
      <c r="NUB1" s="615"/>
      <c r="NUC1" s="615"/>
      <c r="NUD1" s="615"/>
      <c r="NUE1" s="615"/>
      <c r="NUF1" s="615"/>
      <c r="NUG1" s="615"/>
      <c r="NUH1" s="615"/>
      <c r="NUI1" s="615"/>
      <c r="NUJ1" s="615"/>
      <c r="NUK1" s="615"/>
      <c r="NUL1" s="615"/>
      <c r="NUM1" s="615"/>
      <c r="NUN1" s="615"/>
      <c r="NUO1" s="615"/>
      <c r="NUP1" s="615"/>
      <c r="NUQ1" s="615"/>
      <c r="NUR1" s="615"/>
      <c r="NUS1" s="615"/>
      <c r="NUT1" s="615"/>
      <c r="NUU1" s="615"/>
      <c r="NUV1" s="615"/>
      <c r="NUW1" s="615"/>
      <c r="NUX1" s="615"/>
      <c r="NUY1" s="615"/>
      <c r="NUZ1" s="615"/>
      <c r="NVA1" s="615"/>
      <c r="NVB1" s="615"/>
      <c r="NVC1" s="615"/>
      <c r="NVD1" s="615"/>
      <c r="NVE1" s="615"/>
      <c r="NVF1" s="615"/>
      <c r="NVG1" s="615"/>
      <c r="NVH1" s="615"/>
      <c r="NVI1" s="615"/>
      <c r="NVJ1" s="615"/>
      <c r="NVK1" s="615"/>
      <c r="NVL1" s="615"/>
      <c r="NVM1" s="615"/>
      <c r="NVN1" s="615"/>
      <c r="NVO1" s="615"/>
      <c r="NVP1" s="615"/>
      <c r="NVQ1" s="615"/>
      <c r="NVR1" s="615"/>
      <c r="NVS1" s="615"/>
      <c r="NVT1" s="615"/>
      <c r="NVU1" s="615"/>
      <c r="NVV1" s="615"/>
      <c r="NVW1" s="615"/>
      <c r="NVX1" s="615"/>
      <c r="NVY1" s="615"/>
      <c r="NVZ1" s="615"/>
      <c r="NWA1" s="615"/>
      <c r="NWB1" s="615"/>
      <c r="NWC1" s="615"/>
      <c r="NWD1" s="615"/>
      <c r="NWE1" s="615"/>
      <c r="NWF1" s="615"/>
      <c r="NWG1" s="615"/>
      <c r="NWH1" s="615"/>
      <c r="NWI1" s="615"/>
      <c r="NWJ1" s="615"/>
      <c r="NWK1" s="615"/>
      <c r="NWL1" s="615"/>
      <c r="NWM1" s="615"/>
      <c r="NWN1" s="615"/>
      <c r="NWO1" s="615"/>
      <c r="NWP1" s="615"/>
      <c r="NWQ1" s="615"/>
      <c r="NWR1" s="615"/>
      <c r="NWS1" s="615"/>
      <c r="NWT1" s="615"/>
      <c r="NWU1" s="615"/>
      <c r="NWV1" s="615"/>
      <c r="NWW1" s="615"/>
      <c r="NWX1" s="615"/>
      <c r="NWY1" s="615"/>
      <c r="NWZ1" s="615"/>
      <c r="NXA1" s="615"/>
      <c r="NXB1" s="615"/>
      <c r="NXC1" s="615"/>
      <c r="NXD1" s="615"/>
      <c r="NXE1" s="615"/>
      <c r="NXF1" s="615"/>
      <c r="NXG1" s="615"/>
      <c r="NXH1" s="615"/>
      <c r="NXI1" s="615"/>
      <c r="NXJ1" s="615"/>
      <c r="NXK1" s="615"/>
      <c r="NXL1" s="615"/>
      <c r="NXM1" s="615"/>
      <c r="NXN1" s="615"/>
      <c r="NXO1" s="615"/>
      <c r="NXP1" s="615"/>
      <c r="NXQ1" s="615"/>
      <c r="NXR1" s="615"/>
      <c r="NXS1" s="615"/>
      <c r="NXT1" s="615"/>
      <c r="NXU1" s="615"/>
      <c r="NXV1" s="615"/>
      <c r="NXW1" s="615"/>
      <c r="NXX1" s="615"/>
      <c r="NXY1" s="615"/>
      <c r="NXZ1" s="615"/>
      <c r="NYA1" s="615"/>
      <c r="NYB1" s="615"/>
      <c r="NYC1" s="615"/>
      <c r="NYD1" s="615"/>
      <c r="NYE1" s="615"/>
      <c r="NYF1" s="615"/>
      <c r="NYG1" s="615"/>
      <c r="NYH1" s="615"/>
      <c r="NYI1" s="615"/>
      <c r="NYJ1" s="615"/>
      <c r="NYK1" s="615"/>
      <c r="NYL1" s="615"/>
      <c r="NYM1" s="615"/>
      <c r="NYN1" s="615"/>
      <c r="NYO1" s="615"/>
      <c r="NYP1" s="615"/>
      <c r="NYQ1" s="615"/>
      <c r="NYR1" s="615"/>
      <c r="NYS1" s="615"/>
      <c r="NYT1" s="615"/>
      <c r="NYU1" s="615"/>
      <c r="NYV1" s="615"/>
      <c r="NYW1" s="615"/>
      <c r="NYX1" s="615"/>
      <c r="NYY1" s="615"/>
      <c r="NYZ1" s="615"/>
      <c r="NZA1" s="615"/>
      <c r="NZB1" s="615"/>
      <c r="NZC1" s="615"/>
      <c r="NZD1" s="615"/>
      <c r="NZE1" s="615"/>
      <c r="NZF1" s="615"/>
      <c r="NZG1" s="615"/>
      <c r="NZH1" s="615"/>
      <c r="NZI1" s="615"/>
      <c r="NZJ1" s="615"/>
      <c r="NZK1" s="615"/>
      <c r="NZL1" s="615"/>
      <c r="NZM1" s="615"/>
      <c r="NZN1" s="615"/>
      <c r="NZO1" s="615"/>
      <c r="NZP1" s="615"/>
      <c r="NZQ1" s="615"/>
      <c r="NZR1" s="615"/>
      <c r="NZS1" s="615"/>
      <c r="NZT1" s="615"/>
      <c r="NZU1" s="615"/>
      <c r="NZV1" s="615"/>
      <c r="NZW1" s="615"/>
      <c r="NZX1" s="615"/>
      <c r="NZY1" s="615"/>
      <c r="NZZ1" s="615"/>
      <c r="OAA1" s="615"/>
      <c r="OAB1" s="615"/>
      <c r="OAC1" s="615"/>
      <c r="OAD1" s="615"/>
      <c r="OAE1" s="615"/>
      <c r="OAF1" s="615"/>
      <c r="OAG1" s="615"/>
      <c r="OAH1" s="615"/>
      <c r="OAI1" s="615"/>
      <c r="OAJ1" s="615"/>
      <c r="OAK1" s="615"/>
      <c r="OAL1" s="615"/>
      <c r="OAM1" s="615"/>
      <c r="OAN1" s="615"/>
      <c r="OAO1" s="615"/>
      <c r="OAP1" s="615"/>
      <c r="OAQ1" s="615"/>
      <c r="OAR1" s="615"/>
      <c r="OAS1" s="615"/>
      <c r="OAT1" s="615"/>
      <c r="OAU1" s="615"/>
      <c r="OAV1" s="615"/>
      <c r="OAW1" s="615"/>
      <c r="OAX1" s="615"/>
      <c r="OAY1" s="615"/>
      <c r="OAZ1" s="615"/>
      <c r="OBA1" s="615"/>
      <c r="OBB1" s="615"/>
      <c r="OBC1" s="615"/>
      <c r="OBD1" s="615"/>
      <c r="OBE1" s="615"/>
      <c r="OBF1" s="615"/>
      <c r="OBG1" s="615"/>
      <c r="OBH1" s="615"/>
      <c r="OBI1" s="615"/>
      <c r="OBJ1" s="615"/>
      <c r="OBK1" s="615"/>
      <c r="OBL1" s="615"/>
      <c r="OBM1" s="615"/>
      <c r="OBN1" s="615"/>
      <c r="OBO1" s="615"/>
      <c r="OBP1" s="615"/>
      <c r="OBQ1" s="615"/>
      <c r="OBR1" s="615"/>
      <c r="OBS1" s="615"/>
      <c r="OBT1" s="615"/>
      <c r="OBU1" s="615"/>
      <c r="OBV1" s="615"/>
      <c r="OBW1" s="615"/>
      <c r="OBX1" s="615"/>
      <c r="OBY1" s="615"/>
      <c r="OBZ1" s="615"/>
      <c r="OCA1" s="615"/>
      <c r="OCB1" s="615"/>
      <c r="OCC1" s="615"/>
      <c r="OCD1" s="615"/>
      <c r="OCE1" s="615"/>
      <c r="OCF1" s="615"/>
      <c r="OCG1" s="615"/>
      <c r="OCH1" s="615"/>
      <c r="OCI1" s="615"/>
      <c r="OCJ1" s="615"/>
      <c r="OCK1" s="615"/>
      <c r="OCL1" s="615"/>
      <c r="OCM1" s="615"/>
      <c r="OCN1" s="615"/>
      <c r="OCO1" s="615"/>
      <c r="OCP1" s="615"/>
      <c r="OCQ1" s="615"/>
      <c r="OCR1" s="615"/>
      <c r="OCS1" s="615"/>
      <c r="OCT1" s="615"/>
      <c r="OCU1" s="615"/>
      <c r="OCV1" s="615"/>
      <c r="OCW1" s="615"/>
      <c r="OCX1" s="615"/>
      <c r="OCY1" s="615"/>
      <c r="OCZ1" s="615"/>
      <c r="ODA1" s="615"/>
      <c r="ODB1" s="615"/>
      <c r="ODC1" s="615"/>
      <c r="ODD1" s="615"/>
      <c r="ODE1" s="615"/>
      <c r="ODF1" s="615"/>
      <c r="ODG1" s="615"/>
      <c r="ODH1" s="615"/>
      <c r="ODI1" s="615"/>
      <c r="ODJ1" s="615"/>
      <c r="ODK1" s="615"/>
      <c r="ODL1" s="615"/>
      <c r="ODM1" s="615"/>
      <c r="ODN1" s="615"/>
      <c r="ODO1" s="615"/>
      <c r="ODP1" s="615"/>
      <c r="ODQ1" s="615"/>
      <c r="ODR1" s="615"/>
      <c r="ODS1" s="615"/>
      <c r="ODT1" s="615"/>
      <c r="ODU1" s="615"/>
      <c r="ODV1" s="615"/>
      <c r="ODW1" s="615"/>
      <c r="ODX1" s="615"/>
      <c r="ODY1" s="615"/>
      <c r="ODZ1" s="615"/>
      <c r="OEA1" s="615"/>
      <c r="OEB1" s="615"/>
      <c r="OEC1" s="615"/>
      <c r="OED1" s="615"/>
      <c r="OEE1" s="615"/>
      <c r="OEF1" s="615"/>
      <c r="OEG1" s="615"/>
      <c r="OEH1" s="615"/>
      <c r="OEI1" s="615"/>
      <c r="OEJ1" s="615"/>
      <c r="OEK1" s="615"/>
      <c r="OEL1" s="615"/>
      <c r="OEM1" s="615"/>
      <c r="OEN1" s="615"/>
      <c r="OEO1" s="615"/>
      <c r="OEP1" s="615"/>
      <c r="OEQ1" s="615"/>
      <c r="OER1" s="615"/>
      <c r="OES1" s="615"/>
      <c r="OET1" s="615"/>
      <c r="OEU1" s="615"/>
      <c r="OEV1" s="615"/>
      <c r="OEW1" s="615"/>
      <c r="OEX1" s="615"/>
      <c r="OEY1" s="615"/>
      <c r="OEZ1" s="615"/>
      <c r="OFA1" s="615"/>
      <c r="OFB1" s="615"/>
      <c r="OFC1" s="615"/>
      <c r="OFD1" s="615"/>
      <c r="OFE1" s="615"/>
      <c r="OFF1" s="615"/>
      <c r="OFG1" s="615"/>
      <c r="OFH1" s="615"/>
      <c r="OFI1" s="615"/>
      <c r="OFJ1" s="615"/>
      <c r="OFK1" s="615"/>
      <c r="OFL1" s="615"/>
      <c r="OFM1" s="615"/>
      <c r="OFN1" s="615"/>
      <c r="OFO1" s="615"/>
      <c r="OFP1" s="615"/>
      <c r="OFQ1" s="615"/>
      <c r="OFR1" s="615"/>
      <c r="OFS1" s="615"/>
      <c r="OFT1" s="615"/>
      <c r="OFU1" s="615"/>
      <c r="OFV1" s="615"/>
      <c r="OFW1" s="615"/>
      <c r="OFX1" s="615"/>
      <c r="OFY1" s="615"/>
      <c r="OFZ1" s="615"/>
      <c r="OGA1" s="615"/>
      <c r="OGB1" s="615"/>
      <c r="OGC1" s="615"/>
      <c r="OGD1" s="615"/>
      <c r="OGE1" s="615"/>
      <c r="OGF1" s="615"/>
      <c r="OGG1" s="615"/>
      <c r="OGH1" s="615"/>
      <c r="OGI1" s="615"/>
      <c r="OGJ1" s="615"/>
      <c r="OGK1" s="615"/>
      <c r="OGL1" s="615"/>
      <c r="OGM1" s="615"/>
      <c r="OGN1" s="615"/>
      <c r="OGO1" s="615"/>
      <c r="OGP1" s="615"/>
      <c r="OGQ1" s="615"/>
      <c r="OGR1" s="615"/>
      <c r="OGS1" s="615"/>
      <c r="OGT1" s="615"/>
      <c r="OGU1" s="615"/>
      <c r="OGV1" s="615"/>
      <c r="OGW1" s="615"/>
      <c r="OGX1" s="615"/>
      <c r="OGY1" s="615"/>
      <c r="OGZ1" s="615"/>
      <c r="OHA1" s="615"/>
      <c r="OHB1" s="615"/>
      <c r="OHC1" s="615"/>
      <c r="OHD1" s="615"/>
      <c r="OHE1" s="615"/>
      <c r="OHF1" s="615"/>
      <c r="OHG1" s="615"/>
      <c r="OHH1" s="615"/>
      <c r="OHI1" s="615"/>
      <c r="OHJ1" s="615"/>
      <c r="OHK1" s="615"/>
      <c r="OHL1" s="615"/>
      <c r="OHM1" s="615"/>
      <c r="OHN1" s="615"/>
      <c r="OHO1" s="615"/>
      <c r="OHP1" s="615"/>
      <c r="OHQ1" s="615"/>
      <c r="OHR1" s="615"/>
      <c r="OHS1" s="615"/>
      <c r="OHT1" s="615"/>
      <c r="OHU1" s="615"/>
      <c r="OHV1" s="615"/>
      <c r="OHW1" s="615"/>
      <c r="OHX1" s="615"/>
      <c r="OHY1" s="615"/>
      <c r="OHZ1" s="615"/>
      <c r="OIA1" s="615"/>
      <c r="OIB1" s="615"/>
      <c r="OIC1" s="615"/>
      <c r="OID1" s="615"/>
      <c r="OIE1" s="615"/>
      <c r="OIF1" s="615"/>
      <c r="OIG1" s="615"/>
      <c r="OIH1" s="615"/>
      <c r="OII1" s="615"/>
      <c r="OIJ1" s="615"/>
      <c r="OIK1" s="615"/>
      <c r="OIL1" s="615"/>
      <c r="OIM1" s="615"/>
      <c r="OIN1" s="615"/>
      <c r="OIO1" s="615"/>
      <c r="OIP1" s="615"/>
      <c r="OIQ1" s="615"/>
      <c r="OIR1" s="615"/>
      <c r="OIS1" s="615"/>
      <c r="OIT1" s="615"/>
      <c r="OIU1" s="615"/>
      <c r="OIV1" s="615"/>
      <c r="OIW1" s="615"/>
      <c r="OIX1" s="615"/>
      <c r="OIY1" s="615"/>
      <c r="OIZ1" s="615"/>
      <c r="OJA1" s="615"/>
      <c r="OJB1" s="615"/>
      <c r="OJC1" s="615"/>
      <c r="OJD1" s="615"/>
      <c r="OJE1" s="615"/>
      <c r="OJF1" s="615"/>
      <c r="OJG1" s="615"/>
      <c r="OJH1" s="615"/>
      <c r="OJI1" s="615"/>
      <c r="OJJ1" s="615"/>
      <c r="OJK1" s="615"/>
      <c r="OJL1" s="615"/>
      <c r="OJM1" s="615"/>
      <c r="OJN1" s="615"/>
      <c r="OJO1" s="615"/>
      <c r="OJP1" s="615"/>
      <c r="OJQ1" s="615"/>
      <c r="OJR1" s="615"/>
      <c r="OJS1" s="615"/>
      <c r="OJT1" s="615"/>
      <c r="OJU1" s="615"/>
      <c r="OJV1" s="615"/>
      <c r="OJW1" s="615"/>
      <c r="OJX1" s="615"/>
      <c r="OJY1" s="615"/>
      <c r="OJZ1" s="615"/>
      <c r="OKA1" s="615"/>
      <c r="OKB1" s="615"/>
      <c r="OKC1" s="615"/>
      <c r="OKD1" s="615"/>
      <c r="OKE1" s="615"/>
      <c r="OKF1" s="615"/>
      <c r="OKG1" s="615"/>
      <c r="OKH1" s="615"/>
      <c r="OKI1" s="615"/>
      <c r="OKJ1" s="615"/>
      <c r="OKK1" s="615"/>
      <c r="OKL1" s="615"/>
      <c r="OKM1" s="615"/>
      <c r="OKN1" s="615"/>
      <c r="OKO1" s="615"/>
      <c r="OKP1" s="615"/>
      <c r="OKQ1" s="615"/>
      <c r="OKR1" s="615"/>
      <c r="OKS1" s="615"/>
      <c r="OKT1" s="615"/>
      <c r="OKU1" s="615"/>
      <c r="OKV1" s="615"/>
      <c r="OKW1" s="615"/>
      <c r="OKX1" s="615"/>
      <c r="OKY1" s="615"/>
      <c r="OKZ1" s="615"/>
      <c r="OLA1" s="615"/>
      <c r="OLB1" s="615"/>
      <c r="OLC1" s="615"/>
      <c r="OLD1" s="615"/>
      <c r="OLE1" s="615"/>
      <c r="OLF1" s="615"/>
      <c r="OLG1" s="615"/>
      <c r="OLH1" s="615"/>
      <c r="OLI1" s="615"/>
      <c r="OLJ1" s="615"/>
      <c r="OLK1" s="615"/>
      <c r="OLL1" s="615"/>
      <c r="OLM1" s="615"/>
      <c r="OLN1" s="615"/>
      <c r="OLO1" s="615"/>
      <c r="OLP1" s="615"/>
      <c r="OLQ1" s="615"/>
      <c r="OLR1" s="615"/>
      <c r="OLS1" s="615"/>
      <c r="OLT1" s="615"/>
      <c r="OLU1" s="615"/>
      <c r="OLV1" s="615"/>
      <c r="OLW1" s="615"/>
      <c r="OLX1" s="615"/>
      <c r="OLY1" s="615"/>
      <c r="OLZ1" s="615"/>
      <c r="OMA1" s="615"/>
      <c r="OMB1" s="615"/>
      <c r="OMC1" s="615"/>
      <c r="OMD1" s="615"/>
      <c r="OME1" s="615"/>
      <c r="OMF1" s="615"/>
      <c r="OMG1" s="615"/>
      <c r="OMH1" s="615"/>
      <c r="OMI1" s="615"/>
      <c r="OMJ1" s="615"/>
      <c r="OMK1" s="615"/>
      <c r="OML1" s="615"/>
      <c r="OMM1" s="615"/>
      <c r="OMN1" s="615"/>
      <c r="OMO1" s="615"/>
      <c r="OMP1" s="615"/>
      <c r="OMQ1" s="615"/>
      <c r="OMR1" s="615"/>
      <c r="OMS1" s="615"/>
      <c r="OMT1" s="615"/>
      <c r="OMU1" s="615"/>
      <c r="OMV1" s="615"/>
      <c r="OMW1" s="615"/>
      <c r="OMX1" s="615"/>
      <c r="OMY1" s="615"/>
      <c r="OMZ1" s="615"/>
      <c r="ONA1" s="615"/>
      <c r="ONB1" s="615"/>
      <c r="ONC1" s="615"/>
      <c r="OND1" s="615"/>
      <c r="ONE1" s="615"/>
      <c r="ONF1" s="615"/>
      <c r="ONG1" s="615"/>
      <c r="ONH1" s="615"/>
      <c r="ONI1" s="615"/>
      <c r="ONJ1" s="615"/>
      <c r="ONK1" s="615"/>
      <c r="ONL1" s="615"/>
      <c r="ONM1" s="615"/>
      <c r="ONN1" s="615"/>
      <c r="ONO1" s="615"/>
      <c r="ONP1" s="615"/>
      <c r="ONQ1" s="615"/>
      <c r="ONR1" s="615"/>
      <c r="ONS1" s="615"/>
      <c r="ONT1" s="615"/>
      <c r="ONU1" s="615"/>
      <c r="ONV1" s="615"/>
      <c r="ONW1" s="615"/>
      <c r="ONX1" s="615"/>
      <c r="ONY1" s="615"/>
      <c r="ONZ1" s="615"/>
      <c r="OOA1" s="615"/>
      <c r="OOB1" s="615"/>
      <c r="OOC1" s="615"/>
      <c r="OOD1" s="615"/>
      <c r="OOE1" s="615"/>
      <c r="OOF1" s="615"/>
      <c r="OOG1" s="615"/>
      <c r="OOH1" s="615"/>
      <c r="OOI1" s="615"/>
      <c r="OOJ1" s="615"/>
      <c r="OOK1" s="615"/>
      <c r="OOL1" s="615"/>
      <c r="OOM1" s="615"/>
      <c r="OON1" s="615"/>
      <c r="OOO1" s="615"/>
      <c r="OOP1" s="615"/>
      <c r="OOQ1" s="615"/>
      <c r="OOR1" s="615"/>
      <c r="OOS1" s="615"/>
      <c r="OOT1" s="615"/>
      <c r="OOU1" s="615"/>
      <c r="OOV1" s="615"/>
      <c r="OOW1" s="615"/>
      <c r="OOX1" s="615"/>
      <c r="OOY1" s="615"/>
      <c r="OOZ1" s="615"/>
      <c r="OPA1" s="615"/>
      <c r="OPB1" s="615"/>
      <c r="OPC1" s="615"/>
      <c r="OPD1" s="615"/>
      <c r="OPE1" s="615"/>
      <c r="OPF1" s="615"/>
      <c r="OPG1" s="615"/>
      <c r="OPH1" s="615"/>
      <c r="OPI1" s="615"/>
      <c r="OPJ1" s="615"/>
      <c r="OPK1" s="615"/>
      <c r="OPL1" s="615"/>
      <c r="OPM1" s="615"/>
      <c r="OPN1" s="615"/>
      <c r="OPO1" s="615"/>
      <c r="OPP1" s="615"/>
      <c r="OPQ1" s="615"/>
      <c r="OPR1" s="615"/>
      <c r="OPS1" s="615"/>
      <c r="OPT1" s="615"/>
      <c r="OPU1" s="615"/>
      <c r="OPV1" s="615"/>
      <c r="OPW1" s="615"/>
      <c r="OPX1" s="615"/>
      <c r="OPY1" s="615"/>
      <c r="OPZ1" s="615"/>
      <c r="OQA1" s="615"/>
      <c r="OQB1" s="615"/>
      <c r="OQC1" s="615"/>
      <c r="OQD1" s="615"/>
      <c r="OQE1" s="615"/>
      <c r="OQF1" s="615"/>
      <c r="OQG1" s="615"/>
      <c r="OQH1" s="615"/>
      <c r="OQI1" s="615"/>
      <c r="OQJ1" s="615"/>
      <c r="OQK1" s="615"/>
      <c r="OQL1" s="615"/>
      <c r="OQM1" s="615"/>
      <c r="OQN1" s="615"/>
      <c r="OQO1" s="615"/>
      <c r="OQP1" s="615"/>
      <c r="OQQ1" s="615"/>
      <c r="OQR1" s="615"/>
      <c r="OQS1" s="615"/>
      <c r="OQT1" s="615"/>
      <c r="OQU1" s="615"/>
      <c r="OQV1" s="615"/>
      <c r="OQW1" s="615"/>
      <c r="OQX1" s="615"/>
      <c r="OQY1" s="615"/>
      <c r="OQZ1" s="615"/>
      <c r="ORA1" s="615"/>
      <c r="ORB1" s="615"/>
      <c r="ORC1" s="615"/>
      <c r="ORD1" s="615"/>
      <c r="ORE1" s="615"/>
      <c r="ORF1" s="615"/>
      <c r="ORG1" s="615"/>
      <c r="ORH1" s="615"/>
      <c r="ORI1" s="615"/>
      <c r="ORJ1" s="615"/>
      <c r="ORK1" s="615"/>
      <c r="ORL1" s="615"/>
      <c r="ORM1" s="615"/>
      <c r="ORN1" s="615"/>
      <c r="ORO1" s="615"/>
      <c r="ORP1" s="615"/>
      <c r="ORQ1" s="615"/>
      <c r="ORR1" s="615"/>
      <c r="ORS1" s="615"/>
      <c r="ORT1" s="615"/>
      <c r="ORU1" s="615"/>
      <c r="ORV1" s="615"/>
      <c r="ORW1" s="615"/>
      <c r="ORX1" s="615"/>
      <c r="ORY1" s="615"/>
      <c r="ORZ1" s="615"/>
      <c r="OSA1" s="615"/>
      <c r="OSB1" s="615"/>
      <c r="OSC1" s="615"/>
      <c r="OSD1" s="615"/>
      <c r="OSE1" s="615"/>
      <c r="OSF1" s="615"/>
      <c r="OSG1" s="615"/>
      <c r="OSH1" s="615"/>
      <c r="OSI1" s="615"/>
      <c r="OSJ1" s="615"/>
      <c r="OSK1" s="615"/>
      <c r="OSL1" s="615"/>
      <c r="OSM1" s="615"/>
      <c r="OSN1" s="615"/>
      <c r="OSO1" s="615"/>
      <c r="OSP1" s="615"/>
      <c r="OSQ1" s="615"/>
      <c r="OSR1" s="615"/>
      <c r="OSS1" s="615"/>
      <c r="OST1" s="615"/>
      <c r="OSU1" s="615"/>
      <c r="OSV1" s="615"/>
      <c r="OSW1" s="615"/>
      <c r="OSX1" s="615"/>
      <c r="OSY1" s="615"/>
      <c r="OSZ1" s="615"/>
      <c r="OTA1" s="615"/>
      <c r="OTB1" s="615"/>
      <c r="OTC1" s="615"/>
      <c r="OTD1" s="615"/>
      <c r="OTE1" s="615"/>
      <c r="OTF1" s="615"/>
      <c r="OTG1" s="615"/>
      <c r="OTH1" s="615"/>
      <c r="OTI1" s="615"/>
      <c r="OTJ1" s="615"/>
      <c r="OTK1" s="615"/>
      <c r="OTL1" s="615"/>
      <c r="OTM1" s="615"/>
      <c r="OTN1" s="615"/>
      <c r="OTO1" s="615"/>
      <c r="OTP1" s="615"/>
      <c r="OTQ1" s="615"/>
      <c r="OTR1" s="615"/>
      <c r="OTS1" s="615"/>
      <c r="OTT1" s="615"/>
      <c r="OTU1" s="615"/>
      <c r="OTV1" s="615"/>
      <c r="OTW1" s="615"/>
      <c r="OTX1" s="615"/>
      <c r="OTY1" s="615"/>
      <c r="OTZ1" s="615"/>
      <c r="OUA1" s="615"/>
      <c r="OUB1" s="615"/>
      <c r="OUC1" s="615"/>
      <c r="OUD1" s="615"/>
      <c r="OUE1" s="615"/>
      <c r="OUF1" s="615"/>
      <c r="OUG1" s="615"/>
      <c r="OUH1" s="615"/>
      <c r="OUI1" s="615"/>
      <c r="OUJ1" s="615"/>
      <c r="OUK1" s="615"/>
      <c r="OUL1" s="615"/>
      <c r="OUM1" s="615"/>
      <c r="OUN1" s="615"/>
      <c r="OUO1" s="615"/>
      <c r="OUP1" s="615"/>
      <c r="OUQ1" s="615"/>
      <c r="OUR1" s="615"/>
      <c r="OUS1" s="615"/>
      <c r="OUT1" s="615"/>
      <c r="OUU1" s="615"/>
      <c r="OUV1" s="615"/>
      <c r="OUW1" s="615"/>
      <c r="OUX1" s="615"/>
      <c r="OUY1" s="615"/>
      <c r="OUZ1" s="615"/>
      <c r="OVA1" s="615"/>
      <c r="OVB1" s="615"/>
      <c r="OVC1" s="615"/>
      <c r="OVD1" s="615"/>
      <c r="OVE1" s="615"/>
      <c r="OVF1" s="615"/>
      <c r="OVG1" s="615"/>
      <c r="OVH1" s="615"/>
      <c r="OVI1" s="615"/>
      <c r="OVJ1" s="615"/>
      <c r="OVK1" s="615"/>
      <c r="OVL1" s="615"/>
      <c r="OVM1" s="615"/>
      <c r="OVN1" s="615"/>
      <c r="OVO1" s="615"/>
      <c r="OVP1" s="615"/>
      <c r="OVQ1" s="615"/>
      <c r="OVR1" s="615"/>
      <c r="OVS1" s="615"/>
      <c r="OVT1" s="615"/>
      <c r="OVU1" s="615"/>
      <c r="OVV1" s="615"/>
      <c r="OVW1" s="615"/>
      <c r="OVX1" s="615"/>
      <c r="OVY1" s="615"/>
      <c r="OVZ1" s="615"/>
      <c r="OWA1" s="615"/>
      <c r="OWB1" s="615"/>
      <c r="OWC1" s="615"/>
      <c r="OWD1" s="615"/>
      <c r="OWE1" s="615"/>
      <c r="OWF1" s="615"/>
      <c r="OWG1" s="615"/>
      <c r="OWH1" s="615"/>
      <c r="OWI1" s="615"/>
      <c r="OWJ1" s="615"/>
      <c r="OWK1" s="615"/>
      <c r="OWL1" s="615"/>
      <c r="OWM1" s="615"/>
      <c r="OWN1" s="615"/>
      <c r="OWO1" s="615"/>
      <c r="OWP1" s="615"/>
      <c r="OWQ1" s="615"/>
      <c r="OWR1" s="615"/>
      <c r="OWS1" s="615"/>
      <c r="OWT1" s="615"/>
      <c r="OWU1" s="615"/>
      <c r="OWV1" s="615"/>
      <c r="OWW1" s="615"/>
      <c r="OWX1" s="615"/>
      <c r="OWY1" s="615"/>
      <c r="OWZ1" s="615"/>
      <c r="OXA1" s="615"/>
      <c r="OXB1" s="615"/>
      <c r="OXC1" s="615"/>
      <c r="OXD1" s="615"/>
      <c r="OXE1" s="615"/>
      <c r="OXF1" s="615"/>
      <c r="OXG1" s="615"/>
      <c r="OXH1" s="615"/>
      <c r="OXI1" s="615"/>
      <c r="OXJ1" s="615"/>
      <c r="OXK1" s="615"/>
      <c r="OXL1" s="615"/>
      <c r="OXM1" s="615"/>
      <c r="OXN1" s="615"/>
      <c r="OXO1" s="615"/>
      <c r="OXP1" s="615"/>
      <c r="OXQ1" s="615"/>
      <c r="OXR1" s="615"/>
      <c r="OXS1" s="615"/>
      <c r="OXT1" s="615"/>
      <c r="OXU1" s="615"/>
      <c r="OXV1" s="615"/>
      <c r="OXW1" s="615"/>
      <c r="OXX1" s="615"/>
      <c r="OXY1" s="615"/>
      <c r="OXZ1" s="615"/>
      <c r="OYA1" s="615"/>
      <c r="OYB1" s="615"/>
      <c r="OYC1" s="615"/>
      <c r="OYD1" s="615"/>
      <c r="OYE1" s="615"/>
      <c r="OYF1" s="615"/>
      <c r="OYG1" s="615"/>
      <c r="OYH1" s="615"/>
      <c r="OYI1" s="615"/>
      <c r="OYJ1" s="615"/>
      <c r="OYK1" s="615"/>
      <c r="OYL1" s="615"/>
      <c r="OYM1" s="615"/>
      <c r="OYN1" s="615"/>
      <c r="OYO1" s="615"/>
      <c r="OYP1" s="615"/>
      <c r="OYQ1" s="615"/>
      <c r="OYR1" s="615"/>
      <c r="OYS1" s="615"/>
      <c r="OYT1" s="615"/>
      <c r="OYU1" s="615"/>
      <c r="OYV1" s="615"/>
      <c r="OYW1" s="615"/>
      <c r="OYX1" s="615"/>
      <c r="OYY1" s="615"/>
      <c r="OYZ1" s="615"/>
      <c r="OZA1" s="615"/>
      <c r="OZB1" s="615"/>
      <c r="OZC1" s="615"/>
      <c r="OZD1" s="615"/>
      <c r="OZE1" s="615"/>
      <c r="OZF1" s="615"/>
      <c r="OZG1" s="615"/>
      <c r="OZH1" s="615"/>
      <c r="OZI1" s="615"/>
      <c r="OZJ1" s="615"/>
      <c r="OZK1" s="615"/>
      <c r="OZL1" s="615"/>
      <c r="OZM1" s="615"/>
      <c r="OZN1" s="615"/>
      <c r="OZO1" s="615"/>
      <c r="OZP1" s="615"/>
      <c r="OZQ1" s="615"/>
      <c r="OZR1" s="615"/>
      <c r="OZS1" s="615"/>
      <c r="OZT1" s="615"/>
      <c r="OZU1" s="615"/>
      <c r="OZV1" s="615"/>
      <c r="OZW1" s="615"/>
      <c r="OZX1" s="615"/>
      <c r="OZY1" s="615"/>
      <c r="OZZ1" s="615"/>
      <c r="PAA1" s="615"/>
      <c r="PAB1" s="615"/>
      <c r="PAC1" s="615"/>
      <c r="PAD1" s="615"/>
      <c r="PAE1" s="615"/>
      <c r="PAF1" s="615"/>
      <c r="PAG1" s="615"/>
      <c r="PAH1" s="615"/>
      <c r="PAI1" s="615"/>
      <c r="PAJ1" s="615"/>
      <c r="PAK1" s="615"/>
      <c r="PAL1" s="615"/>
      <c r="PAM1" s="615"/>
      <c r="PAN1" s="615"/>
      <c r="PAO1" s="615"/>
      <c r="PAP1" s="615"/>
      <c r="PAQ1" s="615"/>
      <c r="PAR1" s="615"/>
      <c r="PAS1" s="615"/>
      <c r="PAT1" s="615"/>
      <c r="PAU1" s="615"/>
      <c r="PAV1" s="615"/>
      <c r="PAW1" s="615"/>
      <c r="PAX1" s="615"/>
      <c r="PAY1" s="615"/>
      <c r="PAZ1" s="615"/>
      <c r="PBA1" s="615"/>
      <c r="PBB1" s="615"/>
      <c r="PBC1" s="615"/>
      <c r="PBD1" s="615"/>
      <c r="PBE1" s="615"/>
      <c r="PBF1" s="615"/>
      <c r="PBG1" s="615"/>
      <c r="PBH1" s="615"/>
      <c r="PBI1" s="615"/>
      <c r="PBJ1" s="615"/>
      <c r="PBK1" s="615"/>
      <c r="PBL1" s="615"/>
      <c r="PBM1" s="615"/>
      <c r="PBN1" s="615"/>
      <c r="PBO1" s="615"/>
      <c r="PBP1" s="615"/>
      <c r="PBQ1" s="615"/>
      <c r="PBR1" s="615"/>
      <c r="PBS1" s="615"/>
      <c r="PBT1" s="615"/>
      <c r="PBU1" s="615"/>
      <c r="PBV1" s="615"/>
      <c r="PBW1" s="615"/>
      <c r="PBX1" s="615"/>
      <c r="PBY1" s="615"/>
      <c r="PBZ1" s="615"/>
      <c r="PCA1" s="615"/>
      <c r="PCB1" s="615"/>
      <c r="PCC1" s="615"/>
      <c r="PCD1" s="615"/>
      <c r="PCE1" s="615"/>
      <c r="PCF1" s="615"/>
      <c r="PCG1" s="615"/>
      <c r="PCH1" s="615"/>
      <c r="PCI1" s="615"/>
      <c r="PCJ1" s="615"/>
      <c r="PCK1" s="615"/>
      <c r="PCL1" s="615"/>
      <c r="PCM1" s="615"/>
      <c r="PCN1" s="615"/>
      <c r="PCO1" s="615"/>
      <c r="PCP1" s="615"/>
      <c r="PCQ1" s="615"/>
      <c r="PCR1" s="615"/>
      <c r="PCS1" s="615"/>
      <c r="PCT1" s="615"/>
      <c r="PCU1" s="615"/>
      <c r="PCV1" s="615"/>
      <c r="PCW1" s="615"/>
      <c r="PCX1" s="615"/>
      <c r="PCY1" s="615"/>
      <c r="PCZ1" s="615"/>
      <c r="PDA1" s="615"/>
      <c r="PDB1" s="615"/>
      <c r="PDC1" s="615"/>
      <c r="PDD1" s="615"/>
      <c r="PDE1" s="615"/>
      <c r="PDF1" s="615"/>
      <c r="PDG1" s="615"/>
      <c r="PDH1" s="615"/>
      <c r="PDI1" s="615"/>
      <c r="PDJ1" s="615"/>
      <c r="PDK1" s="615"/>
      <c r="PDL1" s="615"/>
      <c r="PDM1" s="615"/>
      <c r="PDN1" s="615"/>
      <c r="PDO1" s="615"/>
      <c r="PDP1" s="615"/>
      <c r="PDQ1" s="615"/>
      <c r="PDR1" s="615"/>
      <c r="PDS1" s="615"/>
      <c r="PDT1" s="615"/>
      <c r="PDU1" s="615"/>
      <c r="PDV1" s="615"/>
      <c r="PDW1" s="615"/>
      <c r="PDX1" s="615"/>
      <c r="PDY1" s="615"/>
      <c r="PDZ1" s="615"/>
      <c r="PEA1" s="615"/>
      <c r="PEB1" s="615"/>
      <c r="PEC1" s="615"/>
      <c r="PED1" s="615"/>
      <c r="PEE1" s="615"/>
      <c r="PEF1" s="615"/>
      <c r="PEG1" s="615"/>
      <c r="PEH1" s="615"/>
      <c r="PEI1" s="615"/>
      <c r="PEJ1" s="615"/>
      <c r="PEK1" s="615"/>
      <c r="PEL1" s="615"/>
      <c r="PEM1" s="615"/>
      <c r="PEN1" s="615"/>
      <c r="PEO1" s="615"/>
      <c r="PEP1" s="615"/>
      <c r="PEQ1" s="615"/>
      <c r="PER1" s="615"/>
      <c r="PES1" s="615"/>
      <c r="PET1" s="615"/>
      <c r="PEU1" s="615"/>
      <c r="PEV1" s="615"/>
      <c r="PEW1" s="615"/>
      <c r="PEX1" s="615"/>
      <c r="PEY1" s="615"/>
      <c r="PEZ1" s="615"/>
      <c r="PFA1" s="615"/>
      <c r="PFB1" s="615"/>
      <c r="PFC1" s="615"/>
      <c r="PFD1" s="615"/>
      <c r="PFE1" s="615"/>
      <c r="PFF1" s="615"/>
      <c r="PFG1" s="615"/>
      <c r="PFH1" s="615"/>
      <c r="PFI1" s="615"/>
      <c r="PFJ1" s="615"/>
      <c r="PFK1" s="615"/>
      <c r="PFL1" s="615"/>
      <c r="PFM1" s="615"/>
      <c r="PFN1" s="615"/>
      <c r="PFO1" s="615"/>
      <c r="PFP1" s="615"/>
      <c r="PFQ1" s="615"/>
      <c r="PFR1" s="615"/>
      <c r="PFS1" s="615"/>
      <c r="PFT1" s="615"/>
      <c r="PFU1" s="615"/>
      <c r="PFV1" s="615"/>
      <c r="PFW1" s="615"/>
      <c r="PFX1" s="615"/>
      <c r="PFY1" s="615"/>
      <c r="PFZ1" s="615"/>
      <c r="PGA1" s="615"/>
      <c r="PGB1" s="615"/>
      <c r="PGC1" s="615"/>
      <c r="PGD1" s="615"/>
      <c r="PGE1" s="615"/>
      <c r="PGF1" s="615"/>
      <c r="PGG1" s="615"/>
      <c r="PGH1" s="615"/>
      <c r="PGI1" s="615"/>
      <c r="PGJ1" s="615"/>
      <c r="PGK1" s="615"/>
      <c r="PGL1" s="615"/>
      <c r="PGM1" s="615"/>
      <c r="PGN1" s="615"/>
      <c r="PGO1" s="615"/>
      <c r="PGP1" s="615"/>
      <c r="PGQ1" s="615"/>
      <c r="PGR1" s="615"/>
      <c r="PGS1" s="615"/>
      <c r="PGT1" s="615"/>
      <c r="PGU1" s="615"/>
      <c r="PGV1" s="615"/>
      <c r="PGW1" s="615"/>
      <c r="PGX1" s="615"/>
      <c r="PGY1" s="615"/>
      <c r="PGZ1" s="615"/>
      <c r="PHA1" s="615"/>
      <c r="PHB1" s="615"/>
      <c r="PHC1" s="615"/>
      <c r="PHD1" s="615"/>
      <c r="PHE1" s="615"/>
      <c r="PHF1" s="615"/>
      <c r="PHG1" s="615"/>
      <c r="PHH1" s="615"/>
      <c r="PHI1" s="615"/>
      <c r="PHJ1" s="615"/>
      <c r="PHK1" s="615"/>
      <c r="PHL1" s="615"/>
      <c r="PHM1" s="615"/>
      <c r="PHN1" s="615"/>
      <c r="PHO1" s="615"/>
      <c r="PHP1" s="615"/>
      <c r="PHQ1" s="615"/>
      <c r="PHR1" s="615"/>
      <c r="PHS1" s="615"/>
      <c r="PHT1" s="615"/>
      <c r="PHU1" s="615"/>
      <c r="PHV1" s="615"/>
      <c r="PHW1" s="615"/>
      <c r="PHX1" s="615"/>
      <c r="PHY1" s="615"/>
      <c r="PHZ1" s="615"/>
      <c r="PIA1" s="615"/>
      <c r="PIB1" s="615"/>
      <c r="PIC1" s="615"/>
      <c r="PID1" s="615"/>
      <c r="PIE1" s="615"/>
      <c r="PIF1" s="615"/>
      <c r="PIG1" s="615"/>
      <c r="PIH1" s="615"/>
      <c r="PII1" s="615"/>
      <c r="PIJ1" s="615"/>
      <c r="PIK1" s="615"/>
      <c r="PIL1" s="615"/>
      <c r="PIM1" s="615"/>
      <c r="PIN1" s="615"/>
      <c r="PIO1" s="615"/>
      <c r="PIP1" s="615"/>
      <c r="PIQ1" s="615"/>
      <c r="PIR1" s="615"/>
      <c r="PIS1" s="615"/>
      <c r="PIT1" s="615"/>
      <c r="PIU1" s="615"/>
      <c r="PIV1" s="615"/>
      <c r="PIW1" s="615"/>
      <c r="PIX1" s="615"/>
      <c r="PIY1" s="615"/>
      <c r="PIZ1" s="615"/>
      <c r="PJA1" s="615"/>
      <c r="PJB1" s="615"/>
      <c r="PJC1" s="615"/>
      <c r="PJD1" s="615"/>
      <c r="PJE1" s="615"/>
      <c r="PJF1" s="615"/>
      <c r="PJG1" s="615"/>
      <c r="PJH1" s="615"/>
      <c r="PJI1" s="615"/>
      <c r="PJJ1" s="615"/>
      <c r="PJK1" s="615"/>
      <c r="PJL1" s="615"/>
      <c r="PJM1" s="615"/>
      <c r="PJN1" s="615"/>
      <c r="PJO1" s="615"/>
      <c r="PJP1" s="615"/>
      <c r="PJQ1" s="615"/>
      <c r="PJR1" s="615"/>
      <c r="PJS1" s="615"/>
      <c r="PJT1" s="615"/>
      <c r="PJU1" s="615"/>
      <c r="PJV1" s="615"/>
      <c r="PJW1" s="615"/>
      <c r="PJX1" s="615"/>
      <c r="PJY1" s="615"/>
      <c r="PJZ1" s="615"/>
      <c r="PKA1" s="615"/>
      <c r="PKB1" s="615"/>
      <c r="PKC1" s="615"/>
      <c r="PKD1" s="615"/>
      <c r="PKE1" s="615"/>
      <c r="PKF1" s="615"/>
      <c r="PKG1" s="615"/>
      <c r="PKH1" s="615"/>
      <c r="PKI1" s="615"/>
      <c r="PKJ1" s="615"/>
      <c r="PKK1" s="615"/>
      <c r="PKL1" s="615"/>
      <c r="PKM1" s="615"/>
      <c r="PKN1" s="615"/>
      <c r="PKO1" s="615"/>
      <c r="PKP1" s="615"/>
      <c r="PKQ1" s="615"/>
      <c r="PKR1" s="615"/>
      <c r="PKS1" s="615"/>
      <c r="PKT1" s="615"/>
      <c r="PKU1" s="615"/>
      <c r="PKV1" s="615"/>
      <c r="PKW1" s="615"/>
      <c r="PKX1" s="615"/>
      <c r="PKY1" s="615"/>
      <c r="PKZ1" s="615"/>
      <c r="PLA1" s="615"/>
      <c r="PLB1" s="615"/>
      <c r="PLC1" s="615"/>
      <c r="PLD1" s="615"/>
      <c r="PLE1" s="615"/>
      <c r="PLF1" s="615"/>
      <c r="PLG1" s="615"/>
      <c r="PLH1" s="615"/>
      <c r="PLI1" s="615"/>
      <c r="PLJ1" s="615"/>
      <c r="PLK1" s="615"/>
      <c r="PLL1" s="615"/>
      <c r="PLM1" s="615"/>
      <c r="PLN1" s="615"/>
      <c r="PLO1" s="615"/>
      <c r="PLP1" s="615"/>
      <c r="PLQ1" s="615"/>
      <c r="PLR1" s="615"/>
      <c r="PLS1" s="615"/>
      <c r="PLT1" s="615"/>
      <c r="PLU1" s="615"/>
      <c r="PLV1" s="615"/>
      <c r="PLW1" s="615"/>
      <c r="PLX1" s="615"/>
      <c r="PLY1" s="615"/>
      <c r="PLZ1" s="615"/>
      <c r="PMA1" s="615"/>
      <c r="PMB1" s="615"/>
      <c r="PMC1" s="615"/>
      <c r="PMD1" s="615"/>
      <c r="PME1" s="615"/>
      <c r="PMF1" s="615"/>
      <c r="PMG1" s="615"/>
      <c r="PMH1" s="615"/>
      <c r="PMI1" s="615"/>
      <c r="PMJ1" s="615"/>
      <c r="PMK1" s="615"/>
      <c r="PML1" s="615"/>
      <c r="PMM1" s="615"/>
      <c r="PMN1" s="615"/>
      <c r="PMO1" s="615"/>
      <c r="PMP1" s="615"/>
      <c r="PMQ1" s="615"/>
      <c r="PMR1" s="615"/>
      <c r="PMS1" s="615"/>
      <c r="PMT1" s="615"/>
      <c r="PMU1" s="615"/>
      <c r="PMV1" s="615"/>
      <c r="PMW1" s="615"/>
      <c r="PMX1" s="615"/>
      <c r="PMY1" s="615"/>
      <c r="PMZ1" s="615"/>
      <c r="PNA1" s="615"/>
      <c r="PNB1" s="615"/>
      <c r="PNC1" s="615"/>
      <c r="PND1" s="615"/>
      <c r="PNE1" s="615"/>
      <c r="PNF1" s="615"/>
      <c r="PNG1" s="615"/>
      <c r="PNH1" s="615"/>
      <c r="PNI1" s="615"/>
      <c r="PNJ1" s="615"/>
      <c r="PNK1" s="615"/>
      <c r="PNL1" s="615"/>
      <c r="PNM1" s="615"/>
      <c r="PNN1" s="615"/>
      <c r="PNO1" s="615"/>
      <c r="PNP1" s="615"/>
      <c r="PNQ1" s="615"/>
      <c r="PNR1" s="615"/>
      <c r="PNS1" s="615"/>
      <c r="PNT1" s="615"/>
      <c r="PNU1" s="615"/>
      <c r="PNV1" s="615"/>
      <c r="PNW1" s="615"/>
      <c r="PNX1" s="615"/>
      <c r="PNY1" s="615"/>
      <c r="PNZ1" s="615"/>
      <c r="POA1" s="615"/>
      <c r="POB1" s="615"/>
      <c r="POC1" s="615"/>
      <c r="POD1" s="615"/>
      <c r="POE1" s="615"/>
      <c r="POF1" s="615"/>
      <c r="POG1" s="615"/>
      <c r="POH1" s="615"/>
      <c r="POI1" s="615"/>
      <c r="POJ1" s="615"/>
      <c r="POK1" s="615"/>
      <c r="POL1" s="615"/>
      <c r="POM1" s="615"/>
      <c r="PON1" s="615"/>
      <c r="POO1" s="615"/>
      <c r="POP1" s="615"/>
      <c r="POQ1" s="615"/>
      <c r="POR1" s="615"/>
      <c r="POS1" s="615"/>
      <c r="POT1" s="615"/>
      <c r="POU1" s="615"/>
      <c r="POV1" s="615"/>
      <c r="POW1" s="615"/>
      <c r="POX1" s="615"/>
      <c r="POY1" s="615"/>
      <c r="POZ1" s="615"/>
      <c r="PPA1" s="615"/>
      <c r="PPB1" s="615"/>
      <c r="PPC1" s="615"/>
      <c r="PPD1" s="615"/>
      <c r="PPE1" s="615"/>
      <c r="PPF1" s="615"/>
      <c r="PPG1" s="615"/>
      <c r="PPH1" s="615"/>
      <c r="PPI1" s="615"/>
      <c r="PPJ1" s="615"/>
      <c r="PPK1" s="615"/>
      <c r="PPL1" s="615"/>
      <c r="PPM1" s="615"/>
      <c r="PPN1" s="615"/>
      <c r="PPO1" s="615"/>
      <c r="PPP1" s="615"/>
      <c r="PPQ1" s="615"/>
      <c r="PPR1" s="615"/>
      <c r="PPS1" s="615"/>
      <c r="PPT1" s="615"/>
      <c r="PPU1" s="615"/>
      <c r="PPV1" s="615"/>
      <c r="PPW1" s="615"/>
      <c r="PPX1" s="615"/>
      <c r="PPY1" s="615"/>
      <c r="PPZ1" s="615"/>
      <c r="PQA1" s="615"/>
      <c r="PQB1" s="615"/>
      <c r="PQC1" s="615"/>
      <c r="PQD1" s="615"/>
      <c r="PQE1" s="615"/>
      <c r="PQF1" s="615"/>
      <c r="PQG1" s="615"/>
      <c r="PQH1" s="615"/>
      <c r="PQI1" s="615"/>
      <c r="PQJ1" s="615"/>
      <c r="PQK1" s="615"/>
      <c r="PQL1" s="615"/>
      <c r="PQM1" s="615"/>
      <c r="PQN1" s="615"/>
      <c r="PQO1" s="615"/>
      <c r="PQP1" s="615"/>
      <c r="PQQ1" s="615"/>
      <c r="PQR1" s="615"/>
      <c r="PQS1" s="615"/>
      <c r="PQT1" s="615"/>
      <c r="PQU1" s="615"/>
      <c r="PQV1" s="615"/>
      <c r="PQW1" s="615"/>
      <c r="PQX1" s="615"/>
      <c r="PQY1" s="615"/>
      <c r="PQZ1" s="615"/>
      <c r="PRA1" s="615"/>
      <c r="PRB1" s="615"/>
      <c r="PRC1" s="615"/>
      <c r="PRD1" s="615"/>
      <c r="PRE1" s="615"/>
      <c r="PRF1" s="615"/>
      <c r="PRG1" s="615"/>
      <c r="PRH1" s="615"/>
      <c r="PRI1" s="615"/>
      <c r="PRJ1" s="615"/>
      <c r="PRK1" s="615"/>
      <c r="PRL1" s="615"/>
      <c r="PRM1" s="615"/>
      <c r="PRN1" s="615"/>
      <c r="PRO1" s="615"/>
      <c r="PRP1" s="615"/>
      <c r="PRQ1" s="615"/>
      <c r="PRR1" s="615"/>
      <c r="PRS1" s="615"/>
      <c r="PRT1" s="615"/>
      <c r="PRU1" s="615"/>
      <c r="PRV1" s="615"/>
      <c r="PRW1" s="615"/>
      <c r="PRX1" s="615"/>
      <c r="PRY1" s="615"/>
      <c r="PRZ1" s="615"/>
      <c r="PSA1" s="615"/>
      <c r="PSB1" s="615"/>
      <c r="PSC1" s="615"/>
      <c r="PSD1" s="615"/>
      <c r="PSE1" s="615"/>
      <c r="PSF1" s="615"/>
      <c r="PSG1" s="615"/>
      <c r="PSH1" s="615"/>
      <c r="PSI1" s="615"/>
      <c r="PSJ1" s="615"/>
      <c r="PSK1" s="615"/>
      <c r="PSL1" s="615"/>
      <c r="PSM1" s="615"/>
      <c r="PSN1" s="615"/>
      <c r="PSO1" s="615"/>
      <c r="PSP1" s="615"/>
      <c r="PSQ1" s="615"/>
      <c r="PSR1" s="615"/>
      <c r="PSS1" s="615"/>
      <c r="PST1" s="615"/>
      <c r="PSU1" s="615"/>
      <c r="PSV1" s="615"/>
      <c r="PSW1" s="615"/>
      <c r="PSX1" s="615"/>
      <c r="PSY1" s="615"/>
      <c r="PSZ1" s="615"/>
      <c r="PTA1" s="615"/>
      <c r="PTB1" s="615"/>
      <c r="PTC1" s="615"/>
      <c r="PTD1" s="615"/>
      <c r="PTE1" s="615"/>
      <c r="PTF1" s="615"/>
      <c r="PTG1" s="615"/>
      <c r="PTH1" s="615"/>
      <c r="PTI1" s="615"/>
      <c r="PTJ1" s="615"/>
      <c r="PTK1" s="615"/>
      <c r="PTL1" s="615"/>
      <c r="PTM1" s="615"/>
      <c r="PTN1" s="615"/>
      <c r="PTO1" s="615"/>
      <c r="PTP1" s="615"/>
      <c r="PTQ1" s="615"/>
      <c r="PTR1" s="615"/>
      <c r="PTS1" s="615"/>
      <c r="PTT1" s="615"/>
      <c r="PTU1" s="615"/>
      <c r="PTV1" s="615"/>
      <c r="PTW1" s="615"/>
      <c r="PTX1" s="615"/>
      <c r="PTY1" s="615"/>
      <c r="PTZ1" s="615"/>
      <c r="PUA1" s="615"/>
      <c r="PUB1" s="615"/>
      <c r="PUC1" s="615"/>
      <c r="PUD1" s="615"/>
      <c r="PUE1" s="615"/>
      <c r="PUF1" s="615"/>
      <c r="PUG1" s="615"/>
      <c r="PUH1" s="615"/>
      <c r="PUI1" s="615"/>
      <c r="PUJ1" s="615"/>
      <c r="PUK1" s="615"/>
      <c r="PUL1" s="615"/>
      <c r="PUM1" s="615"/>
      <c r="PUN1" s="615"/>
      <c r="PUO1" s="615"/>
      <c r="PUP1" s="615"/>
      <c r="PUQ1" s="615"/>
      <c r="PUR1" s="615"/>
      <c r="PUS1" s="615"/>
      <c r="PUT1" s="615"/>
      <c r="PUU1" s="615"/>
      <c r="PUV1" s="615"/>
      <c r="PUW1" s="615"/>
      <c r="PUX1" s="615"/>
      <c r="PUY1" s="615"/>
      <c r="PUZ1" s="615"/>
      <c r="PVA1" s="615"/>
      <c r="PVB1" s="615"/>
      <c r="PVC1" s="615"/>
      <c r="PVD1" s="615"/>
      <c r="PVE1" s="615"/>
      <c r="PVF1" s="615"/>
      <c r="PVG1" s="615"/>
      <c r="PVH1" s="615"/>
      <c r="PVI1" s="615"/>
      <c r="PVJ1" s="615"/>
      <c r="PVK1" s="615"/>
      <c r="PVL1" s="615"/>
      <c r="PVM1" s="615"/>
      <c r="PVN1" s="615"/>
      <c r="PVO1" s="615"/>
      <c r="PVP1" s="615"/>
      <c r="PVQ1" s="615"/>
      <c r="PVR1" s="615"/>
      <c r="PVS1" s="615"/>
      <c r="PVT1" s="615"/>
      <c r="PVU1" s="615"/>
      <c r="PVV1" s="615"/>
      <c r="PVW1" s="615"/>
      <c r="PVX1" s="615"/>
      <c r="PVY1" s="615"/>
      <c r="PVZ1" s="615"/>
      <c r="PWA1" s="615"/>
      <c r="PWB1" s="615"/>
      <c r="PWC1" s="615"/>
      <c r="PWD1" s="615"/>
      <c r="PWE1" s="615"/>
      <c r="PWF1" s="615"/>
      <c r="PWG1" s="615"/>
      <c r="PWH1" s="615"/>
      <c r="PWI1" s="615"/>
      <c r="PWJ1" s="615"/>
      <c r="PWK1" s="615"/>
      <c r="PWL1" s="615"/>
      <c r="PWM1" s="615"/>
      <c r="PWN1" s="615"/>
      <c r="PWO1" s="615"/>
      <c r="PWP1" s="615"/>
      <c r="PWQ1" s="615"/>
      <c r="PWR1" s="615"/>
      <c r="PWS1" s="615"/>
      <c r="PWT1" s="615"/>
      <c r="PWU1" s="615"/>
      <c r="PWV1" s="615"/>
      <c r="PWW1" s="615"/>
      <c r="PWX1" s="615"/>
      <c r="PWY1" s="615"/>
      <c r="PWZ1" s="615"/>
      <c r="PXA1" s="615"/>
      <c r="PXB1" s="615"/>
      <c r="PXC1" s="615"/>
      <c r="PXD1" s="615"/>
      <c r="PXE1" s="615"/>
      <c r="PXF1" s="615"/>
      <c r="PXG1" s="615"/>
      <c r="PXH1" s="615"/>
      <c r="PXI1" s="615"/>
      <c r="PXJ1" s="615"/>
      <c r="PXK1" s="615"/>
      <c r="PXL1" s="615"/>
      <c r="PXM1" s="615"/>
      <c r="PXN1" s="615"/>
      <c r="PXO1" s="615"/>
      <c r="PXP1" s="615"/>
      <c r="PXQ1" s="615"/>
      <c r="PXR1" s="615"/>
      <c r="PXS1" s="615"/>
      <c r="PXT1" s="615"/>
      <c r="PXU1" s="615"/>
      <c r="PXV1" s="615"/>
      <c r="PXW1" s="615"/>
      <c r="PXX1" s="615"/>
      <c r="PXY1" s="615"/>
      <c r="PXZ1" s="615"/>
      <c r="PYA1" s="615"/>
      <c r="PYB1" s="615"/>
      <c r="PYC1" s="615"/>
      <c r="PYD1" s="615"/>
      <c r="PYE1" s="615"/>
      <c r="PYF1" s="615"/>
      <c r="PYG1" s="615"/>
      <c r="PYH1" s="615"/>
      <c r="PYI1" s="615"/>
      <c r="PYJ1" s="615"/>
      <c r="PYK1" s="615"/>
      <c r="PYL1" s="615"/>
      <c r="PYM1" s="615"/>
      <c r="PYN1" s="615"/>
      <c r="PYO1" s="615"/>
      <c r="PYP1" s="615"/>
      <c r="PYQ1" s="615"/>
      <c r="PYR1" s="615"/>
      <c r="PYS1" s="615"/>
      <c r="PYT1" s="615"/>
      <c r="PYU1" s="615"/>
      <c r="PYV1" s="615"/>
      <c r="PYW1" s="615"/>
      <c r="PYX1" s="615"/>
      <c r="PYY1" s="615"/>
      <c r="PYZ1" s="615"/>
      <c r="PZA1" s="615"/>
      <c r="PZB1" s="615"/>
      <c r="PZC1" s="615"/>
      <c r="PZD1" s="615"/>
      <c r="PZE1" s="615"/>
      <c r="PZF1" s="615"/>
      <c r="PZG1" s="615"/>
      <c r="PZH1" s="615"/>
      <c r="PZI1" s="615"/>
      <c r="PZJ1" s="615"/>
      <c r="PZK1" s="615"/>
      <c r="PZL1" s="615"/>
      <c r="PZM1" s="615"/>
      <c r="PZN1" s="615"/>
      <c r="PZO1" s="615"/>
      <c r="PZP1" s="615"/>
      <c r="PZQ1" s="615"/>
      <c r="PZR1" s="615"/>
      <c r="PZS1" s="615"/>
      <c r="PZT1" s="615"/>
      <c r="PZU1" s="615"/>
      <c r="PZV1" s="615"/>
      <c r="PZW1" s="615"/>
      <c r="PZX1" s="615"/>
      <c r="PZY1" s="615"/>
      <c r="PZZ1" s="615"/>
      <c r="QAA1" s="615"/>
      <c r="QAB1" s="615"/>
      <c r="QAC1" s="615"/>
      <c r="QAD1" s="615"/>
      <c r="QAE1" s="615"/>
      <c r="QAF1" s="615"/>
      <c r="QAG1" s="615"/>
      <c r="QAH1" s="615"/>
      <c r="QAI1" s="615"/>
      <c r="QAJ1" s="615"/>
      <c r="QAK1" s="615"/>
      <c r="QAL1" s="615"/>
      <c r="QAM1" s="615"/>
      <c r="QAN1" s="615"/>
      <c r="QAO1" s="615"/>
      <c r="QAP1" s="615"/>
      <c r="QAQ1" s="615"/>
      <c r="QAR1" s="615"/>
      <c r="QAS1" s="615"/>
      <c r="QAT1" s="615"/>
      <c r="QAU1" s="615"/>
      <c r="QAV1" s="615"/>
      <c r="QAW1" s="615"/>
      <c r="QAX1" s="615"/>
      <c r="QAY1" s="615"/>
      <c r="QAZ1" s="615"/>
      <c r="QBA1" s="615"/>
      <c r="QBB1" s="615"/>
      <c r="QBC1" s="615"/>
      <c r="QBD1" s="615"/>
      <c r="QBE1" s="615"/>
      <c r="QBF1" s="615"/>
      <c r="QBG1" s="615"/>
      <c r="QBH1" s="615"/>
      <c r="QBI1" s="615"/>
      <c r="QBJ1" s="615"/>
      <c r="QBK1" s="615"/>
      <c r="QBL1" s="615"/>
      <c r="QBM1" s="615"/>
      <c r="QBN1" s="615"/>
      <c r="QBO1" s="615"/>
      <c r="QBP1" s="615"/>
      <c r="QBQ1" s="615"/>
      <c r="QBR1" s="615"/>
      <c r="QBS1" s="615"/>
      <c r="QBT1" s="615"/>
      <c r="QBU1" s="615"/>
      <c r="QBV1" s="615"/>
      <c r="QBW1" s="615"/>
      <c r="QBX1" s="615"/>
      <c r="QBY1" s="615"/>
      <c r="QBZ1" s="615"/>
      <c r="QCA1" s="615"/>
      <c r="QCB1" s="615"/>
      <c r="QCC1" s="615"/>
      <c r="QCD1" s="615"/>
      <c r="QCE1" s="615"/>
      <c r="QCF1" s="615"/>
      <c r="QCG1" s="615"/>
      <c r="QCH1" s="615"/>
      <c r="QCI1" s="615"/>
      <c r="QCJ1" s="615"/>
      <c r="QCK1" s="615"/>
      <c r="QCL1" s="615"/>
      <c r="QCM1" s="615"/>
      <c r="QCN1" s="615"/>
      <c r="QCO1" s="615"/>
      <c r="QCP1" s="615"/>
      <c r="QCQ1" s="615"/>
      <c r="QCR1" s="615"/>
      <c r="QCS1" s="615"/>
      <c r="QCT1" s="615"/>
      <c r="QCU1" s="615"/>
      <c r="QCV1" s="615"/>
      <c r="QCW1" s="615"/>
      <c r="QCX1" s="615"/>
      <c r="QCY1" s="615"/>
      <c r="QCZ1" s="615"/>
      <c r="QDA1" s="615"/>
      <c r="QDB1" s="615"/>
      <c r="QDC1" s="615"/>
      <c r="QDD1" s="615"/>
      <c r="QDE1" s="615"/>
      <c r="QDF1" s="615"/>
      <c r="QDG1" s="615"/>
      <c r="QDH1" s="615"/>
      <c r="QDI1" s="615"/>
      <c r="QDJ1" s="615"/>
      <c r="QDK1" s="615"/>
      <c r="QDL1" s="615"/>
      <c r="QDM1" s="615"/>
      <c r="QDN1" s="615"/>
      <c r="QDO1" s="615"/>
      <c r="QDP1" s="615"/>
      <c r="QDQ1" s="615"/>
      <c r="QDR1" s="615"/>
      <c r="QDS1" s="615"/>
      <c r="QDT1" s="615"/>
      <c r="QDU1" s="615"/>
      <c r="QDV1" s="615"/>
      <c r="QDW1" s="615"/>
      <c r="QDX1" s="615"/>
      <c r="QDY1" s="615"/>
      <c r="QDZ1" s="615"/>
      <c r="QEA1" s="615"/>
      <c r="QEB1" s="615"/>
      <c r="QEC1" s="615"/>
      <c r="QED1" s="615"/>
      <c r="QEE1" s="615"/>
      <c r="QEF1" s="615"/>
      <c r="QEG1" s="615"/>
      <c r="QEH1" s="615"/>
      <c r="QEI1" s="615"/>
      <c r="QEJ1" s="615"/>
      <c r="QEK1" s="615"/>
      <c r="QEL1" s="615"/>
      <c r="QEM1" s="615"/>
      <c r="QEN1" s="615"/>
      <c r="QEO1" s="615"/>
      <c r="QEP1" s="615"/>
      <c r="QEQ1" s="615"/>
      <c r="QER1" s="615"/>
      <c r="QES1" s="615"/>
      <c r="QET1" s="615"/>
      <c r="QEU1" s="615"/>
      <c r="QEV1" s="615"/>
      <c r="QEW1" s="615"/>
      <c r="QEX1" s="615"/>
      <c r="QEY1" s="615"/>
      <c r="QEZ1" s="615"/>
      <c r="QFA1" s="615"/>
      <c r="QFB1" s="615"/>
      <c r="QFC1" s="615"/>
      <c r="QFD1" s="615"/>
      <c r="QFE1" s="615"/>
      <c r="QFF1" s="615"/>
      <c r="QFG1" s="615"/>
      <c r="QFH1" s="615"/>
      <c r="QFI1" s="615"/>
      <c r="QFJ1" s="615"/>
      <c r="QFK1" s="615"/>
      <c r="QFL1" s="615"/>
      <c r="QFM1" s="615"/>
      <c r="QFN1" s="615"/>
      <c r="QFO1" s="615"/>
      <c r="QFP1" s="615"/>
      <c r="QFQ1" s="615"/>
      <c r="QFR1" s="615"/>
      <c r="QFS1" s="615"/>
      <c r="QFT1" s="615"/>
      <c r="QFU1" s="615"/>
      <c r="QFV1" s="615"/>
      <c r="QFW1" s="615"/>
      <c r="QFX1" s="615"/>
      <c r="QFY1" s="615"/>
      <c r="QFZ1" s="615"/>
      <c r="QGA1" s="615"/>
      <c r="QGB1" s="615"/>
      <c r="QGC1" s="615"/>
      <c r="QGD1" s="615"/>
      <c r="QGE1" s="615"/>
      <c r="QGF1" s="615"/>
      <c r="QGG1" s="615"/>
      <c r="QGH1" s="615"/>
      <c r="QGI1" s="615"/>
      <c r="QGJ1" s="615"/>
      <c r="QGK1" s="615"/>
      <c r="QGL1" s="615"/>
      <c r="QGM1" s="615"/>
      <c r="QGN1" s="615"/>
      <c r="QGO1" s="615"/>
      <c r="QGP1" s="615"/>
      <c r="QGQ1" s="615"/>
      <c r="QGR1" s="615"/>
      <c r="QGS1" s="615"/>
      <c r="QGT1" s="615"/>
      <c r="QGU1" s="615"/>
      <c r="QGV1" s="615"/>
      <c r="QGW1" s="615"/>
      <c r="QGX1" s="615"/>
      <c r="QGY1" s="615"/>
      <c r="QGZ1" s="615"/>
      <c r="QHA1" s="615"/>
      <c r="QHB1" s="615"/>
      <c r="QHC1" s="615"/>
      <c r="QHD1" s="615"/>
      <c r="QHE1" s="615"/>
      <c r="QHF1" s="615"/>
      <c r="QHG1" s="615"/>
      <c r="QHH1" s="615"/>
      <c r="QHI1" s="615"/>
      <c r="QHJ1" s="615"/>
      <c r="QHK1" s="615"/>
      <c r="QHL1" s="615"/>
      <c r="QHM1" s="615"/>
      <c r="QHN1" s="615"/>
      <c r="QHO1" s="615"/>
      <c r="QHP1" s="615"/>
      <c r="QHQ1" s="615"/>
      <c r="QHR1" s="615"/>
      <c r="QHS1" s="615"/>
      <c r="QHT1" s="615"/>
      <c r="QHU1" s="615"/>
      <c r="QHV1" s="615"/>
      <c r="QHW1" s="615"/>
      <c r="QHX1" s="615"/>
      <c r="QHY1" s="615"/>
      <c r="QHZ1" s="615"/>
      <c r="QIA1" s="615"/>
      <c r="QIB1" s="615"/>
      <c r="QIC1" s="615"/>
      <c r="QID1" s="615"/>
      <c r="QIE1" s="615"/>
      <c r="QIF1" s="615"/>
      <c r="QIG1" s="615"/>
      <c r="QIH1" s="615"/>
      <c r="QII1" s="615"/>
      <c r="QIJ1" s="615"/>
      <c r="QIK1" s="615"/>
      <c r="QIL1" s="615"/>
      <c r="QIM1" s="615"/>
      <c r="QIN1" s="615"/>
      <c r="QIO1" s="615"/>
      <c r="QIP1" s="615"/>
      <c r="QIQ1" s="615"/>
      <c r="QIR1" s="615"/>
      <c r="QIS1" s="615"/>
      <c r="QIT1" s="615"/>
      <c r="QIU1" s="615"/>
      <c r="QIV1" s="615"/>
      <c r="QIW1" s="615"/>
      <c r="QIX1" s="615"/>
      <c r="QIY1" s="615"/>
      <c r="QIZ1" s="615"/>
      <c r="QJA1" s="615"/>
      <c r="QJB1" s="615"/>
      <c r="QJC1" s="615"/>
      <c r="QJD1" s="615"/>
      <c r="QJE1" s="615"/>
      <c r="QJF1" s="615"/>
      <c r="QJG1" s="615"/>
      <c r="QJH1" s="615"/>
      <c r="QJI1" s="615"/>
      <c r="QJJ1" s="615"/>
      <c r="QJK1" s="615"/>
      <c r="QJL1" s="615"/>
      <c r="QJM1" s="615"/>
      <c r="QJN1" s="615"/>
      <c r="QJO1" s="615"/>
      <c r="QJP1" s="615"/>
      <c r="QJQ1" s="615"/>
      <c r="QJR1" s="615"/>
      <c r="QJS1" s="615"/>
      <c r="QJT1" s="615"/>
      <c r="QJU1" s="615"/>
      <c r="QJV1" s="615"/>
      <c r="QJW1" s="615"/>
      <c r="QJX1" s="615"/>
      <c r="QJY1" s="615"/>
      <c r="QJZ1" s="615"/>
      <c r="QKA1" s="615"/>
      <c r="QKB1" s="615"/>
      <c r="QKC1" s="615"/>
      <c r="QKD1" s="615"/>
      <c r="QKE1" s="615"/>
      <c r="QKF1" s="615"/>
      <c r="QKG1" s="615"/>
      <c r="QKH1" s="615"/>
      <c r="QKI1" s="615"/>
      <c r="QKJ1" s="615"/>
      <c r="QKK1" s="615"/>
      <c r="QKL1" s="615"/>
      <c r="QKM1" s="615"/>
      <c r="QKN1" s="615"/>
      <c r="QKO1" s="615"/>
      <c r="QKP1" s="615"/>
      <c r="QKQ1" s="615"/>
      <c r="QKR1" s="615"/>
      <c r="QKS1" s="615"/>
      <c r="QKT1" s="615"/>
      <c r="QKU1" s="615"/>
      <c r="QKV1" s="615"/>
      <c r="QKW1" s="615"/>
      <c r="QKX1" s="615"/>
      <c r="QKY1" s="615"/>
      <c r="QKZ1" s="615"/>
      <c r="QLA1" s="615"/>
      <c r="QLB1" s="615"/>
      <c r="QLC1" s="615"/>
      <c r="QLD1" s="615"/>
      <c r="QLE1" s="615"/>
      <c r="QLF1" s="615"/>
      <c r="QLG1" s="615"/>
      <c r="QLH1" s="615"/>
      <c r="QLI1" s="615"/>
      <c r="QLJ1" s="615"/>
      <c r="QLK1" s="615"/>
      <c r="QLL1" s="615"/>
      <c r="QLM1" s="615"/>
      <c r="QLN1" s="615"/>
      <c r="QLO1" s="615"/>
      <c r="QLP1" s="615"/>
      <c r="QLQ1" s="615"/>
      <c r="QLR1" s="615"/>
      <c r="QLS1" s="615"/>
      <c r="QLT1" s="615"/>
      <c r="QLU1" s="615"/>
      <c r="QLV1" s="615"/>
      <c r="QLW1" s="615"/>
      <c r="QLX1" s="615"/>
      <c r="QLY1" s="615"/>
      <c r="QLZ1" s="615"/>
      <c r="QMA1" s="615"/>
      <c r="QMB1" s="615"/>
      <c r="QMC1" s="615"/>
      <c r="QMD1" s="615"/>
      <c r="QME1" s="615"/>
      <c r="QMF1" s="615"/>
      <c r="QMG1" s="615"/>
      <c r="QMH1" s="615"/>
      <c r="QMI1" s="615"/>
      <c r="QMJ1" s="615"/>
      <c r="QMK1" s="615"/>
      <c r="QML1" s="615"/>
      <c r="QMM1" s="615"/>
      <c r="QMN1" s="615"/>
      <c r="QMO1" s="615"/>
      <c r="QMP1" s="615"/>
      <c r="QMQ1" s="615"/>
      <c r="QMR1" s="615"/>
      <c r="QMS1" s="615"/>
      <c r="QMT1" s="615"/>
      <c r="QMU1" s="615"/>
      <c r="QMV1" s="615"/>
      <c r="QMW1" s="615"/>
      <c r="QMX1" s="615"/>
      <c r="QMY1" s="615"/>
      <c r="QMZ1" s="615"/>
      <c r="QNA1" s="615"/>
      <c r="QNB1" s="615"/>
      <c r="QNC1" s="615"/>
      <c r="QND1" s="615"/>
      <c r="QNE1" s="615"/>
      <c r="QNF1" s="615"/>
      <c r="QNG1" s="615"/>
      <c r="QNH1" s="615"/>
      <c r="QNI1" s="615"/>
      <c r="QNJ1" s="615"/>
      <c r="QNK1" s="615"/>
      <c r="QNL1" s="615"/>
      <c r="QNM1" s="615"/>
      <c r="QNN1" s="615"/>
      <c r="QNO1" s="615"/>
      <c r="QNP1" s="615"/>
      <c r="QNQ1" s="615"/>
      <c r="QNR1" s="615"/>
      <c r="QNS1" s="615"/>
      <c r="QNT1" s="615"/>
      <c r="QNU1" s="615"/>
      <c r="QNV1" s="615"/>
      <c r="QNW1" s="615"/>
      <c r="QNX1" s="615"/>
      <c r="QNY1" s="615"/>
      <c r="QNZ1" s="615"/>
      <c r="QOA1" s="615"/>
      <c r="QOB1" s="615"/>
      <c r="QOC1" s="615"/>
      <c r="QOD1" s="615"/>
      <c r="QOE1" s="615"/>
      <c r="QOF1" s="615"/>
      <c r="QOG1" s="615"/>
      <c r="QOH1" s="615"/>
      <c r="QOI1" s="615"/>
      <c r="QOJ1" s="615"/>
      <c r="QOK1" s="615"/>
      <c r="QOL1" s="615"/>
      <c r="QOM1" s="615"/>
      <c r="QON1" s="615"/>
      <c r="QOO1" s="615"/>
      <c r="QOP1" s="615"/>
      <c r="QOQ1" s="615"/>
      <c r="QOR1" s="615"/>
      <c r="QOS1" s="615"/>
      <c r="QOT1" s="615"/>
      <c r="QOU1" s="615"/>
      <c r="QOV1" s="615"/>
      <c r="QOW1" s="615"/>
      <c r="QOX1" s="615"/>
      <c r="QOY1" s="615"/>
      <c r="QOZ1" s="615"/>
      <c r="QPA1" s="615"/>
      <c r="QPB1" s="615"/>
      <c r="QPC1" s="615"/>
      <c r="QPD1" s="615"/>
      <c r="QPE1" s="615"/>
      <c r="QPF1" s="615"/>
      <c r="QPG1" s="615"/>
      <c r="QPH1" s="615"/>
      <c r="QPI1" s="615"/>
      <c r="QPJ1" s="615"/>
      <c r="QPK1" s="615"/>
      <c r="QPL1" s="615"/>
      <c r="QPM1" s="615"/>
      <c r="QPN1" s="615"/>
      <c r="QPO1" s="615"/>
      <c r="QPP1" s="615"/>
      <c r="QPQ1" s="615"/>
      <c r="QPR1" s="615"/>
      <c r="QPS1" s="615"/>
      <c r="QPT1" s="615"/>
      <c r="QPU1" s="615"/>
      <c r="QPV1" s="615"/>
      <c r="QPW1" s="615"/>
      <c r="QPX1" s="615"/>
      <c r="QPY1" s="615"/>
      <c r="QPZ1" s="615"/>
      <c r="QQA1" s="615"/>
      <c r="QQB1" s="615"/>
      <c r="QQC1" s="615"/>
      <c r="QQD1" s="615"/>
      <c r="QQE1" s="615"/>
      <c r="QQF1" s="615"/>
      <c r="QQG1" s="615"/>
      <c r="QQH1" s="615"/>
      <c r="QQI1" s="615"/>
      <c r="QQJ1" s="615"/>
      <c r="QQK1" s="615"/>
      <c r="QQL1" s="615"/>
      <c r="QQM1" s="615"/>
      <c r="QQN1" s="615"/>
      <c r="QQO1" s="615"/>
      <c r="QQP1" s="615"/>
      <c r="QQQ1" s="615"/>
      <c r="QQR1" s="615"/>
      <c r="QQS1" s="615"/>
      <c r="QQT1" s="615"/>
      <c r="QQU1" s="615"/>
      <c r="QQV1" s="615"/>
      <c r="QQW1" s="615"/>
      <c r="QQX1" s="615"/>
      <c r="QQY1" s="615"/>
      <c r="QQZ1" s="615"/>
      <c r="QRA1" s="615"/>
      <c r="QRB1" s="615"/>
      <c r="QRC1" s="615"/>
      <c r="QRD1" s="615"/>
      <c r="QRE1" s="615"/>
      <c r="QRF1" s="615"/>
      <c r="QRG1" s="615"/>
      <c r="QRH1" s="615"/>
      <c r="QRI1" s="615"/>
      <c r="QRJ1" s="615"/>
      <c r="QRK1" s="615"/>
      <c r="QRL1" s="615"/>
      <c r="QRM1" s="615"/>
      <c r="QRN1" s="615"/>
      <c r="QRO1" s="615"/>
      <c r="QRP1" s="615"/>
      <c r="QRQ1" s="615"/>
      <c r="QRR1" s="615"/>
      <c r="QRS1" s="615"/>
      <c r="QRT1" s="615"/>
      <c r="QRU1" s="615"/>
      <c r="QRV1" s="615"/>
      <c r="QRW1" s="615"/>
      <c r="QRX1" s="615"/>
      <c r="QRY1" s="615"/>
      <c r="QRZ1" s="615"/>
      <c r="QSA1" s="615"/>
      <c r="QSB1" s="615"/>
      <c r="QSC1" s="615"/>
      <c r="QSD1" s="615"/>
      <c r="QSE1" s="615"/>
      <c r="QSF1" s="615"/>
      <c r="QSG1" s="615"/>
      <c r="QSH1" s="615"/>
      <c r="QSI1" s="615"/>
      <c r="QSJ1" s="615"/>
      <c r="QSK1" s="615"/>
      <c r="QSL1" s="615"/>
      <c r="QSM1" s="615"/>
      <c r="QSN1" s="615"/>
      <c r="QSO1" s="615"/>
      <c r="QSP1" s="615"/>
      <c r="QSQ1" s="615"/>
      <c r="QSR1" s="615"/>
      <c r="QSS1" s="615"/>
      <c r="QST1" s="615"/>
      <c r="QSU1" s="615"/>
      <c r="QSV1" s="615"/>
      <c r="QSW1" s="615"/>
      <c r="QSX1" s="615"/>
      <c r="QSY1" s="615"/>
      <c r="QSZ1" s="615"/>
      <c r="QTA1" s="615"/>
      <c r="QTB1" s="615"/>
      <c r="QTC1" s="615"/>
      <c r="QTD1" s="615"/>
      <c r="QTE1" s="615"/>
      <c r="QTF1" s="615"/>
      <c r="QTG1" s="615"/>
      <c r="QTH1" s="615"/>
      <c r="QTI1" s="615"/>
      <c r="QTJ1" s="615"/>
      <c r="QTK1" s="615"/>
      <c r="QTL1" s="615"/>
      <c r="QTM1" s="615"/>
      <c r="QTN1" s="615"/>
      <c r="QTO1" s="615"/>
      <c r="QTP1" s="615"/>
      <c r="QTQ1" s="615"/>
      <c r="QTR1" s="615"/>
      <c r="QTS1" s="615"/>
      <c r="QTT1" s="615"/>
      <c r="QTU1" s="615"/>
      <c r="QTV1" s="615"/>
      <c r="QTW1" s="615"/>
      <c r="QTX1" s="615"/>
      <c r="QTY1" s="615"/>
      <c r="QTZ1" s="615"/>
      <c r="QUA1" s="615"/>
      <c r="QUB1" s="615"/>
      <c r="QUC1" s="615"/>
      <c r="QUD1" s="615"/>
      <c r="QUE1" s="615"/>
      <c r="QUF1" s="615"/>
      <c r="QUG1" s="615"/>
      <c r="QUH1" s="615"/>
      <c r="QUI1" s="615"/>
      <c r="QUJ1" s="615"/>
      <c r="QUK1" s="615"/>
      <c r="QUL1" s="615"/>
      <c r="QUM1" s="615"/>
      <c r="QUN1" s="615"/>
      <c r="QUO1" s="615"/>
      <c r="QUP1" s="615"/>
      <c r="QUQ1" s="615"/>
      <c r="QUR1" s="615"/>
      <c r="QUS1" s="615"/>
      <c r="QUT1" s="615"/>
      <c r="QUU1" s="615"/>
      <c r="QUV1" s="615"/>
      <c r="QUW1" s="615"/>
      <c r="QUX1" s="615"/>
      <c r="QUY1" s="615"/>
      <c r="QUZ1" s="615"/>
      <c r="QVA1" s="615"/>
      <c r="QVB1" s="615"/>
      <c r="QVC1" s="615"/>
      <c r="QVD1" s="615"/>
      <c r="QVE1" s="615"/>
      <c r="QVF1" s="615"/>
      <c r="QVG1" s="615"/>
      <c r="QVH1" s="615"/>
      <c r="QVI1" s="615"/>
      <c r="QVJ1" s="615"/>
      <c r="QVK1" s="615"/>
      <c r="QVL1" s="615"/>
      <c r="QVM1" s="615"/>
      <c r="QVN1" s="615"/>
      <c r="QVO1" s="615"/>
      <c r="QVP1" s="615"/>
      <c r="QVQ1" s="615"/>
      <c r="QVR1" s="615"/>
      <c r="QVS1" s="615"/>
      <c r="QVT1" s="615"/>
      <c r="QVU1" s="615"/>
      <c r="QVV1" s="615"/>
      <c r="QVW1" s="615"/>
      <c r="QVX1" s="615"/>
      <c r="QVY1" s="615"/>
      <c r="QVZ1" s="615"/>
      <c r="QWA1" s="615"/>
      <c r="QWB1" s="615"/>
      <c r="QWC1" s="615"/>
      <c r="QWD1" s="615"/>
      <c r="QWE1" s="615"/>
      <c r="QWF1" s="615"/>
      <c r="QWG1" s="615"/>
      <c r="QWH1" s="615"/>
      <c r="QWI1" s="615"/>
      <c r="QWJ1" s="615"/>
      <c r="QWK1" s="615"/>
      <c r="QWL1" s="615"/>
      <c r="QWM1" s="615"/>
      <c r="QWN1" s="615"/>
      <c r="QWO1" s="615"/>
      <c r="QWP1" s="615"/>
      <c r="QWQ1" s="615"/>
      <c r="QWR1" s="615"/>
      <c r="QWS1" s="615"/>
      <c r="QWT1" s="615"/>
      <c r="QWU1" s="615"/>
      <c r="QWV1" s="615"/>
      <c r="QWW1" s="615"/>
      <c r="QWX1" s="615"/>
      <c r="QWY1" s="615"/>
      <c r="QWZ1" s="615"/>
      <c r="QXA1" s="615"/>
      <c r="QXB1" s="615"/>
      <c r="QXC1" s="615"/>
      <c r="QXD1" s="615"/>
      <c r="QXE1" s="615"/>
      <c r="QXF1" s="615"/>
      <c r="QXG1" s="615"/>
      <c r="QXH1" s="615"/>
      <c r="QXI1" s="615"/>
      <c r="QXJ1" s="615"/>
      <c r="QXK1" s="615"/>
      <c r="QXL1" s="615"/>
      <c r="QXM1" s="615"/>
      <c r="QXN1" s="615"/>
      <c r="QXO1" s="615"/>
      <c r="QXP1" s="615"/>
      <c r="QXQ1" s="615"/>
      <c r="QXR1" s="615"/>
      <c r="QXS1" s="615"/>
      <c r="QXT1" s="615"/>
      <c r="QXU1" s="615"/>
      <c r="QXV1" s="615"/>
      <c r="QXW1" s="615"/>
      <c r="QXX1" s="615"/>
      <c r="QXY1" s="615"/>
      <c r="QXZ1" s="615"/>
      <c r="QYA1" s="615"/>
      <c r="QYB1" s="615"/>
      <c r="QYC1" s="615"/>
      <c r="QYD1" s="615"/>
      <c r="QYE1" s="615"/>
      <c r="QYF1" s="615"/>
      <c r="QYG1" s="615"/>
      <c r="QYH1" s="615"/>
      <c r="QYI1" s="615"/>
      <c r="QYJ1" s="615"/>
      <c r="QYK1" s="615"/>
      <c r="QYL1" s="615"/>
      <c r="QYM1" s="615"/>
      <c r="QYN1" s="615"/>
      <c r="QYO1" s="615"/>
      <c r="QYP1" s="615"/>
      <c r="QYQ1" s="615"/>
      <c r="QYR1" s="615"/>
      <c r="QYS1" s="615"/>
      <c r="QYT1" s="615"/>
      <c r="QYU1" s="615"/>
      <c r="QYV1" s="615"/>
      <c r="QYW1" s="615"/>
      <c r="QYX1" s="615"/>
      <c r="QYY1" s="615"/>
      <c r="QYZ1" s="615"/>
      <c r="QZA1" s="615"/>
      <c r="QZB1" s="615"/>
      <c r="QZC1" s="615"/>
      <c r="QZD1" s="615"/>
      <c r="QZE1" s="615"/>
      <c r="QZF1" s="615"/>
      <c r="QZG1" s="615"/>
      <c r="QZH1" s="615"/>
      <c r="QZI1" s="615"/>
      <c r="QZJ1" s="615"/>
      <c r="QZK1" s="615"/>
      <c r="QZL1" s="615"/>
      <c r="QZM1" s="615"/>
      <c r="QZN1" s="615"/>
      <c r="QZO1" s="615"/>
      <c r="QZP1" s="615"/>
      <c r="QZQ1" s="615"/>
      <c r="QZR1" s="615"/>
      <c r="QZS1" s="615"/>
      <c r="QZT1" s="615"/>
      <c r="QZU1" s="615"/>
      <c r="QZV1" s="615"/>
      <c r="QZW1" s="615"/>
      <c r="QZX1" s="615"/>
      <c r="QZY1" s="615"/>
      <c r="QZZ1" s="615"/>
      <c r="RAA1" s="615"/>
      <c r="RAB1" s="615"/>
      <c r="RAC1" s="615"/>
      <c r="RAD1" s="615"/>
      <c r="RAE1" s="615"/>
      <c r="RAF1" s="615"/>
      <c r="RAG1" s="615"/>
      <c r="RAH1" s="615"/>
      <c r="RAI1" s="615"/>
      <c r="RAJ1" s="615"/>
      <c r="RAK1" s="615"/>
      <c r="RAL1" s="615"/>
      <c r="RAM1" s="615"/>
      <c r="RAN1" s="615"/>
      <c r="RAO1" s="615"/>
      <c r="RAP1" s="615"/>
      <c r="RAQ1" s="615"/>
      <c r="RAR1" s="615"/>
      <c r="RAS1" s="615"/>
      <c r="RAT1" s="615"/>
      <c r="RAU1" s="615"/>
      <c r="RAV1" s="615"/>
      <c r="RAW1" s="615"/>
      <c r="RAX1" s="615"/>
      <c r="RAY1" s="615"/>
      <c r="RAZ1" s="615"/>
      <c r="RBA1" s="615"/>
      <c r="RBB1" s="615"/>
      <c r="RBC1" s="615"/>
      <c r="RBD1" s="615"/>
      <c r="RBE1" s="615"/>
      <c r="RBF1" s="615"/>
      <c r="RBG1" s="615"/>
      <c r="RBH1" s="615"/>
      <c r="RBI1" s="615"/>
      <c r="RBJ1" s="615"/>
      <c r="RBK1" s="615"/>
      <c r="RBL1" s="615"/>
      <c r="RBM1" s="615"/>
      <c r="RBN1" s="615"/>
      <c r="RBO1" s="615"/>
      <c r="RBP1" s="615"/>
      <c r="RBQ1" s="615"/>
      <c r="RBR1" s="615"/>
      <c r="RBS1" s="615"/>
      <c r="RBT1" s="615"/>
      <c r="RBU1" s="615"/>
      <c r="RBV1" s="615"/>
      <c r="RBW1" s="615"/>
      <c r="RBX1" s="615"/>
      <c r="RBY1" s="615"/>
      <c r="RBZ1" s="615"/>
      <c r="RCA1" s="615"/>
      <c r="RCB1" s="615"/>
      <c r="RCC1" s="615"/>
      <c r="RCD1" s="615"/>
      <c r="RCE1" s="615"/>
      <c r="RCF1" s="615"/>
      <c r="RCG1" s="615"/>
      <c r="RCH1" s="615"/>
      <c r="RCI1" s="615"/>
      <c r="RCJ1" s="615"/>
      <c r="RCK1" s="615"/>
      <c r="RCL1" s="615"/>
      <c r="RCM1" s="615"/>
      <c r="RCN1" s="615"/>
      <c r="RCO1" s="615"/>
      <c r="RCP1" s="615"/>
      <c r="RCQ1" s="615"/>
      <c r="RCR1" s="615"/>
      <c r="RCS1" s="615"/>
      <c r="RCT1" s="615"/>
      <c r="RCU1" s="615"/>
      <c r="RCV1" s="615"/>
      <c r="RCW1" s="615"/>
      <c r="RCX1" s="615"/>
      <c r="RCY1" s="615"/>
      <c r="RCZ1" s="615"/>
      <c r="RDA1" s="615"/>
      <c r="RDB1" s="615"/>
      <c r="RDC1" s="615"/>
      <c r="RDD1" s="615"/>
      <c r="RDE1" s="615"/>
      <c r="RDF1" s="615"/>
      <c r="RDG1" s="615"/>
      <c r="RDH1" s="615"/>
      <c r="RDI1" s="615"/>
      <c r="RDJ1" s="615"/>
      <c r="RDK1" s="615"/>
      <c r="RDL1" s="615"/>
      <c r="RDM1" s="615"/>
      <c r="RDN1" s="615"/>
      <c r="RDO1" s="615"/>
      <c r="RDP1" s="615"/>
      <c r="RDQ1" s="615"/>
      <c r="RDR1" s="615"/>
      <c r="RDS1" s="615"/>
      <c r="RDT1" s="615"/>
      <c r="RDU1" s="615"/>
      <c r="RDV1" s="615"/>
      <c r="RDW1" s="615"/>
      <c r="RDX1" s="615"/>
      <c r="RDY1" s="615"/>
      <c r="RDZ1" s="615"/>
      <c r="REA1" s="615"/>
      <c r="REB1" s="615"/>
      <c r="REC1" s="615"/>
      <c r="RED1" s="615"/>
      <c r="REE1" s="615"/>
      <c r="REF1" s="615"/>
      <c r="REG1" s="615"/>
      <c r="REH1" s="615"/>
      <c r="REI1" s="615"/>
      <c r="REJ1" s="615"/>
      <c r="REK1" s="615"/>
      <c r="REL1" s="615"/>
      <c r="REM1" s="615"/>
      <c r="REN1" s="615"/>
      <c r="REO1" s="615"/>
      <c r="REP1" s="615"/>
      <c r="REQ1" s="615"/>
      <c r="RER1" s="615"/>
      <c r="RES1" s="615"/>
      <c r="RET1" s="615"/>
      <c r="REU1" s="615"/>
      <c r="REV1" s="615"/>
      <c r="REW1" s="615"/>
      <c r="REX1" s="615"/>
      <c r="REY1" s="615"/>
      <c r="REZ1" s="615"/>
      <c r="RFA1" s="615"/>
      <c r="RFB1" s="615"/>
      <c r="RFC1" s="615"/>
      <c r="RFD1" s="615"/>
      <c r="RFE1" s="615"/>
      <c r="RFF1" s="615"/>
      <c r="RFG1" s="615"/>
      <c r="RFH1" s="615"/>
      <c r="RFI1" s="615"/>
      <c r="RFJ1" s="615"/>
      <c r="RFK1" s="615"/>
      <c r="RFL1" s="615"/>
      <c r="RFM1" s="615"/>
      <c r="RFN1" s="615"/>
      <c r="RFO1" s="615"/>
      <c r="RFP1" s="615"/>
      <c r="RFQ1" s="615"/>
      <c r="RFR1" s="615"/>
      <c r="RFS1" s="615"/>
      <c r="RFT1" s="615"/>
      <c r="RFU1" s="615"/>
      <c r="RFV1" s="615"/>
      <c r="RFW1" s="615"/>
      <c r="RFX1" s="615"/>
      <c r="RFY1" s="615"/>
      <c r="RFZ1" s="615"/>
      <c r="RGA1" s="615"/>
      <c r="RGB1" s="615"/>
      <c r="RGC1" s="615"/>
      <c r="RGD1" s="615"/>
      <c r="RGE1" s="615"/>
      <c r="RGF1" s="615"/>
      <c r="RGG1" s="615"/>
      <c r="RGH1" s="615"/>
      <c r="RGI1" s="615"/>
      <c r="RGJ1" s="615"/>
      <c r="RGK1" s="615"/>
      <c r="RGL1" s="615"/>
      <c r="RGM1" s="615"/>
      <c r="RGN1" s="615"/>
      <c r="RGO1" s="615"/>
      <c r="RGP1" s="615"/>
      <c r="RGQ1" s="615"/>
      <c r="RGR1" s="615"/>
      <c r="RGS1" s="615"/>
      <c r="RGT1" s="615"/>
      <c r="RGU1" s="615"/>
      <c r="RGV1" s="615"/>
      <c r="RGW1" s="615"/>
      <c r="RGX1" s="615"/>
      <c r="RGY1" s="615"/>
      <c r="RGZ1" s="615"/>
      <c r="RHA1" s="615"/>
      <c r="RHB1" s="615"/>
      <c r="RHC1" s="615"/>
      <c r="RHD1" s="615"/>
      <c r="RHE1" s="615"/>
      <c r="RHF1" s="615"/>
      <c r="RHG1" s="615"/>
      <c r="RHH1" s="615"/>
      <c r="RHI1" s="615"/>
      <c r="RHJ1" s="615"/>
      <c r="RHK1" s="615"/>
      <c r="RHL1" s="615"/>
      <c r="RHM1" s="615"/>
      <c r="RHN1" s="615"/>
      <c r="RHO1" s="615"/>
      <c r="RHP1" s="615"/>
      <c r="RHQ1" s="615"/>
      <c r="RHR1" s="615"/>
      <c r="RHS1" s="615"/>
      <c r="RHT1" s="615"/>
      <c r="RHU1" s="615"/>
      <c r="RHV1" s="615"/>
      <c r="RHW1" s="615"/>
      <c r="RHX1" s="615"/>
      <c r="RHY1" s="615"/>
      <c r="RHZ1" s="615"/>
      <c r="RIA1" s="615"/>
      <c r="RIB1" s="615"/>
      <c r="RIC1" s="615"/>
      <c r="RID1" s="615"/>
      <c r="RIE1" s="615"/>
      <c r="RIF1" s="615"/>
      <c r="RIG1" s="615"/>
      <c r="RIH1" s="615"/>
      <c r="RII1" s="615"/>
      <c r="RIJ1" s="615"/>
      <c r="RIK1" s="615"/>
      <c r="RIL1" s="615"/>
      <c r="RIM1" s="615"/>
      <c r="RIN1" s="615"/>
      <c r="RIO1" s="615"/>
      <c r="RIP1" s="615"/>
      <c r="RIQ1" s="615"/>
      <c r="RIR1" s="615"/>
      <c r="RIS1" s="615"/>
      <c r="RIT1" s="615"/>
      <c r="RIU1" s="615"/>
      <c r="RIV1" s="615"/>
      <c r="RIW1" s="615"/>
      <c r="RIX1" s="615"/>
      <c r="RIY1" s="615"/>
      <c r="RIZ1" s="615"/>
      <c r="RJA1" s="615"/>
      <c r="RJB1" s="615"/>
      <c r="RJC1" s="615"/>
      <c r="RJD1" s="615"/>
      <c r="RJE1" s="615"/>
      <c r="RJF1" s="615"/>
      <c r="RJG1" s="615"/>
      <c r="RJH1" s="615"/>
      <c r="RJI1" s="615"/>
      <c r="RJJ1" s="615"/>
      <c r="RJK1" s="615"/>
      <c r="RJL1" s="615"/>
      <c r="RJM1" s="615"/>
      <c r="RJN1" s="615"/>
      <c r="RJO1" s="615"/>
      <c r="RJP1" s="615"/>
      <c r="RJQ1" s="615"/>
      <c r="RJR1" s="615"/>
      <c r="RJS1" s="615"/>
      <c r="RJT1" s="615"/>
      <c r="RJU1" s="615"/>
      <c r="RJV1" s="615"/>
      <c r="RJW1" s="615"/>
      <c r="RJX1" s="615"/>
      <c r="RJY1" s="615"/>
      <c r="RJZ1" s="615"/>
      <c r="RKA1" s="615"/>
      <c r="RKB1" s="615"/>
      <c r="RKC1" s="615"/>
      <c r="RKD1" s="615"/>
      <c r="RKE1" s="615"/>
      <c r="RKF1" s="615"/>
      <c r="RKG1" s="615"/>
      <c r="RKH1" s="615"/>
      <c r="RKI1" s="615"/>
      <c r="RKJ1" s="615"/>
      <c r="RKK1" s="615"/>
      <c r="RKL1" s="615"/>
      <c r="RKM1" s="615"/>
      <c r="RKN1" s="615"/>
      <c r="RKO1" s="615"/>
      <c r="RKP1" s="615"/>
      <c r="RKQ1" s="615"/>
      <c r="RKR1" s="615"/>
      <c r="RKS1" s="615"/>
      <c r="RKT1" s="615"/>
      <c r="RKU1" s="615"/>
      <c r="RKV1" s="615"/>
      <c r="RKW1" s="615"/>
      <c r="RKX1" s="615"/>
      <c r="RKY1" s="615"/>
      <c r="RKZ1" s="615"/>
      <c r="RLA1" s="615"/>
      <c r="RLB1" s="615"/>
      <c r="RLC1" s="615"/>
      <c r="RLD1" s="615"/>
      <c r="RLE1" s="615"/>
      <c r="RLF1" s="615"/>
      <c r="RLG1" s="615"/>
      <c r="RLH1" s="615"/>
      <c r="RLI1" s="615"/>
      <c r="RLJ1" s="615"/>
      <c r="RLK1" s="615"/>
      <c r="RLL1" s="615"/>
      <c r="RLM1" s="615"/>
      <c r="RLN1" s="615"/>
      <c r="RLO1" s="615"/>
      <c r="RLP1" s="615"/>
      <c r="RLQ1" s="615"/>
      <c r="RLR1" s="615"/>
      <c r="RLS1" s="615"/>
      <c r="RLT1" s="615"/>
      <c r="RLU1" s="615"/>
      <c r="RLV1" s="615"/>
      <c r="RLW1" s="615"/>
      <c r="RLX1" s="615"/>
      <c r="RLY1" s="615"/>
      <c r="RLZ1" s="615"/>
      <c r="RMA1" s="615"/>
      <c r="RMB1" s="615"/>
      <c r="RMC1" s="615"/>
      <c r="RMD1" s="615"/>
      <c r="RME1" s="615"/>
      <c r="RMF1" s="615"/>
      <c r="RMG1" s="615"/>
      <c r="RMH1" s="615"/>
      <c r="RMI1" s="615"/>
      <c r="RMJ1" s="615"/>
      <c r="RMK1" s="615"/>
      <c r="RML1" s="615"/>
      <c r="RMM1" s="615"/>
      <c r="RMN1" s="615"/>
      <c r="RMO1" s="615"/>
      <c r="RMP1" s="615"/>
      <c r="RMQ1" s="615"/>
      <c r="RMR1" s="615"/>
      <c r="RMS1" s="615"/>
      <c r="RMT1" s="615"/>
      <c r="RMU1" s="615"/>
      <c r="RMV1" s="615"/>
      <c r="RMW1" s="615"/>
      <c r="RMX1" s="615"/>
      <c r="RMY1" s="615"/>
      <c r="RMZ1" s="615"/>
      <c r="RNA1" s="615"/>
      <c r="RNB1" s="615"/>
      <c r="RNC1" s="615"/>
      <c r="RND1" s="615"/>
      <c r="RNE1" s="615"/>
      <c r="RNF1" s="615"/>
      <c r="RNG1" s="615"/>
      <c r="RNH1" s="615"/>
      <c r="RNI1" s="615"/>
      <c r="RNJ1" s="615"/>
      <c r="RNK1" s="615"/>
      <c r="RNL1" s="615"/>
      <c r="RNM1" s="615"/>
      <c r="RNN1" s="615"/>
      <c r="RNO1" s="615"/>
      <c r="RNP1" s="615"/>
      <c r="RNQ1" s="615"/>
      <c r="RNR1" s="615"/>
      <c r="RNS1" s="615"/>
      <c r="RNT1" s="615"/>
      <c r="RNU1" s="615"/>
      <c r="RNV1" s="615"/>
      <c r="RNW1" s="615"/>
      <c r="RNX1" s="615"/>
      <c r="RNY1" s="615"/>
      <c r="RNZ1" s="615"/>
      <c r="ROA1" s="615"/>
      <c r="ROB1" s="615"/>
      <c r="ROC1" s="615"/>
      <c r="ROD1" s="615"/>
      <c r="ROE1" s="615"/>
      <c r="ROF1" s="615"/>
      <c r="ROG1" s="615"/>
      <c r="ROH1" s="615"/>
      <c r="ROI1" s="615"/>
      <c r="ROJ1" s="615"/>
      <c r="ROK1" s="615"/>
      <c r="ROL1" s="615"/>
      <c r="ROM1" s="615"/>
      <c r="RON1" s="615"/>
      <c r="ROO1" s="615"/>
      <c r="ROP1" s="615"/>
      <c r="ROQ1" s="615"/>
      <c r="ROR1" s="615"/>
      <c r="ROS1" s="615"/>
      <c r="ROT1" s="615"/>
      <c r="ROU1" s="615"/>
      <c r="ROV1" s="615"/>
      <c r="ROW1" s="615"/>
      <c r="ROX1" s="615"/>
      <c r="ROY1" s="615"/>
      <c r="ROZ1" s="615"/>
      <c r="RPA1" s="615"/>
      <c r="RPB1" s="615"/>
      <c r="RPC1" s="615"/>
      <c r="RPD1" s="615"/>
      <c r="RPE1" s="615"/>
      <c r="RPF1" s="615"/>
      <c r="RPG1" s="615"/>
      <c r="RPH1" s="615"/>
      <c r="RPI1" s="615"/>
      <c r="RPJ1" s="615"/>
      <c r="RPK1" s="615"/>
      <c r="RPL1" s="615"/>
      <c r="RPM1" s="615"/>
      <c r="RPN1" s="615"/>
      <c r="RPO1" s="615"/>
      <c r="RPP1" s="615"/>
      <c r="RPQ1" s="615"/>
      <c r="RPR1" s="615"/>
      <c r="RPS1" s="615"/>
      <c r="RPT1" s="615"/>
      <c r="RPU1" s="615"/>
      <c r="RPV1" s="615"/>
      <c r="RPW1" s="615"/>
      <c r="RPX1" s="615"/>
      <c r="RPY1" s="615"/>
      <c r="RPZ1" s="615"/>
      <c r="RQA1" s="615"/>
      <c r="RQB1" s="615"/>
      <c r="RQC1" s="615"/>
      <c r="RQD1" s="615"/>
      <c r="RQE1" s="615"/>
      <c r="RQF1" s="615"/>
      <c r="RQG1" s="615"/>
      <c r="RQH1" s="615"/>
      <c r="RQI1" s="615"/>
      <c r="RQJ1" s="615"/>
      <c r="RQK1" s="615"/>
      <c r="RQL1" s="615"/>
      <c r="RQM1" s="615"/>
      <c r="RQN1" s="615"/>
      <c r="RQO1" s="615"/>
      <c r="RQP1" s="615"/>
      <c r="RQQ1" s="615"/>
      <c r="RQR1" s="615"/>
      <c r="RQS1" s="615"/>
      <c r="RQT1" s="615"/>
      <c r="RQU1" s="615"/>
      <c r="RQV1" s="615"/>
      <c r="RQW1" s="615"/>
      <c r="RQX1" s="615"/>
      <c r="RQY1" s="615"/>
      <c r="RQZ1" s="615"/>
      <c r="RRA1" s="615"/>
      <c r="RRB1" s="615"/>
      <c r="RRC1" s="615"/>
      <c r="RRD1" s="615"/>
      <c r="RRE1" s="615"/>
      <c r="RRF1" s="615"/>
      <c r="RRG1" s="615"/>
      <c r="RRH1" s="615"/>
      <c r="RRI1" s="615"/>
      <c r="RRJ1" s="615"/>
      <c r="RRK1" s="615"/>
      <c r="RRL1" s="615"/>
      <c r="RRM1" s="615"/>
      <c r="RRN1" s="615"/>
      <c r="RRO1" s="615"/>
      <c r="RRP1" s="615"/>
      <c r="RRQ1" s="615"/>
      <c r="RRR1" s="615"/>
      <c r="RRS1" s="615"/>
      <c r="RRT1" s="615"/>
      <c r="RRU1" s="615"/>
      <c r="RRV1" s="615"/>
      <c r="RRW1" s="615"/>
      <c r="RRX1" s="615"/>
      <c r="RRY1" s="615"/>
      <c r="RRZ1" s="615"/>
      <c r="RSA1" s="615"/>
      <c r="RSB1" s="615"/>
      <c r="RSC1" s="615"/>
      <c r="RSD1" s="615"/>
      <c r="RSE1" s="615"/>
      <c r="RSF1" s="615"/>
      <c r="RSG1" s="615"/>
      <c r="RSH1" s="615"/>
      <c r="RSI1" s="615"/>
      <c r="RSJ1" s="615"/>
      <c r="RSK1" s="615"/>
      <c r="RSL1" s="615"/>
      <c r="RSM1" s="615"/>
      <c r="RSN1" s="615"/>
      <c r="RSO1" s="615"/>
      <c r="RSP1" s="615"/>
      <c r="RSQ1" s="615"/>
      <c r="RSR1" s="615"/>
      <c r="RSS1" s="615"/>
      <c r="RST1" s="615"/>
      <c r="RSU1" s="615"/>
      <c r="RSV1" s="615"/>
      <c r="RSW1" s="615"/>
      <c r="RSX1" s="615"/>
      <c r="RSY1" s="615"/>
      <c r="RSZ1" s="615"/>
      <c r="RTA1" s="615"/>
      <c r="RTB1" s="615"/>
      <c r="RTC1" s="615"/>
      <c r="RTD1" s="615"/>
      <c r="RTE1" s="615"/>
      <c r="RTF1" s="615"/>
      <c r="RTG1" s="615"/>
      <c r="RTH1" s="615"/>
      <c r="RTI1" s="615"/>
      <c r="RTJ1" s="615"/>
      <c r="RTK1" s="615"/>
      <c r="RTL1" s="615"/>
      <c r="RTM1" s="615"/>
      <c r="RTN1" s="615"/>
      <c r="RTO1" s="615"/>
      <c r="RTP1" s="615"/>
      <c r="RTQ1" s="615"/>
      <c r="RTR1" s="615"/>
      <c r="RTS1" s="615"/>
      <c r="RTT1" s="615"/>
      <c r="RTU1" s="615"/>
      <c r="RTV1" s="615"/>
      <c r="RTW1" s="615"/>
      <c r="RTX1" s="615"/>
      <c r="RTY1" s="615"/>
      <c r="RTZ1" s="615"/>
      <c r="RUA1" s="615"/>
      <c r="RUB1" s="615"/>
      <c r="RUC1" s="615"/>
      <c r="RUD1" s="615"/>
      <c r="RUE1" s="615"/>
      <c r="RUF1" s="615"/>
      <c r="RUG1" s="615"/>
      <c r="RUH1" s="615"/>
      <c r="RUI1" s="615"/>
      <c r="RUJ1" s="615"/>
      <c r="RUK1" s="615"/>
      <c r="RUL1" s="615"/>
      <c r="RUM1" s="615"/>
      <c r="RUN1" s="615"/>
      <c r="RUO1" s="615"/>
      <c r="RUP1" s="615"/>
      <c r="RUQ1" s="615"/>
      <c r="RUR1" s="615"/>
      <c r="RUS1" s="615"/>
      <c r="RUT1" s="615"/>
      <c r="RUU1" s="615"/>
      <c r="RUV1" s="615"/>
      <c r="RUW1" s="615"/>
      <c r="RUX1" s="615"/>
      <c r="RUY1" s="615"/>
      <c r="RUZ1" s="615"/>
      <c r="RVA1" s="615"/>
      <c r="RVB1" s="615"/>
      <c r="RVC1" s="615"/>
      <c r="RVD1" s="615"/>
      <c r="RVE1" s="615"/>
      <c r="RVF1" s="615"/>
      <c r="RVG1" s="615"/>
      <c r="RVH1" s="615"/>
      <c r="RVI1" s="615"/>
      <c r="RVJ1" s="615"/>
      <c r="RVK1" s="615"/>
      <c r="RVL1" s="615"/>
      <c r="RVM1" s="615"/>
      <c r="RVN1" s="615"/>
      <c r="RVO1" s="615"/>
      <c r="RVP1" s="615"/>
      <c r="RVQ1" s="615"/>
      <c r="RVR1" s="615"/>
      <c r="RVS1" s="615"/>
      <c r="RVT1" s="615"/>
      <c r="RVU1" s="615"/>
      <c r="RVV1" s="615"/>
      <c r="RVW1" s="615"/>
      <c r="RVX1" s="615"/>
      <c r="RVY1" s="615"/>
      <c r="RVZ1" s="615"/>
      <c r="RWA1" s="615"/>
      <c r="RWB1" s="615"/>
      <c r="RWC1" s="615"/>
      <c r="RWD1" s="615"/>
      <c r="RWE1" s="615"/>
      <c r="RWF1" s="615"/>
      <c r="RWG1" s="615"/>
      <c r="RWH1" s="615"/>
      <c r="RWI1" s="615"/>
      <c r="RWJ1" s="615"/>
      <c r="RWK1" s="615"/>
      <c r="RWL1" s="615"/>
      <c r="RWM1" s="615"/>
      <c r="RWN1" s="615"/>
      <c r="RWO1" s="615"/>
      <c r="RWP1" s="615"/>
      <c r="RWQ1" s="615"/>
      <c r="RWR1" s="615"/>
      <c r="RWS1" s="615"/>
      <c r="RWT1" s="615"/>
      <c r="RWU1" s="615"/>
      <c r="RWV1" s="615"/>
      <c r="RWW1" s="615"/>
      <c r="RWX1" s="615"/>
      <c r="RWY1" s="615"/>
      <c r="RWZ1" s="615"/>
      <c r="RXA1" s="615"/>
      <c r="RXB1" s="615"/>
      <c r="RXC1" s="615"/>
      <c r="RXD1" s="615"/>
      <c r="RXE1" s="615"/>
      <c r="RXF1" s="615"/>
      <c r="RXG1" s="615"/>
      <c r="RXH1" s="615"/>
      <c r="RXI1" s="615"/>
      <c r="RXJ1" s="615"/>
      <c r="RXK1" s="615"/>
      <c r="RXL1" s="615"/>
      <c r="RXM1" s="615"/>
      <c r="RXN1" s="615"/>
      <c r="RXO1" s="615"/>
      <c r="RXP1" s="615"/>
      <c r="RXQ1" s="615"/>
      <c r="RXR1" s="615"/>
      <c r="RXS1" s="615"/>
      <c r="RXT1" s="615"/>
      <c r="RXU1" s="615"/>
      <c r="RXV1" s="615"/>
      <c r="RXW1" s="615"/>
      <c r="RXX1" s="615"/>
      <c r="RXY1" s="615"/>
      <c r="RXZ1" s="615"/>
      <c r="RYA1" s="615"/>
      <c r="RYB1" s="615"/>
      <c r="RYC1" s="615"/>
      <c r="RYD1" s="615"/>
      <c r="RYE1" s="615"/>
      <c r="RYF1" s="615"/>
      <c r="RYG1" s="615"/>
      <c r="RYH1" s="615"/>
      <c r="RYI1" s="615"/>
      <c r="RYJ1" s="615"/>
      <c r="RYK1" s="615"/>
      <c r="RYL1" s="615"/>
      <c r="RYM1" s="615"/>
      <c r="RYN1" s="615"/>
      <c r="RYO1" s="615"/>
      <c r="RYP1" s="615"/>
      <c r="RYQ1" s="615"/>
      <c r="RYR1" s="615"/>
      <c r="RYS1" s="615"/>
      <c r="RYT1" s="615"/>
      <c r="RYU1" s="615"/>
      <c r="RYV1" s="615"/>
      <c r="RYW1" s="615"/>
      <c r="RYX1" s="615"/>
      <c r="RYY1" s="615"/>
      <c r="RYZ1" s="615"/>
      <c r="RZA1" s="615"/>
      <c r="RZB1" s="615"/>
      <c r="RZC1" s="615"/>
      <c r="RZD1" s="615"/>
      <c r="RZE1" s="615"/>
      <c r="RZF1" s="615"/>
      <c r="RZG1" s="615"/>
      <c r="RZH1" s="615"/>
      <c r="RZI1" s="615"/>
      <c r="RZJ1" s="615"/>
      <c r="RZK1" s="615"/>
      <c r="RZL1" s="615"/>
      <c r="RZM1" s="615"/>
      <c r="RZN1" s="615"/>
      <c r="RZO1" s="615"/>
      <c r="RZP1" s="615"/>
      <c r="RZQ1" s="615"/>
      <c r="RZR1" s="615"/>
      <c r="RZS1" s="615"/>
      <c r="RZT1" s="615"/>
      <c r="RZU1" s="615"/>
      <c r="RZV1" s="615"/>
      <c r="RZW1" s="615"/>
      <c r="RZX1" s="615"/>
      <c r="RZY1" s="615"/>
      <c r="RZZ1" s="615"/>
      <c r="SAA1" s="615"/>
      <c r="SAB1" s="615"/>
      <c r="SAC1" s="615"/>
      <c r="SAD1" s="615"/>
      <c r="SAE1" s="615"/>
      <c r="SAF1" s="615"/>
      <c r="SAG1" s="615"/>
      <c r="SAH1" s="615"/>
      <c r="SAI1" s="615"/>
      <c r="SAJ1" s="615"/>
      <c r="SAK1" s="615"/>
      <c r="SAL1" s="615"/>
      <c r="SAM1" s="615"/>
      <c r="SAN1" s="615"/>
      <c r="SAO1" s="615"/>
      <c r="SAP1" s="615"/>
      <c r="SAQ1" s="615"/>
      <c r="SAR1" s="615"/>
      <c r="SAS1" s="615"/>
      <c r="SAT1" s="615"/>
      <c r="SAU1" s="615"/>
      <c r="SAV1" s="615"/>
      <c r="SAW1" s="615"/>
      <c r="SAX1" s="615"/>
      <c r="SAY1" s="615"/>
      <c r="SAZ1" s="615"/>
      <c r="SBA1" s="615"/>
      <c r="SBB1" s="615"/>
      <c r="SBC1" s="615"/>
      <c r="SBD1" s="615"/>
      <c r="SBE1" s="615"/>
      <c r="SBF1" s="615"/>
      <c r="SBG1" s="615"/>
      <c r="SBH1" s="615"/>
      <c r="SBI1" s="615"/>
      <c r="SBJ1" s="615"/>
      <c r="SBK1" s="615"/>
      <c r="SBL1" s="615"/>
      <c r="SBM1" s="615"/>
      <c r="SBN1" s="615"/>
      <c r="SBO1" s="615"/>
      <c r="SBP1" s="615"/>
      <c r="SBQ1" s="615"/>
      <c r="SBR1" s="615"/>
      <c r="SBS1" s="615"/>
      <c r="SBT1" s="615"/>
      <c r="SBU1" s="615"/>
      <c r="SBV1" s="615"/>
      <c r="SBW1" s="615"/>
      <c r="SBX1" s="615"/>
      <c r="SBY1" s="615"/>
      <c r="SBZ1" s="615"/>
      <c r="SCA1" s="615"/>
      <c r="SCB1" s="615"/>
      <c r="SCC1" s="615"/>
      <c r="SCD1" s="615"/>
      <c r="SCE1" s="615"/>
      <c r="SCF1" s="615"/>
      <c r="SCG1" s="615"/>
      <c r="SCH1" s="615"/>
      <c r="SCI1" s="615"/>
      <c r="SCJ1" s="615"/>
      <c r="SCK1" s="615"/>
      <c r="SCL1" s="615"/>
      <c r="SCM1" s="615"/>
      <c r="SCN1" s="615"/>
      <c r="SCO1" s="615"/>
      <c r="SCP1" s="615"/>
      <c r="SCQ1" s="615"/>
      <c r="SCR1" s="615"/>
      <c r="SCS1" s="615"/>
      <c r="SCT1" s="615"/>
      <c r="SCU1" s="615"/>
      <c r="SCV1" s="615"/>
      <c r="SCW1" s="615"/>
      <c r="SCX1" s="615"/>
      <c r="SCY1" s="615"/>
      <c r="SCZ1" s="615"/>
      <c r="SDA1" s="615"/>
      <c r="SDB1" s="615"/>
      <c r="SDC1" s="615"/>
      <c r="SDD1" s="615"/>
      <c r="SDE1" s="615"/>
      <c r="SDF1" s="615"/>
      <c r="SDG1" s="615"/>
      <c r="SDH1" s="615"/>
      <c r="SDI1" s="615"/>
      <c r="SDJ1" s="615"/>
      <c r="SDK1" s="615"/>
      <c r="SDL1" s="615"/>
      <c r="SDM1" s="615"/>
      <c r="SDN1" s="615"/>
      <c r="SDO1" s="615"/>
      <c r="SDP1" s="615"/>
      <c r="SDQ1" s="615"/>
      <c r="SDR1" s="615"/>
      <c r="SDS1" s="615"/>
      <c r="SDT1" s="615"/>
      <c r="SDU1" s="615"/>
      <c r="SDV1" s="615"/>
      <c r="SDW1" s="615"/>
      <c r="SDX1" s="615"/>
      <c r="SDY1" s="615"/>
      <c r="SDZ1" s="615"/>
      <c r="SEA1" s="615"/>
      <c r="SEB1" s="615"/>
      <c r="SEC1" s="615"/>
      <c r="SED1" s="615"/>
      <c r="SEE1" s="615"/>
      <c r="SEF1" s="615"/>
      <c r="SEG1" s="615"/>
      <c r="SEH1" s="615"/>
      <c r="SEI1" s="615"/>
      <c r="SEJ1" s="615"/>
      <c r="SEK1" s="615"/>
      <c r="SEL1" s="615"/>
      <c r="SEM1" s="615"/>
      <c r="SEN1" s="615"/>
      <c r="SEO1" s="615"/>
      <c r="SEP1" s="615"/>
      <c r="SEQ1" s="615"/>
      <c r="SER1" s="615"/>
      <c r="SES1" s="615"/>
      <c r="SET1" s="615"/>
      <c r="SEU1" s="615"/>
      <c r="SEV1" s="615"/>
      <c r="SEW1" s="615"/>
      <c r="SEX1" s="615"/>
      <c r="SEY1" s="615"/>
      <c r="SEZ1" s="615"/>
      <c r="SFA1" s="615"/>
      <c r="SFB1" s="615"/>
      <c r="SFC1" s="615"/>
      <c r="SFD1" s="615"/>
      <c r="SFE1" s="615"/>
      <c r="SFF1" s="615"/>
      <c r="SFG1" s="615"/>
      <c r="SFH1" s="615"/>
      <c r="SFI1" s="615"/>
      <c r="SFJ1" s="615"/>
      <c r="SFK1" s="615"/>
      <c r="SFL1" s="615"/>
      <c r="SFM1" s="615"/>
      <c r="SFN1" s="615"/>
      <c r="SFO1" s="615"/>
      <c r="SFP1" s="615"/>
      <c r="SFQ1" s="615"/>
      <c r="SFR1" s="615"/>
      <c r="SFS1" s="615"/>
      <c r="SFT1" s="615"/>
      <c r="SFU1" s="615"/>
      <c r="SFV1" s="615"/>
      <c r="SFW1" s="615"/>
      <c r="SFX1" s="615"/>
      <c r="SFY1" s="615"/>
      <c r="SFZ1" s="615"/>
      <c r="SGA1" s="615"/>
      <c r="SGB1" s="615"/>
      <c r="SGC1" s="615"/>
      <c r="SGD1" s="615"/>
      <c r="SGE1" s="615"/>
      <c r="SGF1" s="615"/>
      <c r="SGG1" s="615"/>
      <c r="SGH1" s="615"/>
      <c r="SGI1" s="615"/>
      <c r="SGJ1" s="615"/>
      <c r="SGK1" s="615"/>
      <c r="SGL1" s="615"/>
      <c r="SGM1" s="615"/>
      <c r="SGN1" s="615"/>
      <c r="SGO1" s="615"/>
      <c r="SGP1" s="615"/>
      <c r="SGQ1" s="615"/>
      <c r="SGR1" s="615"/>
      <c r="SGS1" s="615"/>
      <c r="SGT1" s="615"/>
      <c r="SGU1" s="615"/>
      <c r="SGV1" s="615"/>
      <c r="SGW1" s="615"/>
      <c r="SGX1" s="615"/>
      <c r="SGY1" s="615"/>
      <c r="SGZ1" s="615"/>
      <c r="SHA1" s="615"/>
      <c r="SHB1" s="615"/>
      <c r="SHC1" s="615"/>
      <c r="SHD1" s="615"/>
      <c r="SHE1" s="615"/>
      <c r="SHF1" s="615"/>
      <c r="SHG1" s="615"/>
      <c r="SHH1" s="615"/>
      <c r="SHI1" s="615"/>
      <c r="SHJ1" s="615"/>
      <c r="SHK1" s="615"/>
      <c r="SHL1" s="615"/>
      <c r="SHM1" s="615"/>
      <c r="SHN1" s="615"/>
      <c r="SHO1" s="615"/>
      <c r="SHP1" s="615"/>
      <c r="SHQ1" s="615"/>
      <c r="SHR1" s="615"/>
      <c r="SHS1" s="615"/>
      <c r="SHT1" s="615"/>
      <c r="SHU1" s="615"/>
      <c r="SHV1" s="615"/>
      <c r="SHW1" s="615"/>
      <c r="SHX1" s="615"/>
      <c r="SHY1" s="615"/>
      <c r="SHZ1" s="615"/>
      <c r="SIA1" s="615"/>
      <c r="SIB1" s="615"/>
      <c r="SIC1" s="615"/>
      <c r="SID1" s="615"/>
      <c r="SIE1" s="615"/>
      <c r="SIF1" s="615"/>
      <c r="SIG1" s="615"/>
      <c r="SIH1" s="615"/>
      <c r="SII1" s="615"/>
      <c r="SIJ1" s="615"/>
      <c r="SIK1" s="615"/>
      <c r="SIL1" s="615"/>
      <c r="SIM1" s="615"/>
      <c r="SIN1" s="615"/>
      <c r="SIO1" s="615"/>
      <c r="SIP1" s="615"/>
      <c r="SIQ1" s="615"/>
      <c r="SIR1" s="615"/>
      <c r="SIS1" s="615"/>
      <c r="SIT1" s="615"/>
      <c r="SIU1" s="615"/>
      <c r="SIV1" s="615"/>
      <c r="SIW1" s="615"/>
      <c r="SIX1" s="615"/>
      <c r="SIY1" s="615"/>
      <c r="SIZ1" s="615"/>
      <c r="SJA1" s="615"/>
      <c r="SJB1" s="615"/>
      <c r="SJC1" s="615"/>
      <c r="SJD1" s="615"/>
      <c r="SJE1" s="615"/>
      <c r="SJF1" s="615"/>
      <c r="SJG1" s="615"/>
      <c r="SJH1" s="615"/>
      <c r="SJI1" s="615"/>
      <c r="SJJ1" s="615"/>
      <c r="SJK1" s="615"/>
      <c r="SJL1" s="615"/>
      <c r="SJM1" s="615"/>
      <c r="SJN1" s="615"/>
      <c r="SJO1" s="615"/>
      <c r="SJP1" s="615"/>
      <c r="SJQ1" s="615"/>
      <c r="SJR1" s="615"/>
      <c r="SJS1" s="615"/>
      <c r="SJT1" s="615"/>
      <c r="SJU1" s="615"/>
      <c r="SJV1" s="615"/>
      <c r="SJW1" s="615"/>
      <c r="SJX1" s="615"/>
      <c r="SJY1" s="615"/>
      <c r="SJZ1" s="615"/>
      <c r="SKA1" s="615"/>
      <c r="SKB1" s="615"/>
      <c r="SKC1" s="615"/>
      <c r="SKD1" s="615"/>
      <c r="SKE1" s="615"/>
      <c r="SKF1" s="615"/>
      <c r="SKG1" s="615"/>
      <c r="SKH1" s="615"/>
      <c r="SKI1" s="615"/>
      <c r="SKJ1" s="615"/>
      <c r="SKK1" s="615"/>
      <c r="SKL1" s="615"/>
      <c r="SKM1" s="615"/>
      <c r="SKN1" s="615"/>
      <c r="SKO1" s="615"/>
      <c r="SKP1" s="615"/>
      <c r="SKQ1" s="615"/>
      <c r="SKR1" s="615"/>
      <c r="SKS1" s="615"/>
      <c r="SKT1" s="615"/>
      <c r="SKU1" s="615"/>
      <c r="SKV1" s="615"/>
      <c r="SKW1" s="615"/>
      <c r="SKX1" s="615"/>
      <c r="SKY1" s="615"/>
      <c r="SKZ1" s="615"/>
      <c r="SLA1" s="615"/>
      <c r="SLB1" s="615"/>
      <c r="SLC1" s="615"/>
      <c r="SLD1" s="615"/>
      <c r="SLE1" s="615"/>
      <c r="SLF1" s="615"/>
      <c r="SLG1" s="615"/>
      <c r="SLH1" s="615"/>
      <c r="SLI1" s="615"/>
      <c r="SLJ1" s="615"/>
      <c r="SLK1" s="615"/>
      <c r="SLL1" s="615"/>
      <c r="SLM1" s="615"/>
      <c r="SLN1" s="615"/>
      <c r="SLO1" s="615"/>
      <c r="SLP1" s="615"/>
      <c r="SLQ1" s="615"/>
      <c r="SLR1" s="615"/>
      <c r="SLS1" s="615"/>
      <c r="SLT1" s="615"/>
      <c r="SLU1" s="615"/>
      <c r="SLV1" s="615"/>
      <c r="SLW1" s="615"/>
      <c r="SLX1" s="615"/>
      <c r="SLY1" s="615"/>
      <c r="SLZ1" s="615"/>
      <c r="SMA1" s="615"/>
      <c r="SMB1" s="615"/>
      <c r="SMC1" s="615"/>
      <c r="SMD1" s="615"/>
      <c r="SME1" s="615"/>
      <c r="SMF1" s="615"/>
      <c r="SMG1" s="615"/>
      <c r="SMH1" s="615"/>
      <c r="SMI1" s="615"/>
      <c r="SMJ1" s="615"/>
      <c r="SMK1" s="615"/>
      <c r="SML1" s="615"/>
      <c r="SMM1" s="615"/>
      <c r="SMN1" s="615"/>
      <c r="SMO1" s="615"/>
      <c r="SMP1" s="615"/>
      <c r="SMQ1" s="615"/>
      <c r="SMR1" s="615"/>
      <c r="SMS1" s="615"/>
      <c r="SMT1" s="615"/>
      <c r="SMU1" s="615"/>
      <c r="SMV1" s="615"/>
      <c r="SMW1" s="615"/>
      <c r="SMX1" s="615"/>
      <c r="SMY1" s="615"/>
      <c r="SMZ1" s="615"/>
      <c r="SNA1" s="615"/>
      <c r="SNB1" s="615"/>
      <c r="SNC1" s="615"/>
      <c r="SND1" s="615"/>
      <c r="SNE1" s="615"/>
      <c r="SNF1" s="615"/>
      <c r="SNG1" s="615"/>
      <c r="SNH1" s="615"/>
      <c r="SNI1" s="615"/>
      <c r="SNJ1" s="615"/>
      <c r="SNK1" s="615"/>
      <c r="SNL1" s="615"/>
      <c r="SNM1" s="615"/>
      <c r="SNN1" s="615"/>
      <c r="SNO1" s="615"/>
      <c r="SNP1" s="615"/>
      <c r="SNQ1" s="615"/>
      <c r="SNR1" s="615"/>
      <c r="SNS1" s="615"/>
      <c r="SNT1" s="615"/>
      <c r="SNU1" s="615"/>
      <c r="SNV1" s="615"/>
      <c r="SNW1" s="615"/>
      <c r="SNX1" s="615"/>
      <c r="SNY1" s="615"/>
      <c r="SNZ1" s="615"/>
      <c r="SOA1" s="615"/>
      <c r="SOB1" s="615"/>
      <c r="SOC1" s="615"/>
      <c r="SOD1" s="615"/>
      <c r="SOE1" s="615"/>
      <c r="SOF1" s="615"/>
      <c r="SOG1" s="615"/>
      <c r="SOH1" s="615"/>
      <c r="SOI1" s="615"/>
      <c r="SOJ1" s="615"/>
      <c r="SOK1" s="615"/>
      <c r="SOL1" s="615"/>
      <c r="SOM1" s="615"/>
      <c r="SON1" s="615"/>
      <c r="SOO1" s="615"/>
      <c r="SOP1" s="615"/>
      <c r="SOQ1" s="615"/>
      <c r="SOR1" s="615"/>
      <c r="SOS1" s="615"/>
      <c r="SOT1" s="615"/>
      <c r="SOU1" s="615"/>
      <c r="SOV1" s="615"/>
      <c r="SOW1" s="615"/>
      <c r="SOX1" s="615"/>
      <c r="SOY1" s="615"/>
      <c r="SOZ1" s="615"/>
      <c r="SPA1" s="615"/>
      <c r="SPB1" s="615"/>
      <c r="SPC1" s="615"/>
      <c r="SPD1" s="615"/>
      <c r="SPE1" s="615"/>
      <c r="SPF1" s="615"/>
      <c r="SPG1" s="615"/>
      <c r="SPH1" s="615"/>
      <c r="SPI1" s="615"/>
      <c r="SPJ1" s="615"/>
      <c r="SPK1" s="615"/>
      <c r="SPL1" s="615"/>
      <c r="SPM1" s="615"/>
      <c r="SPN1" s="615"/>
      <c r="SPO1" s="615"/>
      <c r="SPP1" s="615"/>
      <c r="SPQ1" s="615"/>
      <c r="SPR1" s="615"/>
      <c r="SPS1" s="615"/>
      <c r="SPT1" s="615"/>
      <c r="SPU1" s="615"/>
      <c r="SPV1" s="615"/>
      <c r="SPW1" s="615"/>
      <c r="SPX1" s="615"/>
      <c r="SPY1" s="615"/>
      <c r="SPZ1" s="615"/>
      <c r="SQA1" s="615"/>
      <c r="SQB1" s="615"/>
      <c r="SQC1" s="615"/>
      <c r="SQD1" s="615"/>
      <c r="SQE1" s="615"/>
      <c r="SQF1" s="615"/>
      <c r="SQG1" s="615"/>
      <c r="SQH1" s="615"/>
      <c r="SQI1" s="615"/>
      <c r="SQJ1" s="615"/>
      <c r="SQK1" s="615"/>
      <c r="SQL1" s="615"/>
      <c r="SQM1" s="615"/>
      <c r="SQN1" s="615"/>
      <c r="SQO1" s="615"/>
      <c r="SQP1" s="615"/>
      <c r="SQQ1" s="615"/>
      <c r="SQR1" s="615"/>
      <c r="SQS1" s="615"/>
      <c r="SQT1" s="615"/>
      <c r="SQU1" s="615"/>
      <c r="SQV1" s="615"/>
      <c r="SQW1" s="615"/>
      <c r="SQX1" s="615"/>
      <c r="SQY1" s="615"/>
      <c r="SQZ1" s="615"/>
      <c r="SRA1" s="615"/>
      <c r="SRB1" s="615"/>
      <c r="SRC1" s="615"/>
      <c r="SRD1" s="615"/>
      <c r="SRE1" s="615"/>
      <c r="SRF1" s="615"/>
      <c r="SRG1" s="615"/>
      <c r="SRH1" s="615"/>
      <c r="SRI1" s="615"/>
      <c r="SRJ1" s="615"/>
      <c r="SRK1" s="615"/>
      <c r="SRL1" s="615"/>
      <c r="SRM1" s="615"/>
      <c r="SRN1" s="615"/>
      <c r="SRO1" s="615"/>
      <c r="SRP1" s="615"/>
      <c r="SRQ1" s="615"/>
      <c r="SRR1" s="615"/>
      <c r="SRS1" s="615"/>
      <c r="SRT1" s="615"/>
      <c r="SRU1" s="615"/>
      <c r="SRV1" s="615"/>
      <c r="SRW1" s="615"/>
      <c r="SRX1" s="615"/>
      <c r="SRY1" s="615"/>
      <c r="SRZ1" s="615"/>
      <c r="SSA1" s="615"/>
      <c r="SSB1" s="615"/>
      <c r="SSC1" s="615"/>
      <c r="SSD1" s="615"/>
      <c r="SSE1" s="615"/>
      <c r="SSF1" s="615"/>
      <c r="SSG1" s="615"/>
      <c r="SSH1" s="615"/>
      <c r="SSI1" s="615"/>
      <c r="SSJ1" s="615"/>
      <c r="SSK1" s="615"/>
      <c r="SSL1" s="615"/>
      <c r="SSM1" s="615"/>
      <c r="SSN1" s="615"/>
      <c r="SSO1" s="615"/>
      <c r="SSP1" s="615"/>
      <c r="SSQ1" s="615"/>
      <c r="SSR1" s="615"/>
      <c r="SSS1" s="615"/>
      <c r="SST1" s="615"/>
      <c r="SSU1" s="615"/>
      <c r="SSV1" s="615"/>
      <c r="SSW1" s="615"/>
      <c r="SSX1" s="615"/>
      <c r="SSY1" s="615"/>
      <c r="SSZ1" s="615"/>
      <c r="STA1" s="615"/>
      <c r="STB1" s="615"/>
      <c r="STC1" s="615"/>
      <c r="STD1" s="615"/>
      <c r="STE1" s="615"/>
      <c r="STF1" s="615"/>
      <c r="STG1" s="615"/>
      <c r="STH1" s="615"/>
      <c r="STI1" s="615"/>
      <c r="STJ1" s="615"/>
      <c r="STK1" s="615"/>
      <c r="STL1" s="615"/>
      <c r="STM1" s="615"/>
      <c r="STN1" s="615"/>
      <c r="STO1" s="615"/>
      <c r="STP1" s="615"/>
      <c r="STQ1" s="615"/>
      <c r="STR1" s="615"/>
      <c r="STS1" s="615"/>
      <c r="STT1" s="615"/>
      <c r="STU1" s="615"/>
      <c r="STV1" s="615"/>
      <c r="STW1" s="615"/>
      <c r="STX1" s="615"/>
      <c r="STY1" s="615"/>
      <c r="STZ1" s="615"/>
      <c r="SUA1" s="615"/>
      <c r="SUB1" s="615"/>
      <c r="SUC1" s="615"/>
      <c r="SUD1" s="615"/>
      <c r="SUE1" s="615"/>
      <c r="SUF1" s="615"/>
      <c r="SUG1" s="615"/>
      <c r="SUH1" s="615"/>
      <c r="SUI1" s="615"/>
      <c r="SUJ1" s="615"/>
      <c r="SUK1" s="615"/>
      <c r="SUL1" s="615"/>
      <c r="SUM1" s="615"/>
      <c r="SUN1" s="615"/>
      <c r="SUO1" s="615"/>
      <c r="SUP1" s="615"/>
      <c r="SUQ1" s="615"/>
      <c r="SUR1" s="615"/>
      <c r="SUS1" s="615"/>
      <c r="SUT1" s="615"/>
      <c r="SUU1" s="615"/>
      <c r="SUV1" s="615"/>
      <c r="SUW1" s="615"/>
      <c r="SUX1" s="615"/>
      <c r="SUY1" s="615"/>
      <c r="SUZ1" s="615"/>
      <c r="SVA1" s="615"/>
      <c r="SVB1" s="615"/>
      <c r="SVC1" s="615"/>
      <c r="SVD1" s="615"/>
      <c r="SVE1" s="615"/>
      <c r="SVF1" s="615"/>
      <c r="SVG1" s="615"/>
      <c r="SVH1" s="615"/>
      <c r="SVI1" s="615"/>
      <c r="SVJ1" s="615"/>
      <c r="SVK1" s="615"/>
      <c r="SVL1" s="615"/>
      <c r="SVM1" s="615"/>
      <c r="SVN1" s="615"/>
      <c r="SVO1" s="615"/>
      <c r="SVP1" s="615"/>
      <c r="SVQ1" s="615"/>
      <c r="SVR1" s="615"/>
      <c r="SVS1" s="615"/>
      <c r="SVT1" s="615"/>
      <c r="SVU1" s="615"/>
      <c r="SVV1" s="615"/>
      <c r="SVW1" s="615"/>
      <c r="SVX1" s="615"/>
      <c r="SVY1" s="615"/>
      <c r="SVZ1" s="615"/>
      <c r="SWA1" s="615"/>
      <c r="SWB1" s="615"/>
      <c r="SWC1" s="615"/>
      <c r="SWD1" s="615"/>
      <c r="SWE1" s="615"/>
      <c r="SWF1" s="615"/>
      <c r="SWG1" s="615"/>
      <c r="SWH1" s="615"/>
      <c r="SWI1" s="615"/>
      <c r="SWJ1" s="615"/>
      <c r="SWK1" s="615"/>
      <c r="SWL1" s="615"/>
      <c r="SWM1" s="615"/>
      <c r="SWN1" s="615"/>
      <c r="SWO1" s="615"/>
      <c r="SWP1" s="615"/>
      <c r="SWQ1" s="615"/>
      <c r="SWR1" s="615"/>
      <c r="SWS1" s="615"/>
      <c r="SWT1" s="615"/>
      <c r="SWU1" s="615"/>
      <c r="SWV1" s="615"/>
      <c r="SWW1" s="615"/>
      <c r="SWX1" s="615"/>
      <c r="SWY1" s="615"/>
      <c r="SWZ1" s="615"/>
      <c r="SXA1" s="615"/>
      <c r="SXB1" s="615"/>
      <c r="SXC1" s="615"/>
      <c r="SXD1" s="615"/>
      <c r="SXE1" s="615"/>
      <c r="SXF1" s="615"/>
      <c r="SXG1" s="615"/>
      <c r="SXH1" s="615"/>
      <c r="SXI1" s="615"/>
      <c r="SXJ1" s="615"/>
      <c r="SXK1" s="615"/>
      <c r="SXL1" s="615"/>
      <c r="SXM1" s="615"/>
      <c r="SXN1" s="615"/>
      <c r="SXO1" s="615"/>
      <c r="SXP1" s="615"/>
      <c r="SXQ1" s="615"/>
      <c r="SXR1" s="615"/>
      <c r="SXS1" s="615"/>
      <c r="SXT1" s="615"/>
      <c r="SXU1" s="615"/>
      <c r="SXV1" s="615"/>
      <c r="SXW1" s="615"/>
      <c r="SXX1" s="615"/>
      <c r="SXY1" s="615"/>
      <c r="SXZ1" s="615"/>
      <c r="SYA1" s="615"/>
      <c r="SYB1" s="615"/>
      <c r="SYC1" s="615"/>
      <c r="SYD1" s="615"/>
      <c r="SYE1" s="615"/>
      <c r="SYF1" s="615"/>
      <c r="SYG1" s="615"/>
      <c r="SYH1" s="615"/>
      <c r="SYI1" s="615"/>
      <c r="SYJ1" s="615"/>
      <c r="SYK1" s="615"/>
      <c r="SYL1" s="615"/>
      <c r="SYM1" s="615"/>
      <c r="SYN1" s="615"/>
      <c r="SYO1" s="615"/>
      <c r="SYP1" s="615"/>
      <c r="SYQ1" s="615"/>
      <c r="SYR1" s="615"/>
      <c r="SYS1" s="615"/>
      <c r="SYT1" s="615"/>
      <c r="SYU1" s="615"/>
      <c r="SYV1" s="615"/>
      <c r="SYW1" s="615"/>
      <c r="SYX1" s="615"/>
      <c r="SYY1" s="615"/>
      <c r="SYZ1" s="615"/>
      <c r="SZA1" s="615"/>
      <c r="SZB1" s="615"/>
      <c r="SZC1" s="615"/>
      <c r="SZD1" s="615"/>
      <c r="SZE1" s="615"/>
      <c r="SZF1" s="615"/>
      <c r="SZG1" s="615"/>
      <c r="SZH1" s="615"/>
      <c r="SZI1" s="615"/>
      <c r="SZJ1" s="615"/>
      <c r="SZK1" s="615"/>
      <c r="SZL1" s="615"/>
      <c r="SZM1" s="615"/>
      <c r="SZN1" s="615"/>
      <c r="SZO1" s="615"/>
      <c r="SZP1" s="615"/>
      <c r="SZQ1" s="615"/>
      <c r="SZR1" s="615"/>
      <c r="SZS1" s="615"/>
      <c r="SZT1" s="615"/>
      <c r="SZU1" s="615"/>
      <c r="SZV1" s="615"/>
      <c r="SZW1" s="615"/>
      <c r="SZX1" s="615"/>
      <c r="SZY1" s="615"/>
      <c r="SZZ1" s="615"/>
      <c r="TAA1" s="615"/>
      <c r="TAB1" s="615"/>
      <c r="TAC1" s="615"/>
      <c r="TAD1" s="615"/>
      <c r="TAE1" s="615"/>
      <c r="TAF1" s="615"/>
      <c r="TAG1" s="615"/>
      <c r="TAH1" s="615"/>
      <c r="TAI1" s="615"/>
      <c r="TAJ1" s="615"/>
      <c r="TAK1" s="615"/>
      <c r="TAL1" s="615"/>
      <c r="TAM1" s="615"/>
      <c r="TAN1" s="615"/>
      <c r="TAO1" s="615"/>
      <c r="TAP1" s="615"/>
      <c r="TAQ1" s="615"/>
      <c r="TAR1" s="615"/>
      <c r="TAS1" s="615"/>
      <c r="TAT1" s="615"/>
      <c r="TAU1" s="615"/>
      <c r="TAV1" s="615"/>
      <c r="TAW1" s="615"/>
      <c r="TAX1" s="615"/>
      <c r="TAY1" s="615"/>
      <c r="TAZ1" s="615"/>
      <c r="TBA1" s="615"/>
      <c r="TBB1" s="615"/>
      <c r="TBC1" s="615"/>
      <c r="TBD1" s="615"/>
      <c r="TBE1" s="615"/>
      <c r="TBF1" s="615"/>
      <c r="TBG1" s="615"/>
      <c r="TBH1" s="615"/>
      <c r="TBI1" s="615"/>
      <c r="TBJ1" s="615"/>
      <c r="TBK1" s="615"/>
      <c r="TBL1" s="615"/>
      <c r="TBM1" s="615"/>
      <c r="TBN1" s="615"/>
      <c r="TBO1" s="615"/>
      <c r="TBP1" s="615"/>
      <c r="TBQ1" s="615"/>
      <c r="TBR1" s="615"/>
      <c r="TBS1" s="615"/>
      <c r="TBT1" s="615"/>
      <c r="TBU1" s="615"/>
      <c r="TBV1" s="615"/>
      <c r="TBW1" s="615"/>
      <c r="TBX1" s="615"/>
      <c r="TBY1" s="615"/>
      <c r="TBZ1" s="615"/>
      <c r="TCA1" s="615"/>
      <c r="TCB1" s="615"/>
      <c r="TCC1" s="615"/>
      <c r="TCD1" s="615"/>
      <c r="TCE1" s="615"/>
      <c r="TCF1" s="615"/>
      <c r="TCG1" s="615"/>
      <c r="TCH1" s="615"/>
      <c r="TCI1" s="615"/>
      <c r="TCJ1" s="615"/>
      <c r="TCK1" s="615"/>
      <c r="TCL1" s="615"/>
      <c r="TCM1" s="615"/>
      <c r="TCN1" s="615"/>
      <c r="TCO1" s="615"/>
      <c r="TCP1" s="615"/>
      <c r="TCQ1" s="615"/>
      <c r="TCR1" s="615"/>
      <c r="TCS1" s="615"/>
      <c r="TCT1" s="615"/>
      <c r="TCU1" s="615"/>
      <c r="TCV1" s="615"/>
      <c r="TCW1" s="615"/>
      <c r="TCX1" s="615"/>
      <c r="TCY1" s="615"/>
      <c r="TCZ1" s="615"/>
      <c r="TDA1" s="615"/>
      <c r="TDB1" s="615"/>
      <c r="TDC1" s="615"/>
      <c r="TDD1" s="615"/>
      <c r="TDE1" s="615"/>
      <c r="TDF1" s="615"/>
      <c r="TDG1" s="615"/>
      <c r="TDH1" s="615"/>
      <c r="TDI1" s="615"/>
      <c r="TDJ1" s="615"/>
      <c r="TDK1" s="615"/>
      <c r="TDL1" s="615"/>
      <c r="TDM1" s="615"/>
      <c r="TDN1" s="615"/>
      <c r="TDO1" s="615"/>
      <c r="TDP1" s="615"/>
      <c r="TDQ1" s="615"/>
      <c r="TDR1" s="615"/>
      <c r="TDS1" s="615"/>
      <c r="TDT1" s="615"/>
      <c r="TDU1" s="615"/>
      <c r="TDV1" s="615"/>
      <c r="TDW1" s="615"/>
      <c r="TDX1" s="615"/>
      <c r="TDY1" s="615"/>
      <c r="TDZ1" s="615"/>
      <c r="TEA1" s="615"/>
      <c r="TEB1" s="615"/>
      <c r="TEC1" s="615"/>
      <c r="TED1" s="615"/>
      <c r="TEE1" s="615"/>
      <c r="TEF1" s="615"/>
      <c r="TEG1" s="615"/>
      <c r="TEH1" s="615"/>
      <c r="TEI1" s="615"/>
      <c r="TEJ1" s="615"/>
      <c r="TEK1" s="615"/>
      <c r="TEL1" s="615"/>
      <c r="TEM1" s="615"/>
      <c r="TEN1" s="615"/>
      <c r="TEO1" s="615"/>
      <c r="TEP1" s="615"/>
      <c r="TEQ1" s="615"/>
      <c r="TER1" s="615"/>
      <c r="TES1" s="615"/>
      <c r="TET1" s="615"/>
      <c r="TEU1" s="615"/>
      <c r="TEV1" s="615"/>
      <c r="TEW1" s="615"/>
      <c r="TEX1" s="615"/>
      <c r="TEY1" s="615"/>
      <c r="TEZ1" s="615"/>
      <c r="TFA1" s="615"/>
      <c r="TFB1" s="615"/>
      <c r="TFC1" s="615"/>
      <c r="TFD1" s="615"/>
      <c r="TFE1" s="615"/>
      <c r="TFF1" s="615"/>
      <c r="TFG1" s="615"/>
      <c r="TFH1" s="615"/>
      <c r="TFI1" s="615"/>
      <c r="TFJ1" s="615"/>
      <c r="TFK1" s="615"/>
      <c r="TFL1" s="615"/>
      <c r="TFM1" s="615"/>
      <c r="TFN1" s="615"/>
      <c r="TFO1" s="615"/>
      <c r="TFP1" s="615"/>
      <c r="TFQ1" s="615"/>
      <c r="TFR1" s="615"/>
      <c r="TFS1" s="615"/>
      <c r="TFT1" s="615"/>
      <c r="TFU1" s="615"/>
      <c r="TFV1" s="615"/>
      <c r="TFW1" s="615"/>
      <c r="TFX1" s="615"/>
      <c r="TFY1" s="615"/>
      <c r="TFZ1" s="615"/>
      <c r="TGA1" s="615"/>
      <c r="TGB1" s="615"/>
      <c r="TGC1" s="615"/>
      <c r="TGD1" s="615"/>
      <c r="TGE1" s="615"/>
      <c r="TGF1" s="615"/>
      <c r="TGG1" s="615"/>
      <c r="TGH1" s="615"/>
      <c r="TGI1" s="615"/>
      <c r="TGJ1" s="615"/>
      <c r="TGK1" s="615"/>
      <c r="TGL1" s="615"/>
      <c r="TGM1" s="615"/>
      <c r="TGN1" s="615"/>
      <c r="TGO1" s="615"/>
      <c r="TGP1" s="615"/>
      <c r="TGQ1" s="615"/>
      <c r="TGR1" s="615"/>
      <c r="TGS1" s="615"/>
      <c r="TGT1" s="615"/>
      <c r="TGU1" s="615"/>
      <c r="TGV1" s="615"/>
      <c r="TGW1" s="615"/>
      <c r="TGX1" s="615"/>
      <c r="TGY1" s="615"/>
      <c r="TGZ1" s="615"/>
      <c r="THA1" s="615"/>
      <c r="THB1" s="615"/>
      <c r="THC1" s="615"/>
      <c r="THD1" s="615"/>
      <c r="THE1" s="615"/>
      <c r="THF1" s="615"/>
      <c r="THG1" s="615"/>
      <c r="THH1" s="615"/>
      <c r="THI1" s="615"/>
      <c r="THJ1" s="615"/>
      <c r="THK1" s="615"/>
      <c r="THL1" s="615"/>
      <c r="THM1" s="615"/>
      <c r="THN1" s="615"/>
      <c r="THO1" s="615"/>
      <c r="THP1" s="615"/>
      <c r="THQ1" s="615"/>
      <c r="THR1" s="615"/>
      <c r="THS1" s="615"/>
      <c r="THT1" s="615"/>
      <c r="THU1" s="615"/>
      <c r="THV1" s="615"/>
      <c r="THW1" s="615"/>
      <c r="THX1" s="615"/>
      <c r="THY1" s="615"/>
      <c r="THZ1" s="615"/>
      <c r="TIA1" s="615"/>
      <c r="TIB1" s="615"/>
      <c r="TIC1" s="615"/>
      <c r="TID1" s="615"/>
      <c r="TIE1" s="615"/>
      <c r="TIF1" s="615"/>
      <c r="TIG1" s="615"/>
      <c r="TIH1" s="615"/>
      <c r="TII1" s="615"/>
      <c r="TIJ1" s="615"/>
      <c r="TIK1" s="615"/>
      <c r="TIL1" s="615"/>
      <c r="TIM1" s="615"/>
      <c r="TIN1" s="615"/>
      <c r="TIO1" s="615"/>
      <c r="TIP1" s="615"/>
      <c r="TIQ1" s="615"/>
      <c r="TIR1" s="615"/>
      <c r="TIS1" s="615"/>
      <c r="TIT1" s="615"/>
      <c r="TIU1" s="615"/>
      <c r="TIV1" s="615"/>
      <c r="TIW1" s="615"/>
      <c r="TIX1" s="615"/>
      <c r="TIY1" s="615"/>
      <c r="TIZ1" s="615"/>
      <c r="TJA1" s="615"/>
      <c r="TJB1" s="615"/>
      <c r="TJC1" s="615"/>
      <c r="TJD1" s="615"/>
      <c r="TJE1" s="615"/>
      <c r="TJF1" s="615"/>
      <c r="TJG1" s="615"/>
      <c r="TJH1" s="615"/>
      <c r="TJI1" s="615"/>
      <c r="TJJ1" s="615"/>
      <c r="TJK1" s="615"/>
      <c r="TJL1" s="615"/>
      <c r="TJM1" s="615"/>
      <c r="TJN1" s="615"/>
      <c r="TJO1" s="615"/>
      <c r="TJP1" s="615"/>
      <c r="TJQ1" s="615"/>
      <c r="TJR1" s="615"/>
      <c r="TJS1" s="615"/>
      <c r="TJT1" s="615"/>
      <c r="TJU1" s="615"/>
      <c r="TJV1" s="615"/>
      <c r="TJW1" s="615"/>
      <c r="TJX1" s="615"/>
      <c r="TJY1" s="615"/>
      <c r="TJZ1" s="615"/>
      <c r="TKA1" s="615"/>
      <c r="TKB1" s="615"/>
      <c r="TKC1" s="615"/>
      <c r="TKD1" s="615"/>
      <c r="TKE1" s="615"/>
      <c r="TKF1" s="615"/>
      <c r="TKG1" s="615"/>
      <c r="TKH1" s="615"/>
      <c r="TKI1" s="615"/>
      <c r="TKJ1" s="615"/>
      <c r="TKK1" s="615"/>
      <c r="TKL1" s="615"/>
      <c r="TKM1" s="615"/>
      <c r="TKN1" s="615"/>
      <c r="TKO1" s="615"/>
      <c r="TKP1" s="615"/>
      <c r="TKQ1" s="615"/>
      <c r="TKR1" s="615"/>
      <c r="TKS1" s="615"/>
      <c r="TKT1" s="615"/>
      <c r="TKU1" s="615"/>
      <c r="TKV1" s="615"/>
      <c r="TKW1" s="615"/>
      <c r="TKX1" s="615"/>
      <c r="TKY1" s="615"/>
      <c r="TKZ1" s="615"/>
      <c r="TLA1" s="615"/>
      <c r="TLB1" s="615"/>
      <c r="TLC1" s="615"/>
      <c r="TLD1" s="615"/>
      <c r="TLE1" s="615"/>
      <c r="TLF1" s="615"/>
      <c r="TLG1" s="615"/>
      <c r="TLH1" s="615"/>
      <c r="TLI1" s="615"/>
      <c r="TLJ1" s="615"/>
      <c r="TLK1" s="615"/>
      <c r="TLL1" s="615"/>
      <c r="TLM1" s="615"/>
      <c r="TLN1" s="615"/>
      <c r="TLO1" s="615"/>
      <c r="TLP1" s="615"/>
      <c r="TLQ1" s="615"/>
      <c r="TLR1" s="615"/>
      <c r="TLS1" s="615"/>
      <c r="TLT1" s="615"/>
      <c r="TLU1" s="615"/>
      <c r="TLV1" s="615"/>
      <c r="TLW1" s="615"/>
      <c r="TLX1" s="615"/>
      <c r="TLY1" s="615"/>
      <c r="TLZ1" s="615"/>
      <c r="TMA1" s="615"/>
      <c r="TMB1" s="615"/>
      <c r="TMC1" s="615"/>
      <c r="TMD1" s="615"/>
      <c r="TME1" s="615"/>
      <c r="TMF1" s="615"/>
      <c r="TMG1" s="615"/>
      <c r="TMH1" s="615"/>
      <c r="TMI1" s="615"/>
      <c r="TMJ1" s="615"/>
      <c r="TMK1" s="615"/>
      <c r="TML1" s="615"/>
      <c r="TMM1" s="615"/>
      <c r="TMN1" s="615"/>
      <c r="TMO1" s="615"/>
      <c r="TMP1" s="615"/>
      <c r="TMQ1" s="615"/>
      <c r="TMR1" s="615"/>
      <c r="TMS1" s="615"/>
      <c r="TMT1" s="615"/>
      <c r="TMU1" s="615"/>
      <c r="TMV1" s="615"/>
      <c r="TMW1" s="615"/>
      <c r="TMX1" s="615"/>
      <c r="TMY1" s="615"/>
      <c r="TMZ1" s="615"/>
      <c r="TNA1" s="615"/>
      <c r="TNB1" s="615"/>
      <c r="TNC1" s="615"/>
      <c r="TND1" s="615"/>
      <c r="TNE1" s="615"/>
      <c r="TNF1" s="615"/>
      <c r="TNG1" s="615"/>
      <c r="TNH1" s="615"/>
      <c r="TNI1" s="615"/>
      <c r="TNJ1" s="615"/>
      <c r="TNK1" s="615"/>
      <c r="TNL1" s="615"/>
      <c r="TNM1" s="615"/>
      <c r="TNN1" s="615"/>
      <c r="TNO1" s="615"/>
      <c r="TNP1" s="615"/>
      <c r="TNQ1" s="615"/>
      <c r="TNR1" s="615"/>
      <c r="TNS1" s="615"/>
      <c r="TNT1" s="615"/>
      <c r="TNU1" s="615"/>
      <c r="TNV1" s="615"/>
      <c r="TNW1" s="615"/>
      <c r="TNX1" s="615"/>
      <c r="TNY1" s="615"/>
      <c r="TNZ1" s="615"/>
      <c r="TOA1" s="615"/>
      <c r="TOB1" s="615"/>
      <c r="TOC1" s="615"/>
      <c r="TOD1" s="615"/>
      <c r="TOE1" s="615"/>
      <c r="TOF1" s="615"/>
      <c r="TOG1" s="615"/>
      <c r="TOH1" s="615"/>
      <c r="TOI1" s="615"/>
      <c r="TOJ1" s="615"/>
      <c r="TOK1" s="615"/>
      <c r="TOL1" s="615"/>
      <c r="TOM1" s="615"/>
      <c r="TON1" s="615"/>
      <c r="TOO1" s="615"/>
      <c r="TOP1" s="615"/>
      <c r="TOQ1" s="615"/>
      <c r="TOR1" s="615"/>
      <c r="TOS1" s="615"/>
      <c r="TOT1" s="615"/>
      <c r="TOU1" s="615"/>
      <c r="TOV1" s="615"/>
      <c r="TOW1" s="615"/>
      <c r="TOX1" s="615"/>
      <c r="TOY1" s="615"/>
      <c r="TOZ1" s="615"/>
      <c r="TPA1" s="615"/>
      <c r="TPB1" s="615"/>
      <c r="TPC1" s="615"/>
      <c r="TPD1" s="615"/>
      <c r="TPE1" s="615"/>
      <c r="TPF1" s="615"/>
      <c r="TPG1" s="615"/>
      <c r="TPH1" s="615"/>
      <c r="TPI1" s="615"/>
      <c r="TPJ1" s="615"/>
      <c r="TPK1" s="615"/>
      <c r="TPL1" s="615"/>
      <c r="TPM1" s="615"/>
      <c r="TPN1" s="615"/>
      <c r="TPO1" s="615"/>
      <c r="TPP1" s="615"/>
      <c r="TPQ1" s="615"/>
      <c r="TPR1" s="615"/>
      <c r="TPS1" s="615"/>
      <c r="TPT1" s="615"/>
      <c r="TPU1" s="615"/>
      <c r="TPV1" s="615"/>
      <c r="TPW1" s="615"/>
      <c r="TPX1" s="615"/>
      <c r="TPY1" s="615"/>
      <c r="TPZ1" s="615"/>
      <c r="TQA1" s="615"/>
      <c r="TQB1" s="615"/>
      <c r="TQC1" s="615"/>
      <c r="TQD1" s="615"/>
      <c r="TQE1" s="615"/>
      <c r="TQF1" s="615"/>
      <c r="TQG1" s="615"/>
      <c r="TQH1" s="615"/>
      <c r="TQI1" s="615"/>
      <c r="TQJ1" s="615"/>
      <c r="TQK1" s="615"/>
      <c r="TQL1" s="615"/>
      <c r="TQM1" s="615"/>
      <c r="TQN1" s="615"/>
      <c r="TQO1" s="615"/>
      <c r="TQP1" s="615"/>
      <c r="TQQ1" s="615"/>
      <c r="TQR1" s="615"/>
      <c r="TQS1" s="615"/>
      <c r="TQT1" s="615"/>
      <c r="TQU1" s="615"/>
      <c r="TQV1" s="615"/>
      <c r="TQW1" s="615"/>
      <c r="TQX1" s="615"/>
      <c r="TQY1" s="615"/>
      <c r="TQZ1" s="615"/>
      <c r="TRA1" s="615"/>
      <c r="TRB1" s="615"/>
      <c r="TRC1" s="615"/>
      <c r="TRD1" s="615"/>
      <c r="TRE1" s="615"/>
      <c r="TRF1" s="615"/>
      <c r="TRG1" s="615"/>
      <c r="TRH1" s="615"/>
      <c r="TRI1" s="615"/>
      <c r="TRJ1" s="615"/>
      <c r="TRK1" s="615"/>
      <c r="TRL1" s="615"/>
      <c r="TRM1" s="615"/>
      <c r="TRN1" s="615"/>
      <c r="TRO1" s="615"/>
      <c r="TRP1" s="615"/>
      <c r="TRQ1" s="615"/>
      <c r="TRR1" s="615"/>
      <c r="TRS1" s="615"/>
      <c r="TRT1" s="615"/>
      <c r="TRU1" s="615"/>
      <c r="TRV1" s="615"/>
      <c r="TRW1" s="615"/>
      <c r="TRX1" s="615"/>
      <c r="TRY1" s="615"/>
      <c r="TRZ1" s="615"/>
      <c r="TSA1" s="615"/>
      <c r="TSB1" s="615"/>
      <c r="TSC1" s="615"/>
      <c r="TSD1" s="615"/>
      <c r="TSE1" s="615"/>
      <c r="TSF1" s="615"/>
      <c r="TSG1" s="615"/>
      <c r="TSH1" s="615"/>
      <c r="TSI1" s="615"/>
      <c r="TSJ1" s="615"/>
      <c r="TSK1" s="615"/>
      <c r="TSL1" s="615"/>
      <c r="TSM1" s="615"/>
      <c r="TSN1" s="615"/>
      <c r="TSO1" s="615"/>
      <c r="TSP1" s="615"/>
      <c r="TSQ1" s="615"/>
      <c r="TSR1" s="615"/>
      <c r="TSS1" s="615"/>
      <c r="TST1" s="615"/>
      <c r="TSU1" s="615"/>
      <c r="TSV1" s="615"/>
      <c r="TSW1" s="615"/>
      <c r="TSX1" s="615"/>
      <c r="TSY1" s="615"/>
      <c r="TSZ1" s="615"/>
      <c r="TTA1" s="615"/>
      <c r="TTB1" s="615"/>
      <c r="TTC1" s="615"/>
      <c r="TTD1" s="615"/>
      <c r="TTE1" s="615"/>
      <c r="TTF1" s="615"/>
      <c r="TTG1" s="615"/>
      <c r="TTH1" s="615"/>
      <c r="TTI1" s="615"/>
      <c r="TTJ1" s="615"/>
      <c r="TTK1" s="615"/>
      <c r="TTL1" s="615"/>
      <c r="TTM1" s="615"/>
      <c r="TTN1" s="615"/>
      <c r="TTO1" s="615"/>
      <c r="TTP1" s="615"/>
      <c r="TTQ1" s="615"/>
      <c r="TTR1" s="615"/>
      <c r="TTS1" s="615"/>
      <c r="TTT1" s="615"/>
      <c r="TTU1" s="615"/>
      <c r="TTV1" s="615"/>
      <c r="TTW1" s="615"/>
      <c r="TTX1" s="615"/>
      <c r="TTY1" s="615"/>
      <c r="TTZ1" s="615"/>
      <c r="TUA1" s="615"/>
      <c r="TUB1" s="615"/>
      <c r="TUC1" s="615"/>
      <c r="TUD1" s="615"/>
      <c r="TUE1" s="615"/>
      <c r="TUF1" s="615"/>
      <c r="TUG1" s="615"/>
      <c r="TUH1" s="615"/>
      <c r="TUI1" s="615"/>
      <c r="TUJ1" s="615"/>
      <c r="TUK1" s="615"/>
      <c r="TUL1" s="615"/>
      <c r="TUM1" s="615"/>
      <c r="TUN1" s="615"/>
      <c r="TUO1" s="615"/>
      <c r="TUP1" s="615"/>
      <c r="TUQ1" s="615"/>
      <c r="TUR1" s="615"/>
      <c r="TUS1" s="615"/>
      <c r="TUT1" s="615"/>
      <c r="TUU1" s="615"/>
      <c r="TUV1" s="615"/>
      <c r="TUW1" s="615"/>
      <c r="TUX1" s="615"/>
      <c r="TUY1" s="615"/>
      <c r="TUZ1" s="615"/>
      <c r="TVA1" s="615"/>
      <c r="TVB1" s="615"/>
      <c r="TVC1" s="615"/>
      <c r="TVD1" s="615"/>
      <c r="TVE1" s="615"/>
      <c r="TVF1" s="615"/>
      <c r="TVG1" s="615"/>
      <c r="TVH1" s="615"/>
      <c r="TVI1" s="615"/>
      <c r="TVJ1" s="615"/>
      <c r="TVK1" s="615"/>
      <c r="TVL1" s="615"/>
      <c r="TVM1" s="615"/>
      <c r="TVN1" s="615"/>
      <c r="TVO1" s="615"/>
      <c r="TVP1" s="615"/>
      <c r="TVQ1" s="615"/>
      <c r="TVR1" s="615"/>
      <c r="TVS1" s="615"/>
      <c r="TVT1" s="615"/>
      <c r="TVU1" s="615"/>
      <c r="TVV1" s="615"/>
      <c r="TVW1" s="615"/>
      <c r="TVX1" s="615"/>
      <c r="TVY1" s="615"/>
      <c r="TVZ1" s="615"/>
      <c r="TWA1" s="615"/>
      <c r="TWB1" s="615"/>
      <c r="TWC1" s="615"/>
      <c r="TWD1" s="615"/>
      <c r="TWE1" s="615"/>
      <c r="TWF1" s="615"/>
      <c r="TWG1" s="615"/>
      <c r="TWH1" s="615"/>
      <c r="TWI1" s="615"/>
      <c r="TWJ1" s="615"/>
      <c r="TWK1" s="615"/>
      <c r="TWL1" s="615"/>
      <c r="TWM1" s="615"/>
      <c r="TWN1" s="615"/>
      <c r="TWO1" s="615"/>
      <c r="TWP1" s="615"/>
      <c r="TWQ1" s="615"/>
      <c r="TWR1" s="615"/>
      <c r="TWS1" s="615"/>
      <c r="TWT1" s="615"/>
      <c r="TWU1" s="615"/>
      <c r="TWV1" s="615"/>
      <c r="TWW1" s="615"/>
      <c r="TWX1" s="615"/>
      <c r="TWY1" s="615"/>
      <c r="TWZ1" s="615"/>
      <c r="TXA1" s="615"/>
      <c r="TXB1" s="615"/>
      <c r="TXC1" s="615"/>
      <c r="TXD1" s="615"/>
      <c r="TXE1" s="615"/>
      <c r="TXF1" s="615"/>
      <c r="TXG1" s="615"/>
      <c r="TXH1" s="615"/>
      <c r="TXI1" s="615"/>
      <c r="TXJ1" s="615"/>
      <c r="TXK1" s="615"/>
      <c r="TXL1" s="615"/>
      <c r="TXM1" s="615"/>
      <c r="TXN1" s="615"/>
      <c r="TXO1" s="615"/>
      <c r="TXP1" s="615"/>
      <c r="TXQ1" s="615"/>
      <c r="TXR1" s="615"/>
      <c r="TXS1" s="615"/>
      <c r="TXT1" s="615"/>
      <c r="TXU1" s="615"/>
      <c r="TXV1" s="615"/>
      <c r="TXW1" s="615"/>
      <c r="TXX1" s="615"/>
      <c r="TXY1" s="615"/>
      <c r="TXZ1" s="615"/>
      <c r="TYA1" s="615"/>
      <c r="TYB1" s="615"/>
      <c r="TYC1" s="615"/>
      <c r="TYD1" s="615"/>
      <c r="TYE1" s="615"/>
      <c r="TYF1" s="615"/>
      <c r="TYG1" s="615"/>
      <c r="TYH1" s="615"/>
      <c r="TYI1" s="615"/>
      <c r="TYJ1" s="615"/>
      <c r="TYK1" s="615"/>
      <c r="TYL1" s="615"/>
      <c r="TYM1" s="615"/>
      <c r="TYN1" s="615"/>
      <c r="TYO1" s="615"/>
      <c r="TYP1" s="615"/>
      <c r="TYQ1" s="615"/>
      <c r="TYR1" s="615"/>
      <c r="TYS1" s="615"/>
      <c r="TYT1" s="615"/>
      <c r="TYU1" s="615"/>
      <c r="TYV1" s="615"/>
      <c r="TYW1" s="615"/>
      <c r="TYX1" s="615"/>
      <c r="TYY1" s="615"/>
      <c r="TYZ1" s="615"/>
      <c r="TZA1" s="615"/>
      <c r="TZB1" s="615"/>
      <c r="TZC1" s="615"/>
      <c r="TZD1" s="615"/>
      <c r="TZE1" s="615"/>
      <c r="TZF1" s="615"/>
      <c r="TZG1" s="615"/>
      <c r="TZH1" s="615"/>
      <c r="TZI1" s="615"/>
      <c r="TZJ1" s="615"/>
      <c r="TZK1" s="615"/>
      <c r="TZL1" s="615"/>
      <c r="TZM1" s="615"/>
      <c r="TZN1" s="615"/>
      <c r="TZO1" s="615"/>
      <c r="TZP1" s="615"/>
      <c r="TZQ1" s="615"/>
      <c r="TZR1" s="615"/>
      <c r="TZS1" s="615"/>
      <c r="TZT1" s="615"/>
      <c r="TZU1" s="615"/>
      <c r="TZV1" s="615"/>
      <c r="TZW1" s="615"/>
      <c r="TZX1" s="615"/>
      <c r="TZY1" s="615"/>
      <c r="TZZ1" s="615"/>
      <c r="UAA1" s="615"/>
      <c r="UAB1" s="615"/>
      <c r="UAC1" s="615"/>
      <c r="UAD1" s="615"/>
      <c r="UAE1" s="615"/>
      <c r="UAF1" s="615"/>
      <c r="UAG1" s="615"/>
      <c r="UAH1" s="615"/>
      <c r="UAI1" s="615"/>
      <c r="UAJ1" s="615"/>
      <c r="UAK1" s="615"/>
      <c r="UAL1" s="615"/>
      <c r="UAM1" s="615"/>
      <c r="UAN1" s="615"/>
      <c r="UAO1" s="615"/>
      <c r="UAP1" s="615"/>
      <c r="UAQ1" s="615"/>
      <c r="UAR1" s="615"/>
      <c r="UAS1" s="615"/>
      <c r="UAT1" s="615"/>
      <c r="UAU1" s="615"/>
      <c r="UAV1" s="615"/>
      <c r="UAW1" s="615"/>
      <c r="UAX1" s="615"/>
      <c r="UAY1" s="615"/>
      <c r="UAZ1" s="615"/>
      <c r="UBA1" s="615"/>
      <c r="UBB1" s="615"/>
      <c r="UBC1" s="615"/>
      <c r="UBD1" s="615"/>
      <c r="UBE1" s="615"/>
      <c r="UBF1" s="615"/>
      <c r="UBG1" s="615"/>
      <c r="UBH1" s="615"/>
      <c r="UBI1" s="615"/>
      <c r="UBJ1" s="615"/>
      <c r="UBK1" s="615"/>
      <c r="UBL1" s="615"/>
      <c r="UBM1" s="615"/>
      <c r="UBN1" s="615"/>
      <c r="UBO1" s="615"/>
      <c r="UBP1" s="615"/>
      <c r="UBQ1" s="615"/>
      <c r="UBR1" s="615"/>
      <c r="UBS1" s="615"/>
      <c r="UBT1" s="615"/>
      <c r="UBU1" s="615"/>
      <c r="UBV1" s="615"/>
      <c r="UBW1" s="615"/>
      <c r="UBX1" s="615"/>
      <c r="UBY1" s="615"/>
      <c r="UBZ1" s="615"/>
      <c r="UCA1" s="615"/>
      <c r="UCB1" s="615"/>
      <c r="UCC1" s="615"/>
      <c r="UCD1" s="615"/>
      <c r="UCE1" s="615"/>
      <c r="UCF1" s="615"/>
      <c r="UCG1" s="615"/>
      <c r="UCH1" s="615"/>
      <c r="UCI1" s="615"/>
      <c r="UCJ1" s="615"/>
      <c r="UCK1" s="615"/>
      <c r="UCL1" s="615"/>
      <c r="UCM1" s="615"/>
      <c r="UCN1" s="615"/>
      <c r="UCO1" s="615"/>
      <c r="UCP1" s="615"/>
      <c r="UCQ1" s="615"/>
      <c r="UCR1" s="615"/>
      <c r="UCS1" s="615"/>
      <c r="UCT1" s="615"/>
      <c r="UCU1" s="615"/>
      <c r="UCV1" s="615"/>
      <c r="UCW1" s="615"/>
      <c r="UCX1" s="615"/>
      <c r="UCY1" s="615"/>
      <c r="UCZ1" s="615"/>
      <c r="UDA1" s="615"/>
      <c r="UDB1" s="615"/>
      <c r="UDC1" s="615"/>
      <c r="UDD1" s="615"/>
      <c r="UDE1" s="615"/>
      <c r="UDF1" s="615"/>
      <c r="UDG1" s="615"/>
      <c r="UDH1" s="615"/>
      <c r="UDI1" s="615"/>
      <c r="UDJ1" s="615"/>
      <c r="UDK1" s="615"/>
      <c r="UDL1" s="615"/>
      <c r="UDM1" s="615"/>
      <c r="UDN1" s="615"/>
      <c r="UDO1" s="615"/>
      <c r="UDP1" s="615"/>
      <c r="UDQ1" s="615"/>
      <c r="UDR1" s="615"/>
      <c r="UDS1" s="615"/>
      <c r="UDT1" s="615"/>
      <c r="UDU1" s="615"/>
      <c r="UDV1" s="615"/>
      <c r="UDW1" s="615"/>
      <c r="UDX1" s="615"/>
      <c r="UDY1" s="615"/>
      <c r="UDZ1" s="615"/>
      <c r="UEA1" s="615"/>
      <c r="UEB1" s="615"/>
      <c r="UEC1" s="615"/>
      <c r="UED1" s="615"/>
      <c r="UEE1" s="615"/>
      <c r="UEF1" s="615"/>
      <c r="UEG1" s="615"/>
      <c r="UEH1" s="615"/>
      <c r="UEI1" s="615"/>
      <c r="UEJ1" s="615"/>
      <c r="UEK1" s="615"/>
      <c r="UEL1" s="615"/>
      <c r="UEM1" s="615"/>
      <c r="UEN1" s="615"/>
      <c r="UEO1" s="615"/>
      <c r="UEP1" s="615"/>
      <c r="UEQ1" s="615"/>
      <c r="UER1" s="615"/>
      <c r="UES1" s="615"/>
      <c r="UET1" s="615"/>
      <c r="UEU1" s="615"/>
      <c r="UEV1" s="615"/>
      <c r="UEW1" s="615"/>
      <c r="UEX1" s="615"/>
      <c r="UEY1" s="615"/>
      <c r="UEZ1" s="615"/>
      <c r="UFA1" s="615"/>
      <c r="UFB1" s="615"/>
      <c r="UFC1" s="615"/>
      <c r="UFD1" s="615"/>
      <c r="UFE1" s="615"/>
      <c r="UFF1" s="615"/>
      <c r="UFG1" s="615"/>
      <c r="UFH1" s="615"/>
      <c r="UFI1" s="615"/>
      <c r="UFJ1" s="615"/>
      <c r="UFK1" s="615"/>
      <c r="UFL1" s="615"/>
      <c r="UFM1" s="615"/>
      <c r="UFN1" s="615"/>
      <c r="UFO1" s="615"/>
      <c r="UFP1" s="615"/>
      <c r="UFQ1" s="615"/>
      <c r="UFR1" s="615"/>
      <c r="UFS1" s="615"/>
      <c r="UFT1" s="615"/>
      <c r="UFU1" s="615"/>
      <c r="UFV1" s="615"/>
      <c r="UFW1" s="615"/>
      <c r="UFX1" s="615"/>
      <c r="UFY1" s="615"/>
      <c r="UFZ1" s="615"/>
      <c r="UGA1" s="615"/>
      <c r="UGB1" s="615"/>
      <c r="UGC1" s="615"/>
      <c r="UGD1" s="615"/>
      <c r="UGE1" s="615"/>
      <c r="UGF1" s="615"/>
      <c r="UGG1" s="615"/>
      <c r="UGH1" s="615"/>
      <c r="UGI1" s="615"/>
      <c r="UGJ1" s="615"/>
      <c r="UGK1" s="615"/>
      <c r="UGL1" s="615"/>
      <c r="UGM1" s="615"/>
      <c r="UGN1" s="615"/>
      <c r="UGO1" s="615"/>
      <c r="UGP1" s="615"/>
      <c r="UGQ1" s="615"/>
      <c r="UGR1" s="615"/>
      <c r="UGS1" s="615"/>
      <c r="UGT1" s="615"/>
      <c r="UGU1" s="615"/>
      <c r="UGV1" s="615"/>
      <c r="UGW1" s="615"/>
      <c r="UGX1" s="615"/>
      <c r="UGY1" s="615"/>
      <c r="UGZ1" s="615"/>
      <c r="UHA1" s="615"/>
      <c r="UHB1" s="615"/>
      <c r="UHC1" s="615"/>
      <c r="UHD1" s="615"/>
      <c r="UHE1" s="615"/>
      <c r="UHF1" s="615"/>
      <c r="UHG1" s="615"/>
      <c r="UHH1" s="615"/>
      <c r="UHI1" s="615"/>
      <c r="UHJ1" s="615"/>
      <c r="UHK1" s="615"/>
      <c r="UHL1" s="615"/>
      <c r="UHM1" s="615"/>
      <c r="UHN1" s="615"/>
      <c r="UHO1" s="615"/>
      <c r="UHP1" s="615"/>
      <c r="UHQ1" s="615"/>
      <c r="UHR1" s="615"/>
      <c r="UHS1" s="615"/>
      <c r="UHT1" s="615"/>
      <c r="UHU1" s="615"/>
      <c r="UHV1" s="615"/>
      <c r="UHW1" s="615"/>
      <c r="UHX1" s="615"/>
      <c r="UHY1" s="615"/>
      <c r="UHZ1" s="615"/>
      <c r="UIA1" s="615"/>
      <c r="UIB1" s="615"/>
      <c r="UIC1" s="615"/>
      <c r="UID1" s="615"/>
      <c r="UIE1" s="615"/>
      <c r="UIF1" s="615"/>
      <c r="UIG1" s="615"/>
      <c r="UIH1" s="615"/>
      <c r="UII1" s="615"/>
      <c r="UIJ1" s="615"/>
      <c r="UIK1" s="615"/>
      <c r="UIL1" s="615"/>
      <c r="UIM1" s="615"/>
      <c r="UIN1" s="615"/>
      <c r="UIO1" s="615"/>
      <c r="UIP1" s="615"/>
      <c r="UIQ1" s="615"/>
      <c r="UIR1" s="615"/>
      <c r="UIS1" s="615"/>
      <c r="UIT1" s="615"/>
      <c r="UIU1" s="615"/>
      <c r="UIV1" s="615"/>
      <c r="UIW1" s="615"/>
      <c r="UIX1" s="615"/>
      <c r="UIY1" s="615"/>
      <c r="UIZ1" s="615"/>
      <c r="UJA1" s="615"/>
      <c r="UJB1" s="615"/>
      <c r="UJC1" s="615"/>
      <c r="UJD1" s="615"/>
      <c r="UJE1" s="615"/>
      <c r="UJF1" s="615"/>
      <c r="UJG1" s="615"/>
      <c r="UJH1" s="615"/>
      <c r="UJI1" s="615"/>
      <c r="UJJ1" s="615"/>
      <c r="UJK1" s="615"/>
      <c r="UJL1" s="615"/>
      <c r="UJM1" s="615"/>
      <c r="UJN1" s="615"/>
      <c r="UJO1" s="615"/>
      <c r="UJP1" s="615"/>
      <c r="UJQ1" s="615"/>
      <c r="UJR1" s="615"/>
      <c r="UJS1" s="615"/>
      <c r="UJT1" s="615"/>
      <c r="UJU1" s="615"/>
      <c r="UJV1" s="615"/>
      <c r="UJW1" s="615"/>
      <c r="UJX1" s="615"/>
      <c r="UJY1" s="615"/>
      <c r="UJZ1" s="615"/>
      <c r="UKA1" s="615"/>
      <c r="UKB1" s="615"/>
      <c r="UKC1" s="615"/>
      <c r="UKD1" s="615"/>
      <c r="UKE1" s="615"/>
      <c r="UKF1" s="615"/>
      <c r="UKG1" s="615"/>
      <c r="UKH1" s="615"/>
      <c r="UKI1" s="615"/>
      <c r="UKJ1" s="615"/>
      <c r="UKK1" s="615"/>
      <c r="UKL1" s="615"/>
      <c r="UKM1" s="615"/>
      <c r="UKN1" s="615"/>
      <c r="UKO1" s="615"/>
      <c r="UKP1" s="615"/>
      <c r="UKQ1" s="615"/>
      <c r="UKR1" s="615"/>
      <c r="UKS1" s="615"/>
      <c r="UKT1" s="615"/>
      <c r="UKU1" s="615"/>
      <c r="UKV1" s="615"/>
      <c r="UKW1" s="615"/>
      <c r="UKX1" s="615"/>
      <c r="UKY1" s="615"/>
      <c r="UKZ1" s="615"/>
      <c r="ULA1" s="615"/>
      <c r="ULB1" s="615"/>
      <c r="ULC1" s="615"/>
      <c r="ULD1" s="615"/>
      <c r="ULE1" s="615"/>
      <c r="ULF1" s="615"/>
      <c r="ULG1" s="615"/>
      <c r="ULH1" s="615"/>
      <c r="ULI1" s="615"/>
      <c r="ULJ1" s="615"/>
      <c r="ULK1" s="615"/>
      <c r="ULL1" s="615"/>
      <c r="ULM1" s="615"/>
      <c r="ULN1" s="615"/>
      <c r="ULO1" s="615"/>
      <c r="ULP1" s="615"/>
      <c r="ULQ1" s="615"/>
      <c r="ULR1" s="615"/>
      <c r="ULS1" s="615"/>
      <c r="ULT1" s="615"/>
      <c r="ULU1" s="615"/>
      <c r="ULV1" s="615"/>
      <c r="ULW1" s="615"/>
      <c r="ULX1" s="615"/>
      <c r="ULY1" s="615"/>
      <c r="ULZ1" s="615"/>
      <c r="UMA1" s="615"/>
      <c r="UMB1" s="615"/>
      <c r="UMC1" s="615"/>
      <c r="UMD1" s="615"/>
      <c r="UME1" s="615"/>
      <c r="UMF1" s="615"/>
      <c r="UMG1" s="615"/>
      <c r="UMH1" s="615"/>
      <c r="UMI1" s="615"/>
      <c r="UMJ1" s="615"/>
      <c r="UMK1" s="615"/>
      <c r="UML1" s="615"/>
      <c r="UMM1" s="615"/>
      <c r="UMN1" s="615"/>
      <c r="UMO1" s="615"/>
      <c r="UMP1" s="615"/>
      <c r="UMQ1" s="615"/>
      <c r="UMR1" s="615"/>
      <c r="UMS1" s="615"/>
      <c r="UMT1" s="615"/>
      <c r="UMU1" s="615"/>
      <c r="UMV1" s="615"/>
      <c r="UMW1" s="615"/>
      <c r="UMX1" s="615"/>
      <c r="UMY1" s="615"/>
      <c r="UMZ1" s="615"/>
      <c r="UNA1" s="615"/>
      <c r="UNB1" s="615"/>
      <c r="UNC1" s="615"/>
      <c r="UND1" s="615"/>
      <c r="UNE1" s="615"/>
      <c r="UNF1" s="615"/>
      <c r="UNG1" s="615"/>
      <c r="UNH1" s="615"/>
      <c r="UNI1" s="615"/>
      <c r="UNJ1" s="615"/>
      <c r="UNK1" s="615"/>
      <c r="UNL1" s="615"/>
      <c r="UNM1" s="615"/>
      <c r="UNN1" s="615"/>
      <c r="UNO1" s="615"/>
      <c r="UNP1" s="615"/>
      <c r="UNQ1" s="615"/>
      <c r="UNR1" s="615"/>
      <c r="UNS1" s="615"/>
      <c r="UNT1" s="615"/>
      <c r="UNU1" s="615"/>
      <c r="UNV1" s="615"/>
      <c r="UNW1" s="615"/>
      <c r="UNX1" s="615"/>
      <c r="UNY1" s="615"/>
      <c r="UNZ1" s="615"/>
      <c r="UOA1" s="615"/>
      <c r="UOB1" s="615"/>
      <c r="UOC1" s="615"/>
      <c r="UOD1" s="615"/>
      <c r="UOE1" s="615"/>
      <c r="UOF1" s="615"/>
      <c r="UOG1" s="615"/>
      <c r="UOH1" s="615"/>
      <c r="UOI1" s="615"/>
      <c r="UOJ1" s="615"/>
      <c r="UOK1" s="615"/>
      <c r="UOL1" s="615"/>
      <c r="UOM1" s="615"/>
      <c r="UON1" s="615"/>
      <c r="UOO1" s="615"/>
      <c r="UOP1" s="615"/>
      <c r="UOQ1" s="615"/>
      <c r="UOR1" s="615"/>
      <c r="UOS1" s="615"/>
      <c r="UOT1" s="615"/>
      <c r="UOU1" s="615"/>
      <c r="UOV1" s="615"/>
      <c r="UOW1" s="615"/>
      <c r="UOX1" s="615"/>
      <c r="UOY1" s="615"/>
      <c r="UOZ1" s="615"/>
      <c r="UPA1" s="615"/>
      <c r="UPB1" s="615"/>
      <c r="UPC1" s="615"/>
      <c r="UPD1" s="615"/>
      <c r="UPE1" s="615"/>
      <c r="UPF1" s="615"/>
      <c r="UPG1" s="615"/>
      <c r="UPH1" s="615"/>
      <c r="UPI1" s="615"/>
      <c r="UPJ1" s="615"/>
      <c r="UPK1" s="615"/>
      <c r="UPL1" s="615"/>
      <c r="UPM1" s="615"/>
      <c r="UPN1" s="615"/>
      <c r="UPO1" s="615"/>
      <c r="UPP1" s="615"/>
      <c r="UPQ1" s="615"/>
      <c r="UPR1" s="615"/>
      <c r="UPS1" s="615"/>
      <c r="UPT1" s="615"/>
      <c r="UPU1" s="615"/>
      <c r="UPV1" s="615"/>
      <c r="UPW1" s="615"/>
      <c r="UPX1" s="615"/>
      <c r="UPY1" s="615"/>
      <c r="UPZ1" s="615"/>
      <c r="UQA1" s="615"/>
      <c r="UQB1" s="615"/>
      <c r="UQC1" s="615"/>
      <c r="UQD1" s="615"/>
      <c r="UQE1" s="615"/>
      <c r="UQF1" s="615"/>
      <c r="UQG1" s="615"/>
      <c r="UQH1" s="615"/>
      <c r="UQI1" s="615"/>
      <c r="UQJ1" s="615"/>
      <c r="UQK1" s="615"/>
      <c r="UQL1" s="615"/>
      <c r="UQM1" s="615"/>
      <c r="UQN1" s="615"/>
      <c r="UQO1" s="615"/>
      <c r="UQP1" s="615"/>
      <c r="UQQ1" s="615"/>
      <c r="UQR1" s="615"/>
      <c r="UQS1" s="615"/>
      <c r="UQT1" s="615"/>
      <c r="UQU1" s="615"/>
      <c r="UQV1" s="615"/>
      <c r="UQW1" s="615"/>
      <c r="UQX1" s="615"/>
      <c r="UQY1" s="615"/>
      <c r="UQZ1" s="615"/>
      <c r="URA1" s="615"/>
      <c r="URB1" s="615"/>
      <c r="URC1" s="615"/>
      <c r="URD1" s="615"/>
      <c r="URE1" s="615"/>
      <c r="URF1" s="615"/>
      <c r="URG1" s="615"/>
      <c r="URH1" s="615"/>
      <c r="URI1" s="615"/>
      <c r="URJ1" s="615"/>
      <c r="URK1" s="615"/>
      <c r="URL1" s="615"/>
      <c r="URM1" s="615"/>
      <c r="URN1" s="615"/>
      <c r="URO1" s="615"/>
      <c r="URP1" s="615"/>
      <c r="URQ1" s="615"/>
      <c r="URR1" s="615"/>
      <c r="URS1" s="615"/>
      <c r="URT1" s="615"/>
      <c r="URU1" s="615"/>
      <c r="URV1" s="615"/>
      <c r="URW1" s="615"/>
      <c r="URX1" s="615"/>
      <c r="URY1" s="615"/>
      <c r="URZ1" s="615"/>
      <c r="USA1" s="615"/>
      <c r="USB1" s="615"/>
      <c r="USC1" s="615"/>
      <c r="USD1" s="615"/>
      <c r="USE1" s="615"/>
      <c r="USF1" s="615"/>
      <c r="USG1" s="615"/>
      <c r="USH1" s="615"/>
      <c r="USI1" s="615"/>
      <c r="USJ1" s="615"/>
      <c r="USK1" s="615"/>
      <c r="USL1" s="615"/>
      <c r="USM1" s="615"/>
      <c r="USN1" s="615"/>
      <c r="USO1" s="615"/>
      <c r="USP1" s="615"/>
      <c r="USQ1" s="615"/>
      <c r="USR1" s="615"/>
      <c r="USS1" s="615"/>
      <c r="UST1" s="615"/>
      <c r="USU1" s="615"/>
      <c r="USV1" s="615"/>
      <c r="USW1" s="615"/>
      <c r="USX1" s="615"/>
      <c r="USY1" s="615"/>
      <c r="USZ1" s="615"/>
      <c r="UTA1" s="615"/>
      <c r="UTB1" s="615"/>
      <c r="UTC1" s="615"/>
      <c r="UTD1" s="615"/>
      <c r="UTE1" s="615"/>
      <c r="UTF1" s="615"/>
      <c r="UTG1" s="615"/>
      <c r="UTH1" s="615"/>
      <c r="UTI1" s="615"/>
      <c r="UTJ1" s="615"/>
      <c r="UTK1" s="615"/>
      <c r="UTL1" s="615"/>
      <c r="UTM1" s="615"/>
      <c r="UTN1" s="615"/>
      <c r="UTO1" s="615"/>
      <c r="UTP1" s="615"/>
      <c r="UTQ1" s="615"/>
      <c r="UTR1" s="615"/>
      <c r="UTS1" s="615"/>
      <c r="UTT1" s="615"/>
      <c r="UTU1" s="615"/>
      <c r="UTV1" s="615"/>
      <c r="UTW1" s="615"/>
      <c r="UTX1" s="615"/>
      <c r="UTY1" s="615"/>
      <c r="UTZ1" s="615"/>
      <c r="UUA1" s="615"/>
      <c r="UUB1" s="615"/>
      <c r="UUC1" s="615"/>
      <c r="UUD1" s="615"/>
      <c r="UUE1" s="615"/>
      <c r="UUF1" s="615"/>
      <c r="UUG1" s="615"/>
      <c r="UUH1" s="615"/>
      <c r="UUI1" s="615"/>
      <c r="UUJ1" s="615"/>
      <c r="UUK1" s="615"/>
      <c r="UUL1" s="615"/>
      <c r="UUM1" s="615"/>
      <c r="UUN1" s="615"/>
      <c r="UUO1" s="615"/>
      <c r="UUP1" s="615"/>
      <c r="UUQ1" s="615"/>
      <c r="UUR1" s="615"/>
      <c r="UUS1" s="615"/>
      <c r="UUT1" s="615"/>
      <c r="UUU1" s="615"/>
      <c r="UUV1" s="615"/>
      <c r="UUW1" s="615"/>
      <c r="UUX1" s="615"/>
      <c r="UUY1" s="615"/>
      <c r="UUZ1" s="615"/>
      <c r="UVA1" s="615"/>
      <c r="UVB1" s="615"/>
      <c r="UVC1" s="615"/>
      <c r="UVD1" s="615"/>
      <c r="UVE1" s="615"/>
      <c r="UVF1" s="615"/>
      <c r="UVG1" s="615"/>
      <c r="UVH1" s="615"/>
      <c r="UVI1" s="615"/>
      <c r="UVJ1" s="615"/>
      <c r="UVK1" s="615"/>
      <c r="UVL1" s="615"/>
      <c r="UVM1" s="615"/>
      <c r="UVN1" s="615"/>
      <c r="UVO1" s="615"/>
      <c r="UVP1" s="615"/>
      <c r="UVQ1" s="615"/>
      <c r="UVR1" s="615"/>
      <c r="UVS1" s="615"/>
      <c r="UVT1" s="615"/>
      <c r="UVU1" s="615"/>
      <c r="UVV1" s="615"/>
      <c r="UVW1" s="615"/>
      <c r="UVX1" s="615"/>
      <c r="UVY1" s="615"/>
      <c r="UVZ1" s="615"/>
      <c r="UWA1" s="615"/>
      <c r="UWB1" s="615"/>
      <c r="UWC1" s="615"/>
      <c r="UWD1" s="615"/>
      <c r="UWE1" s="615"/>
      <c r="UWF1" s="615"/>
      <c r="UWG1" s="615"/>
      <c r="UWH1" s="615"/>
      <c r="UWI1" s="615"/>
      <c r="UWJ1" s="615"/>
      <c r="UWK1" s="615"/>
      <c r="UWL1" s="615"/>
      <c r="UWM1" s="615"/>
      <c r="UWN1" s="615"/>
      <c r="UWO1" s="615"/>
      <c r="UWP1" s="615"/>
      <c r="UWQ1" s="615"/>
      <c r="UWR1" s="615"/>
      <c r="UWS1" s="615"/>
      <c r="UWT1" s="615"/>
      <c r="UWU1" s="615"/>
      <c r="UWV1" s="615"/>
      <c r="UWW1" s="615"/>
      <c r="UWX1" s="615"/>
      <c r="UWY1" s="615"/>
      <c r="UWZ1" s="615"/>
      <c r="UXA1" s="615"/>
      <c r="UXB1" s="615"/>
      <c r="UXC1" s="615"/>
      <c r="UXD1" s="615"/>
      <c r="UXE1" s="615"/>
      <c r="UXF1" s="615"/>
      <c r="UXG1" s="615"/>
      <c r="UXH1" s="615"/>
      <c r="UXI1" s="615"/>
      <c r="UXJ1" s="615"/>
      <c r="UXK1" s="615"/>
      <c r="UXL1" s="615"/>
      <c r="UXM1" s="615"/>
      <c r="UXN1" s="615"/>
      <c r="UXO1" s="615"/>
      <c r="UXP1" s="615"/>
      <c r="UXQ1" s="615"/>
      <c r="UXR1" s="615"/>
      <c r="UXS1" s="615"/>
      <c r="UXT1" s="615"/>
      <c r="UXU1" s="615"/>
      <c r="UXV1" s="615"/>
      <c r="UXW1" s="615"/>
      <c r="UXX1" s="615"/>
      <c r="UXY1" s="615"/>
      <c r="UXZ1" s="615"/>
      <c r="UYA1" s="615"/>
      <c r="UYB1" s="615"/>
      <c r="UYC1" s="615"/>
      <c r="UYD1" s="615"/>
      <c r="UYE1" s="615"/>
      <c r="UYF1" s="615"/>
      <c r="UYG1" s="615"/>
      <c r="UYH1" s="615"/>
      <c r="UYI1" s="615"/>
      <c r="UYJ1" s="615"/>
      <c r="UYK1" s="615"/>
      <c r="UYL1" s="615"/>
      <c r="UYM1" s="615"/>
      <c r="UYN1" s="615"/>
      <c r="UYO1" s="615"/>
      <c r="UYP1" s="615"/>
      <c r="UYQ1" s="615"/>
      <c r="UYR1" s="615"/>
      <c r="UYS1" s="615"/>
      <c r="UYT1" s="615"/>
      <c r="UYU1" s="615"/>
      <c r="UYV1" s="615"/>
      <c r="UYW1" s="615"/>
      <c r="UYX1" s="615"/>
      <c r="UYY1" s="615"/>
      <c r="UYZ1" s="615"/>
      <c r="UZA1" s="615"/>
      <c r="UZB1" s="615"/>
      <c r="UZC1" s="615"/>
      <c r="UZD1" s="615"/>
      <c r="UZE1" s="615"/>
      <c r="UZF1" s="615"/>
      <c r="UZG1" s="615"/>
      <c r="UZH1" s="615"/>
      <c r="UZI1" s="615"/>
      <c r="UZJ1" s="615"/>
      <c r="UZK1" s="615"/>
      <c r="UZL1" s="615"/>
      <c r="UZM1" s="615"/>
      <c r="UZN1" s="615"/>
      <c r="UZO1" s="615"/>
      <c r="UZP1" s="615"/>
      <c r="UZQ1" s="615"/>
      <c r="UZR1" s="615"/>
      <c r="UZS1" s="615"/>
      <c r="UZT1" s="615"/>
      <c r="UZU1" s="615"/>
      <c r="UZV1" s="615"/>
      <c r="UZW1" s="615"/>
      <c r="UZX1" s="615"/>
      <c r="UZY1" s="615"/>
      <c r="UZZ1" s="615"/>
      <c r="VAA1" s="615"/>
      <c r="VAB1" s="615"/>
      <c r="VAC1" s="615"/>
      <c r="VAD1" s="615"/>
      <c r="VAE1" s="615"/>
      <c r="VAF1" s="615"/>
      <c r="VAG1" s="615"/>
      <c r="VAH1" s="615"/>
      <c r="VAI1" s="615"/>
      <c r="VAJ1" s="615"/>
      <c r="VAK1" s="615"/>
      <c r="VAL1" s="615"/>
      <c r="VAM1" s="615"/>
      <c r="VAN1" s="615"/>
      <c r="VAO1" s="615"/>
      <c r="VAP1" s="615"/>
      <c r="VAQ1" s="615"/>
      <c r="VAR1" s="615"/>
      <c r="VAS1" s="615"/>
      <c r="VAT1" s="615"/>
      <c r="VAU1" s="615"/>
      <c r="VAV1" s="615"/>
      <c r="VAW1" s="615"/>
      <c r="VAX1" s="615"/>
      <c r="VAY1" s="615"/>
      <c r="VAZ1" s="615"/>
      <c r="VBA1" s="615"/>
      <c r="VBB1" s="615"/>
      <c r="VBC1" s="615"/>
      <c r="VBD1" s="615"/>
      <c r="VBE1" s="615"/>
      <c r="VBF1" s="615"/>
      <c r="VBG1" s="615"/>
      <c r="VBH1" s="615"/>
      <c r="VBI1" s="615"/>
      <c r="VBJ1" s="615"/>
      <c r="VBK1" s="615"/>
      <c r="VBL1" s="615"/>
      <c r="VBM1" s="615"/>
      <c r="VBN1" s="615"/>
      <c r="VBO1" s="615"/>
      <c r="VBP1" s="615"/>
      <c r="VBQ1" s="615"/>
      <c r="VBR1" s="615"/>
      <c r="VBS1" s="615"/>
      <c r="VBT1" s="615"/>
      <c r="VBU1" s="615"/>
      <c r="VBV1" s="615"/>
      <c r="VBW1" s="615"/>
      <c r="VBX1" s="615"/>
      <c r="VBY1" s="615"/>
      <c r="VBZ1" s="615"/>
      <c r="VCA1" s="615"/>
      <c r="VCB1" s="615"/>
      <c r="VCC1" s="615"/>
      <c r="VCD1" s="615"/>
      <c r="VCE1" s="615"/>
      <c r="VCF1" s="615"/>
      <c r="VCG1" s="615"/>
      <c r="VCH1" s="615"/>
      <c r="VCI1" s="615"/>
      <c r="VCJ1" s="615"/>
      <c r="VCK1" s="615"/>
      <c r="VCL1" s="615"/>
      <c r="VCM1" s="615"/>
      <c r="VCN1" s="615"/>
      <c r="VCO1" s="615"/>
      <c r="VCP1" s="615"/>
      <c r="VCQ1" s="615"/>
      <c r="VCR1" s="615"/>
      <c r="VCS1" s="615"/>
      <c r="VCT1" s="615"/>
      <c r="VCU1" s="615"/>
      <c r="VCV1" s="615"/>
      <c r="VCW1" s="615"/>
      <c r="VCX1" s="615"/>
      <c r="VCY1" s="615"/>
      <c r="VCZ1" s="615"/>
      <c r="VDA1" s="615"/>
      <c r="VDB1" s="615"/>
      <c r="VDC1" s="615"/>
      <c r="VDD1" s="615"/>
      <c r="VDE1" s="615"/>
      <c r="VDF1" s="615"/>
      <c r="VDG1" s="615"/>
      <c r="VDH1" s="615"/>
      <c r="VDI1" s="615"/>
      <c r="VDJ1" s="615"/>
      <c r="VDK1" s="615"/>
      <c r="VDL1" s="615"/>
      <c r="VDM1" s="615"/>
      <c r="VDN1" s="615"/>
      <c r="VDO1" s="615"/>
      <c r="VDP1" s="615"/>
      <c r="VDQ1" s="615"/>
      <c r="VDR1" s="615"/>
      <c r="VDS1" s="615"/>
      <c r="VDT1" s="615"/>
      <c r="VDU1" s="615"/>
      <c r="VDV1" s="615"/>
      <c r="VDW1" s="615"/>
      <c r="VDX1" s="615"/>
      <c r="VDY1" s="615"/>
      <c r="VDZ1" s="615"/>
      <c r="VEA1" s="615"/>
      <c r="VEB1" s="615"/>
      <c r="VEC1" s="615"/>
      <c r="VED1" s="615"/>
      <c r="VEE1" s="615"/>
      <c r="VEF1" s="615"/>
      <c r="VEG1" s="615"/>
      <c r="VEH1" s="615"/>
      <c r="VEI1" s="615"/>
      <c r="VEJ1" s="615"/>
      <c r="VEK1" s="615"/>
      <c r="VEL1" s="615"/>
      <c r="VEM1" s="615"/>
      <c r="VEN1" s="615"/>
      <c r="VEO1" s="615"/>
      <c r="VEP1" s="615"/>
      <c r="VEQ1" s="615"/>
      <c r="VER1" s="615"/>
      <c r="VES1" s="615"/>
      <c r="VET1" s="615"/>
      <c r="VEU1" s="615"/>
      <c r="VEV1" s="615"/>
      <c r="VEW1" s="615"/>
      <c r="VEX1" s="615"/>
      <c r="VEY1" s="615"/>
      <c r="VEZ1" s="615"/>
      <c r="VFA1" s="615"/>
      <c r="VFB1" s="615"/>
      <c r="VFC1" s="615"/>
      <c r="VFD1" s="615"/>
      <c r="VFE1" s="615"/>
      <c r="VFF1" s="615"/>
      <c r="VFG1" s="615"/>
      <c r="VFH1" s="615"/>
      <c r="VFI1" s="615"/>
      <c r="VFJ1" s="615"/>
      <c r="VFK1" s="615"/>
      <c r="VFL1" s="615"/>
      <c r="VFM1" s="615"/>
      <c r="VFN1" s="615"/>
      <c r="VFO1" s="615"/>
      <c r="VFP1" s="615"/>
      <c r="VFQ1" s="615"/>
      <c r="VFR1" s="615"/>
      <c r="VFS1" s="615"/>
      <c r="VFT1" s="615"/>
      <c r="VFU1" s="615"/>
      <c r="VFV1" s="615"/>
      <c r="VFW1" s="615"/>
      <c r="VFX1" s="615"/>
      <c r="VFY1" s="615"/>
      <c r="VFZ1" s="615"/>
      <c r="VGA1" s="615"/>
      <c r="VGB1" s="615"/>
      <c r="VGC1" s="615"/>
      <c r="VGD1" s="615"/>
      <c r="VGE1" s="615"/>
      <c r="VGF1" s="615"/>
      <c r="VGG1" s="615"/>
      <c r="VGH1" s="615"/>
      <c r="VGI1" s="615"/>
      <c r="VGJ1" s="615"/>
      <c r="VGK1" s="615"/>
      <c r="VGL1" s="615"/>
      <c r="VGM1" s="615"/>
      <c r="VGN1" s="615"/>
      <c r="VGO1" s="615"/>
      <c r="VGP1" s="615"/>
      <c r="VGQ1" s="615"/>
      <c r="VGR1" s="615"/>
      <c r="VGS1" s="615"/>
      <c r="VGT1" s="615"/>
      <c r="VGU1" s="615"/>
      <c r="VGV1" s="615"/>
      <c r="VGW1" s="615"/>
      <c r="VGX1" s="615"/>
      <c r="VGY1" s="615"/>
      <c r="VGZ1" s="615"/>
      <c r="VHA1" s="615"/>
      <c r="VHB1" s="615"/>
      <c r="VHC1" s="615"/>
      <c r="VHD1" s="615"/>
      <c r="VHE1" s="615"/>
      <c r="VHF1" s="615"/>
      <c r="VHG1" s="615"/>
      <c r="VHH1" s="615"/>
      <c r="VHI1" s="615"/>
      <c r="VHJ1" s="615"/>
      <c r="VHK1" s="615"/>
      <c r="VHL1" s="615"/>
      <c r="VHM1" s="615"/>
      <c r="VHN1" s="615"/>
      <c r="VHO1" s="615"/>
      <c r="VHP1" s="615"/>
      <c r="VHQ1" s="615"/>
      <c r="VHR1" s="615"/>
      <c r="VHS1" s="615"/>
      <c r="VHT1" s="615"/>
      <c r="VHU1" s="615"/>
      <c r="VHV1" s="615"/>
      <c r="VHW1" s="615"/>
      <c r="VHX1" s="615"/>
      <c r="VHY1" s="615"/>
      <c r="VHZ1" s="615"/>
      <c r="VIA1" s="615"/>
      <c r="VIB1" s="615"/>
      <c r="VIC1" s="615"/>
      <c r="VID1" s="615"/>
      <c r="VIE1" s="615"/>
      <c r="VIF1" s="615"/>
      <c r="VIG1" s="615"/>
      <c r="VIH1" s="615"/>
      <c r="VII1" s="615"/>
      <c r="VIJ1" s="615"/>
      <c r="VIK1" s="615"/>
      <c r="VIL1" s="615"/>
      <c r="VIM1" s="615"/>
      <c r="VIN1" s="615"/>
      <c r="VIO1" s="615"/>
      <c r="VIP1" s="615"/>
      <c r="VIQ1" s="615"/>
      <c r="VIR1" s="615"/>
      <c r="VIS1" s="615"/>
      <c r="VIT1" s="615"/>
      <c r="VIU1" s="615"/>
      <c r="VIV1" s="615"/>
      <c r="VIW1" s="615"/>
      <c r="VIX1" s="615"/>
      <c r="VIY1" s="615"/>
      <c r="VIZ1" s="615"/>
      <c r="VJA1" s="615"/>
      <c r="VJB1" s="615"/>
      <c r="VJC1" s="615"/>
      <c r="VJD1" s="615"/>
      <c r="VJE1" s="615"/>
      <c r="VJF1" s="615"/>
      <c r="VJG1" s="615"/>
      <c r="VJH1" s="615"/>
      <c r="VJI1" s="615"/>
      <c r="VJJ1" s="615"/>
      <c r="VJK1" s="615"/>
      <c r="VJL1" s="615"/>
      <c r="VJM1" s="615"/>
      <c r="VJN1" s="615"/>
      <c r="VJO1" s="615"/>
      <c r="VJP1" s="615"/>
      <c r="VJQ1" s="615"/>
      <c r="VJR1" s="615"/>
      <c r="VJS1" s="615"/>
      <c r="VJT1" s="615"/>
      <c r="VJU1" s="615"/>
      <c r="VJV1" s="615"/>
      <c r="VJW1" s="615"/>
      <c r="VJX1" s="615"/>
      <c r="VJY1" s="615"/>
      <c r="VJZ1" s="615"/>
      <c r="VKA1" s="615"/>
      <c r="VKB1" s="615"/>
      <c r="VKC1" s="615"/>
      <c r="VKD1" s="615"/>
      <c r="VKE1" s="615"/>
      <c r="VKF1" s="615"/>
      <c r="VKG1" s="615"/>
      <c r="VKH1" s="615"/>
      <c r="VKI1" s="615"/>
      <c r="VKJ1" s="615"/>
      <c r="VKK1" s="615"/>
      <c r="VKL1" s="615"/>
      <c r="VKM1" s="615"/>
      <c r="VKN1" s="615"/>
      <c r="VKO1" s="615"/>
      <c r="VKP1" s="615"/>
      <c r="VKQ1" s="615"/>
      <c r="VKR1" s="615"/>
      <c r="VKS1" s="615"/>
      <c r="VKT1" s="615"/>
      <c r="VKU1" s="615"/>
      <c r="VKV1" s="615"/>
      <c r="VKW1" s="615"/>
      <c r="VKX1" s="615"/>
      <c r="VKY1" s="615"/>
      <c r="VKZ1" s="615"/>
      <c r="VLA1" s="615"/>
      <c r="VLB1" s="615"/>
      <c r="VLC1" s="615"/>
      <c r="VLD1" s="615"/>
      <c r="VLE1" s="615"/>
      <c r="VLF1" s="615"/>
      <c r="VLG1" s="615"/>
      <c r="VLH1" s="615"/>
      <c r="VLI1" s="615"/>
      <c r="VLJ1" s="615"/>
      <c r="VLK1" s="615"/>
      <c r="VLL1" s="615"/>
      <c r="VLM1" s="615"/>
      <c r="VLN1" s="615"/>
      <c r="VLO1" s="615"/>
      <c r="VLP1" s="615"/>
      <c r="VLQ1" s="615"/>
      <c r="VLR1" s="615"/>
      <c r="VLS1" s="615"/>
      <c r="VLT1" s="615"/>
      <c r="VLU1" s="615"/>
      <c r="VLV1" s="615"/>
      <c r="VLW1" s="615"/>
      <c r="VLX1" s="615"/>
      <c r="VLY1" s="615"/>
      <c r="VLZ1" s="615"/>
      <c r="VMA1" s="615"/>
      <c r="VMB1" s="615"/>
      <c r="VMC1" s="615"/>
      <c r="VMD1" s="615"/>
      <c r="VME1" s="615"/>
      <c r="VMF1" s="615"/>
      <c r="VMG1" s="615"/>
      <c r="VMH1" s="615"/>
      <c r="VMI1" s="615"/>
      <c r="VMJ1" s="615"/>
      <c r="VMK1" s="615"/>
      <c r="VML1" s="615"/>
      <c r="VMM1" s="615"/>
      <c r="VMN1" s="615"/>
      <c r="VMO1" s="615"/>
      <c r="VMP1" s="615"/>
      <c r="VMQ1" s="615"/>
      <c r="VMR1" s="615"/>
      <c r="VMS1" s="615"/>
      <c r="VMT1" s="615"/>
      <c r="VMU1" s="615"/>
      <c r="VMV1" s="615"/>
      <c r="VMW1" s="615"/>
      <c r="VMX1" s="615"/>
      <c r="VMY1" s="615"/>
      <c r="VMZ1" s="615"/>
      <c r="VNA1" s="615"/>
      <c r="VNB1" s="615"/>
      <c r="VNC1" s="615"/>
      <c r="VND1" s="615"/>
      <c r="VNE1" s="615"/>
      <c r="VNF1" s="615"/>
      <c r="VNG1" s="615"/>
      <c r="VNH1" s="615"/>
      <c r="VNI1" s="615"/>
      <c r="VNJ1" s="615"/>
      <c r="VNK1" s="615"/>
      <c r="VNL1" s="615"/>
      <c r="VNM1" s="615"/>
      <c r="VNN1" s="615"/>
      <c r="VNO1" s="615"/>
      <c r="VNP1" s="615"/>
      <c r="VNQ1" s="615"/>
      <c r="VNR1" s="615"/>
      <c r="VNS1" s="615"/>
      <c r="VNT1" s="615"/>
      <c r="VNU1" s="615"/>
      <c r="VNV1" s="615"/>
      <c r="VNW1" s="615"/>
      <c r="VNX1" s="615"/>
      <c r="VNY1" s="615"/>
      <c r="VNZ1" s="615"/>
      <c r="VOA1" s="615"/>
      <c r="VOB1" s="615"/>
      <c r="VOC1" s="615"/>
      <c r="VOD1" s="615"/>
      <c r="VOE1" s="615"/>
      <c r="VOF1" s="615"/>
      <c r="VOG1" s="615"/>
      <c r="VOH1" s="615"/>
      <c r="VOI1" s="615"/>
      <c r="VOJ1" s="615"/>
      <c r="VOK1" s="615"/>
      <c r="VOL1" s="615"/>
      <c r="VOM1" s="615"/>
      <c r="VON1" s="615"/>
      <c r="VOO1" s="615"/>
      <c r="VOP1" s="615"/>
      <c r="VOQ1" s="615"/>
      <c r="VOR1" s="615"/>
      <c r="VOS1" s="615"/>
      <c r="VOT1" s="615"/>
      <c r="VOU1" s="615"/>
      <c r="VOV1" s="615"/>
      <c r="VOW1" s="615"/>
      <c r="VOX1" s="615"/>
      <c r="VOY1" s="615"/>
      <c r="VOZ1" s="615"/>
      <c r="VPA1" s="615"/>
      <c r="VPB1" s="615"/>
      <c r="VPC1" s="615"/>
      <c r="VPD1" s="615"/>
      <c r="VPE1" s="615"/>
      <c r="VPF1" s="615"/>
      <c r="VPG1" s="615"/>
      <c r="VPH1" s="615"/>
      <c r="VPI1" s="615"/>
      <c r="VPJ1" s="615"/>
      <c r="VPK1" s="615"/>
      <c r="VPL1" s="615"/>
      <c r="VPM1" s="615"/>
      <c r="VPN1" s="615"/>
      <c r="VPO1" s="615"/>
      <c r="VPP1" s="615"/>
      <c r="VPQ1" s="615"/>
      <c r="VPR1" s="615"/>
      <c r="VPS1" s="615"/>
      <c r="VPT1" s="615"/>
      <c r="VPU1" s="615"/>
      <c r="VPV1" s="615"/>
      <c r="VPW1" s="615"/>
      <c r="VPX1" s="615"/>
      <c r="VPY1" s="615"/>
      <c r="VPZ1" s="615"/>
      <c r="VQA1" s="615"/>
      <c r="VQB1" s="615"/>
      <c r="VQC1" s="615"/>
      <c r="VQD1" s="615"/>
      <c r="VQE1" s="615"/>
      <c r="VQF1" s="615"/>
      <c r="VQG1" s="615"/>
      <c r="VQH1" s="615"/>
      <c r="VQI1" s="615"/>
      <c r="VQJ1" s="615"/>
      <c r="VQK1" s="615"/>
      <c r="VQL1" s="615"/>
      <c r="VQM1" s="615"/>
      <c r="VQN1" s="615"/>
      <c r="VQO1" s="615"/>
      <c r="VQP1" s="615"/>
      <c r="VQQ1" s="615"/>
      <c r="VQR1" s="615"/>
      <c r="VQS1" s="615"/>
      <c r="VQT1" s="615"/>
      <c r="VQU1" s="615"/>
      <c r="VQV1" s="615"/>
      <c r="VQW1" s="615"/>
      <c r="VQX1" s="615"/>
      <c r="VQY1" s="615"/>
      <c r="VQZ1" s="615"/>
      <c r="VRA1" s="615"/>
      <c r="VRB1" s="615"/>
      <c r="VRC1" s="615"/>
      <c r="VRD1" s="615"/>
      <c r="VRE1" s="615"/>
      <c r="VRF1" s="615"/>
      <c r="VRG1" s="615"/>
      <c r="VRH1" s="615"/>
      <c r="VRI1" s="615"/>
      <c r="VRJ1" s="615"/>
      <c r="VRK1" s="615"/>
      <c r="VRL1" s="615"/>
      <c r="VRM1" s="615"/>
      <c r="VRN1" s="615"/>
      <c r="VRO1" s="615"/>
      <c r="VRP1" s="615"/>
      <c r="VRQ1" s="615"/>
      <c r="VRR1" s="615"/>
      <c r="VRS1" s="615"/>
      <c r="VRT1" s="615"/>
      <c r="VRU1" s="615"/>
      <c r="VRV1" s="615"/>
      <c r="VRW1" s="615"/>
      <c r="VRX1" s="615"/>
      <c r="VRY1" s="615"/>
      <c r="VRZ1" s="615"/>
      <c r="VSA1" s="615"/>
      <c r="VSB1" s="615"/>
      <c r="VSC1" s="615"/>
      <c r="VSD1" s="615"/>
      <c r="VSE1" s="615"/>
      <c r="VSF1" s="615"/>
      <c r="VSG1" s="615"/>
      <c r="VSH1" s="615"/>
      <c r="VSI1" s="615"/>
      <c r="VSJ1" s="615"/>
      <c r="VSK1" s="615"/>
      <c r="VSL1" s="615"/>
      <c r="VSM1" s="615"/>
      <c r="VSN1" s="615"/>
      <c r="VSO1" s="615"/>
      <c r="VSP1" s="615"/>
      <c r="VSQ1" s="615"/>
      <c r="VSR1" s="615"/>
      <c r="VSS1" s="615"/>
      <c r="VST1" s="615"/>
      <c r="VSU1" s="615"/>
      <c r="VSV1" s="615"/>
      <c r="VSW1" s="615"/>
      <c r="VSX1" s="615"/>
      <c r="VSY1" s="615"/>
      <c r="VSZ1" s="615"/>
      <c r="VTA1" s="615"/>
      <c r="VTB1" s="615"/>
      <c r="VTC1" s="615"/>
      <c r="VTD1" s="615"/>
      <c r="VTE1" s="615"/>
      <c r="VTF1" s="615"/>
      <c r="VTG1" s="615"/>
      <c r="VTH1" s="615"/>
      <c r="VTI1" s="615"/>
      <c r="VTJ1" s="615"/>
      <c r="VTK1" s="615"/>
      <c r="VTL1" s="615"/>
      <c r="VTM1" s="615"/>
      <c r="VTN1" s="615"/>
      <c r="VTO1" s="615"/>
      <c r="VTP1" s="615"/>
      <c r="VTQ1" s="615"/>
      <c r="VTR1" s="615"/>
      <c r="VTS1" s="615"/>
      <c r="VTT1" s="615"/>
      <c r="VTU1" s="615"/>
      <c r="VTV1" s="615"/>
      <c r="VTW1" s="615"/>
      <c r="VTX1" s="615"/>
      <c r="VTY1" s="615"/>
      <c r="VTZ1" s="615"/>
      <c r="VUA1" s="615"/>
      <c r="VUB1" s="615"/>
      <c r="VUC1" s="615"/>
      <c r="VUD1" s="615"/>
      <c r="VUE1" s="615"/>
      <c r="VUF1" s="615"/>
      <c r="VUG1" s="615"/>
      <c r="VUH1" s="615"/>
      <c r="VUI1" s="615"/>
      <c r="VUJ1" s="615"/>
      <c r="VUK1" s="615"/>
      <c r="VUL1" s="615"/>
      <c r="VUM1" s="615"/>
      <c r="VUN1" s="615"/>
      <c r="VUO1" s="615"/>
      <c r="VUP1" s="615"/>
      <c r="VUQ1" s="615"/>
      <c r="VUR1" s="615"/>
      <c r="VUS1" s="615"/>
      <c r="VUT1" s="615"/>
      <c r="VUU1" s="615"/>
      <c r="VUV1" s="615"/>
      <c r="VUW1" s="615"/>
      <c r="VUX1" s="615"/>
      <c r="VUY1" s="615"/>
      <c r="VUZ1" s="615"/>
      <c r="VVA1" s="615"/>
      <c r="VVB1" s="615"/>
      <c r="VVC1" s="615"/>
      <c r="VVD1" s="615"/>
      <c r="VVE1" s="615"/>
      <c r="VVF1" s="615"/>
      <c r="VVG1" s="615"/>
      <c r="VVH1" s="615"/>
      <c r="VVI1" s="615"/>
      <c r="VVJ1" s="615"/>
      <c r="VVK1" s="615"/>
      <c r="VVL1" s="615"/>
      <c r="VVM1" s="615"/>
      <c r="VVN1" s="615"/>
      <c r="VVO1" s="615"/>
      <c r="VVP1" s="615"/>
      <c r="VVQ1" s="615"/>
      <c r="VVR1" s="615"/>
      <c r="VVS1" s="615"/>
      <c r="VVT1" s="615"/>
      <c r="VVU1" s="615"/>
      <c r="VVV1" s="615"/>
      <c r="VVW1" s="615"/>
      <c r="VVX1" s="615"/>
      <c r="VVY1" s="615"/>
      <c r="VVZ1" s="615"/>
      <c r="VWA1" s="615"/>
      <c r="VWB1" s="615"/>
      <c r="VWC1" s="615"/>
      <c r="VWD1" s="615"/>
      <c r="VWE1" s="615"/>
      <c r="VWF1" s="615"/>
      <c r="VWG1" s="615"/>
      <c r="VWH1" s="615"/>
      <c r="VWI1" s="615"/>
      <c r="VWJ1" s="615"/>
      <c r="VWK1" s="615"/>
      <c r="VWL1" s="615"/>
      <c r="VWM1" s="615"/>
      <c r="VWN1" s="615"/>
      <c r="VWO1" s="615"/>
      <c r="VWP1" s="615"/>
      <c r="VWQ1" s="615"/>
      <c r="VWR1" s="615"/>
      <c r="VWS1" s="615"/>
      <c r="VWT1" s="615"/>
      <c r="VWU1" s="615"/>
      <c r="VWV1" s="615"/>
      <c r="VWW1" s="615"/>
      <c r="VWX1" s="615"/>
      <c r="VWY1" s="615"/>
      <c r="VWZ1" s="615"/>
      <c r="VXA1" s="615"/>
      <c r="VXB1" s="615"/>
      <c r="VXC1" s="615"/>
      <c r="VXD1" s="615"/>
      <c r="VXE1" s="615"/>
      <c r="VXF1" s="615"/>
      <c r="VXG1" s="615"/>
      <c r="VXH1" s="615"/>
      <c r="VXI1" s="615"/>
      <c r="VXJ1" s="615"/>
      <c r="VXK1" s="615"/>
      <c r="VXL1" s="615"/>
      <c r="VXM1" s="615"/>
      <c r="VXN1" s="615"/>
      <c r="VXO1" s="615"/>
      <c r="VXP1" s="615"/>
      <c r="VXQ1" s="615"/>
      <c r="VXR1" s="615"/>
      <c r="VXS1" s="615"/>
      <c r="VXT1" s="615"/>
      <c r="VXU1" s="615"/>
      <c r="VXV1" s="615"/>
      <c r="VXW1" s="615"/>
      <c r="VXX1" s="615"/>
      <c r="VXY1" s="615"/>
      <c r="VXZ1" s="615"/>
      <c r="VYA1" s="615"/>
      <c r="VYB1" s="615"/>
      <c r="VYC1" s="615"/>
      <c r="VYD1" s="615"/>
      <c r="VYE1" s="615"/>
      <c r="VYF1" s="615"/>
      <c r="VYG1" s="615"/>
      <c r="VYH1" s="615"/>
      <c r="VYI1" s="615"/>
      <c r="VYJ1" s="615"/>
      <c r="VYK1" s="615"/>
      <c r="VYL1" s="615"/>
      <c r="VYM1" s="615"/>
      <c r="VYN1" s="615"/>
      <c r="VYO1" s="615"/>
      <c r="VYP1" s="615"/>
      <c r="VYQ1" s="615"/>
      <c r="VYR1" s="615"/>
      <c r="VYS1" s="615"/>
      <c r="VYT1" s="615"/>
      <c r="VYU1" s="615"/>
      <c r="VYV1" s="615"/>
      <c r="VYW1" s="615"/>
      <c r="VYX1" s="615"/>
      <c r="VYY1" s="615"/>
      <c r="VYZ1" s="615"/>
      <c r="VZA1" s="615"/>
      <c r="VZB1" s="615"/>
      <c r="VZC1" s="615"/>
      <c r="VZD1" s="615"/>
      <c r="VZE1" s="615"/>
      <c r="VZF1" s="615"/>
      <c r="VZG1" s="615"/>
      <c r="VZH1" s="615"/>
      <c r="VZI1" s="615"/>
      <c r="VZJ1" s="615"/>
      <c r="VZK1" s="615"/>
      <c r="VZL1" s="615"/>
      <c r="VZM1" s="615"/>
      <c r="VZN1" s="615"/>
      <c r="VZO1" s="615"/>
      <c r="VZP1" s="615"/>
      <c r="VZQ1" s="615"/>
      <c r="VZR1" s="615"/>
      <c r="VZS1" s="615"/>
      <c r="VZT1" s="615"/>
      <c r="VZU1" s="615"/>
      <c r="VZV1" s="615"/>
      <c r="VZW1" s="615"/>
      <c r="VZX1" s="615"/>
      <c r="VZY1" s="615"/>
      <c r="VZZ1" s="615"/>
      <c r="WAA1" s="615"/>
      <c r="WAB1" s="615"/>
      <c r="WAC1" s="615"/>
      <c r="WAD1" s="615"/>
      <c r="WAE1" s="615"/>
      <c r="WAF1" s="615"/>
      <c r="WAG1" s="615"/>
      <c r="WAH1" s="615"/>
      <c r="WAI1" s="615"/>
      <c r="WAJ1" s="615"/>
      <c r="WAK1" s="615"/>
      <c r="WAL1" s="615"/>
      <c r="WAM1" s="615"/>
      <c r="WAN1" s="615"/>
      <c r="WAO1" s="615"/>
      <c r="WAP1" s="615"/>
      <c r="WAQ1" s="615"/>
      <c r="WAR1" s="615"/>
      <c r="WAS1" s="615"/>
      <c r="WAT1" s="615"/>
      <c r="WAU1" s="615"/>
      <c r="WAV1" s="615"/>
      <c r="WAW1" s="615"/>
      <c r="WAX1" s="615"/>
      <c r="WAY1" s="615"/>
      <c r="WAZ1" s="615"/>
      <c r="WBA1" s="615"/>
      <c r="WBB1" s="615"/>
      <c r="WBC1" s="615"/>
      <c r="WBD1" s="615"/>
      <c r="WBE1" s="615"/>
      <c r="WBF1" s="615"/>
      <c r="WBG1" s="615"/>
      <c r="WBH1" s="615"/>
      <c r="WBI1" s="615"/>
      <c r="WBJ1" s="615"/>
      <c r="WBK1" s="615"/>
      <c r="WBL1" s="615"/>
      <c r="WBM1" s="615"/>
      <c r="WBN1" s="615"/>
      <c r="WBO1" s="615"/>
      <c r="WBP1" s="615"/>
      <c r="WBQ1" s="615"/>
      <c r="WBR1" s="615"/>
      <c r="WBS1" s="615"/>
      <c r="WBT1" s="615"/>
      <c r="WBU1" s="615"/>
      <c r="WBV1" s="615"/>
      <c r="WBW1" s="615"/>
      <c r="WBX1" s="615"/>
      <c r="WBY1" s="615"/>
      <c r="WBZ1" s="615"/>
      <c r="WCA1" s="615"/>
      <c r="WCB1" s="615"/>
      <c r="WCC1" s="615"/>
      <c r="WCD1" s="615"/>
      <c r="WCE1" s="615"/>
      <c r="WCF1" s="615"/>
      <c r="WCG1" s="615"/>
      <c r="WCH1" s="615"/>
      <c r="WCI1" s="615"/>
      <c r="WCJ1" s="615"/>
      <c r="WCK1" s="615"/>
      <c r="WCL1" s="615"/>
      <c r="WCM1" s="615"/>
      <c r="WCN1" s="615"/>
      <c r="WCO1" s="615"/>
      <c r="WCP1" s="615"/>
      <c r="WCQ1" s="615"/>
      <c r="WCR1" s="615"/>
      <c r="WCS1" s="615"/>
      <c r="WCT1" s="615"/>
      <c r="WCU1" s="615"/>
      <c r="WCV1" s="615"/>
      <c r="WCW1" s="615"/>
      <c r="WCX1" s="615"/>
      <c r="WCY1" s="615"/>
      <c r="WCZ1" s="615"/>
      <c r="WDA1" s="615"/>
      <c r="WDB1" s="615"/>
      <c r="WDC1" s="615"/>
      <c r="WDD1" s="615"/>
      <c r="WDE1" s="615"/>
      <c r="WDF1" s="615"/>
      <c r="WDG1" s="615"/>
      <c r="WDH1" s="615"/>
      <c r="WDI1" s="615"/>
      <c r="WDJ1" s="615"/>
      <c r="WDK1" s="615"/>
      <c r="WDL1" s="615"/>
      <c r="WDM1" s="615"/>
      <c r="WDN1" s="615"/>
      <c r="WDO1" s="615"/>
      <c r="WDP1" s="615"/>
      <c r="WDQ1" s="615"/>
      <c r="WDR1" s="615"/>
      <c r="WDS1" s="615"/>
      <c r="WDT1" s="615"/>
      <c r="WDU1" s="615"/>
      <c r="WDV1" s="615"/>
      <c r="WDW1" s="615"/>
      <c r="WDX1" s="615"/>
      <c r="WDY1" s="615"/>
      <c r="WDZ1" s="615"/>
      <c r="WEA1" s="615"/>
      <c r="WEB1" s="615"/>
      <c r="WEC1" s="615"/>
      <c r="WED1" s="615"/>
      <c r="WEE1" s="615"/>
      <c r="WEF1" s="615"/>
      <c r="WEG1" s="615"/>
      <c r="WEH1" s="615"/>
      <c r="WEI1" s="615"/>
      <c r="WEJ1" s="615"/>
      <c r="WEK1" s="615"/>
      <c r="WEL1" s="615"/>
      <c r="WEM1" s="615"/>
      <c r="WEN1" s="615"/>
      <c r="WEO1" s="615"/>
      <c r="WEP1" s="615"/>
      <c r="WEQ1" s="615"/>
      <c r="WER1" s="615"/>
      <c r="WES1" s="615"/>
      <c r="WET1" s="615"/>
      <c r="WEU1" s="615"/>
      <c r="WEV1" s="615"/>
      <c r="WEW1" s="615"/>
      <c r="WEX1" s="615"/>
      <c r="WEY1" s="615"/>
      <c r="WEZ1" s="615"/>
      <c r="WFA1" s="615"/>
      <c r="WFB1" s="615"/>
      <c r="WFC1" s="615"/>
      <c r="WFD1" s="615"/>
      <c r="WFE1" s="615"/>
      <c r="WFF1" s="615"/>
      <c r="WFG1" s="615"/>
      <c r="WFH1" s="615"/>
      <c r="WFI1" s="615"/>
      <c r="WFJ1" s="615"/>
      <c r="WFK1" s="615"/>
      <c r="WFL1" s="615"/>
      <c r="WFM1" s="615"/>
      <c r="WFN1" s="615"/>
      <c r="WFO1" s="615"/>
      <c r="WFP1" s="615"/>
      <c r="WFQ1" s="615"/>
      <c r="WFR1" s="615"/>
      <c r="WFS1" s="615"/>
      <c r="WFT1" s="615"/>
      <c r="WFU1" s="615"/>
      <c r="WFV1" s="615"/>
      <c r="WFW1" s="615"/>
      <c r="WFX1" s="615"/>
      <c r="WFY1" s="615"/>
      <c r="WFZ1" s="615"/>
      <c r="WGA1" s="615"/>
      <c r="WGB1" s="615"/>
      <c r="WGC1" s="615"/>
      <c r="WGD1" s="615"/>
      <c r="WGE1" s="615"/>
      <c r="WGF1" s="615"/>
      <c r="WGG1" s="615"/>
      <c r="WGH1" s="615"/>
      <c r="WGI1" s="615"/>
      <c r="WGJ1" s="615"/>
      <c r="WGK1" s="615"/>
      <c r="WGL1" s="615"/>
      <c r="WGM1" s="615"/>
      <c r="WGN1" s="615"/>
      <c r="WGO1" s="615"/>
      <c r="WGP1" s="615"/>
      <c r="WGQ1" s="615"/>
      <c r="WGR1" s="615"/>
      <c r="WGS1" s="615"/>
      <c r="WGT1" s="615"/>
      <c r="WGU1" s="615"/>
      <c r="WGV1" s="615"/>
      <c r="WGW1" s="615"/>
      <c r="WGX1" s="615"/>
      <c r="WGY1" s="615"/>
      <c r="WGZ1" s="615"/>
      <c r="WHA1" s="615"/>
      <c r="WHB1" s="615"/>
      <c r="WHC1" s="615"/>
      <c r="WHD1" s="615"/>
      <c r="WHE1" s="615"/>
      <c r="WHF1" s="615"/>
      <c r="WHG1" s="615"/>
      <c r="WHH1" s="615"/>
      <c r="WHI1" s="615"/>
      <c r="WHJ1" s="615"/>
      <c r="WHK1" s="615"/>
      <c r="WHL1" s="615"/>
      <c r="WHM1" s="615"/>
      <c r="WHN1" s="615"/>
      <c r="WHO1" s="615"/>
      <c r="WHP1" s="615"/>
      <c r="WHQ1" s="615"/>
      <c r="WHR1" s="615"/>
      <c r="WHS1" s="615"/>
      <c r="WHT1" s="615"/>
      <c r="WHU1" s="615"/>
      <c r="WHV1" s="615"/>
      <c r="WHW1" s="615"/>
      <c r="WHX1" s="615"/>
      <c r="WHY1" s="615"/>
      <c r="WHZ1" s="615"/>
      <c r="WIA1" s="615"/>
      <c r="WIB1" s="615"/>
      <c r="WIC1" s="615"/>
      <c r="WID1" s="615"/>
      <c r="WIE1" s="615"/>
      <c r="WIF1" s="615"/>
      <c r="WIG1" s="615"/>
      <c r="WIH1" s="615"/>
      <c r="WII1" s="615"/>
      <c r="WIJ1" s="615"/>
      <c r="WIK1" s="615"/>
      <c r="WIL1" s="615"/>
      <c r="WIM1" s="615"/>
      <c r="WIN1" s="615"/>
      <c r="WIO1" s="615"/>
      <c r="WIP1" s="615"/>
      <c r="WIQ1" s="615"/>
      <c r="WIR1" s="615"/>
      <c r="WIS1" s="615"/>
      <c r="WIT1" s="615"/>
      <c r="WIU1" s="615"/>
      <c r="WIV1" s="615"/>
      <c r="WIW1" s="615"/>
      <c r="WIX1" s="615"/>
      <c r="WIY1" s="615"/>
      <c r="WIZ1" s="615"/>
      <c r="WJA1" s="615"/>
      <c r="WJB1" s="615"/>
      <c r="WJC1" s="615"/>
      <c r="WJD1" s="615"/>
      <c r="WJE1" s="615"/>
      <c r="WJF1" s="615"/>
      <c r="WJG1" s="615"/>
      <c r="WJH1" s="615"/>
      <c r="WJI1" s="615"/>
      <c r="WJJ1" s="615"/>
      <c r="WJK1" s="615"/>
      <c r="WJL1" s="615"/>
      <c r="WJM1" s="615"/>
      <c r="WJN1" s="615"/>
      <c r="WJO1" s="615"/>
      <c r="WJP1" s="615"/>
      <c r="WJQ1" s="615"/>
      <c r="WJR1" s="615"/>
      <c r="WJS1" s="615"/>
      <c r="WJT1" s="615"/>
      <c r="WJU1" s="615"/>
      <c r="WJV1" s="615"/>
      <c r="WJW1" s="615"/>
      <c r="WJX1" s="615"/>
      <c r="WJY1" s="615"/>
      <c r="WJZ1" s="615"/>
      <c r="WKA1" s="615"/>
      <c r="WKB1" s="615"/>
      <c r="WKC1" s="615"/>
      <c r="WKD1" s="615"/>
      <c r="WKE1" s="615"/>
      <c r="WKF1" s="615"/>
      <c r="WKG1" s="615"/>
      <c r="WKH1" s="615"/>
      <c r="WKI1" s="615"/>
      <c r="WKJ1" s="615"/>
      <c r="WKK1" s="615"/>
      <c r="WKL1" s="615"/>
      <c r="WKM1" s="615"/>
      <c r="WKN1" s="615"/>
      <c r="WKO1" s="615"/>
      <c r="WKP1" s="615"/>
      <c r="WKQ1" s="615"/>
      <c r="WKR1" s="615"/>
      <c r="WKS1" s="615"/>
      <c r="WKT1" s="615"/>
      <c r="WKU1" s="615"/>
      <c r="WKV1" s="615"/>
      <c r="WKW1" s="615"/>
      <c r="WKX1" s="615"/>
      <c r="WKY1" s="615"/>
      <c r="WKZ1" s="615"/>
      <c r="WLA1" s="615"/>
      <c r="WLB1" s="615"/>
      <c r="WLC1" s="615"/>
      <c r="WLD1" s="615"/>
      <c r="WLE1" s="615"/>
      <c r="WLF1" s="615"/>
      <c r="WLG1" s="615"/>
      <c r="WLH1" s="615"/>
      <c r="WLI1" s="615"/>
      <c r="WLJ1" s="615"/>
      <c r="WLK1" s="615"/>
      <c r="WLL1" s="615"/>
      <c r="WLM1" s="615"/>
      <c r="WLN1" s="615"/>
      <c r="WLO1" s="615"/>
      <c r="WLP1" s="615"/>
      <c r="WLQ1" s="615"/>
      <c r="WLR1" s="615"/>
      <c r="WLS1" s="615"/>
      <c r="WLT1" s="615"/>
      <c r="WLU1" s="615"/>
      <c r="WLV1" s="615"/>
      <c r="WLW1" s="615"/>
      <c r="WLX1" s="615"/>
      <c r="WLY1" s="615"/>
      <c r="WLZ1" s="615"/>
      <c r="WMA1" s="615"/>
      <c r="WMB1" s="615"/>
      <c r="WMC1" s="615"/>
      <c r="WMD1" s="615"/>
      <c r="WME1" s="615"/>
      <c r="WMF1" s="615"/>
      <c r="WMG1" s="615"/>
      <c r="WMH1" s="615"/>
      <c r="WMI1" s="615"/>
      <c r="WMJ1" s="615"/>
      <c r="WMK1" s="615"/>
      <c r="WML1" s="615"/>
      <c r="WMM1" s="615"/>
      <c r="WMN1" s="615"/>
      <c r="WMO1" s="615"/>
      <c r="WMP1" s="615"/>
      <c r="WMQ1" s="615"/>
      <c r="WMR1" s="615"/>
      <c r="WMS1" s="615"/>
      <c r="WMT1" s="615"/>
      <c r="WMU1" s="615"/>
      <c r="WMV1" s="615"/>
      <c r="WMW1" s="615"/>
      <c r="WMX1" s="615"/>
      <c r="WMY1" s="615"/>
      <c r="WMZ1" s="615"/>
      <c r="WNA1" s="615"/>
      <c r="WNB1" s="615"/>
      <c r="WNC1" s="615"/>
      <c r="WND1" s="615"/>
      <c r="WNE1" s="615"/>
      <c r="WNF1" s="615"/>
      <c r="WNG1" s="615"/>
      <c r="WNH1" s="615"/>
      <c r="WNI1" s="615"/>
      <c r="WNJ1" s="615"/>
      <c r="WNK1" s="615"/>
      <c r="WNL1" s="615"/>
      <c r="WNM1" s="615"/>
      <c r="WNN1" s="615"/>
      <c r="WNO1" s="615"/>
      <c r="WNP1" s="615"/>
      <c r="WNQ1" s="615"/>
      <c r="WNR1" s="615"/>
      <c r="WNS1" s="615"/>
      <c r="WNT1" s="615"/>
      <c r="WNU1" s="615"/>
      <c r="WNV1" s="615"/>
      <c r="WNW1" s="615"/>
      <c r="WNX1" s="615"/>
      <c r="WNY1" s="615"/>
      <c r="WNZ1" s="615"/>
      <c r="WOA1" s="615"/>
      <c r="WOB1" s="615"/>
      <c r="WOC1" s="615"/>
      <c r="WOD1" s="615"/>
      <c r="WOE1" s="615"/>
      <c r="WOF1" s="615"/>
      <c r="WOG1" s="615"/>
      <c r="WOH1" s="615"/>
      <c r="WOI1" s="615"/>
      <c r="WOJ1" s="615"/>
      <c r="WOK1" s="615"/>
      <c r="WOL1" s="615"/>
      <c r="WOM1" s="615"/>
      <c r="WON1" s="615"/>
      <c r="WOO1" s="615"/>
      <c r="WOP1" s="615"/>
      <c r="WOQ1" s="615"/>
      <c r="WOR1" s="615"/>
      <c r="WOS1" s="615"/>
      <c r="WOT1" s="615"/>
      <c r="WOU1" s="615"/>
      <c r="WOV1" s="615"/>
      <c r="WOW1" s="615"/>
      <c r="WOX1" s="615"/>
      <c r="WOY1" s="615"/>
      <c r="WOZ1" s="615"/>
      <c r="WPA1" s="615"/>
      <c r="WPB1" s="615"/>
      <c r="WPC1" s="615"/>
      <c r="WPD1" s="615"/>
      <c r="WPE1" s="615"/>
      <c r="WPF1" s="615"/>
      <c r="WPG1" s="615"/>
      <c r="WPH1" s="615"/>
      <c r="WPI1" s="615"/>
      <c r="WPJ1" s="615"/>
      <c r="WPK1" s="615"/>
      <c r="WPL1" s="615"/>
      <c r="WPM1" s="615"/>
      <c r="WPN1" s="615"/>
      <c r="WPO1" s="615"/>
      <c r="WPP1" s="615"/>
      <c r="WPQ1" s="615"/>
      <c r="WPR1" s="615"/>
      <c r="WPS1" s="615"/>
      <c r="WPT1" s="615"/>
      <c r="WPU1" s="615"/>
      <c r="WPV1" s="615"/>
      <c r="WPW1" s="615"/>
      <c r="WPX1" s="615"/>
      <c r="WPY1" s="615"/>
      <c r="WPZ1" s="615"/>
      <c r="WQA1" s="615"/>
      <c r="WQB1" s="615"/>
      <c r="WQC1" s="615"/>
      <c r="WQD1" s="615"/>
      <c r="WQE1" s="615"/>
      <c r="WQF1" s="615"/>
      <c r="WQG1" s="615"/>
      <c r="WQH1" s="615"/>
      <c r="WQI1" s="615"/>
      <c r="WQJ1" s="615"/>
      <c r="WQK1" s="615"/>
      <c r="WQL1" s="615"/>
      <c r="WQM1" s="615"/>
      <c r="WQN1" s="615"/>
      <c r="WQO1" s="615"/>
      <c r="WQP1" s="615"/>
      <c r="WQQ1" s="615"/>
      <c r="WQR1" s="615"/>
      <c r="WQS1" s="615"/>
      <c r="WQT1" s="615"/>
      <c r="WQU1" s="615"/>
      <c r="WQV1" s="615"/>
      <c r="WQW1" s="615"/>
      <c r="WQX1" s="615"/>
      <c r="WQY1" s="615"/>
      <c r="WQZ1" s="615"/>
      <c r="WRA1" s="615"/>
      <c r="WRB1" s="615"/>
      <c r="WRC1" s="615"/>
      <c r="WRD1" s="615"/>
      <c r="WRE1" s="615"/>
      <c r="WRF1" s="615"/>
      <c r="WRG1" s="615"/>
      <c r="WRH1" s="615"/>
      <c r="WRI1" s="615"/>
      <c r="WRJ1" s="615"/>
      <c r="WRK1" s="615"/>
      <c r="WRL1" s="615"/>
      <c r="WRM1" s="615"/>
      <c r="WRN1" s="615"/>
      <c r="WRO1" s="615"/>
      <c r="WRP1" s="615"/>
      <c r="WRQ1" s="615"/>
      <c r="WRR1" s="615"/>
      <c r="WRS1" s="615"/>
      <c r="WRT1" s="615"/>
      <c r="WRU1" s="615"/>
      <c r="WRV1" s="615"/>
      <c r="WRW1" s="615"/>
      <c r="WRX1" s="615"/>
      <c r="WRY1" s="615"/>
      <c r="WRZ1" s="615"/>
      <c r="WSA1" s="615"/>
      <c r="WSB1" s="615"/>
      <c r="WSC1" s="615"/>
      <c r="WSD1" s="615"/>
      <c r="WSE1" s="615"/>
      <c r="WSF1" s="615"/>
      <c r="WSG1" s="615"/>
      <c r="WSH1" s="615"/>
      <c r="WSI1" s="615"/>
      <c r="WSJ1" s="615"/>
      <c r="WSK1" s="615"/>
      <c r="WSL1" s="615"/>
      <c r="WSM1" s="615"/>
      <c r="WSN1" s="615"/>
      <c r="WSO1" s="615"/>
      <c r="WSP1" s="615"/>
      <c r="WSQ1" s="615"/>
      <c r="WSR1" s="615"/>
      <c r="WSS1" s="615"/>
      <c r="WST1" s="615"/>
      <c r="WSU1" s="615"/>
      <c r="WSV1" s="615"/>
      <c r="WSW1" s="615"/>
      <c r="WSX1" s="615"/>
      <c r="WSY1" s="615"/>
      <c r="WSZ1" s="615"/>
      <c r="WTA1" s="615"/>
      <c r="WTB1" s="615"/>
      <c r="WTC1" s="615"/>
      <c r="WTD1" s="615"/>
      <c r="WTE1" s="615"/>
      <c r="WTF1" s="615"/>
      <c r="WTG1" s="615"/>
      <c r="WTH1" s="615"/>
      <c r="WTI1" s="615"/>
      <c r="WTJ1" s="615"/>
      <c r="WTK1" s="615"/>
      <c r="WTL1" s="615"/>
      <c r="WTM1" s="615"/>
      <c r="WTN1" s="615"/>
      <c r="WTO1" s="615"/>
      <c r="WTP1" s="615"/>
      <c r="WTQ1" s="615"/>
      <c r="WTR1" s="615"/>
      <c r="WTS1" s="615"/>
      <c r="WTT1" s="615"/>
      <c r="WTU1" s="615"/>
      <c r="WTV1" s="615"/>
      <c r="WTW1" s="615"/>
      <c r="WTX1" s="615"/>
      <c r="WTY1" s="615"/>
      <c r="WTZ1" s="615"/>
      <c r="WUA1" s="615"/>
      <c r="WUB1" s="615"/>
      <c r="WUC1" s="615"/>
      <c r="WUD1" s="615"/>
      <c r="WUE1" s="615"/>
      <c r="WUF1" s="615"/>
      <c r="WUG1" s="615"/>
      <c r="WUH1" s="615"/>
      <c r="WUI1" s="615"/>
      <c r="WUJ1" s="615"/>
      <c r="WUK1" s="615"/>
      <c r="WUL1" s="615"/>
      <c r="WUM1" s="615"/>
      <c r="WUN1" s="615"/>
      <c r="WUO1" s="615"/>
      <c r="WUP1" s="615"/>
      <c r="WUQ1" s="615"/>
      <c r="WUR1" s="615"/>
      <c r="WUS1" s="615"/>
      <c r="WUT1" s="615"/>
      <c r="WUU1" s="615"/>
      <c r="WUV1" s="615"/>
      <c r="WUW1" s="615"/>
      <c r="WUX1" s="615"/>
      <c r="WUY1" s="615"/>
      <c r="WUZ1" s="615"/>
      <c r="WVA1" s="615"/>
      <c r="WVB1" s="615"/>
      <c r="WVC1" s="615"/>
      <c r="WVD1" s="615"/>
      <c r="WVE1" s="615"/>
      <c r="WVF1" s="615"/>
      <c r="WVG1" s="615"/>
      <c r="WVH1" s="615"/>
      <c r="WVI1" s="615"/>
      <c r="WVJ1" s="615"/>
      <c r="WVK1" s="615"/>
      <c r="WVL1" s="615"/>
      <c r="WVM1" s="615"/>
      <c r="WVN1" s="615"/>
      <c r="WVO1" s="615"/>
      <c r="WVP1" s="615"/>
      <c r="WVQ1" s="615"/>
      <c r="WVR1" s="615"/>
      <c r="WVS1" s="615"/>
      <c r="WVT1" s="615"/>
      <c r="WVU1" s="615"/>
      <c r="WVV1" s="615"/>
      <c r="WVW1" s="615"/>
      <c r="WVX1" s="615"/>
      <c r="WVY1" s="615"/>
      <c r="WVZ1" s="615"/>
      <c r="WWA1" s="615"/>
      <c r="WWB1" s="615"/>
      <c r="WWC1" s="615"/>
      <c r="WWD1" s="615"/>
      <c r="WWE1" s="615"/>
      <c r="WWF1" s="615"/>
      <c r="WWG1" s="615"/>
      <c r="WWH1" s="615"/>
      <c r="WWI1" s="615"/>
      <c r="WWJ1" s="615"/>
      <c r="WWK1" s="615"/>
      <c r="WWL1" s="615"/>
      <c r="WWM1" s="615"/>
      <c r="WWN1" s="615"/>
      <c r="WWO1" s="615"/>
      <c r="WWP1" s="615"/>
      <c r="WWQ1" s="615"/>
      <c r="WWR1" s="615"/>
      <c r="WWS1" s="615"/>
      <c r="WWT1" s="615"/>
      <c r="WWU1" s="615"/>
      <c r="WWV1" s="615"/>
      <c r="WWW1" s="615"/>
      <c r="WWX1" s="615"/>
      <c r="WWY1" s="615"/>
      <c r="WWZ1" s="615"/>
      <c r="WXA1" s="615"/>
      <c r="WXB1" s="615"/>
      <c r="WXC1" s="615"/>
      <c r="WXD1" s="615"/>
      <c r="WXE1" s="615"/>
      <c r="WXF1" s="615"/>
      <c r="WXG1" s="615"/>
      <c r="WXH1" s="615"/>
      <c r="WXI1" s="615"/>
      <c r="WXJ1" s="615"/>
      <c r="WXK1" s="615"/>
      <c r="WXL1" s="615"/>
      <c r="WXM1" s="615"/>
      <c r="WXN1" s="615"/>
      <c r="WXO1" s="615"/>
      <c r="WXP1" s="615"/>
      <c r="WXQ1" s="615"/>
      <c r="WXR1" s="615"/>
      <c r="WXS1" s="615"/>
      <c r="WXT1" s="615"/>
      <c r="WXU1" s="615"/>
      <c r="WXV1" s="615"/>
      <c r="WXW1" s="615"/>
      <c r="WXX1" s="615"/>
      <c r="WXY1" s="615"/>
      <c r="WXZ1" s="615"/>
      <c r="WYA1" s="615"/>
      <c r="WYB1" s="615"/>
      <c r="WYC1" s="615"/>
      <c r="WYD1" s="615"/>
      <c r="WYE1" s="615"/>
      <c r="WYF1" s="615"/>
      <c r="WYG1" s="615"/>
      <c r="WYH1" s="615"/>
      <c r="WYI1" s="615"/>
      <c r="WYJ1" s="615"/>
      <c r="WYK1" s="615"/>
      <c r="WYL1" s="615"/>
      <c r="WYM1" s="615"/>
      <c r="WYN1" s="615"/>
      <c r="WYO1" s="615"/>
      <c r="WYP1" s="615"/>
      <c r="WYQ1" s="615"/>
      <c r="WYR1" s="615"/>
      <c r="WYS1" s="615"/>
      <c r="WYT1" s="615"/>
      <c r="WYU1" s="615"/>
      <c r="WYV1" s="615"/>
      <c r="WYW1" s="615"/>
      <c r="WYX1" s="615"/>
      <c r="WYY1" s="615"/>
      <c r="WYZ1" s="615"/>
      <c r="WZA1" s="615"/>
      <c r="WZB1" s="615"/>
      <c r="WZC1" s="615"/>
      <c r="WZD1" s="615"/>
      <c r="WZE1" s="615"/>
      <c r="WZF1" s="615"/>
      <c r="WZG1" s="615"/>
      <c r="WZH1" s="615"/>
      <c r="WZI1" s="615"/>
      <c r="WZJ1" s="615"/>
      <c r="WZK1" s="615"/>
      <c r="WZL1" s="615"/>
      <c r="WZM1" s="615"/>
      <c r="WZN1" s="615"/>
      <c r="WZO1" s="615"/>
      <c r="WZP1" s="615"/>
      <c r="WZQ1" s="615"/>
      <c r="WZR1" s="615"/>
      <c r="WZS1" s="615"/>
      <c r="WZT1" s="615"/>
      <c r="WZU1" s="615"/>
      <c r="WZV1" s="615"/>
      <c r="WZW1" s="615"/>
      <c r="WZX1" s="615"/>
      <c r="WZY1" s="615"/>
      <c r="WZZ1" s="615"/>
      <c r="XAA1" s="615"/>
      <c r="XAB1" s="615"/>
      <c r="XAC1" s="615"/>
      <c r="XAD1" s="615"/>
      <c r="XAE1" s="615"/>
      <c r="XAF1" s="615"/>
      <c r="XAG1" s="615"/>
      <c r="XAH1" s="615"/>
      <c r="XAI1" s="615"/>
      <c r="XAJ1" s="615"/>
      <c r="XAK1" s="615"/>
      <c r="XAL1" s="615"/>
      <c r="XAM1" s="615"/>
      <c r="XAN1" s="615"/>
      <c r="XAO1" s="615"/>
      <c r="XAP1" s="615"/>
      <c r="XAQ1" s="615"/>
      <c r="XAR1" s="615"/>
      <c r="XAS1" s="615"/>
      <c r="XAT1" s="615"/>
      <c r="XAU1" s="615"/>
      <c r="XAV1" s="615"/>
      <c r="XAW1" s="615"/>
      <c r="XAX1" s="615"/>
      <c r="XAY1" s="615"/>
      <c r="XAZ1" s="615"/>
      <c r="XBA1" s="615"/>
      <c r="XBB1" s="615"/>
      <c r="XBC1" s="615"/>
      <c r="XBD1" s="615"/>
      <c r="XBE1" s="615"/>
      <c r="XBF1" s="615"/>
      <c r="XBG1" s="615"/>
      <c r="XBH1" s="615"/>
      <c r="XBI1" s="615"/>
      <c r="XBJ1" s="615"/>
      <c r="XBK1" s="615"/>
      <c r="XBL1" s="615"/>
      <c r="XBM1" s="615"/>
      <c r="XBN1" s="615"/>
      <c r="XBO1" s="615"/>
      <c r="XBP1" s="615"/>
      <c r="XBQ1" s="615"/>
      <c r="XBR1" s="615"/>
      <c r="XBS1" s="615"/>
      <c r="XBT1" s="615"/>
      <c r="XBU1" s="615"/>
      <c r="XBV1" s="615"/>
      <c r="XBW1" s="615"/>
      <c r="XBX1" s="615"/>
      <c r="XBY1" s="615"/>
      <c r="XBZ1" s="615"/>
      <c r="XCA1" s="615"/>
      <c r="XCB1" s="615"/>
      <c r="XCC1" s="615"/>
      <c r="XCD1" s="615"/>
      <c r="XCE1" s="615"/>
      <c r="XCF1" s="615"/>
      <c r="XCG1" s="615"/>
      <c r="XCH1" s="615"/>
      <c r="XCI1" s="615"/>
      <c r="XCJ1" s="615"/>
      <c r="XCK1" s="615"/>
      <c r="XCL1" s="615"/>
      <c r="XCM1" s="615"/>
      <c r="XCN1" s="615"/>
      <c r="XCO1" s="615"/>
      <c r="XCP1" s="615"/>
      <c r="XCQ1" s="615"/>
      <c r="XCR1" s="615"/>
      <c r="XCS1" s="615"/>
      <c r="XCT1" s="615"/>
      <c r="XCU1" s="615"/>
      <c r="XCV1" s="615"/>
      <c r="XCW1" s="615"/>
      <c r="XCX1" s="615"/>
      <c r="XCY1" s="615"/>
      <c r="XCZ1" s="615"/>
      <c r="XDA1" s="615"/>
      <c r="XDB1" s="615"/>
      <c r="XDC1" s="615"/>
      <c r="XDD1" s="615"/>
      <c r="XDE1" s="615"/>
      <c r="XDF1" s="615"/>
      <c r="XDG1" s="615"/>
      <c r="XDH1" s="615"/>
      <c r="XDI1" s="615"/>
      <c r="XDJ1" s="615"/>
      <c r="XDK1" s="615"/>
      <c r="XDL1" s="615"/>
      <c r="XDM1" s="615"/>
      <c r="XDN1" s="615"/>
      <c r="XDO1" s="615"/>
      <c r="XDP1" s="615"/>
      <c r="XDQ1" s="615"/>
      <c r="XDR1" s="615"/>
      <c r="XDS1" s="615"/>
      <c r="XDT1" s="615"/>
      <c r="XDU1" s="615"/>
      <c r="XDV1" s="615"/>
      <c r="XDW1" s="615"/>
      <c r="XDX1" s="615"/>
      <c r="XDY1" s="615"/>
      <c r="XDZ1" s="615"/>
      <c r="XEA1" s="615"/>
      <c r="XEB1" s="615"/>
      <c r="XEC1" s="615"/>
      <c r="XED1" s="615"/>
      <c r="XEE1" s="615"/>
      <c r="XEF1" s="615"/>
      <c r="XEG1" s="615"/>
      <c r="XEH1" s="615"/>
      <c r="XEI1" s="615"/>
      <c r="XEJ1" s="615"/>
      <c r="XEK1" s="615"/>
      <c r="XEL1" s="615"/>
      <c r="XEM1" s="615"/>
      <c r="XEN1" s="615"/>
      <c r="XEO1" s="615"/>
      <c r="XEP1" s="615"/>
      <c r="XEQ1" s="615"/>
      <c r="XER1" s="615"/>
      <c r="XES1" s="615"/>
      <c r="XET1" s="615"/>
      <c r="XEU1" s="615"/>
    </row>
    <row r="2" spans="1:16375" ht="15" customHeight="1" x14ac:dyDescent="0.45">
      <c r="A2" s="21" t="s">
        <v>137</v>
      </c>
      <c r="B2" s="9"/>
      <c r="C2" s="9"/>
      <c r="D2" s="9"/>
      <c r="E2" s="9"/>
      <c r="F2" s="9"/>
      <c r="G2" s="9"/>
      <c r="H2" s="306"/>
      <c r="I2" s="306"/>
      <c r="J2" s="306"/>
      <c r="K2" s="306"/>
      <c r="L2" s="306"/>
      <c r="M2" s="306"/>
      <c r="N2" s="306"/>
      <c r="O2" s="306"/>
      <c r="P2" s="306"/>
      <c r="Q2" s="306"/>
      <c r="R2" s="306"/>
      <c r="S2" s="306"/>
      <c r="T2" s="306"/>
      <c r="U2" s="306"/>
      <c r="V2" s="306"/>
      <c r="W2" s="306"/>
      <c r="X2" s="306"/>
      <c r="Y2" s="306"/>
      <c r="Z2" s="306"/>
      <c r="AA2" s="306"/>
      <c r="AB2" s="306"/>
      <c r="AC2" s="306"/>
      <c r="AD2" s="306"/>
      <c r="AE2" s="306"/>
      <c r="AF2" s="306"/>
      <c r="AG2" s="306"/>
      <c r="AH2" s="306"/>
      <c r="AI2" s="306"/>
      <c r="AJ2" s="306"/>
      <c r="AK2" s="306"/>
      <c r="AL2" s="306"/>
      <c r="AM2" s="306"/>
      <c r="AN2" s="306"/>
      <c r="AO2" s="306"/>
      <c r="AP2" s="306"/>
      <c r="AQ2" s="306"/>
      <c r="AR2" s="306"/>
      <c r="AS2" s="306"/>
      <c r="AT2" s="306"/>
      <c r="AU2" s="306"/>
      <c r="AV2" s="306"/>
      <c r="AW2" s="306"/>
      <c r="AX2" s="306"/>
      <c r="AY2" s="306"/>
      <c r="AZ2" s="306"/>
      <c r="BA2" s="306"/>
      <c r="BB2" s="306"/>
      <c r="BC2" s="306"/>
      <c r="BD2" s="306"/>
      <c r="BE2" s="306"/>
      <c r="BF2" s="306"/>
      <c r="BG2" s="306"/>
      <c r="BH2" s="306"/>
      <c r="BI2" s="306"/>
      <c r="BJ2" s="306"/>
      <c r="BK2" s="306"/>
      <c r="BL2" s="306"/>
      <c r="BM2" s="306"/>
      <c r="BN2" s="306"/>
      <c r="BO2" s="306"/>
      <c r="BP2" s="306"/>
      <c r="BQ2" s="306"/>
      <c r="BR2" s="306"/>
      <c r="BS2" s="306"/>
      <c r="BT2" s="306"/>
      <c r="BU2" s="306"/>
      <c r="BV2" s="306"/>
      <c r="BW2" s="306"/>
      <c r="BX2" s="306"/>
      <c r="BY2" s="306"/>
      <c r="BZ2" s="306"/>
      <c r="CA2" s="306"/>
      <c r="CB2" s="306"/>
      <c r="CC2" s="306"/>
      <c r="CD2" s="306"/>
      <c r="CE2" s="306"/>
      <c r="CF2" s="306"/>
      <c r="CG2" s="306"/>
      <c r="CH2" s="306"/>
      <c r="CI2" s="306"/>
      <c r="CJ2" s="306"/>
      <c r="CK2" s="306"/>
      <c r="CL2" s="306"/>
      <c r="CM2" s="306"/>
      <c r="CN2" s="306"/>
      <c r="CO2" s="306"/>
      <c r="CP2" s="306"/>
      <c r="CQ2" s="306"/>
      <c r="CR2" s="306"/>
      <c r="CS2" s="306"/>
      <c r="CT2" s="306"/>
      <c r="CU2" s="306"/>
      <c r="CV2" s="306"/>
      <c r="CW2" s="306"/>
      <c r="CX2" s="306"/>
      <c r="CY2" s="306"/>
      <c r="CZ2" s="306"/>
      <c r="DA2" s="306"/>
      <c r="DB2" s="306"/>
      <c r="DC2" s="306"/>
      <c r="DD2" s="306"/>
      <c r="DE2" s="306"/>
      <c r="DF2" s="306"/>
      <c r="DG2" s="306"/>
      <c r="DH2" s="306"/>
      <c r="DI2" s="306"/>
      <c r="DJ2" s="306"/>
      <c r="DK2" s="306"/>
      <c r="DL2" s="306"/>
      <c r="DM2" s="306"/>
      <c r="DN2" s="306"/>
      <c r="DO2" s="306"/>
      <c r="DP2" s="306"/>
      <c r="DQ2" s="306"/>
      <c r="DR2" s="306"/>
      <c r="DS2" s="306"/>
      <c r="DT2" s="306"/>
      <c r="DU2" s="306"/>
      <c r="DV2" s="306"/>
      <c r="DW2" s="306"/>
      <c r="DX2" s="306"/>
      <c r="DY2" s="306"/>
      <c r="DZ2" s="306"/>
      <c r="EA2" s="306"/>
      <c r="EB2" s="306"/>
      <c r="EC2" s="306"/>
      <c r="ED2" s="306"/>
      <c r="EE2" s="306"/>
      <c r="EF2" s="306"/>
      <c r="EG2" s="306"/>
      <c r="EH2" s="306"/>
      <c r="EI2" s="306"/>
      <c r="EJ2" s="306"/>
      <c r="EK2" s="306"/>
      <c r="EL2" s="306"/>
      <c r="EM2" s="306"/>
      <c r="EN2" s="306"/>
      <c r="EO2" s="306"/>
      <c r="EP2" s="306"/>
      <c r="EQ2" s="306"/>
      <c r="ER2" s="306"/>
      <c r="ES2" s="306"/>
      <c r="ET2" s="306"/>
      <c r="EU2" s="306"/>
      <c r="EV2" s="306"/>
      <c r="EW2" s="306"/>
      <c r="EX2" s="306"/>
      <c r="EY2" s="306"/>
      <c r="EZ2" s="306"/>
      <c r="FA2" s="306"/>
      <c r="FB2" s="306"/>
      <c r="FC2" s="306"/>
      <c r="FD2" s="306"/>
      <c r="FE2" s="306"/>
      <c r="FF2" s="306"/>
      <c r="FG2" s="306"/>
      <c r="FH2" s="306"/>
      <c r="FI2" s="306"/>
      <c r="FJ2" s="306"/>
      <c r="FK2" s="306"/>
      <c r="FL2" s="306"/>
      <c r="FM2" s="306"/>
      <c r="FN2" s="306"/>
      <c r="FO2" s="306"/>
      <c r="FP2" s="306"/>
      <c r="FQ2" s="306"/>
      <c r="FR2" s="306"/>
      <c r="FS2" s="306"/>
      <c r="FT2" s="306"/>
      <c r="FU2" s="306"/>
      <c r="FV2" s="306"/>
      <c r="FW2" s="306"/>
      <c r="FX2" s="306"/>
      <c r="FY2" s="306"/>
      <c r="FZ2" s="306"/>
      <c r="GA2" s="306"/>
      <c r="GB2" s="306"/>
      <c r="GC2" s="306"/>
      <c r="GD2" s="306"/>
      <c r="GE2" s="306"/>
      <c r="GF2" s="306"/>
      <c r="GG2" s="306"/>
      <c r="GH2" s="306"/>
      <c r="GI2" s="306"/>
      <c r="GJ2" s="306"/>
      <c r="GK2" s="306"/>
      <c r="GL2" s="306"/>
      <c r="GM2" s="306"/>
      <c r="GN2" s="306"/>
      <c r="GO2" s="306"/>
      <c r="GP2" s="306"/>
      <c r="GQ2" s="306"/>
      <c r="GR2" s="306"/>
      <c r="GS2" s="306"/>
      <c r="GT2" s="306"/>
      <c r="GU2" s="306"/>
      <c r="GV2" s="306"/>
      <c r="GW2" s="306"/>
      <c r="GX2" s="306"/>
      <c r="GY2" s="306"/>
      <c r="GZ2" s="306"/>
      <c r="HA2" s="306"/>
      <c r="HB2" s="306"/>
      <c r="HC2" s="306"/>
      <c r="HD2" s="306"/>
      <c r="HE2" s="306"/>
      <c r="HF2" s="306"/>
      <c r="HG2" s="306"/>
      <c r="HH2" s="306"/>
      <c r="HI2" s="306"/>
      <c r="HJ2" s="306"/>
      <c r="HK2" s="306"/>
      <c r="HL2" s="306"/>
      <c r="HM2" s="306"/>
      <c r="HN2" s="306"/>
      <c r="HO2" s="306"/>
      <c r="HP2" s="306"/>
      <c r="HQ2" s="306"/>
      <c r="HR2" s="306"/>
      <c r="HS2" s="306"/>
      <c r="HT2" s="306"/>
      <c r="HU2" s="306"/>
      <c r="HV2" s="306"/>
      <c r="HW2" s="306"/>
      <c r="HX2" s="306"/>
      <c r="HY2" s="306"/>
      <c r="HZ2" s="306"/>
      <c r="IA2" s="306"/>
      <c r="IB2" s="306"/>
      <c r="IC2" s="306"/>
      <c r="ID2" s="306"/>
      <c r="IE2" s="306"/>
      <c r="IF2" s="306"/>
      <c r="IG2" s="306"/>
      <c r="IH2" s="306"/>
      <c r="II2" s="306"/>
      <c r="IJ2" s="306"/>
      <c r="IK2" s="306"/>
      <c r="IL2" s="306"/>
      <c r="IM2" s="306"/>
      <c r="IN2" s="306"/>
      <c r="IO2" s="306"/>
      <c r="IP2" s="306"/>
      <c r="IQ2" s="306"/>
      <c r="IR2" s="306"/>
      <c r="IS2" s="306"/>
      <c r="IT2" s="306"/>
      <c r="IU2" s="306"/>
      <c r="IV2" s="306"/>
      <c r="IW2" s="306"/>
      <c r="IX2" s="306"/>
      <c r="IY2" s="306"/>
      <c r="IZ2" s="306"/>
      <c r="JA2" s="306"/>
      <c r="JB2" s="306"/>
      <c r="JC2" s="306"/>
      <c r="JD2" s="306"/>
      <c r="JE2" s="306"/>
      <c r="JF2" s="306"/>
      <c r="JG2" s="306"/>
      <c r="JH2" s="306"/>
      <c r="JI2" s="306"/>
      <c r="JJ2" s="306"/>
      <c r="JK2" s="306"/>
      <c r="JL2" s="306"/>
      <c r="JM2" s="306"/>
      <c r="JN2" s="306"/>
      <c r="JO2" s="306"/>
      <c r="JP2" s="306"/>
      <c r="JQ2" s="306"/>
      <c r="JR2" s="306"/>
      <c r="JS2" s="306"/>
      <c r="JT2" s="306"/>
      <c r="JU2" s="306"/>
      <c r="JV2" s="306"/>
      <c r="JW2" s="306"/>
      <c r="JX2" s="306"/>
      <c r="JY2" s="306"/>
      <c r="JZ2" s="306"/>
      <c r="KA2" s="306"/>
      <c r="KB2" s="306"/>
      <c r="KC2" s="306"/>
      <c r="KD2" s="306"/>
      <c r="KE2" s="306"/>
      <c r="KF2" s="306"/>
      <c r="KG2" s="306"/>
      <c r="KH2" s="306"/>
      <c r="KI2" s="306"/>
      <c r="KJ2" s="306"/>
      <c r="KK2" s="306"/>
      <c r="KL2" s="306"/>
      <c r="KM2" s="306"/>
      <c r="KN2" s="306"/>
      <c r="KO2" s="306"/>
      <c r="KP2" s="306"/>
      <c r="KQ2" s="306"/>
      <c r="KR2" s="306"/>
      <c r="KS2" s="306"/>
      <c r="KT2" s="306"/>
      <c r="KU2" s="306"/>
      <c r="KV2" s="306"/>
      <c r="KW2" s="306"/>
      <c r="KX2" s="306"/>
      <c r="KY2" s="306"/>
      <c r="KZ2" s="306"/>
      <c r="LA2" s="306"/>
      <c r="LB2" s="306"/>
      <c r="LC2" s="306"/>
      <c r="LD2" s="306"/>
      <c r="LE2" s="306"/>
      <c r="LF2" s="306"/>
      <c r="LG2" s="306"/>
      <c r="LH2" s="306"/>
      <c r="LI2" s="306"/>
      <c r="LJ2" s="306"/>
      <c r="LK2" s="306"/>
      <c r="LL2" s="306"/>
      <c r="LM2" s="306"/>
      <c r="LN2" s="306"/>
      <c r="LO2" s="306"/>
      <c r="LP2" s="306"/>
      <c r="LQ2" s="306"/>
      <c r="LR2" s="306"/>
      <c r="LS2" s="306"/>
      <c r="LT2" s="306"/>
      <c r="LU2" s="306"/>
      <c r="LV2" s="306"/>
      <c r="LW2" s="306"/>
      <c r="LX2" s="306"/>
      <c r="LY2" s="306"/>
      <c r="LZ2" s="306"/>
      <c r="MA2" s="306"/>
      <c r="MB2" s="306"/>
      <c r="MC2" s="306"/>
      <c r="MD2" s="306"/>
      <c r="ME2" s="306"/>
      <c r="MF2" s="306"/>
      <c r="MG2" s="306"/>
      <c r="MH2" s="306"/>
      <c r="MI2" s="306"/>
      <c r="MJ2" s="306"/>
      <c r="MK2" s="306"/>
      <c r="ML2" s="306"/>
      <c r="MM2" s="306"/>
      <c r="MN2" s="306"/>
      <c r="MO2" s="306"/>
      <c r="MP2" s="306"/>
      <c r="MQ2" s="306"/>
      <c r="MR2" s="306"/>
      <c r="MS2" s="306"/>
      <c r="MT2" s="306"/>
      <c r="MU2" s="306"/>
      <c r="MV2" s="306"/>
      <c r="MW2" s="306"/>
      <c r="MX2" s="306"/>
      <c r="MY2" s="306"/>
      <c r="MZ2" s="306"/>
      <c r="NA2" s="306"/>
      <c r="NB2" s="306"/>
      <c r="NC2" s="306"/>
      <c r="ND2" s="306"/>
      <c r="NE2" s="306"/>
      <c r="NF2" s="306"/>
      <c r="NG2" s="306"/>
      <c r="NH2" s="306"/>
      <c r="NI2" s="306"/>
      <c r="NJ2" s="306"/>
      <c r="NK2" s="306"/>
      <c r="NL2" s="306"/>
      <c r="NM2" s="306"/>
      <c r="NN2" s="306"/>
      <c r="NO2" s="306"/>
      <c r="NP2" s="306"/>
      <c r="NQ2" s="306"/>
      <c r="NR2" s="306"/>
      <c r="NS2" s="306"/>
      <c r="NT2" s="306"/>
      <c r="NU2" s="306"/>
      <c r="NV2" s="306"/>
      <c r="NW2" s="306"/>
      <c r="NX2" s="306"/>
      <c r="NY2" s="306"/>
      <c r="NZ2" s="306"/>
      <c r="OA2" s="306"/>
      <c r="OB2" s="306"/>
      <c r="OC2" s="306"/>
      <c r="OD2" s="306"/>
      <c r="OE2" s="306"/>
      <c r="OF2" s="306"/>
      <c r="OG2" s="306"/>
      <c r="OH2" s="306"/>
      <c r="OI2" s="306"/>
      <c r="OJ2" s="306"/>
      <c r="OK2" s="306"/>
      <c r="OL2" s="306"/>
      <c r="OM2" s="306"/>
      <c r="ON2" s="306"/>
      <c r="OO2" s="306"/>
      <c r="OP2" s="306"/>
      <c r="OQ2" s="306"/>
      <c r="OR2" s="306"/>
      <c r="OS2" s="306"/>
      <c r="OT2" s="306"/>
      <c r="OU2" s="306"/>
      <c r="OV2" s="306"/>
      <c r="OW2" s="306"/>
      <c r="OX2" s="306"/>
      <c r="OY2" s="306"/>
      <c r="OZ2" s="306"/>
      <c r="PA2" s="306"/>
      <c r="PB2" s="306"/>
      <c r="PC2" s="306"/>
      <c r="PD2" s="306"/>
      <c r="PE2" s="306"/>
      <c r="PF2" s="306"/>
      <c r="PG2" s="306"/>
      <c r="PH2" s="306"/>
      <c r="PI2" s="306"/>
      <c r="PJ2" s="306"/>
      <c r="PK2" s="306"/>
      <c r="PL2" s="306"/>
      <c r="PM2" s="306"/>
      <c r="PN2" s="306"/>
      <c r="PO2" s="306"/>
      <c r="PP2" s="306"/>
      <c r="PQ2" s="306"/>
      <c r="PR2" s="306"/>
      <c r="PS2" s="306"/>
      <c r="PT2" s="306"/>
      <c r="PU2" s="306"/>
      <c r="PV2" s="306"/>
      <c r="PW2" s="306"/>
      <c r="PX2" s="306"/>
      <c r="PY2" s="306"/>
      <c r="PZ2" s="306"/>
      <c r="QA2" s="306"/>
      <c r="QB2" s="306"/>
      <c r="QC2" s="306"/>
      <c r="QD2" s="306"/>
      <c r="QE2" s="306"/>
      <c r="QF2" s="306"/>
      <c r="QG2" s="306"/>
      <c r="QH2" s="306"/>
      <c r="QI2" s="306"/>
      <c r="QJ2" s="306"/>
      <c r="QK2" s="306"/>
      <c r="QL2" s="306"/>
      <c r="QM2" s="306"/>
      <c r="QN2" s="306"/>
      <c r="QO2" s="306"/>
      <c r="QP2" s="306"/>
      <c r="QQ2" s="306"/>
      <c r="QR2" s="306"/>
      <c r="QS2" s="306"/>
      <c r="QT2" s="306"/>
      <c r="QU2" s="306"/>
      <c r="QV2" s="306"/>
      <c r="QW2" s="306"/>
      <c r="QX2" s="306"/>
      <c r="QY2" s="306"/>
      <c r="QZ2" s="306"/>
      <c r="RA2" s="306"/>
      <c r="RB2" s="306"/>
      <c r="RC2" s="306"/>
      <c r="RD2" s="306"/>
      <c r="RE2" s="306"/>
      <c r="RF2" s="306"/>
      <c r="RG2" s="306"/>
      <c r="RH2" s="306"/>
      <c r="RI2" s="306"/>
      <c r="RJ2" s="306"/>
      <c r="RK2" s="306"/>
      <c r="RL2" s="306"/>
      <c r="RM2" s="306"/>
      <c r="RN2" s="306"/>
      <c r="RO2" s="306"/>
      <c r="RP2" s="306"/>
      <c r="RQ2" s="306"/>
      <c r="RR2" s="306"/>
      <c r="RS2" s="306"/>
      <c r="RT2" s="306"/>
      <c r="RU2" s="306"/>
      <c r="RV2" s="306"/>
      <c r="RW2" s="306"/>
      <c r="RX2" s="306"/>
      <c r="RY2" s="306"/>
      <c r="RZ2" s="306"/>
      <c r="SA2" s="306"/>
      <c r="SB2" s="306"/>
      <c r="SC2" s="306"/>
      <c r="SD2" s="306"/>
      <c r="SE2" s="306"/>
      <c r="SF2" s="306"/>
      <c r="SG2" s="306"/>
      <c r="SH2" s="306"/>
      <c r="SI2" s="306"/>
      <c r="SJ2" s="306"/>
      <c r="SK2" s="306"/>
      <c r="SL2" s="306"/>
      <c r="SM2" s="306"/>
      <c r="SN2" s="306"/>
      <c r="SO2" s="306"/>
      <c r="SP2" s="306"/>
      <c r="SQ2" s="306"/>
      <c r="SR2" s="306"/>
      <c r="SS2" s="306"/>
      <c r="ST2" s="306"/>
      <c r="SU2" s="306"/>
      <c r="SV2" s="306"/>
      <c r="SW2" s="306"/>
      <c r="SX2" s="306"/>
      <c r="SY2" s="306"/>
      <c r="SZ2" s="306"/>
      <c r="TA2" s="306"/>
      <c r="TB2" s="306"/>
      <c r="TC2" s="306"/>
      <c r="TD2" s="306"/>
      <c r="TE2" s="306"/>
      <c r="TF2" s="306"/>
      <c r="TG2" s="306"/>
      <c r="TH2" s="306"/>
      <c r="TI2" s="306"/>
      <c r="TJ2" s="306"/>
      <c r="TK2" s="306"/>
      <c r="TL2" s="306"/>
      <c r="TM2" s="306"/>
      <c r="TN2" s="306"/>
      <c r="TO2" s="306"/>
      <c r="TP2" s="306"/>
      <c r="TQ2" s="306"/>
      <c r="TR2" s="306"/>
      <c r="TS2" s="306"/>
      <c r="TT2" s="306"/>
      <c r="TU2" s="306"/>
      <c r="TV2" s="306"/>
      <c r="TW2" s="306"/>
      <c r="TX2" s="306"/>
      <c r="TY2" s="306"/>
      <c r="TZ2" s="306"/>
      <c r="UA2" s="306"/>
      <c r="UB2" s="306"/>
      <c r="UC2" s="306"/>
      <c r="UD2" s="306"/>
      <c r="UE2" s="306"/>
      <c r="UF2" s="306"/>
      <c r="UG2" s="306"/>
      <c r="UH2" s="306"/>
      <c r="UI2" s="306"/>
      <c r="UJ2" s="306"/>
      <c r="UK2" s="306"/>
      <c r="UL2" s="306"/>
      <c r="UM2" s="306"/>
      <c r="UN2" s="306"/>
      <c r="UO2" s="306"/>
      <c r="UP2" s="306"/>
      <c r="UQ2" s="306"/>
      <c r="UR2" s="306"/>
      <c r="US2" s="306"/>
      <c r="UT2" s="306"/>
      <c r="UU2" s="306"/>
      <c r="UV2" s="306"/>
      <c r="UW2" s="306"/>
      <c r="UX2" s="306"/>
      <c r="UY2" s="306"/>
      <c r="UZ2" s="306"/>
      <c r="VA2" s="306"/>
      <c r="VB2" s="306"/>
      <c r="VC2" s="306"/>
      <c r="VD2" s="306"/>
      <c r="VE2" s="306"/>
      <c r="VF2" s="306"/>
      <c r="VG2" s="306"/>
      <c r="VH2" s="306"/>
      <c r="VI2" s="306"/>
      <c r="VJ2" s="306"/>
      <c r="VK2" s="306"/>
      <c r="VL2" s="306"/>
      <c r="VM2" s="306"/>
      <c r="VN2" s="306"/>
      <c r="VO2" s="306"/>
      <c r="VP2" s="306"/>
      <c r="VQ2" s="306"/>
      <c r="VR2" s="306"/>
      <c r="VS2" s="306"/>
      <c r="VT2" s="306"/>
      <c r="VU2" s="306"/>
      <c r="VV2" s="306"/>
      <c r="VW2" s="306"/>
      <c r="VX2" s="306"/>
      <c r="VY2" s="306"/>
      <c r="VZ2" s="306"/>
      <c r="WA2" s="306"/>
      <c r="WB2" s="306"/>
      <c r="WC2" s="306"/>
      <c r="WD2" s="306"/>
      <c r="WE2" s="306"/>
      <c r="WF2" s="306"/>
      <c r="WG2" s="306"/>
      <c r="WH2" s="306"/>
      <c r="WI2" s="306"/>
      <c r="WJ2" s="306"/>
      <c r="WK2" s="306"/>
      <c r="WL2" s="306"/>
      <c r="WM2" s="306"/>
      <c r="WN2" s="306"/>
      <c r="WO2" s="306"/>
      <c r="WP2" s="306"/>
      <c r="WQ2" s="306"/>
      <c r="WR2" s="306"/>
      <c r="WS2" s="306"/>
      <c r="WT2" s="306"/>
      <c r="WU2" s="306"/>
      <c r="WV2" s="306"/>
      <c r="WW2" s="306"/>
      <c r="WX2" s="306"/>
      <c r="WY2" s="306"/>
      <c r="WZ2" s="306"/>
      <c r="XA2" s="306"/>
      <c r="XB2" s="306"/>
      <c r="XC2" s="306"/>
      <c r="XD2" s="306"/>
      <c r="XE2" s="306"/>
      <c r="XF2" s="306"/>
      <c r="XG2" s="306"/>
      <c r="XH2" s="306"/>
      <c r="XI2" s="306"/>
      <c r="XJ2" s="306"/>
      <c r="XK2" s="306"/>
      <c r="XL2" s="306"/>
      <c r="XM2" s="306"/>
      <c r="XN2" s="306"/>
      <c r="XO2" s="306"/>
      <c r="XP2" s="306"/>
      <c r="XQ2" s="306"/>
      <c r="XR2" s="306"/>
      <c r="XS2" s="306"/>
      <c r="XT2" s="306"/>
      <c r="XU2" s="306"/>
      <c r="XV2" s="306"/>
      <c r="XW2" s="306"/>
      <c r="XX2" s="306"/>
      <c r="XY2" s="306"/>
      <c r="XZ2" s="306"/>
      <c r="YA2" s="306"/>
      <c r="YB2" s="306"/>
      <c r="YC2" s="306"/>
      <c r="YD2" s="306"/>
      <c r="YE2" s="306"/>
      <c r="YF2" s="306"/>
      <c r="YG2" s="306"/>
      <c r="YH2" s="306"/>
      <c r="YI2" s="306"/>
      <c r="YJ2" s="306"/>
      <c r="YK2" s="306"/>
      <c r="YL2" s="306"/>
      <c r="YM2" s="306"/>
      <c r="YN2" s="306"/>
      <c r="YO2" s="306"/>
      <c r="YP2" s="306"/>
      <c r="YQ2" s="306"/>
      <c r="YR2" s="306"/>
      <c r="YS2" s="306"/>
      <c r="YT2" s="306"/>
      <c r="YU2" s="306"/>
      <c r="YV2" s="306"/>
      <c r="YW2" s="306"/>
      <c r="YX2" s="306"/>
      <c r="YY2" s="306"/>
      <c r="YZ2" s="306"/>
      <c r="ZA2" s="306"/>
      <c r="ZB2" s="306"/>
      <c r="ZC2" s="306"/>
      <c r="ZD2" s="306"/>
      <c r="ZE2" s="306"/>
      <c r="ZF2" s="306"/>
      <c r="ZG2" s="306"/>
      <c r="ZH2" s="306"/>
      <c r="ZI2" s="306"/>
      <c r="ZJ2" s="306"/>
      <c r="ZK2" s="306"/>
      <c r="ZL2" s="306"/>
      <c r="ZM2" s="306"/>
      <c r="ZN2" s="306"/>
      <c r="ZO2" s="306"/>
      <c r="ZP2" s="306"/>
      <c r="ZQ2" s="306"/>
      <c r="ZR2" s="306"/>
      <c r="ZS2" s="306"/>
      <c r="ZT2" s="306"/>
      <c r="ZU2" s="306"/>
      <c r="ZV2" s="306"/>
      <c r="ZW2" s="306"/>
      <c r="ZX2" s="306"/>
      <c r="ZY2" s="306"/>
      <c r="ZZ2" s="306"/>
      <c r="AAA2" s="306"/>
      <c r="AAB2" s="306"/>
      <c r="AAC2" s="306"/>
      <c r="AAD2" s="306"/>
      <c r="AAE2" s="306"/>
      <c r="AAF2" s="306"/>
      <c r="AAG2" s="306"/>
      <c r="AAH2" s="306"/>
      <c r="AAI2" s="306"/>
      <c r="AAJ2" s="306"/>
      <c r="AAK2" s="306"/>
      <c r="AAL2" s="306"/>
      <c r="AAM2" s="306"/>
      <c r="AAN2" s="306"/>
      <c r="AAO2" s="306"/>
      <c r="AAP2" s="306"/>
      <c r="AAQ2" s="306"/>
      <c r="AAR2" s="306"/>
      <c r="AAS2" s="306"/>
      <c r="AAT2" s="306"/>
      <c r="AAU2" s="306"/>
      <c r="AAV2" s="306"/>
      <c r="AAW2" s="306"/>
      <c r="AAX2" s="306"/>
      <c r="AAY2" s="306"/>
      <c r="AAZ2" s="306"/>
      <c r="ABA2" s="306"/>
      <c r="ABB2" s="306"/>
      <c r="ABC2" s="306"/>
      <c r="ABD2" s="306"/>
      <c r="ABE2" s="306"/>
      <c r="ABF2" s="306"/>
      <c r="ABG2" s="306"/>
      <c r="ABH2" s="306"/>
      <c r="ABI2" s="306"/>
      <c r="ABJ2" s="306"/>
      <c r="ABK2" s="306"/>
      <c r="ABL2" s="306"/>
      <c r="ABM2" s="306"/>
      <c r="ABN2" s="306"/>
      <c r="ABO2" s="306"/>
      <c r="ABP2" s="306"/>
      <c r="ABQ2" s="306"/>
      <c r="ABR2" s="306"/>
      <c r="ABS2" s="306"/>
      <c r="ABT2" s="306"/>
      <c r="ABU2" s="306"/>
      <c r="ABV2" s="306"/>
      <c r="ABW2" s="306"/>
      <c r="ABX2" s="306"/>
      <c r="ABY2" s="306"/>
      <c r="ABZ2" s="306"/>
      <c r="ACA2" s="306"/>
      <c r="ACB2" s="306"/>
      <c r="ACC2" s="306"/>
      <c r="ACD2" s="306"/>
      <c r="ACE2" s="306"/>
      <c r="ACF2" s="306"/>
      <c r="ACG2" s="306"/>
      <c r="ACH2" s="306"/>
      <c r="ACI2" s="306"/>
      <c r="ACJ2" s="306"/>
      <c r="ACK2" s="306"/>
      <c r="ACL2" s="306"/>
      <c r="ACM2" s="306"/>
      <c r="ACN2" s="306"/>
      <c r="ACO2" s="306"/>
      <c r="ACP2" s="306"/>
      <c r="ACQ2" s="306"/>
      <c r="ACR2" s="306"/>
      <c r="ACS2" s="306"/>
      <c r="ACT2" s="306"/>
      <c r="ACU2" s="306"/>
      <c r="ACV2" s="306"/>
      <c r="ACW2" s="306"/>
      <c r="ACX2" s="306"/>
      <c r="ACY2" s="306"/>
      <c r="ACZ2" s="306"/>
      <c r="ADA2" s="306"/>
      <c r="ADB2" s="306"/>
      <c r="ADC2" s="306"/>
      <c r="ADD2" s="306"/>
      <c r="ADE2" s="306"/>
      <c r="ADF2" s="306"/>
      <c r="ADG2" s="306"/>
      <c r="ADH2" s="306"/>
      <c r="ADI2" s="306"/>
      <c r="ADJ2" s="306"/>
      <c r="ADK2" s="306"/>
      <c r="ADL2" s="306"/>
      <c r="ADM2" s="306"/>
      <c r="ADN2" s="306"/>
      <c r="ADO2" s="306"/>
      <c r="ADP2" s="306"/>
      <c r="ADQ2" s="306"/>
      <c r="ADR2" s="306"/>
      <c r="ADS2" s="306"/>
      <c r="ADT2" s="306"/>
      <c r="ADU2" s="306"/>
      <c r="ADV2" s="306"/>
      <c r="ADW2" s="306"/>
      <c r="ADX2" s="306"/>
      <c r="ADY2" s="306"/>
      <c r="ADZ2" s="306"/>
      <c r="AEA2" s="306"/>
      <c r="AEB2" s="306"/>
      <c r="AEC2" s="306"/>
      <c r="AED2" s="306"/>
      <c r="AEE2" s="306"/>
      <c r="AEF2" s="306"/>
      <c r="AEG2" s="306"/>
      <c r="AEH2" s="306"/>
      <c r="AEI2" s="306"/>
      <c r="AEJ2" s="306"/>
      <c r="AEK2" s="306"/>
      <c r="AEL2" s="306"/>
      <c r="AEM2" s="306"/>
      <c r="AEN2" s="306"/>
      <c r="AEO2" s="306"/>
      <c r="AEP2" s="306"/>
      <c r="AEQ2" s="306"/>
      <c r="AER2" s="306"/>
      <c r="AES2" s="306"/>
      <c r="AET2" s="306"/>
      <c r="AEU2" s="306"/>
      <c r="AEV2" s="306"/>
      <c r="AEW2" s="306"/>
      <c r="AEX2" s="306"/>
      <c r="AEY2" s="306"/>
      <c r="AEZ2" s="306"/>
      <c r="AFA2" s="306"/>
      <c r="AFB2" s="306"/>
      <c r="AFC2" s="306"/>
      <c r="AFD2" s="306"/>
      <c r="AFE2" s="306"/>
      <c r="AFF2" s="306"/>
      <c r="AFG2" s="306"/>
      <c r="AFH2" s="306"/>
      <c r="AFI2" s="306"/>
      <c r="AFJ2" s="306"/>
      <c r="AFK2" s="306"/>
      <c r="AFL2" s="306"/>
      <c r="AFM2" s="306"/>
      <c r="AFN2" s="306"/>
      <c r="AFO2" s="306"/>
      <c r="AFP2" s="306"/>
      <c r="AFQ2" s="306"/>
      <c r="AFR2" s="306"/>
      <c r="AFS2" s="306"/>
      <c r="AFT2" s="306"/>
      <c r="AFU2" s="306"/>
      <c r="AFV2" s="306"/>
      <c r="AFW2" s="306"/>
      <c r="AFX2" s="306"/>
      <c r="AFY2" s="306"/>
      <c r="AFZ2" s="306"/>
      <c r="AGA2" s="306"/>
      <c r="AGB2" s="306"/>
      <c r="AGC2" s="306"/>
      <c r="AGD2" s="306"/>
      <c r="AGE2" s="306"/>
      <c r="AGF2" s="306"/>
      <c r="AGG2" s="306"/>
      <c r="AGH2" s="306"/>
      <c r="AGI2" s="306"/>
      <c r="AGJ2" s="306"/>
      <c r="AGK2" s="306"/>
      <c r="AGL2" s="306"/>
      <c r="AGM2" s="306"/>
      <c r="AGN2" s="306"/>
      <c r="AGO2" s="306"/>
      <c r="AGP2" s="306"/>
      <c r="AGQ2" s="306"/>
      <c r="AGR2" s="306"/>
      <c r="AGS2" s="306"/>
      <c r="AGT2" s="306"/>
      <c r="AGU2" s="306"/>
      <c r="AGV2" s="306"/>
      <c r="AGW2" s="306"/>
      <c r="AGX2" s="306"/>
      <c r="AGY2" s="306"/>
      <c r="AGZ2" s="306"/>
      <c r="AHA2" s="306"/>
      <c r="AHB2" s="306"/>
      <c r="AHC2" s="306"/>
      <c r="AHD2" s="306"/>
      <c r="AHE2" s="306"/>
      <c r="AHF2" s="306"/>
      <c r="AHG2" s="306"/>
      <c r="AHH2" s="306"/>
      <c r="AHI2" s="306"/>
      <c r="AHJ2" s="306"/>
      <c r="AHK2" s="306"/>
      <c r="AHL2" s="306"/>
      <c r="AHM2" s="306"/>
      <c r="AHN2" s="306"/>
      <c r="AHO2" s="306"/>
      <c r="AHP2" s="306"/>
      <c r="AHQ2" s="306"/>
      <c r="AHR2" s="306"/>
      <c r="AHS2" s="306"/>
      <c r="AHT2" s="306"/>
      <c r="AHU2" s="306"/>
      <c r="AHV2" s="306"/>
      <c r="AHW2" s="306"/>
      <c r="AHX2" s="306"/>
      <c r="AHY2" s="306"/>
      <c r="AHZ2" s="306"/>
      <c r="AIA2" s="306"/>
      <c r="AIB2" s="306"/>
      <c r="AIC2" s="306"/>
      <c r="AID2" s="306"/>
      <c r="AIE2" s="306"/>
      <c r="AIF2" s="306"/>
      <c r="AIG2" s="306"/>
      <c r="AIH2" s="306"/>
      <c r="AII2" s="306"/>
      <c r="AIJ2" s="306"/>
      <c r="AIK2" s="306"/>
      <c r="AIL2" s="306"/>
      <c r="AIM2" s="306"/>
      <c r="AIN2" s="306"/>
      <c r="AIO2" s="306"/>
      <c r="AIP2" s="306"/>
      <c r="AIQ2" s="306"/>
      <c r="AIR2" s="306"/>
      <c r="AIS2" s="306"/>
      <c r="AIT2" s="306"/>
      <c r="AIU2" s="306"/>
      <c r="AIV2" s="306"/>
      <c r="AIW2" s="306"/>
      <c r="AIX2" s="306"/>
      <c r="AIY2" s="306"/>
      <c r="AIZ2" s="306"/>
      <c r="AJA2" s="306"/>
      <c r="AJB2" s="306"/>
      <c r="AJC2" s="306"/>
      <c r="AJD2" s="306"/>
      <c r="AJE2" s="306"/>
      <c r="AJF2" s="306"/>
      <c r="AJG2" s="306"/>
      <c r="AJH2" s="306"/>
      <c r="AJI2" s="306"/>
      <c r="AJJ2" s="306"/>
      <c r="AJK2" s="306"/>
      <c r="AJL2" s="306"/>
      <c r="AJM2" s="306"/>
      <c r="AJN2" s="306"/>
      <c r="AJO2" s="306"/>
      <c r="AJP2" s="306"/>
      <c r="AJQ2" s="306"/>
      <c r="AJR2" s="306"/>
      <c r="AJS2" s="306"/>
      <c r="AJT2" s="306"/>
      <c r="AJU2" s="306"/>
      <c r="AJV2" s="306"/>
      <c r="AJW2" s="306"/>
      <c r="AJX2" s="306"/>
      <c r="AJY2" s="306"/>
      <c r="AJZ2" s="306"/>
      <c r="AKA2" s="306"/>
      <c r="AKB2" s="306"/>
      <c r="AKC2" s="306"/>
      <c r="AKD2" s="306"/>
      <c r="AKE2" s="306"/>
      <c r="AKF2" s="306"/>
      <c r="AKG2" s="306"/>
      <c r="AKH2" s="306"/>
      <c r="AKI2" s="306"/>
      <c r="AKJ2" s="306"/>
      <c r="AKK2" s="306"/>
      <c r="AKL2" s="306"/>
      <c r="AKM2" s="306"/>
      <c r="AKN2" s="306"/>
      <c r="AKO2" s="306"/>
      <c r="AKP2" s="306"/>
      <c r="AKQ2" s="306"/>
      <c r="AKR2" s="306"/>
      <c r="AKS2" s="306"/>
      <c r="AKT2" s="306"/>
      <c r="AKU2" s="306"/>
      <c r="AKV2" s="306"/>
      <c r="AKW2" s="306"/>
      <c r="AKX2" s="306"/>
      <c r="AKY2" s="306"/>
      <c r="AKZ2" s="306"/>
      <c r="ALA2" s="306"/>
      <c r="ALB2" s="306"/>
      <c r="ALC2" s="306"/>
      <c r="ALD2" s="306"/>
      <c r="ALE2" s="306"/>
      <c r="ALF2" s="306"/>
      <c r="ALG2" s="306"/>
      <c r="ALH2" s="306"/>
      <c r="ALI2" s="306"/>
      <c r="ALJ2" s="306"/>
      <c r="ALK2" s="306"/>
      <c r="ALL2" s="306"/>
      <c r="ALM2" s="306"/>
      <c r="ALN2" s="306"/>
      <c r="ALO2" s="306"/>
      <c r="ALP2" s="306"/>
      <c r="ALQ2" s="306"/>
      <c r="ALR2" s="306"/>
      <c r="ALS2" s="306"/>
      <c r="ALT2" s="306"/>
      <c r="ALU2" s="306"/>
      <c r="ALV2" s="306"/>
      <c r="ALW2" s="306"/>
      <c r="ALX2" s="306"/>
      <c r="ALY2" s="306"/>
      <c r="ALZ2" s="306"/>
      <c r="AMA2" s="306"/>
      <c r="AMB2" s="306"/>
      <c r="AMC2" s="306"/>
      <c r="AMD2" s="306"/>
      <c r="AME2" s="306"/>
      <c r="AMF2" s="306"/>
      <c r="AMG2" s="306"/>
      <c r="AMH2" s="306"/>
      <c r="AMI2" s="306"/>
      <c r="AMJ2" s="306"/>
      <c r="AMK2" s="306"/>
      <c r="AML2" s="306"/>
      <c r="AMM2" s="306"/>
      <c r="AMN2" s="306"/>
      <c r="AMO2" s="306"/>
      <c r="AMP2" s="306"/>
      <c r="AMQ2" s="306"/>
      <c r="AMR2" s="306"/>
      <c r="AMS2" s="306"/>
      <c r="AMT2" s="306"/>
      <c r="AMU2" s="306"/>
      <c r="AMV2" s="306"/>
      <c r="AMW2" s="306"/>
      <c r="AMX2" s="306"/>
      <c r="AMY2" s="306"/>
      <c r="AMZ2" s="306"/>
      <c r="ANA2" s="306"/>
      <c r="ANB2" s="306"/>
      <c r="ANC2" s="306"/>
      <c r="AND2" s="306"/>
      <c r="ANE2" s="306"/>
      <c r="ANF2" s="306"/>
      <c r="ANG2" s="306"/>
      <c r="ANH2" s="306"/>
      <c r="ANI2" s="306"/>
      <c r="ANJ2" s="306"/>
      <c r="ANK2" s="306"/>
      <c r="ANL2" s="306"/>
      <c r="ANM2" s="306"/>
      <c r="ANN2" s="306"/>
      <c r="ANO2" s="306"/>
      <c r="ANP2" s="306"/>
      <c r="ANQ2" s="306"/>
      <c r="ANR2" s="306"/>
      <c r="ANS2" s="306"/>
      <c r="ANT2" s="306"/>
      <c r="ANU2" s="306"/>
      <c r="ANV2" s="306"/>
      <c r="ANW2" s="306"/>
      <c r="ANX2" s="306"/>
      <c r="ANY2" s="306"/>
      <c r="ANZ2" s="306"/>
      <c r="AOA2" s="306"/>
      <c r="AOB2" s="306"/>
      <c r="AOC2" s="306"/>
      <c r="AOD2" s="306"/>
      <c r="AOE2" s="306"/>
      <c r="AOF2" s="306"/>
      <c r="AOG2" s="306"/>
      <c r="AOH2" s="306"/>
      <c r="AOI2" s="306"/>
      <c r="AOJ2" s="306"/>
      <c r="AOK2" s="306"/>
      <c r="AOL2" s="306"/>
      <c r="AOM2" s="306"/>
      <c r="AON2" s="306"/>
      <c r="AOO2" s="306"/>
      <c r="AOP2" s="306"/>
      <c r="AOQ2" s="306"/>
      <c r="AOR2" s="306"/>
      <c r="AOS2" s="306"/>
      <c r="AOT2" s="306"/>
      <c r="AOU2" s="306"/>
      <c r="AOV2" s="306"/>
      <c r="AOW2" s="306"/>
      <c r="AOX2" s="306"/>
      <c r="AOY2" s="306"/>
      <c r="AOZ2" s="306"/>
      <c r="APA2" s="306"/>
      <c r="APB2" s="306"/>
      <c r="APC2" s="306"/>
      <c r="APD2" s="306"/>
      <c r="APE2" s="306"/>
      <c r="APF2" s="306"/>
      <c r="APG2" s="306"/>
      <c r="APH2" s="306"/>
      <c r="API2" s="306"/>
      <c r="APJ2" s="306"/>
      <c r="APK2" s="306"/>
      <c r="APL2" s="306"/>
      <c r="APM2" s="306"/>
      <c r="APN2" s="306"/>
      <c r="APO2" s="306"/>
      <c r="APP2" s="306"/>
      <c r="APQ2" s="306"/>
      <c r="APR2" s="306"/>
      <c r="APS2" s="306"/>
      <c r="APT2" s="306"/>
      <c r="APU2" s="306"/>
      <c r="APV2" s="306"/>
      <c r="APW2" s="306"/>
      <c r="APX2" s="306"/>
      <c r="APY2" s="306"/>
      <c r="APZ2" s="306"/>
      <c r="AQA2" s="306"/>
      <c r="AQB2" s="306"/>
      <c r="AQC2" s="306"/>
      <c r="AQD2" s="306"/>
      <c r="AQE2" s="306"/>
      <c r="AQF2" s="306"/>
      <c r="AQG2" s="306"/>
      <c r="AQH2" s="306"/>
      <c r="AQI2" s="306"/>
      <c r="AQJ2" s="306"/>
      <c r="AQK2" s="306"/>
      <c r="AQL2" s="306"/>
      <c r="AQM2" s="306"/>
      <c r="AQN2" s="306"/>
      <c r="AQO2" s="306"/>
      <c r="AQP2" s="306"/>
      <c r="AQQ2" s="306"/>
      <c r="AQR2" s="306"/>
      <c r="AQS2" s="306"/>
      <c r="AQT2" s="306"/>
      <c r="AQU2" s="306"/>
      <c r="AQV2" s="306"/>
      <c r="AQW2" s="306"/>
      <c r="AQX2" s="306"/>
      <c r="AQY2" s="306"/>
      <c r="AQZ2" s="306"/>
      <c r="ARA2" s="306"/>
      <c r="ARB2" s="306"/>
      <c r="ARC2" s="306"/>
      <c r="ARD2" s="306"/>
      <c r="ARE2" s="306"/>
      <c r="ARF2" s="306"/>
      <c r="ARG2" s="306"/>
      <c r="ARH2" s="306"/>
      <c r="ARI2" s="306"/>
      <c r="ARJ2" s="306"/>
      <c r="ARK2" s="306"/>
      <c r="ARL2" s="306"/>
      <c r="ARM2" s="306"/>
      <c r="ARN2" s="306"/>
      <c r="ARO2" s="306"/>
      <c r="ARP2" s="306"/>
      <c r="ARQ2" s="306"/>
      <c r="ARR2" s="306"/>
      <c r="ARS2" s="306"/>
      <c r="ART2" s="306"/>
      <c r="ARU2" s="306"/>
      <c r="ARV2" s="306"/>
      <c r="ARW2" s="306"/>
      <c r="ARX2" s="306"/>
      <c r="ARY2" s="306"/>
      <c r="ARZ2" s="306"/>
      <c r="ASA2" s="306"/>
      <c r="ASB2" s="306"/>
      <c r="ASC2" s="306"/>
      <c r="ASD2" s="306"/>
      <c r="ASE2" s="306"/>
      <c r="ASF2" s="306"/>
      <c r="ASG2" s="306"/>
      <c r="ASH2" s="306"/>
      <c r="ASI2" s="306"/>
      <c r="ASJ2" s="306"/>
      <c r="ASK2" s="306"/>
      <c r="ASL2" s="306"/>
      <c r="ASM2" s="306"/>
      <c r="ASN2" s="306"/>
      <c r="ASO2" s="306"/>
      <c r="ASP2" s="306"/>
      <c r="ASQ2" s="306"/>
      <c r="ASR2" s="306"/>
      <c r="ASS2" s="306"/>
      <c r="AST2" s="306"/>
      <c r="ASU2" s="306"/>
      <c r="ASV2" s="306"/>
      <c r="ASW2" s="306"/>
      <c r="ASX2" s="306"/>
      <c r="ASY2" s="306"/>
      <c r="ASZ2" s="306"/>
      <c r="ATA2" s="306"/>
      <c r="ATB2" s="306"/>
      <c r="ATC2" s="306"/>
      <c r="ATD2" s="306"/>
      <c r="ATE2" s="306"/>
      <c r="ATF2" s="306"/>
      <c r="ATG2" s="306"/>
      <c r="ATH2" s="306"/>
      <c r="ATI2" s="306"/>
      <c r="ATJ2" s="306"/>
      <c r="ATK2" s="306"/>
      <c r="ATL2" s="306"/>
      <c r="ATM2" s="306"/>
      <c r="ATN2" s="306"/>
      <c r="ATO2" s="306"/>
      <c r="ATP2" s="306"/>
      <c r="ATQ2" s="306"/>
      <c r="ATR2" s="306"/>
      <c r="ATS2" s="306"/>
      <c r="ATT2" s="306"/>
      <c r="ATU2" s="306"/>
      <c r="ATV2" s="306"/>
      <c r="ATW2" s="306"/>
      <c r="ATX2" s="306"/>
      <c r="ATY2" s="306"/>
      <c r="ATZ2" s="306"/>
      <c r="AUA2" s="306"/>
      <c r="AUB2" s="306"/>
      <c r="AUC2" s="306"/>
      <c r="AUD2" s="306"/>
      <c r="AUE2" s="306"/>
      <c r="AUF2" s="306"/>
      <c r="AUG2" s="306"/>
      <c r="AUH2" s="306"/>
      <c r="AUI2" s="306"/>
      <c r="AUJ2" s="306"/>
      <c r="AUK2" s="306"/>
      <c r="AUL2" s="306"/>
      <c r="AUM2" s="306"/>
      <c r="AUN2" s="306"/>
      <c r="AUO2" s="306"/>
      <c r="AUP2" s="306"/>
      <c r="AUQ2" s="306"/>
      <c r="AUR2" s="306"/>
      <c r="AUS2" s="306"/>
      <c r="AUT2" s="306"/>
      <c r="AUU2" s="306"/>
      <c r="AUV2" s="306"/>
      <c r="AUW2" s="306"/>
      <c r="AUX2" s="306"/>
      <c r="AUY2" s="306"/>
      <c r="AUZ2" s="306"/>
      <c r="AVA2" s="306"/>
      <c r="AVB2" s="306"/>
      <c r="AVC2" s="306"/>
      <c r="AVD2" s="306"/>
      <c r="AVE2" s="306"/>
      <c r="AVF2" s="306"/>
      <c r="AVG2" s="306"/>
      <c r="AVH2" s="306"/>
      <c r="AVI2" s="306"/>
      <c r="AVJ2" s="306"/>
      <c r="AVK2" s="306"/>
      <c r="AVL2" s="306"/>
      <c r="AVM2" s="306"/>
      <c r="AVN2" s="306"/>
      <c r="AVO2" s="306"/>
      <c r="AVP2" s="306"/>
      <c r="AVQ2" s="306"/>
      <c r="AVR2" s="306"/>
      <c r="AVS2" s="306"/>
      <c r="AVT2" s="306"/>
      <c r="AVU2" s="306"/>
      <c r="AVV2" s="306"/>
      <c r="AVW2" s="306"/>
      <c r="AVX2" s="306"/>
      <c r="AVY2" s="306"/>
      <c r="AVZ2" s="306"/>
      <c r="AWA2" s="306"/>
      <c r="AWB2" s="306"/>
      <c r="AWC2" s="306"/>
      <c r="AWD2" s="306"/>
      <c r="AWE2" s="306"/>
      <c r="AWF2" s="306"/>
      <c r="AWG2" s="306"/>
      <c r="AWH2" s="306"/>
      <c r="AWI2" s="306"/>
      <c r="AWJ2" s="306"/>
      <c r="AWK2" s="306"/>
      <c r="AWL2" s="306"/>
      <c r="AWM2" s="306"/>
      <c r="AWN2" s="306"/>
      <c r="AWO2" s="306"/>
      <c r="AWP2" s="306"/>
      <c r="AWQ2" s="306"/>
      <c r="AWR2" s="306"/>
      <c r="AWS2" s="306"/>
      <c r="AWT2" s="306"/>
      <c r="AWU2" s="306"/>
      <c r="AWV2" s="306"/>
      <c r="AWW2" s="306"/>
      <c r="AWX2" s="306"/>
      <c r="AWY2" s="306"/>
      <c r="AWZ2" s="306"/>
      <c r="AXA2" s="306"/>
      <c r="AXB2" s="306"/>
      <c r="AXC2" s="306"/>
      <c r="AXD2" s="306"/>
      <c r="AXE2" s="306"/>
      <c r="AXF2" s="306"/>
      <c r="AXG2" s="306"/>
      <c r="AXH2" s="306"/>
      <c r="AXI2" s="306"/>
      <c r="AXJ2" s="306"/>
      <c r="AXK2" s="306"/>
      <c r="AXL2" s="306"/>
      <c r="AXM2" s="306"/>
      <c r="AXN2" s="306"/>
      <c r="AXO2" s="306"/>
      <c r="AXP2" s="306"/>
      <c r="AXQ2" s="306"/>
      <c r="AXR2" s="306"/>
      <c r="AXS2" s="306"/>
      <c r="AXT2" s="306"/>
      <c r="AXU2" s="306"/>
      <c r="AXV2" s="306"/>
      <c r="AXW2" s="306"/>
      <c r="AXX2" s="306"/>
      <c r="AXY2" s="306"/>
      <c r="AXZ2" s="306"/>
      <c r="AYA2" s="306"/>
      <c r="AYB2" s="306"/>
      <c r="AYC2" s="306"/>
      <c r="AYD2" s="306"/>
      <c r="AYE2" s="306"/>
      <c r="AYF2" s="306"/>
      <c r="AYG2" s="306"/>
      <c r="AYH2" s="306"/>
      <c r="AYI2" s="306"/>
      <c r="AYJ2" s="306"/>
      <c r="AYK2" s="306"/>
      <c r="AYL2" s="306"/>
      <c r="AYM2" s="306"/>
      <c r="AYN2" s="306"/>
      <c r="AYO2" s="306"/>
      <c r="AYP2" s="306"/>
      <c r="AYQ2" s="306"/>
      <c r="AYR2" s="306"/>
      <c r="AYS2" s="306"/>
      <c r="AYT2" s="306"/>
      <c r="AYU2" s="306"/>
      <c r="AYV2" s="306"/>
      <c r="AYW2" s="306"/>
      <c r="AYX2" s="306"/>
      <c r="AYY2" s="306"/>
      <c r="AYZ2" s="306"/>
      <c r="AZA2" s="306"/>
      <c r="AZB2" s="306"/>
      <c r="AZC2" s="306"/>
      <c r="AZD2" s="306"/>
      <c r="AZE2" s="306"/>
      <c r="AZF2" s="306"/>
      <c r="AZG2" s="306"/>
      <c r="AZH2" s="306"/>
      <c r="AZI2" s="306"/>
      <c r="AZJ2" s="306"/>
      <c r="AZK2" s="306"/>
      <c r="AZL2" s="306"/>
      <c r="AZM2" s="306"/>
      <c r="AZN2" s="306"/>
      <c r="AZO2" s="306"/>
      <c r="AZP2" s="306"/>
      <c r="AZQ2" s="306"/>
      <c r="AZR2" s="306"/>
      <c r="AZS2" s="306"/>
      <c r="AZT2" s="306"/>
      <c r="AZU2" s="306"/>
      <c r="AZV2" s="306"/>
      <c r="AZW2" s="306"/>
      <c r="AZX2" s="306"/>
      <c r="AZY2" s="306"/>
      <c r="AZZ2" s="306"/>
      <c r="BAA2" s="306"/>
      <c r="BAB2" s="306"/>
      <c r="BAC2" s="306"/>
      <c r="BAD2" s="306"/>
      <c r="BAE2" s="306"/>
      <c r="BAF2" s="306"/>
      <c r="BAG2" s="306"/>
      <c r="BAH2" s="306"/>
      <c r="BAI2" s="306"/>
      <c r="BAJ2" s="306"/>
      <c r="BAK2" s="306"/>
      <c r="BAL2" s="306"/>
      <c r="BAM2" s="306"/>
      <c r="BAN2" s="306"/>
      <c r="BAO2" s="306"/>
      <c r="BAP2" s="306"/>
      <c r="BAQ2" s="306"/>
      <c r="BAR2" s="306"/>
      <c r="BAS2" s="306"/>
      <c r="BAT2" s="306"/>
      <c r="BAU2" s="306"/>
      <c r="BAV2" s="306"/>
      <c r="BAW2" s="306"/>
      <c r="BAX2" s="306"/>
      <c r="BAY2" s="306"/>
      <c r="BAZ2" s="306"/>
      <c r="BBA2" s="306"/>
      <c r="BBB2" s="306"/>
      <c r="BBC2" s="306"/>
      <c r="BBD2" s="306"/>
      <c r="BBE2" s="306"/>
      <c r="BBF2" s="306"/>
      <c r="BBG2" s="306"/>
      <c r="BBH2" s="306"/>
      <c r="BBI2" s="306"/>
      <c r="BBJ2" s="306"/>
      <c r="BBK2" s="306"/>
      <c r="BBL2" s="306"/>
      <c r="BBM2" s="306"/>
      <c r="BBN2" s="306"/>
      <c r="BBO2" s="306"/>
      <c r="BBP2" s="306"/>
      <c r="BBQ2" s="306"/>
      <c r="BBR2" s="306"/>
      <c r="BBS2" s="306"/>
      <c r="BBT2" s="306"/>
      <c r="BBU2" s="306"/>
      <c r="BBV2" s="306"/>
      <c r="BBW2" s="306"/>
      <c r="BBX2" s="306"/>
      <c r="BBY2" s="306"/>
      <c r="BBZ2" s="306"/>
      <c r="BCA2" s="306"/>
      <c r="BCB2" s="306"/>
      <c r="BCC2" s="306"/>
      <c r="BCD2" s="306"/>
      <c r="BCE2" s="306"/>
      <c r="BCF2" s="306"/>
      <c r="BCG2" s="306"/>
      <c r="BCH2" s="306"/>
      <c r="BCI2" s="306"/>
      <c r="BCJ2" s="306"/>
      <c r="BCK2" s="306"/>
      <c r="BCL2" s="306"/>
      <c r="BCM2" s="306"/>
      <c r="BCN2" s="306"/>
      <c r="BCO2" s="306"/>
      <c r="BCP2" s="306"/>
      <c r="BCQ2" s="306"/>
      <c r="BCR2" s="306"/>
      <c r="BCS2" s="306"/>
      <c r="BCT2" s="306"/>
      <c r="BCU2" s="306"/>
      <c r="BCV2" s="306"/>
      <c r="BCW2" s="306"/>
      <c r="BCX2" s="306"/>
      <c r="BCY2" s="306"/>
      <c r="BCZ2" s="306"/>
      <c r="BDA2" s="306"/>
      <c r="BDB2" s="306"/>
      <c r="BDC2" s="306"/>
      <c r="BDD2" s="306"/>
      <c r="BDE2" s="306"/>
      <c r="BDF2" s="306"/>
      <c r="BDG2" s="306"/>
      <c r="BDH2" s="306"/>
      <c r="BDI2" s="306"/>
      <c r="BDJ2" s="306"/>
      <c r="BDK2" s="306"/>
      <c r="BDL2" s="306"/>
      <c r="BDM2" s="306"/>
      <c r="BDN2" s="306"/>
      <c r="BDO2" s="306"/>
      <c r="BDP2" s="306"/>
      <c r="BDQ2" s="306"/>
      <c r="BDR2" s="306"/>
      <c r="BDS2" s="306"/>
      <c r="BDT2" s="306"/>
      <c r="BDU2" s="306"/>
      <c r="BDV2" s="306"/>
      <c r="BDW2" s="306"/>
      <c r="BDX2" s="306"/>
      <c r="BDY2" s="306"/>
      <c r="BDZ2" s="306"/>
      <c r="BEA2" s="306"/>
      <c r="BEB2" s="306"/>
      <c r="BEC2" s="306"/>
      <c r="BED2" s="306"/>
      <c r="BEE2" s="306"/>
      <c r="BEF2" s="306"/>
      <c r="BEG2" s="306"/>
      <c r="BEH2" s="306"/>
      <c r="BEI2" s="306"/>
      <c r="BEJ2" s="306"/>
      <c r="BEK2" s="306"/>
      <c r="BEL2" s="306"/>
      <c r="BEM2" s="306"/>
      <c r="BEN2" s="306"/>
      <c r="BEO2" s="306"/>
      <c r="BEP2" s="306"/>
      <c r="BEQ2" s="306"/>
      <c r="BER2" s="306"/>
      <c r="BES2" s="306"/>
      <c r="BET2" s="306"/>
      <c r="BEU2" s="306"/>
      <c r="BEV2" s="306"/>
      <c r="BEW2" s="306"/>
      <c r="BEX2" s="306"/>
      <c r="BEY2" s="306"/>
      <c r="BEZ2" s="306"/>
      <c r="BFA2" s="306"/>
      <c r="BFB2" s="306"/>
      <c r="BFC2" s="306"/>
      <c r="BFD2" s="306"/>
      <c r="BFE2" s="306"/>
      <c r="BFF2" s="306"/>
      <c r="BFG2" s="306"/>
      <c r="BFH2" s="306"/>
      <c r="BFI2" s="306"/>
      <c r="BFJ2" s="306"/>
      <c r="BFK2" s="306"/>
      <c r="BFL2" s="306"/>
      <c r="BFM2" s="306"/>
      <c r="BFN2" s="306"/>
      <c r="BFO2" s="306"/>
      <c r="BFP2" s="306"/>
      <c r="BFQ2" s="306"/>
      <c r="BFR2" s="306"/>
      <c r="BFS2" s="306"/>
      <c r="BFT2" s="306"/>
      <c r="BFU2" s="306"/>
      <c r="BFV2" s="306"/>
      <c r="BFW2" s="306"/>
      <c r="BFX2" s="306"/>
      <c r="BFY2" s="306"/>
      <c r="BFZ2" s="306"/>
      <c r="BGA2" s="306"/>
      <c r="BGB2" s="306"/>
      <c r="BGC2" s="306"/>
      <c r="BGD2" s="306"/>
      <c r="BGE2" s="306"/>
      <c r="BGF2" s="306"/>
      <c r="BGG2" s="306"/>
      <c r="BGH2" s="306"/>
      <c r="BGI2" s="306"/>
      <c r="BGJ2" s="306"/>
      <c r="BGK2" s="306"/>
      <c r="BGL2" s="306"/>
      <c r="BGM2" s="306"/>
      <c r="BGN2" s="306"/>
      <c r="BGO2" s="306"/>
      <c r="BGP2" s="306"/>
      <c r="BGQ2" s="306"/>
      <c r="BGR2" s="306"/>
      <c r="BGS2" s="306"/>
      <c r="BGT2" s="306"/>
      <c r="BGU2" s="306"/>
      <c r="BGV2" s="306"/>
      <c r="BGW2" s="306"/>
      <c r="BGX2" s="306"/>
      <c r="BGY2" s="306"/>
      <c r="BGZ2" s="306"/>
      <c r="BHA2" s="306"/>
      <c r="BHB2" s="306"/>
      <c r="BHC2" s="306"/>
      <c r="BHD2" s="306"/>
      <c r="BHE2" s="306"/>
      <c r="BHF2" s="306"/>
      <c r="BHG2" s="306"/>
      <c r="BHH2" s="306"/>
      <c r="BHI2" s="306"/>
      <c r="BHJ2" s="306"/>
      <c r="BHK2" s="306"/>
      <c r="BHL2" s="306"/>
      <c r="BHM2" s="306"/>
      <c r="BHN2" s="306"/>
      <c r="BHO2" s="306"/>
      <c r="BHP2" s="306"/>
      <c r="BHQ2" s="306"/>
      <c r="BHR2" s="306"/>
      <c r="BHS2" s="306"/>
      <c r="BHT2" s="306"/>
      <c r="BHU2" s="306"/>
      <c r="BHV2" s="306"/>
      <c r="BHW2" s="306"/>
      <c r="BHX2" s="306"/>
      <c r="BHY2" s="306"/>
      <c r="BHZ2" s="306"/>
      <c r="BIA2" s="306"/>
      <c r="BIB2" s="306"/>
      <c r="BIC2" s="306"/>
      <c r="BID2" s="306"/>
      <c r="BIE2" s="306"/>
      <c r="BIF2" s="306"/>
      <c r="BIG2" s="306"/>
      <c r="BIH2" s="306"/>
      <c r="BII2" s="306"/>
      <c r="BIJ2" s="306"/>
      <c r="BIK2" s="306"/>
      <c r="BIL2" s="306"/>
      <c r="BIM2" s="306"/>
      <c r="BIN2" s="306"/>
      <c r="BIO2" s="306"/>
      <c r="BIP2" s="306"/>
      <c r="BIQ2" s="306"/>
      <c r="BIR2" s="306"/>
      <c r="BIS2" s="306"/>
      <c r="BIT2" s="306"/>
      <c r="BIU2" s="306"/>
      <c r="BIV2" s="306"/>
      <c r="BIW2" s="306"/>
      <c r="BIX2" s="306"/>
      <c r="BIY2" s="306"/>
      <c r="BIZ2" s="306"/>
      <c r="BJA2" s="306"/>
      <c r="BJB2" s="306"/>
      <c r="BJC2" s="306"/>
      <c r="BJD2" s="306"/>
      <c r="BJE2" s="306"/>
      <c r="BJF2" s="306"/>
      <c r="BJG2" s="306"/>
      <c r="BJH2" s="306"/>
      <c r="BJI2" s="306"/>
      <c r="BJJ2" s="306"/>
      <c r="BJK2" s="306"/>
      <c r="BJL2" s="306"/>
      <c r="BJM2" s="306"/>
      <c r="BJN2" s="306"/>
      <c r="BJO2" s="306"/>
      <c r="BJP2" s="306"/>
      <c r="BJQ2" s="306"/>
      <c r="BJR2" s="306"/>
      <c r="BJS2" s="306"/>
      <c r="BJT2" s="306"/>
      <c r="BJU2" s="306"/>
      <c r="BJV2" s="306"/>
      <c r="BJW2" s="306"/>
      <c r="BJX2" s="306"/>
      <c r="BJY2" s="306"/>
      <c r="BJZ2" s="306"/>
      <c r="BKA2" s="306"/>
      <c r="BKB2" s="306"/>
      <c r="BKC2" s="306"/>
      <c r="BKD2" s="306"/>
      <c r="BKE2" s="306"/>
      <c r="BKF2" s="306"/>
      <c r="BKG2" s="306"/>
      <c r="BKH2" s="306"/>
      <c r="BKI2" s="306"/>
      <c r="BKJ2" s="306"/>
      <c r="BKK2" s="306"/>
      <c r="BKL2" s="306"/>
      <c r="BKM2" s="306"/>
      <c r="BKN2" s="306"/>
      <c r="BKO2" s="306"/>
      <c r="BKP2" s="306"/>
      <c r="BKQ2" s="306"/>
      <c r="BKR2" s="306"/>
      <c r="BKS2" s="306"/>
      <c r="BKT2" s="306"/>
      <c r="BKU2" s="306"/>
      <c r="BKV2" s="306"/>
      <c r="BKW2" s="306"/>
      <c r="BKX2" s="306"/>
      <c r="BKY2" s="306"/>
      <c r="BKZ2" s="306"/>
      <c r="BLA2" s="306"/>
      <c r="BLB2" s="306"/>
      <c r="BLC2" s="306"/>
      <c r="BLD2" s="306"/>
      <c r="BLE2" s="306"/>
      <c r="BLF2" s="306"/>
      <c r="BLG2" s="306"/>
      <c r="BLH2" s="306"/>
      <c r="BLI2" s="306"/>
      <c r="BLJ2" s="306"/>
      <c r="BLK2" s="306"/>
      <c r="BLL2" s="306"/>
      <c r="BLM2" s="306"/>
      <c r="BLN2" s="306"/>
      <c r="BLO2" s="306"/>
      <c r="BLP2" s="306"/>
      <c r="BLQ2" s="306"/>
      <c r="BLR2" s="306"/>
      <c r="BLS2" s="306"/>
      <c r="BLT2" s="306"/>
      <c r="BLU2" s="306"/>
      <c r="BLV2" s="306"/>
      <c r="BLW2" s="306"/>
      <c r="BLX2" s="306"/>
      <c r="BLY2" s="306"/>
      <c r="BLZ2" s="306"/>
      <c r="BMA2" s="306"/>
      <c r="BMB2" s="306"/>
      <c r="BMC2" s="306"/>
      <c r="BMD2" s="306"/>
      <c r="BME2" s="306"/>
      <c r="BMF2" s="306"/>
      <c r="BMG2" s="306"/>
      <c r="BMH2" s="306"/>
      <c r="BMI2" s="306"/>
      <c r="BMJ2" s="306"/>
      <c r="BMK2" s="306"/>
      <c r="BML2" s="306"/>
      <c r="BMM2" s="306"/>
      <c r="BMN2" s="306"/>
      <c r="BMO2" s="306"/>
      <c r="BMP2" s="306"/>
      <c r="BMQ2" s="306"/>
      <c r="BMR2" s="306"/>
      <c r="BMS2" s="306"/>
      <c r="BMT2" s="306"/>
      <c r="BMU2" s="306"/>
      <c r="BMV2" s="306"/>
      <c r="BMW2" s="306"/>
      <c r="BMX2" s="306"/>
      <c r="BMY2" s="306"/>
      <c r="BMZ2" s="306"/>
      <c r="BNA2" s="306"/>
      <c r="BNB2" s="306"/>
      <c r="BNC2" s="306"/>
      <c r="BND2" s="306"/>
      <c r="BNE2" s="306"/>
      <c r="BNF2" s="306"/>
      <c r="BNG2" s="306"/>
      <c r="BNH2" s="306"/>
      <c r="BNI2" s="306"/>
      <c r="BNJ2" s="306"/>
      <c r="BNK2" s="306"/>
      <c r="BNL2" s="306"/>
      <c r="BNM2" s="306"/>
      <c r="BNN2" s="306"/>
      <c r="BNO2" s="306"/>
      <c r="BNP2" s="306"/>
      <c r="BNQ2" s="306"/>
      <c r="BNR2" s="306"/>
      <c r="BNS2" s="306"/>
      <c r="BNT2" s="306"/>
      <c r="BNU2" s="306"/>
      <c r="BNV2" s="306"/>
      <c r="BNW2" s="306"/>
      <c r="BNX2" s="306"/>
      <c r="BNY2" s="306"/>
      <c r="BNZ2" s="306"/>
      <c r="BOA2" s="306"/>
      <c r="BOB2" s="306"/>
      <c r="BOC2" s="306"/>
      <c r="BOD2" s="306"/>
      <c r="BOE2" s="306"/>
      <c r="BOF2" s="306"/>
      <c r="BOG2" s="306"/>
      <c r="BOH2" s="306"/>
      <c r="BOI2" s="306"/>
      <c r="BOJ2" s="306"/>
      <c r="BOK2" s="306"/>
      <c r="BOL2" s="306"/>
      <c r="BOM2" s="306"/>
      <c r="BON2" s="306"/>
      <c r="BOO2" s="306"/>
      <c r="BOP2" s="306"/>
      <c r="BOQ2" s="306"/>
      <c r="BOR2" s="306"/>
      <c r="BOS2" s="306"/>
      <c r="BOT2" s="306"/>
      <c r="BOU2" s="306"/>
      <c r="BOV2" s="306"/>
      <c r="BOW2" s="306"/>
      <c r="BOX2" s="306"/>
      <c r="BOY2" s="306"/>
      <c r="BOZ2" s="306"/>
      <c r="BPA2" s="306"/>
      <c r="BPB2" s="306"/>
      <c r="BPC2" s="306"/>
      <c r="BPD2" s="306"/>
      <c r="BPE2" s="306"/>
      <c r="BPF2" s="306"/>
      <c r="BPG2" s="306"/>
      <c r="BPH2" s="306"/>
      <c r="BPI2" s="306"/>
      <c r="BPJ2" s="306"/>
      <c r="BPK2" s="306"/>
      <c r="BPL2" s="306"/>
      <c r="BPM2" s="306"/>
      <c r="BPN2" s="306"/>
      <c r="BPO2" s="306"/>
      <c r="BPP2" s="306"/>
      <c r="BPQ2" s="306"/>
      <c r="BPR2" s="306"/>
      <c r="BPS2" s="306"/>
      <c r="BPT2" s="306"/>
      <c r="BPU2" s="306"/>
      <c r="BPV2" s="306"/>
      <c r="BPW2" s="306"/>
      <c r="BPX2" s="306"/>
      <c r="BPY2" s="306"/>
      <c r="BPZ2" s="306"/>
      <c r="BQA2" s="306"/>
      <c r="BQB2" s="306"/>
      <c r="BQC2" s="306"/>
      <c r="BQD2" s="306"/>
      <c r="BQE2" s="306"/>
      <c r="BQF2" s="306"/>
      <c r="BQG2" s="306"/>
      <c r="BQH2" s="306"/>
      <c r="BQI2" s="306"/>
      <c r="BQJ2" s="306"/>
      <c r="BQK2" s="306"/>
      <c r="BQL2" s="306"/>
      <c r="BQM2" s="306"/>
      <c r="BQN2" s="306"/>
      <c r="BQO2" s="306"/>
      <c r="BQP2" s="306"/>
      <c r="BQQ2" s="306"/>
      <c r="BQR2" s="306"/>
      <c r="BQS2" s="306"/>
      <c r="BQT2" s="306"/>
      <c r="BQU2" s="306"/>
      <c r="BQV2" s="306"/>
      <c r="BQW2" s="306"/>
      <c r="BQX2" s="306"/>
      <c r="BQY2" s="306"/>
      <c r="BQZ2" s="306"/>
      <c r="BRA2" s="306"/>
      <c r="BRB2" s="306"/>
      <c r="BRC2" s="306"/>
      <c r="BRD2" s="306"/>
      <c r="BRE2" s="306"/>
      <c r="BRF2" s="306"/>
      <c r="BRG2" s="306"/>
      <c r="BRH2" s="306"/>
      <c r="BRI2" s="306"/>
      <c r="BRJ2" s="306"/>
      <c r="BRK2" s="306"/>
      <c r="BRL2" s="306"/>
      <c r="BRM2" s="306"/>
      <c r="BRN2" s="306"/>
      <c r="BRO2" s="306"/>
      <c r="BRP2" s="306"/>
      <c r="BRQ2" s="306"/>
      <c r="BRR2" s="306"/>
      <c r="BRS2" s="306"/>
      <c r="BRT2" s="306"/>
      <c r="BRU2" s="306"/>
      <c r="BRV2" s="306"/>
      <c r="BRW2" s="306"/>
      <c r="BRX2" s="306"/>
      <c r="BRY2" s="306"/>
      <c r="BRZ2" s="306"/>
      <c r="BSA2" s="306"/>
      <c r="BSB2" s="306"/>
      <c r="BSC2" s="306"/>
      <c r="BSD2" s="306"/>
      <c r="BSE2" s="306"/>
      <c r="BSF2" s="306"/>
      <c r="BSG2" s="306"/>
      <c r="BSH2" s="306"/>
      <c r="BSI2" s="306"/>
      <c r="BSJ2" s="306"/>
      <c r="BSK2" s="306"/>
      <c r="BSL2" s="306"/>
      <c r="BSM2" s="306"/>
      <c r="BSN2" s="306"/>
      <c r="BSO2" s="306"/>
      <c r="BSP2" s="306"/>
      <c r="BSQ2" s="306"/>
      <c r="BSR2" s="306"/>
      <c r="BSS2" s="306"/>
      <c r="BST2" s="306"/>
      <c r="BSU2" s="306"/>
      <c r="BSV2" s="306"/>
      <c r="BSW2" s="306"/>
      <c r="BSX2" s="306"/>
      <c r="BSY2" s="306"/>
      <c r="BSZ2" s="306"/>
      <c r="BTA2" s="306"/>
      <c r="BTB2" s="306"/>
      <c r="BTC2" s="306"/>
      <c r="BTD2" s="306"/>
      <c r="BTE2" s="306"/>
      <c r="BTF2" s="306"/>
      <c r="BTG2" s="306"/>
      <c r="BTH2" s="306"/>
      <c r="BTI2" s="306"/>
      <c r="BTJ2" s="306"/>
      <c r="BTK2" s="306"/>
      <c r="BTL2" s="306"/>
      <c r="BTM2" s="306"/>
      <c r="BTN2" s="306"/>
      <c r="BTO2" s="306"/>
      <c r="BTP2" s="306"/>
      <c r="BTQ2" s="306"/>
      <c r="BTR2" s="306"/>
      <c r="BTS2" s="306"/>
      <c r="BTT2" s="306"/>
      <c r="BTU2" s="306"/>
      <c r="BTV2" s="306"/>
      <c r="BTW2" s="306"/>
      <c r="BTX2" s="306"/>
      <c r="BTY2" s="306"/>
      <c r="BTZ2" s="306"/>
      <c r="BUA2" s="306"/>
      <c r="BUB2" s="306"/>
      <c r="BUC2" s="306"/>
      <c r="BUD2" s="306"/>
      <c r="BUE2" s="306"/>
      <c r="BUF2" s="306"/>
      <c r="BUG2" s="306"/>
      <c r="BUH2" s="306"/>
      <c r="BUI2" s="306"/>
      <c r="BUJ2" s="306"/>
      <c r="BUK2" s="306"/>
      <c r="BUL2" s="306"/>
      <c r="BUM2" s="306"/>
      <c r="BUN2" s="306"/>
      <c r="BUO2" s="306"/>
      <c r="BUP2" s="306"/>
      <c r="BUQ2" s="306"/>
      <c r="BUR2" s="306"/>
      <c r="BUS2" s="306"/>
      <c r="BUT2" s="306"/>
      <c r="BUU2" s="306"/>
      <c r="BUV2" s="306"/>
      <c r="BUW2" s="306"/>
      <c r="BUX2" s="306"/>
      <c r="BUY2" s="306"/>
      <c r="BUZ2" s="306"/>
      <c r="BVA2" s="306"/>
      <c r="BVB2" s="306"/>
      <c r="BVC2" s="306"/>
      <c r="BVD2" s="306"/>
      <c r="BVE2" s="306"/>
      <c r="BVF2" s="306"/>
      <c r="BVG2" s="306"/>
      <c r="BVH2" s="306"/>
      <c r="BVI2" s="306"/>
      <c r="BVJ2" s="306"/>
      <c r="BVK2" s="306"/>
      <c r="BVL2" s="306"/>
      <c r="BVM2" s="306"/>
      <c r="BVN2" s="306"/>
      <c r="BVO2" s="306"/>
      <c r="BVP2" s="306"/>
      <c r="BVQ2" s="306"/>
      <c r="BVR2" s="306"/>
      <c r="BVS2" s="306"/>
      <c r="BVT2" s="306"/>
      <c r="BVU2" s="306"/>
      <c r="BVV2" s="306"/>
      <c r="BVW2" s="306"/>
      <c r="BVX2" s="306"/>
      <c r="BVY2" s="306"/>
      <c r="BVZ2" s="306"/>
      <c r="BWA2" s="306"/>
      <c r="BWB2" s="306"/>
      <c r="BWC2" s="306"/>
      <c r="BWD2" s="306"/>
      <c r="BWE2" s="306"/>
      <c r="BWF2" s="306"/>
      <c r="BWG2" s="306"/>
      <c r="BWH2" s="306"/>
      <c r="BWI2" s="306"/>
      <c r="BWJ2" s="306"/>
      <c r="BWK2" s="306"/>
      <c r="BWL2" s="306"/>
      <c r="BWM2" s="306"/>
      <c r="BWN2" s="306"/>
      <c r="BWO2" s="306"/>
      <c r="BWP2" s="306"/>
      <c r="BWQ2" s="306"/>
      <c r="BWR2" s="306"/>
      <c r="BWS2" s="306"/>
      <c r="BWT2" s="306"/>
      <c r="BWU2" s="306"/>
      <c r="BWV2" s="306"/>
      <c r="BWW2" s="306"/>
      <c r="BWX2" s="306"/>
      <c r="BWY2" s="306"/>
      <c r="BWZ2" s="306"/>
      <c r="BXA2" s="306"/>
      <c r="BXB2" s="306"/>
      <c r="BXC2" s="306"/>
      <c r="BXD2" s="306"/>
      <c r="BXE2" s="306"/>
      <c r="BXF2" s="306"/>
      <c r="BXG2" s="306"/>
      <c r="BXH2" s="306"/>
      <c r="BXI2" s="306"/>
      <c r="BXJ2" s="306"/>
      <c r="BXK2" s="306"/>
      <c r="BXL2" s="306"/>
      <c r="BXM2" s="306"/>
      <c r="BXN2" s="306"/>
      <c r="BXO2" s="306"/>
      <c r="BXP2" s="306"/>
      <c r="BXQ2" s="306"/>
      <c r="BXR2" s="306"/>
      <c r="BXS2" s="306"/>
      <c r="BXT2" s="306"/>
      <c r="BXU2" s="306"/>
      <c r="BXV2" s="306"/>
      <c r="BXW2" s="306"/>
      <c r="BXX2" s="306"/>
      <c r="BXY2" s="306"/>
      <c r="BXZ2" s="306"/>
      <c r="BYA2" s="306"/>
      <c r="BYB2" s="306"/>
      <c r="BYC2" s="306"/>
      <c r="BYD2" s="306"/>
      <c r="BYE2" s="306"/>
      <c r="BYF2" s="306"/>
      <c r="BYG2" s="306"/>
      <c r="BYH2" s="306"/>
      <c r="BYI2" s="306"/>
      <c r="BYJ2" s="306"/>
      <c r="BYK2" s="306"/>
      <c r="BYL2" s="306"/>
      <c r="BYM2" s="306"/>
      <c r="BYN2" s="306"/>
      <c r="BYO2" s="306"/>
      <c r="BYP2" s="306"/>
      <c r="BYQ2" s="306"/>
      <c r="BYR2" s="306"/>
      <c r="BYS2" s="306"/>
      <c r="BYT2" s="306"/>
      <c r="BYU2" s="306"/>
      <c r="BYV2" s="306"/>
      <c r="BYW2" s="306"/>
      <c r="BYX2" s="306"/>
      <c r="BYY2" s="306"/>
      <c r="BYZ2" s="306"/>
      <c r="BZA2" s="306"/>
      <c r="BZB2" s="306"/>
      <c r="BZC2" s="306"/>
      <c r="BZD2" s="306"/>
      <c r="BZE2" s="306"/>
      <c r="BZF2" s="306"/>
      <c r="BZG2" s="306"/>
      <c r="BZH2" s="306"/>
      <c r="BZI2" s="306"/>
      <c r="BZJ2" s="306"/>
      <c r="BZK2" s="306"/>
      <c r="BZL2" s="306"/>
      <c r="BZM2" s="306"/>
      <c r="BZN2" s="306"/>
      <c r="BZO2" s="306"/>
      <c r="BZP2" s="306"/>
      <c r="BZQ2" s="306"/>
      <c r="BZR2" s="306"/>
      <c r="BZS2" s="306"/>
      <c r="BZT2" s="306"/>
      <c r="BZU2" s="306"/>
      <c r="BZV2" s="306"/>
      <c r="BZW2" s="306"/>
      <c r="BZX2" s="306"/>
      <c r="BZY2" s="306"/>
      <c r="BZZ2" s="306"/>
      <c r="CAA2" s="306"/>
      <c r="CAB2" s="306"/>
      <c r="CAC2" s="306"/>
      <c r="CAD2" s="306"/>
      <c r="CAE2" s="306"/>
      <c r="CAF2" s="306"/>
      <c r="CAG2" s="306"/>
      <c r="CAH2" s="306"/>
      <c r="CAI2" s="306"/>
      <c r="CAJ2" s="306"/>
      <c r="CAK2" s="306"/>
      <c r="CAL2" s="306"/>
      <c r="CAM2" s="306"/>
      <c r="CAN2" s="306"/>
      <c r="CAO2" s="306"/>
      <c r="CAP2" s="306"/>
      <c r="CAQ2" s="306"/>
      <c r="CAR2" s="306"/>
      <c r="CAS2" s="306"/>
      <c r="CAT2" s="306"/>
      <c r="CAU2" s="306"/>
      <c r="CAV2" s="306"/>
      <c r="CAW2" s="306"/>
      <c r="CAX2" s="306"/>
      <c r="CAY2" s="306"/>
      <c r="CAZ2" s="306"/>
      <c r="CBA2" s="306"/>
      <c r="CBB2" s="306"/>
      <c r="CBC2" s="306"/>
      <c r="CBD2" s="306"/>
      <c r="CBE2" s="306"/>
      <c r="CBF2" s="306"/>
      <c r="CBG2" s="306"/>
      <c r="CBH2" s="306"/>
      <c r="CBI2" s="306"/>
      <c r="CBJ2" s="306"/>
      <c r="CBK2" s="306"/>
      <c r="CBL2" s="306"/>
      <c r="CBM2" s="306"/>
      <c r="CBN2" s="306"/>
      <c r="CBO2" s="306"/>
      <c r="CBP2" s="306"/>
      <c r="CBQ2" s="306"/>
      <c r="CBR2" s="306"/>
      <c r="CBS2" s="306"/>
      <c r="CBT2" s="306"/>
      <c r="CBU2" s="306"/>
      <c r="CBV2" s="306"/>
      <c r="CBW2" s="306"/>
      <c r="CBX2" s="306"/>
      <c r="CBY2" s="306"/>
      <c r="CBZ2" s="306"/>
      <c r="CCA2" s="306"/>
      <c r="CCB2" s="306"/>
      <c r="CCC2" s="306"/>
      <c r="CCD2" s="306"/>
      <c r="CCE2" s="306"/>
      <c r="CCF2" s="306"/>
      <c r="CCG2" s="306"/>
      <c r="CCH2" s="306"/>
      <c r="CCI2" s="306"/>
      <c r="CCJ2" s="306"/>
      <c r="CCK2" s="306"/>
      <c r="CCL2" s="306"/>
      <c r="CCM2" s="306"/>
      <c r="CCN2" s="306"/>
      <c r="CCO2" s="306"/>
      <c r="CCP2" s="306"/>
      <c r="CCQ2" s="306"/>
      <c r="CCR2" s="306"/>
      <c r="CCS2" s="306"/>
      <c r="CCT2" s="306"/>
      <c r="CCU2" s="306"/>
      <c r="CCV2" s="306"/>
      <c r="CCW2" s="306"/>
      <c r="CCX2" s="306"/>
      <c r="CCY2" s="306"/>
      <c r="CCZ2" s="306"/>
      <c r="CDA2" s="306"/>
      <c r="CDB2" s="306"/>
      <c r="CDC2" s="306"/>
      <c r="CDD2" s="306"/>
      <c r="CDE2" s="306"/>
      <c r="CDF2" s="306"/>
      <c r="CDG2" s="306"/>
      <c r="CDH2" s="306"/>
      <c r="CDI2" s="306"/>
      <c r="CDJ2" s="306"/>
      <c r="CDK2" s="306"/>
      <c r="CDL2" s="306"/>
      <c r="CDM2" s="306"/>
      <c r="CDN2" s="306"/>
      <c r="CDO2" s="306"/>
      <c r="CDP2" s="306"/>
      <c r="CDQ2" s="306"/>
      <c r="CDR2" s="306"/>
      <c r="CDS2" s="306"/>
      <c r="CDT2" s="306"/>
      <c r="CDU2" s="306"/>
      <c r="CDV2" s="306"/>
      <c r="CDW2" s="306"/>
      <c r="CDX2" s="306"/>
      <c r="CDY2" s="306"/>
      <c r="CDZ2" s="306"/>
      <c r="CEA2" s="306"/>
      <c r="CEB2" s="306"/>
      <c r="CEC2" s="306"/>
      <c r="CED2" s="306"/>
      <c r="CEE2" s="306"/>
      <c r="CEF2" s="306"/>
      <c r="CEG2" s="306"/>
      <c r="CEH2" s="306"/>
      <c r="CEI2" s="306"/>
      <c r="CEJ2" s="306"/>
      <c r="CEK2" s="306"/>
      <c r="CEL2" s="306"/>
      <c r="CEM2" s="306"/>
      <c r="CEN2" s="306"/>
      <c r="CEO2" s="306"/>
      <c r="CEP2" s="306"/>
      <c r="CEQ2" s="306"/>
      <c r="CER2" s="306"/>
      <c r="CES2" s="306"/>
      <c r="CET2" s="306"/>
      <c r="CEU2" s="306"/>
      <c r="CEV2" s="306"/>
      <c r="CEW2" s="306"/>
      <c r="CEX2" s="306"/>
      <c r="CEY2" s="306"/>
      <c r="CEZ2" s="306"/>
      <c r="CFA2" s="306"/>
      <c r="CFB2" s="306"/>
      <c r="CFC2" s="306"/>
      <c r="CFD2" s="306"/>
      <c r="CFE2" s="306"/>
      <c r="CFF2" s="306"/>
      <c r="CFG2" s="306"/>
      <c r="CFH2" s="306"/>
      <c r="CFI2" s="306"/>
      <c r="CFJ2" s="306"/>
      <c r="CFK2" s="306"/>
      <c r="CFL2" s="306"/>
      <c r="CFM2" s="306"/>
      <c r="CFN2" s="306"/>
      <c r="CFO2" s="306"/>
      <c r="CFP2" s="306"/>
      <c r="CFQ2" s="306"/>
      <c r="CFR2" s="306"/>
      <c r="CFS2" s="306"/>
      <c r="CFT2" s="306"/>
      <c r="CFU2" s="306"/>
      <c r="CFV2" s="306"/>
      <c r="CFW2" s="306"/>
      <c r="CFX2" s="306"/>
      <c r="CFY2" s="306"/>
      <c r="CFZ2" s="306"/>
      <c r="CGA2" s="306"/>
      <c r="CGB2" s="306"/>
      <c r="CGC2" s="306"/>
      <c r="CGD2" s="306"/>
      <c r="CGE2" s="306"/>
      <c r="CGF2" s="306"/>
      <c r="CGG2" s="306"/>
      <c r="CGH2" s="306"/>
      <c r="CGI2" s="306"/>
      <c r="CGJ2" s="306"/>
      <c r="CGK2" s="306"/>
      <c r="CGL2" s="306"/>
      <c r="CGM2" s="306"/>
      <c r="CGN2" s="306"/>
      <c r="CGO2" s="306"/>
      <c r="CGP2" s="306"/>
      <c r="CGQ2" s="306"/>
      <c r="CGR2" s="306"/>
      <c r="CGS2" s="306"/>
      <c r="CGT2" s="306"/>
      <c r="CGU2" s="306"/>
      <c r="CGV2" s="306"/>
      <c r="CGW2" s="306"/>
      <c r="CGX2" s="306"/>
      <c r="CGY2" s="306"/>
      <c r="CGZ2" s="306"/>
      <c r="CHA2" s="306"/>
      <c r="CHB2" s="306"/>
      <c r="CHC2" s="306"/>
      <c r="CHD2" s="306"/>
      <c r="CHE2" s="306"/>
      <c r="CHF2" s="306"/>
      <c r="CHG2" s="306"/>
      <c r="CHH2" s="306"/>
      <c r="CHI2" s="306"/>
      <c r="CHJ2" s="306"/>
      <c r="CHK2" s="306"/>
      <c r="CHL2" s="306"/>
      <c r="CHM2" s="306"/>
      <c r="CHN2" s="306"/>
      <c r="CHO2" s="306"/>
      <c r="CHP2" s="306"/>
      <c r="CHQ2" s="306"/>
      <c r="CHR2" s="306"/>
      <c r="CHS2" s="306"/>
      <c r="CHT2" s="306"/>
      <c r="CHU2" s="306"/>
      <c r="CHV2" s="306"/>
      <c r="CHW2" s="306"/>
      <c r="CHX2" s="306"/>
      <c r="CHY2" s="306"/>
      <c r="CHZ2" s="306"/>
      <c r="CIA2" s="306"/>
      <c r="CIB2" s="306"/>
      <c r="CIC2" s="306"/>
      <c r="CID2" s="306"/>
      <c r="CIE2" s="306"/>
      <c r="CIF2" s="306"/>
      <c r="CIG2" s="306"/>
      <c r="CIH2" s="306"/>
      <c r="CII2" s="306"/>
      <c r="CIJ2" s="306"/>
      <c r="CIK2" s="306"/>
      <c r="CIL2" s="306"/>
      <c r="CIM2" s="306"/>
      <c r="CIN2" s="306"/>
      <c r="CIO2" s="306"/>
      <c r="CIP2" s="306"/>
      <c r="CIQ2" s="306"/>
      <c r="CIR2" s="306"/>
      <c r="CIS2" s="306"/>
      <c r="CIT2" s="306"/>
      <c r="CIU2" s="306"/>
      <c r="CIV2" s="306"/>
      <c r="CIW2" s="306"/>
      <c r="CIX2" s="306"/>
      <c r="CIY2" s="306"/>
      <c r="CIZ2" s="306"/>
      <c r="CJA2" s="306"/>
      <c r="CJB2" s="306"/>
      <c r="CJC2" s="306"/>
      <c r="CJD2" s="306"/>
      <c r="CJE2" s="306"/>
      <c r="CJF2" s="306"/>
      <c r="CJG2" s="306"/>
      <c r="CJH2" s="306"/>
      <c r="CJI2" s="306"/>
      <c r="CJJ2" s="306"/>
      <c r="CJK2" s="306"/>
      <c r="CJL2" s="306"/>
      <c r="CJM2" s="306"/>
      <c r="CJN2" s="306"/>
      <c r="CJO2" s="306"/>
      <c r="CJP2" s="306"/>
      <c r="CJQ2" s="306"/>
      <c r="CJR2" s="306"/>
      <c r="CJS2" s="306"/>
      <c r="CJT2" s="306"/>
      <c r="CJU2" s="306"/>
      <c r="CJV2" s="306"/>
      <c r="CJW2" s="306"/>
      <c r="CJX2" s="306"/>
      <c r="CJY2" s="306"/>
      <c r="CJZ2" s="306"/>
      <c r="CKA2" s="306"/>
      <c r="CKB2" s="306"/>
      <c r="CKC2" s="306"/>
      <c r="CKD2" s="306"/>
      <c r="CKE2" s="306"/>
      <c r="CKF2" s="306"/>
      <c r="CKG2" s="306"/>
      <c r="CKH2" s="306"/>
      <c r="CKI2" s="306"/>
      <c r="CKJ2" s="306"/>
      <c r="CKK2" s="306"/>
      <c r="CKL2" s="306"/>
      <c r="CKM2" s="306"/>
      <c r="CKN2" s="306"/>
      <c r="CKO2" s="306"/>
      <c r="CKP2" s="306"/>
      <c r="CKQ2" s="306"/>
      <c r="CKR2" s="306"/>
      <c r="CKS2" s="306"/>
      <c r="CKT2" s="306"/>
      <c r="CKU2" s="306"/>
      <c r="CKV2" s="306"/>
      <c r="CKW2" s="306"/>
      <c r="CKX2" s="306"/>
      <c r="CKY2" s="306"/>
      <c r="CKZ2" s="306"/>
      <c r="CLA2" s="306"/>
      <c r="CLB2" s="306"/>
      <c r="CLC2" s="306"/>
      <c r="CLD2" s="306"/>
      <c r="CLE2" s="306"/>
      <c r="CLF2" s="306"/>
      <c r="CLG2" s="306"/>
      <c r="CLH2" s="306"/>
      <c r="CLI2" s="306"/>
      <c r="CLJ2" s="306"/>
      <c r="CLK2" s="306"/>
      <c r="CLL2" s="306"/>
      <c r="CLM2" s="306"/>
      <c r="CLN2" s="306"/>
      <c r="CLO2" s="306"/>
      <c r="CLP2" s="306"/>
      <c r="CLQ2" s="306"/>
      <c r="CLR2" s="306"/>
      <c r="CLS2" s="306"/>
      <c r="CLT2" s="306"/>
      <c r="CLU2" s="306"/>
      <c r="CLV2" s="306"/>
      <c r="CLW2" s="306"/>
      <c r="CLX2" s="306"/>
      <c r="CLY2" s="306"/>
      <c r="CLZ2" s="306"/>
      <c r="CMA2" s="306"/>
      <c r="CMB2" s="306"/>
      <c r="CMC2" s="306"/>
      <c r="CMD2" s="306"/>
      <c r="CME2" s="306"/>
      <c r="CMF2" s="306"/>
      <c r="CMG2" s="306"/>
      <c r="CMH2" s="306"/>
      <c r="CMI2" s="306"/>
      <c r="CMJ2" s="306"/>
      <c r="CMK2" s="306"/>
      <c r="CML2" s="306"/>
      <c r="CMM2" s="306"/>
      <c r="CMN2" s="306"/>
      <c r="CMO2" s="306"/>
      <c r="CMP2" s="306"/>
      <c r="CMQ2" s="306"/>
      <c r="CMR2" s="306"/>
      <c r="CMS2" s="306"/>
      <c r="CMT2" s="306"/>
      <c r="CMU2" s="306"/>
      <c r="CMV2" s="306"/>
      <c r="CMW2" s="306"/>
      <c r="CMX2" s="306"/>
      <c r="CMY2" s="306"/>
      <c r="CMZ2" s="306"/>
      <c r="CNA2" s="306"/>
      <c r="CNB2" s="306"/>
      <c r="CNC2" s="306"/>
      <c r="CND2" s="306"/>
      <c r="CNE2" s="306"/>
      <c r="CNF2" s="306"/>
      <c r="CNG2" s="306"/>
      <c r="CNH2" s="306"/>
      <c r="CNI2" s="306"/>
      <c r="CNJ2" s="306"/>
      <c r="CNK2" s="306"/>
      <c r="CNL2" s="306"/>
      <c r="CNM2" s="306"/>
      <c r="CNN2" s="306"/>
      <c r="CNO2" s="306"/>
      <c r="CNP2" s="306"/>
      <c r="CNQ2" s="306"/>
      <c r="CNR2" s="306"/>
      <c r="CNS2" s="306"/>
      <c r="CNT2" s="306"/>
      <c r="CNU2" s="306"/>
      <c r="CNV2" s="306"/>
      <c r="CNW2" s="306"/>
      <c r="CNX2" s="306"/>
      <c r="CNY2" s="306"/>
      <c r="CNZ2" s="306"/>
      <c r="COA2" s="306"/>
      <c r="COB2" s="306"/>
      <c r="COC2" s="306"/>
      <c r="COD2" s="306"/>
      <c r="COE2" s="306"/>
      <c r="COF2" s="306"/>
      <c r="COG2" s="306"/>
      <c r="COH2" s="306"/>
      <c r="COI2" s="306"/>
      <c r="COJ2" s="306"/>
      <c r="COK2" s="306"/>
      <c r="COL2" s="306"/>
      <c r="COM2" s="306"/>
      <c r="CON2" s="306"/>
      <c r="COO2" s="306"/>
      <c r="COP2" s="306"/>
      <c r="COQ2" s="306"/>
      <c r="COR2" s="306"/>
      <c r="COS2" s="306"/>
      <c r="COT2" s="306"/>
      <c r="COU2" s="306"/>
      <c r="COV2" s="306"/>
      <c r="COW2" s="306"/>
      <c r="COX2" s="306"/>
      <c r="COY2" s="306"/>
      <c r="COZ2" s="306"/>
      <c r="CPA2" s="306"/>
      <c r="CPB2" s="306"/>
      <c r="CPC2" s="306"/>
      <c r="CPD2" s="306"/>
      <c r="CPE2" s="306"/>
      <c r="CPF2" s="306"/>
      <c r="CPG2" s="306"/>
      <c r="CPH2" s="306"/>
      <c r="CPI2" s="306"/>
      <c r="CPJ2" s="306"/>
      <c r="CPK2" s="306"/>
      <c r="CPL2" s="306"/>
      <c r="CPM2" s="306"/>
      <c r="CPN2" s="306"/>
      <c r="CPO2" s="306"/>
      <c r="CPP2" s="306"/>
      <c r="CPQ2" s="306"/>
      <c r="CPR2" s="306"/>
      <c r="CPS2" s="306"/>
      <c r="CPT2" s="306"/>
      <c r="CPU2" s="306"/>
      <c r="CPV2" s="306"/>
      <c r="CPW2" s="306"/>
      <c r="CPX2" s="306"/>
      <c r="CPY2" s="306"/>
      <c r="CPZ2" s="306"/>
      <c r="CQA2" s="306"/>
      <c r="CQB2" s="306"/>
      <c r="CQC2" s="306"/>
      <c r="CQD2" s="306"/>
      <c r="CQE2" s="306"/>
      <c r="CQF2" s="306"/>
      <c r="CQG2" s="306"/>
      <c r="CQH2" s="306"/>
      <c r="CQI2" s="306"/>
      <c r="CQJ2" s="306"/>
      <c r="CQK2" s="306"/>
      <c r="CQL2" s="306"/>
      <c r="CQM2" s="306"/>
      <c r="CQN2" s="306"/>
      <c r="CQO2" s="306"/>
      <c r="CQP2" s="306"/>
      <c r="CQQ2" s="306"/>
      <c r="CQR2" s="306"/>
      <c r="CQS2" s="306"/>
      <c r="CQT2" s="306"/>
      <c r="CQU2" s="306"/>
      <c r="CQV2" s="306"/>
      <c r="CQW2" s="306"/>
      <c r="CQX2" s="306"/>
      <c r="CQY2" s="306"/>
      <c r="CQZ2" s="306"/>
      <c r="CRA2" s="306"/>
      <c r="CRB2" s="306"/>
      <c r="CRC2" s="306"/>
      <c r="CRD2" s="306"/>
      <c r="CRE2" s="306"/>
      <c r="CRF2" s="306"/>
      <c r="CRG2" s="306"/>
      <c r="CRH2" s="306"/>
      <c r="CRI2" s="306"/>
      <c r="CRJ2" s="306"/>
      <c r="CRK2" s="306"/>
      <c r="CRL2" s="306"/>
      <c r="CRM2" s="306"/>
      <c r="CRN2" s="306"/>
      <c r="CRO2" s="306"/>
      <c r="CRP2" s="306"/>
      <c r="CRQ2" s="306"/>
      <c r="CRR2" s="306"/>
      <c r="CRS2" s="306"/>
      <c r="CRT2" s="306"/>
      <c r="CRU2" s="306"/>
      <c r="CRV2" s="306"/>
      <c r="CRW2" s="306"/>
      <c r="CRX2" s="306"/>
      <c r="CRY2" s="306"/>
      <c r="CRZ2" s="306"/>
      <c r="CSA2" s="306"/>
      <c r="CSB2" s="306"/>
      <c r="CSC2" s="306"/>
      <c r="CSD2" s="306"/>
      <c r="CSE2" s="306"/>
      <c r="CSF2" s="306"/>
      <c r="CSG2" s="306"/>
      <c r="CSH2" s="306"/>
      <c r="CSI2" s="306"/>
      <c r="CSJ2" s="306"/>
      <c r="CSK2" s="306"/>
      <c r="CSL2" s="306"/>
      <c r="CSM2" s="306"/>
      <c r="CSN2" s="306"/>
      <c r="CSO2" s="306"/>
      <c r="CSP2" s="306"/>
      <c r="CSQ2" s="306"/>
      <c r="CSR2" s="306"/>
      <c r="CSS2" s="306"/>
      <c r="CST2" s="306"/>
      <c r="CSU2" s="306"/>
      <c r="CSV2" s="306"/>
      <c r="CSW2" s="306"/>
      <c r="CSX2" s="306"/>
      <c r="CSY2" s="306"/>
      <c r="CSZ2" s="306"/>
      <c r="CTA2" s="306"/>
      <c r="CTB2" s="306"/>
      <c r="CTC2" s="306"/>
      <c r="CTD2" s="306"/>
      <c r="CTE2" s="306"/>
      <c r="CTF2" s="306"/>
      <c r="CTG2" s="306"/>
      <c r="CTH2" s="306"/>
      <c r="CTI2" s="306"/>
      <c r="CTJ2" s="306"/>
      <c r="CTK2" s="306"/>
      <c r="CTL2" s="306"/>
      <c r="CTM2" s="306"/>
      <c r="CTN2" s="306"/>
      <c r="CTO2" s="306"/>
      <c r="CTP2" s="306"/>
      <c r="CTQ2" s="306"/>
      <c r="CTR2" s="306"/>
      <c r="CTS2" s="306"/>
      <c r="CTT2" s="306"/>
      <c r="CTU2" s="306"/>
      <c r="CTV2" s="306"/>
      <c r="CTW2" s="306"/>
      <c r="CTX2" s="306"/>
      <c r="CTY2" s="306"/>
      <c r="CTZ2" s="306"/>
      <c r="CUA2" s="306"/>
      <c r="CUB2" s="306"/>
      <c r="CUC2" s="306"/>
      <c r="CUD2" s="306"/>
      <c r="CUE2" s="306"/>
      <c r="CUF2" s="306"/>
      <c r="CUG2" s="306"/>
      <c r="CUH2" s="306"/>
      <c r="CUI2" s="306"/>
      <c r="CUJ2" s="306"/>
      <c r="CUK2" s="306"/>
      <c r="CUL2" s="306"/>
      <c r="CUM2" s="306"/>
      <c r="CUN2" s="306"/>
      <c r="CUO2" s="306"/>
      <c r="CUP2" s="306"/>
      <c r="CUQ2" s="306"/>
      <c r="CUR2" s="306"/>
      <c r="CUS2" s="306"/>
      <c r="CUT2" s="306"/>
      <c r="CUU2" s="306"/>
      <c r="CUV2" s="306"/>
      <c r="CUW2" s="306"/>
      <c r="CUX2" s="306"/>
      <c r="CUY2" s="306"/>
      <c r="CUZ2" s="306"/>
      <c r="CVA2" s="306"/>
      <c r="CVB2" s="306"/>
      <c r="CVC2" s="306"/>
      <c r="CVD2" s="306"/>
      <c r="CVE2" s="306"/>
      <c r="CVF2" s="306"/>
      <c r="CVG2" s="306"/>
      <c r="CVH2" s="306"/>
      <c r="CVI2" s="306"/>
      <c r="CVJ2" s="306"/>
      <c r="CVK2" s="306"/>
      <c r="CVL2" s="306"/>
      <c r="CVM2" s="306"/>
      <c r="CVN2" s="306"/>
      <c r="CVO2" s="306"/>
      <c r="CVP2" s="306"/>
      <c r="CVQ2" s="306"/>
      <c r="CVR2" s="306"/>
      <c r="CVS2" s="306"/>
      <c r="CVT2" s="306"/>
      <c r="CVU2" s="306"/>
      <c r="CVV2" s="306"/>
      <c r="CVW2" s="306"/>
      <c r="CVX2" s="306"/>
      <c r="CVY2" s="306"/>
      <c r="CVZ2" s="306"/>
      <c r="CWA2" s="306"/>
      <c r="CWB2" s="306"/>
      <c r="CWC2" s="306"/>
      <c r="CWD2" s="306"/>
      <c r="CWE2" s="306"/>
      <c r="CWF2" s="306"/>
      <c r="CWG2" s="306"/>
      <c r="CWH2" s="306"/>
      <c r="CWI2" s="306"/>
      <c r="CWJ2" s="306"/>
      <c r="CWK2" s="306"/>
      <c r="CWL2" s="306"/>
      <c r="CWM2" s="306"/>
      <c r="CWN2" s="306"/>
      <c r="CWO2" s="306"/>
      <c r="CWP2" s="306"/>
      <c r="CWQ2" s="306"/>
      <c r="CWR2" s="306"/>
      <c r="CWS2" s="306"/>
      <c r="CWT2" s="306"/>
      <c r="CWU2" s="306"/>
      <c r="CWV2" s="306"/>
      <c r="CWW2" s="306"/>
      <c r="CWX2" s="306"/>
      <c r="CWY2" s="306"/>
      <c r="CWZ2" s="306"/>
      <c r="CXA2" s="306"/>
      <c r="CXB2" s="306"/>
      <c r="CXC2" s="306"/>
      <c r="CXD2" s="306"/>
      <c r="CXE2" s="306"/>
      <c r="CXF2" s="306"/>
      <c r="CXG2" s="306"/>
      <c r="CXH2" s="306"/>
      <c r="CXI2" s="306"/>
      <c r="CXJ2" s="306"/>
      <c r="CXK2" s="306"/>
      <c r="CXL2" s="306"/>
      <c r="CXM2" s="306"/>
      <c r="CXN2" s="306"/>
      <c r="CXO2" s="306"/>
      <c r="CXP2" s="306"/>
      <c r="CXQ2" s="306"/>
      <c r="CXR2" s="306"/>
      <c r="CXS2" s="306"/>
      <c r="CXT2" s="306"/>
      <c r="CXU2" s="306"/>
      <c r="CXV2" s="306"/>
      <c r="CXW2" s="306"/>
      <c r="CXX2" s="306"/>
      <c r="CXY2" s="306"/>
      <c r="CXZ2" s="306"/>
      <c r="CYA2" s="306"/>
      <c r="CYB2" s="306"/>
      <c r="CYC2" s="306"/>
      <c r="CYD2" s="306"/>
      <c r="CYE2" s="306"/>
      <c r="CYF2" s="306"/>
      <c r="CYG2" s="306"/>
      <c r="CYH2" s="306"/>
      <c r="CYI2" s="306"/>
      <c r="CYJ2" s="306"/>
      <c r="CYK2" s="306"/>
      <c r="CYL2" s="306"/>
      <c r="CYM2" s="306"/>
      <c r="CYN2" s="306"/>
      <c r="CYO2" s="306"/>
      <c r="CYP2" s="306"/>
      <c r="CYQ2" s="306"/>
      <c r="CYR2" s="306"/>
      <c r="CYS2" s="306"/>
      <c r="CYT2" s="306"/>
      <c r="CYU2" s="306"/>
      <c r="CYV2" s="306"/>
      <c r="CYW2" s="306"/>
      <c r="CYX2" s="306"/>
      <c r="CYY2" s="306"/>
      <c r="CYZ2" s="306"/>
      <c r="CZA2" s="306"/>
      <c r="CZB2" s="306"/>
      <c r="CZC2" s="306"/>
      <c r="CZD2" s="306"/>
      <c r="CZE2" s="306"/>
      <c r="CZF2" s="306"/>
      <c r="CZG2" s="306"/>
      <c r="CZH2" s="306"/>
      <c r="CZI2" s="306"/>
      <c r="CZJ2" s="306"/>
      <c r="CZK2" s="306"/>
      <c r="CZL2" s="306"/>
      <c r="CZM2" s="306"/>
      <c r="CZN2" s="306"/>
      <c r="CZO2" s="306"/>
      <c r="CZP2" s="306"/>
      <c r="CZQ2" s="306"/>
      <c r="CZR2" s="306"/>
      <c r="CZS2" s="306"/>
      <c r="CZT2" s="306"/>
      <c r="CZU2" s="306"/>
      <c r="CZV2" s="306"/>
      <c r="CZW2" s="306"/>
      <c r="CZX2" s="306"/>
      <c r="CZY2" s="306"/>
      <c r="CZZ2" s="306"/>
      <c r="DAA2" s="306"/>
      <c r="DAB2" s="306"/>
      <c r="DAC2" s="306"/>
      <c r="DAD2" s="306"/>
      <c r="DAE2" s="306"/>
      <c r="DAF2" s="306"/>
      <c r="DAG2" s="306"/>
      <c r="DAH2" s="306"/>
      <c r="DAI2" s="306"/>
      <c r="DAJ2" s="306"/>
      <c r="DAK2" s="306"/>
      <c r="DAL2" s="306"/>
      <c r="DAM2" s="306"/>
      <c r="DAN2" s="306"/>
      <c r="DAO2" s="306"/>
      <c r="DAP2" s="306"/>
      <c r="DAQ2" s="306"/>
      <c r="DAR2" s="306"/>
      <c r="DAS2" s="306"/>
      <c r="DAT2" s="306"/>
      <c r="DAU2" s="306"/>
      <c r="DAV2" s="306"/>
      <c r="DAW2" s="306"/>
      <c r="DAX2" s="306"/>
      <c r="DAY2" s="306"/>
      <c r="DAZ2" s="306"/>
      <c r="DBA2" s="306"/>
      <c r="DBB2" s="306"/>
      <c r="DBC2" s="306"/>
      <c r="DBD2" s="306"/>
      <c r="DBE2" s="306"/>
      <c r="DBF2" s="306"/>
      <c r="DBG2" s="306"/>
      <c r="DBH2" s="306"/>
      <c r="DBI2" s="306"/>
      <c r="DBJ2" s="306"/>
      <c r="DBK2" s="306"/>
      <c r="DBL2" s="306"/>
      <c r="DBM2" s="306"/>
      <c r="DBN2" s="306"/>
      <c r="DBO2" s="306"/>
      <c r="DBP2" s="306"/>
      <c r="DBQ2" s="306"/>
      <c r="DBR2" s="306"/>
      <c r="DBS2" s="306"/>
      <c r="DBT2" s="306"/>
      <c r="DBU2" s="306"/>
      <c r="DBV2" s="306"/>
      <c r="DBW2" s="306"/>
      <c r="DBX2" s="306"/>
      <c r="DBY2" s="306"/>
      <c r="DBZ2" s="306"/>
      <c r="DCA2" s="306"/>
      <c r="DCB2" s="306"/>
      <c r="DCC2" s="306"/>
      <c r="DCD2" s="306"/>
      <c r="DCE2" s="306"/>
      <c r="DCF2" s="306"/>
      <c r="DCG2" s="306"/>
      <c r="DCH2" s="306"/>
      <c r="DCI2" s="306"/>
      <c r="DCJ2" s="306"/>
      <c r="DCK2" s="306"/>
      <c r="DCL2" s="306"/>
      <c r="DCM2" s="306"/>
      <c r="DCN2" s="306"/>
      <c r="DCO2" s="306"/>
      <c r="DCP2" s="306"/>
      <c r="DCQ2" s="306"/>
      <c r="DCR2" s="306"/>
      <c r="DCS2" s="306"/>
      <c r="DCT2" s="306"/>
      <c r="DCU2" s="306"/>
      <c r="DCV2" s="306"/>
      <c r="DCW2" s="306"/>
      <c r="DCX2" s="306"/>
      <c r="DCY2" s="306"/>
      <c r="DCZ2" s="306"/>
      <c r="DDA2" s="306"/>
      <c r="DDB2" s="306"/>
      <c r="DDC2" s="306"/>
      <c r="DDD2" s="306"/>
      <c r="DDE2" s="306"/>
      <c r="DDF2" s="306"/>
      <c r="DDG2" s="306"/>
      <c r="DDH2" s="306"/>
      <c r="DDI2" s="306"/>
      <c r="DDJ2" s="306"/>
      <c r="DDK2" s="306"/>
      <c r="DDL2" s="306"/>
      <c r="DDM2" s="306"/>
      <c r="DDN2" s="306"/>
      <c r="DDO2" s="306"/>
      <c r="DDP2" s="306"/>
      <c r="DDQ2" s="306"/>
      <c r="DDR2" s="306"/>
      <c r="DDS2" s="306"/>
      <c r="DDT2" s="306"/>
      <c r="DDU2" s="306"/>
      <c r="DDV2" s="306"/>
      <c r="DDW2" s="306"/>
      <c r="DDX2" s="306"/>
      <c r="DDY2" s="306"/>
      <c r="DDZ2" s="306"/>
      <c r="DEA2" s="306"/>
      <c r="DEB2" s="306"/>
      <c r="DEC2" s="306"/>
      <c r="DED2" s="306"/>
      <c r="DEE2" s="306"/>
      <c r="DEF2" s="306"/>
      <c r="DEG2" s="306"/>
      <c r="DEH2" s="306"/>
      <c r="DEI2" s="306"/>
      <c r="DEJ2" s="306"/>
      <c r="DEK2" s="306"/>
      <c r="DEL2" s="306"/>
      <c r="DEM2" s="306"/>
      <c r="DEN2" s="306"/>
      <c r="DEO2" s="306"/>
      <c r="DEP2" s="306"/>
      <c r="DEQ2" s="306"/>
      <c r="DER2" s="306"/>
      <c r="DES2" s="306"/>
      <c r="DET2" s="306"/>
      <c r="DEU2" s="306"/>
      <c r="DEV2" s="306"/>
      <c r="DEW2" s="306"/>
      <c r="DEX2" s="306"/>
      <c r="DEY2" s="306"/>
      <c r="DEZ2" s="306"/>
      <c r="DFA2" s="306"/>
      <c r="DFB2" s="306"/>
      <c r="DFC2" s="306"/>
      <c r="DFD2" s="306"/>
      <c r="DFE2" s="306"/>
      <c r="DFF2" s="306"/>
      <c r="DFG2" s="306"/>
      <c r="DFH2" s="306"/>
      <c r="DFI2" s="306"/>
      <c r="DFJ2" s="306"/>
      <c r="DFK2" s="306"/>
      <c r="DFL2" s="306"/>
      <c r="DFM2" s="306"/>
      <c r="DFN2" s="306"/>
      <c r="DFO2" s="306"/>
      <c r="DFP2" s="306"/>
      <c r="DFQ2" s="306"/>
      <c r="DFR2" s="306"/>
      <c r="DFS2" s="306"/>
      <c r="DFT2" s="306"/>
      <c r="DFU2" s="306"/>
      <c r="DFV2" s="306"/>
      <c r="DFW2" s="306"/>
      <c r="DFX2" s="306"/>
      <c r="DFY2" s="306"/>
      <c r="DFZ2" s="306"/>
      <c r="DGA2" s="306"/>
      <c r="DGB2" s="306"/>
      <c r="DGC2" s="306"/>
      <c r="DGD2" s="306"/>
      <c r="DGE2" s="306"/>
      <c r="DGF2" s="306"/>
      <c r="DGG2" s="306"/>
      <c r="DGH2" s="306"/>
      <c r="DGI2" s="306"/>
      <c r="DGJ2" s="306"/>
      <c r="DGK2" s="306"/>
      <c r="DGL2" s="306"/>
      <c r="DGM2" s="306"/>
      <c r="DGN2" s="306"/>
      <c r="DGO2" s="306"/>
      <c r="DGP2" s="306"/>
      <c r="DGQ2" s="306"/>
      <c r="DGR2" s="306"/>
      <c r="DGS2" s="306"/>
      <c r="DGT2" s="306"/>
      <c r="DGU2" s="306"/>
      <c r="DGV2" s="306"/>
      <c r="DGW2" s="306"/>
      <c r="DGX2" s="306"/>
      <c r="DGY2" s="306"/>
      <c r="DGZ2" s="306"/>
      <c r="DHA2" s="306"/>
      <c r="DHB2" s="306"/>
      <c r="DHC2" s="306"/>
      <c r="DHD2" s="306"/>
      <c r="DHE2" s="306"/>
      <c r="DHF2" s="306"/>
      <c r="DHG2" s="306"/>
      <c r="DHH2" s="306"/>
      <c r="DHI2" s="306"/>
      <c r="DHJ2" s="306"/>
      <c r="DHK2" s="306"/>
      <c r="DHL2" s="306"/>
      <c r="DHM2" s="306"/>
      <c r="DHN2" s="306"/>
      <c r="DHO2" s="306"/>
      <c r="DHP2" s="306"/>
      <c r="DHQ2" s="306"/>
      <c r="DHR2" s="306"/>
      <c r="DHS2" s="306"/>
      <c r="DHT2" s="306"/>
      <c r="DHU2" s="306"/>
      <c r="DHV2" s="306"/>
      <c r="DHW2" s="306"/>
      <c r="DHX2" s="306"/>
      <c r="DHY2" s="306"/>
      <c r="DHZ2" s="306"/>
      <c r="DIA2" s="306"/>
      <c r="DIB2" s="306"/>
      <c r="DIC2" s="306"/>
      <c r="DID2" s="306"/>
      <c r="DIE2" s="306"/>
      <c r="DIF2" s="306"/>
      <c r="DIG2" s="306"/>
      <c r="DIH2" s="306"/>
      <c r="DII2" s="306"/>
      <c r="DIJ2" s="306"/>
      <c r="DIK2" s="306"/>
      <c r="DIL2" s="306"/>
      <c r="DIM2" s="306"/>
      <c r="DIN2" s="306"/>
      <c r="DIO2" s="306"/>
      <c r="DIP2" s="306"/>
      <c r="DIQ2" s="306"/>
      <c r="DIR2" s="306"/>
      <c r="DIS2" s="306"/>
      <c r="DIT2" s="306"/>
      <c r="DIU2" s="306"/>
      <c r="DIV2" s="306"/>
      <c r="DIW2" s="306"/>
      <c r="DIX2" s="306"/>
      <c r="DIY2" s="306"/>
      <c r="DIZ2" s="306"/>
      <c r="DJA2" s="306"/>
      <c r="DJB2" s="306"/>
      <c r="DJC2" s="306"/>
      <c r="DJD2" s="306"/>
      <c r="DJE2" s="306"/>
      <c r="DJF2" s="306"/>
      <c r="DJG2" s="306"/>
      <c r="DJH2" s="306"/>
      <c r="DJI2" s="306"/>
      <c r="DJJ2" s="306"/>
      <c r="DJK2" s="306"/>
      <c r="DJL2" s="306"/>
      <c r="DJM2" s="306"/>
      <c r="DJN2" s="306"/>
      <c r="DJO2" s="306"/>
      <c r="DJP2" s="306"/>
      <c r="DJQ2" s="306"/>
      <c r="DJR2" s="306"/>
      <c r="DJS2" s="306"/>
      <c r="DJT2" s="306"/>
      <c r="DJU2" s="306"/>
      <c r="DJV2" s="306"/>
      <c r="DJW2" s="306"/>
      <c r="DJX2" s="306"/>
      <c r="DJY2" s="306"/>
      <c r="DJZ2" s="306"/>
      <c r="DKA2" s="306"/>
      <c r="DKB2" s="306"/>
      <c r="DKC2" s="306"/>
      <c r="DKD2" s="306"/>
      <c r="DKE2" s="306"/>
      <c r="DKF2" s="306"/>
      <c r="DKG2" s="306"/>
      <c r="DKH2" s="306"/>
      <c r="DKI2" s="306"/>
      <c r="DKJ2" s="306"/>
      <c r="DKK2" s="306"/>
      <c r="DKL2" s="306"/>
      <c r="DKM2" s="306"/>
      <c r="DKN2" s="306"/>
      <c r="DKO2" s="306"/>
      <c r="DKP2" s="306"/>
      <c r="DKQ2" s="306"/>
      <c r="DKR2" s="306"/>
      <c r="DKS2" s="306"/>
      <c r="DKT2" s="306"/>
      <c r="DKU2" s="306"/>
      <c r="DKV2" s="306"/>
      <c r="DKW2" s="306"/>
      <c r="DKX2" s="306"/>
      <c r="DKY2" s="306"/>
      <c r="DKZ2" s="306"/>
      <c r="DLA2" s="306"/>
      <c r="DLB2" s="306"/>
      <c r="DLC2" s="306"/>
      <c r="DLD2" s="306"/>
      <c r="DLE2" s="306"/>
      <c r="DLF2" s="306"/>
      <c r="DLG2" s="306"/>
      <c r="DLH2" s="306"/>
      <c r="DLI2" s="306"/>
      <c r="DLJ2" s="306"/>
      <c r="DLK2" s="306"/>
      <c r="DLL2" s="306"/>
      <c r="DLM2" s="306"/>
      <c r="DLN2" s="306"/>
      <c r="DLO2" s="306"/>
      <c r="DLP2" s="306"/>
      <c r="DLQ2" s="306"/>
      <c r="DLR2" s="306"/>
      <c r="DLS2" s="306"/>
      <c r="DLT2" s="306"/>
      <c r="DLU2" s="306"/>
      <c r="DLV2" s="306"/>
      <c r="DLW2" s="306"/>
      <c r="DLX2" s="306"/>
      <c r="DLY2" s="306"/>
      <c r="DLZ2" s="306"/>
      <c r="DMA2" s="306"/>
      <c r="DMB2" s="306"/>
      <c r="DMC2" s="306"/>
      <c r="DMD2" s="306"/>
      <c r="DME2" s="306"/>
      <c r="DMF2" s="306"/>
      <c r="DMG2" s="306"/>
      <c r="DMH2" s="306"/>
      <c r="DMI2" s="306"/>
      <c r="DMJ2" s="306"/>
      <c r="DMK2" s="306"/>
      <c r="DML2" s="306"/>
      <c r="DMM2" s="306"/>
      <c r="DMN2" s="306"/>
      <c r="DMO2" s="306"/>
      <c r="DMP2" s="306"/>
      <c r="DMQ2" s="306"/>
      <c r="DMR2" s="306"/>
      <c r="DMS2" s="306"/>
      <c r="DMT2" s="306"/>
      <c r="DMU2" s="306"/>
      <c r="DMV2" s="306"/>
      <c r="DMW2" s="306"/>
      <c r="DMX2" s="306"/>
      <c r="DMY2" s="306"/>
      <c r="DMZ2" s="306"/>
      <c r="DNA2" s="306"/>
      <c r="DNB2" s="306"/>
      <c r="DNC2" s="306"/>
      <c r="DND2" s="306"/>
      <c r="DNE2" s="306"/>
      <c r="DNF2" s="306"/>
      <c r="DNG2" s="306"/>
      <c r="DNH2" s="306"/>
      <c r="DNI2" s="306"/>
      <c r="DNJ2" s="306"/>
      <c r="DNK2" s="306"/>
      <c r="DNL2" s="306"/>
      <c r="DNM2" s="306"/>
      <c r="DNN2" s="306"/>
      <c r="DNO2" s="306"/>
      <c r="DNP2" s="306"/>
      <c r="DNQ2" s="306"/>
      <c r="DNR2" s="306"/>
      <c r="DNS2" s="306"/>
      <c r="DNT2" s="306"/>
      <c r="DNU2" s="306"/>
      <c r="DNV2" s="306"/>
      <c r="DNW2" s="306"/>
      <c r="DNX2" s="306"/>
      <c r="DNY2" s="306"/>
      <c r="DNZ2" s="306"/>
      <c r="DOA2" s="306"/>
      <c r="DOB2" s="306"/>
      <c r="DOC2" s="306"/>
      <c r="DOD2" s="306"/>
      <c r="DOE2" s="306"/>
      <c r="DOF2" s="306"/>
      <c r="DOG2" s="306"/>
      <c r="DOH2" s="306"/>
      <c r="DOI2" s="306"/>
      <c r="DOJ2" s="306"/>
      <c r="DOK2" s="306"/>
      <c r="DOL2" s="306"/>
      <c r="DOM2" s="306"/>
      <c r="DON2" s="306"/>
      <c r="DOO2" s="306"/>
      <c r="DOP2" s="306"/>
      <c r="DOQ2" s="306"/>
      <c r="DOR2" s="306"/>
      <c r="DOS2" s="306"/>
      <c r="DOT2" s="306"/>
      <c r="DOU2" s="306"/>
      <c r="DOV2" s="306"/>
      <c r="DOW2" s="306"/>
      <c r="DOX2" s="306"/>
      <c r="DOY2" s="306"/>
      <c r="DOZ2" s="306"/>
      <c r="DPA2" s="306"/>
      <c r="DPB2" s="306"/>
      <c r="DPC2" s="306"/>
      <c r="DPD2" s="306"/>
      <c r="DPE2" s="306"/>
      <c r="DPF2" s="306"/>
      <c r="DPG2" s="306"/>
      <c r="DPH2" s="306"/>
      <c r="DPI2" s="306"/>
      <c r="DPJ2" s="306"/>
      <c r="DPK2" s="306"/>
      <c r="DPL2" s="306"/>
      <c r="DPM2" s="306"/>
      <c r="DPN2" s="306"/>
      <c r="DPO2" s="306"/>
      <c r="DPP2" s="306"/>
      <c r="DPQ2" s="306"/>
      <c r="DPR2" s="306"/>
      <c r="DPS2" s="306"/>
      <c r="DPT2" s="306"/>
      <c r="DPU2" s="306"/>
      <c r="DPV2" s="306"/>
      <c r="DPW2" s="306"/>
      <c r="DPX2" s="306"/>
      <c r="DPY2" s="306"/>
      <c r="DPZ2" s="306"/>
      <c r="DQA2" s="306"/>
      <c r="DQB2" s="306"/>
      <c r="DQC2" s="306"/>
      <c r="DQD2" s="306"/>
      <c r="DQE2" s="306"/>
      <c r="DQF2" s="306"/>
      <c r="DQG2" s="306"/>
      <c r="DQH2" s="306"/>
      <c r="DQI2" s="306"/>
      <c r="DQJ2" s="306"/>
      <c r="DQK2" s="306"/>
      <c r="DQL2" s="306"/>
      <c r="DQM2" s="306"/>
      <c r="DQN2" s="306"/>
      <c r="DQO2" s="306"/>
      <c r="DQP2" s="306"/>
      <c r="DQQ2" s="306"/>
      <c r="DQR2" s="306"/>
      <c r="DQS2" s="306"/>
      <c r="DQT2" s="306"/>
      <c r="DQU2" s="306"/>
      <c r="DQV2" s="306"/>
      <c r="DQW2" s="306"/>
      <c r="DQX2" s="306"/>
      <c r="DQY2" s="306"/>
      <c r="DQZ2" s="306"/>
      <c r="DRA2" s="306"/>
      <c r="DRB2" s="306"/>
      <c r="DRC2" s="306"/>
      <c r="DRD2" s="306"/>
      <c r="DRE2" s="306"/>
      <c r="DRF2" s="306"/>
      <c r="DRG2" s="306"/>
      <c r="DRH2" s="306"/>
      <c r="DRI2" s="306"/>
      <c r="DRJ2" s="306"/>
      <c r="DRK2" s="306"/>
      <c r="DRL2" s="306"/>
      <c r="DRM2" s="306"/>
      <c r="DRN2" s="306"/>
      <c r="DRO2" s="306"/>
      <c r="DRP2" s="306"/>
      <c r="DRQ2" s="306"/>
      <c r="DRR2" s="306"/>
      <c r="DRS2" s="306"/>
      <c r="DRT2" s="306"/>
      <c r="DRU2" s="306"/>
      <c r="DRV2" s="306"/>
      <c r="DRW2" s="306"/>
      <c r="DRX2" s="306"/>
      <c r="DRY2" s="306"/>
      <c r="DRZ2" s="306"/>
      <c r="DSA2" s="306"/>
      <c r="DSB2" s="306"/>
      <c r="DSC2" s="306"/>
      <c r="DSD2" s="306"/>
      <c r="DSE2" s="306"/>
      <c r="DSF2" s="306"/>
      <c r="DSG2" s="306"/>
      <c r="DSH2" s="306"/>
      <c r="DSI2" s="306"/>
      <c r="DSJ2" s="306"/>
      <c r="DSK2" s="306"/>
      <c r="DSL2" s="306"/>
      <c r="DSM2" s="306"/>
      <c r="DSN2" s="306"/>
      <c r="DSO2" s="306"/>
      <c r="DSP2" s="306"/>
      <c r="DSQ2" s="306"/>
      <c r="DSR2" s="306"/>
      <c r="DSS2" s="306"/>
      <c r="DST2" s="306"/>
      <c r="DSU2" s="306"/>
      <c r="DSV2" s="306"/>
      <c r="DSW2" s="306"/>
      <c r="DSX2" s="306"/>
      <c r="DSY2" s="306"/>
      <c r="DSZ2" s="306"/>
      <c r="DTA2" s="306"/>
      <c r="DTB2" s="306"/>
      <c r="DTC2" s="306"/>
      <c r="DTD2" s="306"/>
      <c r="DTE2" s="306"/>
      <c r="DTF2" s="306"/>
      <c r="DTG2" s="306"/>
      <c r="DTH2" s="306"/>
      <c r="DTI2" s="306"/>
      <c r="DTJ2" s="306"/>
      <c r="DTK2" s="306"/>
      <c r="DTL2" s="306"/>
      <c r="DTM2" s="306"/>
      <c r="DTN2" s="306"/>
      <c r="DTO2" s="306"/>
      <c r="DTP2" s="306"/>
      <c r="DTQ2" s="306"/>
      <c r="DTR2" s="306"/>
      <c r="DTS2" s="306"/>
      <c r="DTT2" s="306"/>
      <c r="DTU2" s="306"/>
      <c r="DTV2" s="306"/>
      <c r="DTW2" s="306"/>
      <c r="DTX2" s="306"/>
      <c r="DTY2" s="306"/>
      <c r="DTZ2" s="306"/>
      <c r="DUA2" s="306"/>
      <c r="DUB2" s="306"/>
      <c r="DUC2" s="306"/>
      <c r="DUD2" s="306"/>
      <c r="DUE2" s="306"/>
      <c r="DUF2" s="306"/>
      <c r="DUG2" s="306"/>
      <c r="DUH2" s="306"/>
      <c r="DUI2" s="306"/>
      <c r="DUJ2" s="306"/>
      <c r="DUK2" s="306"/>
      <c r="DUL2" s="306"/>
      <c r="DUM2" s="306"/>
      <c r="DUN2" s="306"/>
      <c r="DUO2" s="306"/>
      <c r="DUP2" s="306"/>
      <c r="DUQ2" s="306"/>
      <c r="DUR2" s="306"/>
      <c r="DUS2" s="306"/>
      <c r="DUT2" s="306"/>
      <c r="DUU2" s="306"/>
      <c r="DUV2" s="306"/>
      <c r="DUW2" s="306"/>
      <c r="DUX2" s="306"/>
      <c r="DUY2" s="306"/>
      <c r="DUZ2" s="306"/>
      <c r="DVA2" s="306"/>
      <c r="DVB2" s="306"/>
      <c r="DVC2" s="306"/>
      <c r="DVD2" s="306"/>
      <c r="DVE2" s="306"/>
      <c r="DVF2" s="306"/>
      <c r="DVG2" s="306"/>
      <c r="DVH2" s="306"/>
      <c r="DVI2" s="306"/>
      <c r="DVJ2" s="306"/>
      <c r="DVK2" s="306"/>
      <c r="DVL2" s="306"/>
      <c r="DVM2" s="306"/>
      <c r="DVN2" s="306"/>
      <c r="DVO2" s="306"/>
      <c r="DVP2" s="306"/>
      <c r="DVQ2" s="306"/>
      <c r="DVR2" s="306"/>
      <c r="DVS2" s="306"/>
      <c r="DVT2" s="306"/>
      <c r="DVU2" s="306"/>
      <c r="DVV2" s="306"/>
      <c r="DVW2" s="306"/>
      <c r="DVX2" s="306"/>
      <c r="DVY2" s="306"/>
      <c r="DVZ2" s="306"/>
      <c r="DWA2" s="306"/>
      <c r="DWB2" s="306"/>
      <c r="DWC2" s="306"/>
      <c r="DWD2" s="306"/>
      <c r="DWE2" s="306"/>
      <c r="DWF2" s="306"/>
      <c r="DWG2" s="306"/>
      <c r="DWH2" s="306"/>
      <c r="DWI2" s="306"/>
      <c r="DWJ2" s="306"/>
      <c r="DWK2" s="306"/>
      <c r="DWL2" s="306"/>
      <c r="DWM2" s="306"/>
      <c r="DWN2" s="306"/>
      <c r="DWO2" s="306"/>
      <c r="DWP2" s="306"/>
      <c r="DWQ2" s="306"/>
      <c r="DWR2" s="306"/>
      <c r="DWS2" s="306"/>
      <c r="DWT2" s="306"/>
      <c r="DWU2" s="306"/>
      <c r="DWV2" s="306"/>
      <c r="DWW2" s="306"/>
      <c r="DWX2" s="306"/>
      <c r="DWY2" s="306"/>
      <c r="DWZ2" s="306"/>
      <c r="DXA2" s="306"/>
      <c r="DXB2" s="306"/>
      <c r="DXC2" s="306"/>
      <c r="DXD2" s="306"/>
      <c r="DXE2" s="306"/>
      <c r="DXF2" s="306"/>
      <c r="DXG2" s="306"/>
      <c r="DXH2" s="306"/>
      <c r="DXI2" s="306"/>
      <c r="DXJ2" s="306"/>
      <c r="DXK2" s="306"/>
      <c r="DXL2" s="306"/>
      <c r="DXM2" s="306"/>
      <c r="DXN2" s="306"/>
      <c r="DXO2" s="306"/>
      <c r="DXP2" s="306"/>
      <c r="DXQ2" s="306"/>
      <c r="DXR2" s="306"/>
      <c r="DXS2" s="306"/>
      <c r="DXT2" s="306"/>
      <c r="DXU2" s="306"/>
      <c r="DXV2" s="306"/>
      <c r="DXW2" s="306"/>
      <c r="DXX2" s="306"/>
      <c r="DXY2" s="306"/>
      <c r="DXZ2" s="306"/>
      <c r="DYA2" s="306"/>
      <c r="DYB2" s="306"/>
      <c r="DYC2" s="306"/>
      <c r="DYD2" s="306"/>
      <c r="DYE2" s="306"/>
      <c r="DYF2" s="306"/>
      <c r="DYG2" s="306"/>
      <c r="DYH2" s="306"/>
      <c r="DYI2" s="306"/>
      <c r="DYJ2" s="306"/>
      <c r="DYK2" s="306"/>
      <c r="DYL2" s="306"/>
      <c r="DYM2" s="306"/>
      <c r="DYN2" s="306"/>
      <c r="DYO2" s="306"/>
      <c r="DYP2" s="306"/>
      <c r="DYQ2" s="306"/>
      <c r="DYR2" s="306"/>
      <c r="DYS2" s="306"/>
      <c r="DYT2" s="306"/>
      <c r="DYU2" s="306"/>
      <c r="DYV2" s="306"/>
      <c r="DYW2" s="306"/>
      <c r="DYX2" s="306"/>
      <c r="DYY2" s="306"/>
      <c r="DYZ2" s="306"/>
      <c r="DZA2" s="306"/>
      <c r="DZB2" s="306"/>
      <c r="DZC2" s="306"/>
      <c r="DZD2" s="306"/>
      <c r="DZE2" s="306"/>
      <c r="DZF2" s="306"/>
      <c r="DZG2" s="306"/>
      <c r="DZH2" s="306"/>
      <c r="DZI2" s="306"/>
      <c r="DZJ2" s="306"/>
      <c r="DZK2" s="306"/>
      <c r="DZL2" s="306"/>
      <c r="DZM2" s="306"/>
      <c r="DZN2" s="306"/>
      <c r="DZO2" s="306"/>
      <c r="DZP2" s="306"/>
      <c r="DZQ2" s="306"/>
      <c r="DZR2" s="306"/>
      <c r="DZS2" s="306"/>
      <c r="DZT2" s="306"/>
      <c r="DZU2" s="306"/>
      <c r="DZV2" s="306"/>
      <c r="DZW2" s="306"/>
      <c r="DZX2" s="306"/>
      <c r="DZY2" s="306"/>
      <c r="DZZ2" s="306"/>
      <c r="EAA2" s="306"/>
      <c r="EAB2" s="306"/>
      <c r="EAC2" s="306"/>
      <c r="EAD2" s="306"/>
      <c r="EAE2" s="306"/>
      <c r="EAF2" s="306"/>
      <c r="EAG2" s="306"/>
      <c r="EAH2" s="306"/>
      <c r="EAI2" s="306"/>
      <c r="EAJ2" s="306"/>
      <c r="EAK2" s="306"/>
      <c r="EAL2" s="306"/>
      <c r="EAM2" s="306"/>
      <c r="EAN2" s="306"/>
      <c r="EAO2" s="306"/>
      <c r="EAP2" s="306"/>
      <c r="EAQ2" s="306"/>
      <c r="EAR2" s="306"/>
      <c r="EAS2" s="306"/>
      <c r="EAT2" s="306"/>
      <c r="EAU2" s="306"/>
      <c r="EAV2" s="306"/>
      <c r="EAW2" s="306"/>
      <c r="EAX2" s="306"/>
      <c r="EAY2" s="306"/>
      <c r="EAZ2" s="306"/>
      <c r="EBA2" s="306"/>
      <c r="EBB2" s="306"/>
      <c r="EBC2" s="306"/>
      <c r="EBD2" s="306"/>
      <c r="EBE2" s="306"/>
      <c r="EBF2" s="306"/>
      <c r="EBG2" s="306"/>
      <c r="EBH2" s="306"/>
      <c r="EBI2" s="306"/>
      <c r="EBJ2" s="306"/>
      <c r="EBK2" s="306"/>
      <c r="EBL2" s="306"/>
      <c r="EBM2" s="306"/>
      <c r="EBN2" s="306"/>
      <c r="EBO2" s="306"/>
      <c r="EBP2" s="306"/>
      <c r="EBQ2" s="306"/>
      <c r="EBR2" s="306"/>
      <c r="EBS2" s="306"/>
      <c r="EBT2" s="306"/>
      <c r="EBU2" s="306"/>
      <c r="EBV2" s="306"/>
      <c r="EBW2" s="306"/>
      <c r="EBX2" s="306"/>
      <c r="EBY2" s="306"/>
      <c r="EBZ2" s="306"/>
      <c r="ECA2" s="306"/>
      <c r="ECB2" s="306"/>
      <c r="ECC2" s="306"/>
      <c r="ECD2" s="306"/>
      <c r="ECE2" s="306"/>
      <c r="ECF2" s="306"/>
      <c r="ECG2" s="306"/>
      <c r="ECH2" s="306"/>
      <c r="ECI2" s="306"/>
      <c r="ECJ2" s="306"/>
      <c r="ECK2" s="306"/>
      <c r="ECL2" s="306"/>
      <c r="ECM2" s="306"/>
      <c r="ECN2" s="306"/>
      <c r="ECO2" s="306"/>
      <c r="ECP2" s="306"/>
      <c r="ECQ2" s="306"/>
      <c r="ECR2" s="306"/>
      <c r="ECS2" s="306"/>
      <c r="ECT2" s="306"/>
      <c r="ECU2" s="306"/>
      <c r="ECV2" s="306"/>
      <c r="ECW2" s="306"/>
      <c r="ECX2" s="306"/>
      <c r="ECY2" s="306"/>
      <c r="ECZ2" s="306"/>
      <c r="EDA2" s="306"/>
      <c r="EDB2" s="306"/>
      <c r="EDC2" s="306"/>
      <c r="EDD2" s="306"/>
      <c r="EDE2" s="306"/>
      <c r="EDF2" s="306"/>
      <c r="EDG2" s="306"/>
      <c r="EDH2" s="306"/>
      <c r="EDI2" s="306"/>
      <c r="EDJ2" s="306"/>
      <c r="EDK2" s="306"/>
      <c r="EDL2" s="306"/>
      <c r="EDM2" s="306"/>
      <c r="EDN2" s="306"/>
      <c r="EDO2" s="306"/>
      <c r="EDP2" s="306"/>
      <c r="EDQ2" s="306"/>
      <c r="EDR2" s="306"/>
      <c r="EDS2" s="306"/>
      <c r="EDT2" s="306"/>
      <c r="EDU2" s="306"/>
      <c r="EDV2" s="306"/>
      <c r="EDW2" s="306"/>
      <c r="EDX2" s="306"/>
      <c r="EDY2" s="306"/>
      <c r="EDZ2" s="306"/>
      <c r="EEA2" s="306"/>
      <c r="EEB2" s="306"/>
      <c r="EEC2" s="306"/>
      <c r="EED2" s="306"/>
      <c r="EEE2" s="306"/>
      <c r="EEF2" s="306"/>
      <c r="EEG2" s="306"/>
      <c r="EEH2" s="306"/>
      <c r="EEI2" s="306"/>
      <c r="EEJ2" s="306"/>
      <c r="EEK2" s="306"/>
      <c r="EEL2" s="306"/>
      <c r="EEM2" s="306"/>
      <c r="EEN2" s="306"/>
      <c r="EEO2" s="306"/>
      <c r="EEP2" s="306"/>
      <c r="EEQ2" s="306"/>
      <c r="EER2" s="306"/>
      <c r="EES2" s="306"/>
      <c r="EET2" s="306"/>
      <c r="EEU2" s="306"/>
      <c r="EEV2" s="306"/>
      <c r="EEW2" s="306"/>
      <c r="EEX2" s="306"/>
      <c r="EEY2" s="306"/>
      <c r="EEZ2" s="306"/>
      <c r="EFA2" s="306"/>
      <c r="EFB2" s="306"/>
      <c r="EFC2" s="306"/>
      <c r="EFD2" s="306"/>
      <c r="EFE2" s="306"/>
      <c r="EFF2" s="306"/>
      <c r="EFG2" s="306"/>
      <c r="EFH2" s="306"/>
      <c r="EFI2" s="306"/>
      <c r="EFJ2" s="306"/>
      <c r="EFK2" s="306"/>
      <c r="EFL2" s="306"/>
      <c r="EFM2" s="306"/>
      <c r="EFN2" s="306"/>
      <c r="EFO2" s="306"/>
      <c r="EFP2" s="306"/>
      <c r="EFQ2" s="306"/>
      <c r="EFR2" s="306"/>
      <c r="EFS2" s="306"/>
      <c r="EFT2" s="306"/>
      <c r="EFU2" s="306"/>
      <c r="EFV2" s="306"/>
      <c r="EFW2" s="306"/>
      <c r="EFX2" s="306"/>
      <c r="EFY2" s="306"/>
      <c r="EFZ2" s="306"/>
      <c r="EGA2" s="306"/>
      <c r="EGB2" s="306"/>
      <c r="EGC2" s="306"/>
      <c r="EGD2" s="306"/>
      <c r="EGE2" s="306"/>
      <c r="EGF2" s="306"/>
      <c r="EGG2" s="306"/>
      <c r="EGH2" s="306"/>
      <c r="EGI2" s="306"/>
      <c r="EGJ2" s="306"/>
      <c r="EGK2" s="306"/>
      <c r="EGL2" s="306"/>
      <c r="EGM2" s="306"/>
      <c r="EGN2" s="306"/>
      <c r="EGO2" s="306"/>
      <c r="EGP2" s="306"/>
      <c r="EGQ2" s="306"/>
      <c r="EGR2" s="306"/>
      <c r="EGS2" s="306"/>
      <c r="EGT2" s="306"/>
      <c r="EGU2" s="306"/>
      <c r="EGV2" s="306"/>
      <c r="EGW2" s="306"/>
      <c r="EGX2" s="306"/>
      <c r="EGY2" s="306"/>
      <c r="EGZ2" s="306"/>
      <c r="EHA2" s="306"/>
      <c r="EHB2" s="306"/>
      <c r="EHC2" s="306"/>
      <c r="EHD2" s="306"/>
      <c r="EHE2" s="306"/>
      <c r="EHF2" s="306"/>
      <c r="EHG2" s="306"/>
      <c r="EHH2" s="306"/>
      <c r="EHI2" s="306"/>
      <c r="EHJ2" s="306"/>
      <c r="EHK2" s="306"/>
      <c r="EHL2" s="306"/>
      <c r="EHM2" s="306"/>
      <c r="EHN2" s="306"/>
      <c r="EHO2" s="306"/>
      <c r="EHP2" s="306"/>
      <c r="EHQ2" s="306"/>
      <c r="EHR2" s="306"/>
      <c r="EHS2" s="306"/>
      <c r="EHT2" s="306"/>
      <c r="EHU2" s="306"/>
      <c r="EHV2" s="306"/>
      <c r="EHW2" s="306"/>
      <c r="EHX2" s="306"/>
      <c r="EHY2" s="306"/>
      <c r="EHZ2" s="306"/>
      <c r="EIA2" s="306"/>
      <c r="EIB2" s="306"/>
      <c r="EIC2" s="306"/>
      <c r="EID2" s="306"/>
      <c r="EIE2" s="306"/>
      <c r="EIF2" s="306"/>
      <c r="EIG2" s="306"/>
      <c r="EIH2" s="306"/>
      <c r="EII2" s="306"/>
      <c r="EIJ2" s="306"/>
      <c r="EIK2" s="306"/>
      <c r="EIL2" s="306"/>
      <c r="EIM2" s="306"/>
      <c r="EIN2" s="306"/>
      <c r="EIO2" s="306"/>
      <c r="EIP2" s="306"/>
      <c r="EIQ2" s="306"/>
      <c r="EIR2" s="306"/>
      <c r="EIS2" s="306"/>
      <c r="EIT2" s="306"/>
      <c r="EIU2" s="306"/>
      <c r="EIV2" s="306"/>
      <c r="EIW2" s="306"/>
      <c r="EIX2" s="306"/>
      <c r="EIY2" s="306"/>
      <c r="EIZ2" s="306"/>
      <c r="EJA2" s="306"/>
      <c r="EJB2" s="306"/>
      <c r="EJC2" s="306"/>
      <c r="EJD2" s="306"/>
      <c r="EJE2" s="306"/>
      <c r="EJF2" s="306"/>
      <c r="EJG2" s="306"/>
      <c r="EJH2" s="306"/>
      <c r="EJI2" s="306"/>
      <c r="EJJ2" s="306"/>
      <c r="EJK2" s="306"/>
      <c r="EJL2" s="306"/>
      <c r="EJM2" s="306"/>
      <c r="EJN2" s="306"/>
      <c r="EJO2" s="306"/>
      <c r="EJP2" s="306"/>
      <c r="EJQ2" s="306"/>
      <c r="EJR2" s="306"/>
      <c r="EJS2" s="306"/>
      <c r="EJT2" s="306"/>
      <c r="EJU2" s="306"/>
      <c r="EJV2" s="306"/>
      <c r="EJW2" s="306"/>
      <c r="EJX2" s="306"/>
      <c r="EJY2" s="306"/>
      <c r="EJZ2" s="306"/>
      <c r="EKA2" s="306"/>
      <c r="EKB2" s="306"/>
      <c r="EKC2" s="306"/>
      <c r="EKD2" s="306"/>
      <c r="EKE2" s="306"/>
      <c r="EKF2" s="306"/>
      <c r="EKG2" s="306"/>
      <c r="EKH2" s="306"/>
      <c r="EKI2" s="306"/>
      <c r="EKJ2" s="306"/>
      <c r="EKK2" s="306"/>
      <c r="EKL2" s="306"/>
      <c r="EKM2" s="306"/>
      <c r="EKN2" s="306"/>
      <c r="EKO2" s="306"/>
      <c r="EKP2" s="306"/>
      <c r="EKQ2" s="306"/>
      <c r="EKR2" s="306"/>
      <c r="EKS2" s="306"/>
      <c r="EKT2" s="306"/>
      <c r="EKU2" s="306"/>
      <c r="EKV2" s="306"/>
      <c r="EKW2" s="306"/>
      <c r="EKX2" s="306"/>
      <c r="EKY2" s="306"/>
      <c r="EKZ2" s="306"/>
      <c r="ELA2" s="306"/>
      <c r="ELB2" s="306"/>
      <c r="ELC2" s="306"/>
      <c r="ELD2" s="306"/>
      <c r="ELE2" s="306"/>
      <c r="ELF2" s="306"/>
      <c r="ELG2" s="306"/>
      <c r="ELH2" s="306"/>
      <c r="ELI2" s="306"/>
      <c r="ELJ2" s="306"/>
      <c r="ELK2" s="306"/>
      <c r="ELL2" s="306"/>
      <c r="ELM2" s="306"/>
      <c r="ELN2" s="306"/>
      <c r="ELO2" s="306"/>
      <c r="ELP2" s="306"/>
      <c r="ELQ2" s="306"/>
      <c r="ELR2" s="306"/>
      <c r="ELS2" s="306"/>
      <c r="ELT2" s="306"/>
      <c r="ELU2" s="306"/>
      <c r="ELV2" s="306"/>
      <c r="ELW2" s="306"/>
      <c r="ELX2" s="306"/>
      <c r="ELY2" s="306"/>
      <c r="ELZ2" s="306"/>
      <c r="EMA2" s="306"/>
      <c r="EMB2" s="306"/>
      <c r="EMC2" s="306"/>
      <c r="EMD2" s="306"/>
      <c r="EME2" s="306"/>
      <c r="EMF2" s="306"/>
      <c r="EMG2" s="306"/>
      <c r="EMH2" s="306"/>
      <c r="EMI2" s="306"/>
      <c r="EMJ2" s="306"/>
      <c r="EMK2" s="306"/>
      <c r="EML2" s="306"/>
      <c r="EMM2" s="306"/>
      <c r="EMN2" s="306"/>
      <c r="EMO2" s="306"/>
      <c r="EMP2" s="306"/>
      <c r="EMQ2" s="306"/>
      <c r="EMR2" s="306"/>
      <c r="EMS2" s="306"/>
      <c r="EMT2" s="306"/>
      <c r="EMU2" s="306"/>
      <c r="EMV2" s="306"/>
      <c r="EMW2" s="306"/>
      <c r="EMX2" s="306"/>
      <c r="EMY2" s="306"/>
      <c r="EMZ2" s="306"/>
      <c r="ENA2" s="306"/>
      <c r="ENB2" s="306"/>
      <c r="ENC2" s="306"/>
      <c r="END2" s="306"/>
      <c r="ENE2" s="306"/>
      <c r="ENF2" s="306"/>
      <c r="ENG2" s="306"/>
      <c r="ENH2" s="306"/>
      <c r="ENI2" s="306"/>
      <c r="ENJ2" s="306"/>
      <c r="ENK2" s="306"/>
      <c r="ENL2" s="306"/>
      <c r="ENM2" s="306"/>
      <c r="ENN2" s="306"/>
      <c r="ENO2" s="306"/>
      <c r="ENP2" s="306"/>
      <c r="ENQ2" s="306"/>
      <c r="ENR2" s="306"/>
      <c r="ENS2" s="306"/>
      <c r="ENT2" s="306"/>
      <c r="ENU2" s="306"/>
      <c r="ENV2" s="306"/>
      <c r="ENW2" s="306"/>
      <c r="ENX2" s="306"/>
      <c r="ENY2" s="306"/>
      <c r="ENZ2" s="306"/>
      <c r="EOA2" s="306"/>
      <c r="EOB2" s="306"/>
      <c r="EOC2" s="306"/>
      <c r="EOD2" s="306"/>
      <c r="EOE2" s="306"/>
      <c r="EOF2" s="306"/>
      <c r="EOG2" s="306"/>
      <c r="EOH2" s="306"/>
      <c r="EOI2" s="306"/>
      <c r="EOJ2" s="306"/>
      <c r="EOK2" s="306"/>
      <c r="EOL2" s="306"/>
      <c r="EOM2" s="306"/>
      <c r="EON2" s="306"/>
      <c r="EOO2" s="306"/>
      <c r="EOP2" s="306"/>
      <c r="EOQ2" s="306"/>
      <c r="EOR2" s="306"/>
      <c r="EOS2" s="306"/>
      <c r="EOT2" s="306"/>
      <c r="EOU2" s="306"/>
      <c r="EOV2" s="306"/>
      <c r="EOW2" s="306"/>
      <c r="EOX2" s="306"/>
      <c r="EOY2" s="306"/>
      <c r="EOZ2" s="306"/>
      <c r="EPA2" s="306"/>
      <c r="EPB2" s="306"/>
      <c r="EPC2" s="306"/>
      <c r="EPD2" s="306"/>
      <c r="EPE2" s="306"/>
      <c r="EPF2" s="306"/>
      <c r="EPG2" s="306"/>
      <c r="EPH2" s="306"/>
      <c r="EPI2" s="306"/>
      <c r="EPJ2" s="306"/>
      <c r="EPK2" s="306"/>
      <c r="EPL2" s="306"/>
      <c r="EPM2" s="306"/>
      <c r="EPN2" s="306"/>
      <c r="EPO2" s="306"/>
      <c r="EPP2" s="306"/>
      <c r="EPQ2" s="306"/>
      <c r="EPR2" s="306"/>
      <c r="EPS2" s="306"/>
      <c r="EPT2" s="306"/>
      <c r="EPU2" s="306"/>
      <c r="EPV2" s="306"/>
      <c r="EPW2" s="306"/>
      <c r="EPX2" s="306"/>
      <c r="EPY2" s="306"/>
      <c r="EPZ2" s="306"/>
      <c r="EQA2" s="306"/>
      <c r="EQB2" s="306"/>
      <c r="EQC2" s="306"/>
      <c r="EQD2" s="306"/>
      <c r="EQE2" s="306"/>
      <c r="EQF2" s="306"/>
      <c r="EQG2" s="306"/>
      <c r="EQH2" s="306"/>
      <c r="EQI2" s="306"/>
      <c r="EQJ2" s="306"/>
      <c r="EQK2" s="306"/>
      <c r="EQL2" s="306"/>
      <c r="EQM2" s="306"/>
      <c r="EQN2" s="306"/>
      <c r="EQO2" s="306"/>
      <c r="EQP2" s="306"/>
      <c r="EQQ2" s="306"/>
      <c r="EQR2" s="306"/>
      <c r="EQS2" s="306"/>
      <c r="EQT2" s="306"/>
      <c r="EQU2" s="306"/>
      <c r="EQV2" s="306"/>
      <c r="EQW2" s="306"/>
      <c r="EQX2" s="306"/>
      <c r="EQY2" s="306"/>
      <c r="EQZ2" s="306"/>
      <c r="ERA2" s="306"/>
      <c r="ERB2" s="306"/>
      <c r="ERC2" s="306"/>
      <c r="ERD2" s="306"/>
      <c r="ERE2" s="306"/>
      <c r="ERF2" s="306"/>
      <c r="ERG2" s="306"/>
      <c r="ERH2" s="306"/>
      <c r="ERI2" s="306"/>
      <c r="ERJ2" s="306"/>
      <c r="ERK2" s="306"/>
      <c r="ERL2" s="306"/>
      <c r="ERM2" s="306"/>
      <c r="ERN2" s="306"/>
      <c r="ERO2" s="306"/>
      <c r="ERP2" s="306"/>
      <c r="ERQ2" s="306"/>
      <c r="ERR2" s="306"/>
      <c r="ERS2" s="306"/>
      <c r="ERT2" s="306"/>
      <c r="ERU2" s="306"/>
      <c r="ERV2" s="306"/>
      <c r="ERW2" s="306"/>
      <c r="ERX2" s="306"/>
      <c r="ERY2" s="306"/>
      <c r="ERZ2" s="306"/>
      <c r="ESA2" s="306"/>
      <c r="ESB2" s="306"/>
      <c r="ESC2" s="306"/>
      <c r="ESD2" s="306"/>
      <c r="ESE2" s="306"/>
      <c r="ESF2" s="306"/>
      <c r="ESG2" s="306"/>
      <c r="ESH2" s="306"/>
      <c r="ESI2" s="306"/>
      <c r="ESJ2" s="306"/>
      <c r="ESK2" s="306"/>
      <c r="ESL2" s="306"/>
      <c r="ESM2" s="306"/>
      <c r="ESN2" s="306"/>
      <c r="ESO2" s="306"/>
      <c r="ESP2" s="306"/>
      <c r="ESQ2" s="306"/>
      <c r="ESR2" s="306"/>
      <c r="ESS2" s="306"/>
      <c r="EST2" s="306"/>
      <c r="ESU2" s="306"/>
      <c r="ESV2" s="306"/>
      <c r="ESW2" s="306"/>
      <c r="ESX2" s="306"/>
      <c r="ESY2" s="306"/>
      <c r="ESZ2" s="306"/>
      <c r="ETA2" s="306"/>
      <c r="ETB2" s="306"/>
      <c r="ETC2" s="306"/>
      <c r="ETD2" s="306"/>
      <c r="ETE2" s="306"/>
      <c r="ETF2" s="306"/>
      <c r="ETG2" s="306"/>
      <c r="ETH2" s="306"/>
      <c r="ETI2" s="306"/>
      <c r="ETJ2" s="306"/>
      <c r="ETK2" s="306"/>
      <c r="ETL2" s="306"/>
      <c r="ETM2" s="306"/>
      <c r="ETN2" s="306"/>
      <c r="ETO2" s="306"/>
      <c r="ETP2" s="306"/>
      <c r="ETQ2" s="306"/>
      <c r="ETR2" s="306"/>
      <c r="ETS2" s="306"/>
      <c r="ETT2" s="306"/>
      <c r="ETU2" s="306"/>
      <c r="ETV2" s="306"/>
      <c r="ETW2" s="306"/>
      <c r="ETX2" s="306"/>
      <c r="ETY2" s="306"/>
      <c r="ETZ2" s="306"/>
      <c r="EUA2" s="306"/>
      <c r="EUB2" s="306"/>
      <c r="EUC2" s="306"/>
      <c r="EUD2" s="306"/>
      <c r="EUE2" s="306"/>
      <c r="EUF2" s="306"/>
      <c r="EUG2" s="306"/>
      <c r="EUH2" s="306"/>
      <c r="EUI2" s="306"/>
      <c r="EUJ2" s="306"/>
      <c r="EUK2" s="306"/>
      <c r="EUL2" s="306"/>
      <c r="EUM2" s="306"/>
      <c r="EUN2" s="306"/>
      <c r="EUO2" s="306"/>
      <c r="EUP2" s="306"/>
      <c r="EUQ2" s="306"/>
      <c r="EUR2" s="306"/>
      <c r="EUS2" s="306"/>
      <c r="EUT2" s="306"/>
      <c r="EUU2" s="306"/>
      <c r="EUV2" s="306"/>
      <c r="EUW2" s="306"/>
      <c r="EUX2" s="306"/>
      <c r="EUY2" s="306"/>
      <c r="EUZ2" s="306"/>
      <c r="EVA2" s="306"/>
      <c r="EVB2" s="306"/>
      <c r="EVC2" s="306"/>
      <c r="EVD2" s="306"/>
      <c r="EVE2" s="306"/>
      <c r="EVF2" s="306"/>
      <c r="EVG2" s="306"/>
      <c r="EVH2" s="306"/>
      <c r="EVI2" s="306"/>
      <c r="EVJ2" s="306"/>
      <c r="EVK2" s="306"/>
      <c r="EVL2" s="306"/>
      <c r="EVM2" s="306"/>
      <c r="EVN2" s="306"/>
      <c r="EVO2" s="306"/>
      <c r="EVP2" s="306"/>
      <c r="EVQ2" s="306"/>
      <c r="EVR2" s="306"/>
      <c r="EVS2" s="306"/>
      <c r="EVT2" s="306"/>
      <c r="EVU2" s="306"/>
      <c r="EVV2" s="306"/>
      <c r="EVW2" s="306"/>
      <c r="EVX2" s="306"/>
      <c r="EVY2" s="306"/>
      <c r="EVZ2" s="306"/>
      <c r="EWA2" s="306"/>
      <c r="EWB2" s="306"/>
      <c r="EWC2" s="306"/>
      <c r="EWD2" s="306"/>
      <c r="EWE2" s="306"/>
      <c r="EWF2" s="306"/>
      <c r="EWG2" s="306"/>
      <c r="EWH2" s="306"/>
      <c r="EWI2" s="306"/>
      <c r="EWJ2" s="306"/>
      <c r="EWK2" s="306"/>
      <c r="EWL2" s="306"/>
      <c r="EWM2" s="306"/>
      <c r="EWN2" s="306"/>
      <c r="EWO2" s="306"/>
      <c r="EWP2" s="306"/>
      <c r="EWQ2" s="306"/>
      <c r="EWR2" s="306"/>
      <c r="EWS2" s="306"/>
      <c r="EWT2" s="306"/>
      <c r="EWU2" s="306"/>
      <c r="EWV2" s="306"/>
      <c r="EWW2" s="306"/>
      <c r="EWX2" s="306"/>
      <c r="EWY2" s="306"/>
      <c r="EWZ2" s="306"/>
      <c r="EXA2" s="306"/>
      <c r="EXB2" s="306"/>
      <c r="EXC2" s="306"/>
      <c r="EXD2" s="306"/>
      <c r="EXE2" s="306"/>
      <c r="EXF2" s="306"/>
      <c r="EXG2" s="306"/>
      <c r="EXH2" s="306"/>
      <c r="EXI2" s="306"/>
      <c r="EXJ2" s="306"/>
      <c r="EXK2" s="306"/>
      <c r="EXL2" s="306"/>
      <c r="EXM2" s="306"/>
      <c r="EXN2" s="306"/>
      <c r="EXO2" s="306"/>
      <c r="EXP2" s="306"/>
      <c r="EXQ2" s="306"/>
      <c r="EXR2" s="306"/>
      <c r="EXS2" s="306"/>
      <c r="EXT2" s="306"/>
      <c r="EXU2" s="306"/>
      <c r="EXV2" s="306"/>
      <c r="EXW2" s="306"/>
      <c r="EXX2" s="306"/>
      <c r="EXY2" s="306"/>
      <c r="EXZ2" s="306"/>
      <c r="EYA2" s="306"/>
      <c r="EYB2" s="306"/>
      <c r="EYC2" s="306"/>
      <c r="EYD2" s="306"/>
      <c r="EYE2" s="306"/>
      <c r="EYF2" s="306"/>
      <c r="EYG2" s="306"/>
      <c r="EYH2" s="306"/>
      <c r="EYI2" s="306"/>
      <c r="EYJ2" s="306"/>
      <c r="EYK2" s="306"/>
      <c r="EYL2" s="306"/>
      <c r="EYM2" s="306"/>
      <c r="EYN2" s="306"/>
      <c r="EYO2" s="306"/>
      <c r="EYP2" s="306"/>
      <c r="EYQ2" s="306"/>
      <c r="EYR2" s="306"/>
      <c r="EYS2" s="306"/>
      <c r="EYT2" s="306"/>
      <c r="EYU2" s="306"/>
      <c r="EYV2" s="306"/>
      <c r="EYW2" s="306"/>
      <c r="EYX2" s="306"/>
      <c r="EYY2" s="306"/>
      <c r="EYZ2" s="306"/>
      <c r="EZA2" s="306"/>
      <c r="EZB2" s="306"/>
      <c r="EZC2" s="306"/>
      <c r="EZD2" s="306"/>
      <c r="EZE2" s="306"/>
      <c r="EZF2" s="306"/>
      <c r="EZG2" s="306"/>
      <c r="EZH2" s="306"/>
      <c r="EZI2" s="306"/>
      <c r="EZJ2" s="306"/>
      <c r="EZK2" s="306"/>
      <c r="EZL2" s="306"/>
      <c r="EZM2" s="306"/>
      <c r="EZN2" s="306"/>
      <c r="EZO2" s="306"/>
      <c r="EZP2" s="306"/>
      <c r="EZQ2" s="306"/>
      <c r="EZR2" s="306"/>
      <c r="EZS2" s="306"/>
      <c r="EZT2" s="306"/>
      <c r="EZU2" s="306"/>
      <c r="EZV2" s="306"/>
      <c r="EZW2" s="306"/>
      <c r="EZX2" s="306"/>
      <c r="EZY2" s="306"/>
      <c r="EZZ2" s="306"/>
      <c r="FAA2" s="306"/>
      <c r="FAB2" s="306"/>
      <c r="FAC2" s="306"/>
      <c r="FAD2" s="306"/>
      <c r="FAE2" s="306"/>
      <c r="FAF2" s="306"/>
      <c r="FAG2" s="306"/>
      <c r="FAH2" s="306"/>
      <c r="FAI2" s="306"/>
      <c r="FAJ2" s="306"/>
      <c r="FAK2" s="306"/>
      <c r="FAL2" s="306"/>
      <c r="FAM2" s="306"/>
      <c r="FAN2" s="306"/>
      <c r="FAO2" s="306"/>
      <c r="FAP2" s="306"/>
      <c r="FAQ2" s="306"/>
      <c r="FAR2" s="306"/>
      <c r="FAS2" s="306"/>
      <c r="FAT2" s="306"/>
      <c r="FAU2" s="306"/>
      <c r="FAV2" s="306"/>
      <c r="FAW2" s="306"/>
      <c r="FAX2" s="306"/>
      <c r="FAY2" s="306"/>
      <c r="FAZ2" s="306"/>
      <c r="FBA2" s="306"/>
      <c r="FBB2" s="306"/>
      <c r="FBC2" s="306"/>
      <c r="FBD2" s="306"/>
      <c r="FBE2" s="306"/>
      <c r="FBF2" s="306"/>
      <c r="FBG2" s="306"/>
      <c r="FBH2" s="306"/>
      <c r="FBI2" s="306"/>
      <c r="FBJ2" s="306"/>
      <c r="FBK2" s="306"/>
      <c r="FBL2" s="306"/>
      <c r="FBM2" s="306"/>
      <c r="FBN2" s="306"/>
      <c r="FBO2" s="306"/>
      <c r="FBP2" s="306"/>
      <c r="FBQ2" s="306"/>
      <c r="FBR2" s="306"/>
      <c r="FBS2" s="306"/>
      <c r="FBT2" s="306"/>
      <c r="FBU2" s="306"/>
      <c r="FBV2" s="306"/>
      <c r="FBW2" s="306"/>
      <c r="FBX2" s="306"/>
      <c r="FBY2" s="306"/>
      <c r="FBZ2" s="306"/>
      <c r="FCA2" s="306"/>
      <c r="FCB2" s="306"/>
      <c r="FCC2" s="306"/>
      <c r="FCD2" s="306"/>
      <c r="FCE2" s="306"/>
      <c r="FCF2" s="306"/>
      <c r="FCG2" s="306"/>
      <c r="FCH2" s="306"/>
      <c r="FCI2" s="306"/>
      <c r="FCJ2" s="306"/>
      <c r="FCK2" s="306"/>
      <c r="FCL2" s="306"/>
      <c r="FCM2" s="306"/>
      <c r="FCN2" s="306"/>
      <c r="FCO2" s="306"/>
      <c r="FCP2" s="306"/>
      <c r="FCQ2" s="306"/>
      <c r="FCR2" s="306"/>
      <c r="FCS2" s="306"/>
      <c r="FCT2" s="306"/>
      <c r="FCU2" s="306"/>
      <c r="FCV2" s="306"/>
      <c r="FCW2" s="306"/>
      <c r="FCX2" s="306"/>
      <c r="FCY2" s="306"/>
      <c r="FCZ2" s="306"/>
      <c r="FDA2" s="306"/>
      <c r="FDB2" s="306"/>
      <c r="FDC2" s="306"/>
      <c r="FDD2" s="306"/>
      <c r="FDE2" s="306"/>
      <c r="FDF2" s="306"/>
      <c r="FDG2" s="306"/>
      <c r="FDH2" s="306"/>
      <c r="FDI2" s="306"/>
      <c r="FDJ2" s="306"/>
      <c r="FDK2" s="306"/>
      <c r="FDL2" s="306"/>
      <c r="FDM2" s="306"/>
      <c r="FDN2" s="306"/>
      <c r="FDO2" s="306"/>
      <c r="FDP2" s="306"/>
      <c r="FDQ2" s="306"/>
      <c r="FDR2" s="306"/>
      <c r="FDS2" s="306"/>
      <c r="FDT2" s="306"/>
      <c r="FDU2" s="306"/>
      <c r="FDV2" s="306"/>
      <c r="FDW2" s="306"/>
      <c r="FDX2" s="306"/>
      <c r="FDY2" s="306"/>
      <c r="FDZ2" s="306"/>
      <c r="FEA2" s="306"/>
      <c r="FEB2" s="306"/>
      <c r="FEC2" s="306"/>
      <c r="FED2" s="306"/>
      <c r="FEE2" s="306"/>
      <c r="FEF2" s="306"/>
      <c r="FEG2" s="306"/>
      <c r="FEH2" s="306"/>
      <c r="FEI2" s="306"/>
      <c r="FEJ2" s="306"/>
      <c r="FEK2" s="306"/>
      <c r="FEL2" s="306"/>
      <c r="FEM2" s="306"/>
      <c r="FEN2" s="306"/>
      <c r="FEO2" s="306"/>
      <c r="FEP2" s="306"/>
      <c r="FEQ2" s="306"/>
      <c r="FER2" s="306"/>
      <c r="FES2" s="306"/>
      <c r="FET2" s="306"/>
      <c r="FEU2" s="306"/>
      <c r="FEV2" s="306"/>
      <c r="FEW2" s="306"/>
      <c r="FEX2" s="306"/>
      <c r="FEY2" s="306"/>
      <c r="FEZ2" s="306"/>
      <c r="FFA2" s="306"/>
      <c r="FFB2" s="306"/>
      <c r="FFC2" s="306"/>
      <c r="FFD2" s="306"/>
      <c r="FFE2" s="306"/>
      <c r="FFF2" s="306"/>
      <c r="FFG2" s="306"/>
      <c r="FFH2" s="306"/>
      <c r="FFI2" s="306"/>
      <c r="FFJ2" s="306"/>
      <c r="FFK2" s="306"/>
      <c r="FFL2" s="306"/>
      <c r="FFM2" s="306"/>
      <c r="FFN2" s="306"/>
      <c r="FFO2" s="306"/>
      <c r="FFP2" s="306"/>
      <c r="FFQ2" s="306"/>
      <c r="FFR2" s="306"/>
      <c r="FFS2" s="306"/>
      <c r="FFT2" s="306"/>
      <c r="FFU2" s="306"/>
      <c r="FFV2" s="306"/>
      <c r="FFW2" s="306"/>
      <c r="FFX2" s="306"/>
      <c r="FFY2" s="306"/>
      <c r="FFZ2" s="306"/>
      <c r="FGA2" s="306"/>
      <c r="FGB2" s="306"/>
      <c r="FGC2" s="306"/>
      <c r="FGD2" s="306"/>
      <c r="FGE2" s="306"/>
      <c r="FGF2" s="306"/>
      <c r="FGG2" s="306"/>
      <c r="FGH2" s="306"/>
      <c r="FGI2" s="306"/>
      <c r="FGJ2" s="306"/>
      <c r="FGK2" s="306"/>
      <c r="FGL2" s="306"/>
      <c r="FGM2" s="306"/>
      <c r="FGN2" s="306"/>
      <c r="FGO2" s="306"/>
      <c r="FGP2" s="306"/>
      <c r="FGQ2" s="306"/>
      <c r="FGR2" s="306"/>
      <c r="FGS2" s="306"/>
      <c r="FGT2" s="306"/>
      <c r="FGU2" s="306"/>
      <c r="FGV2" s="306"/>
      <c r="FGW2" s="306"/>
      <c r="FGX2" s="306"/>
      <c r="FGY2" s="306"/>
      <c r="FGZ2" s="306"/>
      <c r="FHA2" s="306"/>
      <c r="FHB2" s="306"/>
      <c r="FHC2" s="306"/>
      <c r="FHD2" s="306"/>
      <c r="FHE2" s="306"/>
      <c r="FHF2" s="306"/>
      <c r="FHG2" s="306"/>
      <c r="FHH2" s="306"/>
      <c r="FHI2" s="306"/>
      <c r="FHJ2" s="306"/>
      <c r="FHK2" s="306"/>
      <c r="FHL2" s="306"/>
      <c r="FHM2" s="306"/>
      <c r="FHN2" s="306"/>
      <c r="FHO2" s="306"/>
      <c r="FHP2" s="306"/>
      <c r="FHQ2" s="306"/>
      <c r="FHR2" s="306"/>
      <c r="FHS2" s="306"/>
      <c r="FHT2" s="306"/>
      <c r="FHU2" s="306"/>
      <c r="FHV2" s="306"/>
      <c r="FHW2" s="306"/>
      <c r="FHX2" s="306"/>
      <c r="FHY2" s="306"/>
      <c r="FHZ2" s="306"/>
      <c r="FIA2" s="306"/>
      <c r="FIB2" s="306"/>
      <c r="FIC2" s="306"/>
      <c r="FID2" s="306"/>
      <c r="FIE2" s="306"/>
      <c r="FIF2" s="306"/>
      <c r="FIG2" s="306"/>
      <c r="FIH2" s="306"/>
      <c r="FII2" s="306"/>
      <c r="FIJ2" s="306"/>
      <c r="FIK2" s="306"/>
      <c r="FIL2" s="306"/>
      <c r="FIM2" s="306"/>
      <c r="FIN2" s="306"/>
      <c r="FIO2" s="306"/>
      <c r="FIP2" s="306"/>
      <c r="FIQ2" s="306"/>
      <c r="FIR2" s="306"/>
      <c r="FIS2" s="306"/>
      <c r="FIT2" s="306"/>
      <c r="FIU2" s="306"/>
      <c r="FIV2" s="306"/>
      <c r="FIW2" s="306"/>
      <c r="FIX2" s="306"/>
      <c r="FIY2" s="306"/>
      <c r="FIZ2" s="306"/>
      <c r="FJA2" s="306"/>
      <c r="FJB2" s="306"/>
      <c r="FJC2" s="306"/>
      <c r="FJD2" s="306"/>
      <c r="FJE2" s="306"/>
      <c r="FJF2" s="306"/>
      <c r="FJG2" s="306"/>
      <c r="FJH2" s="306"/>
      <c r="FJI2" s="306"/>
      <c r="FJJ2" s="306"/>
      <c r="FJK2" s="306"/>
      <c r="FJL2" s="306"/>
      <c r="FJM2" s="306"/>
      <c r="FJN2" s="306"/>
      <c r="FJO2" s="306"/>
      <c r="FJP2" s="306"/>
      <c r="FJQ2" s="306"/>
      <c r="FJR2" s="306"/>
      <c r="FJS2" s="306"/>
      <c r="FJT2" s="306"/>
      <c r="FJU2" s="306"/>
      <c r="FJV2" s="306"/>
      <c r="FJW2" s="306"/>
      <c r="FJX2" s="306"/>
      <c r="FJY2" s="306"/>
      <c r="FJZ2" s="306"/>
      <c r="FKA2" s="306"/>
      <c r="FKB2" s="306"/>
      <c r="FKC2" s="306"/>
      <c r="FKD2" s="306"/>
      <c r="FKE2" s="306"/>
      <c r="FKF2" s="306"/>
      <c r="FKG2" s="306"/>
      <c r="FKH2" s="306"/>
      <c r="FKI2" s="306"/>
      <c r="FKJ2" s="306"/>
      <c r="FKK2" s="306"/>
      <c r="FKL2" s="306"/>
      <c r="FKM2" s="306"/>
      <c r="FKN2" s="306"/>
      <c r="FKO2" s="306"/>
      <c r="FKP2" s="306"/>
      <c r="FKQ2" s="306"/>
      <c r="FKR2" s="306"/>
      <c r="FKS2" s="306"/>
      <c r="FKT2" s="306"/>
      <c r="FKU2" s="306"/>
      <c r="FKV2" s="306"/>
      <c r="FKW2" s="306"/>
      <c r="FKX2" s="306"/>
      <c r="FKY2" s="306"/>
      <c r="FKZ2" s="306"/>
      <c r="FLA2" s="306"/>
      <c r="FLB2" s="306"/>
      <c r="FLC2" s="306"/>
      <c r="FLD2" s="306"/>
      <c r="FLE2" s="306"/>
      <c r="FLF2" s="306"/>
      <c r="FLG2" s="306"/>
      <c r="FLH2" s="306"/>
      <c r="FLI2" s="306"/>
      <c r="FLJ2" s="306"/>
      <c r="FLK2" s="306"/>
      <c r="FLL2" s="306"/>
      <c r="FLM2" s="306"/>
      <c r="FLN2" s="306"/>
      <c r="FLO2" s="306"/>
      <c r="FLP2" s="306"/>
      <c r="FLQ2" s="306"/>
      <c r="FLR2" s="306"/>
      <c r="FLS2" s="306"/>
      <c r="FLT2" s="306"/>
      <c r="FLU2" s="306"/>
      <c r="FLV2" s="306"/>
      <c r="FLW2" s="306"/>
      <c r="FLX2" s="306"/>
      <c r="FLY2" s="306"/>
      <c r="FLZ2" s="306"/>
      <c r="FMA2" s="306"/>
      <c r="FMB2" s="306"/>
      <c r="FMC2" s="306"/>
      <c r="FMD2" s="306"/>
      <c r="FME2" s="306"/>
      <c r="FMF2" s="306"/>
      <c r="FMG2" s="306"/>
      <c r="FMH2" s="306"/>
      <c r="FMI2" s="306"/>
      <c r="FMJ2" s="306"/>
      <c r="FMK2" s="306"/>
      <c r="FML2" s="306"/>
      <c r="FMM2" s="306"/>
      <c r="FMN2" s="306"/>
      <c r="FMO2" s="306"/>
      <c r="FMP2" s="306"/>
      <c r="FMQ2" s="306"/>
      <c r="FMR2" s="306"/>
      <c r="FMS2" s="306"/>
      <c r="FMT2" s="306"/>
      <c r="FMU2" s="306"/>
      <c r="FMV2" s="306"/>
      <c r="FMW2" s="306"/>
      <c r="FMX2" s="306"/>
      <c r="FMY2" s="306"/>
      <c r="FMZ2" s="306"/>
      <c r="FNA2" s="306"/>
      <c r="FNB2" s="306"/>
      <c r="FNC2" s="306"/>
      <c r="FND2" s="306"/>
      <c r="FNE2" s="306"/>
      <c r="FNF2" s="306"/>
      <c r="FNG2" s="306"/>
      <c r="FNH2" s="306"/>
      <c r="FNI2" s="306"/>
      <c r="FNJ2" s="306"/>
      <c r="FNK2" s="306"/>
      <c r="FNL2" s="306"/>
      <c r="FNM2" s="306"/>
      <c r="FNN2" s="306"/>
      <c r="FNO2" s="306"/>
      <c r="FNP2" s="306"/>
      <c r="FNQ2" s="306"/>
      <c r="FNR2" s="306"/>
      <c r="FNS2" s="306"/>
      <c r="FNT2" s="306"/>
      <c r="FNU2" s="306"/>
      <c r="FNV2" s="306"/>
      <c r="FNW2" s="306"/>
      <c r="FNX2" s="306"/>
      <c r="FNY2" s="306"/>
      <c r="FNZ2" s="306"/>
      <c r="FOA2" s="306"/>
      <c r="FOB2" s="306"/>
      <c r="FOC2" s="306"/>
      <c r="FOD2" s="306"/>
      <c r="FOE2" s="306"/>
      <c r="FOF2" s="306"/>
      <c r="FOG2" s="306"/>
      <c r="FOH2" s="306"/>
      <c r="FOI2" s="306"/>
      <c r="FOJ2" s="306"/>
      <c r="FOK2" s="306"/>
      <c r="FOL2" s="306"/>
      <c r="FOM2" s="306"/>
      <c r="FON2" s="306"/>
      <c r="FOO2" s="306"/>
      <c r="FOP2" s="306"/>
      <c r="FOQ2" s="306"/>
      <c r="FOR2" s="306"/>
      <c r="FOS2" s="306"/>
      <c r="FOT2" s="306"/>
      <c r="FOU2" s="306"/>
      <c r="FOV2" s="306"/>
      <c r="FOW2" s="306"/>
      <c r="FOX2" s="306"/>
      <c r="FOY2" s="306"/>
      <c r="FOZ2" s="306"/>
      <c r="FPA2" s="306"/>
      <c r="FPB2" s="306"/>
      <c r="FPC2" s="306"/>
      <c r="FPD2" s="306"/>
      <c r="FPE2" s="306"/>
      <c r="FPF2" s="306"/>
      <c r="FPG2" s="306"/>
      <c r="FPH2" s="306"/>
      <c r="FPI2" s="306"/>
      <c r="FPJ2" s="306"/>
      <c r="FPK2" s="306"/>
      <c r="FPL2" s="306"/>
      <c r="FPM2" s="306"/>
      <c r="FPN2" s="306"/>
      <c r="FPO2" s="306"/>
      <c r="FPP2" s="306"/>
      <c r="FPQ2" s="306"/>
      <c r="FPR2" s="306"/>
      <c r="FPS2" s="306"/>
      <c r="FPT2" s="306"/>
      <c r="FPU2" s="306"/>
      <c r="FPV2" s="306"/>
      <c r="FPW2" s="306"/>
      <c r="FPX2" s="306"/>
      <c r="FPY2" s="306"/>
      <c r="FPZ2" s="306"/>
      <c r="FQA2" s="306"/>
      <c r="FQB2" s="306"/>
      <c r="FQC2" s="306"/>
      <c r="FQD2" s="306"/>
      <c r="FQE2" s="306"/>
      <c r="FQF2" s="306"/>
      <c r="FQG2" s="306"/>
      <c r="FQH2" s="306"/>
      <c r="FQI2" s="306"/>
      <c r="FQJ2" s="306"/>
      <c r="FQK2" s="306"/>
      <c r="FQL2" s="306"/>
      <c r="FQM2" s="306"/>
      <c r="FQN2" s="306"/>
      <c r="FQO2" s="306"/>
      <c r="FQP2" s="306"/>
      <c r="FQQ2" s="306"/>
      <c r="FQR2" s="306"/>
      <c r="FQS2" s="306"/>
      <c r="FQT2" s="306"/>
      <c r="FQU2" s="306"/>
      <c r="FQV2" s="306"/>
      <c r="FQW2" s="306"/>
      <c r="FQX2" s="306"/>
      <c r="FQY2" s="306"/>
      <c r="FQZ2" s="306"/>
      <c r="FRA2" s="306"/>
      <c r="FRB2" s="306"/>
      <c r="FRC2" s="306"/>
      <c r="FRD2" s="306"/>
      <c r="FRE2" s="306"/>
      <c r="FRF2" s="306"/>
      <c r="FRG2" s="306"/>
      <c r="FRH2" s="306"/>
      <c r="FRI2" s="306"/>
      <c r="FRJ2" s="306"/>
      <c r="FRK2" s="306"/>
      <c r="FRL2" s="306"/>
      <c r="FRM2" s="306"/>
      <c r="FRN2" s="306"/>
      <c r="FRO2" s="306"/>
      <c r="FRP2" s="306"/>
      <c r="FRQ2" s="306"/>
      <c r="FRR2" s="306"/>
      <c r="FRS2" s="306"/>
      <c r="FRT2" s="306"/>
      <c r="FRU2" s="306"/>
      <c r="FRV2" s="306"/>
      <c r="FRW2" s="306"/>
      <c r="FRX2" s="306"/>
      <c r="FRY2" s="306"/>
      <c r="FRZ2" s="306"/>
      <c r="FSA2" s="306"/>
      <c r="FSB2" s="306"/>
      <c r="FSC2" s="306"/>
      <c r="FSD2" s="306"/>
      <c r="FSE2" s="306"/>
      <c r="FSF2" s="306"/>
      <c r="FSG2" s="306"/>
      <c r="FSH2" s="306"/>
      <c r="FSI2" s="306"/>
      <c r="FSJ2" s="306"/>
      <c r="FSK2" s="306"/>
      <c r="FSL2" s="306"/>
      <c r="FSM2" s="306"/>
      <c r="FSN2" s="306"/>
      <c r="FSO2" s="306"/>
      <c r="FSP2" s="306"/>
      <c r="FSQ2" s="306"/>
      <c r="FSR2" s="306"/>
      <c r="FSS2" s="306"/>
      <c r="FST2" s="306"/>
      <c r="FSU2" s="306"/>
      <c r="FSV2" s="306"/>
      <c r="FSW2" s="306"/>
      <c r="FSX2" s="306"/>
      <c r="FSY2" s="306"/>
      <c r="FSZ2" s="306"/>
      <c r="FTA2" s="306"/>
      <c r="FTB2" s="306"/>
      <c r="FTC2" s="306"/>
      <c r="FTD2" s="306"/>
      <c r="FTE2" s="306"/>
      <c r="FTF2" s="306"/>
      <c r="FTG2" s="306"/>
      <c r="FTH2" s="306"/>
      <c r="FTI2" s="306"/>
      <c r="FTJ2" s="306"/>
      <c r="FTK2" s="306"/>
      <c r="FTL2" s="306"/>
      <c r="FTM2" s="306"/>
      <c r="FTN2" s="306"/>
      <c r="FTO2" s="306"/>
      <c r="FTP2" s="306"/>
      <c r="FTQ2" s="306"/>
      <c r="FTR2" s="306"/>
      <c r="FTS2" s="306"/>
      <c r="FTT2" s="306"/>
      <c r="FTU2" s="306"/>
      <c r="FTV2" s="306"/>
      <c r="FTW2" s="306"/>
      <c r="FTX2" s="306"/>
      <c r="FTY2" s="306"/>
      <c r="FTZ2" s="306"/>
      <c r="FUA2" s="306"/>
      <c r="FUB2" s="306"/>
      <c r="FUC2" s="306"/>
      <c r="FUD2" s="306"/>
      <c r="FUE2" s="306"/>
      <c r="FUF2" s="306"/>
      <c r="FUG2" s="306"/>
      <c r="FUH2" s="306"/>
      <c r="FUI2" s="306"/>
      <c r="FUJ2" s="306"/>
      <c r="FUK2" s="306"/>
      <c r="FUL2" s="306"/>
      <c r="FUM2" s="306"/>
      <c r="FUN2" s="306"/>
      <c r="FUO2" s="306"/>
      <c r="FUP2" s="306"/>
      <c r="FUQ2" s="306"/>
      <c r="FUR2" s="306"/>
      <c r="FUS2" s="306"/>
      <c r="FUT2" s="306"/>
      <c r="FUU2" s="306"/>
      <c r="FUV2" s="306"/>
      <c r="FUW2" s="306"/>
      <c r="FUX2" s="306"/>
      <c r="FUY2" s="306"/>
      <c r="FUZ2" s="306"/>
      <c r="FVA2" s="306"/>
      <c r="FVB2" s="306"/>
      <c r="FVC2" s="306"/>
      <c r="FVD2" s="306"/>
      <c r="FVE2" s="306"/>
      <c r="FVF2" s="306"/>
      <c r="FVG2" s="306"/>
      <c r="FVH2" s="306"/>
      <c r="FVI2" s="306"/>
      <c r="FVJ2" s="306"/>
      <c r="FVK2" s="306"/>
      <c r="FVL2" s="306"/>
      <c r="FVM2" s="306"/>
      <c r="FVN2" s="306"/>
      <c r="FVO2" s="306"/>
      <c r="FVP2" s="306"/>
      <c r="FVQ2" s="306"/>
      <c r="FVR2" s="306"/>
      <c r="FVS2" s="306"/>
      <c r="FVT2" s="306"/>
      <c r="FVU2" s="306"/>
      <c r="FVV2" s="306"/>
      <c r="FVW2" s="306"/>
      <c r="FVX2" s="306"/>
      <c r="FVY2" s="306"/>
      <c r="FVZ2" s="306"/>
      <c r="FWA2" s="306"/>
      <c r="FWB2" s="306"/>
      <c r="FWC2" s="306"/>
      <c r="FWD2" s="306"/>
      <c r="FWE2" s="306"/>
      <c r="FWF2" s="306"/>
      <c r="FWG2" s="306"/>
      <c r="FWH2" s="306"/>
      <c r="FWI2" s="306"/>
      <c r="FWJ2" s="306"/>
      <c r="FWK2" s="306"/>
      <c r="FWL2" s="306"/>
      <c r="FWM2" s="306"/>
      <c r="FWN2" s="306"/>
      <c r="FWO2" s="306"/>
      <c r="FWP2" s="306"/>
      <c r="FWQ2" s="306"/>
      <c r="FWR2" s="306"/>
      <c r="FWS2" s="306"/>
      <c r="FWT2" s="306"/>
      <c r="FWU2" s="306"/>
      <c r="FWV2" s="306"/>
      <c r="FWW2" s="306"/>
      <c r="FWX2" s="306"/>
      <c r="FWY2" s="306"/>
      <c r="FWZ2" s="306"/>
      <c r="FXA2" s="306"/>
      <c r="FXB2" s="306"/>
      <c r="FXC2" s="306"/>
      <c r="FXD2" s="306"/>
      <c r="FXE2" s="306"/>
      <c r="FXF2" s="306"/>
      <c r="FXG2" s="306"/>
      <c r="FXH2" s="306"/>
      <c r="FXI2" s="306"/>
      <c r="FXJ2" s="306"/>
      <c r="FXK2" s="306"/>
      <c r="FXL2" s="306"/>
      <c r="FXM2" s="306"/>
      <c r="FXN2" s="306"/>
      <c r="FXO2" s="306"/>
      <c r="FXP2" s="306"/>
      <c r="FXQ2" s="306"/>
      <c r="FXR2" s="306"/>
      <c r="FXS2" s="306"/>
      <c r="FXT2" s="306"/>
      <c r="FXU2" s="306"/>
      <c r="FXV2" s="306"/>
      <c r="FXW2" s="306"/>
      <c r="FXX2" s="306"/>
      <c r="FXY2" s="306"/>
      <c r="FXZ2" s="306"/>
      <c r="FYA2" s="306"/>
      <c r="FYB2" s="306"/>
      <c r="FYC2" s="306"/>
      <c r="FYD2" s="306"/>
      <c r="FYE2" s="306"/>
      <c r="FYF2" s="306"/>
      <c r="FYG2" s="306"/>
      <c r="FYH2" s="306"/>
      <c r="FYI2" s="306"/>
      <c r="FYJ2" s="306"/>
      <c r="FYK2" s="306"/>
      <c r="FYL2" s="306"/>
      <c r="FYM2" s="306"/>
      <c r="FYN2" s="306"/>
      <c r="FYO2" s="306"/>
      <c r="FYP2" s="306"/>
      <c r="FYQ2" s="306"/>
      <c r="FYR2" s="306"/>
      <c r="FYS2" s="306"/>
      <c r="FYT2" s="306"/>
      <c r="FYU2" s="306"/>
      <c r="FYV2" s="306"/>
      <c r="FYW2" s="306"/>
      <c r="FYX2" s="306"/>
      <c r="FYY2" s="306"/>
      <c r="FYZ2" s="306"/>
      <c r="FZA2" s="306"/>
      <c r="FZB2" s="306"/>
      <c r="FZC2" s="306"/>
      <c r="FZD2" s="306"/>
      <c r="FZE2" s="306"/>
      <c r="FZF2" s="306"/>
      <c r="FZG2" s="306"/>
      <c r="FZH2" s="306"/>
      <c r="FZI2" s="306"/>
      <c r="FZJ2" s="306"/>
      <c r="FZK2" s="306"/>
      <c r="FZL2" s="306"/>
      <c r="FZM2" s="306"/>
      <c r="FZN2" s="306"/>
      <c r="FZO2" s="306"/>
      <c r="FZP2" s="306"/>
      <c r="FZQ2" s="306"/>
      <c r="FZR2" s="306"/>
      <c r="FZS2" s="306"/>
      <c r="FZT2" s="306"/>
      <c r="FZU2" s="306"/>
      <c r="FZV2" s="306"/>
      <c r="FZW2" s="306"/>
      <c r="FZX2" s="306"/>
      <c r="FZY2" s="306"/>
      <c r="FZZ2" s="306"/>
      <c r="GAA2" s="306"/>
      <c r="GAB2" s="306"/>
      <c r="GAC2" s="306"/>
      <c r="GAD2" s="306"/>
      <c r="GAE2" s="306"/>
      <c r="GAF2" s="306"/>
      <c r="GAG2" s="306"/>
      <c r="GAH2" s="306"/>
      <c r="GAI2" s="306"/>
      <c r="GAJ2" s="306"/>
      <c r="GAK2" s="306"/>
      <c r="GAL2" s="306"/>
      <c r="GAM2" s="306"/>
      <c r="GAN2" s="306"/>
      <c r="GAO2" s="306"/>
      <c r="GAP2" s="306"/>
      <c r="GAQ2" s="306"/>
      <c r="GAR2" s="306"/>
      <c r="GAS2" s="306"/>
      <c r="GAT2" s="306"/>
      <c r="GAU2" s="306"/>
      <c r="GAV2" s="306"/>
      <c r="GAW2" s="306"/>
      <c r="GAX2" s="306"/>
      <c r="GAY2" s="306"/>
      <c r="GAZ2" s="306"/>
      <c r="GBA2" s="306"/>
      <c r="GBB2" s="306"/>
      <c r="GBC2" s="306"/>
      <c r="GBD2" s="306"/>
      <c r="GBE2" s="306"/>
      <c r="GBF2" s="306"/>
      <c r="GBG2" s="306"/>
      <c r="GBH2" s="306"/>
      <c r="GBI2" s="306"/>
      <c r="GBJ2" s="306"/>
      <c r="GBK2" s="306"/>
      <c r="GBL2" s="306"/>
      <c r="GBM2" s="306"/>
      <c r="GBN2" s="306"/>
      <c r="GBO2" s="306"/>
      <c r="GBP2" s="306"/>
      <c r="GBQ2" s="306"/>
      <c r="GBR2" s="306"/>
      <c r="GBS2" s="306"/>
      <c r="GBT2" s="306"/>
      <c r="GBU2" s="306"/>
      <c r="GBV2" s="306"/>
      <c r="GBW2" s="306"/>
      <c r="GBX2" s="306"/>
      <c r="GBY2" s="306"/>
      <c r="GBZ2" s="306"/>
      <c r="GCA2" s="306"/>
      <c r="GCB2" s="306"/>
      <c r="GCC2" s="306"/>
      <c r="GCD2" s="306"/>
      <c r="GCE2" s="306"/>
      <c r="GCF2" s="306"/>
      <c r="GCG2" s="306"/>
      <c r="GCH2" s="306"/>
      <c r="GCI2" s="306"/>
      <c r="GCJ2" s="306"/>
      <c r="GCK2" s="306"/>
      <c r="GCL2" s="306"/>
      <c r="GCM2" s="306"/>
      <c r="GCN2" s="306"/>
      <c r="GCO2" s="306"/>
      <c r="GCP2" s="306"/>
      <c r="GCQ2" s="306"/>
      <c r="GCR2" s="306"/>
      <c r="GCS2" s="306"/>
      <c r="GCT2" s="306"/>
      <c r="GCU2" s="306"/>
      <c r="GCV2" s="306"/>
      <c r="GCW2" s="306"/>
      <c r="GCX2" s="306"/>
      <c r="GCY2" s="306"/>
      <c r="GCZ2" s="306"/>
      <c r="GDA2" s="306"/>
      <c r="GDB2" s="306"/>
      <c r="GDC2" s="306"/>
      <c r="GDD2" s="306"/>
      <c r="GDE2" s="306"/>
      <c r="GDF2" s="306"/>
      <c r="GDG2" s="306"/>
      <c r="GDH2" s="306"/>
      <c r="GDI2" s="306"/>
      <c r="GDJ2" s="306"/>
      <c r="GDK2" s="306"/>
      <c r="GDL2" s="306"/>
      <c r="GDM2" s="306"/>
      <c r="GDN2" s="306"/>
      <c r="GDO2" s="306"/>
      <c r="GDP2" s="306"/>
      <c r="GDQ2" s="306"/>
      <c r="GDR2" s="306"/>
      <c r="GDS2" s="306"/>
      <c r="GDT2" s="306"/>
      <c r="GDU2" s="306"/>
      <c r="GDV2" s="306"/>
      <c r="GDW2" s="306"/>
      <c r="GDX2" s="306"/>
      <c r="GDY2" s="306"/>
      <c r="GDZ2" s="306"/>
      <c r="GEA2" s="306"/>
      <c r="GEB2" s="306"/>
      <c r="GEC2" s="306"/>
      <c r="GED2" s="306"/>
      <c r="GEE2" s="306"/>
      <c r="GEF2" s="306"/>
      <c r="GEG2" s="306"/>
      <c r="GEH2" s="306"/>
      <c r="GEI2" s="306"/>
      <c r="GEJ2" s="306"/>
      <c r="GEK2" s="306"/>
      <c r="GEL2" s="306"/>
      <c r="GEM2" s="306"/>
      <c r="GEN2" s="306"/>
      <c r="GEO2" s="306"/>
      <c r="GEP2" s="306"/>
      <c r="GEQ2" s="306"/>
      <c r="GER2" s="306"/>
      <c r="GES2" s="306"/>
      <c r="GET2" s="306"/>
      <c r="GEU2" s="306"/>
      <c r="GEV2" s="306"/>
      <c r="GEW2" s="306"/>
      <c r="GEX2" s="306"/>
      <c r="GEY2" s="306"/>
      <c r="GEZ2" s="306"/>
      <c r="GFA2" s="306"/>
      <c r="GFB2" s="306"/>
      <c r="GFC2" s="306"/>
      <c r="GFD2" s="306"/>
      <c r="GFE2" s="306"/>
      <c r="GFF2" s="306"/>
      <c r="GFG2" s="306"/>
      <c r="GFH2" s="306"/>
      <c r="GFI2" s="306"/>
      <c r="GFJ2" s="306"/>
      <c r="GFK2" s="306"/>
      <c r="GFL2" s="306"/>
      <c r="GFM2" s="306"/>
      <c r="GFN2" s="306"/>
      <c r="GFO2" s="306"/>
      <c r="GFP2" s="306"/>
      <c r="GFQ2" s="306"/>
      <c r="GFR2" s="306"/>
      <c r="GFS2" s="306"/>
      <c r="GFT2" s="306"/>
      <c r="GFU2" s="306"/>
      <c r="GFV2" s="306"/>
      <c r="GFW2" s="306"/>
      <c r="GFX2" s="306"/>
      <c r="GFY2" s="306"/>
      <c r="GFZ2" s="306"/>
      <c r="GGA2" s="306"/>
      <c r="GGB2" s="306"/>
      <c r="GGC2" s="306"/>
      <c r="GGD2" s="306"/>
      <c r="GGE2" s="306"/>
      <c r="GGF2" s="306"/>
      <c r="GGG2" s="306"/>
      <c r="GGH2" s="306"/>
      <c r="GGI2" s="306"/>
      <c r="GGJ2" s="306"/>
      <c r="GGK2" s="306"/>
      <c r="GGL2" s="306"/>
      <c r="GGM2" s="306"/>
      <c r="GGN2" s="306"/>
      <c r="GGO2" s="306"/>
      <c r="GGP2" s="306"/>
      <c r="GGQ2" s="306"/>
      <c r="GGR2" s="306"/>
      <c r="GGS2" s="306"/>
      <c r="GGT2" s="306"/>
      <c r="GGU2" s="306"/>
      <c r="GGV2" s="306"/>
      <c r="GGW2" s="306"/>
      <c r="GGX2" s="306"/>
      <c r="GGY2" s="306"/>
      <c r="GGZ2" s="306"/>
      <c r="GHA2" s="306"/>
      <c r="GHB2" s="306"/>
      <c r="GHC2" s="306"/>
      <c r="GHD2" s="306"/>
      <c r="GHE2" s="306"/>
      <c r="GHF2" s="306"/>
      <c r="GHG2" s="306"/>
      <c r="GHH2" s="306"/>
      <c r="GHI2" s="306"/>
      <c r="GHJ2" s="306"/>
      <c r="GHK2" s="306"/>
      <c r="GHL2" s="306"/>
      <c r="GHM2" s="306"/>
      <c r="GHN2" s="306"/>
      <c r="GHO2" s="306"/>
      <c r="GHP2" s="306"/>
      <c r="GHQ2" s="306"/>
      <c r="GHR2" s="306"/>
      <c r="GHS2" s="306"/>
      <c r="GHT2" s="306"/>
      <c r="GHU2" s="306"/>
      <c r="GHV2" s="306"/>
      <c r="GHW2" s="306"/>
      <c r="GHX2" s="306"/>
      <c r="GHY2" s="306"/>
      <c r="GHZ2" s="306"/>
      <c r="GIA2" s="306"/>
      <c r="GIB2" s="306"/>
      <c r="GIC2" s="306"/>
      <c r="GID2" s="306"/>
      <c r="GIE2" s="306"/>
      <c r="GIF2" s="306"/>
      <c r="GIG2" s="306"/>
      <c r="GIH2" s="306"/>
      <c r="GII2" s="306"/>
      <c r="GIJ2" s="306"/>
      <c r="GIK2" s="306"/>
      <c r="GIL2" s="306"/>
      <c r="GIM2" s="306"/>
      <c r="GIN2" s="306"/>
      <c r="GIO2" s="306"/>
      <c r="GIP2" s="306"/>
      <c r="GIQ2" s="306"/>
      <c r="GIR2" s="306"/>
      <c r="GIS2" s="306"/>
      <c r="GIT2" s="306"/>
      <c r="GIU2" s="306"/>
      <c r="GIV2" s="306"/>
      <c r="GIW2" s="306"/>
      <c r="GIX2" s="306"/>
      <c r="GIY2" s="306"/>
      <c r="GIZ2" s="306"/>
      <c r="GJA2" s="306"/>
      <c r="GJB2" s="306"/>
      <c r="GJC2" s="306"/>
      <c r="GJD2" s="306"/>
      <c r="GJE2" s="306"/>
      <c r="GJF2" s="306"/>
      <c r="GJG2" s="306"/>
      <c r="GJH2" s="306"/>
      <c r="GJI2" s="306"/>
      <c r="GJJ2" s="306"/>
      <c r="GJK2" s="306"/>
      <c r="GJL2" s="306"/>
      <c r="GJM2" s="306"/>
      <c r="GJN2" s="306"/>
      <c r="GJO2" s="306"/>
      <c r="GJP2" s="306"/>
      <c r="GJQ2" s="306"/>
      <c r="GJR2" s="306"/>
      <c r="GJS2" s="306"/>
      <c r="GJT2" s="306"/>
      <c r="GJU2" s="306"/>
      <c r="GJV2" s="306"/>
      <c r="GJW2" s="306"/>
      <c r="GJX2" s="306"/>
      <c r="GJY2" s="306"/>
      <c r="GJZ2" s="306"/>
      <c r="GKA2" s="306"/>
      <c r="GKB2" s="306"/>
      <c r="GKC2" s="306"/>
      <c r="GKD2" s="306"/>
      <c r="GKE2" s="306"/>
      <c r="GKF2" s="306"/>
      <c r="GKG2" s="306"/>
      <c r="GKH2" s="306"/>
      <c r="GKI2" s="306"/>
      <c r="GKJ2" s="306"/>
      <c r="GKK2" s="306"/>
      <c r="GKL2" s="306"/>
      <c r="GKM2" s="306"/>
      <c r="GKN2" s="306"/>
      <c r="GKO2" s="306"/>
      <c r="GKP2" s="306"/>
      <c r="GKQ2" s="306"/>
      <c r="GKR2" s="306"/>
      <c r="GKS2" s="306"/>
      <c r="GKT2" s="306"/>
      <c r="GKU2" s="306"/>
      <c r="GKV2" s="306"/>
      <c r="GKW2" s="306"/>
      <c r="GKX2" s="306"/>
      <c r="GKY2" s="306"/>
      <c r="GKZ2" s="306"/>
      <c r="GLA2" s="306"/>
      <c r="GLB2" s="306"/>
      <c r="GLC2" s="306"/>
      <c r="GLD2" s="306"/>
      <c r="GLE2" s="306"/>
      <c r="GLF2" s="306"/>
      <c r="GLG2" s="306"/>
      <c r="GLH2" s="306"/>
      <c r="GLI2" s="306"/>
      <c r="GLJ2" s="306"/>
      <c r="GLK2" s="306"/>
      <c r="GLL2" s="306"/>
      <c r="GLM2" s="306"/>
      <c r="GLN2" s="306"/>
      <c r="GLO2" s="306"/>
      <c r="GLP2" s="306"/>
      <c r="GLQ2" s="306"/>
      <c r="GLR2" s="306"/>
      <c r="GLS2" s="306"/>
      <c r="GLT2" s="306"/>
      <c r="GLU2" s="306"/>
      <c r="GLV2" s="306"/>
      <c r="GLW2" s="306"/>
      <c r="GLX2" s="306"/>
      <c r="GLY2" s="306"/>
      <c r="GLZ2" s="306"/>
      <c r="GMA2" s="306"/>
      <c r="GMB2" s="306"/>
      <c r="GMC2" s="306"/>
      <c r="GMD2" s="306"/>
      <c r="GME2" s="306"/>
      <c r="GMF2" s="306"/>
      <c r="GMG2" s="306"/>
      <c r="GMH2" s="306"/>
      <c r="GMI2" s="306"/>
      <c r="GMJ2" s="306"/>
      <c r="GMK2" s="306"/>
      <c r="GML2" s="306"/>
      <c r="GMM2" s="306"/>
      <c r="GMN2" s="306"/>
      <c r="GMO2" s="306"/>
      <c r="GMP2" s="306"/>
      <c r="GMQ2" s="306"/>
      <c r="GMR2" s="306"/>
      <c r="GMS2" s="306"/>
      <c r="GMT2" s="306"/>
      <c r="GMU2" s="306"/>
      <c r="GMV2" s="306"/>
      <c r="GMW2" s="306"/>
      <c r="GMX2" s="306"/>
      <c r="GMY2" s="306"/>
      <c r="GMZ2" s="306"/>
      <c r="GNA2" s="306"/>
      <c r="GNB2" s="306"/>
      <c r="GNC2" s="306"/>
      <c r="GND2" s="306"/>
      <c r="GNE2" s="306"/>
      <c r="GNF2" s="306"/>
      <c r="GNG2" s="306"/>
      <c r="GNH2" s="306"/>
      <c r="GNI2" s="306"/>
      <c r="GNJ2" s="306"/>
      <c r="GNK2" s="306"/>
      <c r="GNL2" s="306"/>
      <c r="GNM2" s="306"/>
      <c r="GNN2" s="306"/>
      <c r="GNO2" s="306"/>
      <c r="GNP2" s="306"/>
      <c r="GNQ2" s="306"/>
      <c r="GNR2" s="306"/>
      <c r="GNS2" s="306"/>
      <c r="GNT2" s="306"/>
      <c r="GNU2" s="306"/>
      <c r="GNV2" s="306"/>
      <c r="GNW2" s="306"/>
      <c r="GNX2" s="306"/>
      <c r="GNY2" s="306"/>
      <c r="GNZ2" s="306"/>
      <c r="GOA2" s="306"/>
      <c r="GOB2" s="306"/>
      <c r="GOC2" s="306"/>
      <c r="GOD2" s="306"/>
      <c r="GOE2" s="306"/>
      <c r="GOF2" s="306"/>
      <c r="GOG2" s="306"/>
      <c r="GOH2" s="306"/>
      <c r="GOI2" s="306"/>
      <c r="GOJ2" s="306"/>
      <c r="GOK2" s="306"/>
      <c r="GOL2" s="306"/>
      <c r="GOM2" s="306"/>
      <c r="GON2" s="306"/>
      <c r="GOO2" s="306"/>
      <c r="GOP2" s="306"/>
      <c r="GOQ2" s="306"/>
      <c r="GOR2" s="306"/>
      <c r="GOS2" s="306"/>
      <c r="GOT2" s="306"/>
      <c r="GOU2" s="306"/>
      <c r="GOV2" s="306"/>
      <c r="GOW2" s="306"/>
      <c r="GOX2" s="306"/>
      <c r="GOY2" s="306"/>
      <c r="GOZ2" s="306"/>
      <c r="GPA2" s="306"/>
      <c r="GPB2" s="306"/>
      <c r="GPC2" s="306"/>
      <c r="GPD2" s="306"/>
      <c r="GPE2" s="306"/>
      <c r="GPF2" s="306"/>
      <c r="GPG2" s="306"/>
      <c r="GPH2" s="306"/>
      <c r="GPI2" s="306"/>
      <c r="GPJ2" s="306"/>
      <c r="GPK2" s="306"/>
      <c r="GPL2" s="306"/>
      <c r="GPM2" s="306"/>
      <c r="GPN2" s="306"/>
      <c r="GPO2" s="306"/>
      <c r="GPP2" s="306"/>
      <c r="GPQ2" s="306"/>
      <c r="GPR2" s="306"/>
      <c r="GPS2" s="306"/>
      <c r="GPT2" s="306"/>
      <c r="GPU2" s="306"/>
      <c r="GPV2" s="306"/>
      <c r="GPW2" s="306"/>
      <c r="GPX2" s="306"/>
      <c r="GPY2" s="306"/>
      <c r="GPZ2" s="306"/>
      <c r="GQA2" s="306"/>
      <c r="GQB2" s="306"/>
      <c r="GQC2" s="306"/>
      <c r="GQD2" s="306"/>
      <c r="GQE2" s="306"/>
      <c r="GQF2" s="306"/>
      <c r="GQG2" s="306"/>
      <c r="GQH2" s="306"/>
      <c r="GQI2" s="306"/>
      <c r="GQJ2" s="306"/>
      <c r="GQK2" s="306"/>
      <c r="GQL2" s="306"/>
      <c r="GQM2" s="306"/>
      <c r="GQN2" s="306"/>
      <c r="GQO2" s="306"/>
      <c r="GQP2" s="306"/>
      <c r="GQQ2" s="306"/>
      <c r="GQR2" s="306"/>
      <c r="GQS2" s="306"/>
      <c r="GQT2" s="306"/>
      <c r="GQU2" s="306"/>
      <c r="GQV2" s="306"/>
      <c r="GQW2" s="306"/>
      <c r="GQX2" s="306"/>
      <c r="GQY2" s="306"/>
      <c r="GQZ2" s="306"/>
      <c r="GRA2" s="306"/>
      <c r="GRB2" s="306"/>
      <c r="GRC2" s="306"/>
      <c r="GRD2" s="306"/>
      <c r="GRE2" s="306"/>
      <c r="GRF2" s="306"/>
      <c r="GRG2" s="306"/>
      <c r="GRH2" s="306"/>
      <c r="GRI2" s="306"/>
      <c r="GRJ2" s="306"/>
      <c r="GRK2" s="306"/>
      <c r="GRL2" s="306"/>
      <c r="GRM2" s="306"/>
      <c r="GRN2" s="306"/>
      <c r="GRO2" s="306"/>
      <c r="GRP2" s="306"/>
      <c r="GRQ2" s="306"/>
      <c r="GRR2" s="306"/>
      <c r="GRS2" s="306"/>
      <c r="GRT2" s="306"/>
      <c r="GRU2" s="306"/>
      <c r="GRV2" s="306"/>
      <c r="GRW2" s="306"/>
      <c r="GRX2" s="306"/>
      <c r="GRY2" s="306"/>
      <c r="GRZ2" s="306"/>
      <c r="GSA2" s="306"/>
      <c r="GSB2" s="306"/>
      <c r="GSC2" s="306"/>
      <c r="GSD2" s="306"/>
      <c r="GSE2" s="306"/>
      <c r="GSF2" s="306"/>
      <c r="GSG2" s="306"/>
      <c r="GSH2" s="306"/>
      <c r="GSI2" s="306"/>
      <c r="GSJ2" s="306"/>
      <c r="GSK2" s="306"/>
      <c r="GSL2" s="306"/>
      <c r="GSM2" s="306"/>
      <c r="GSN2" s="306"/>
      <c r="GSO2" s="306"/>
      <c r="GSP2" s="306"/>
      <c r="GSQ2" s="306"/>
      <c r="GSR2" s="306"/>
      <c r="GSS2" s="306"/>
      <c r="GST2" s="306"/>
      <c r="GSU2" s="306"/>
      <c r="GSV2" s="306"/>
      <c r="GSW2" s="306"/>
      <c r="GSX2" s="306"/>
      <c r="GSY2" s="306"/>
      <c r="GSZ2" s="306"/>
      <c r="GTA2" s="306"/>
      <c r="GTB2" s="306"/>
      <c r="GTC2" s="306"/>
      <c r="GTD2" s="306"/>
      <c r="GTE2" s="306"/>
      <c r="GTF2" s="306"/>
      <c r="GTG2" s="306"/>
      <c r="GTH2" s="306"/>
      <c r="GTI2" s="306"/>
      <c r="GTJ2" s="306"/>
      <c r="GTK2" s="306"/>
      <c r="GTL2" s="306"/>
      <c r="GTM2" s="306"/>
      <c r="GTN2" s="306"/>
      <c r="GTO2" s="306"/>
      <c r="GTP2" s="306"/>
      <c r="GTQ2" s="306"/>
      <c r="GTR2" s="306"/>
      <c r="GTS2" s="306"/>
      <c r="GTT2" s="306"/>
      <c r="GTU2" s="306"/>
      <c r="GTV2" s="306"/>
      <c r="GTW2" s="306"/>
      <c r="GTX2" s="306"/>
      <c r="GTY2" s="306"/>
      <c r="GTZ2" s="306"/>
      <c r="GUA2" s="306"/>
      <c r="GUB2" s="306"/>
      <c r="GUC2" s="306"/>
      <c r="GUD2" s="306"/>
      <c r="GUE2" s="306"/>
      <c r="GUF2" s="306"/>
      <c r="GUG2" s="306"/>
      <c r="GUH2" s="306"/>
      <c r="GUI2" s="306"/>
      <c r="GUJ2" s="306"/>
      <c r="GUK2" s="306"/>
      <c r="GUL2" s="306"/>
      <c r="GUM2" s="306"/>
      <c r="GUN2" s="306"/>
      <c r="GUO2" s="306"/>
      <c r="GUP2" s="306"/>
      <c r="GUQ2" s="306"/>
      <c r="GUR2" s="306"/>
      <c r="GUS2" s="306"/>
      <c r="GUT2" s="306"/>
      <c r="GUU2" s="306"/>
      <c r="GUV2" s="306"/>
      <c r="GUW2" s="306"/>
      <c r="GUX2" s="306"/>
      <c r="GUY2" s="306"/>
      <c r="GUZ2" s="306"/>
      <c r="GVA2" s="306"/>
      <c r="GVB2" s="306"/>
      <c r="GVC2" s="306"/>
      <c r="GVD2" s="306"/>
      <c r="GVE2" s="306"/>
      <c r="GVF2" s="306"/>
      <c r="GVG2" s="306"/>
      <c r="GVH2" s="306"/>
      <c r="GVI2" s="306"/>
      <c r="GVJ2" s="306"/>
      <c r="GVK2" s="306"/>
      <c r="GVL2" s="306"/>
      <c r="GVM2" s="306"/>
      <c r="GVN2" s="306"/>
      <c r="GVO2" s="306"/>
      <c r="GVP2" s="306"/>
      <c r="GVQ2" s="306"/>
      <c r="GVR2" s="306"/>
      <c r="GVS2" s="306"/>
      <c r="GVT2" s="306"/>
      <c r="GVU2" s="306"/>
      <c r="GVV2" s="306"/>
      <c r="GVW2" s="306"/>
      <c r="GVX2" s="306"/>
      <c r="GVY2" s="306"/>
      <c r="GVZ2" s="306"/>
      <c r="GWA2" s="306"/>
      <c r="GWB2" s="306"/>
      <c r="GWC2" s="306"/>
      <c r="GWD2" s="306"/>
      <c r="GWE2" s="306"/>
      <c r="GWF2" s="306"/>
      <c r="GWG2" s="306"/>
      <c r="GWH2" s="306"/>
      <c r="GWI2" s="306"/>
      <c r="GWJ2" s="306"/>
      <c r="GWK2" s="306"/>
      <c r="GWL2" s="306"/>
      <c r="GWM2" s="306"/>
      <c r="GWN2" s="306"/>
      <c r="GWO2" s="306"/>
      <c r="GWP2" s="306"/>
      <c r="GWQ2" s="306"/>
      <c r="GWR2" s="306"/>
      <c r="GWS2" s="306"/>
      <c r="GWT2" s="306"/>
      <c r="GWU2" s="306"/>
      <c r="GWV2" s="306"/>
      <c r="GWW2" s="306"/>
      <c r="GWX2" s="306"/>
      <c r="GWY2" s="306"/>
      <c r="GWZ2" s="306"/>
      <c r="GXA2" s="306"/>
      <c r="GXB2" s="306"/>
      <c r="GXC2" s="306"/>
      <c r="GXD2" s="306"/>
      <c r="GXE2" s="306"/>
      <c r="GXF2" s="306"/>
      <c r="GXG2" s="306"/>
      <c r="GXH2" s="306"/>
      <c r="GXI2" s="306"/>
      <c r="GXJ2" s="306"/>
      <c r="GXK2" s="306"/>
      <c r="GXL2" s="306"/>
      <c r="GXM2" s="306"/>
      <c r="GXN2" s="306"/>
      <c r="GXO2" s="306"/>
      <c r="GXP2" s="306"/>
      <c r="GXQ2" s="306"/>
      <c r="GXR2" s="306"/>
      <c r="GXS2" s="306"/>
      <c r="GXT2" s="306"/>
      <c r="GXU2" s="306"/>
      <c r="GXV2" s="306"/>
      <c r="GXW2" s="306"/>
      <c r="GXX2" s="306"/>
      <c r="GXY2" s="306"/>
      <c r="GXZ2" s="306"/>
      <c r="GYA2" s="306"/>
      <c r="GYB2" s="306"/>
      <c r="GYC2" s="306"/>
      <c r="GYD2" s="306"/>
      <c r="GYE2" s="306"/>
      <c r="GYF2" s="306"/>
      <c r="GYG2" s="306"/>
      <c r="GYH2" s="306"/>
      <c r="GYI2" s="306"/>
      <c r="GYJ2" s="306"/>
      <c r="GYK2" s="306"/>
      <c r="GYL2" s="306"/>
      <c r="GYM2" s="306"/>
      <c r="GYN2" s="306"/>
      <c r="GYO2" s="306"/>
      <c r="GYP2" s="306"/>
      <c r="GYQ2" s="306"/>
      <c r="GYR2" s="306"/>
      <c r="GYS2" s="306"/>
      <c r="GYT2" s="306"/>
      <c r="GYU2" s="306"/>
      <c r="GYV2" s="306"/>
      <c r="GYW2" s="306"/>
      <c r="GYX2" s="306"/>
      <c r="GYY2" s="306"/>
      <c r="GYZ2" s="306"/>
      <c r="GZA2" s="306"/>
      <c r="GZB2" s="306"/>
      <c r="GZC2" s="306"/>
      <c r="GZD2" s="306"/>
      <c r="GZE2" s="306"/>
      <c r="GZF2" s="306"/>
      <c r="GZG2" s="306"/>
      <c r="GZH2" s="306"/>
      <c r="GZI2" s="306"/>
      <c r="GZJ2" s="306"/>
      <c r="GZK2" s="306"/>
      <c r="GZL2" s="306"/>
      <c r="GZM2" s="306"/>
      <c r="GZN2" s="306"/>
      <c r="GZO2" s="306"/>
      <c r="GZP2" s="306"/>
      <c r="GZQ2" s="306"/>
      <c r="GZR2" s="306"/>
      <c r="GZS2" s="306"/>
      <c r="GZT2" s="306"/>
      <c r="GZU2" s="306"/>
      <c r="GZV2" s="306"/>
      <c r="GZW2" s="306"/>
      <c r="GZX2" s="306"/>
      <c r="GZY2" s="306"/>
      <c r="GZZ2" s="306"/>
      <c r="HAA2" s="306"/>
      <c r="HAB2" s="306"/>
      <c r="HAC2" s="306"/>
      <c r="HAD2" s="306"/>
      <c r="HAE2" s="306"/>
      <c r="HAF2" s="306"/>
      <c r="HAG2" s="306"/>
      <c r="HAH2" s="306"/>
      <c r="HAI2" s="306"/>
      <c r="HAJ2" s="306"/>
      <c r="HAK2" s="306"/>
      <c r="HAL2" s="306"/>
      <c r="HAM2" s="306"/>
      <c r="HAN2" s="306"/>
      <c r="HAO2" s="306"/>
      <c r="HAP2" s="306"/>
      <c r="HAQ2" s="306"/>
      <c r="HAR2" s="306"/>
      <c r="HAS2" s="306"/>
      <c r="HAT2" s="306"/>
      <c r="HAU2" s="306"/>
      <c r="HAV2" s="306"/>
      <c r="HAW2" s="306"/>
      <c r="HAX2" s="306"/>
      <c r="HAY2" s="306"/>
      <c r="HAZ2" s="306"/>
      <c r="HBA2" s="306"/>
      <c r="HBB2" s="306"/>
      <c r="HBC2" s="306"/>
      <c r="HBD2" s="306"/>
      <c r="HBE2" s="306"/>
      <c r="HBF2" s="306"/>
      <c r="HBG2" s="306"/>
      <c r="HBH2" s="306"/>
      <c r="HBI2" s="306"/>
      <c r="HBJ2" s="306"/>
      <c r="HBK2" s="306"/>
      <c r="HBL2" s="306"/>
      <c r="HBM2" s="306"/>
      <c r="HBN2" s="306"/>
      <c r="HBO2" s="306"/>
      <c r="HBP2" s="306"/>
      <c r="HBQ2" s="306"/>
      <c r="HBR2" s="306"/>
      <c r="HBS2" s="306"/>
      <c r="HBT2" s="306"/>
      <c r="HBU2" s="306"/>
      <c r="HBV2" s="306"/>
      <c r="HBW2" s="306"/>
      <c r="HBX2" s="306"/>
      <c r="HBY2" s="306"/>
      <c r="HBZ2" s="306"/>
      <c r="HCA2" s="306"/>
      <c r="HCB2" s="306"/>
      <c r="HCC2" s="306"/>
      <c r="HCD2" s="306"/>
      <c r="HCE2" s="306"/>
      <c r="HCF2" s="306"/>
      <c r="HCG2" s="306"/>
      <c r="HCH2" s="306"/>
      <c r="HCI2" s="306"/>
      <c r="HCJ2" s="306"/>
      <c r="HCK2" s="306"/>
      <c r="HCL2" s="306"/>
      <c r="HCM2" s="306"/>
      <c r="HCN2" s="306"/>
      <c r="HCO2" s="306"/>
      <c r="HCP2" s="306"/>
      <c r="HCQ2" s="306"/>
      <c r="HCR2" s="306"/>
      <c r="HCS2" s="306"/>
      <c r="HCT2" s="306"/>
      <c r="HCU2" s="306"/>
      <c r="HCV2" s="306"/>
      <c r="HCW2" s="306"/>
      <c r="HCX2" s="306"/>
      <c r="HCY2" s="306"/>
      <c r="HCZ2" s="306"/>
      <c r="HDA2" s="306"/>
      <c r="HDB2" s="306"/>
      <c r="HDC2" s="306"/>
      <c r="HDD2" s="306"/>
      <c r="HDE2" s="306"/>
      <c r="HDF2" s="306"/>
      <c r="HDG2" s="306"/>
      <c r="HDH2" s="306"/>
      <c r="HDI2" s="306"/>
      <c r="HDJ2" s="306"/>
      <c r="HDK2" s="306"/>
      <c r="HDL2" s="306"/>
      <c r="HDM2" s="306"/>
      <c r="HDN2" s="306"/>
      <c r="HDO2" s="306"/>
      <c r="HDP2" s="306"/>
      <c r="HDQ2" s="306"/>
      <c r="HDR2" s="306"/>
      <c r="HDS2" s="306"/>
      <c r="HDT2" s="306"/>
      <c r="HDU2" s="306"/>
      <c r="HDV2" s="306"/>
      <c r="HDW2" s="306"/>
      <c r="HDX2" s="306"/>
      <c r="HDY2" s="306"/>
      <c r="HDZ2" s="306"/>
      <c r="HEA2" s="306"/>
      <c r="HEB2" s="306"/>
      <c r="HEC2" s="306"/>
      <c r="HED2" s="306"/>
      <c r="HEE2" s="306"/>
      <c r="HEF2" s="306"/>
      <c r="HEG2" s="306"/>
      <c r="HEH2" s="306"/>
      <c r="HEI2" s="306"/>
      <c r="HEJ2" s="306"/>
      <c r="HEK2" s="306"/>
      <c r="HEL2" s="306"/>
      <c r="HEM2" s="306"/>
      <c r="HEN2" s="306"/>
      <c r="HEO2" s="306"/>
      <c r="HEP2" s="306"/>
      <c r="HEQ2" s="306"/>
      <c r="HER2" s="306"/>
      <c r="HES2" s="306"/>
      <c r="HET2" s="306"/>
      <c r="HEU2" s="306"/>
      <c r="HEV2" s="306"/>
      <c r="HEW2" s="306"/>
      <c r="HEX2" s="306"/>
      <c r="HEY2" s="306"/>
      <c r="HEZ2" s="306"/>
      <c r="HFA2" s="306"/>
      <c r="HFB2" s="306"/>
      <c r="HFC2" s="306"/>
      <c r="HFD2" s="306"/>
      <c r="HFE2" s="306"/>
      <c r="HFF2" s="306"/>
      <c r="HFG2" s="306"/>
      <c r="HFH2" s="306"/>
      <c r="HFI2" s="306"/>
      <c r="HFJ2" s="306"/>
      <c r="HFK2" s="306"/>
      <c r="HFL2" s="306"/>
      <c r="HFM2" s="306"/>
      <c r="HFN2" s="306"/>
      <c r="HFO2" s="306"/>
      <c r="HFP2" s="306"/>
      <c r="HFQ2" s="306"/>
      <c r="HFR2" s="306"/>
      <c r="HFS2" s="306"/>
      <c r="HFT2" s="306"/>
      <c r="HFU2" s="306"/>
      <c r="HFV2" s="306"/>
      <c r="HFW2" s="306"/>
      <c r="HFX2" s="306"/>
      <c r="HFY2" s="306"/>
      <c r="HFZ2" s="306"/>
      <c r="HGA2" s="306"/>
      <c r="HGB2" s="306"/>
      <c r="HGC2" s="306"/>
      <c r="HGD2" s="306"/>
      <c r="HGE2" s="306"/>
      <c r="HGF2" s="306"/>
      <c r="HGG2" s="306"/>
      <c r="HGH2" s="306"/>
      <c r="HGI2" s="306"/>
      <c r="HGJ2" s="306"/>
      <c r="HGK2" s="306"/>
      <c r="HGL2" s="306"/>
      <c r="HGM2" s="306"/>
      <c r="HGN2" s="306"/>
      <c r="HGO2" s="306"/>
      <c r="HGP2" s="306"/>
      <c r="HGQ2" s="306"/>
      <c r="HGR2" s="306"/>
      <c r="HGS2" s="306"/>
      <c r="HGT2" s="306"/>
      <c r="HGU2" s="306"/>
      <c r="HGV2" s="306"/>
      <c r="HGW2" s="306"/>
      <c r="HGX2" s="306"/>
      <c r="HGY2" s="306"/>
      <c r="HGZ2" s="306"/>
      <c r="HHA2" s="306"/>
      <c r="HHB2" s="306"/>
      <c r="HHC2" s="306"/>
      <c r="HHD2" s="306"/>
      <c r="HHE2" s="306"/>
      <c r="HHF2" s="306"/>
      <c r="HHG2" s="306"/>
      <c r="HHH2" s="306"/>
      <c r="HHI2" s="306"/>
      <c r="HHJ2" s="306"/>
      <c r="HHK2" s="306"/>
      <c r="HHL2" s="306"/>
      <c r="HHM2" s="306"/>
      <c r="HHN2" s="306"/>
      <c r="HHO2" s="306"/>
      <c r="HHP2" s="306"/>
      <c r="HHQ2" s="306"/>
      <c r="HHR2" s="306"/>
      <c r="HHS2" s="306"/>
      <c r="HHT2" s="306"/>
      <c r="HHU2" s="306"/>
      <c r="HHV2" s="306"/>
      <c r="HHW2" s="306"/>
      <c r="HHX2" s="306"/>
      <c r="HHY2" s="306"/>
      <c r="HHZ2" s="306"/>
      <c r="HIA2" s="306"/>
      <c r="HIB2" s="306"/>
      <c r="HIC2" s="306"/>
      <c r="HID2" s="306"/>
      <c r="HIE2" s="306"/>
      <c r="HIF2" s="306"/>
      <c r="HIG2" s="306"/>
      <c r="HIH2" s="306"/>
      <c r="HII2" s="306"/>
      <c r="HIJ2" s="306"/>
      <c r="HIK2" s="306"/>
      <c r="HIL2" s="306"/>
      <c r="HIM2" s="306"/>
      <c r="HIN2" s="306"/>
      <c r="HIO2" s="306"/>
      <c r="HIP2" s="306"/>
      <c r="HIQ2" s="306"/>
      <c r="HIR2" s="306"/>
      <c r="HIS2" s="306"/>
      <c r="HIT2" s="306"/>
      <c r="HIU2" s="306"/>
      <c r="HIV2" s="306"/>
      <c r="HIW2" s="306"/>
      <c r="HIX2" s="306"/>
      <c r="HIY2" s="306"/>
      <c r="HIZ2" s="306"/>
      <c r="HJA2" s="306"/>
      <c r="HJB2" s="306"/>
      <c r="HJC2" s="306"/>
      <c r="HJD2" s="306"/>
      <c r="HJE2" s="306"/>
      <c r="HJF2" s="306"/>
      <c r="HJG2" s="306"/>
      <c r="HJH2" s="306"/>
      <c r="HJI2" s="306"/>
      <c r="HJJ2" s="306"/>
      <c r="HJK2" s="306"/>
      <c r="HJL2" s="306"/>
      <c r="HJM2" s="306"/>
      <c r="HJN2" s="306"/>
      <c r="HJO2" s="306"/>
      <c r="HJP2" s="306"/>
      <c r="HJQ2" s="306"/>
      <c r="HJR2" s="306"/>
      <c r="HJS2" s="306"/>
      <c r="HJT2" s="306"/>
      <c r="HJU2" s="306"/>
      <c r="HJV2" s="306"/>
      <c r="HJW2" s="306"/>
      <c r="HJX2" s="306"/>
      <c r="HJY2" s="306"/>
      <c r="HJZ2" s="306"/>
      <c r="HKA2" s="306"/>
      <c r="HKB2" s="306"/>
      <c r="HKC2" s="306"/>
      <c r="HKD2" s="306"/>
      <c r="HKE2" s="306"/>
      <c r="HKF2" s="306"/>
      <c r="HKG2" s="306"/>
      <c r="HKH2" s="306"/>
      <c r="HKI2" s="306"/>
      <c r="HKJ2" s="306"/>
      <c r="HKK2" s="306"/>
      <c r="HKL2" s="306"/>
      <c r="HKM2" s="306"/>
      <c r="HKN2" s="306"/>
      <c r="HKO2" s="306"/>
      <c r="HKP2" s="306"/>
      <c r="HKQ2" s="306"/>
      <c r="HKR2" s="306"/>
      <c r="HKS2" s="306"/>
      <c r="HKT2" s="306"/>
      <c r="HKU2" s="306"/>
      <c r="HKV2" s="306"/>
      <c r="HKW2" s="306"/>
      <c r="HKX2" s="306"/>
      <c r="HKY2" s="306"/>
      <c r="HKZ2" s="306"/>
      <c r="HLA2" s="306"/>
      <c r="HLB2" s="306"/>
      <c r="HLC2" s="306"/>
      <c r="HLD2" s="306"/>
      <c r="HLE2" s="306"/>
      <c r="HLF2" s="306"/>
      <c r="HLG2" s="306"/>
      <c r="HLH2" s="306"/>
      <c r="HLI2" s="306"/>
      <c r="HLJ2" s="306"/>
      <c r="HLK2" s="306"/>
      <c r="HLL2" s="306"/>
      <c r="HLM2" s="306"/>
      <c r="HLN2" s="306"/>
      <c r="HLO2" s="306"/>
      <c r="HLP2" s="306"/>
      <c r="HLQ2" s="306"/>
      <c r="HLR2" s="306"/>
      <c r="HLS2" s="306"/>
      <c r="HLT2" s="306"/>
      <c r="HLU2" s="306"/>
      <c r="HLV2" s="306"/>
      <c r="HLW2" s="306"/>
      <c r="HLX2" s="306"/>
      <c r="HLY2" s="306"/>
      <c r="HLZ2" s="306"/>
      <c r="HMA2" s="306"/>
      <c r="HMB2" s="306"/>
      <c r="HMC2" s="306"/>
      <c r="HMD2" s="306"/>
      <c r="HME2" s="306"/>
      <c r="HMF2" s="306"/>
      <c r="HMG2" s="306"/>
      <c r="HMH2" s="306"/>
      <c r="HMI2" s="306"/>
      <c r="HMJ2" s="306"/>
      <c r="HMK2" s="306"/>
      <c r="HML2" s="306"/>
      <c r="HMM2" s="306"/>
      <c r="HMN2" s="306"/>
      <c r="HMO2" s="306"/>
      <c r="HMP2" s="306"/>
      <c r="HMQ2" s="306"/>
      <c r="HMR2" s="306"/>
      <c r="HMS2" s="306"/>
      <c r="HMT2" s="306"/>
      <c r="HMU2" s="306"/>
      <c r="HMV2" s="306"/>
      <c r="HMW2" s="306"/>
      <c r="HMX2" s="306"/>
      <c r="HMY2" s="306"/>
      <c r="HMZ2" s="306"/>
      <c r="HNA2" s="306"/>
      <c r="HNB2" s="306"/>
      <c r="HNC2" s="306"/>
      <c r="HND2" s="306"/>
      <c r="HNE2" s="306"/>
      <c r="HNF2" s="306"/>
      <c r="HNG2" s="306"/>
      <c r="HNH2" s="306"/>
      <c r="HNI2" s="306"/>
      <c r="HNJ2" s="306"/>
      <c r="HNK2" s="306"/>
      <c r="HNL2" s="306"/>
      <c r="HNM2" s="306"/>
      <c r="HNN2" s="306"/>
      <c r="HNO2" s="306"/>
      <c r="HNP2" s="306"/>
      <c r="HNQ2" s="306"/>
      <c r="HNR2" s="306"/>
      <c r="HNS2" s="306"/>
      <c r="HNT2" s="306"/>
      <c r="HNU2" s="306"/>
      <c r="HNV2" s="306"/>
      <c r="HNW2" s="306"/>
      <c r="HNX2" s="306"/>
      <c r="HNY2" s="306"/>
      <c r="HNZ2" s="306"/>
      <c r="HOA2" s="306"/>
      <c r="HOB2" s="306"/>
      <c r="HOC2" s="306"/>
      <c r="HOD2" s="306"/>
      <c r="HOE2" s="306"/>
      <c r="HOF2" s="306"/>
      <c r="HOG2" s="306"/>
      <c r="HOH2" s="306"/>
      <c r="HOI2" s="306"/>
      <c r="HOJ2" s="306"/>
      <c r="HOK2" s="306"/>
      <c r="HOL2" s="306"/>
      <c r="HOM2" s="306"/>
      <c r="HON2" s="306"/>
      <c r="HOO2" s="306"/>
      <c r="HOP2" s="306"/>
      <c r="HOQ2" s="306"/>
      <c r="HOR2" s="306"/>
      <c r="HOS2" s="306"/>
      <c r="HOT2" s="306"/>
      <c r="HOU2" s="306"/>
      <c r="HOV2" s="306"/>
      <c r="HOW2" s="306"/>
      <c r="HOX2" s="306"/>
      <c r="HOY2" s="306"/>
      <c r="HOZ2" s="306"/>
      <c r="HPA2" s="306"/>
      <c r="HPB2" s="306"/>
      <c r="HPC2" s="306"/>
      <c r="HPD2" s="306"/>
      <c r="HPE2" s="306"/>
      <c r="HPF2" s="306"/>
      <c r="HPG2" s="306"/>
      <c r="HPH2" s="306"/>
      <c r="HPI2" s="306"/>
      <c r="HPJ2" s="306"/>
      <c r="HPK2" s="306"/>
      <c r="HPL2" s="306"/>
      <c r="HPM2" s="306"/>
      <c r="HPN2" s="306"/>
      <c r="HPO2" s="306"/>
      <c r="HPP2" s="306"/>
      <c r="HPQ2" s="306"/>
      <c r="HPR2" s="306"/>
      <c r="HPS2" s="306"/>
      <c r="HPT2" s="306"/>
      <c r="HPU2" s="306"/>
      <c r="HPV2" s="306"/>
      <c r="HPW2" s="306"/>
      <c r="HPX2" s="306"/>
      <c r="HPY2" s="306"/>
      <c r="HPZ2" s="306"/>
      <c r="HQA2" s="306"/>
      <c r="HQB2" s="306"/>
      <c r="HQC2" s="306"/>
      <c r="HQD2" s="306"/>
      <c r="HQE2" s="306"/>
      <c r="HQF2" s="306"/>
      <c r="HQG2" s="306"/>
      <c r="HQH2" s="306"/>
      <c r="HQI2" s="306"/>
      <c r="HQJ2" s="306"/>
      <c r="HQK2" s="306"/>
      <c r="HQL2" s="306"/>
      <c r="HQM2" s="306"/>
      <c r="HQN2" s="306"/>
      <c r="HQO2" s="306"/>
      <c r="HQP2" s="306"/>
      <c r="HQQ2" s="306"/>
      <c r="HQR2" s="306"/>
      <c r="HQS2" s="306"/>
      <c r="HQT2" s="306"/>
      <c r="HQU2" s="306"/>
      <c r="HQV2" s="306"/>
      <c r="HQW2" s="306"/>
      <c r="HQX2" s="306"/>
      <c r="HQY2" s="306"/>
      <c r="HQZ2" s="306"/>
      <c r="HRA2" s="306"/>
      <c r="HRB2" s="306"/>
      <c r="HRC2" s="306"/>
      <c r="HRD2" s="306"/>
      <c r="HRE2" s="306"/>
      <c r="HRF2" s="306"/>
      <c r="HRG2" s="306"/>
      <c r="HRH2" s="306"/>
      <c r="HRI2" s="306"/>
      <c r="HRJ2" s="306"/>
      <c r="HRK2" s="306"/>
      <c r="HRL2" s="306"/>
      <c r="HRM2" s="306"/>
      <c r="HRN2" s="306"/>
      <c r="HRO2" s="306"/>
      <c r="HRP2" s="306"/>
      <c r="HRQ2" s="306"/>
      <c r="HRR2" s="306"/>
      <c r="HRS2" s="306"/>
      <c r="HRT2" s="306"/>
      <c r="HRU2" s="306"/>
      <c r="HRV2" s="306"/>
      <c r="HRW2" s="306"/>
      <c r="HRX2" s="306"/>
      <c r="HRY2" s="306"/>
      <c r="HRZ2" s="306"/>
      <c r="HSA2" s="306"/>
      <c r="HSB2" s="306"/>
      <c r="HSC2" s="306"/>
      <c r="HSD2" s="306"/>
      <c r="HSE2" s="306"/>
      <c r="HSF2" s="306"/>
      <c r="HSG2" s="306"/>
      <c r="HSH2" s="306"/>
      <c r="HSI2" s="306"/>
      <c r="HSJ2" s="306"/>
      <c r="HSK2" s="306"/>
      <c r="HSL2" s="306"/>
      <c r="HSM2" s="306"/>
      <c r="HSN2" s="306"/>
      <c r="HSO2" s="306"/>
      <c r="HSP2" s="306"/>
      <c r="HSQ2" s="306"/>
      <c r="HSR2" s="306"/>
      <c r="HSS2" s="306"/>
      <c r="HST2" s="306"/>
      <c r="HSU2" s="306"/>
      <c r="HSV2" s="306"/>
      <c r="HSW2" s="306"/>
      <c r="HSX2" s="306"/>
      <c r="HSY2" s="306"/>
      <c r="HSZ2" s="306"/>
      <c r="HTA2" s="306"/>
      <c r="HTB2" s="306"/>
      <c r="HTC2" s="306"/>
      <c r="HTD2" s="306"/>
      <c r="HTE2" s="306"/>
      <c r="HTF2" s="306"/>
      <c r="HTG2" s="306"/>
      <c r="HTH2" s="306"/>
      <c r="HTI2" s="306"/>
      <c r="HTJ2" s="306"/>
      <c r="HTK2" s="306"/>
      <c r="HTL2" s="306"/>
      <c r="HTM2" s="306"/>
      <c r="HTN2" s="306"/>
      <c r="HTO2" s="306"/>
      <c r="HTP2" s="306"/>
      <c r="HTQ2" s="306"/>
      <c r="HTR2" s="306"/>
      <c r="HTS2" s="306"/>
      <c r="HTT2" s="306"/>
      <c r="HTU2" s="306"/>
      <c r="HTV2" s="306"/>
      <c r="HTW2" s="306"/>
      <c r="HTX2" s="306"/>
      <c r="HTY2" s="306"/>
      <c r="HTZ2" s="306"/>
      <c r="HUA2" s="306"/>
      <c r="HUB2" s="306"/>
      <c r="HUC2" s="306"/>
      <c r="HUD2" s="306"/>
      <c r="HUE2" s="306"/>
      <c r="HUF2" s="306"/>
      <c r="HUG2" s="306"/>
      <c r="HUH2" s="306"/>
      <c r="HUI2" s="306"/>
      <c r="HUJ2" s="306"/>
      <c r="HUK2" s="306"/>
      <c r="HUL2" s="306"/>
      <c r="HUM2" s="306"/>
      <c r="HUN2" s="306"/>
      <c r="HUO2" s="306"/>
      <c r="HUP2" s="306"/>
      <c r="HUQ2" s="306"/>
      <c r="HUR2" s="306"/>
      <c r="HUS2" s="306"/>
      <c r="HUT2" s="306"/>
      <c r="HUU2" s="306"/>
      <c r="HUV2" s="306"/>
      <c r="HUW2" s="306"/>
      <c r="HUX2" s="306"/>
      <c r="HUY2" s="306"/>
      <c r="HUZ2" s="306"/>
      <c r="HVA2" s="306"/>
      <c r="HVB2" s="306"/>
      <c r="HVC2" s="306"/>
      <c r="HVD2" s="306"/>
      <c r="HVE2" s="306"/>
      <c r="HVF2" s="306"/>
      <c r="HVG2" s="306"/>
      <c r="HVH2" s="306"/>
      <c r="HVI2" s="306"/>
      <c r="HVJ2" s="306"/>
      <c r="HVK2" s="306"/>
      <c r="HVL2" s="306"/>
      <c r="HVM2" s="306"/>
      <c r="HVN2" s="306"/>
      <c r="HVO2" s="306"/>
      <c r="HVP2" s="306"/>
      <c r="HVQ2" s="306"/>
      <c r="HVR2" s="306"/>
      <c r="HVS2" s="306"/>
      <c r="HVT2" s="306"/>
      <c r="HVU2" s="306"/>
      <c r="HVV2" s="306"/>
      <c r="HVW2" s="306"/>
      <c r="HVX2" s="306"/>
      <c r="HVY2" s="306"/>
      <c r="HVZ2" s="306"/>
      <c r="HWA2" s="306"/>
      <c r="HWB2" s="306"/>
      <c r="HWC2" s="306"/>
      <c r="HWD2" s="306"/>
      <c r="HWE2" s="306"/>
      <c r="HWF2" s="306"/>
      <c r="HWG2" s="306"/>
      <c r="HWH2" s="306"/>
      <c r="HWI2" s="306"/>
      <c r="HWJ2" s="306"/>
      <c r="HWK2" s="306"/>
      <c r="HWL2" s="306"/>
      <c r="HWM2" s="306"/>
      <c r="HWN2" s="306"/>
      <c r="HWO2" s="306"/>
      <c r="HWP2" s="306"/>
      <c r="HWQ2" s="306"/>
      <c r="HWR2" s="306"/>
      <c r="HWS2" s="306"/>
      <c r="HWT2" s="306"/>
      <c r="HWU2" s="306"/>
      <c r="HWV2" s="306"/>
      <c r="HWW2" s="306"/>
      <c r="HWX2" s="306"/>
      <c r="HWY2" s="306"/>
      <c r="HWZ2" s="306"/>
      <c r="HXA2" s="306"/>
      <c r="HXB2" s="306"/>
      <c r="HXC2" s="306"/>
      <c r="HXD2" s="306"/>
      <c r="HXE2" s="306"/>
      <c r="HXF2" s="306"/>
      <c r="HXG2" s="306"/>
      <c r="HXH2" s="306"/>
      <c r="HXI2" s="306"/>
      <c r="HXJ2" s="306"/>
      <c r="HXK2" s="306"/>
      <c r="HXL2" s="306"/>
      <c r="HXM2" s="306"/>
      <c r="HXN2" s="306"/>
      <c r="HXO2" s="306"/>
      <c r="HXP2" s="306"/>
      <c r="HXQ2" s="306"/>
      <c r="HXR2" s="306"/>
      <c r="HXS2" s="306"/>
      <c r="HXT2" s="306"/>
      <c r="HXU2" s="306"/>
      <c r="HXV2" s="306"/>
      <c r="HXW2" s="306"/>
      <c r="HXX2" s="306"/>
      <c r="HXY2" s="306"/>
      <c r="HXZ2" s="306"/>
      <c r="HYA2" s="306"/>
      <c r="HYB2" s="306"/>
      <c r="HYC2" s="306"/>
      <c r="HYD2" s="306"/>
      <c r="HYE2" s="306"/>
      <c r="HYF2" s="306"/>
      <c r="HYG2" s="306"/>
      <c r="HYH2" s="306"/>
      <c r="HYI2" s="306"/>
      <c r="HYJ2" s="306"/>
      <c r="HYK2" s="306"/>
      <c r="HYL2" s="306"/>
      <c r="HYM2" s="306"/>
      <c r="HYN2" s="306"/>
      <c r="HYO2" s="306"/>
      <c r="HYP2" s="306"/>
      <c r="HYQ2" s="306"/>
      <c r="HYR2" s="306"/>
      <c r="HYS2" s="306"/>
      <c r="HYT2" s="306"/>
      <c r="HYU2" s="306"/>
      <c r="HYV2" s="306"/>
      <c r="HYW2" s="306"/>
      <c r="HYX2" s="306"/>
      <c r="HYY2" s="306"/>
      <c r="HYZ2" s="306"/>
      <c r="HZA2" s="306"/>
      <c r="HZB2" s="306"/>
      <c r="HZC2" s="306"/>
      <c r="HZD2" s="306"/>
      <c r="HZE2" s="306"/>
      <c r="HZF2" s="306"/>
      <c r="HZG2" s="306"/>
      <c r="HZH2" s="306"/>
      <c r="HZI2" s="306"/>
      <c r="HZJ2" s="306"/>
      <c r="HZK2" s="306"/>
      <c r="HZL2" s="306"/>
      <c r="HZM2" s="306"/>
      <c r="HZN2" s="306"/>
      <c r="HZO2" s="306"/>
      <c r="HZP2" s="306"/>
      <c r="HZQ2" s="306"/>
      <c r="HZR2" s="306"/>
      <c r="HZS2" s="306"/>
      <c r="HZT2" s="306"/>
      <c r="HZU2" s="306"/>
      <c r="HZV2" s="306"/>
      <c r="HZW2" s="306"/>
      <c r="HZX2" s="306"/>
      <c r="HZY2" s="306"/>
      <c r="HZZ2" s="306"/>
      <c r="IAA2" s="306"/>
      <c r="IAB2" s="306"/>
      <c r="IAC2" s="306"/>
      <c r="IAD2" s="306"/>
      <c r="IAE2" s="306"/>
      <c r="IAF2" s="306"/>
      <c r="IAG2" s="306"/>
      <c r="IAH2" s="306"/>
      <c r="IAI2" s="306"/>
      <c r="IAJ2" s="306"/>
      <c r="IAK2" s="306"/>
      <c r="IAL2" s="306"/>
      <c r="IAM2" s="306"/>
      <c r="IAN2" s="306"/>
      <c r="IAO2" s="306"/>
      <c r="IAP2" s="306"/>
      <c r="IAQ2" s="306"/>
      <c r="IAR2" s="306"/>
      <c r="IAS2" s="306"/>
      <c r="IAT2" s="306"/>
      <c r="IAU2" s="306"/>
      <c r="IAV2" s="306"/>
      <c r="IAW2" s="306"/>
      <c r="IAX2" s="306"/>
      <c r="IAY2" s="306"/>
      <c r="IAZ2" s="306"/>
      <c r="IBA2" s="306"/>
      <c r="IBB2" s="306"/>
      <c r="IBC2" s="306"/>
      <c r="IBD2" s="306"/>
      <c r="IBE2" s="306"/>
      <c r="IBF2" s="306"/>
      <c r="IBG2" s="306"/>
      <c r="IBH2" s="306"/>
      <c r="IBI2" s="306"/>
      <c r="IBJ2" s="306"/>
      <c r="IBK2" s="306"/>
      <c r="IBL2" s="306"/>
      <c r="IBM2" s="306"/>
      <c r="IBN2" s="306"/>
      <c r="IBO2" s="306"/>
      <c r="IBP2" s="306"/>
      <c r="IBQ2" s="306"/>
      <c r="IBR2" s="306"/>
      <c r="IBS2" s="306"/>
      <c r="IBT2" s="306"/>
      <c r="IBU2" s="306"/>
      <c r="IBV2" s="306"/>
      <c r="IBW2" s="306"/>
      <c r="IBX2" s="306"/>
      <c r="IBY2" s="306"/>
      <c r="IBZ2" s="306"/>
      <c r="ICA2" s="306"/>
      <c r="ICB2" s="306"/>
      <c r="ICC2" s="306"/>
      <c r="ICD2" s="306"/>
      <c r="ICE2" s="306"/>
      <c r="ICF2" s="306"/>
      <c r="ICG2" s="306"/>
      <c r="ICH2" s="306"/>
      <c r="ICI2" s="306"/>
      <c r="ICJ2" s="306"/>
      <c r="ICK2" s="306"/>
      <c r="ICL2" s="306"/>
      <c r="ICM2" s="306"/>
      <c r="ICN2" s="306"/>
      <c r="ICO2" s="306"/>
      <c r="ICP2" s="306"/>
      <c r="ICQ2" s="306"/>
      <c r="ICR2" s="306"/>
      <c r="ICS2" s="306"/>
      <c r="ICT2" s="306"/>
      <c r="ICU2" s="306"/>
      <c r="ICV2" s="306"/>
      <c r="ICW2" s="306"/>
      <c r="ICX2" s="306"/>
      <c r="ICY2" s="306"/>
      <c r="ICZ2" s="306"/>
      <c r="IDA2" s="306"/>
      <c r="IDB2" s="306"/>
      <c r="IDC2" s="306"/>
      <c r="IDD2" s="306"/>
      <c r="IDE2" s="306"/>
      <c r="IDF2" s="306"/>
      <c r="IDG2" s="306"/>
      <c r="IDH2" s="306"/>
      <c r="IDI2" s="306"/>
      <c r="IDJ2" s="306"/>
      <c r="IDK2" s="306"/>
      <c r="IDL2" s="306"/>
      <c r="IDM2" s="306"/>
      <c r="IDN2" s="306"/>
      <c r="IDO2" s="306"/>
      <c r="IDP2" s="306"/>
      <c r="IDQ2" s="306"/>
      <c r="IDR2" s="306"/>
      <c r="IDS2" s="306"/>
      <c r="IDT2" s="306"/>
      <c r="IDU2" s="306"/>
      <c r="IDV2" s="306"/>
      <c r="IDW2" s="306"/>
      <c r="IDX2" s="306"/>
      <c r="IDY2" s="306"/>
      <c r="IDZ2" s="306"/>
      <c r="IEA2" s="306"/>
      <c r="IEB2" s="306"/>
      <c r="IEC2" s="306"/>
      <c r="IED2" s="306"/>
      <c r="IEE2" s="306"/>
      <c r="IEF2" s="306"/>
      <c r="IEG2" s="306"/>
      <c r="IEH2" s="306"/>
      <c r="IEI2" s="306"/>
      <c r="IEJ2" s="306"/>
      <c r="IEK2" s="306"/>
      <c r="IEL2" s="306"/>
      <c r="IEM2" s="306"/>
      <c r="IEN2" s="306"/>
      <c r="IEO2" s="306"/>
      <c r="IEP2" s="306"/>
      <c r="IEQ2" s="306"/>
      <c r="IER2" s="306"/>
      <c r="IES2" s="306"/>
      <c r="IET2" s="306"/>
      <c r="IEU2" s="306"/>
      <c r="IEV2" s="306"/>
      <c r="IEW2" s="306"/>
      <c r="IEX2" s="306"/>
      <c r="IEY2" s="306"/>
      <c r="IEZ2" s="306"/>
      <c r="IFA2" s="306"/>
      <c r="IFB2" s="306"/>
      <c r="IFC2" s="306"/>
      <c r="IFD2" s="306"/>
      <c r="IFE2" s="306"/>
      <c r="IFF2" s="306"/>
      <c r="IFG2" s="306"/>
      <c r="IFH2" s="306"/>
      <c r="IFI2" s="306"/>
      <c r="IFJ2" s="306"/>
      <c r="IFK2" s="306"/>
      <c r="IFL2" s="306"/>
      <c r="IFM2" s="306"/>
      <c r="IFN2" s="306"/>
      <c r="IFO2" s="306"/>
      <c r="IFP2" s="306"/>
      <c r="IFQ2" s="306"/>
      <c r="IFR2" s="306"/>
      <c r="IFS2" s="306"/>
      <c r="IFT2" s="306"/>
      <c r="IFU2" s="306"/>
      <c r="IFV2" s="306"/>
      <c r="IFW2" s="306"/>
      <c r="IFX2" s="306"/>
      <c r="IFY2" s="306"/>
      <c r="IFZ2" s="306"/>
      <c r="IGA2" s="306"/>
      <c r="IGB2" s="306"/>
      <c r="IGC2" s="306"/>
      <c r="IGD2" s="306"/>
      <c r="IGE2" s="306"/>
      <c r="IGF2" s="306"/>
      <c r="IGG2" s="306"/>
      <c r="IGH2" s="306"/>
      <c r="IGI2" s="306"/>
      <c r="IGJ2" s="306"/>
      <c r="IGK2" s="306"/>
      <c r="IGL2" s="306"/>
      <c r="IGM2" s="306"/>
      <c r="IGN2" s="306"/>
      <c r="IGO2" s="306"/>
      <c r="IGP2" s="306"/>
      <c r="IGQ2" s="306"/>
      <c r="IGR2" s="306"/>
      <c r="IGS2" s="306"/>
      <c r="IGT2" s="306"/>
      <c r="IGU2" s="306"/>
      <c r="IGV2" s="306"/>
      <c r="IGW2" s="306"/>
      <c r="IGX2" s="306"/>
      <c r="IGY2" s="306"/>
      <c r="IGZ2" s="306"/>
      <c r="IHA2" s="306"/>
      <c r="IHB2" s="306"/>
      <c r="IHC2" s="306"/>
      <c r="IHD2" s="306"/>
      <c r="IHE2" s="306"/>
      <c r="IHF2" s="306"/>
      <c r="IHG2" s="306"/>
      <c r="IHH2" s="306"/>
      <c r="IHI2" s="306"/>
      <c r="IHJ2" s="306"/>
      <c r="IHK2" s="306"/>
      <c r="IHL2" s="306"/>
      <c r="IHM2" s="306"/>
      <c r="IHN2" s="306"/>
      <c r="IHO2" s="306"/>
      <c r="IHP2" s="306"/>
      <c r="IHQ2" s="306"/>
      <c r="IHR2" s="306"/>
      <c r="IHS2" s="306"/>
      <c r="IHT2" s="306"/>
      <c r="IHU2" s="306"/>
      <c r="IHV2" s="306"/>
      <c r="IHW2" s="306"/>
      <c r="IHX2" s="306"/>
      <c r="IHY2" s="306"/>
      <c r="IHZ2" s="306"/>
      <c r="IIA2" s="306"/>
      <c r="IIB2" s="306"/>
      <c r="IIC2" s="306"/>
      <c r="IID2" s="306"/>
      <c r="IIE2" s="306"/>
      <c r="IIF2" s="306"/>
      <c r="IIG2" s="306"/>
      <c r="IIH2" s="306"/>
      <c r="III2" s="306"/>
      <c r="IIJ2" s="306"/>
      <c r="IIK2" s="306"/>
      <c r="IIL2" s="306"/>
      <c r="IIM2" s="306"/>
      <c r="IIN2" s="306"/>
      <c r="IIO2" s="306"/>
      <c r="IIP2" s="306"/>
      <c r="IIQ2" s="306"/>
      <c r="IIR2" s="306"/>
      <c r="IIS2" s="306"/>
      <c r="IIT2" s="306"/>
      <c r="IIU2" s="306"/>
      <c r="IIV2" s="306"/>
      <c r="IIW2" s="306"/>
      <c r="IIX2" s="306"/>
      <c r="IIY2" s="306"/>
      <c r="IIZ2" s="306"/>
      <c r="IJA2" s="306"/>
      <c r="IJB2" s="306"/>
      <c r="IJC2" s="306"/>
      <c r="IJD2" s="306"/>
      <c r="IJE2" s="306"/>
      <c r="IJF2" s="306"/>
      <c r="IJG2" s="306"/>
      <c r="IJH2" s="306"/>
      <c r="IJI2" s="306"/>
      <c r="IJJ2" s="306"/>
      <c r="IJK2" s="306"/>
      <c r="IJL2" s="306"/>
      <c r="IJM2" s="306"/>
      <c r="IJN2" s="306"/>
      <c r="IJO2" s="306"/>
      <c r="IJP2" s="306"/>
      <c r="IJQ2" s="306"/>
      <c r="IJR2" s="306"/>
      <c r="IJS2" s="306"/>
      <c r="IJT2" s="306"/>
      <c r="IJU2" s="306"/>
      <c r="IJV2" s="306"/>
      <c r="IJW2" s="306"/>
      <c r="IJX2" s="306"/>
      <c r="IJY2" s="306"/>
      <c r="IJZ2" s="306"/>
      <c r="IKA2" s="306"/>
      <c r="IKB2" s="306"/>
      <c r="IKC2" s="306"/>
      <c r="IKD2" s="306"/>
      <c r="IKE2" s="306"/>
      <c r="IKF2" s="306"/>
      <c r="IKG2" s="306"/>
      <c r="IKH2" s="306"/>
      <c r="IKI2" s="306"/>
      <c r="IKJ2" s="306"/>
      <c r="IKK2" s="306"/>
      <c r="IKL2" s="306"/>
      <c r="IKM2" s="306"/>
      <c r="IKN2" s="306"/>
      <c r="IKO2" s="306"/>
      <c r="IKP2" s="306"/>
      <c r="IKQ2" s="306"/>
      <c r="IKR2" s="306"/>
      <c r="IKS2" s="306"/>
      <c r="IKT2" s="306"/>
      <c r="IKU2" s="306"/>
      <c r="IKV2" s="306"/>
      <c r="IKW2" s="306"/>
      <c r="IKX2" s="306"/>
      <c r="IKY2" s="306"/>
      <c r="IKZ2" s="306"/>
      <c r="ILA2" s="306"/>
      <c r="ILB2" s="306"/>
      <c r="ILC2" s="306"/>
      <c r="ILD2" s="306"/>
      <c r="ILE2" s="306"/>
      <c r="ILF2" s="306"/>
      <c r="ILG2" s="306"/>
      <c r="ILH2" s="306"/>
      <c r="ILI2" s="306"/>
      <c r="ILJ2" s="306"/>
      <c r="ILK2" s="306"/>
      <c r="ILL2" s="306"/>
      <c r="ILM2" s="306"/>
      <c r="ILN2" s="306"/>
      <c r="ILO2" s="306"/>
      <c r="ILP2" s="306"/>
      <c r="ILQ2" s="306"/>
      <c r="ILR2" s="306"/>
      <c r="ILS2" s="306"/>
      <c r="ILT2" s="306"/>
      <c r="ILU2" s="306"/>
      <c r="ILV2" s="306"/>
      <c r="ILW2" s="306"/>
      <c r="ILX2" s="306"/>
      <c r="ILY2" s="306"/>
      <c r="ILZ2" s="306"/>
      <c r="IMA2" s="306"/>
      <c r="IMB2" s="306"/>
      <c r="IMC2" s="306"/>
      <c r="IMD2" s="306"/>
      <c r="IME2" s="306"/>
      <c r="IMF2" s="306"/>
      <c r="IMG2" s="306"/>
      <c r="IMH2" s="306"/>
      <c r="IMI2" s="306"/>
      <c r="IMJ2" s="306"/>
      <c r="IMK2" s="306"/>
      <c r="IML2" s="306"/>
      <c r="IMM2" s="306"/>
      <c r="IMN2" s="306"/>
      <c r="IMO2" s="306"/>
      <c r="IMP2" s="306"/>
      <c r="IMQ2" s="306"/>
      <c r="IMR2" s="306"/>
      <c r="IMS2" s="306"/>
      <c r="IMT2" s="306"/>
      <c r="IMU2" s="306"/>
      <c r="IMV2" s="306"/>
      <c r="IMW2" s="306"/>
      <c r="IMX2" s="306"/>
      <c r="IMY2" s="306"/>
      <c r="IMZ2" s="306"/>
      <c r="INA2" s="306"/>
      <c r="INB2" s="306"/>
      <c r="INC2" s="306"/>
      <c r="IND2" s="306"/>
      <c r="INE2" s="306"/>
      <c r="INF2" s="306"/>
      <c r="ING2" s="306"/>
      <c r="INH2" s="306"/>
      <c r="INI2" s="306"/>
      <c r="INJ2" s="306"/>
      <c r="INK2" s="306"/>
      <c r="INL2" s="306"/>
      <c r="INM2" s="306"/>
      <c r="INN2" s="306"/>
      <c r="INO2" s="306"/>
      <c r="INP2" s="306"/>
      <c r="INQ2" s="306"/>
      <c r="INR2" s="306"/>
      <c r="INS2" s="306"/>
      <c r="INT2" s="306"/>
      <c r="INU2" s="306"/>
      <c r="INV2" s="306"/>
      <c r="INW2" s="306"/>
      <c r="INX2" s="306"/>
      <c r="INY2" s="306"/>
      <c r="INZ2" s="306"/>
      <c r="IOA2" s="306"/>
      <c r="IOB2" s="306"/>
      <c r="IOC2" s="306"/>
      <c r="IOD2" s="306"/>
      <c r="IOE2" s="306"/>
      <c r="IOF2" s="306"/>
      <c r="IOG2" s="306"/>
      <c r="IOH2" s="306"/>
      <c r="IOI2" s="306"/>
      <c r="IOJ2" s="306"/>
      <c r="IOK2" s="306"/>
      <c r="IOL2" s="306"/>
      <c r="IOM2" s="306"/>
      <c r="ION2" s="306"/>
      <c r="IOO2" s="306"/>
      <c r="IOP2" s="306"/>
      <c r="IOQ2" s="306"/>
      <c r="IOR2" s="306"/>
      <c r="IOS2" s="306"/>
      <c r="IOT2" s="306"/>
      <c r="IOU2" s="306"/>
      <c r="IOV2" s="306"/>
      <c r="IOW2" s="306"/>
      <c r="IOX2" s="306"/>
      <c r="IOY2" s="306"/>
      <c r="IOZ2" s="306"/>
      <c r="IPA2" s="306"/>
      <c r="IPB2" s="306"/>
      <c r="IPC2" s="306"/>
      <c r="IPD2" s="306"/>
      <c r="IPE2" s="306"/>
      <c r="IPF2" s="306"/>
      <c r="IPG2" s="306"/>
      <c r="IPH2" s="306"/>
      <c r="IPI2" s="306"/>
      <c r="IPJ2" s="306"/>
      <c r="IPK2" s="306"/>
      <c r="IPL2" s="306"/>
      <c r="IPM2" s="306"/>
      <c r="IPN2" s="306"/>
      <c r="IPO2" s="306"/>
      <c r="IPP2" s="306"/>
      <c r="IPQ2" s="306"/>
      <c r="IPR2" s="306"/>
      <c r="IPS2" s="306"/>
      <c r="IPT2" s="306"/>
      <c r="IPU2" s="306"/>
      <c r="IPV2" s="306"/>
      <c r="IPW2" s="306"/>
      <c r="IPX2" s="306"/>
      <c r="IPY2" s="306"/>
      <c r="IPZ2" s="306"/>
      <c r="IQA2" s="306"/>
      <c r="IQB2" s="306"/>
      <c r="IQC2" s="306"/>
      <c r="IQD2" s="306"/>
      <c r="IQE2" s="306"/>
      <c r="IQF2" s="306"/>
      <c r="IQG2" s="306"/>
      <c r="IQH2" s="306"/>
      <c r="IQI2" s="306"/>
      <c r="IQJ2" s="306"/>
      <c r="IQK2" s="306"/>
      <c r="IQL2" s="306"/>
      <c r="IQM2" s="306"/>
      <c r="IQN2" s="306"/>
      <c r="IQO2" s="306"/>
      <c r="IQP2" s="306"/>
      <c r="IQQ2" s="306"/>
      <c r="IQR2" s="306"/>
      <c r="IQS2" s="306"/>
      <c r="IQT2" s="306"/>
      <c r="IQU2" s="306"/>
      <c r="IQV2" s="306"/>
      <c r="IQW2" s="306"/>
      <c r="IQX2" s="306"/>
      <c r="IQY2" s="306"/>
      <c r="IQZ2" s="306"/>
      <c r="IRA2" s="306"/>
      <c r="IRB2" s="306"/>
      <c r="IRC2" s="306"/>
      <c r="IRD2" s="306"/>
      <c r="IRE2" s="306"/>
      <c r="IRF2" s="306"/>
      <c r="IRG2" s="306"/>
      <c r="IRH2" s="306"/>
      <c r="IRI2" s="306"/>
      <c r="IRJ2" s="306"/>
      <c r="IRK2" s="306"/>
      <c r="IRL2" s="306"/>
      <c r="IRM2" s="306"/>
      <c r="IRN2" s="306"/>
      <c r="IRO2" s="306"/>
      <c r="IRP2" s="306"/>
      <c r="IRQ2" s="306"/>
      <c r="IRR2" s="306"/>
      <c r="IRS2" s="306"/>
      <c r="IRT2" s="306"/>
      <c r="IRU2" s="306"/>
      <c r="IRV2" s="306"/>
      <c r="IRW2" s="306"/>
      <c r="IRX2" s="306"/>
      <c r="IRY2" s="306"/>
      <c r="IRZ2" s="306"/>
      <c r="ISA2" s="306"/>
      <c r="ISB2" s="306"/>
      <c r="ISC2" s="306"/>
      <c r="ISD2" s="306"/>
      <c r="ISE2" s="306"/>
      <c r="ISF2" s="306"/>
      <c r="ISG2" s="306"/>
      <c r="ISH2" s="306"/>
      <c r="ISI2" s="306"/>
      <c r="ISJ2" s="306"/>
      <c r="ISK2" s="306"/>
      <c r="ISL2" s="306"/>
      <c r="ISM2" s="306"/>
      <c r="ISN2" s="306"/>
      <c r="ISO2" s="306"/>
      <c r="ISP2" s="306"/>
      <c r="ISQ2" s="306"/>
      <c r="ISR2" s="306"/>
      <c r="ISS2" s="306"/>
      <c r="IST2" s="306"/>
      <c r="ISU2" s="306"/>
      <c r="ISV2" s="306"/>
      <c r="ISW2" s="306"/>
      <c r="ISX2" s="306"/>
      <c r="ISY2" s="306"/>
      <c r="ISZ2" s="306"/>
      <c r="ITA2" s="306"/>
      <c r="ITB2" s="306"/>
      <c r="ITC2" s="306"/>
      <c r="ITD2" s="306"/>
      <c r="ITE2" s="306"/>
      <c r="ITF2" s="306"/>
      <c r="ITG2" s="306"/>
      <c r="ITH2" s="306"/>
      <c r="ITI2" s="306"/>
      <c r="ITJ2" s="306"/>
      <c r="ITK2" s="306"/>
      <c r="ITL2" s="306"/>
      <c r="ITM2" s="306"/>
      <c r="ITN2" s="306"/>
      <c r="ITO2" s="306"/>
      <c r="ITP2" s="306"/>
      <c r="ITQ2" s="306"/>
      <c r="ITR2" s="306"/>
      <c r="ITS2" s="306"/>
      <c r="ITT2" s="306"/>
      <c r="ITU2" s="306"/>
      <c r="ITV2" s="306"/>
      <c r="ITW2" s="306"/>
      <c r="ITX2" s="306"/>
      <c r="ITY2" s="306"/>
      <c r="ITZ2" s="306"/>
      <c r="IUA2" s="306"/>
      <c r="IUB2" s="306"/>
      <c r="IUC2" s="306"/>
      <c r="IUD2" s="306"/>
      <c r="IUE2" s="306"/>
      <c r="IUF2" s="306"/>
      <c r="IUG2" s="306"/>
      <c r="IUH2" s="306"/>
      <c r="IUI2" s="306"/>
      <c r="IUJ2" s="306"/>
      <c r="IUK2" s="306"/>
      <c r="IUL2" s="306"/>
      <c r="IUM2" s="306"/>
      <c r="IUN2" s="306"/>
      <c r="IUO2" s="306"/>
      <c r="IUP2" s="306"/>
      <c r="IUQ2" s="306"/>
      <c r="IUR2" s="306"/>
      <c r="IUS2" s="306"/>
      <c r="IUT2" s="306"/>
      <c r="IUU2" s="306"/>
      <c r="IUV2" s="306"/>
      <c r="IUW2" s="306"/>
      <c r="IUX2" s="306"/>
      <c r="IUY2" s="306"/>
      <c r="IUZ2" s="306"/>
      <c r="IVA2" s="306"/>
      <c r="IVB2" s="306"/>
      <c r="IVC2" s="306"/>
      <c r="IVD2" s="306"/>
      <c r="IVE2" s="306"/>
      <c r="IVF2" s="306"/>
      <c r="IVG2" s="306"/>
      <c r="IVH2" s="306"/>
      <c r="IVI2" s="306"/>
      <c r="IVJ2" s="306"/>
      <c r="IVK2" s="306"/>
      <c r="IVL2" s="306"/>
      <c r="IVM2" s="306"/>
      <c r="IVN2" s="306"/>
      <c r="IVO2" s="306"/>
      <c r="IVP2" s="306"/>
      <c r="IVQ2" s="306"/>
      <c r="IVR2" s="306"/>
      <c r="IVS2" s="306"/>
      <c r="IVT2" s="306"/>
      <c r="IVU2" s="306"/>
      <c r="IVV2" s="306"/>
      <c r="IVW2" s="306"/>
      <c r="IVX2" s="306"/>
      <c r="IVY2" s="306"/>
      <c r="IVZ2" s="306"/>
      <c r="IWA2" s="306"/>
      <c r="IWB2" s="306"/>
      <c r="IWC2" s="306"/>
      <c r="IWD2" s="306"/>
      <c r="IWE2" s="306"/>
      <c r="IWF2" s="306"/>
      <c r="IWG2" s="306"/>
      <c r="IWH2" s="306"/>
      <c r="IWI2" s="306"/>
      <c r="IWJ2" s="306"/>
      <c r="IWK2" s="306"/>
      <c r="IWL2" s="306"/>
      <c r="IWM2" s="306"/>
      <c r="IWN2" s="306"/>
      <c r="IWO2" s="306"/>
      <c r="IWP2" s="306"/>
      <c r="IWQ2" s="306"/>
      <c r="IWR2" s="306"/>
      <c r="IWS2" s="306"/>
      <c r="IWT2" s="306"/>
      <c r="IWU2" s="306"/>
      <c r="IWV2" s="306"/>
      <c r="IWW2" s="306"/>
      <c r="IWX2" s="306"/>
      <c r="IWY2" s="306"/>
      <c r="IWZ2" s="306"/>
      <c r="IXA2" s="306"/>
      <c r="IXB2" s="306"/>
      <c r="IXC2" s="306"/>
      <c r="IXD2" s="306"/>
      <c r="IXE2" s="306"/>
      <c r="IXF2" s="306"/>
      <c r="IXG2" s="306"/>
      <c r="IXH2" s="306"/>
      <c r="IXI2" s="306"/>
      <c r="IXJ2" s="306"/>
      <c r="IXK2" s="306"/>
      <c r="IXL2" s="306"/>
      <c r="IXM2" s="306"/>
      <c r="IXN2" s="306"/>
      <c r="IXO2" s="306"/>
      <c r="IXP2" s="306"/>
      <c r="IXQ2" s="306"/>
      <c r="IXR2" s="306"/>
      <c r="IXS2" s="306"/>
      <c r="IXT2" s="306"/>
      <c r="IXU2" s="306"/>
      <c r="IXV2" s="306"/>
      <c r="IXW2" s="306"/>
      <c r="IXX2" s="306"/>
      <c r="IXY2" s="306"/>
      <c r="IXZ2" s="306"/>
      <c r="IYA2" s="306"/>
      <c r="IYB2" s="306"/>
      <c r="IYC2" s="306"/>
      <c r="IYD2" s="306"/>
      <c r="IYE2" s="306"/>
      <c r="IYF2" s="306"/>
      <c r="IYG2" s="306"/>
      <c r="IYH2" s="306"/>
      <c r="IYI2" s="306"/>
      <c r="IYJ2" s="306"/>
      <c r="IYK2" s="306"/>
      <c r="IYL2" s="306"/>
      <c r="IYM2" s="306"/>
      <c r="IYN2" s="306"/>
      <c r="IYO2" s="306"/>
      <c r="IYP2" s="306"/>
      <c r="IYQ2" s="306"/>
      <c r="IYR2" s="306"/>
      <c r="IYS2" s="306"/>
      <c r="IYT2" s="306"/>
      <c r="IYU2" s="306"/>
      <c r="IYV2" s="306"/>
      <c r="IYW2" s="306"/>
      <c r="IYX2" s="306"/>
      <c r="IYY2" s="306"/>
      <c r="IYZ2" s="306"/>
      <c r="IZA2" s="306"/>
      <c r="IZB2" s="306"/>
      <c r="IZC2" s="306"/>
      <c r="IZD2" s="306"/>
      <c r="IZE2" s="306"/>
      <c r="IZF2" s="306"/>
      <c r="IZG2" s="306"/>
      <c r="IZH2" s="306"/>
      <c r="IZI2" s="306"/>
      <c r="IZJ2" s="306"/>
      <c r="IZK2" s="306"/>
      <c r="IZL2" s="306"/>
      <c r="IZM2" s="306"/>
      <c r="IZN2" s="306"/>
      <c r="IZO2" s="306"/>
      <c r="IZP2" s="306"/>
      <c r="IZQ2" s="306"/>
      <c r="IZR2" s="306"/>
      <c r="IZS2" s="306"/>
      <c r="IZT2" s="306"/>
      <c r="IZU2" s="306"/>
      <c r="IZV2" s="306"/>
      <c r="IZW2" s="306"/>
      <c r="IZX2" s="306"/>
      <c r="IZY2" s="306"/>
      <c r="IZZ2" s="306"/>
      <c r="JAA2" s="306"/>
      <c r="JAB2" s="306"/>
      <c r="JAC2" s="306"/>
      <c r="JAD2" s="306"/>
      <c r="JAE2" s="306"/>
      <c r="JAF2" s="306"/>
      <c r="JAG2" s="306"/>
      <c r="JAH2" s="306"/>
      <c r="JAI2" s="306"/>
      <c r="JAJ2" s="306"/>
      <c r="JAK2" s="306"/>
      <c r="JAL2" s="306"/>
      <c r="JAM2" s="306"/>
      <c r="JAN2" s="306"/>
      <c r="JAO2" s="306"/>
      <c r="JAP2" s="306"/>
      <c r="JAQ2" s="306"/>
      <c r="JAR2" s="306"/>
      <c r="JAS2" s="306"/>
      <c r="JAT2" s="306"/>
      <c r="JAU2" s="306"/>
      <c r="JAV2" s="306"/>
      <c r="JAW2" s="306"/>
      <c r="JAX2" s="306"/>
      <c r="JAY2" s="306"/>
      <c r="JAZ2" s="306"/>
      <c r="JBA2" s="306"/>
      <c r="JBB2" s="306"/>
      <c r="JBC2" s="306"/>
      <c r="JBD2" s="306"/>
      <c r="JBE2" s="306"/>
      <c r="JBF2" s="306"/>
      <c r="JBG2" s="306"/>
      <c r="JBH2" s="306"/>
      <c r="JBI2" s="306"/>
      <c r="JBJ2" s="306"/>
      <c r="JBK2" s="306"/>
      <c r="JBL2" s="306"/>
      <c r="JBM2" s="306"/>
      <c r="JBN2" s="306"/>
      <c r="JBO2" s="306"/>
      <c r="JBP2" s="306"/>
      <c r="JBQ2" s="306"/>
      <c r="JBR2" s="306"/>
      <c r="JBS2" s="306"/>
      <c r="JBT2" s="306"/>
      <c r="JBU2" s="306"/>
      <c r="JBV2" s="306"/>
      <c r="JBW2" s="306"/>
      <c r="JBX2" s="306"/>
      <c r="JBY2" s="306"/>
      <c r="JBZ2" s="306"/>
      <c r="JCA2" s="306"/>
      <c r="JCB2" s="306"/>
      <c r="JCC2" s="306"/>
      <c r="JCD2" s="306"/>
      <c r="JCE2" s="306"/>
      <c r="JCF2" s="306"/>
      <c r="JCG2" s="306"/>
      <c r="JCH2" s="306"/>
      <c r="JCI2" s="306"/>
      <c r="JCJ2" s="306"/>
      <c r="JCK2" s="306"/>
      <c r="JCL2" s="306"/>
      <c r="JCM2" s="306"/>
      <c r="JCN2" s="306"/>
      <c r="JCO2" s="306"/>
      <c r="JCP2" s="306"/>
      <c r="JCQ2" s="306"/>
      <c r="JCR2" s="306"/>
      <c r="JCS2" s="306"/>
      <c r="JCT2" s="306"/>
      <c r="JCU2" s="306"/>
      <c r="JCV2" s="306"/>
      <c r="JCW2" s="306"/>
      <c r="JCX2" s="306"/>
      <c r="JCY2" s="306"/>
      <c r="JCZ2" s="306"/>
      <c r="JDA2" s="306"/>
      <c r="JDB2" s="306"/>
      <c r="JDC2" s="306"/>
      <c r="JDD2" s="306"/>
      <c r="JDE2" s="306"/>
      <c r="JDF2" s="306"/>
      <c r="JDG2" s="306"/>
      <c r="JDH2" s="306"/>
      <c r="JDI2" s="306"/>
      <c r="JDJ2" s="306"/>
      <c r="JDK2" s="306"/>
      <c r="JDL2" s="306"/>
      <c r="JDM2" s="306"/>
      <c r="JDN2" s="306"/>
      <c r="JDO2" s="306"/>
      <c r="JDP2" s="306"/>
      <c r="JDQ2" s="306"/>
      <c r="JDR2" s="306"/>
      <c r="JDS2" s="306"/>
      <c r="JDT2" s="306"/>
      <c r="JDU2" s="306"/>
      <c r="JDV2" s="306"/>
      <c r="JDW2" s="306"/>
      <c r="JDX2" s="306"/>
      <c r="JDY2" s="306"/>
      <c r="JDZ2" s="306"/>
      <c r="JEA2" s="306"/>
      <c r="JEB2" s="306"/>
      <c r="JEC2" s="306"/>
      <c r="JED2" s="306"/>
      <c r="JEE2" s="306"/>
      <c r="JEF2" s="306"/>
      <c r="JEG2" s="306"/>
      <c r="JEH2" s="306"/>
      <c r="JEI2" s="306"/>
      <c r="JEJ2" s="306"/>
      <c r="JEK2" s="306"/>
      <c r="JEL2" s="306"/>
      <c r="JEM2" s="306"/>
      <c r="JEN2" s="306"/>
      <c r="JEO2" s="306"/>
      <c r="JEP2" s="306"/>
      <c r="JEQ2" s="306"/>
      <c r="JER2" s="306"/>
      <c r="JES2" s="306"/>
      <c r="JET2" s="306"/>
      <c r="JEU2" s="306"/>
      <c r="JEV2" s="306"/>
      <c r="JEW2" s="306"/>
      <c r="JEX2" s="306"/>
      <c r="JEY2" s="306"/>
      <c r="JEZ2" s="306"/>
      <c r="JFA2" s="306"/>
      <c r="JFB2" s="306"/>
      <c r="JFC2" s="306"/>
      <c r="JFD2" s="306"/>
      <c r="JFE2" s="306"/>
      <c r="JFF2" s="306"/>
      <c r="JFG2" s="306"/>
      <c r="JFH2" s="306"/>
      <c r="JFI2" s="306"/>
      <c r="JFJ2" s="306"/>
      <c r="JFK2" s="306"/>
      <c r="JFL2" s="306"/>
      <c r="JFM2" s="306"/>
      <c r="JFN2" s="306"/>
      <c r="JFO2" s="306"/>
      <c r="JFP2" s="306"/>
      <c r="JFQ2" s="306"/>
      <c r="JFR2" s="306"/>
      <c r="JFS2" s="306"/>
      <c r="JFT2" s="306"/>
      <c r="JFU2" s="306"/>
      <c r="JFV2" s="306"/>
      <c r="JFW2" s="306"/>
      <c r="JFX2" s="306"/>
      <c r="JFY2" s="306"/>
      <c r="JFZ2" s="306"/>
      <c r="JGA2" s="306"/>
      <c r="JGB2" s="306"/>
      <c r="JGC2" s="306"/>
      <c r="JGD2" s="306"/>
      <c r="JGE2" s="306"/>
      <c r="JGF2" s="306"/>
      <c r="JGG2" s="306"/>
      <c r="JGH2" s="306"/>
      <c r="JGI2" s="306"/>
      <c r="JGJ2" s="306"/>
      <c r="JGK2" s="306"/>
      <c r="JGL2" s="306"/>
      <c r="JGM2" s="306"/>
      <c r="JGN2" s="306"/>
      <c r="JGO2" s="306"/>
      <c r="JGP2" s="306"/>
      <c r="JGQ2" s="306"/>
      <c r="JGR2" s="306"/>
      <c r="JGS2" s="306"/>
      <c r="JGT2" s="306"/>
      <c r="JGU2" s="306"/>
      <c r="JGV2" s="306"/>
      <c r="JGW2" s="306"/>
      <c r="JGX2" s="306"/>
      <c r="JGY2" s="306"/>
      <c r="JGZ2" s="306"/>
      <c r="JHA2" s="306"/>
      <c r="JHB2" s="306"/>
      <c r="JHC2" s="306"/>
      <c r="JHD2" s="306"/>
      <c r="JHE2" s="306"/>
      <c r="JHF2" s="306"/>
      <c r="JHG2" s="306"/>
      <c r="JHH2" s="306"/>
      <c r="JHI2" s="306"/>
      <c r="JHJ2" s="306"/>
      <c r="JHK2" s="306"/>
      <c r="JHL2" s="306"/>
      <c r="JHM2" s="306"/>
      <c r="JHN2" s="306"/>
      <c r="JHO2" s="306"/>
      <c r="JHP2" s="306"/>
      <c r="JHQ2" s="306"/>
      <c r="JHR2" s="306"/>
      <c r="JHS2" s="306"/>
      <c r="JHT2" s="306"/>
      <c r="JHU2" s="306"/>
      <c r="JHV2" s="306"/>
      <c r="JHW2" s="306"/>
      <c r="JHX2" s="306"/>
      <c r="JHY2" s="306"/>
      <c r="JHZ2" s="306"/>
      <c r="JIA2" s="306"/>
      <c r="JIB2" s="306"/>
      <c r="JIC2" s="306"/>
      <c r="JID2" s="306"/>
      <c r="JIE2" s="306"/>
      <c r="JIF2" s="306"/>
      <c r="JIG2" s="306"/>
      <c r="JIH2" s="306"/>
      <c r="JII2" s="306"/>
      <c r="JIJ2" s="306"/>
      <c r="JIK2" s="306"/>
      <c r="JIL2" s="306"/>
      <c r="JIM2" s="306"/>
      <c r="JIN2" s="306"/>
      <c r="JIO2" s="306"/>
      <c r="JIP2" s="306"/>
      <c r="JIQ2" s="306"/>
      <c r="JIR2" s="306"/>
      <c r="JIS2" s="306"/>
      <c r="JIT2" s="306"/>
      <c r="JIU2" s="306"/>
      <c r="JIV2" s="306"/>
      <c r="JIW2" s="306"/>
      <c r="JIX2" s="306"/>
      <c r="JIY2" s="306"/>
      <c r="JIZ2" s="306"/>
      <c r="JJA2" s="306"/>
      <c r="JJB2" s="306"/>
      <c r="JJC2" s="306"/>
      <c r="JJD2" s="306"/>
      <c r="JJE2" s="306"/>
      <c r="JJF2" s="306"/>
      <c r="JJG2" s="306"/>
      <c r="JJH2" s="306"/>
      <c r="JJI2" s="306"/>
      <c r="JJJ2" s="306"/>
      <c r="JJK2" s="306"/>
      <c r="JJL2" s="306"/>
      <c r="JJM2" s="306"/>
      <c r="JJN2" s="306"/>
      <c r="JJO2" s="306"/>
      <c r="JJP2" s="306"/>
      <c r="JJQ2" s="306"/>
      <c r="JJR2" s="306"/>
      <c r="JJS2" s="306"/>
      <c r="JJT2" s="306"/>
      <c r="JJU2" s="306"/>
      <c r="JJV2" s="306"/>
      <c r="JJW2" s="306"/>
      <c r="JJX2" s="306"/>
      <c r="JJY2" s="306"/>
      <c r="JJZ2" s="306"/>
      <c r="JKA2" s="306"/>
      <c r="JKB2" s="306"/>
      <c r="JKC2" s="306"/>
      <c r="JKD2" s="306"/>
      <c r="JKE2" s="306"/>
      <c r="JKF2" s="306"/>
      <c r="JKG2" s="306"/>
      <c r="JKH2" s="306"/>
      <c r="JKI2" s="306"/>
      <c r="JKJ2" s="306"/>
      <c r="JKK2" s="306"/>
      <c r="JKL2" s="306"/>
      <c r="JKM2" s="306"/>
      <c r="JKN2" s="306"/>
      <c r="JKO2" s="306"/>
      <c r="JKP2" s="306"/>
      <c r="JKQ2" s="306"/>
      <c r="JKR2" s="306"/>
      <c r="JKS2" s="306"/>
      <c r="JKT2" s="306"/>
      <c r="JKU2" s="306"/>
      <c r="JKV2" s="306"/>
      <c r="JKW2" s="306"/>
      <c r="JKX2" s="306"/>
      <c r="JKY2" s="306"/>
      <c r="JKZ2" s="306"/>
      <c r="JLA2" s="306"/>
      <c r="JLB2" s="306"/>
      <c r="JLC2" s="306"/>
      <c r="JLD2" s="306"/>
      <c r="JLE2" s="306"/>
      <c r="JLF2" s="306"/>
      <c r="JLG2" s="306"/>
      <c r="JLH2" s="306"/>
      <c r="JLI2" s="306"/>
      <c r="JLJ2" s="306"/>
      <c r="JLK2" s="306"/>
      <c r="JLL2" s="306"/>
      <c r="JLM2" s="306"/>
      <c r="JLN2" s="306"/>
      <c r="JLO2" s="306"/>
      <c r="JLP2" s="306"/>
      <c r="JLQ2" s="306"/>
      <c r="JLR2" s="306"/>
      <c r="JLS2" s="306"/>
      <c r="JLT2" s="306"/>
      <c r="JLU2" s="306"/>
      <c r="JLV2" s="306"/>
      <c r="JLW2" s="306"/>
      <c r="JLX2" s="306"/>
      <c r="JLY2" s="306"/>
      <c r="JLZ2" s="306"/>
      <c r="JMA2" s="306"/>
      <c r="JMB2" s="306"/>
      <c r="JMC2" s="306"/>
      <c r="JMD2" s="306"/>
      <c r="JME2" s="306"/>
      <c r="JMF2" s="306"/>
      <c r="JMG2" s="306"/>
      <c r="JMH2" s="306"/>
      <c r="JMI2" s="306"/>
      <c r="JMJ2" s="306"/>
      <c r="JMK2" s="306"/>
      <c r="JML2" s="306"/>
      <c r="JMM2" s="306"/>
      <c r="JMN2" s="306"/>
      <c r="JMO2" s="306"/>
      <c r="JMP2" s="306"/>
      <c r="JMQ2" s="306"/>
      <c r="JMR2" s="306"/>
      <c r="JMS2" s="306"/>
      <c r="JMT2" s="306"/>
      <c r="JMU2" s="306"/>
      <c r="JMV2" s="306"/>
      <c r="JMW2" s="306"/>
      <c r="JMX2" s="306"/>
      <c r="JMY2" s="306"/>
      <c r="JMZ2" s="306"/>
      <c r="JNA2" s="306"/>
      <c r="JNB2" s="306"/>
      <c r="JNC2" s="306"/>
      <c r="JND2" s="306"/>
      <c r="JNE2" s="306"/>
      <c r="JNF2" s="306"/>
      <c r="JNG2" s="306"/>
      <c r="JNH2" s="306"/>
      <c r="JNI2" s="306"/>
      <c r="JNJ2" s="306"/>
      <c r="JNK2" s="306"/>
      <c r="JNL2" s="306"/>
      <c r="JNM2" s="306"/>
      <c r="JNN2" s="306"/>
      <c r="JNO2" s="306"/>
      <c r="JNP2" s="306"/>
      <c r="JNQ2" s="306"/>
      <c r="JNR2" s="306"/>
      <c r="JNS2" s="306"/>
      <c r="JNT2" s="306"/>
      <c r="JNU2" s="306"/>
      <c r="JNV2" s="306"/>
      <c r="JNW2" s="306"/>
      <c r="JNX2" s="306"/>
      <c r="JNY2" s="306"/>
      <c r="JNZ2" s="306"/>
      <c r="JOA2" s="306"/>
      <c r="JOB2" s="306"/>
      <c r="JOC2" s="306"/>
      <c r="JOD2" s="306"/>
      <c r="JOE2" s="306"/>
      <c r="JOF2" s="306"/>
      <c r="JOG2" s="306"/>
      <c r="JOH2" s="306"/>
      <c r="JOI2" s="306"/>
      <c r="JOJ2" s="306"/>
      <c r="JOK2" s="306"/>
      <c r="JOL2" s="306"/>
      <c r="JOM2" s="306"/>
      <c r="JON2" s="306"/>
      <c r="JOO2" s="306"/>
      <c r="JOP2" s="306"/>
      <c r="JOQ2" s="306"/>
      <c r="JOR2" s="306"/>
      <c r="JOS2" s="306"/>
      <c r="JOT2" s="306"/>
      <c r="JOU2" s="306"/>
      <c r="JOV2" s="306"/>
      <c r="JOW2" s="306"/>
      <c r="JOX2" s="306"/>
      <c r="JOY2" s="306"/>
      <c r="JOZ2" s="306"/>
      <c r="JPA2" s="306"/>
      <c r="JPB2" s="306"/>
      <c r="JPC2" s="306"/>
      <c r="JPD2" s="306"/>
      <c r="JPE2" s="306"/>
      <c r="JPF2" s="306"/>
      <c r="JPG2" s="306"/>
      <c r="JPH2" s="306"/>
      <c r="JPI2" s="306"/>
      <c r="JPJ2" s="306"/>
      <c r="JPK2" s="306"/>
      <c r="JPL2" s="306"/>
      <c r="JPM2" s="306"/>
      <c r="JPN2" s="306"/>
      <c r="JPO2" s="306"/>
      <c r="JPP2" s="306"/>
      <c r="JPQ2" s="306"/>
      <c r="JPR2" s="306"/>
      <c r="JPS2" s="306"/>
      <c r="JPT2" s="306"/>
      <c r="JPU2" s="306"/>
      <c r="JPV2" s="306"/>
      <c r="JPW2" s="306"/>
      <c r="JPX2" s="306"/>
      <c r="JPY2" s="306"/>
      <c r="JPZ2" s="306"/>
      <c r="JQA2" s="306"/>
      <c r="JQB2" s="306"/>
      <c r="JQC2" s="306"/>
      <c r="JQD2" s="306"/>
      <c r="JQE2" s="306"/>
      <c r="JQF2" s="306"/>
      <c r="JQG2" s="306"/>
      <c r="JQH2" s="306"/>
      <c r="JQI2" s="306"/>
      <c r="JQJ2" s="306"/>
      <c r="JQK2" s="306"/>
      <c r="JQL2" s="306"/>
      <c r="JQM2" s="306"/>
      <c r="JQN2" s="306"/>
      <c r="JQO2" s="306"/>
      <c r="JQP2" s="306"/>
      <c r="JQQ2" s="306"/>
      <c r="JQR2" s="306"/>
      <c r="JQS2" s="306"/>
      <c r="JQT2" s="306"/>
      <c r="JQU2" s="306"/>
      <c r="JQV2" s="306"/>
      <c r="JQW2" s="306"/>
      <c r="JQX2" s="306"/>
      <c r="JQY2" s="306"/>
      <c r="JQZ2" s="306"/>
      <c r="JRA2" s="306"/>
      <c r="JRB2" s="306"/>
      <c r="JRC2" s="306"/>
      <c r="JRD2" s="306"/>
      <c r="JRE2" s="306"/>
      <c r="JRF2" s="306"/>
      <c r="JRG2" s="306"/>
      <c r="JRH2" s="306"/>
      <c r="JRI2" s="306"/>
      <c r="JRJ2" s="306"/>
      <c r="JRK2" s="306"/>
      <c r="JRL2" s="306"/>
      <c r="JRM2" s="306"/>
      <c r="JRN2" s="306"/>
      <c r="JRO2" s="306"/>
      <c r="JRP2" s="306"/>
      <c r="JRQ2" s="306"/>
      <c r="JRR2" s="306"/>
      <c r="JRS2" s="306"/>
      <c r="JRT2" s="306"/>
      <c r="JRU2" s="306"/>
      <c r="JRV2" s="306"/>
      <c r="JRW2" s="306"/>
      <c r="JRX2" s="306"/>
      <c r="JRY2" s="306"/>
      <c r="JRZ2" s="306"/>
      <c r="JSA2" s="306"/>
      <c r="JSB2" s="306"/>
      <c r="JSC2" s="306"/>
      <c r="JSD2" s="306"/>
      <c r="JSE2" s="306"/>
      <c r="JSF2" s="306"/>
      <c r="JSG2" s="306"/>
      <c r="JSH2" s="306"/>
      <c r="JSI2" s="306"/>
      <c r="JSJ2" s="306"/>
      <c r="JSK2" s="306"/>
      <c r="JSL2" s="306"/>
      <c r="JSM2" s="306"/>
      <c r="JSN2" s="306"/>
      <c r="JSO2" s="306"/>
      <c r="JSP2" s="306"/>
      <c r="JSQ2" s="306"/>
      <c r="JSR2" s="306"/>
      <c r="JSS2" s="306"/>
      <c r="JST2" s="306"/>
      <c r="JSU2" s="306"/>
      <c r="JSV2" s="306"/>
      <c r="JSW2" s="306"/>
      <c r="JSX2" s="306"/>
      <c r="JSY2" s="306"/>
      <c r="JSZ2" s="306"/>
      <c r="JTA2" s="306"/>
      <c r="JTB2" s="306"/>
      <c r="JTC2" s="306"/>
      <c r="JTD2" s="306"/>
      <c r="JTE2" s="306"/>
      <c r="JTF2" s="306"/>
      <c r="JTG2" s="306"/>
      <c r="JTH2" s="306"/>
      <c r="JTI2" s="306"/>
      <c r="JTJ2" s="306"/>
      <c r="JTK2" s="306"/>
      <c r="JTL2" s="306"/>
      <c r="JTM2" s="306"/>
      <c r="JTN2" s="306"/>
      <c r="JTO2" s="306"/>
      <c r="JTP2" s="306"/>
      <c r="JTQ2" s="306"/>
      <c r="JTR2" s="306"/>
      <c r="JTS2" s="306"/>
      <c r="JTT2" s="306"/>
      <c r="JTU2" s="306"/>
      <c r="JTV2" s="306"/>
      <c r="JTW2" s="306"/>
      <c r="JTX2" s="306"/>
      <c r="JTY2" s="306"/>
      <c r="JTZ2" s="306"/>
      <c r="JUA2" s="306"/>
      <c r="JUB2" s="306"/>
      <c r="JUC2" s="306"/>
      <c r="JUD2" s="306"/>
      <c r="JUE2" s="306"/>
      <c r="JUF2" s="306"/>
      <c r="JUG2" s="306"/>
      <c r="JUH2" s="306"/>
      <c r="JUI2" s="306"/>
      <c r="JUJ2" s="306"/>
      <c r="JUK2" s="306"/>
      <c r="JUL2" s="306"/>
      <c r="JUM2" s="306"/>
      <c r="JUN2" s="306"/>
      <c r="JUO2" s="306"/>
      <c r="JUP2" s="306"/>
      <c r="JUQ2" s="306"/>
      <c r="JUR2" s="306"/>
      <c r="JUS2" s="306"/>
      <c r="JUT2" s="306"/>
      <c r="JUU2" s="306"/>
      <c r="JUV2" s="306"/>
      <c r="JUW2" s="306"/>
      <c r="JUX2" s="306"/>
      <c r="JUY2" s="306"/>
      <c r="JUZ2" s="306"/>
      <c r="JVA2" s="306"/>
      <c r="JVB2" s="306"/>
      <c r="JVC2" s="306"/>
      <c r="JVD2" s="306"/>
      <c r="JVE2" s="306"/>
      <c r="JVF2" s="306"/>
      <c r="JVG2" s="306"/>
      <c r="JVH2" s="306"/>
      <c r="JVI2" s="306"/>
      <c r="JVJ2" s="306"/>
      <c r="JVK2" s="306"/>
      <c r="JVL2" s="306"/>
      <c r="JVM2" s="306"/>
      <c r="JVN2" s="306"/>
      <c r="JVO2" s="306"/>
      <c r="JVP2" s="306"/>
      <c r="JVQ2" s="306"/>
      <c r="JVR2" s="306"/>
      <c r="JVS2" s="306"/>
      <c r="JVT2" s="306"/>
      <c r="JVU2" s="306"/>
      <c r="JVV2" s="306"/>
      <c r="JVW2" s="306"/>
      <c r="JVX2" s="306"/>
      <c r="JVY2" s="306"/>
      <c r="JVZ2" s="306"/>
      <c r="JWA2" s="306"/>
      <c r="JWB2" s="306"/>
      <c r="JWC2" s="306"/>
      <c r="JWD2" s="306"/>
      <c r="JWE2" s="306"/>
      <c r="JWF2" s="306"/>
      <c r="JWG2" s="306"/>
      <c r="JWH2" s="306"/>
      <c r="JWI2" s="306"/>
      <c r="JWJ2" s="306"/>
      <c r="JWK2" s="306"/>
      <c r="JWL2" s="306"/>
      <c r="JWM2" s="306"/>
      <c r="JWN2" s="306"/>
      <c r="JWO2" s="306"/>
      <c r="JWP2" s="306"/>
      <c r="JWQ2" s="306"/>
      <c r="JWR2" s="306"/>
      <c r="JWS2" s="306"/>
      <c r="JWT2" s="306"/>
      <c r="JWU2" s="306"/>
      <c r="JWV2" s="306"/>
      <c r="JWW2" s="306"/>
      <c r="JWX2" s="306"/>
      <c r="JWY2" s="306"/>
      <c r="JWZ2" s="306"/>
      <c r="JXA2" s="306"/>
      <c r="JXB2" s="306"/>
      <c r="JXC2" s="306"/>
      <c r="JXD2" s="306"/>
      <c r="JXE2" s="306"/>
      <c r="JXF2" s="306"/>
      <c r="JXG2" s="306"/>
      <c r="JXH2" s="306"/>
      <c r="JXI2" s="306"/>
      <c r="JXJ2" s="306"/>
      <c r="JXK2" s="306"/>
      <c r="JXL2" s="306"/>
      <c r="JXM2" s="306"/>
      <c r="JXN2" s="306"/>
      <c r="JXO2" s="306"/>
      <c r="JXP2" s="306"/>
      <c r="JXQ2" s="306"/>
      <c r="JXR2" s="306"/>
      <c r="JXS2" s="306"/>
      <c r="JXT2" s="306"/>
      <c r="JXU2" s="306"/>
      <c r="JXV2" s="306"/>
      <c r="JXW2" s="306"/>
      <c r="JXX2" s="306"/>
      <c r="JXY2" s="306"/>
      <c r="JXZ2" s="306"/>
      <c r="JYA2" s="306"/>
      <c r="JYB2" s="306"/>
      <c r="JYC2" s="306"/>
      <c r="JYD2" s="306"/>
      <c r="JYE2" s="306"/>
      <c r="JYF2" s="306"/>
      <c r="JYG2" s="306"/>
      <c r="JYH2" s="306"/>
      <c r="JYI2" s="306"/>
      <c r="JYJ2" s="306"/>
      <c r="JYK2" s="306"/>
      <c r="JYL2" s="306"/>
      <c r="JYM2" s="306"/>
      <c r="JYN2" s="306"/>
      <c r="JYO2" s="306"/>
      <c r="JYP2" s="306"/>
      <c r="JYQ2" s="306"/>
      <c r="JYR2" s="306"/>
      <c r="JYS2" s="306"/>
      <c r="JYT2" s="306"/>
      <c r="JYU2" s="306"/>
      <c r="JYV2" s="306"/>
      <c r="JYW2" s="306"/>
      <c r="JYX2" s="306"/>
      <c r="JYY2" s="306"/>
      <c r="JYZ2" s="306"/>
      <c r="JZA2" s="306"/>
      <c r="JZB2" s="306"/>
      <c r="JZC2" s="306"/>
      <c r="JZD2" s="306"/>
      <c r="JZE2" s="306"/>
      <c r="JZF2" s="306"/>
      <c r="JZG2" s="306"/>
      <c r="JZH2" s="306"/>
      <c r="JZI2" s="306"/>
      <c r="JZJ2" s="306"/>
      <c r="JZK2" s="306"/>
      <c r="JZL2" s="306"/>
      <c r="JZM2" s="306"/>
      <c r="JZN2" s="306"/>
      <c r="JZO2" s="306"/>
      <c r="JZP2" s="306"/>
      <c r="JZQ2" s="306"/>
      <c r="JZR2" s="306"/>
      <c r="JZS2" s="306"/>
      <c r="JZT2" s="306"/>
      <c r="JZU2" s="306"/>
      <c r="JZV2" s="306"/>
      <c r="JZW2" s="306"/>
      <c r="JZX2" s="306"/>
      <c r="JZY2" s="306"/>
      <c r="JZZ2" s="306"/>
      <c r="KAA2" s="306"/>
      <c r="KAB2" s="306"/>
      <c r="KAC2" s="306"/>
      <c r="KAD2" s="306"/>
      <c r="KAE2" s="306"/>
      <c r="KAF2" s="306"/>
      <c r="KAG2" s="306"/>
      <c r="KAH2" s="306"/>
      <c r="KAI2" s="306"/>
      <c r="KAJ2" s="306"/>
      <c r="KAK2" s="306"/>
      <c r="KAL2" s="306"/>
      <c r="KAM2" s="306"/>
      <c r="KAN2" s="306"/>
      <c r="KAO2" s="306"/>
      <c r="KAP2" s="306"/>
      <c r="KAQ2" s="306"/>
      <c r="KAR2" s="306"/>
      <c r="KAS2" s="306"/>
      <c r="KAT2" s="306"/>
      <c r="KAU2" s="306"/>
      <c r="KAV2" s="306"/>
      <c r="KAW2" s="306"/>
      <c r="KAX2" s="306"/>
      <c r="KAY2" s="306"/>
      <c r="KAZ2" s="306"/>
      <c r="KBA2" s="306"/>
      <c r="KBB2" s="306"/>
      <c r="KBC2" s="306"/>
      <c r="KBD2" s="306"/>
      <c r="KBE2" s="306"/>
      <c r="KBF2" s="306"/>
      <c r="KBG2" s="306"/>
      <c r="KBH2" s="306"/>
      <c r="KBI2" s="306"/>
      <c r="KBJ2" s="306"/>
      <c r="KBK2" s="306"/>
      <c r="KBL2" s="306"/>
      <c r="KBM2" s="306"/>
      <c r="KBN2" s="306"/>
      <c r="KBO2" s="306"/>
      <c r="KBP2" s="306"/>
      <c r="KBQ2" s="306"/>
      <c r="KBR2" s="306"/>
      <c r="KBS2" s="306"/>
      <c r="KBT2" s="306"/>
      <c r="KBU2" s="306"/>
      <c r="KBV2" s="306"/>
      <c r="KBW2" s="306"/>
      <c r="KBX2" s="306"/>
      <c r="KBY2" s="306"/>
      <c r="KBZ2" s="306"/>
      <c r="KCA2" s="306"/>
      <c r="KCB2" s="306"/>
      <c r="KCC2" s="306"/>
      <c r="KCD2" s="306"/>
      <c r="KCE2" s="306"/>
      <c r="KCF2" s="306"/>
      <c r="KCG2" s="306"/>
      <c r="KCH2" s="306"/>
      <c r="KCI2" s="306"/>
      <c r="KCJ2" s="306"/>
      <c r="KCK2" s="306"/>
      <c r="KCL2" s="306"/>
      <c r="KCM2" s="306"/>
      <c r="KCN2" s="306"/>
      <c r="KCO2" s="306"/>
      <c r="KCP2" s="306"/>
      <c r="KCQ2" s="306"/>
      <c r="KCR2" s="306"/>
      <c r="KCS2" s="306"/>
      <c r="KCT2" s="306"/>
      <c r="KCU2" s="306"/>
      <c r="KCV2" s="306"/>
      <c r="KCW2" s="306"/>
      <c r="KCX2" s="306"/>
      <c r="KCY2" s="306"/>
      <c r="KCZ2" s="306"/>
      <c r="KDA2" s="306"/>
      <c r="KDB2" s="306"/>
      <c r="KDC2" s="306"/>
      <c r="KDD2" s="306"/>
      <c r="KDE2" s="306"/>
      <c r="KDF2" s="306"/>
      <c r="KDG2" s="306"/>
      <c r="KDH2" s="306"/>
      <c r="KDI2" s="306"/>
      <c r="KDJ2" s="306"/>
      <c r="KDK2" s="306"/>
      <c r="KDL2" s="306"/>
      <c r="KDM2" s="306"/>
      <c r="KDN2" s="306"/>
      <c r="KDO2" s="306"/>
      <c r="KDP2" s="306"/>
      <c r="KDQ2" s="306"/>
      <c r="KDR2" s="306"/>
      <c r="KDS2" s="306"/>
      <c r="KDT2" s="306"/>
      <c r="KDU2" s="306"/>
      <c r="KDV2" s="306"/>
      <c r="KDW2" s="306"/>
      <c r="KDX2" s="306"/>
      <c r="KDY2" s="306"/>
      <c r="KDZ2" s="306"/>
      <c r="KEA2" s="306"/>
      <c r="KEB2" s="306"/>
      <c r="KEC2" s="306"/>
      <c r="KED2" s="306"/>
      <c r="KEE2" s="306"/>
      <c r="KEF2" s="306"/>
      <c r="KEG2" s="306"/>
      <c r="KEH2" s="306"/>
      <c r="KEI2" s="306"/>
      <c r="KEJ2" s="306"/>
      <c r="KEK2" s="306"/>
      <c r="KEL2" s="306"/>
      <c r="KEM2" s="306"/>
      <c r="KEN2" s="306"/>
      <c r="KEO2" s="306"/>
      <c r="KEP2" s="306"/>
      <c r="KEQ2" s="306"/>
      <c r="KER2" s="306"/>
      <c r="KES2" s="306"/>
      <c r="KET2" s="306"/>
      <c r="KEU2" s="306"/>
      <c r="KEV2" s="306"/>
      <c r="KEW2" s="306"/>
      <c r="KEX2" s="306"/>
      <c r="KEY2" s="306"/>
      <c r="KEZ2" s="306"/>
      <c r="KFA2" s="306"/>
      <c r="KFB2" s="306"/>
      <c r="KFC2" s="306"/>
      <c r="KFD2" s="306"/>
      <c r="KFE2" s="306"/>
      <c r="KFF2" s="306"/>
      <c r="KFG2" s="306"/>
      <c r="KFH2" s="306"/>
      <c r="KFI2" s="306"/>
      <c r="KFJ2" s="306"/>
      <c r="KFK2" s="306"/>
      <c r="KFL2" s="306"/>
      <c r="KFM2" s="306"/>
      <c r="KFN2" s="306"/>
      <c r="KFO2" s="306"/>
      <c r="KFP2" s="306"/>
      <c r="KFQ2" s="306"/>
      <c r="KFR2" s="306"/>
      <c r="KFS2" s="306"/>
      <c r="KFT2" s="306"/>
      <c r="KFU2" s="306"/>
      <c r="KFV2" s="306"/>
      <c r="KFW2" s="306"/>
      <c r="KFX2" s="306"/>
      <c r="KFY2" s="306"/>
      <c r="KFZ2" s="306"/>
      <c r="KGA2" s="306"/>
      <c r="KGB2" s="306"/>
      <c r="KGC2" s="306"/>
      <c r="KGD2" s="306"/>
      <c r="KGE2" s="306"/>
      <c r="KGF2" s="306"/>
      <c r="KGG2" s="306"/>
      <c r="KGH2" s="306"/>
      <c r="KGI2" s="306"/>
      <c r="KGJ2" s="306"/>
      <c r="KGK2" s="306"/>
      <c r="KGL2" s="306"/>
      <c r="KGM2" s="306"/>
      <c r="KGN2" s="306"/>
      <c r="KGO2" s="306"/>
      <c r="KGP2" s="306"/>
      <c r="KGQ2" s="306"/>
      <c r="KGR2" s="306"/>
      <c r="KGS2" s="306"/>
      <c r="KGT2" s="306"/>
      <c r="KGU2" s="306"/>
      <c r="KGV2" s="306"/>
      <c r="KGW2" s="306"/>
      <c r="KGX2" s="306"/>
      <c r="KGY2" s="306"/>
      <c r="KGZ2" s="306"/>
      <c r="KHA2" s="306"/>
      <c r="KHB2" s="306"/>
      <c r="KHC2" s="306"/>
      <c r="KHD2" s="306"/>
      <c r="KHE2" s="306"/>
      <c r="KHF2" s="306"/>
      <c r="KHG2" s="306"/>
      <c r="KHH2" s="306"/>
      <c r="KHI2" s="306"/>
      <c r="KHJ2" s="306"/>
      <c r="KHK2" s="306"/>
      <c r="KHL2" s="306"/>
      <c r="KHM2" s="306"/>
      <c r="KHN2" s="306"/>
      <c r="KHO2" s="306"/>
      <c r="KHP2" s="306"/>
      <c r="KHQ2" s="306"/>
      <c r="KHR2" s="306"/>
      <c r="KHS2" s="306"/>
      <c r="KHT2" s="306"/>
      <c r="KHU2" s="306"/>
      <c r="KHV2" s="306"/>
      <c r="KHW2" s="306"/>
      <c r="KHX2" s="306"/>
      <c r="KHY2" s="306"/>
      <c r="KHZ2" s="306"/>
      <c r="KIA2" s="306"/>
      <c r="KIB2" s="306"/>
      <c r="KIC2" s="306"/>
      <c r="KID2" s="306"/>
      <c r="KIE2" s="306"/>
      <c r="KIF2" s="306"/>
      <c r="KIG2" s="306"/>
      <c r="KIH2" s="306"/>
      <c r="KII2" s="306"/>
      <c r="KIJ2" s="306"/>
      <c r="KIK2" s="306"/>
      <c r="KIL2" s="306"/>
      <c r="KIM2" s="306"/>
      <c r="KIN2" s="306"/>
      <c r="KIO2" s="306"/>
      <c r="KIP2" s="306"/>
      <c r="KIQ2" s="306"/>
      <c r="KIR2" s="306"/>
      <c r="KIS2" s="306"/>
      <c r="KIT2" s="306"/>
      <c r="KIU2" s="306"/>
      <c r="KIV2" s="306"/>
      <c r="KIW2" s="306"/>
      <c r="KIX2" s="306"/>
      <c r="KIY2" s="306"/>
      <c r="KIZ2" s="306"/>
      <c r="KJA2" s="306"/>
      <c r="KJB2" s="306"/>
      <c r="KJC2" s="306"/>
      <c r="KJD2" s="306"/>
      <c r="KJE2" s="306"/>
      <c r="KJF2" s="306"/>
      <c r="KJG2" s="306"/>
      <c r="KJH2" s="306"/>
      <c r="KJI2" s="306"/>
      <c r="KJJ2" s="306"/>
      <c r="KJK2" s="306"/>
      <c r="KJL2" s="306"/>
      <c r="KJM2" s="306"/>
      <c r="KJN2" s="306"/>
      <c r="KJO2" s="306"/>
      <c r="KJP2" s="306"/>
      <c r="KJQ2" s="306"/>
      <c r="KJR2" s="306"/>
      <c r="KJS2" s="306"/>
      <c r="KJT2" s="306"/>
      <c r="KJU2" s="306"/>
      <c r="KJV2" s="306"/>
      <c r="KJW2" s="306"/>
      <c r="KJX2" s="306"/>
      <c r="KJY2" s="306"/>
      <c r="KJZ2" s="306"/>
      <c r="KKA2" s="306"/>
      <c r="KKB2" s="306"/>
      <c r="KKC2" s="306"/>
      <c r="KKD2" s="306"/>
      <c r="KKE2" s="306"/>
      <c r="KKF2" s="306"/>
      <c r="KKG2" s="306"/>
      <c r="KKH2" s="306"/>
      <c r="KKI2" s="306"/>
      <c r="KKJ2" s="306"/>
      <c r="KKK2" s="306"/>
      <c r="KKL2" s="306"/>
      <c r="KKM2" s="306"/>
      <c r="KKN2" s="306"/>
      <c r="KKO2" s="306"/>
      <c r="KKP2" s="306"/>
      <c r="KKQ2" s="306"/>
      <c r="KKR2" s="306"/>
      <c r="KKS2" s="306"/>
      <c r="KKT2" s="306"/>
      <c r="KKU2" s="306"/>
      <c r="KKV2" s="306"/>
      <c r="KKW2" s="306"/>
      <c r="KKX2" s="306"/>
      <c r="KKY2" s="306"/>
      <c r="KKZ2" s="306"/>
      <c r="KLA2" s="306"/>
      <c r="KLB2" s="306"/>
      <c r="KLC2" s="306"/>
      <c r="KLD2" s="306"/>
      <c r="KLE2" s="306"/>
      <c r="KLF2" s="306"/>
      <c r="KLG2" s="306"/>
      <c r="KLH2" s="306"/>
      <c r="KLI2" s="306"/>
      <c r="KLJ2" s="306"/>
      <c r="KLK2" s="306"/>
      <c r="KLL2" s="306"/>
      <c r="KLM2" s="306"/>
      <c r="KLN2" s="306"/>
      <c r="KLO2" s="306"/>
      <c r="KLP2" s="306"/>
      <c r="KLQ2" s="306"/>
      <c r="KLR2" s="306"/>
      <c r="KLS2" s="306"/>
      <c r="KLT2" s="306"/>
      <c r="KLU2" s="306"/>
      <c r="KLV2" s="306"/>
      <c r="KLW2" s="306"/>
      <c r="KLX2" s="306"/>
      <c r="KLY2" s="306"/>
      <c r="KLZ2" s="306"/>
      <c r="KMA2" s="306"/>
      <c r="KMB2" s="306"/>
      <c r="KMC2" s="306"/>
      <c r="KMD2" s="306"/>
      <c r="KME2" s="306"/>
      <c r="KMF2" s="306"/>
      <c r="KMG2" s="306"/>
      <c r="KMH2" s="306"/>
      <c r="KMI2" s="306"/>
      <c r="KMJ2" s="306"/>
      <c r="KMK2" s="306"/>
      <c r="KML2" s="306"/>
      <c r="KMM2" s="306"/>
      <c r="KMN2" s="306"/>
      <c r="KMO2" s="306"/>
      <c r="KMP2" s="306"/>
      <c r="KMQ2" s="306"/>
      <c r="KMR2" s="306"/>
      <c r="KMS2" s="306"/>
      <c r="KMT2" s="306"/>
      <c r="KMU2" s="306"/>
      <c r="KMV2" s="306"/>
      <c r="KMW2" s="306"/>
      <c r="KMX2" s="306"/>
      <c r="KMY2" s="306"/>
      <c r="KMZ2" s="306"/>
      <c r="KNA2" s="306"/>
      <c r="KNB2" s="306"/>
      <c r="KNC2" s="306"/>
      <c r="KND2" s="306"/>
      <c r="KNE2" s="306"/>
      <c r="KNF2" s="306"/>
      <c r="KNG2" s="306"/>
      <c r="KNH2" s="306"/>
      <c r="KNI2" s="306"/>
      <c r="KNJ2" s="306"/>
      <c r="KNK2" s="306"/>
      <c r="KNL2" s="306"/>
      <c r="KNM2" s="306"/>
      <c r="KNN2" s="306"/>
      <c r="KNO2" s="306"/>
      <c r="KNP2" s="306"/>
      <c r="KNQ2" s="306"/>
      <c r="KNR2" s="306"/>
      <c r="KNS2" s="306"/>
      <c r="KNT2" s="306"/>
      <c r="KNU2" s="306"/>
      <c r="KNV2" s="306"/>
      <c r="KNW2" s="306"/>
      <c r="KNX2" s="306"/>
      <c r="KNY2" s="306"/>
      <c r="KNZ2" s="306"/>
      <c r="KOA2" s="306"/>
      <c r="KOB2" s="306"/>
      <c r="KOC2" s="306"/>
      <c r="KOD2" s="306"/>
      <c r="KOE2" s="306"/>
      <c r="KOF2" s="306"/>
      <c r="KOG2" s="306"/>
      <c r="KOH2" s="306"/>
      <c r="KOI2" s="306"/>
      <c r="KOJ2" s="306"/>
      <c r="KOK2" s="306"/>
      <c r="KOL2" s="306"/>
      <c r="KOM2" s="306"/>
      <c r="KON2" s="306"/>
      <c r="KOO2" s="306"/>
      <c r="KOP2" s="306"/>
      <c r="KOQ2" s="306"/>
      <c r="KOR2" s="306"/>
      <c r="KOS2" s="306"/>
      <c r="KOT2" s="306"/>
      <c r="KOU2" s="306"/>
      <c r="KOV2" s="306"/>
      <c r="KOW2" s="306"/>
      <c r="KOX2" s="306"/>
      <c r="KOY2" s="306"/>
      <c r="KOZ2" s="306"/>
      <c r="KPA2" s="306"/>
      <c r="KPB2" s="306"/>
      <c r="KPC2" s="306"/>
      <c r="KPD2" s="306"/>
      <c r="KPE2" s="306"/>
      <c r="KPF2" s="306"/>
      <c r="KPG2" s="306"/>
      <c r="KPH2" s="306"/>
      <c r="KPI2" s="306"/>
      <c r="KPJ2" s="306"/>
      <c r="KPK2" s="306"/>
      <c r="KPL2" s="306"/>
      <c r="KPM2" s="306"/>
      <c r="KPN2" s="306"/>
      <c r="KPO2" s="306"/>
      <c r="KPP2" s="306"/>
      <c r="KPQ2" s="306"/>
      <c r="KPR2" s="306"/>
      <c r="KPS2" s="306"/>
      <c r="KPT2" s="306"/>
      <c r="KPU2" s="306"/>
      <c r="KPV2" s="306"/>
      <c r="KPW2" s="306"/>
      <c r="KPX2" s="306"/>
      <c r="KPY2" s="306"/>
      <c r="KPZ2" s="306"/>
      <c r="KQA2" s="306"/>
      <c r="KQB2" s="306"/>
      <c r="KQC2" s="306"/>
      <c r="KQD2" s="306"/>
      <c r="KQE2" s="306"/>
      <c r="KQF2" s="306"/>
      <c r="KQG2" s="306"/>
      <c r="KQH2" s="306"/>
      <c r="KQI2" s="306"/>
      <c r="KQJ2" s="306"/>
      <c r="KQK2" s="306"/>
      <c r="KQL2" s="306"/>
      <c r="KQM2" s="306"/>
      <c r="KQN2" s="306"/>
      <c r="KQO2" s="306"/>
      <c r="KQP2" s="306"/>
      <c r="KQQ2" s="306"/>
      <c r="KQR2" s="306"/>
      <c r="KQS2" s="306"/>
      <c r="KQT2" s="306"/>
      <c r="KQU2" s="306"/>
      <c r="KQV2" s="306"/>
      <c r="KQW2" s="306"/>
      <c r="KQX2" s="306"/>
      <c r="KQY2" s="306"/>
      <c r="KQZ2" s="306"/>
      <c r="KRA2" s="306"/>
      <c r="KRB2" s="306"/>
      <c r="KRC2" s="306"/>
      <c r="KRD2" s="306"/>
      <c r="KRE2" s="306"/>
      <c r="KRF2" s="306"/>
      <c r="KRG2" s="306"/>
      <c r="KRH2" s="306"/>
      <c r="KRI2" s="306"/>
      <c r="KRJ2" s="306"/>
      <c r="KRK2" s="306"/>
      <c r="KRL2" s="306"/>
      <c r="KRM2" s="306"/>
      <c r="KRN2" s="306"/>
      <c r="KRO2" s="306"/>
      <c r="KRP2" s="306"/>
      <c r="KRQ2" s="306"/>
      <c r="KRR2" s="306"/>
      <c r="KRS2" s="306"/>
      <c r="KRT2" s="306"/>
      <c r="KRU2" s="306"/>
      <c r="KRV2" s="306"/>
      <c r="KRW2" s="306"/>
      <c r="KRX2" s="306"/>
      <c r="KRY2" s="306"/>
      <c r="KRZ2" s="306"/>
      <c r="KSA2" s="306"/>
      <c r="KSB2" s="306"/>
      <c r="KSC2" s="306"/>
      <c r="KSD2" s="306"/>
      <c r="KSE2" s="306"/>
      <c r="KSF2" s="306"/>
      <c r="KSG2" s="306"/>
      <c r="KSH2" s="306"/>
      <c r="KSI2" s="306"/>
      <c r="KSJ2" s="306"/>
      <c r="KSK2" s="306"/>
      <c r="KSL2" s="306"/>
      <c r="KSM2" s="306"/>
      <c r="KSN2" s="306"/>
      <c r="KSO2" s="306"/>
      <c r="KSP2" s="306"/>
      <c r="KSQ2" s="306"/>
      <c r="KSR2" s="306"/>
      <c r="KSS2" s="306"/>
      <c r="KST2" s="306"/>
      <c r="KSU2" s="306"/>
      <c r="KSV2" s="306"/>
      <c r="KSW2" s="306"/>
      <c r="KSX2" s="306"/>
      <c r="KSY2" s="306"/>
      <c r="KSZ2" s="306"/>
      <c r="KTA2" s="306"/>
      <c r="KTB2" s="306"/>
      <c r="KTC2" s="306"/>
      <c r="KTD2" s="306"/>
      <c r="KTE2" s="306"/>
      <c r="KTF2" s="306"/>
      <c r="KTG2" s="306"/>
      <c r="KTH2" s="306"/>
      <c r="KTI2" s="306"/>
      <c r="KTJ2" s="306"/>
      <c r="KTK2" s="306"/>
      <c r="KTL2" s="306"/>
      <c r="KTM2" s="306"/>
      <c r="KTN2" s="306"/>
      <c r="KTO2" s="306"/>
      <c r="KTP2" s="306"/>
      <c r="KTQ2" s="306"/>
      <c r="KTR2" s="306"/>
      <c r="KTS2" s="306"/>
      <c r="KTT2" s="306"/>
      <c r="KTU2" s="306"/>
      <c r="KTV2" s="306"/>
      <c r="KTW2" s="306"/>
      <c r="KTX2" s="306"/>
      <c r="KTY2" s="306"/>
      <c r="KTZ2" s="306"/>
      <c r="KUA2" s="306"/>
      <c r="KUB2" s="306"/>
      <c r="KUC2" s="306"/>
      <c r="KUD2" s="306"/>
      <c r="KUE2" s="306"/>
      <c r="KUF2" s="306"/>
      <c r="KUG2" s="306"/>
      <c r="KUH2" s="306"/>
      <c r="KUI2" s="306"/>
      <c r="KUJ2" s="306"/>
      <c r="KUK2" s="306"/>
      <c r="KUL2" s="306"/>
      <c r="KUM2" s="306"/>
      <c r="KUN2" s="306"/>
      <c r="KUO2" s="306"/>
      <c r="KUP2" s="306"/>
      <c r="KUQ2" s="306"/>
      <c r="KUR2" s="306"/>
      <c r="KUS2" s="306"/>
      <c r="KUT2" s="306"/>
      <c r="KUU2" s="306"/>
      <c r="KUV2" s="306"/>
      <c r="KUW2" s="306"/>
      <c r="KUX2" s="306"/>
      <c r="KUY2" s="306"/>
      <c r="KUZ2" s="306"/>
      <c r="KVA2" s="306"/>
      <c r="KVB2" s="306"/>
      <c r="KVC2" s="306"/>
      <c r="KVD2" s="306"/>
      <c r="KVE2" s="306"/>
      <c r="KVF2" s="306"/>
      <c r="KVG2" s="306"/>
      <c r="KVH2" s="306"/>
      <c r="KVI2" s="306"/>
      <c r="KVJ2" s="306"/>
      <c r="KVK2" s="306"/>
      <c r="KVL2" s="306"/>
      <c r="KVM2" s="306"/>
      <c r="KVN2" s="306"/>
      <c r="KVO2" s="306"/>
      <c r="KVP2" s="306"/>
      <c r="KVQ2" s="306"/>
      <c r="KVR2" s="306"/>
      <c r="KVS2" s="306"/>
      <c r="KVT2" s="306"/>
      <c r="KVU2" s="306"/>
      <c r="KVV2" s="306"/>
      <c r="KVW2" s="306"/>
      <c r="KVX2" s="306"/>
      <c r="KVY2" s="306"/>
      <c r="KVZ2" s="306"/>
      <c r="KWA2" s="306"/>
      <c r="KWB2" s="306"/>
      <c r="KWC2" s="306"/>
      <c r="KWD2" s="306"/>
      <c r="KWE2" s="306"/>
      <c r="KWF2" s="306"/>
      <c r="KWG2" s="306"/>
      <c r="KWH2" s="306"/>
      <c r="KWI2" s="306"/>
      <c r="KWJ2" s="306"/>
      <c r="KWK2" s="306"/>
      <c r="KWL2" s="306"/>
      <c r="KWM2" s="306"/>
      <c r="KWN2" s="306"/>
      <c r="KWO2" s="306"/>
      <c r="KWP2" s="306"/>
      <c r="KWQ2" s="306"/>
      <c r="KWR2" s="306"/>
      <c r="KWS2" s="306"/>
      <c r="KWT2" s="306"/>
      <c r="KWU2" s="306"/>
      <c r="KWV2" s="306"/>
      <c r="KWW2" s="306"/>
      <c r="KWX2" s="306"/>
      <c r="KWY2" s="306"/>
      <c r="KWZ2" s="306"/>
      <c r="KXA2" s="306"/>
      <c r="KXB2" s="306"/>
      <c r="KXC2" s="306"/>
      <c r="KXD2" s="306"/>
      <c r="KXE2" s="306"/>
      <c r="KXF2" s="306"/>
      <c r="KXG2" s="306"/>
      <c r="KXH2" s="306"/>
      <c r="KXI2" s="306"/>
      <c r="KXJ2" s="306"/>
      <c r="KXK2" s="306"/>
      <c r="KXL2" s="306"/>
      <c r="KXM2" s="306"/>
      <c r="KXN2" s="306"/>
      <c r="KXO2" s="306"/>
      <c r="KXP2" s="306"/>
      <c r="KXQ2" s="306"/>
      <c r="KXR2" s="306"/>
      <c r="KXS2" s="306"/>
      <c r="KXT2" s="306"/>
      <c r="KXU2" s="306"/>
      <c r="KXV2" s="306"/>
      <c r="KXW2" s="306"/>
      <c r="KXX2" s="306"/>
      <c r="KXY2" s="306"/>
      <c r="KXZ2" s="306"/>
      <c r="KYA2" s="306"/>
      <c r="KYB2" s="306"/>
      <c r="KYC2" s="306"/>
      <c r="KYD2" s="306"/>
      <c r="KYE2" s="306"/>
      <c r="KYF2" s="306"/>
      <c r="KYG2" s="306"/>
      <c r="KYH2" s="306"/>
      <c r="KYI2" s="306"/>
      <c r="KYJ2" s="306"/>
      <c r="KYK2" s="306"/>
      <c r="KYL2" s="306"/>
      <c r="KYM2" s="306"/>
      <c r="KYN2" s="306"/>
      <c r="KYO2" s="306"/>
      <c r="KYP2" s="306"/>
      <c r="KYQ2" s="306"/>
      <c r="KYR2" s="306"/>
      <c r="KYS2" s="306"/>
      <c r="KYT2" s="306"/>
      <c r="KYU2" s="306"/>
      <c r="KYV2" s="306"/>
      <c r="KYW2" s="306"/>
      <c r="KYX2" s="306"/>
      <c r="KYY2" s="306"/>
      <c r="KYZ2" s="306"/>
      <c r="KZA2" s="306"/>
      <c r="KZB2" s="306"/>
      <c r="KZC2" s="306"/>
      <c r="KZD2" s="306"/>
      <c r="KZE2" s="306"/>
      <c r="KZF2" s="306"/>
      <c r="KZG2" s="306"/>
      <c r="KZH2" s="306"/>
      <c r="KZI2" s="306"/>
      <c r="KZJ2" s="306"/>
      <c r="KZK2" s="306"/>
      <c r="KZL2" s="306"/>
      <c r="KZM2" s="306"/>
      <c r="KZN2" s="306"/>
      <c r="KZO2" s="306"/>
      <c r="KZP2" s="306"/>
      <c r="KZQ2" s="306"/>
      <c r="KZR2" s="306"/>
      <c r="KZS2" s="306"/>
      <c r="KZT2" s="306"/>
      <c r="KZU2" s="306"/>
      <c r="KZV2" s="306"/>
      <c r="KZW2" s="306"/>
      <c r="KZX2" s="306"/>
      <c r="KZY2" s="306"/>
      <c r="KZZ2" s="306"/>
      <c r="LAA2" s="306"/>
      <c r="LAB2" s="306"/>
      <c r="LAC2" s="306"/>
      <c r="LAD2" s="306"/>
      <c r="LAE2" s="306"/>
      <c r="LAF2" s="306"/>
      <c r="LAG2" s="306"/>
      <c r="LAH2" s="306"/>
      <c r="LAI2" s="306"/>
      <c r="LAJ2" s="306"/>
      <c r="LAK2" s="306"/>
      <c r="LAL2" s="306"/>
      <c r="LAM2" s="306"/>
      <c r="LAN2" s="306"/>
      <c r="LAO2" s="306"/>
      <c r="LAP2" s="306"/>
      <c r="LAQ2" s="306"/>
      <c r="LAR2" s="306"/>
      <c r="LAS2" s="306"/>
      <c r="LAT2" s="306"/>
      <c r="LAU2" s="306"/>
      <c r="LAV2" s="306"/>
      <c r="LAW2" s="306"/>
      <c r="LAX2" s="306"/>
      <c r="LAY2" s="306"/>
      <c r="LAZ2" s="306"/>
      <c r="LBA2" s="306"/>
      <c r="LBB2" s="306"/>
      <c r="LBC2" s="306"/>
      <c r="LBD2" s="306"/>
      <c r="LBE2" s="306"/>
      <c r="LBF2" s="306"/>
      <c r="LBG2" s="306"/>
      <c r="LBH2" s="306"/>
      <c r="LBI2" s="306"/>
      <c r="LBJ2" s="306"/>
      <c r="LBK2" s="306"/>
      <c r="LBL2" s="306"/>
      <c r="LBM2" s="306"/>
      <c r="LBN2" s="306"/>
      <c r="LBO2" s="306"/>
      <c r="LBP2" s="306"/>
      <c r="LBQ2" s="306"/>
      <c r="LBR2" s="306"/>
      <c r="LBS2" s="306"/>
      <c r="LBT2" s="306"/>
      <c r="LBU2" s="306"/>
      <c r="LBV2" s="306"/>
      <c r="LBW2" s="306"/>
      <c r="LBX2" s="306"/>
      <c r="LBY2" s="306"/>
      <c r="LBZ2" s="306"/>
      <c r="LCA2" s="306"/>
      <c r="LCB2" s="306"/>
      <c r="LCC2" s="306"/>
      <c r="LCD2" s="306"/>
      <c r="LCE2" s="306"/>
      <c r="LCF2" s="306"/>
      <c r="LCG2" s="306"/>
      <c r="LCH2" s="306"/>
      <c r="LCI2" s="306"/>
      <c r="LCJ2" s="306"/>
      <c r="LCK2" s="306"/>
      <c r="LCL2" s="306"/>
      <c r="LCM2" s="306"/>
      <c r="LCN2" s="306"/>
      <c r="LCO2" s="306"/>
      <c r="LCP2" s="306"/>
      <c r="LCQ2" s="306"/>
      <c r="LCR2" s="306"/>
      <c r="LCS2" s="306"/>
      <c r="LCT2" s="306"/>
      <c r="LCU2" s="306"/>
      <c r="LCV2" s="306"/>
      <c r="LCW2" s="306"/>
      <c r="LCX2" s="306"/>
      <c r="LCY2" s="306"/>
      <c r="LCZ2" s="306"/>
      <c r="LDA2" s="306"/>
      <c r="LDB2" s="306"/>
      <c r="LDC2" s="306"/>
      <c r="LDD2" s="306"/>
      <c r="LDE2" s="306"/>
      <c r="LDF2" s="306"/>
      <c r="LDG2" s="306"/>
      <c r="LDH2" s="306"/>
      <c r="LDI2" s="306"/>
      <c r="LDJ2" s="306"/>
      <c r="LDK2" s="306"/>
      <c r="LDL2" s="306"/>
      <c r="LDM2" s="306"/>
      <c r="LDN2" s="306"/>
      <c r="LDO2" s="306"/>
      <c r="LDP2" s="306"/>
      <c r="LDQ2" s="306"/>
      <c r="LDR2" s="306"/>
      <c r="LDS2" s="306"/>
      <c r="LDT2" s="306"/>
      <c r="LDU2" s="306"/>
      <c r="LDV2" s="306"/>
      <c r="LDW2" s="306"/>
      <c r="LDX2" s="306"/>
      <c r="LDY2" s="306"/>
      <c r="LDZ2" s="306"/>
      <c r="LEA2" s="306"/>
      <c r="LEB2" s="306"/>
      <c r="LEC2" s="306"/>
      <c r="LED2" s="306"/>
      <c r="LEE2" s="306"/>
      <c r="LEF2" s="306"/>
      <c r="LEG2" s="306"/>
      <c r="LEH2" s="306"/>
      <c r="LEI2" s="306"/>
      <c r="LEJ2" s="306"/>
      <c r="LEK2" s="306"/>
      <c r="LEL2" s="306"/>
      <c r="LEM2" s="306"/>
      <c r="LEN2" s="306"/>
      <c r="LEO2" s="306"/>
      <c r="LEP2" s="306"/>
      <c r="LEQ2" s="306"/>
      <c r="LER2" s="306"/>
      <c r="LES2" s="306"/>
      <c r="LET2" s="306"/>
      <c r="LEU2" s="306"/>
      <c r="LEV2" s="306"/>
      <c r="LEW2" s="306"/>
      <c r="LEX2" s="306"/>
      <c r="LEY2" s="306"/>
      <c r="LEZ2" s="306"/>
      <c r="LFA2" s="306"/>
      <c r="LFB2" s="306"/>
      <c r="LFC2" s="306"/>
      <c r="LFD2" s="306"/>
      <c r="LFE2" s="306"/>
      <c r="LFF2" s="306"/>
      <c r="LFG2" s="306"/>
      <c r="LFH2" s="306"/>
      <c r="LFI2" s="306"/>
      <c r="LFJ2" s="306"/>
      <c r="LFK2" s="306"/>
      <c r="LFL2" s="306"/>
      <c r="LFM2" s="306"/>
      <c r="LFN2" s="306"/>
      <c r="LFO2" s="306"/>
      <c r="LFP2" s="306"/>
      <c r="LFQ2" s="306"/>
      <c r="LFR2" s="306"/>
      <c r="LFS2" s="306"/>
      <c r="LFT2" s="306"/>
      <c r="LFU2" s="306"/>
      <c r="LFV2" s="306"/>
      <c r="LFW2" s="306"/>
      <c r="LFX2" s="306"/>
      <c r="LFY2" s="306"/>
      <c r="LFZ2" s="306"/>
      <c r="LGA2" s="306"/>
      <c r="LGB2" s="306"/>
      <c r="LGC2" s="306"/>
      <c r="LGD2" s="306"/>
      <c r="LGE2" s="306"/>
      <c r="LGF2" s="306"/>
      <c r="LGG2" s="306"/>
      <c r="LGH2" s="306"/>
      <c r="LGI2" s="306"/>
      <c r="LGJ2" s="306"/>
      <c r="LGK2" s="306"/>
      <c r="LGL2" s="306"/>
      <c r="LGM2" s="306"/>
      <c r="LGN2" s="306"/>
      <c r="LGO2" s="306"/>
      <c r="LGP2" s="306"/>
      <c r="LGQ2" s="306"/>
      <c r="LGR2" s="306"/>
      <c r="LGS2" s="306"/>
      <c r="LGT2" s="306"/>
      <c r="LGU2" s="306"/>
      <c r="LGV2" s="306"/>
      <c r="LGW2" s="306"/>
      <c r="LGX2" s="306"/>
      <c r="LGY2" s="306"/>
      <c r="LGZ2" s="306"/>
      <c r="LHA2" s="306"/>
      <c r="LHB2" s="306"/>
      <c r="LHC2" s="306"/>
      <c r="LHD2" s="306"/>
      <c r="LHE2" s="306"/>
      <c r="LHF2" s="306"/>
      <c r="LHG2" s="306"/>
      <c r="LHH2" s="306"/>
      <c r="LHI2" s="306"/>
      <c r="LHJ2" s="306"/>
      <c r="LHK2" s="306"/>
      <c r="LHL2" s="306"/>
      <c r="LHM2" s="306"/>
      <c r="LHN2" s="306"/>
      <c r="LHO2" s="306"/>
      <c r="LHP2" s="306"/>
      <c r="LHQ2" s="306"/>
      <c r="LHR2" s="306"/>
      <c r="LHS2" s="306"/>
      <c r="LHT2" s="306"/>
      <c r="LHU2" s="306"/>
      <c r="LHV2" s="306"/>
      <c r="LHW2" s="306"/>
      <c r="LHX2" s="306"/>
      <c r="LHY2" s="306"/>
      <c r="LHZ2" s="306"/>
      <c r="LIA2" s="306"/>
      <c r="LIB2" s="306"/>
      <c r="LIC2" s="306"/>
      <c r="LID2" s="306"/>
      <c r="LIE2" s="306"/>
      <c r="LIF2" s="306"/>
      <c r="LIG2" s="306"/>
      <c r="LIH2" s="306"/>
      <c r="LII2" s="306"/>
      <c r="LIJ2" s="306"/>
      <c r="LIK2" s="306"/>
      <c r="LIL2" s="306"/>
      <c r="LIM2" s="306"/>
      <c r="LIN2" s="306"/>
      <c r="LIO2" s="306"/>
      <c r="LIP2" s="306"/>
      <c r="LIQ2" s="306"/>
      <c r="LIR2" s="306"/>
      <c r="LIS2" s="306"/>
      <c r="LIT2" s="306"/>
      <c r="LIU2" s="306"/>
      <c r="LIV2" s="306"/>
      <c r="LIW2" s="306"/>
      <c r="LIX2" s="306"/>
      <c r="LIY2" s="306"/>
      <c r="LIZ2" s="306"/>
      <c r="LJA2" s="306"/>
      <c r="LJB2" s="306"/>
      <c r="LJC2" s="306"/>
      <c r="LJD2" s="306"/>
      <c r="LJE2" s="306"/>
      <c r="LJF2" s="306"/>
      <c r="LJG2" s="306"/>
      <c r="LJH2" s="306"/>
      <c r="LJI2" s="306"/>
      <c r="LJJ2" s="306"/>
      <c r="LJK2" s="306"/>
      <c r="LJL2" s="306"/>
      <c r="LJM2" s="306"/>
      <c r="LJN2" s="306"/>
      <c r="LJO2" s="306"/>
      <c r="LJP2" s="306"/>
      <c r="LJQ2" s="306"/>
      <c r="LJR2" s="306"/>
      <c r="LJS2" s="306"/>
      <c r="LJT2" s="306"/>
      <c r="LJU2" s="306"/>
      <c r="LJV2" s="306"/>
      <c r="LJW2" s="306"/>
      <c r="LJX2" s="306"/>
      <c r="LJY2" s="306"/>
      <c r="LJZ2" s="306"/>
      <c r="LKA2" s="306"/>
      <c r="LKB2" s="306"/>
      <c r="LKC2" s="306"/>
      <c r="LKD2" s="306"/>
      <c r="LKE2" s="306"/>
      <c r="LKF2" s="306"/>
      <c r="LKG2" s="306"/>
      <c r="LKH2" s="306"/>
      <c r="LKI2" s="306"/>
      <c r="LKJ2" s="306"/>
      <c r="LKK2" s="306"/>
      <c r="LKL2" s="306"/>
      <c r="LKM2" s="306"/>
      <c r="LKN2" s="306"/>
      <c r="LKO2" s="306"/>
      <c r="LKP2" s="306"/>
      <c r="LKQ2" s="306"/>
      <c r="LKR2" s="306"/>
      <c r="LKS2" s="306"/>
      <c r="LKT2" s="306"/>
      <c r="LKU2" s="306"/>
      <c r="LKV2" s="306"/>
      <c r="LKW2" s="306"/>
      <c r="LKX2" s="306"/>
      <c r="LKY2" s="306"/>
      <c r="LKZ2" s="306"/>
      <c r="LLA2" s="306"/>
      <c r="LLB2" s="306"/>
      <c r="LLC2" s="306"/>
      <c r="LLD2" s="306"/>
      <c r="LLE2" s="306"/>
      <c r="LLF2" s="306"/>
      <c r="LLG2" s="306"/>
      <c r="LLH2" s="306"/>
      <c r="LLI2" s="306"/>
      <c r="LLJ2" s="306"/>
      <c r="LLK2" s="306"/>
      <c r="LLL2" s="306"/>
      <c r="LLM2" s="306"/>
      <c r="LLN2" s="306"/>
      <c r="LLO2" s="306"/>
      <c r="LLP2" s="306"/>
      <c r="LLQ2" s="306"/>
      <c r="LLR2" s="306"/>
      <c r="LLS2" s="306"/>
      <c r="LLT2" s="306"/>
      <c r="LLU2" s="306"/>
      <c r="LLV2" s="306"/>
      <c r="LLW2" s="306"/>
      <c r="LLX2" s="306"/>
      <c r="LLY2" s="306"/>
      <c r="LLZ2" s="306"/>
      <c r="LMA2" s="306"/>
      <c r="LMB2" s="306"/>
      <c r="LMC2" s="306"/>
      <c r="LMD2" s="306"/>
      <c r="LME2" s="306"/>
      <c r="LMF2" s="306"/>
      <c r="LMG2" s="306"/>
      <c r="LMH2" s="306"/>
      <c r="LMI2" s="306"/>
      <c r="LMJ2" s="306"/>
      <c r="LMK2" s="306"/>
      <c r="LML2" s="306"/>
      <c r="LMM2" s="306"/>
      <c r="LMN2" s="306"/>
      <c r="LMO2" s="306"/>
      <c r="LMP2" s="306"/>
      <c r="LMQ2" s="306"/>
      <c r="LMR2" s="306"/>
      <c r="LMS2" s="306"/>
      <c r="LMT2" s="306"/>
      <c r="LMU2" s="306"/>
      <c r="LMV2" s="306"/>
      <c r="LMW2" s="306"/>
      <c r="LMX2" s="306"/>
      <c r="LMY2" s="306"/>
      <c r="LMZ2" s="306"/>
      <c r="LNA2" s="306"/>
      <c r="LNB2" s="306"/>
      <c r="LNC2" s="306"/>
      <c r="LND2" s="306"/>
      <c r="LNE2" s="306"/>
      <c r="LNF2" s="306"/>
      <c r="LNG2" s="306"/>
      <c r="LNH2" s="306"/>
      <c r="LNI2" s="306"/>
      <c r="LNJ2" s="306"/>
      <c r="LNK2" s="306"/>
      <c r="LNL2" s="306"/>
      <c r="LNM2" s="306"/>
      <c r="LNN2" s="306"/>
      <c r="LNO2" s="306"/>
      <c r="LNP2" s="306"/>
      <c r="LNQ2" s="306"/>
      <c r="LNR2" s="306"/>
      <c r="LNS2" s="306"/>
      <c r="LNT2" s="306"/>
      <c r="LNU2" s="306"/>
      <c r="LNV2" s="306"/>
      <c r="LNW2" s="306"/>
      <c r="LNX2" s="306"/>
      <c r="LNY2" s="306"/>
      <c r="LNZ2" s="306"/>
      <c r="LOA2" s="306"/>
      <c r="LOB2" s="306"/>
      <c r="LOC2" s="306"/>
      <c r="LOD2" s="306"/>
      <c r="LOE2" s="306"/>
      <c r="LOF2" s="306"/>
      <c r="LOG2" s="306"/>
      <c r="LOH2" s="306"/>
      <c r="LOI2" s="306"/>
      <c r="LOJ2" s="306"/>
      <c r="LOK2" s="306"/>
      <c r="LOL2" s="306"/>
      <c r="LOM2" s="306"/>
      <c r="LON2" s="306"/>
      <c r="LOO2" s="306"/>
      <c r="LOP2" s="306"/>
      <c r="LOQ2" s="306"/>
      <c r="LOR2" s="306"/>
      <c r="LOS2" s="306"/>
      <c r="LOT2" s="306"/>
      <c r="LOU2" s="306"/>
      <c r="LOV2" s="306"/>
      <c r="LOW2" s="306"/>
      <c r="LOX2" s="306"/>
      <c r="LOY2" s="306"/>
      <c r="LOZ2" s="306"/>
      <c r="LPA2" s="306"/>
      <c r="LPB2" s="306"/>
      <c r="LPC2" s="306"/>
      <c r="LPD2" s="306"/>
      <c r="LPE2" s="306"/>
      <c r="LPF2" s="306"/>
      <c r="LPG2" s="306"/>
      <c r="LPH2" s="306"/>
      <c r="LPI2" s="306"/>
      <c r="LPJ2" s="306"/>
      <c r="LPK2" s="306"/>
      <c r="LPL2" s="306"/>
      <c r="LPM2" s="306"/>
      <c r="LPN2" s="306"/>
      <c r="LPO2" s="306"/>
      <c r="LPP2" s="306"/>
      <c r="LPQ2" s="306"/>
      <c r="LPR2" s="306"/>
      <c r="LPS2" s="306"/>
      <c r="LPT2" s="306"/>
      <c r="LPU2" s="306"/>
      <c r="LPV2" s="306"/>
      <c r="LPW2" s="306"/>
      <c r="LPX2" s="306"/>
      <c r="LPY2" s="306"/>
      <c r="LPZ2" s="306"/>
      <c r="LQA2" s="306"/>
      <c r="LQB2" s="306"/>
      <c r="LQC2" s="306"/>
      <c r="LQD2" s="306"/>
      <c r="LQE2" s="306"/>
      <c r="LQF2" s="306"/>
      <c r="LQG2" s="306"/>
      <c r="LQH2" s="306"/>
      <c r="LQI2" s="306"/>
      <c r="LQJ2" s="306"/>
      <c r="LQK2" s="306"/>
      <c r="LQL2" s="306"/>
      <c r="LQM2" s="306"/>
      <c r="LQN2" s="306"/>
      <c r="LQO2" s="306"/>
      <c r="LQP2" s="306"/>
      <c r="LQQ2" s="306"/>
      <c r="LQR2" s="306"/>
      <c r="LQS2" s="306"/>
      <c r="LQT2" s="306"/>
      <c r="LQU2" s="306"/>
      <c r="LQV2" s="306"/>
      <c r="LQW2" s="306"/>
      <c r="LQX2" s="306"/>
      <c r="LQY2" s="306"/>
      <c r="LQZ2" s="306"/>
      <c r="LRA2" s="306"/>
      <c r="LRB2" s="306"/>
      <c r="LRC2" s="306"/>
      <c r="LRD2" s="306"/>
      <c r="LRE2" s="306"/>
      <c r="LRF2" s="306"/>
      <c r="LRG2" s="306"/>
      <c r="LRH2" s="306"/>
      <c r="LRI2" s="306"/>
      <c r="LRJ2" s="306"/>
      <c r="LRK2" s="306"/>
      <c r="LRL2" s="306"/>
      <c r="LRM2" s="306"/>
      <c r="LRN2" s="306"/>
      <c r="LRO2" s="306"/>
      <c r="LRP2" s="306"/>
      <c r="LRQ2" s="306"/>
      <c r="LRR2" s="306"/>
      <c r="LRS2" s="306"/>
      <c r="LRT2" s="306"/>
      <c r="LRU2" s="306"/>
      <c r="LRV2" s="306"/>
      <c r="LRW2" s="306"/>
      <c r="LRX2" s="306"/>
      <c r="LRY2" s="306"/>
      <c r="LRZ2" s="306"/>
      <c r="LSA2" s="306"/>
      <c r="LSB2" s="306"/>
      <c r="LSC2" s="306"/>
      <c r="LSD2" s="306"/>
      <c r="LSE2" s="306"/>
      <c r="LSF2" s="306"/>
      <c r="LSG2" s="306"/>
      <c r="LSH2" s="306"/>
      <c r="LSI2" s="306"/>
      <c r="LSJ2" s="306"/>
      <c r="LSK2" s="306"/>
      <c r="LSL2" s="306"/>
      <c r="LSM2" s="306"/>
      <c r="LSN2" s="306"/>
      <c r="LSO2" s="306"/>
      <c r="LSP2" s="306"/>
      <c r="LSQ2" s="306"/>
      <c r="LSR2" s="306"/>
      <c r="LSS2" s="306"/>
      <c r="LST2" s="306"/>
      <c r="LSU2" s="306"/>
      <c r="LSV2" s="306"/>
      <c r="LSW2" s="306"/>
      <c r="LSX2" s="306"/>
      <c r="LSY2" s="306"/>
      <c r="LSZ2" s="306"/>
      <c r="LTA2" s="306"/>
      <c r="LTB2" s="306"/>
      <c r="LTC2" s="306"/>
      <c r="LTD2" s="306"/>
      <c r="LTE2" s="306"/>
      <c r="LTF2" s="306"/>
      <c r="LTG2" s="306"/>
      <c r="LTH2" s="306"/>
      <c r="LTI2" s="306"/>
      <c r="LTJ2" s="306"/>
      <c r="LTK2" s="306"/>
      <c r="LTL2" s="306"/>
      <c r="LTM2" s="306"/>
      <c r="LTN2" s="306"/>
      <c r="LTO2" s="306"/>
      <c r="LTP2" s="306"/>
      <c r="LTQ2" s="306"/>
      <c r="LTR2" s="306"/>
      <c r="LTS2" s="306"/>
      <c r="LTT2" s="306"/>
      <c r="LTU2" s="306"/>
      <c r="LTV2" s="306"/>
      <c r="LTW2" s="306"/>
      <c r="LTX2" s="306"/>
      <c r="LTY2" s="306"/>
      <c r="LTZ2" s="306"/>
      <c r="LUA2" s="306"/>
      <c r="LUB2" s="306"/>
      <c r="LUC2" s="306"/>
      <c r="LUD2" s="306"/>
      <c r="LUE2" s="306"/>
      <c r="LUF2" s="306"/>
      <c r="LUG2" s="306"/>
      <c r="LUH2" s="306"/>
      <c r="LUI2" s="306"/>
      <c r="LUJ2" s="306"/>
      <c r="LUK2" s="306"/>
      <c r="LUL2" s="306"/>
      <c r="LUM2" s="306"/>
      <c r="LUN2" s="306"/>
      <c r="LUO2" s="306"/>
      <c r="LUP2" s="306"/>
      <c r="LUQ2" s="306"/>
      <c r="LUR2" s="306"/>
      <c r="LUS2" s="306"/>
      <c r="LUT2" s="306"/>
      <c r="LUU2" s="306"/>
      <c r="LUV2" s="306"/>
      <c r="LUW2" s="306"/>
      <c r="LUX2" s="306"/>
      <c r="LUY2" s="306"/>
      <c r="LUZ2" s="306"/>
      <c r="LVA2" s="306"/>
      <c r="LVB2" s="306"/>
      <c r="LVC2" s="306"/>
      <c r="LVD2" s="306"/>
      <c r="LVE2" s="306"/>
      <c r="LVF2" s="306"/>
      <c r="LVG2" s="306"/>
      <c r="LVH2" s="306"/>
      <c r="LVI2" s="306"/>
      <c r="LVJ2" s="306"/>
      <c r="LVK2" s="306"/>
      <c r="LVL2" s="306"/>
      <c r="LVM2" s="306"/>
      <c r="LVN2" s="306"/>
      <c r="LVO2" s="306"/>
      <c r="LVP2" s="306"/>
      <c r="LVQ2" s="306"/>
      <c r="LVR2" s="306"/>
      <c r="LVS2" s="306"/>
      <c r="LVT2" s="306"/>
      <c r="LVU2" s="306"/>
      <c r="LVV2" s="306"/>
      <c r="LVW2" s="306"/>
      <c r="LVX2" s="306"/>
      <c r="LVY2" s="306"/>
      <c r="LVZ2" s="306"/>
      <c r="LWA2" s="306"/>
      <c r="LWB2" s="306"/>
      <c r="LWC2" s="306"/>
      <c r="LWD2" s="306"/>
      <c r="LWE2" s="306"/>
      <c r="LWF2" s="306"/>
      <c r="LWG2" s="306"/>
      <c r="LWH2" s="306"/>
      <c r="LWI2" s="306"/>
      <c r="LWJ2" s="306"/>
      <c r="LWK2" s="306"/>
      <c r="LWL2" s="306"/>
      <c r="LWM2" s="306"/>
      <c r="LWN2" s="306"/>
      <c r="LWO2" s="306"/>
      <c r="LWP2" s="306"/>
      <c r="LWQ2" s="306"/>
      <c r="LWR2" s="306"/>
      <c r="LWS2" s="306"/>
      <c r="LWT2" s="306"/>
      <c r="LWU2" s="306"/>
      <c r="LWV2" s="306"/>
      <c r="LWW2" s="306"/>
      <c r="LWX2" s="306"/>
      <c r="LWY2" s="306"/>
      <c r="LWZ2" s="306"/>
      <c r="LXA2" s="306"/>
      <c r="LXB2" s="306"/>
      <c r="LXC2" s="306"/>
      <c r="LXD2" s="306"/>
      <c r="LXE2" s="306"/>
      <c r="LXF2" s="306"/>
      <c r="LXG2" s="306"/>
      <c r="LXH2" s="306"/>
      <c r="LXI2" s="306"/>
      <c r="LXJ2" s="306"/>
      <c r="LXK2" s="306"/>
      <c r="LXL2" s="306"/>
      <c r="LXM2" s="306"/>
      <c r="LXN2" s="306"/>
      <c r="LXO2" s="306"/>
      <c r="LXP2" s="306"/>
      <c r="LXQ2" s="306"/>
      <c r="LXR2" s="306"/>
      <c r="LXS2" s="306"/>
      <c r="LXT2" s="306"/>
      <c r="LXU2" s="306"/>
      <c r="LXV2" s="306"/>
      <c r="LXW2" s="306"/>
      <c r="LXX2" s="306"/>
      <c r="LXY2" s="306"/>
      <c r="LXZ2" s="306"/>
      <c r="LYA2" s="306"/>
      <c r="LYB2" s="306"/>
      <c r="LYC2" s="306"/>
      <c r="LYD2" s="306"/>
      <c r="LYE2" s="306"/>
      <c r="LYF2" s="306"/>
      <c r="LYG2" s="306"/>
      <c r="LYH2" s="306"/>
      <c r="LYI2" s="306"/>
      <c r="LYJ2" s="306"/>
      <c r="LYK2" s="306"/>
      <c r="LYL2" s="306"/>
      <c r="LYM2" s="306"/>
      <c r="LYN2" s="306"/>
      <c r="LYO2" s="306"/>
      <c r="LYP2" s="306"/>
      <c r="LYQ2" s="306"/>
      <c r="LYR2" s="306"/>
      <c r="LYS2" s="306"/>
      <c r="LYT2" s="306"/>
      <c r="LYU2" s="306"/>
      <c r="LYV2" s="306"/>
      <c r="LYW2" s="306"/>
      <c r="LYX2" s="306"/>
      <c r="LYY2" s="306"/>
      <c r="LYZ2" s="306"/>
      <c r="LZA2" s="306"/>
      <c r="LZB2" s="306"/>
      <c r="LZC2" s="306"/>
      <c r="LZD2" s="306"/>
      <c r="LZE2" s="306"/>
      <c r="LZF2" s="306"/>
      <c r="LZG2" s="306"/>
      <c r="LZH2" s="306"/>
      <c r="LZI2" s="306"/>
      <c r="LZJ2" s="306"/>
      <c r="LZK2" s="306"/>
      <c r="LZL2" s="306"/>
      <c r="LZM2" s="306"/>
      <c r="LZN2" s="306"/>
      <c r="LZO2" s="306"/>
      <c r="LZP2" s="306"/>
      <c r="LZQ2" s="306"/>
      <c r="LZR2" s="306"/>
      <c r="LZS2" s="306"/>
      <c r="LZT2" s="306"/>
      <c r="LZU2" s="306"/>
      <c r="LZV2" s="306"/>
      <c r="LZW2" s="306"/>
      <c r="LZX2" s="306"/>
      <c r="LZY2" s="306"/>
      <c r="LZZ2" s="306"/>
      <c r="MAA2" s="306"/>
      <c r="MAB2" s="306"/>
      <c r="MAC2" s="306"/>
      <c r="MAD2" s="306"/>
      <c r="MAE2" s="306"/>
      <c r="MAF2" s="306"/>
      <c r="MAG2" s="306"/>
      <c r="MAH2" s="306"/>
      <c r="MAI2" s="306"/>
      <c r="MAJ2" s="306"/>
      <c r="MAK2" s="306"/>
      <c r="MAL2" s="306"/>
      <c r="MAM2" s="306"/>
      <c r="MAN2" s="306"/>
      <c r="MAO2" s="306"/>
      <c r="MAP2" s="306"/>
      <c r="MAQ2" s="306"/>
      <c r="MAR2" s="306"/>
      <c r="MAS2" s="306"/>
      <c r="MAT2" s="306"/>
      <c r="MAU2" s="306"/>
      <c r="MAV2" s="306"/>
      <c r="MAW2" s="306"/>
      <c r="MAX2" s="306"/>
      <c r="MAY2" s="306"/>
      <c r="MAZ2" s="306"/>
      <c r="MBA2" s="306"/>
      <c r="MBB2" s="306"/>
      <c r="MBC2" s="306"/>
      <c r="MBD2" s="306"/>
      <c r="MBE2" s="306"/>
      <c r="MBF2" s="306"/>
      <c r="MBG2" s="306"/>
      <c r="MBH2" s="306"/>
      <c r="MBI2" s="306"/>
      <c r="MBJ2" s="306"/>
      <c r="MBK2" s="306"/>
      <c r="MBL2" s="306"/>
      <c r="MBM2" s="306"/>
      <c r="MBN2" s="306"/>
      <c r="MBO2" s="306"/>
      <c r="MBP2" s="306"/>
      <c r="MBQ2" s="306"/>
      <c r="MBR2" s="306"/>
      <c r="MBS2" s="306"/>
      <c r="MBT2" s="306"/>
      <c r="MBU2" s="306"/>
      <c r="MBV2" s="306"/>
      <c r="MBW2" s="306"/>
      <c r="MBX2" s="306"/>
      <c r="MBY2" s="306"/>
      <c r="MBZ2" s="306"/>
      <c r="MCA2" s="306"/>
      <c r="MCB2" s="306"/>
      <c r="MCC2" s="306"/>
      <c r="MCD2" s="306"/>
      <c r="MCE2" s="306"/>
      <c r="MCF2" s="306"/>
      <c r="MCG2" s="306"/>
      <c r="MCH2" s="306"/>
      <c r="MCI2" s="306"/>
      <c r="MCJ2" s="306"/>
      <c r="MCK2" s="306"/>
      <c r="MCL2" s="306"/>
      <c r="MCM2" s="306"/>
      <c r="MCN2" s="306"/>
      <c r="MCO2" s="306"/>
      <c r="MCP2" s="306"/>
      <c r="MCQ2" s="306"/>
      <c r="MCR2" s="306"/>
      <c r="MCS2" s="306"/>
      <c r="MCT2" s="306"/>
      <c r="MCU2" s="306"/>
      <c r="MCV2" s="306"/>
      <c r="MCW2" s="306"/>
      <c r="MCX2" s="306"/>
      <c r="MCY2" s="306"/>
      <c r="MCZ2" s="306"/>
      <c r="MDA2" s="306"/>
      <c r="MDB2" s="306"/>
      <c r="MDC2" s="306"/>
      <c r="MDD2" s="306"/>
      <c r="MDE2" s="306"/>
      <c r="MDF2" s="306"/>
      <c r="MDG2" s="306"/>
      <c r="MDH2" s="306"/>
      <c r="MDI2" s="306"/>
      <c r="MDJ2" s="306"/>
      <c r="MDK2" s="306"/>
      <c r="MDL2" s="306"/>
      <c r="MDM2" s="306"/>
      <c r="MDN2" s="306"/>
      <c r="MDO2" s="306"/>
      <c r="MDP2" s="306"/>
      <c r="MDQ2" s="306"/>
      <c r="MDR2" s="306"/>
      <c r="MDS2" s="306"/>
      <c r="MDT2" s="306"/>
      <c r="MDU2" s="306"/>
      <c r="MDV2" s="306"/>
      <c r="MDW2" s="306"/>
      <c r="MDX2" s="306"/>
      <c r="MDY2" s="306"/>
      <c r="MDZ2" s="306"/>
      <c r="MEA2" s="306"/>
      <c r="MEB2" s="306"/>
      <c r="MEC2" s="306"/>
      <c r="MED2" s="306"/>
      <c r="MEE2" s="306"/>
      <c r="MEF2" s="306"/>
      <c r="MEG2" s="306"/>
      <c r="MEH2" s="306"/>
      <c r="MEI2" s="306"/>
      <c r="MEJ2" s="306"/>
      <c r="MEK2" s="306"/>
      <c r="MEL2" s="306"/>
      <c r="MEM2" s="306"/>
      <c r="MEN2" s="306"/>
      <c r="MEO2" s="306"/>
      <c r="MEP2" s="306"/>
      <c r="MEQ2" s="306"/>
      <c r="MER2" s="306"/>
      <c r="MES2" s="306"/>
      <c r="MET2" s="306"/>
      <c r="MEU2" s="306"/>
      <c r="MEV2" s="306"/>
      <c r="MEW2" s="306"/>
      <c r="MEX2" s="306"/>
      <c r="MEY2" s="306"/>
      <c r="MEZ2" s="306"/>
      <c r="MFA2" s="306"/>
      <c r="MFB2" s="306"/>
      <c r="MFC2" s="306"/>
      <c r="MFD2" s="306"/>
      <c r="MFE2" s="306"/>
      <c r="MFF2" s="306"/>
      <c r="MFG2" s="306"/>
      <c r="MFH2" s="306"/>
      <c r="MFI2" s="306"/>
      <c r="MFJ2" s="306"/>
      <c r="MFK2" s="306"/>
      <c r="MFL2" s="306"/>
      <c r="MFM2" s="306"/>
      <c r="MFN2" s="306"/>
      <c r="MFO2" s="306"/>
      <c r="MFP2" s="306"/>
      <c r="MFQ2" s="306"/>
      <c r="MFR2" s="306"/>
      <c r="MFS2" s="306"/>
      <c r="MFT2" s="306"/>
      <c r="MFU2" s="306"/>
      <c r="MFV2" s="306"/>
      <c r="MFW2" s="306"/>
      <c r="MFX2" s="306"/>
      <c r="MFY2" s="306"/>
      <c r="MFZ2" s="306"/>
      <c r="MGA2" s="306"/>
      <c r="MGB2" s="306"/>
      <c r="MGC2" s="306"/>
      <c r="MGD2" s="306"/>
      <c r="MGE2" s="306"/>
      <c r="MGF2" s="306"/>
      <c r="MGG2" s="306"/>
      <c r="MGH2" s="306"/>
      <c r="MGI2" s="306"/>
      <c r="MGJ2" s="306"/>
      <c r="MGK2" s="306"/>
      <c r="MGL2" s="306"/>
      <c r="MGM2" s="306"/>
      <c r="MGN2" s="306"/>
      <c r="MGO2" s="306"/>
      <c r="MGP2" s="306"/>
      <c r="MGQ2" s="306"/>
      <c r="MGR2" s="306"/>
      <c r="MGS2" s="306"/>
      <c r="MGT2" s="306"/>
      <c r="MGU2" s="306"/>
      <c r="MGV2" s="306"/>
      <c r="MGW2" s="306"/>
      <c r="MGX2" s="306"/>
      <c r="MGY2" s="306"/>
      <c r="MGZ2" s="306"/>
      <c r="MHA2" s="306"/>
      <c r="MHB2" s="306"/>
      <c r="MHC2" s="306"/>
      <c r="MHD2" s="306"/>
      <c r="MHE2" s="306"/>
      <c r="MHF2" s="306"/>
      <c r="MHG2" s="306"/>
      <c r="MHH2" s="306"/>
      <c r="MHI2" s="306"/>
      <c r="MHJ2" s="306"/>
      <c r="MHK2" s="306"/>
      <c r="MHL2" s="306"/>
      <c r="MHM2" s="306"/>
      <c r="MHN2" s="306"/>
      <c r="MHO2" s="306"/>
      <c r="MHP2" s="306"/>
      <c r="MHQ2" s="306"/>
      <c r="MHR2" s="306"/>
      <c r="MHS2" s="306"/>
      <c r="MHT2" s="306"/>
      <c r="MHU2" s="306"/>
      <c r="MHV2" s="306"/>
      <c r="MHW2" s="306"/>
      <c r="MHX2" s="306"/>
      <c r="MHY2" s="306"/>
      <c r="MHZ2" s="306"/>
      <c r="MIA2" s="306"/>
      <c r="MIB2" s="306"/>
      <c r="MIC2" s="306"/>
      <c r="MID2" s="306"/>
      <c r="MIE2" s="306"/>
      <c r="MIF2" s="306"/>
      <c r="MIG2" s="306"/>
      <c r="MIH2" s="306"/>
      <c r="MII2" s="306"/>
      <c r="MIJ2" s="306"/>
      <c r="MIK2" s="306"/>
      <c r="MIL2" s="306"/>
      <c r="MIM2" s="306"/>
      <c r="MIN2" s="306"/>
      <c r="MIO2" s="306"/>
      <c r="MIP2" s="306"/>
      <c r="MIQ2" s="306"/>
      <c r="MIR2" s="306"/>
      <c r="MIS2" s="306"/>
      <c r="MIT2" s="306"/>
      <c r="MIU2" s="306"/>
      <c r="MIV2" s="306"/>
      <c r="MIW2" s="306"/>
      <c r="MIX2" s="306"/>
      <c r="MIY2" s="306"/>
      <c r="MIZ2" s="306"/>
      <c r="MJA2" s="306"/>
      <c r="MJB2" s="306"/>
      <c r="MJC2" s="306"/>
      <c r="MJD2" s="306"/>
      <c r="MJE2" s="306"/>
      <c r="MJF2" s="306"/>
      <c r="MJG2" s="306"/>
      <c r="MJH2" s="306"/>
      <c r="MJI2" s="306"/>
      <c r="MJJ2" s="306"/>
      <c r="MJK2" s="306"/>
      <c r="MJL2" s="306"/>
      <c r="MJM2" s="306"/>
      <c r="MJN2" s="306"/>
      <c r="MJO2" s="306"/>
      <c r="MJP2" s="306"/>
      <c r="MJQ2" s="306"/>
      <c r="MJR2" s="306"/>
      <c r="MJS2" s="306"/>
      <c r="MJT2" s="306"/>
      <c r="MJU2" s="306"/>
      <c r="MJV2" s="306"/>
      <c r="MJW2" s="306"/>
      <c r="MJX2" s="306"/>
      <c r="MJY2" s="306"/>
      <c r="MJZ2" s="306"/>
      <c r="MKA2" s="306"/>
      <c r="MKB2" s="306"/>
      <c r="MKC2" s="306"/>
      <c r="MKD2" s="306"/>
      <c r="MKE2" s="306"/>
      <c r="MKF2" s="306"/>
      <c r="MKG2" s="306"/>
      <c r="MKH2" s="306"/>
      <c r="MKI2" s="306"/>
      <c r="MKJ2" s="306"/>
      <c r="MKK2" s="306"/>
      <c r="MKL2" s="306"/>
      <c r="MKM2" s="306"/>
      <c r="MKN2" s="306"/>
      <c r="MKO2" s="306"/>
      <c r="MKP2" s="306"/>
      <c r="MKQ2" s="306"/>
      <c r="MKR2" s="306"/>
      <c r="MKS2" s="306"/>
      <c r="MKT2" s="306"/>
      <c r="MKU2" s="306"/>
      <c r="MKV2" s="306"/>
      <c r="MKW2" s="306"/>
      <c r="MKX2" s="306"/>
      <c r="MKY2" s="306"/>
      <c r="MKZ2" s="306"/>
      <c r="MLA2" s="306"/>
      <c r="MLB2" s="306"/>
      <c r="MLC2" s="306"/>
      <c r="MLD2" s="306"/>
      <c r="MLE2" s="306"/>
      <c r="MLF2" s="306"/>
      <c r="MLG2" s="306"/>
      <c r="MLH2" s="306"/>
      <c r="MLI2" s="306"/>
      <c r="MLJ2" s="306"/>
      <c r="MLK2" s="306"/>
      <c r="MLL2" s="306"/>
      <c r="MLM2" s="306"/>
      <c r="MLN2" s="306"/>
      <c r="MLO2" s="306"/>
      <c r="MLP2" s="306"/>
      <c r="MLQ2" s="306"/>
      <c r="MLR2" s="306"/>
      <c r="MLS2" s="306"/>
      <c r="MLT2" s="306"/>
      <c r="MLU2" s="306"/>
      <c r="MLV2" s="306"/>
      <c r="MLW2" s="306"/>
      <c r="MLX2" s="306"/>
      <c r="MLY2" s="306"/>
      <c r="MLZ2" s="306"/>
      <c r="MMA2" s="306"/>
      <c r="MMB2" s="306"/>
      <c r="MMC2" s="306"/>
      <c r="MMD2" s="306"/>
      <c r="MME2" s="306"/>
      <c r="MMF2" s="306"/>
      <c r="MMG2" s="306"/>
      <c r="MMH2" s="306"/>
      <c r="MMI2" s="306"/>
      <c r="MMJ2" s="306"/>
      <c r="MMK2" s="306"/>
      <c r="MML2" s="306"/>
      <c r="MMM2" s="306"/>
      <c r="MMN2" s="306"/>
      <c r="MMO2" s="306"/>
      <c r="MMP2" s="306"/>
      <c r="MMQ2" s="306"/>
      <c r="MMR2" s="306"/>
      <c r="MMS2" s="306"/>
      <c r="MMT2" s="306"/>
      <c r="MMU2" s="306"/>
      <c r="MMV2" s="306"/>
      <c r="MMW2" s="306"/>
      <c r="MMX2" s="306"/>
      <c r="MMY2" s="306"/>
      <c r="MMZ2" s="306"/>
      <c r="MNA2" s="306"/>
      <c r="MNB2" s="306"/>
      <c r="MNC2" s="306"/>
      <c r="MND2" s="306"/>
      <c r="MNE2" s="306"/>
      <c r="MNF2" s="306"/>
      <c r="MNG2" s="306"/>
      <c r="MNH2" s="306"/>
      <c r="MNI2" s="306"/>
      <c r="MNJ2" s="306"/>
      <c r="MNK2" s="306"/>
      <c r="MNL2" s="306"/>
      <c r="MNM2" s="306"/>
      <c r="MNN2" s="306"/>
      <c r="MNO2" s="306"/>
      <c r="MNP2" s="306"/>
      <c r="MNQ2" s="306"/>
      <c r="MNR2" s="306"/>
      <c r="MNS2" s="306"/>
      <c r="MNT2" s="306"/>
      <c r="MNU2" s="306"/>
      <c r="MNV2" s="306"/>
      <c r="MNW2" s="306"/>
      <c r="MNX2" s="306"/>
      <c r="MNY2" s="306"/>
      <c r="MNZ2" s="306"/>
      <c r="MOA2" s="306"/>
      <c r="MOB2" s="306"/>
      <c r="MOC2" s="306"/>
      <c r="MOD2" s="306"/>
      <c r="MOE2" s="306"/>
      <c r="MOF2" s="306"/>
      <c r="MOG2" s="306"/>
      <c r="MOH2" s="306"/>
      <c r="MOI2" s="306"/>
      <c r="MOJ2" s="306"/>
      <c r="MOK2" s="306"/>
      <c r="MOL2" s="306"/>
      <c r="MOM2" s="306"/>
      <c r="MON2" s="306"/>
      <c r="MOO2" s="306"/>
      <c r="MOP2" s="306"/>
      <c r="MOQ2" s="306"/>
      <c r="MOR2" s="306"/>
      <c r="MOS2" s="306"/>
      <c r="MOT2" s="306"/>
      <c r="MOU2" s="306"/>
      <c r="MOV2" s="306"/>
      <c r="MOW2" s="306"/>
      <c r="MOX2" s="306"/>
      <c r="MOY2" s="306"/>
      <c r="MOZ2" s="306"/>
      <c r="MPA2" s="306"/>
      <c r="MPB2" s="306"/>
      <c r="MPC2" s="306"/>
      <c r="MPD2" s="306"/>
      <c r="MPE2" s="306"/>
      <c r="MPF2" s="306"/>
      <c r="MPG2" s="306"/>
      <c r="MPH2" s="306"/>
      <c r="MPI2" s="306"/>
      <c r="MPJ2" s="306"/>
      <c r="MPK2" s="306"/>
      <c r="MPL2" s="306"/>
      <c r="MPM2" s="306"/>
      <c r="MPN2" s="306"/>
      <c r="MPO2" s="306"/>
      <c r="MPP2" s="306"/>
      <c r="MPQ2" s="306"/>
      <c r="MPR2" s="306"/>
      <c r="MPS2" s="306"/>
      <c r="MPT2" s="306"/>
      <c r="MPU2" s="306"/>
      <c r="MPV2" s="306"/>
      <c r="MPW2" s="306"/>
      <c r="MPX2" s="306"/>
      <c r="MPY2" s="306"/>
      <c r="MPZ2" s="306"/>
      <c r="MQA2" s="306"/>
      <c r="MQB2" s="306"/>
      <c r="MQC2" s="306"/>
      <c r="MQD2" s="306"/>
      <c r="MQE2" s="306"/>
      <c r="MQF2" s="306"/>
      <c r="MQG2" s="306"/>
      <c r="MQH2" s="306"/>
      <c r="MQI2" s="306"/>
      <c r="MQJ2" s="306"/>
      <c r="MQK2" s="306"/>
      <c r="MQL2" s="306"/>
      <c r="MQM2" s="306"/>
      <c r="MQN2" s="306"/>
      <c r="MQO2" s="306"/>
      <c r="MQP2" s="306"/>
      <c r="MQQ2" s="306"/>
      <c r="MQR2" s="306"/>
      <c r="MQS2" s="306"/>
      <c r="MQT2" s="306"/>
      <c r="MQU2" s="306"/>
      <c r="MQV2" s="306"/>
      <c r="MQW2" s="306"/>
      <c r="MQX2" s="306"/>
      <c r="MQY2" s="306"/>
      <c r="MQZ2" s="306"/>
      <c r="MRA2" s="306"/>
      <c r="MRB2" s="306"/>
      <c r="MRC2" s="306"/>
      <c r="MRD2" s="306"/>
      <c r="MRE2" s="306"/>
      <c r="MRF2" s="306"/>
      <c r="MRG2" s="306"/>
      <c r="MRH2" s="306"/>
      <c r="MRI2" s="306"/>
      <c r="MRJ2" s="306"/>
      <c r="MRK2" s="306"/>
      <c r="MRL2" s="306"/>
      <c r="MRM2" s="306"/>
      <c r="MRN2" s="306"/>
      <c r="MRO2" s="306"/>
      <c r="MRP2" s="306"/>
      <c r="MRQ2" s="306"/>
      <c r="MRR2" s="306"/>
      <c r="MRS2" s="306"/>
      <c r="MRT2" s="306"/>
      <c r="MRU2" s="306"/>
      <c r="MRV2" s="306"/>
      <c r="MRW2" s="306"/>
      <c r="MRX2" s="306"/>
      <c r="MRY2" s="306"/>
      <c r="MRZ2" s="306"/>
      <c r="MSA2" s="306"/>
      <c r="MSB2" s="306"/>
      <c r="MSC2" s="306"/>
      <c r="MSD2" s="306"/>
      <c r="MSE2" s="306"/>
      <c r="MSF2" s="306"/>
      <c r="MSG2" s="306"/>
      <c r="MSH2" s="306"/>
      <c r="MSI2" s="306"/>
      <c r="MSJ2" s="306"/>
      <c r="MSK2" s="306"/>
      <c r="MSL2" s="306"/>
      <c r="MSM2" s="306"/>
      <c r="MSN2" s="306"/>
      <c r="MSO2" s="306"/>
      <c r="MSP2" s="306"/>
      <c r="MSQ2" s="306"/>
      <c r="MSR2" s="306"/>
      <c r="MSS2" s="306"/>
      <c r="MST2" s="306"/>
      <c r="MSU2" s="306"/>
      <c r="MSV2" s="306"/>
      <c r="MSW2" s="306"/>
      <c r="MSX2" s="306"/>
      <c r="MSY2" s="306"/>
      <c r="MSZ2" s="306"/>
      <c r="MTA2" s="306"/>
      <c r="MTB2" s="306"/>
      <c r="MTC2" s="306"/>
      <c r="MTD2" s="306"/>
      <c r="MTE2" s="306"/>
      <c r="MTF2" s="306"/>
      <c r="MTG2" s="306"/>
      <c r="MTH2" s="306"/>
      <c r="MTI2" s="306"/>
      <c r="MTJ2" s="306"/>
      <c r="MTK2" s="306"/>
      <c r="MTL2" s="306"/>
      <c r="MTM2" s="306"/>
      <c r="MTN2" s="306"/>
      <c r="MTO2" s="306"/>
      <c r="MTP2" s="306"/>
      <c r="MTQ2" s="306"/>
      <c r="MTR2" s="306"/>
      <c r="MTS2" s="306"/>
      <c r="MTT2" s="306"/>
      <c r="MTU2" s="306"/>
      <c r="MTV2" s="306"/>
      <c r="MTW2" s="306"/>
      <c r="MTX2" s="306"/>
      <c r="MTY2" s="306"/>
      <c r="MTZ2" s="306"/>
      <c r="MUA2" s="306"/>
      <c r="MUB2" s="306"/>
      <c r="MUC2" s="306"/>
      <c r="MUD2" s="306"/>
      <c r="MUE2" s="306"/>
      <c r="MUF2" s="306"/>
      <c r="MUG2" s="306"/>
      <c r="MUH2" s="306"/>
      <c r="MUI2" s="306"/>
      <c r="MUJ2" s="306"/>
      <c r="MUK2" s="306"/>
      <c r="MUL2" s="306"/>
      <c r="MUM2" s="306"/>
      <c r="MUN2" s="306"/>
      <c r="MUO2" s="306"/>
      <c r="MUP2" s="306"/>
      <c r="MUQ2" s="306"/>
      <c r="MUR2" s="306"/>
      <c r="MUS2" s="306"/>
      <c r="MUT2" s="306"/>
      <c r="MUU2" s="306"/>
      <c r="MUV2" s="306"/>
      <c r="MUW2" s="306"/>
      <c r="MUX2" s="306"/>
      <c r="MUY2" s="306"/>
      <c r="MUZ2" s="306"/>
      <c r="MVA2" s="306"/>
      <c r="MVB2" s="306"/>
      <c r="MVC2" s="306"/>
      <c r="MVD2" s="306"/>
      <c r="MVE2" s="306"/>
      <c r="MVF2" s="306"/>
      <c r="MVG2" s="306"/>
      <c r="MVH2" s="306"/>
      <c r="MVI2" s="306"/>
      <c r="MVJ2" s="306"/>
      <c r="MVK2" s="306"/>
      <c r="MVL2" s="306"/>
      <c r="MVM2" s="306"/>
      <c r="MVN2" s="306"/>
      <c r="MVO2" s="306"/>
      <c r="MVP2" s="306"/>
      <c r="MVQ2" s="306"/>
      <c r="MVR2" s="306"/>
      <c r="MVS2" s="306"/>
      <c r="MVT2" s="306"/>
      <c r="MVU2" s="306"/>
      <c r="MVV2" s="306"/>
      <c r="MVW2" s="306"/>
      <c r="MVX2" s="306"/>
      <c r="MVY2" s="306"/>
      <c r="MVZ2" s="306"/>
      <c r="MWA2" s="306"/>
      <c r="MWB2" s="306"/>
      <c r="MWC2" s="306"/>
      <c r="MWD2" s="306"/>
      <c r="MWE2" s="306"/>
      <c r="MWF2" s="306"/>
      <c r="MWG2" s="306"/>
      <c r="MWH2" s="306"/>
      <c r="MWI2" s="306"/>
      <c r="MWJ2" s="306"/>
      <c r="MWK2" s="306"/>
      <c r="MWL2" s="306"/>
      <c r="MWM2" s="306"/>
      <c r="MWN2" s="306"/>
      <c r="MWO2" s="306"/>
      <c r="MWP2" s="306"/>
      <c r="MWQ2" s="306"/>
      <c r="MWR2" s="306"/>
      <c r="MWS2" s="306"/>
      <c r="MWT2" s="306"/>
      <c r="MWU2" s="306"/>
      <c r="MWV2" s="306"/>
      <c r="MWW2" s="306"/>
      <c r="MWX2" s="306"/>
      <c r="MWY2" s="306"/>
      <c r="MWZ2" s="306"/>
      <c r="MXA2" s="306"/>
      <c r="MXB2" s="306"/>
      <c r="MXC2" s="306"/>
      <c r="MXD2" s="306"/>
      <c r="MXE2" s="306"/>
      <c r="MXF2" s="306"/>
      <c r="MXG2" s="306"/>
      <c r="MXH2" s="306"/>
      <c r="MXI2" s="306"/>
      <c r="MXJ2" s="306"/>
      <c r="MXK2" s="306"/>
      <c r="MXL2" s="306"/>
      <c r="MXM2" s="306"/>
      <c r="MXN2" s="306"/>
      <c r="MXO2" s="306"/>
      <c r="MXP2" s="306"/>
      <c r="MXQ2" s="306"/>
      <c r="MXR2" s="306"/>
      <c r="MXS2" s="306"/>
      <c r="MXT2" s="306"/>
      <c r="MXU2" s="306"/>
      <c r="MXV2" s="306"/>
      <c r="MXW2" s="306"/>
      <c r="MXX2" s="306"/>
      <c r="MXY2" s="306"/>
      <c r="MXZ2" s="306"/>
      <c r="MYA2" s="306"/>
      <c r="MYB2" s="306"/>
      <c r="MYC2" s="306"/>
      <c r="MYD2" s="306"/>
      <c r="MYE2" s="306"/>
      <c r="MYF2" s="306"/>
      <c r="MYG2" s="306"/>
      <c r="MYH2" s="306"/>
      <c r="MYI2" s="306"/>
      <c r="MYJ2" s="306"/>
      <c r="MYK2" s="306"/>
      <c r="MYL2" s="306"/>
      <c r="MYM2" s="306"/>
      <c r="MYN2" s="306"/>
      <c r="MYO2" s="306"/>
      <c r="MYP2" s="306"/>
      <c r="MYQ2" s="306"/>
      <c r="MYR2" s="306"/>
      <c r="MYS2" s="306"/>
      <c r="MYT2" s="306"/>
      <c r="MYU2" s="306"/>
      <c r="MYV2" s="306"/>
      <c r="MYW2" s="306"/>
      <c r="MYX2" s="306"/>
      <c r="MYY2" s="306"/>
      <c r="MYZ2" s="306"/>
      <c r="MZA2" s="306"/>
      <c r="MZB2" s="306"/>
      <c r="MZC2" s="306"/>
      <c r="MZD2" s="306"/>
      <c r="MZE2" s="306"/>
      <c r="MZF2" s="306"/>
      <c r="MZG2" s="306"/>
      <c r="MZH2" s="306"/>
      <c r="MZI2" s="306"/>
      <c r="MZJ2" s="306"/>
      <c r="MZK2" s="306"/>
      <c r="MZL2" s="306"/>
      <c r="MZM2" s="306"/>
      <c r="MZN2" s="306"/>
      <c r="MZO2" s="306"/>
      <c r="MZP2" s="306"/>
      <c r="MZQ2" s="306"/>
      <c r="MZR2" s="306"/>
      <c r="MZS2" s="306"/>
      <c r="MZT2" s="306"/>
      <c r="MZU2" s="306"/>
      <c r="MZV2" s="306"/>
      <c r="MZW2" s="306"/>
      <c r="MZX2" s="306"/>
      <c r="MZY2" s="306"/>
      <c r="MZZ2" s="306"/>
      <c r="NAA2" s="306"/>
      <c r="NAB2" s="306"/>
      <c r="NAC2" s="306"/>
      <c r="NAD2" s="306"/>
      <c r="NAE2" s="306"/>
      <c r="NAF2" s="306"/>
      <c r="NAG2" s="306"/>
      <c r="NAH2" s="306"/>
      <c r="NAI2" s="306"/>
      <c r="NAJ2" s="306"/>
      <c r="NAK2" s="306"/>
      <c r="NAL2" s="306"/>
      <c r="NAM2" s="306"/>
      <c r="NAN2" s="306"/>
      <c r="NAO2" s="306"/>
      <c r="NAP2" s="306"/>
      <c r="NAQ2" s="306"/>
      <c r="NAR2" s="306"/>
      <c r="NAS2" s="306"/>
      <c r="NAT2" s="306"/>
      <c r="NAU2" s="306"/>
      <c r="NAV2" s="306"/>
      <c r="NAW2" s="306"/>
      <c r="NAX2" s="306"/>
      <c r="NAY2" s="306"/>
      <c r="NAZ2" s="306"/>
      <c r="NBA2" s="306"/>
      <c r="NBB2" s="306"/>
      <c r="NBC2" s="306"/>
      <c r="NBD2" s="306"/>
      <c r="NBE2" s="306"/>
      <c r="NBF2" s="306"/>
      <c r="NBG2" s="306"/>
      <c r="NBH2" s="306"/>
      <c r="NBI2" s="306"/>
      <c r="NBJ2" s="306"/>
      <c r="NBK2" s="306"/>
      <c r="NBL2" s="306"/>
      <c r="NBM2" s="306"/>
      <c r="NBN2" s="306"/>
      <c r="NBO2" s="306"/>
      <c r="NBP2" s="306"/>
      <c r="NBQ2" s="306"/>
      <c r="NBR2" s="306"/>
      <c r="NBS2" s="306"/>
      <c r="NBT2" s="306"/>
      <c r="NBU2" s="306"/>
      <c r="NBV2" s="306"/>
      <c r="NBW2" s="306"/>
      <c r="NBX2" s="306"/>
      <c r="NBY2" s="306"/>
      <c r="NBZ2" s="306"/>
      <c r="NCA2" s="306"/>
      <c r="NCB2" s="306"/>
      <c r="NCC2" s="306"/>
      <c r="NCD2" s="306"/>
      <c r="NCE2" s="306"/>
      <c r="NCF2" s="306"/>
      <c r="NCG2" s="306"/>
      <c r="NCH2" s="306"/>
      <c r="NCI2" s="306"/>
      <c r="NCJ2" s="306"/>
      <c r="NCK2" s="306"/>
      <c r="NCL2" s="306"/>
      <c r="NCM2" s="306"/>
      <c r="NCN2" s="306"/>
      <c r="NCO2" s="306"/>
      <c r="NCP2" s="306"/>
      <c r="NCQ2" s="306"/>
      <c r="NCR2" s="306"/>
      <c r="NCS2" s="306"/>
      <c r="NCT2" s="306"/>
      <c r="NCU2" s="306"/>
      <c r="NCV2" s="306"/>
      <c r="NCW2" s="306"/>
      <c r="NCX2" s="306"/>
      <c r="NCY2" s="306"/>
      <c r="NCZ2" s="306"/>
      <c r="NDA2" s="306"/>
      <c r="NDB2" s="306"/>
      <c r="NDC2" s="306"/>
      <c r="NDD2" s="306"/>
      <c r="NDE2" s="306"/>
      <c r="NDF2" s="306"/>
      <c r="NDG2" s="306"/>
      <c r="NDH2" s="306"/>
      <c r="NDI2" s="306"/>
      <c r="NDJ2" s="306"/>
      <c r="NDK2" s="306"/>
      <c r="NDL2" s="306"/>
      <c r="NDM2" s="306"/>
      <c r="NDN2" s="306"/>
      <c r="NDO2" s="306"/>
      <c r="NDP2" s="306"/>
      <c r="NDQ2" s="306"/>
      <c r="NDR2" s="306"/>
      <c r="NDS2" s="306"/>
      <c r="NDT2" s="306"/>
      <c r="NDU2" s="306"/>
      <c r="NDV2" s="306"/>
      <c r="NDW2" s="306"/>
      <c r="NDX2" s="306"/>
      <c r="NDY2" s="306"/>
      <c r="NDZ2" s="306"/>
      <c r="NEA2" s="306"/>
      <c r="NEB2" s="306"/>
      <c r="NEC2" s="306"/>
      <c r="NED2" s="306"/>
      <c r="NEE2" s="306"/>
      <c r="NEF2" s="306"/>
      <c r="NEG2" s="306"/>
      <c r="NEH2" s="306"/>
      <c r="NEI2" s="306"/>
      <c r="NEJ2" s="306"/>
      <c r="NEK2" s="306"/>
      <c r="NEL2" s="306"/>
      <c r="NEM2" s="306"/>
      <c r="NEN2" s="306"/>
      <c r="NEO2" s="306"/>
      <c r="NEP2" s="306"/>
      <c r="NEQ2" s="306"/>
      <c r="NER2" s="306"/>
      <c r="NES2" s="306"/>
      <c r="NET2" s="306"/>
      <c r="NEU2" s="306"/>
      <c r="NEV2" s="306"/>
      <c r="NEW2" s="306"/>
      <c r="NEX2" s="306"/>
      <c r="NEY2" s="306"/>
      <c r="NEZ2" s="306"/>
      <c r="NFA2" s="306"/>
      <c r="NFB2" s="306"/>
      <c r="NFC2" s="306"/>
      <c r="NFD2" s="306"/>
      <c r="NFE2" s="306"/>
      <c r="NFF2" s="306"/>
      <c r="NFG2" s="306"/>
      <c r="NFH2" s="306"/>
      <c r="NFI2" s="306"/>
      <c r="NFJ2" s="306"/>
      <c r="NFK2" s="306"/>
      <c r="NFL2" s="306"/>
      <c r="NFM2" s="306"/>
      <c r="NFN2" s="306"/>
      <c r="NFO2" s="306"/>
      <c r="NFP2" s="306"/>
      <c r="NFQ2" s="306"/>
      <c r="NFR2" s="306"/>
      <c r="NFS2" s="306"/>
      <c r="NFT2" s="306"/>
      <c r="NFU2" s="306"/>
      <c r="NFV2" s="306"/>
      <c r="NFW2" s="306"/>
      <c r="NFX2" s="306"/>
      <c r="NFY2" s="306"/>
      <c r="NFZ2" s="306"/>
      <c r="NGA2" s="306"/>
      <c r="NGB2" s="306"/>
      <c r="NGC2" s="306"/>
      <c r="NGD2" s="306"/>
      <c r="NGE2" s="306"/>
      <c r="NGF2" s="306"/>
      <c r="NGG2" s="306"/>
      <c r="NGH2" s="306"/>
      <c r="NGI2" s="306"/>
      <c r="NGJ2" s="306"/>
      <c r="NGK2" s="306"/>
      <c r="NGL2" s="306"/>
      <c r="NGM2" s="306"/>
      <c r="NGN2" s="306"/>
      <c r="NGO2" s="306"/>
      <c r="NGP2" s="306"/>
      <c r="NGQ2" s="306"/>
      <c r="NGR2" s="306"/>
      <c r="NGS2" s="306"/>
      <c r="NGT2" s="306"/>
      <c r="NGU2" s="306"/>
      <c r="NGV2" s="306"/>
      <c r="NGW2" s="306"/>
      <c r="NGX2" s="306"/>
      <c r="NGY2" s="306"/>
      <c r="NGZ2" s="306"/>
      <c r="NHA2" s="306"/>
      <c r="NHB2" s="306"/>
      <c r="NHC2" s="306"/>
      <c r="NHD2" s="306"/>
      <c r="NHE2" s="306"/>
      <c r="NHF2" s="306"/>
      <c r="NHG2" s="306"/>
      <c r="NHH2" s="306"/>
      <c r="NHI2" s="306"/>
      <c r="NHJ2" s="306"/>
      <c r="NHK2" s="306"/>
      <c r="NHL2" s="306"/>
      <c r="NHM2" s="306"/>
      <c r="NHN2" s="306"/>
      <c r="NHO2" s="306"/>
      <c r="NHP2" s="306"/>
      <c r="NHQ2" s="306"/>
      <c r="NHR2" s="306"/>
      <c r="NHS2" s="306"/>
      <c r="NHT2" s="306"/>
      <c r="NHU2" s="306"/>
      <c r="NHV2" s="306"/>
      <c r="NHW2" s="306"/>
      <c r="NHX2" s="306"/>
      <c r="NHY2" s="306"/>
      <c r="NHZ2" s="306"/>
      <c r="NIA2" s="306"/>
      <c r="NIB2" s="306"/>
      <c r="NIC2" s="306"/>
      <c r="NID2" s="306"/>
      <c r="NIE2" s="306"/>
      <c r="NIF2" s="306"/>
      <c r="NIG2" s="306"/>
      <c r="NIH2" s="306"/>
      <c r="NII2" s="306"/>
      <c r="NIJ2" s="306"/>
      <c r="NIK2" s="306"/>
      <c r="NIL2" s="306"/>
      <c r="NIM2" s="306"/>
      <c r="NIN2" s="306"/>
      <c r="NIO2" s="306"/>
      <c r="NIP2" s="306"/>
      <c r="NIQ2" s="306"/>
      <c r="NIR2" s="306"/>
      <c r="NIS2" s="306"/>
      <c r="NIT2" s="306"/>
      <c r="NIU2" s="306"/>
      <c r="NIV2" s="306"/>
      <c r="NIW2" s="306"/>
      <c r="NIX2" s="306"/>
      <c r="NIY2" s="306"/>
      <c r="NIZ2" s="306"/>
      <c r="NJA2" s="306"/>
      <c r="NJB2" s="306"/>
      <c r="NJC2" s="306"/>
      <c r="NJD2" s="306"/>
      <c r="NJE2" s="306"/>
      <c r="NJF2" s="306"/>
      <c r="NJG2" s="306"/>
      <c r="NJH2" s="306"/>
      <c r="NJI2" s="306"/>
      <c r="NJJ2" s="306"/>
      <c r="NJK2" s="306"/>
      <c r="NJL2" s="306"/>
      <c r="NJM2" s="306"/>
      <c r="NJN2" s="306"/>
      <c r="NJO2" s="306"/>
      <c r="NJP2" s="306"/>
      <c r="NJQ2" s="306"/>
      <c r="NJR2" s="306"/>
      <c r="NJS2" s="306"/>
      <c r="NJT2" s="306"/>
      <c r="NJU2" s="306"/>
      <c r="NJV2" s="306"/>
      <c r="NJW2" s="306"/>
      <c r="NJX2" s="306"/>
      <c r="NJY2" s="306"/>
      <c r="NJZ2" s="306"/>
      <c r="NKA2" s="306"/>
      <c r="NKB2" s="306"/>
      <c r="NKC2" s="306"/>
      <c r="NKD2" s="306"/>
      <c r="NKE2" s="306"/>
      <c r="NKF2" s="306"/>
      <c r="NKG2" s="306"/>
      <c r="NKH2" s="306"/>
      <c r="NKI2" s="306"/>
      <c r="NKJ2" s="306"/>
      <c r="NKK2" s="306"/>
      <c r="NKL2" s="306"/>
      <c r="NKM2" s="306"/>
      <c r="NKN2" s="306"/>
      <c r="NKO2" s="306"/>
      <c r="NKP2" s="306"/>
      <c r="NKQ2" s="306"/>
      <c r="NKR2" s="306"/>
      <c r="NKS2" s="306"/>
      <c r="NKT2" s="306"/>
      <c r="NKU2" s="306"/>
      <c r="NKV2" s="306"/>
      <c r="NKW2" s="306"/>
      <c r="NKX2" s="306"/>
      <c r="NKY2" s="306"/>
      <c r="NKZ2" s="306"/>
      <c r="NLA2" s="306"/>
      <c r="NLB2" s="306"/>
      <c r="NLC2" s="306"/>
      <c r="NLD2" s="306"/>
      <c r="NLE2" s="306"/>
      <c r="NLF2" s="306"/>
      <c r="NLG2" s="306"/>
      <c r="NLH2" s="306"/>
      <c r="NLI2" s="306"/>
      <c r="NLJ2" s="306"/>
      <c r="NLK2" s="306"/>
      <c r="NLL2" s="306"/>
      <c r="NLM2" s="306"/>
      <c r="NLN2" s="306"/>
      <c r="NLO2" s="306"/>
      <c r="NLP2" s="306"/>
      <c r="NLQ2" s="306"/>
      <c r="NLR2" s="306"/>
      <c r="NLS2" s="306"/>
      <c r="NLT2" s="306"/>
      <c r="NLU2" s="306"/>
      <c r="NLV2" s="306"/>
      <c r="NLW2" s="306"/>
      <c r="NLX2" s="306"/>
      <c r="NLY2" s="306"/>
      <c r="NLZ2" s="306"/>
      <c r="NMA2" s="306"/>
      <c r="NMB2" s="306"/>
      <c r="NMC2" s="306"/>
      <c r="NMD2" s="306"/>
      <c r="NME2" s="306"/>
      <c r="NMF2" s="306"/>
      <c r="NMG2" s="306"/>
      <c r="NMH2" s="306"/>
      <c r="NMI2" s="306"/>
      <c r="NMJ2" s="306"/>
      <c r="NMK2" s="306"/>
      <c r="NML2" s="306"/>
      <c r="NMM2" s="306"/>
      <c r="NMN2" s="306"/>
      <c r="NMO2" s="306"/>
      <c r="NMP2" s="306"/>
      <c r="NMQ2" s="306"/>
      <c r="NMR2" s="306"/>
      <c r="NMS2" s="306"/>
      <c r="NMT2" s="306"/>
      <c r="NMU2" s="306"/>
      <c r="NMV2" s="306"/>
      <c r="NMW2" s="306"/>
      <c r="NMX2" s="306"/>
      <c r="NMY2" s="306"/>
      <c r="NMZ2" s="306"/>
      <c r="NNA2" s="306"/>
      <c r="NNB2" s="306"/>
      <c r="NNC2" s="306"/>
      <c r="NND2" s="306"/>
      <c r="NNE2" s="306"/>
      <c r="NNF2" s="306"/>
      <c r="NNG2" s="306"/>
      <c r="NNH2" s="306"/>
      <c r="NNI2" s="306"/>
      <c r="NNJ2" s="306"/>
      <c r="NNK2" s="306"/>
      <c r="NNL2" s="306"/>
      <c r="NNM2" s="306"/>
      <c r="NNN2" s="306"/>
      <c r="NNO2" s="306"/>
      <c r="NNP2" s="306"/>
      <c r="NNQ2" s="306"/>
      <c r="NNR2" s="306"/>
      <c r="NNS2" s="306"/>
      <c r="NNT2" s="306"/>
      <c r="NNU2" s="306"/>
      <c r="NNV2" s="306"/>
      <c r="NNW2" s="306"/>
      <c r="NNX2" s="306"/>
      <c r="NNY2" s="306"/>
      <c r="NNZ2" s="306"/>
      <c r="NOA2" s="306"/>
      <c r="NOB2" s="306"/>
      <c r="NOC2" s="306"/>
      <c r="NOD2" s="306"/>
      <c r="NOE2" s="306"/>
      <c r="NOF2" s="306"/>
      <c r="NOG2" s="306"/>
      <c r="NOH2" s="306"/>
      <c r="NOI2" s="306"/>
      <c r="NOJ2" s="306"/>
      <c r="NOK2" s="306"/>
      <c r="NOL2" s="306"/>
      <c r="NOM2" s="306"/>
      <c r="NON2" s="306"/>
      <c r="NOO2" s="306"/>
      <c r="NOP2" s="306"/>
      <c r="NOQ2" s="306"/>
      <c r="NOR2" s="306"/>
      <c r="NOS2" s="306"/>
      <c r="NOT2" s="306"/>
      <c r="NOU2" s="306"/>
      <c r="NOV2" s="306"/>
      <c r="NOW2" s="306"/>
      <c r="NOX2" s="306"/>
      <c r="NOY2" s="306"/>
      <c r="NOZ2" s="306"/>
      <c r="NPA2" s="306"/>
      <c r="NPB2" s="306"/>
      <c r="NPC2" s="306"/>
      <c r="NPD2" s="306"/>
      <c r="NPE2" s="306"/>
      <c r="NPF2" s="306"/>
      <c r="NPG2" s="306"/>
      <c r="NPH2" s="306"/>
      <c r="NPI2" s="306"/>
      <c r="NPJ2" s="306"/>
      <c r="NPK2" s="306"/>
      <c r="NPL2" s="306"/>
      <c r="NPM2" s="306"/>
      <c r="NPN2" s="306"/>
      <c r="NPO2" s="306"/>
      <c r="NPP2" s="306"/>
      <c r="NPQ2" s="306"/>
      <c r="NPR2" s="306"/>
      <c r="NPS2" s="306"/>
      <c r="NPT2" s="306"/>
      <c r="NPU2" s="306"/>
      <c r="NPV2" s="306"/>
      <c r="NPW2" s="306"/>
      <c r="NPX2" s="306"/>
      <c r="NPY2" s="306"/>
      <c r="NPZ2" s="306"/>
      <c r="NQA2" s="306"/>
      <c r="NQB2" s="306"/>
      <c r="NQC2" s="306"/>
      <c r="NQD2" s="306"/>
      <c r="NQE2" s="306"/>
      <c r="NQF2" s="306"/>
      <c r="NQG2" s="306"/>
      <c r="NQH2" s="306"/>
      <c r="NQI2" s="306"/>
      <c r="NQJ2" s="306"/>
      <c r="NQK2" s="306"/>
      <c r="NQL2" s="306"/>
      <c r="NQM2" s="306"/>
      <c r="NQN2" s="306"/>
      <c r="NQO2" s="306"/>
      <c r="NQP2" s="306"/>
      <c r="NQQ2" s="306"/>
      <c r="NQR2" s="306"/>
      <c r="NQS2" s="306"/>
      <c r="NQT2" s="306"/>
      <c r="NQU2" s="306"/>
      <c r="NQV2" s="306"/>
      <c r="NQW2" s="306"/>
      <c r="NQX2" s="306"/>
      <c r="NQY2" s="306"/>
      <c r="NQZ2" s="306"/>
      <c r="NRA2" s="306"/>
      <c r="NRB2" s="306"/>
      <c r="NRC2" s="306"/>
      <c r="NRD2" s="306"/>
      <c r="NRE2" s="306"/>
      <c r="NRF2" s="306"/>
      <c r="NRG2" s="306"/>
      <c r="NRH2" s="306"/>
      <c r="NRI2" s="306"/>
      <c r="NRJ2" s="306"/>
      <c r="NRK2" s="306"/>
      <c r="NRL2" s="306"/>
      <c r="NRM2" s="306"/>
      <c r="NRN2" s="306"/>
      <c r="NRO2" s="306"/>
      <c r="NRP2" s="306"/>
      <c r="NRQ2" s="306"/>
      <c r="NRR2" s="306"/>
      <c r="NRS2" s="306"/>
      <c r="NRT2" s="306"/>
      <c r="NRU2" s="306"/>
      <c r="NRV2" s="306"/>
      <c r="NRW2" s="306"/>
      <c r="NRX2" s="306"/>
      <c r="NRY2" s="306"/>
      <c r="NRZ2" s="306"/>
      <c r="NSA2" s="306"/>
      <c r="NSB2" s="306"/>
      <c r="NSC2" s="306"/>
      <c r="NSD2" s="306"/>
      <c r="NSE2" s="306"/>
      <c r="NSF2" s="306"/>
      <c r="NSG2" s="306"/>
      <c r="NSH2" s="306"/>
      <c r="NSI2" s="306"/>
      <c r="NSJ2" s="306"/>
      <c r="NSK2" s="306"/>
      <c r="NSL2" s="306"/>
      <c r="NSM2" s="306"/>
      <c r="NSN2" s="306"/>
      <c r="NSO2" s="306"/>
      <c r="NSP2" s="306"/>
      <c r="NSQ2" s="306"/>
      <c r="NSR2" s="306"/>
      <c r="NSS2" s="306"/>
      <c r="NST2" s="306"/>
      <c r="NSU2" s="306"/>
      <c r="NSV2" s="306"/>
      <c r="NSW2" s="306"/>
      <c r="NSX2" s="306"/>
      <c r="NSY2" s="306"/>
      <c r="NSZ2" s="306"/>
      <c r="NTA2" s="306"/>
      <c r="NTB2" s="306"/>
      <c r="NTC2" s="306"/>
      <c r="NTD2" s="306"/>
      <c r="NTE2" s="306"/>
      <c r="NTF2" s="306"/>
      <c r="NTG2" s="306"/>
      <c r="NTH2" s="306"/>
      <c r="NTI2" s="306"/>
      <c r="NTJ2" s="306"/>
      <c r="NTK2" s="306"/>
      <c r="NTL2" s="306"/>
      <c r="NTM2" s="306"/>
      <c r="NTN2" s="306"/>
      <c r="NTO2" s="306"/>
      <c r="NTP2" s="306"/>
      <c r="NTQ2" s="306"/>
      <c r="NTR2" s="306"/>
      <c r="NTS2" s="306"/>
      <c r="NTT2" s="306"/>
      <c r="NTU2" s="306"/>
      <c r="NTV2" s="306"/>
      <c r="NTW2" s="306"/>
      <c r="NTX2" s="306"/>
      <c r="NTY2" s="306"/>
      <c r="NTZ2" s="306"/>
      <c r="NUA2" s="306"/>
      <c r="NUB2" s="306"/>
      <c r="NUC2" s="306"/>
      <c r="NUD2" s="306"/>
      <c r="NUE2" s="306"/>
      <c r="NUF2" s="306"/>
      <c r="NUG2" s="306"/>
      <c r="NUH2" s="306"/>
      <c r="NUI2" s="306"/>
      <c r="NUJ2" s="306"/>
      <c r="NUK2" s="306"/>
      <c r="NUL2" s="306"/>
      <c r="NUM2" s="306"/>
      <c r="NUN2" s="306"/>
      <c r="NUO2" s="306"/>
      <c r="NUP2" s="306"/>
      <c r="NUQ2" s="306"/>
      <c r="NUR2" s="306"/>
      <c r="NUS2" s="306"/>
      <c r="NUT2" s="306"/>
      <c r="NUU2" s="306"/>
      <c r="NUV2" s="306"/>
      <c r="NUW2" s="306"/>
      <c r="NUX2" s="306"/>
      <c r="NUY2" s="306"/>
      <c r="NUZ2" s="306"/>
      <c r="NVA2" s="306"/>
      <c r="NVB2" s="306"/>
      <c r="NVC2" s="306"/>
      <c r="NVD2" s="306"/>
      <c r="NVE2" s="306"/>
      <c r="NVF2" s="306"/>
      <c r="NVG2" s="306"/>
      <c r="NVH2" s="306"/>
      <c r="NVI2" s="306"/>
      <c r="NVJ2" s="306"/>
      <c r="NVK2" s="306"/>
      <c r="NVL2" s="306"/>
      <c r="NVM2" s="306"/>
      <c r="NVN2" s="306"/>
      <c r="NVO2" s="306"/>
      <c r="NVP2" s="306"/>
      <c r="NVQ2" s="306"/>
      <c r="NVR2" s="306"/>
      <c r="NVS2" s="306"/>
      <c r="NVT2" s="306"/>
      <c r="NVU2" s="306"/>
      <c r="NVV2" s="306"/>
      <c r="NVW2" s="306"/>
      <c r="NVX2" s="306"/>
      <c r="NVY2" s="306"/>
      <c r="NVZ2" s="306"/>
      <c r="NWA2" s="306"/>
      <c r="NWB2" s="306"/>
      <c r="NWC2" s="306"/>
      <c r="NWD2" s="306"/>
      <c r="NWE2" s="306"/>
      <c r="NWF2" s="306"/>
      <c r="NWG2" s="306"/>
      <c r="NWH2" s="306"/>
      <c r="NWI2" s="306"/>
      <c r="NWJ2" s="306"/>
      <c r="NWK2" s="306"/>
      <c r="NWL2" s="306"/>
      <c r="NWM2" s="306"/>
      <c r="NWN2" s="306"/>
      <c r="NWO2" s="306"/>
      <c r="NWP2" s="306"/>
      <c r="NWQ2" s="306"/>
      <c r="NWR2" s="306"/>
      <c r="NWS2" s="306"/>
      <c r="NWT2" s="306"/>
      <c r="NWU2" s="306"/>
      <c r="NWV2" s="306"/>
      <c r="NWW2" s="306"/>
      <c r="NWX2" s="306"/>
      <c r="NWY2" s="306"/>
      <c r="NWZ2" s="306"/>
      <c r="NXA2" s="306"/>
      <c r="NXB2" s="306"/>
      <c r="NXC2" s="306"/>
      <c r="NXD2" s="306"/>
      <c r="NXE2" s="306"/>
      <c r="NXF2" s="306"/>
      <c r="NXG2" s="306"/>
      <c r="NXH2" s="306"/>
      <c r="NXI2" s="306"/>
      <c r="NXJ2" s="306"/>
      <c r="NXK2" s="306"/>
      <c r="NXL2" s="306"/>
      <c r="NXM2" s="306"/>
      <c r="NXN2" s="306"/>
      <c r="NXO2" s="306"/>
      <c r="NXP2" s="306"/>
      <c r="NXQ2" s="306"/>
      <c r="NXR2" s="306"/>
      <c r="NXS2" s="306"/>
      <c r="NXT2" s="306"/>
      <c r="NXU2" s="306"/>
      <c r="NXV2" s="306"/>
      <c r="NXW2" s="306"/>
      <c r="NXX2" s="306"/>
      <c r="NXY2" s="306"/>
      <c r="NXZ2" s="306"/>
      <c r="NYA2" s="306"/>
      <c r="NYB2" s="306"/>
      <c r="NYC2" s="306"/>
      <c r="NYD2" s="306"/>
      <c r="NYE2" s="306"/>
      <c r="NYF2" s="306"/>
      <c r="NYG2" s="306"/>
      <c r="NYH2" s="306"/>
      <c r="NYI2" s="306"/>
      <c r="NYJ2" s="306"/>
      <c r="NYK2" s="306"/>
      <c r="NYL2" s="306"/>
      <c r="NYM2" s="306"/>
      <c r="NYN2" s="306"/>
      <c r="NYO2" s="306"/>
      <c r="NYP2" s="306"/>
      <c r="NYQ2" s="306"/>
      <c r="NYR2" s="306"/>
      <c r="NYS2" s="306"/>
      <c r="NYT2" s="306"/>
      <c r="NYU2" s="306"/>
      <c r="NYV2" s="306"/>
      <c r="NYW2" s="306"/>
      <c r="NYX2" s="306"/>
      <c r="NYY2" s="306"/>
      <c r="NYZ2" s="306"/>
      <c r="NZA2" s="306"/>
      <c r="NZB2" s="306"/>
      <c r="NZC2" s="306"/>
      <c r="NZD2" s="306"/>
      <c r="NZE2" s="306"/>
      <c r="NZF2" s="306"/>
      <c r="NZG2" s="306"/>
      <c r="NZH2" s="306"/>
      <c r="NZI2" s="306"/>
      <c r="NZJ2" s="306"/>
      <c r="NZK2" s="306"/>
      <c r="NZL2" s="306"/>
      <c r="NZM2" s="306"/>
      <c r="NZN2" s="306"/>
      <c r="NZO2" s="306"/>
      <c r="NZP2" s="306"/>
      <c r="NZQ2" s="306"/>
      <c r="NZR2" s="306"/>
      <c r="NZS2" s="306"/>
      <c r="NZT2" s="306"/>
      <c r="NZU2" s="306"/>
      <c r="NZV2" s="306"/>
      <c r="NZW2" s="306"/>
      <c r="NZX2" s="306"/>
      <c r="NZY2" s="306"/>
      <c r="NZZ2" s="306"/>
      <c r="OAA2" s="306"/>
      <c r="OAB2" s="306"/>
      <c r="OAC2" s="306"/>
      <c r="OAD2" s="306"/>
      <c r="OAE2" s="306"/>
      <c r="OAF2" s="306"/>
      <c r="OAG2" s="306"/>
      <c r="OAH2" s="306"/>
      <c r="OAI2" s="306"/>
      <c r="OAJ2" s="306"/>
      <c r="OAK2" s="306"/>
      <c r="OAL2" s="306"/>
      <c r="OAM2" s="306"/>
      <c r="OAN2" s="306"/>
      <c r="OAO2" s="306"/>
      <c r="OAP2" s="306"/>
      <c r="OAQ2" s="306"/>
      <c r="OAR2" s="306"/>
      <c r="OAS2" s="306"/>
      <c r="OAT2" s="306"/>
      <c r="OAU2" s="306"/>
      <c r="OAV2" s="306"/>
      <c r="OAW2" s="306"/>
      <c r="OAX2" s="306"/>
      <c r="OAY2" s="306"/>
      <c r="OAZ2" s="306"/>
      <c r="OBA2" s="306"/>
      <c r="OBB2" s="306"/>
      <c r="OBC2" s="306"/>
      <c r="OBD2" s="306"/>
      <c r="OBE2" s="306"/>
      <c r="OBF2" s="306"/>
      <c r="OBG2" s="306"/>
      <c r="OBH2" s="306"/>
      <c r="OBI2" s="306"/>
      <c r="OBJ2" s="306"/>
      <c r="OBK2" s="306"/>
      <c r="OBL2" s="306"/>
      <c r="OBM2" s="306"/>
      <c r="OBN2" s="306"/>
      <c r="OBO2" s="306"/>
      <c r="OBP2" s="306"/>
      <c r="OBQ2" s="306"/>
      <c r="OBR2" s="306"/>
      <c r="OBS2" s="306"/>
      <c r="OBT2" s="306"/>
      <c r="OBU2" s="306"/>
      <c r="OBV2" s="306"/>
      <c r="OBW2" s="306"/>
      <c r="OBX2" s="306"/>
      <c r="OBY2" s="306"/>
      <c r="OBZ2" s="306"/>
      <c r="OCA2" s="306"/>
      <c r="OCB2" s="306"/>
      <c r="OCC2" s="306"/>
      <c r="OCD2" s="306"/>
      <c r="OCE2" s="306"/>
      <c r="OCF2" s="306"/>
      <c r="OCG2" s="306"/>
      <c r="OCH2" s="306"/>
      <c r="OCI2" s="306"/>
      <c r="OCJ2" s="306"/>
      <c r="OCK2" s="306"/>
      <c r="OCL2" s="306"/>
      <c r="OCM2" s="306"/>
      <c r="OCN2" s="306"/>
      <c r="OCO2" s="306"/>
      <c r="OCP2" s="306"/>
      <c r="OCQ2" s="306"/>
      <c r="OCR2" s="306"/>
      <c r="OCS2" s="306"/>
      <c r="OCT2" s="306"/>
      <c r="OCU2" s="306"/>
      <c r="OCV2" s="306"/>
      <c r="OCW2" s="306"/>
      <c r="OCX2" s="306"/>
      <c r="OCY2" s="306"/>
      <c r="OCZ2" s="306"/>
      <c r="ODA2" s="306"/>
      <c r="ODB2" s="306"/>
      <c r="ODC2" s="306"/>
      <c r="ODD2" s="306"/>
      <c r="ODE2" s="306"/>
      <c r="ODF2" s="306"/>
      <c r="ODG2" s="306"/>
      <c r="ODH2" s="306"/>
      <c r="ODI2" s="306"/>
      <c r="ODJ2" s="306"/>
      <c r="ODK2" s="306"/>
      <c r="ODL2" s="306"/>
      <c r="ODM2" s="306"/>
      <c r="ODN2" s="306"/>
      <c r="ODO2" s="306"/>
      <c r="ODP2" s="306"/>
      <c r="ODQ2" s="306"/>
      <c r="ODR2" s="306"/>
      <c r="ODS2" s="306"/>
      <c r="ODT2" s="306"/>
      <c r="ODU2" s="306"/>
      <c r="ODV2" s="306"/>
      <c r="ODW2" s="306"/>
      <c r="ODX2" s="306"/>
      <c r="ODY2" s="306"/>
      <c r="ODZ2" s="306"/>
      <c r="OEA2" s="306"/>
      <c r="OEB2" s="306"/>
      <c r="OEC2" s="306"/>
      <c r="OED2" s="306"/>
      <c r="OEE2" s="306"/>
      <c r="OEF2" s="306"/>
      <c r="OEG2" s="306"/>
      <c r="OEH2" s="306"/>
      <c r="OEI2" s="306"/>
      <c r="OEJ2" s="306"/>
      <c r="OEK2" s="306"/>
      <c r="OEL2" s="306"/>
      <c r="OEM2" s="306"/>
      <c r="OEN2" s="306"/>
      <c r="OEO2" s="306"/>
      <c r="OEP2" s="306"/>
      <c r="OEQ2" s="306"/>
      <c r="OER2" s="306"/>
      <c r="OES2" s="306"/>
      <c r="OET2" s="306"/>
      <c r="OEU2" s="306"/>
      <c r="OEV2" s="306"/>
      <c r="OEW2" s="306"/>
      <c r="OEX2" s="306"/>
      <c r="OEY2" s="306"/>
      <c r="OEZ2" s="306"/>
      <c r="OFA2" s="306"/>
      <c r="OFB2" s="306"/>
      <c r="OFC2" s="306"/>
      <c r="OFD2" s="306"/>
      <c r="OFE2" s="306"/>
      <c r="OFF2" s="306"/>
      <c r="OFG2" s="306"/>
      <c r="OFH2" s="306"/>
      <c r="OFI2" s="306"/>
      <c r="OFJ2" s="306"/>
      <c r="OFK2" s="306"/>
      <c r="OFL2" s="306"/>
      <c r="OFM2" s="306"/>
      <c r="OFN2" s="306"/>
      <c r="OFO2" s="306"/>
      <c r="OFP2" s="306"/>
      <c r="OFQ2" s="306"/>
      <c r="OFR2" s="306"/>
      <c r="OFS2" s="306"/>
      <c r="OFT2" s="306"/>
      <c r="OFU2" s="306"/>
      <c r="OFV2" s="306"/>
      <c r="OFW2" s="306"/>
      <c r="OFX2" s="306"/>
      <c r="OFY2" s="306"/>
      <c r="OFZ2" s="306"/>
      <c r="OGA2" s="306"/>
      <c r="OGB2" s="306"/>
      <c r="OGC2" s="306"/>
      <c r="OGD2" s="306"/>
      <c r="OGE2" s="306"/>
      <c r="OGF2" s="306"/>
      <c r="OGG2" s="306"/>
      <c r="OGH2" s="306"/>
      <c r="OGI2" s="306"/>
      <c r="OGJ2" s="306"/>
      <c r="OGK2" s="306"/>
      <c r="OGL2" s="306"/>
      <c r="OGM2" s="306"/>
      <c r="OGN2" s="306"/>
      <c r="OGO2" s="306"/>
      <c r="OGP2" s="306"/>
      <c r="OGQ2" s="306"/>
      <c r="OGR2" s="306"/>
      <c r="OGS2" s="306"/>
      <c r="OGT2" s="306"/>
      <c r="OGU2" s="306"/>
      <c r="OGV2" s="306"/>
      <c r="OGW2" s="306"/>
      <c r="OGX2" s="306"/>
      <c r="OGY2" s="306"/>
      <c r="OGZ2" s="306"/>
      <c r="OHA2" s="306"/>
      <c r="OHB2" s="306"/>
      <c r="OHC2" s="306"/>
      <c r="OHD2" s="306"/>
      <c r="OHE2" s="306"/>
      <c r="OHF2" s="306"/>
      <c r="OHG2" s="306"/>
      <c r="OHH2" s="306"/>
      <c r="OHI2" s="306"/>
      <c r="OHJ2" s="306"/>
      <c r="OHK2" s="306"/>
      <c r="OHL2" s="306"/>
      <c r="OHM2" s="306"/>
      <c r="OHN2" s="306"/>
      <c r="OHO2" s="306"/>
      <c r="OHP2" s="306"/>
      <c r="OHQ2" s="306"/>
      <c r="OHR2" s="306"/>
      <c r="OHS2" s="306"/>
      <c r="OHT2" s="306"/>
      <c r="OHU2" s="306"/>
      <c r="OHV2" s="306"/>
      <c r="OHW2" s="306"/>
      <c r="OHX2" s="306"/>
      <c r="OHY2" s="306"/>
      <c r="OHZ2" s="306"/>
      <c r="OIA2" s="306"/>
      <c r="OIB2" s="306"/>
      <c r="OIC2" s="306"/>
      <c r="OID2" s="306"/>
      <c r="OIE2" s="306"/>
      <c r="OIF2" s="306"/>
      <c r="OIG2" s="306"/>
      <c r="OIH2" s="306"/>
      <c r="OII2" s="306"/>
      <c r="OIJ2" s="306"/>
      <c r="OIK2" s="306"/>
      <c r="OIL2" s="306"/>
      <c r="OIM2" s="306"/>
      <c r="OIN2" s="306"/>
      <c r="OIO2" s="306"/>
      <c r="OIP2" s="306"/>
      <c r="OIQ2" s="306"/>
      <c r="OIR2" s="306"/>
      <c r="OIS2" s="306"/>
      <c r="OIT2" s="306"/>
      <c r="OIU2" s="306"/>
      <c r="OIV2" s="306"/>
      <c r="OIW2" s="306"/>
      <c r="OIX2" s="306"/>
      <c r="OIY2" s="306"/>
      <c r="OIZ2" s="306"/>
      <c r="OJA2" s="306"/>
      <c r="OJB2" s="306"/>
      <c r="OJC2" s="306"/>
      <c r="OJD2" s="306"/>
      <c r="OJE2" s="306"/>
      <c r="OJF2" s="306"/>
      <c r="OJG2" s="306"/>
      <c r="OJH2" s="306"/>
      <c r="OJI2" s="306"/>
      <c r="OJJ2" s="306"/>
      <c r="OJK2" s="306"/>
      <c r="OJL2" s="306"/>
      <c r="OJM2" s="306"/>
      <c r="OJN2" s="306"/>
      <c r="OJO2" s="306"/>
      <c r="OJP2" s="306"/>
      <c r="OJQ2" s="306"/>
      <c r="OJR2" s="306"/>
      <c r="OJS2" s="306"/>
      <c r="OJT2" s="306"/>
      <c r="OJU2" s="306"/>
      <c r="OJV2" s="306"/>
      <c r="OJW2" s="306"/>
      <c r="OJX2" s="306"/>
      <c r="OJY2" s="306"/>
      <c r="OJZ2" s="306"/>
      <c r="OKA2" s="306"/>
      <c r="OKB2" s="306"/>
      <c r="OKC2" s="306"/>
      <c r="OKD2" s="306"/>
      <c r="OKE2" s="306"/>
      <c r="OKF2" s="306"/>
      <c r="OKG2" s="306"/>
      <c r="OKH2" s="306"/>
      <c r="OKI2" s="306"/>
      <c r="OKJ2" s="306"/>
      <c r="OKK2" s="306"/>
      <c r="OKL2" s="306"/>
      <c r="OKM2" s="306"/>
      <c r="OKN2" s="306"/>
      <c r="OKO2" s="306"/>
      <c r="OKP2" s="306"/>
      <c r="OKQ2" s="306"/>
      <c r="OKR2" s="306"/>
      <c r="OKS2" s="306"/>
      <c r="OKT2" s="306"/>
      <c r="OKU2" s="306"/>
      <c r="OKV2" s="306"/>
      <c r="OKW2" s="306"/>
      <c r="OKX2" s="306"/>
      <c r="OKY2" s="306"/>
      <c r="OKZ2" s="306"/>
      <c r="OLA2" s="306"/>
      <c r="OLB2" s="306"/>
      <c r="OLC2" s="306"/>
      <c r="OLD2" s="306"/>
      <c r="OLE2" s="306"/>
      <c r="OLF2" s="306"/>
      <c r="OLG2" s="306"/>
      <c r="OLH2" s="306"/>
      <c r="OLI2" s="306"/>
      <c r="OLJ2" s="306"/>
      <c r="OLK2" s="306"/>
      <c r="OLL2" s="306"/>
      <c r="OLM2" s="306"/>
      <c r="OLN2" s="306"/>
      <c r="OLO2" s="306"/>
      <c r="OLP2" s="306"/>
      <c r="OLQ2" s="306"/>
      <c r="OLR2" s="306"/>
      <c r="OLS2" s="306"/>
      <c r="OLT2" s="306"/>
      <c r="OLU2" s="306"/>
      <c r="OLV2" s="306"/>
      <c r="OLW2" s="306"/>
      <c r="OLX2" s="306"/>
      <c r="OLY2" s="306"/>
      <c r="OLZ2" s="306"/>
      <c r="OMA2" s="306"/>
      <c r="OMB2" s="306"/>
      <c r="OMC2" s="306"/>
      <c r="OMD2" s="306"/>
      <c r="OME2" s="306"/>
      <c r="OMF2" s="306"/>
      <c r="OMG2" s="306"/>
      <c r="OMH2" s="306"/>
      <c r="OMI2" s="306"/>
      <c r="OMJ2" s="306"/>
      <c r="OMK2" s="306"/>
      <c r="OML2" s="306"/>
      <c r="OMM2" s="306"/>
      <c r="OMN2" s="306"/>
      <c r="OMO2" s="306"/>
      <c r="OMP2" s="306"/>
      <c r="OMQ2" s="306"/>
      <c r="OMR2" s="306"/>
      <c r="OMS2" s="306"/>
      <c r="OMT2" s="306"/>
      <c r="OMU2" s="306"/>
      <c r="OMV2" s="306"/>
      <c r="OMW2" s="306"/>
      <c r="OMX2" s="306"/>
      <c r="OMY2" s="306"/>
      <c r="OMZ2" s="306"/>
      <c r="ONA2" s="306"/>
      <c r="ONB2" s="306"/>
      <c r="ONC2" s="306"/>
      <c r="OND2" s="306"/>
      <c r="ONE2" s="306"/>
      <c r="ONF2" s="306"/>
      <c r="ONG2" s="306"/>
      <c r="ONH2" s="306"/>
      <c r="ONI2" s="306"/>
      <c r="ONJ2" s="306"/>
      <c r="ONK2" s="306"/>
      <c r="ONL2" s="306"/>
      <c r="ONM2" s="306"/>
      <c r="ONN2" s="306"/>
      <c r="ONO2" s="306"/>
      <c r="ONP2" s="306"/>
      <c r="ONQ2" s="306"/>
      <c r="ONR2" s="306"/>
      <c r="ONS2" s="306"/>
      <c r="ONT2" s="306"/>
      <c r="ONU2" s="306"/>
      <c r="ONV2" s="306"/>
      <c r="ONW2" s="306"/>
      <c r="ONX2" s="306"/>
      <c r="ONY2" s="306"/>
      <c r="ONZ2" s="306"/>
      <c r="OOA2" s="306"/>
      <c r="OOB2" s="306"/>
      <c r="OOC2" s="306"/>
      <c r="OOD2" s="306"/>
      <c r="OOE2" s="306"/>
      <c r="OOF2" s="306"/>
      <c r="OOG2" s="306"/>
      <c r="OOH2" s="306"/>
      <c r="OOI2" s="306"/>
      <c r="OOJ2" s="306"/>
      <c r="OOK2" s="306"/>
      <c r="OOL2" s="306"/>
      <c r="OOM2" s="306"/>
      <c r="OON2" s="306"/>
      <c r="OOO2" s="306"/>
      <c r="OOP2" s="306"/>
      <c r="OOQ2" s="306"/>
      <c r="OOR2" s="306"/>
      <c r="OOS2" s="306"/>
      <c r="OOT2" s="306"/>
      <c r="OOU2" s="306"/>
      <c r="OOV2" s="306"/>
      <c r="OOW2" s="306"/>
      <c r="OOX2" s="306"/>
      <c r="OOY2" s="306"/>
      <c r="OOZ2" s="306"/>
      <c r="OPA2" s="306"/>
      <c r="OPB2" s="306"/>
      <c r="OPC2" s="306"/>
      <c r="OPD2" s="306"/>
      <c r="OPE2" s="306"/>
      <c r="OPF2" s="306"/>
      <c r="OPG2" s="306"/>
      <c r="OPH2" s="306"/>
      <c r="OPI2" s="306"/>
      <c r="OPJ2" s="306"/>
      <c r="OPK2" s="306"/>
      <c r="OPL2" s="306"/>
      <c r="OPM2" s="306"/>
      <c r="OPN2" s="306"/>
      <c r="OPO2" s="306"/>
      <c r="OPP2" s="306"/>
      <c r="OPQ2" s="306"/>
      <c r="OPR2" s="306"/>
      <c r="OPS2" s="306"/>
      <c r="OPT2" s="306"/>
      <c r="OPU2" s="306"/>
      <c r="OPV2" s="306"/>
      <c r="OPW2" s="306"/>
      <c r="OPX2" s="306"/>
      <c r="OPY2" s="306"/>
      <c r="OPZ2" s="306"/>
      <c r="OQA2" s="306"/>
      <c r="OQB2" s="306"/>
      <c r="OQC2" s="306"/>
      <c r="OQD2" s="306"/>
      <c r="OQE2" s="306"/>
      <c r="OQF2" s="306"/>
      <c r="OQG2" s="306"/>
      <c r="OQH2" s="306"/>
      <c r="OQI2" s="306"/>
      <c r="OQJ2" s="306"/>
      <c r="OQK2" s="306"/>
      <c r="OQL2" s="306"/>
      <c r="OQM2" s="306"/>
      <c r="OQN2" s="306"/>
      <c r="OQO2" s="306"/>
      <c r="OQP2" s="306"/>
      <c r="OQQ2" s="306"/>
      <c r="OQR2" s="306"/>
      <c r="OQS2" s="306"/>
      <c r="OQT2" s="306"/>
      <c r="OQU2" s="306"/>
      <c r="OQV2" s="306"/>
      <c r="OQW2" s="306"/>
      <c r="OQX2" s="306"/>
      <c r="OQY2" s="306"/>
      <c r="OQZ2" s="306"/>
      <c r="ORA2" s="306"/>
      <c r="ORB2" s="306"/>
      <c r="ORC2" s="306"/>
      <c r="ORD2" s="306"/>
      <c r="ORE2" s="306"/>
      <c r="ORF2" s="306"/>
      <c r="ORG2" s="306"/>
      <c r="ORH2" s="306"/>
      <c r="ORI2" s="306"/>
      <c r="ORJ2" s="306"/>
      <c r="ORK2" s="306"/>
      <c r="ORL2" s="306"/>
      <c r="ORM2" s="306"/>
      <c r="ORN2" s="306"/>
      <c r="ORO2" s="306"/>
      <c r="ORP2" s="306"/>
      <c r="ORQ2" s="306"/>
      <c r="ORR2" s="306"/>
      <c r="ORS2" s="306"/>
      <c r="ORT2" s="306"/>
      <c r="ORU2" s="306"/>
      <c r="ORV2" s="306"/>
      <c r="ORW2" s="306"/>
      <c r="ORX2" s="306"/>
      <c r="ORY2" s="306"/>
      <c r="ORZ2" s="306"/>
      <c r="OSA2" s="306"/>
      <c r="OSB2" s="306"/>
      <c r="OSC2" s="306"/>
      <c r="OSD2" s="306"/>
      <c r="OSE2" s="306"/>
      <c r="OSF2" s="306"/>
      <c r="OSG2" s="306"/>
      <c r="OSH2" s="306"/>
      <c r="OSI2" s="306"/>
      <c r="OSJ2" s="306"/>
      <c r="OSK2" s="306"/>
      <c r="OSL2" s="306"/>
      <c r="OSM2" s="306"/>
      <c r="OSN2" s="306"/>
      <c r="OSO2" s="306"/>
      <c r="OSP2" s="306"/>
      <c r="OSQ2" s="306"/>
      <c r="OSR2" s="306"/>
      <c r="OSS2" s="306"/>
      <c r="OST2" s="306"/>
      <c r="OSU2" s="306"/>
      <c r="OSV2" s="306"/>
      <c r="OSW2" s="306"/>
      <c r="OSX2" s="306"/>
      <c r="OSY2" s="306"/>
      <c r="OSZ2" s="306"/>
      <c r="OTA2" s="306"/>
      <c r="OTB2" s="306"/>
      <c r="OTC2" s="306"/>
      <c r="OTD2" s="306"/>
      <c r="OTE2" s="306"/>
      <c r="OTF2" s="306"/>
      <c r="OTG2" s="306"/>
      <c r="OTH2" s="306"/>
      <c r="OTI2" s="306"/>
      <c r="OTJ2" s="306"/>
      <c r="OTK2" s="306"/>
      <c r="OTL2" s="306"/>
      <c r="OTM2" s="306"/>
      <c r="OTN2" s="306"/>
      <c r="OTO2" s="306"/>
      <c r="OTP2" s="306"/>
      <c r="OTQ2" s="306"/>
      <c r="OTR2" s="306"/>
      <c r="OTS2" s="306"/>
      <c r="OTT2" s="306"/>
      <c r="OTU2" s="306"/>
      <c r="OTV2" s="306"/>
      <c r="OTW2" s="306"/>
      <c r="OTX2" s="306"/>
      <c r="OTY2" s="306"/>
      <c r="OTZ2" s="306"/>
      <c r="OUA2" s="306"/>
      <c r="OUB2" s="306"/>
      <c r="OUC2" s="306"/>
      <c r="OUD2" s="306"/>
      <c r="OUE2" s="306"/>
      <c r="OUF2" s="306"/>
      <c r="OUG2" s="306"/>
      <c r="OUH2" s="306"/>
      <c r="OUI2" s="306"/>
      <c r="OUJ2" s="306"/>
      <c r="OUK2" s="306"/>
      <c r="OUL2" s="306"/>
      <c r="OUM2" s="306"/>
      <c r="OUN2" s="306"/>
      <c r="OUO2" s="306"/>
      <c r="OUP2" s="306"/>
      <c r="OUQ2" s="306"/>
      <c r="OUR2" s="306"/>
      <c r="OUS2" s="306"/>
      <c r="OUT2" s="306"/>
      <c r="OUU2" s="306"/>
      <c r="OUV2" s="306"/>
      <c r="OUW2" s="306"/>
      <c r="OUX2" s="306"/>
      <c r="OUY2" s="306"/>
      <c r="OUZ2" s="306"/>
      <c r="OVA2" s="306"/>
      <c r="OVB2" s="306"/>
      <c r="OVC2" s="306"/>
      <c r="OVD2" s="306"/>
      <c r="OVE2" s="306"/>
      <c r="OVF2" s="306"/>
      <c r="OVG2" s="306"/>
      <c r="OVH2" s="306"/>
      <c r="OVI2" s="306"/>
      <c r="OVJ2" s="306"/>
      <c r="OVK2" s="306"/>
      <c r="OVL2" s="306"/>
      <c r="OVM2" s="306"/>
      <c r="OVN2" s="306"/>
      <c r="OVO2" s="306"/>
      <c r="OVP2" s="306"/>
      <c r="OVQ2" s="306"/>
      <c r="OVR2" s="306"/>
      <c r="OVS2" s="306"/>
      <c r="OVT2" s="306"/>
      <c r="OVU2" s="306"/>
      <c r="OVV2" s="306"/>
      <c r="OVW2" s="306"/>
      <c r="OVX2" s="306"/>
      <c r="OVY2" s="306"/>
      <c r="OVZ2" s="306"/>
      <c r="OWA2" s="306"/>
      <c r="OWB2" s="306"/>
      <c r="OWC2" s="306"/>
      <c r="OWD2" s="306"/>
      <c r="OWE2" s="306"/>
      <c r="OWF2" s="306"/>
      <c r="OWG2" s="306"/>
      <c r="OWH2" s="306"/>
      <c r="OWI2" s="306"/>
      <c r="OWJ2" s="306"/>
      <c r="OWK2" s="306"/>
      <c r="OWL2" s="306"/>
      <c r="OWM2" s="306"/>
      <c r="OWN2" s="306"/>
      <c r="OWO2" s="306"/>
      <c r="OWP2" s="306"/>
      <c r="OWQ2" s="306"/>
      <c r="OWR2" s="306"/>
      <c r="OWS2" s="306"/>
      <c r="OWT2" s="306"/>
      <c r="OWU2" s="306"/>
      <c r="OWV2" s="306"/>
      <c r="OWW2" s="306"/>
      <c r="OWX2" s="306"/>
      <c r="OWY2" s="306"/>
      <c r="OWZ2" s="306"/>
      <c r="OXA2" s="306"/>
      <c r="OXB2" s="306"/>
      <c r="OXC2" s="306"/>
      <c r="OXD2" s="306"/>
      <c r="OXE2" s="306"/>
      <c r="OXF2" s="306"/>
      <c r="OXG2" s="306"/>
      <c r="OXH2" s="306"/>
      <c r="OXI2" s="306"/>
      <c r="OXJ2" s="306"/>
      <c r="OXK2" s="306"/>
      <c r="OXL2" s="306"/>
      <c r="OXM2" s="306"/>
      <c r="OXN2" s="306"/>
      <c r="OXO2" s="306"/>
      <c r="OXP2" s="306"/>
      <c r="OXQ2" s="306"/>
      <c r="OXR2" s="306"/>
      <c r="OXS2" s="306"/>
      <c r="OXT2" s="306"/>
      <c r="OXU2" s="306"/>
      <c r="OXV2" s="306"/>
      <c r="OXW2" s="306"/>
      <c r="OXX2" s="306"/>
      <c r="OXY2" s="306"/>
      <c r="OXZ2" s="306"/>
      <c r="OYA2" s="306"/>
      <c r="OYB2" s="306"/>
      <c r="OYC2" s="306"/>
      <c r="OYD2" s="306"/>
      <c r="OYE2" s="306"/>
      <c r="OYF2" s="306"/>
      <c r="OYG2" s="306"/>
      <c r="OYH2" s="306"/>
      <c r="OYI2" s="306"/>
      <c r="OYJ2" s="306"/>
      <c r="OYK2" s="306"/>
      <c r="OYL2" s="306"/>
      <c r="OYM2" s="306"/>
      <c r="OYN2" s="306"/>
      <c r="OYO2" s="306"/>
      <c r="OYP2" s="306"/>
      <c r="OYQ2" s="306"/>
      <c r="OYR2" s="306"/>
      <c r="OYS2" s="306"/>
      <c r="OYT2" s="306"/>
      <c r="OYU2" s="306"/>
      <c r="OYV2" s="306"/>
      <c r="OYW2" s="306"/>
      <c r="OYX2" s="306"/>
      <c r="OYY2" s="306"/>
      <c r="OYZ2" s="306"/>
      <c r="OZA2" s="306"/>
      <c r="OZB2" s="306"/>
      <c r="OZC2" s="306"/>
      <c r="OZD2" s="306"/>
      <c r="OZE2" s="306"/>
      <c r="OZF2" s="306"/>
      <c r="OZG2" s="306"/>
      <c r="OZH2" s="306"/>
      <c r="OZI2" s="306"/>
      <c r="OZJ2" s="306"/>
      <c r="OZK2" s="306"/>
      <c r="OZL2" s="306"/>
      <c r="OZM2" s="306"/>
      <c r="OZN2" s="306"/>
      <c r="OZO2" s="306"/>
      <c r="OZP2" s="306"/>
      <c r="OZQ2" s="306"/>
      <c r="OZR2" s="306"/>
      <c r="OZS2" s="306"/>
      <c r="OZT2" s="306"/>
      <c r="OZU2" s="306"/>
      <c r="OZV2" s="306"/>
      <c r="OZW2" s="306"/>
      <c r="OZX2" s="306"/>
      <c r="OZY2" s="306"/>
      <c r="OZZ2" s="306"/>
      <c r="PAA2" s="306"/>
      <c r="PAB2" s="306"/>
      <c r="PAC2" s="306"/>
      <c r="PAD2" s="306"/>
      <c r="PAE2" s="306"/>
      <c r="PAF2" s="306"/>
      <c r="PAG2" s="306"/>
      <c r="PAH2" s="306"/>
      <c r="PAI2" s="306"/>
      <c r="PAJ2" s="306"/>
      <c r="PAK2" s="306"/>
      <c r="PAL2" s="306"/>
      <c r="PAM2" s="306"/>
      <c r="PAN2" s="306"/>
      <c r="PAO2" s="306"/>
      <c r="PAP2" s="306"/>
      <c r="PAQ2" s="306"/>
      <c r="PAR2" s="306"/>
      <c r="PAS2" s="306"/>
      <c r="PAT2" s="306"/>
      <c r="PAU2" s="306"/>
      <c r="PAV2" s="306"/>
      <c r="PAW2" s="306"/>
      <c r="PAX2" s="306"/>
      <c r="PAY2" s="306"/>
      <c r="PAZ2" s="306"/>
      <c r="PBA2" s="306"/>
      <c r="PBB2" s="306"/>
      <c r="PBC2" s="306"/>
      <c r="PBD2" s="306"/>
      <c r="PBE2" s="306"/>
      <c r="PBF2" s="306"/>
      <c r="PBG2" s="306"/>
      <c r="PBH2" s="306"/>
      <c r="PBI2" s="306"/>
      <c r="PBJ2" s="306"/>
      <c r="PBK2" s="306"/>
      <c r="PBL2" s="306"/>
      <c r="PBM2" s="306"/>
      <c r="PBN2" s="306"/>
      <c r="PBO2" s="306"/>
      <c r="PBP2" s="306"/>
      <c r="PBQ2" s="306"/>
      <c r="PBR2" s="306"/>
      <c r="PBS2" s="306"/>
      <c r="PBT2" s="306"/>
      <c r="PBU2" s="306"/>
      <c r="PBV2" s="306"/>
      <c r="PBW2" s="306"/>
      <c r="PBX2" s="306"/>
      <c r="PBY2" s="306"/>
      <c r="PBZ2" s="306"/>
      <c r="PCA2" s="306"/>
      <c r="PCB2" s="306"/>
      <c r="PCC2" s="306"/>
      <c r="PCD2" s="306"/>
      <c r="PCE2" s="306"/>
      <c r="PCF2" s="306"/>
      <c r="PCG2" s="306"/>
      <c r="PCH2" s="306"/>
      <c r="PCI2" s="306"/>
      <c r="PCJ2" s="306"/>
      <c r="PCK2" s="306"/>
      <c r="PCL2" s="306"/>
      <c r="PCM2" s="306"/>
      <c r="PCN2" s="306"/>
      <c r="PCO2" s="306"/>
      <c r="PCP2" s="306"/>
      <c r="PCQ2" s="306"/>
      <c r="PCR2" s="306"/>
      <c r="PCS2" s="306"/>
      <c r="PCT2" s="306"/>
      <c r="PCU2" s="306"/>
      <c r="PCV2" s="306"/>
      <c r="PCW2" s="306"/>
      <c r="PCX2" s="306"/>
      <c r="PCY2" s="306"/>
      <c r="PCZ2" s="306"/>
      <c r="PDA2" s="306"/>
      <c r="PDB2" s="306"/>
      <c r="PDC2" s="306"/>
      <c r="PDD2" s="306"/>
      <c r="PDE2" s="306"/>
      <c r="PDF2" s="306"/>
      <c r="PDG2" s="306"/>
      <c r="PDH2" s="306"/>
      <c r="PDI2" s="306"/>
      <c r="PDJ2" s="306"/>
      <c r="PDK2" s="306"/>
      <c r="PDL2" s="306"/>
      <c r="PDM2" s="306"/>
      <c r="PDN2" s="306"/>
      <c r="PDO2" s="306"/>
      <c r="PDP2" s="306"/>
      <c r="PDQ2" s="306"/>
      <c r="PDR2" s="306"/>
      <c r="PDS2" s="306"/>
      <c r="PDT2" s="306"/>
      <c r="PDU2" s="306"/>
      <c r="PDV2" s="306"/>
      <c r="PDW2" s="306"/>
      <c r="PDX2" s="306"/>
      <c r="PDY2" s="306"/>
      <c r="PDZ2" s="306"/>
      <c r="PEA2" s="306"/>
      <c r="PEB2" s="306"/>
      <c r="PEC2" s="306"/>
      <c r="PED2" s="306"/>
      <c r="PEE2" s="306"/>
      <c r="PEF2" s="306"/>
      <c r="PEG2" s="306"/>
      <c r="PEH2" s="306"/>
      <c r="PEI2" s="306"/>
      <c r="PEJ2" s="306"/>
      <c r="PEK2" s="306"/>
      <c r="PEL2" s="306"/>
      <c r="PEM2" s="306"/>
      <c r="PEN2" s="306"/>
      <c r="PEO2" s="306"/>
      <c r="PEP2" s="306"/>
      <c r="PEQ2" s="306"/>
      <c r="PER2" s="306"/>
      <c r="PES2" s="306"/>
      <c r="PET2" s="306"/>
      <c r="PEU2" s="306"/>
      <c r="PEV2" s="306"/>
      <c r="PEW2" s="306"/>
      <c r="PEX2" s="306"/>
      <c r="PEY2" s="306"/>
      <c r="PEZ2" s="306"/>
      <c r="PFA2" s="306"/>
      <c r="PFB2" s="306"/>
      <c r="PFC2" s="306"/>
      <c r="PFD2" s="306"/>
      <c r="PFE2" s="306"/>
      <c r="PFF2" s="306"/>
      <c r="PFG2" s="306"/>
      <c r="PFH2" s="306"/>
      <c r="PFI2" s="306"/>
      <c r="PFJ2" s="306"/>
      <c r="PFK2" s="306"/>
      <c r="PFL2" s="306"/>
      <c r="PFM2" s="306"/>
      <c r="PFN2" s="306"/>
      <c r="PFO2" s="306"/>
      <c r="PFP2" s="306"/>
      <c r="PFQ2" s="306"/>
      <c r="PFR2" s="306"/>
      <c r="PFS2" s="306"/>
      <c r="PFT2" s="306"/>
      <c r="PFU2" s="306"/>
      <c r="PFV2" s="306"/>
      <c r="PFW2" s="306"/>
      <c r="PFX2" s="306"/>
      <c r="PFY2" s="306"/>
      <c r="PFZ2" s="306"/>
      <c r="PGA2" s="306"/>
      <c r="PGB2" s="306"/>
      <c r="PGC2" s="306"/>
      <c r="PGD2" s="306"/>
      <c r="PGE2" s="306"/>
      <c r="PGF2" s="306"/>
      <c r="PGG2" s="306"/>
      <c r="PGH2" s="306"/>
      <c r="PGI2" s="306"/>
      <c r="PGJ2" s="306"/>
      <c r="PGK2" s="306"/>
      <c r="PGL2" s="306"/>
      <c r="PGM2" s="306"/>
      <c r="PGN2" s="306"/>
      <c r="PGO2" s="306"/>
      <c r="PGP2" s="306"/>
      <c r="PGQ2" s="306"/>
      <c r="PGR2" s="306"/>
      <c r="PGS2" s="306"/>
      <c r="PGT2" s="306"/>
      <c r="PGU2" s="306"/>
      <c r="PGV2" s="306"/>
      <c r="PGW2" s="306"/>
      <c r="PGX2" s="306"/>
      <c r="PGY2" s="306"/>
      <c r="PGZ2" s="306"/>
      <c r="PHA2" s="306"/>
      <c r="PHB2" s="306"/>
      <c r="PHC2" s="306"/>
      <c r="PHD2" s="306"/>
      <c r="PHE2" s="306"/>
      <c r="PHF2" s="306"/>
      <c r="PHG2" s="306"/>
      <c r="PHH2" s="306"/>
      <c r="PHI2" s="306"/>
      <c r="PHJ2" s="306"/>
      <c r="PHK2" s="306"/>
      <c r="PHL2" s="306"/>
      <c r="PHM2" s="306"/>
      <c r="PHN2" s="306"/>
      <c r="PHO2" s="306"/>
      <c r="PHP2" s="306"/>
      <c r="PHQ2" s="306"/>
      <c r="PHR2" s="306"/>
      <c r="PHS2" s="306"/>
      <c r="PHT2" s="306"/>
      <c r="PHU2" s="306"/>
      <c r="PHV2" s="306"/>
      <c r="PHW2" s="306"/>
      <c r="PHX2" s="306"/>
      <c r="PHY2" s="306"/>
      <c r="PHZ2" s="306"/>
      <c r="PIA2" s="306"/>
      <c r="PIB2" s="306"/>
      <c r="PIC2" s="306"/>
      <c r="PID2" s="306"/>
      <c r="PIE2" s="306"/>
      <c r="PIF2" s="306"/>
      <c r="PIG2" s="306"/>
      <c r="PIH2" s="306"/>
      <c r="PII2" s="306"/>
      <c r="PIJ2" s="306"/>
      <c r="PIK2" s="306"/>
      <c r="PIL2" s="306"/>
      <c r="PIM2" s="306"/>
      <c r="PIN2" s="306"/>
      <c r="PIO2" s="306"/>
      <c r="PIP2" s="306"/>
      <c r="PIQ2" s="306"/>
      <c r="PIR2" s="306"/>
      <c r="PIS2" s="306"/>
      <c r="PIT2" s="306"/>
      <c r="PIU2" s="306"/>
      <c r="PIV2" s="306"/>
      <c r="PIW2" s="306"/>
      <c r="PIX2" s="306"/>
      <c r="PIY2" s="306"/>
      <c r="PIZ2" s="306"/>
      <c r="PJA2" s="306"/>
      <c r="PJB2" s="306"/>
      <c r="PJC2" s="306"/>
      <c r="PJD2" s="306"/>
      <c r="PJE2" s="306"/>
      <c r="PJF2" s="306"/>
      <c r="PJG2" s="306"/>
      <c r="PJH2" s="306"/>
      <c r="PJI2" s="306"/>
      <c r="PJJ2" s="306"/>
      <c r="PJK2" s="306"/>
      <c r="PJL2" s="306"/>
      <c r="PJM2" s="306"/>
      <c r="PJN2" s="306"/>
      <c r="PJO2" s="306"/>
      <c r="PJP2" s="306"/>
      <c r="PJQ2" s="306"/>
      <c r="PJR2" s="306"/>
      <c r="PJS2" s="306"/>
      <c r="PJT2" s="306"/>
      <c r="PJU2" s="306"/>
      <c r="PJV2" s="306"/>
      <c r="PJW2" s="306"/>
      <c r="PJX2" s="306"/>
      <c r="PJY2" s="306"/>
      <c r="PJZ2" s="306"/>
      <c r="PKA2" s="306"/>
      <c r="PKB2" s="306"/>
      <c r="PKC2" s="306"/>
      <c r="PKD2" s="306"/>
      <c r="PKE2" s="306"/>
      <c r="PKF2" s="306"/>
      <c r="PKG2" s="306"/>
      <c r="PKH2" s="306"/>
      <c r="PKI2" s="306"/>
      <c r="PKJ2" s="306"/>
      <c r="PKK2" s="306"/>
      <c r="PKL2" s="306"/>
      <c r="PKM2" s="306"/>
      <c r="PKN2" s="306"/>
      <c r="PKO2" s="306"/>
      <c r="PKP2" s="306"/>
      <c r="PKQ2" s="306"/>
      <c r="PKR2" s="306"/>
      <c r="PKS2" s="306"/>
      <c r="PKT2" s="306"/>
      <c r="PKU2" s="306"/>
      <c r="PKV2" s="306"/>
      <c r="PKW2" s="306"/>
      <c r="PKX2" s="306"/>
      <c r="PKY2" s="306"/>
      <c r="PKZ2" s="306"/>
      <c r="PLA2" s="306"/>
      <c r="PLB2" s="306"/>
      <c r="PLC2" s="306"/>
      <c r="PLD2" s="306"/>
      <c r="PLE2" s="306"/>
      <c r="PLF2" s="306"/>
      <c r="PLG2" s="306"/>
      <c r="PLH2" s="306"/>
      <c r="PLI2" s="306"/>
      <c r="PLJ2" s="306"/>
      <c r="PLK2" s="306"/>
      <c r="PLL2" s="306"/>
      <c r="PLM2" s="306"/>
      <c r="PLN2" s="306"/>
      <c r="PLO2" s="306"/>
      <c r="PLP2" s="306"/>
      <c r="PLQ2" s="306"/>
      <c r="PLR2" s="306"/>
      <c r="PLS2" s="306"/>
      <c r="PLT2" s="306"/>
      <c r="PLU2" s="306"/>
      <c r="PLV2" s="306"/>
      <c r="PLW2" s="306"/>
      <c r="PLX2" s="306"/>
      <c r="PLY2" s="306"/>
      <c r="PLZ2" s="306"/>
      <c r="PMA2" s="306"/>
      <c r="PMB2" s="306"/>
      <c r="PMC2" s="306"/>
      <c r="PMD2" s="306"/>
      <c r="PME2" s="306"/>
      <c r="PMF2" s="306"/>
      <c r="PMG2" s="306"/>
      <c r="PMH2" s="306"/>
      <c r="PMI2" s="306"/>
      <c r="PMJ2" s="306"/>
      <c r="PMK2" s="306"/>
      <c r="PML2" s="306"/>
      <c r="PMM2" s="306"/>
      <c r="PMN2" s="306"/>
      <c r="PMO2" s="306"/>
      <c r="PMP2" s="306"/>
      <c r="PMQ2" s="306"/>
      <c r="PMR2" s="306"/>
      <c r="PMS2" s="306"/>
      <c r="PMT2" s="306"/>
      <c r="PMU2" s="306"/>
      <c r="PMV2" s="306"/>
      <c r="PMW2" s="306"/>
      <c r="PMX2" s="306"/>
      <c r="PMY2" s="306"/>
      <c r="PMZ2" s="306"/>
      <c r="PNA2" s="306"/>
      <c r="PNB2" s="306"/>
      <c r="PNC2" s="306"/>
      <c r="PND2" s="306"/>
      <c r="PNE2" s="306"/>
      <c r="PNF2" s="306"/>
      <c r="PNG2" s="306"/>
      <c r="PNH2" s="306"/>
      <c r="PNI2" s="306"/>
      <c r="PNJ2" s="306"/>
      <c r="PNK2" s="306"/>
      <c r="PNL2" s="306"/>
      <c r="PNM2" s="306"/>
      <c r="PNN2" s="306"/>
      <c r="PNO2" s="306"/>
      <c r="PNP2" s="306"/>
      <c r="PNQ2" s="306"/>
      <c r="PNR2" s="306"/>
      <c r="PNS2" s="306"/>
      <c r="PNT2" s="306"/>
      <c r="PNU2" s="306"/>
      <c r="PNV2" s="306"/>
      <c r="PNW2" s="306"/>
      <c r="PNX2" s="306"/>
      <c r="PNY2" s="306"/>
      <c r="PNZ2" s="306"/>
      <c r="POA2" s="306"/>
      <c r="POB2" s="306"/>
      <c r="POC2" s="306"/>
      <c r="POD2" s="306"/>
      <c r="POE2" s="306"/>
      <c r="POF2" s="306"/>
      <c r="POG2" s="306"/>
      <c r="POH2" s="306"/>
      <c r="POI2" s="306"/>
      <c r="POJ2" s="306"/>
      <c r="POK2" s="306"/>
      <c r="POL2" s="306"/>
      <c r="POM2" s="306"/>
      <c r="PON2" s="306"/>
      <c r="POO2" s="306"/>
      <c r="POP2" s="306"/>
      <c r="POQ2" s="306"/>
      <c r="POR2" s="306"/>
      <c r="POS2" s="306"/>
      <c r="POT2" s="306"/>
      <c r="POU2" s="306"/>
      <c r="POV2" s="306"/>
      <c r="POW2" s="306"/>
      <c r="POX2" s="306"/>
      <c r="POY2" s="306"/>
      <c r="POZ2" s="306"/>
      <c r="PPA2" s="306"/>
      <c r="PPB2" s="306"/>
      <c r="PPC2" s="306"/>
      <c r="PPD2" s="306"/>
      <c r="PPE2" s="306"/>
      <c r="PPF2" s="306"/>
      <c r="PPG2" s="306"/>
      <c r="PPH2" s="306"/>
      <c r="PPI2" s="306"/>
      <c r="PPJ2" s="306"/>
      <c r="PPK2" s="306"/>
      <c r="PPL2" s="306"/>
      <c r="PPM2" s="306"/>
      <c r="PPN2" s="306"/>
      <c r="PPO2" s="306"/>
      <c r="PPP2" s="306"/>
      <c r="PPQ2" s="306"/>
      <c r="PPR2" s="306"/>
      <c r="PPS2" s="306"/>
      <c r="PPT2" s="306"/>
      <c r="PPU2" s="306"/>
      <c r="PPV2" s="306"/>
      <c r="PPW2" s="306"/>
      <c r="PPX2" s="306"/>
      <c r="PPY2" s="306"/>
      <c r="PPZ2" s="306"/>
      <c r="PQA2" s="306"/>
      <c r="PQB2" s="306"/>
      <c r="PQC2" s="306"/>
      <c r="PQD2" s="306"/>
      <c r="PQE2" s="306"/>
      <c r="PQF2" s="306"/>
      <c r="PQG2" s="306"/>
      <c r="PQH2" s="306"/>
      <c r="PQI2" s="306"/>
      <c r="PQJ2" s="306"/>
      <c r="PQK2" s="306"/>
      <c r="PQL2" s="306"/>
      <c r="PQM2" s="306"/>
      <c r="PQN2" s="306"/>
      <c r="PQO2" s="306"/>
      <c r="PQP2" s="306"/>
      <c r="PQQ2" s="306"/>
      <c r="PQR2" s="306"/>
      <c r="PQS2" s="306"/>
      <c r="PQT2" s="306"/>
      <c r="PQU2" s="306"/>
      <c r="PQV2" s="306"/>
      <c r="PQW2" s="306"/>
      <c r="PQX2" s="306"/>
      <c r="PQY2" s="306"/>
      <c r="PQZ2" s="306"/>
      <c r="PRA2" s="306"/>
      <c r="PRB2" s="306"/>
      <c r="PRC2" s="306"/>
      <c r="PRD2" s="306"/>
      <c r="PRE2" s="306"/>
      <c r="PRF2" s="306"/>
      <c r="PRG2" s="306"/>
      <c r="PRH2" s="306"/>
      <c r="PRI2" s="306"/>
      <c r="PRJ2" s="306"/>
      <c r="PRK2" s="306"/>
      <c r="PRL2" s="306"/>
      <c r="PRM2" s="306"/>
      <c r="PRN2" s="306"/>
      <c r="PRO2" s="306"/>
      <c r="PRP2" s="306"/>
      <c r="PRQ2" s="306"/>
      <c r="PRR2" s="306"/>
      <c r="PRS2" s="306"/>
      <c r="PRT2" s="306"/>
      <c r="PRU2" s="306"/>
      <c r="PRV2" s="306"/>
      <c r="PRW2" s="306"/>
      <c r="PRX2" s="306"/>
      <c r="PRY2" s="306"/>
      <c r="PRZ2" s="306"/>
      <c r="PSA2" s="306"/>
      <c r="PSB2" s="306"/>
      <c r="PSC2" s="306"/>
      <c r="PSD2" s="306"/>
      <c r="PSE2" s="306"/>
      <c r="PSF2" s="306"/>
      <c r="PSG2" s="306"/>
      <c r="PSH2" s="306"/>
      <c r="PSI2" s="306"/>
      <c r="PSJ2" s="306"/>
      <c r="PSK2" s="306"/>
      <c r="PSL2" s="306"/>
      <c r="PSM2" s="306"/>
      <c r="PSN2" s="306"/>
      <c r="PSO2" s="306"/>
      <c r="PSP2" s="306"/>
      <c r="PSQ2" s="306"/>
      <c r="PSR2" s="306"/>
      <c r="PSS2" s="306"/>
      <c r="PST2" s="306"/>
      <c r="PSU2" s="306"/>
      <c r="PSV2" s="306"/>
      <c r="PSW2" s="306"/>
      <c r="PSX2" s="306"/>
      <c r="PSY2" s="306"/>
      <c r="PSZ2" s="306"/>
      <c r="PTA2" s="306"/>
      <c r="PTB2" s="306"/>
      <c r="PTC2" s="306"/>
      <c r="PTD2" s="306"/>
      <c r="PTE2" s="306"/>
      <c r="PTF2" s="306"/>
      <c r="PTG2" s="306"/>
      <c r="PTH2" s="306"/>
      <c r="PTI2" s="306"/>
      <c r="PTJ2" s="306"/>
      <c r="PTK2" s="306"/>
      <c r="PTL2" s="306"/>
      <c r="PTM2" s="306"/>
      <c r="PTN2" s="306"/>
      <c r="PTO2" s="306"/>
      <c r="PTP2" s="306"/>
      <c r="PTQ2" s="306"/>
      <c r="PTR2" s="306"/>
      <c r="PTS2" s="306"/>
      <c r="PTT2" s="306"/>
      <c r="PTU2" s="306"/>
      <c r="PTV2" s="306"/>
      <c r="PTW2" s="306"/>
      <c r="PTX2" s="306"/>
      <c r="PTY2" s="306"/>
      <c r="PTZ2" s="306"/>
      <c r="PUA2" s="306"/>
      <c r="PUB2" s="306"/>
      <c r="PUC2" s="306"/>
      <c r="PUD2" s="306"/>
      <c r="PUE2" s="306"/>
      <c r="PUF2" s="306"/>
      <c r="PUG2" s="306"/>
      <c r="PUH2" s="306"/>
      <c r="PUI2" s="306"/>
      <c r="PUJ2" s="306"/>
      <c r="PUK2" s="306"/>
      <c r="PUL2" s="306"/>
      <c r="PUM2" s="306"/>
      <c r="PUN2" s="306"/>
      <c r="PUO2" s="306"/>
      <c r="PUP2" s="306"/>
      <c r="PUQ2" s="306"/>
      <c r="PUR2" s="306"/>
      <c r="PUS2" s="306"/>
      <c r="PUT2" s="306"/>
      <c r="PUU2" s="306"/>
      <c r="PUV2" s="306"/>
      <c r="PUW2" s="306"/>
      <c r="PUX2" s="306"/>
      <c r="PUY2" s="306"/>
      <c r="PUZ2" s="306"/>
      <c r="PVA2" s="306"/>
      <c r="PVB2" s="306"/>
      <c r="PVC2" s="306"/>
      <c r="PVD2" s="306"/>
      <c r="PVE2" s="306"/>
      <c r="PVF2" s="306"/>
      <c r="PVG2" s="306"/>
      <c r="PVH2" s="306"/>
      <c r="PVI2" s="306"/>
      <c r="PVJ2" s="306"/>
      <c r="PVK2" s="306"/>
      <c r="PVL2" s="306"/>
      <c r="PVM2" s="306"/>
      <c r="PVN2" s="306"/>
      <c r="PVO2" s="306"/>
      <c r="PVP2" s="306"/>
      <c r="PVQ2" s="306"/>
      <c r="PVR2" s="306"/>
      <c r="PVS2" s="306"/>
      <c r="PVT2" s="306"/>
      <c r="PVU2" s="306"/>
      <c r="PVV2" s="306"/>
      <c r="PVW2" s="306"/>
      <c r="PVX2" s="306"/>
      <c r="PVY2" s="306"/>
      <c r="PVZ2" s="306"/>
      <c r="PWA2" s="306"/>
      <c r="PWB2" s="306"/>
      <c r="PWC2" s="306"/>
      <c r="PWD2" s="306"/>
      <c r="PWE2" s="306"/>
      <c r="PWF2" s="306"/>
      <c r="PWG2" s="306"/>
      <c r="PWH2" s="306"/>
      <c r="PWI2" s="306"/>
      <c r="PWJ2" s="306"/>
      <c r="PWK2" s="306"/>
      <c r="PWL2" s="306"/>
      <c r="PWM2" s="306"/>
      <c r="PWN2" s="306"/>
      <c r="PWO2" s="306"/>
      <c r="PWP2" s="306"/>
      <c r="PWQ2" s="306"/>
      <c r="PWR2" s="306"/>
      <c r="PWS2" s="306"/>
      <c r="PWT2" s="306"/>
      <c r="PWU2" s="306"/>
      <c r="PWV2" s="306"/>
      <c r="PWW2" s="306"/>
      <c r="PWX2" s="306"/>
      <c r="PWY2" s="306"/>
      <c r="PWZ2" s="306"/>
      <c r="PXA2" s="306"/>
      <c r="PXB2" s="306"/>
      <c r="PXC2" s="306"/>
      <c r="PXD2" s="306"/>
      <c r="PXE2" s="306"/>
      <c r="PXF2" s="306"/>
      <c r="PXG2" s="306"/>
      <c r="PXH2" s="306"/>
      <c r="PXI2" s="306"/>
      <c r="PXJ2" s="306"/>
      <c r="PXK2" s="306"/>
      <c r="PXL2" s="306"/>
      <c r="PXM2" s="306"/>
      <c r="PXN2" s="306"/>
      <c r="PXO2" s="306"/>
      <c r="PXP2" s="306"/>
      <c r="PXQ2" s="306"/>
      <c r="PXR2" s="306"/>
      <c r="PXS2" s="306"/>
      <c r="PXT2" s="306"/>
      <c r="PXU2" s="306"/>
      <c r="PXV2" s="306"/>
      <c r="PXW2" s="306"/>
      <c r="PXX2" s="306"/>
      <c r="PXY2" s="306"/>
      <c r="PXZ2" s="306"/>
      <c r="PYA2" s="306"/>
      <c r="PYB2" s="306"/>
      <c r="PYC2" s="306"/>
      <c r="PYD2" s="306"/>
      <c r="PYE2" s="306"/>
      <c r="PYF2" s="306"/>
      <c r="PYG2" s="306"/>
      <c r="PYH2" s="306"/>
      <c r="PYI2" s="306"/>
      <c r="PYJ2" s="306"/>
      <c r="PYK2" s="306"/>
      <c r="PYL2" s="306"/>
      <c r="PYM2" s="306"/>
      <c r="PYN2" s="306"/>
      <c r="PYO2" s="306"/>
      <c r="PYP2" s="306"/>
      <c r="PYQ2" s="306"/>
      <c r="PYR2" s="306"/>
      <c r="PYS2" s="306"/>
      <c r="PYT2" s="306"/>
      <c r="PYU2" s="306"/>
      <c r="PYV2" s="306"/>
      <c r="PYW2" s="306"/>
      <c r="PYX2" s="306"/>
      <c r="PYY2" s="306"/>
      <c r="PYZ2" s="306"/>
      <c r="PZA2" s="306"/>
      <c r="PZB2" s="306"/>
      <c r="PZC2" s="306"/>
      <c r="PZD2" s="306"/>
      <c r="PZE2" s="306"/>
      <c r="PZF2" s="306"/>
      <c r="PZG2" s="306"/>
      <c r="PZH2" s="306"/>
      <c r="PZI2" s="306"/>
      <c r="PZJ2" s="306"/>
      <c r="PZK2" s="306"/>
      <c r="PZL2" s="306"/>
      <c r="PZM2" s="306"/>
      <c r="PZN2" s="306"/>
      <c r="PZO2" s="306"/>
      <c r="PZP2" s="306"/>
      <c r="PZQ2" s="306"/>
      <c r="PZR2" s="306"/>
      <c r="PZS2" s="306"/>
      <c r="PZT2" s="306"/>
      <c r="PZU2" s="306"/>
      <c r="PZV2" s="306"/>
      <c r="PZW2" s="306"/>
      <c r="PZX2" s="306"/>
      <c r="PZY2" s="306"/>
      <c r="PZZ2" s="306"/>
      <c r="QAA2" s="306"/>
      <c r="QAB2" s="306"/>
      <c r="QAC2" s="306"/>
      <c r="QAD2" s="306"/>
      <c r="QAE2" s="306"/>
      <c r="QAF2" s="306"/>
      <c r="QAG2" s="306"/>
      <c r="QAH2" s="306"/>
      <c r="QAI2" s="306"/>
      <c r="QAJ2" s="306"/>
      <c r="QAK2" s="306"/>
      <c r="QAL2" s="306"/>
      <c r="QAM2" s="306"/>
      <c r="QAN2" s="306"/>
      <c r="QAO2" s="306"/>
      <c r="QAP2" s="306"/>
      <c r="QAQ2" s="306"/>
      <c r="QAR2" s="306"/>
      <c r="QAS2" s="306"/>
      <c r="QAT2" s="306"/>
      <c r="QAU2" s="306"/>
      <c r="QAV2" s="306"/>
      <c r="QAW2" s="306"/>
      <c r="QAX2" s="306"/>
      <c r="QAY2" s="306"/>
      <c r="QAZ2" s="306"/>
      <c r="QBA2" s="306"/>
      <c r="QBB2" s="306"/>
      <c r="QBC2" s="306"/>
      <c r="QBD2" s="306"/>
      <c r="QBE2" s="306"/>
      <c r="QBF2" s="306"/>
      <c r="QBG2" s="306"/>
      <c r="QBH2" s="306"/>
      <c r="QBI2" s="306"/>
      <c r="QBJ2" s="306"/>
      <c r="QBK2" s="306"/>
      <c r="QBL2" s="306"/>
      <c r="QBM2" s="306"/>
      <c r="QBN2" s="306"/>
      <c r="QBO2" s="306"/>
      <c r="QBP2" s="306"/>
      <c r="QBQ2" s="306"/>
      <c r="QBR2" s="306"/>
      <c r="QBS2" s="306"/>
      <c r="QBT2" s="306"/>
      <c r="QBU2" s="306"/>
      <c r="QBV2" s="306"/>
      <c r="QBW2" s="306"/>
      <c r="QBX2" s="306"/>
      <c r="QBY2" s="306"/>
      <c r="QBZ2" s="306"/>
      <c r="QCA2" s="306"/>
      <c r="QCB2" s="306"/>
      <c r="QCC2" s="306"/>
      <c r="QCD2" s="306"/>
      <c r="QCE2" s="306"/>
      <c r="QCF2" s="306"/>
      <c r="QCG2" s="306"/>
      <c r="QCH2" s="306"/>
      <c r="QCI2" s="306"/>
      <c r="QCJ2" s="306"/>
      <c r="QCK2" s="306"/>
      <c r="QCL2" s="306"/>
      <c r="QCM2" s="306"/>
      <c r="QCN2" s="306"/>
      <c r="QCO2" s="306"/>
      <c r="QCP2" s="306"/>
      <c r="QCQ2" s="306"/>
      <c r="QCR2" s="306"/>
      <c r="QCS2" s="306"/>
      <c r="QCT2" s="306"/>
      <c r="QCU2" s="306"/>
      <c r="QCV2" s="306"/>
      <c r="QCW2" s="306"/>
      <c r="QCX2" s="306"/>
      <c r="QCY2" s="306"/>
      <c r="QCZ2" s="306"/>
      <c r="QDA2" s="306"/>
      <c r="QDB2" s="306"/>
      <c r="QDC2" s="306"/>
      <c r="QDD2" s="306"/>
      <c r="QDE2" s="306"/>
      <c r="QDF2" s="306"/>
      <c r="QDG2" s="306"/>
      <c r="QDH2" s="306"/>
      <c r="QDI2" s="306"/>
      <c r="QDJ2" s="306"/>
      <c r="QDK2" s="306"/>
      <c r="QDL2" s="306"/>
      <c r="QDM2" s="306"/>
      <c r="QDN2" s="306"/>
      <c r="QDO2" s="306"/>
      <c r="QDP2" s="306"/>
      <c r="QDQ2" s="306"/>
      <c r="QDR2" s="306"/>
      <c r="QDS2" s="306"/>
      <c r="QDT2" s="306"/>
      <c r="QDU2" s="306"/>
      <c r="QDV2" s="306"/>
      <c r="QDW2" s="306"/>
      <c r="QDX2" s="306"/>
      <c r="QDY2" s="306"/>
      <c r="QDZ2" s="306"/>
      <c r="QEA2" s="306"/>
      <c r="QEB2" s="306"/>
      <c r="QEC2" s="306"/>
      <c r="QED2" s="306"/>
      <c r="QEE2" s="306"/>
      <c r="QEF2" s="306"/>
      <c r="QEG2" s="306"/>
      <c r="QEH2" s="306"/>
      <c r="QEI2" s="306"/>
      <c r="QEJ2" s="306"/>
      <c r="QEK2" s="306"/>
      <c r="QEL2" s="306"/>
      <c r="QEM2" s="306"/>
      <c r="QEN2" s="306"/>
      <c r="QEO2" s="306"/>
      <c r="QEP2" s="306"/>
      <c r="QEQ2" s="306"/>
      <c r="QER2" s="306"/>
      <c r="QES2" s="306"/>
      <c r="QET2" s="306"/>
      <c r="QEU2" s="306"/>
      <c r="QEV2" s="306"/>
      <c r="QEW2" s="306"/>
      <c r="QEX2" s="306"/>
      <c r="QEY2" s="306"/>
      <c r="QEZ2" s="306"/>
      <c r="QFA2" s="306"/>
      <c r="QFB2" s="306"/>
      <c r="QFC2" s="306"/>
      <c r="QFD2" s="306"/>
      <c r="QFE2" s="306"/>
      <c r="QFF2" s="306"/>
      <c r="QFG2" s="306"/>
      <c r="QFH2" s="306"/>
      <c r="QFI2" s="306"/>
      <c r="QFJ2" s="306"/>
      <c r="QFK2" s="306"/>
      <c r="QFL2" s="306"/>
      <c r="QFM2" s="306"/>
      <c r="QFN2" s="306"/>
      <c r="QFO2" s="306"/>
      <c r="QFP2" s="306"/>
      <c r="QFQ2" s="306"/>
      <c r="QFR2" s="306"/>
      <c r="QFS2" s="306"/>
      <c r="QFT2" s="306"/>
      <c r="QFU2" s="306"/>
      <c r="QFV2" s="306"/>
      <c r="QFW2" s="306"/>
      <c r="QFX2" s="306"/>
      <c r="QFY2" s="306"/>
      <c r="QFZ2" s="306"/>
      <c r="QGA2" s="306"/>
      <c r="QGB2" s="306"/>
      <c r="QGC2" s="306"/>
      <c r="QGD2" s="306"/>
      <c r="QGE2" s="306"/>
      <c r="QGF2" s="306"/>
      <c r="QGG2" s="306"/>
      <c r="QGH2" s="306"/>
      <c r="QGI2" s="306"/>
      <c r="QGJ2" s="306"/>
      <c r="QGK2" s="306"/>
      <c r="QGL2" s="306"/>
      <c r="QGM2" s="306"/>
      <c r="QGN2" s="306"/>
      <c r="QGO2" s="306"/>
      <c r="QGP2" s="306"/>
      <c r="QGQ2" s="306"/>
      <c r="QGR2" s="306"/>
      <c r="QGS2" s="306"/>
      <c r="QGT2" s="306"/>
      <c r="QGU2" s="306"/>
      <c r="QGV2" s="306"/>
      <c r="QGW2" s="306"/>
      <c r="QGX2" s="306"/>
      <c r="QGY2" s="306"/>
      <c r="QGZ2" s="306"/>
      <c r="QHA2" s="306"/>
      <c r="QHB2" s="306"/>
      <c r="QHC2" s="306"/>
      <c r="QHD2" s="306"/>
      <c r="QHE2" s="306"/>
      <c r="QHF2" s="306"/>
      <c r="QHG2" s="306"/>
      <c r="QHH2" s="306"/>
      <c r="QHI2" s="306"/>
      <c r="QHJ2" s="306"/>
      <c r="QHK2" s="306"/>
      <c r="QHL2" s="306"/>
      <c r="QHM2" s="306"/>
      <c r="QHN2" s="306"/>
      <c r="QHO2" s="306"/>
      <c r="QHP2" s="306"/>
      <c r="QHQ2" s="306"/>
      <c r="QHR2" s="306"/>
      <c r="QHS2" s="306"/>
      <c r="QHT2" s="306"/>
      <c r="QHU2" s="306"/>
      <c r="QHV2" s="306"/>
      <c r="QHW2" s="306"/>
      <c r="QHX2" s="306"/>
      <c r="QHY2" s="306"/>
      <c r="QHZ2" s="306"/>
      <c r="QIA2" s="306"/>
      <c r="QIB2" s="306"/>
      <c r="QIC2" s="306"/>
      <c r="QID2" s="306"/>
      <c r="QIE2" s="306"/>
      <c r="QIF2" s="306"/>
      <c r="QIG2" s="306"/>
      <c r="QIH2" s="306"/>
      <c r="QII2" s="306"/>
      <c r="QIJ2" s="306"/>
      <c r="QIK2" s="306"/>
      <c r="QIL2" s="306"/>
      <c r="QIM2" s="306"/>
      <c r="QIN2" s="306"/>
      <c r="QIO2" s="306"/>
      <c r="QIP2" s="306"/>
      <c r="QIQ2" s="306"/>
      <c r="QIR2" s="306"/>
      <c r="QIS2" s="306"/>
      <c r="QIT2" s="306"/>
      <c r="QIU2" s="306"/>
      <c r="QIV2" s="306"/>
      <c r="QIW2" s="306"/>
      <c r="QIX2" s="306"/>
      <c r="QIY2" s="306"/>
      <c r="QIZ2" s="306"/>
      <c r="QJA2" s="306"/>
      <c r="QJB2" s="306"/>
      <c r="QJC2" s="306"/>
      <c r="QJD2" s="306"/>
      <c r="QJE2" s="306"/>
      <c r="QJF2" s="306"/>
      <c r="QJG2" s="306"/>
      <c r="QJH2" s="306"/>
      <c r="QJI2" s="306"/>
      <c r="QJJ2" s="306"/>
      <c r="QJK2" s="306"/>
      <c r="QJL2" s="306"/>
      <c r="QJM2" s="306"/>
      <c r="QJN2" s="306"/>
      <c r="QJO2" s="306"/>
      <c r="QJP2" s="306"/>
      <c r="QJQ2" s="306"/>
      <c r="QJR2" s="306"/>
      <c r="QJS2" s="306"/>
      <c r="QJT2" s="306"/>
      <c r="QJU2" s="306"/>
      <c r="QJV2" s="306"/>
      <c r="QJW2" s="306"/>
      <c r="QJX2" s="306"/>
      <c r="QJY2" s="306"/>
      <c r="QJZ2" s="306"/>
      <c r="QKA2" s="306"/>
      <c r="QKB2" s="306"/>
      <c r="QKC2" s="306"/>
      <c r="QKD2" s="306"/>
      <c r="QKE2" s="306"/>
      <c r="QKF2" s="306"/>
      <c r="QKG2" s="306"/>
      <c r="QKH2" s="306"/>
      <c r="QKI2" s="306"/>
      <c r="QKJ2" s="306"/>
      <c r="QKK2" s="306"/>
      <c r="QKL2" s="306"/>
      <c r="QKM2" s="306"/>
      <c r="QKN2" s="306"/>
      <c r="QKO2" s="306"/>
      <c r="QKP2" s="306"/>
      <c r="QKQ2" s="306"/>
      <c r="QKR2" s="306"/>
      <c r="QKS2" s="306"/>
      <c r="QKT2" s="306"/>
      <c r="QKU2" s="306"/>
      <c r="QKV2" s="306"/>
      <c r="QKW2" s="306"/>
      <c r="QKX2" s="306"/>
      <c r="QKY2" s="306"/>
      <c r="QKZ2" s="306"/>
      <c r="QLA2" s="306"/>
      <c r="QLB2" s="306"/>
      <c r="QLC2" s="306"/>
      <c r="QLD2" s="306"/>
      <c r="QLE2" s="306"/>
      <c r="QLF2" s="306"/>
      <c r="QLG2" s="306"/>
      <c r="QLH2" s="306"/>
      <c r="QLI2" s="306"/>
      <c r="QLJ2" s="306"/>
      <c r="QLK2" s="306"/>
      <c r="QLL2" s="306"/>
      <c r="QLM2" s="306"/>
      <c r="QLN2" s="306"/>
      <c r="QLO2" s="306"/>
      <c r="QLP2" s="306"/>
      <c r="QLQ2" s="306"/>
      <c r="QLR2" s="306"/>
      <c r="QLS2" s="306"/>
      <c r="QLT2" s="306"/>
      <c r="QLU2" s="306"/>
      <c r="QLV2" s="306"/>
      <c r="QLW2" s="306"/>
      <c r="QLX2" s="306"/>
      <c r="QLY2" s="306"/>
      <c r="QLZ2" s="306"/>
      <c r="QMA2" s="306"/>
      <c r="QMB2" s="306"/>
      <c r="QMC2" s="306"/>
      <c r="QMD2" s="306"/>
      <c r="QME2" s="306"/>
      <c r="QMF2" s="306"/>
      <c r="QMG2" s="306"/>
      <c r="QMH2" s="306"/>
      <c r="QMI2" s="306"/>
      <c r="QMJ2" s="306"/>
      <c r="QMK2" s="306"/>
      <c r="QML2" s="306"/>
      <c r="QMM2" s="306"/>
      <c r="QMN2" s="306"/>
      <c r="QMO2" s="306"/>
      <c r="QMP2" s="306"/>
      <c r="QMQ2" s="306"/>
      <c r="QMR2" s="306"/>
      <c r="QMS2" s="306"/>
      <c r="QMT2" s="306"/>
      <c r="QMU2" s="306"/>
      <c r="QMV2" s="306"/>
      <c r="QMW2" s="306"/>
      <c r="QMX2" s="306"/>
      <c r="QMY2" s="306"/>
      <c r="QMZ2" s="306"/>
      <c r="QNA2" s="306"/>
      <c r="QNB2" s="306"/>
      <c r="QNC2" s="306"/>
      <c r="QND2" s="306"/>
      <c r="QNE2" s="306"/>
      <c r="QNF2" s="306"/>
      <c r="QNG2" s="306"/>
      <c r="QNH2" s="306"/>
      <c r="QNI2" s="306"/>
      <c r="QNJ2" s="306"/>
      <c r="QNK2" s="306"/>
      <c r="QNL2" s="306"/>
      <c r="QNM2" s="306"/>
      <c r="QNN2" s="306"/>
      <c r="QNO2" s="306"/>
      <c r="QNP2" s="306"/>
      <c r="QNQ2" s="306"/>
      <c r="QNR2" s="306"/>
      <c r="QNS2" s="306"/>
      <c r="QNT2" s="306"/>
      <c r="QNU2" s="306"/>
      <c r="QNV2" s="306"/>
      <c r="QNW2" s="306"/>
      <c r="QNX2" s="306"/>
      <c r="QNY2" s="306"/>
      <c r="QNZ2" s="306"/>
      <c r="QOA2" s="306"/>
      <c r="QOB2" s="306"/>
      <c r="QOC2" s="306"/>
      <c r="QOD2" s="306"/>
      <c r="QOE2" s="306"/>
      <c r="QOF2" s="306"/>
      <c r="QOG2" s="306"/>
      <c r="QOH2" s="306"/>
      <c r="QOI2" s="306"/>
      <c r="QOJ2" s="306"/>
      <c r="QOK2" s="306"/>
      <c r="QOL2" s="306"/>
      <c r="QOM2" s="306"/>
      <c r="QON2" s="306"/>
      <c r="QOO2" s="306"/>
      <c r="QOP2" s="306"/>
      <c r="QOQ2" s="306"/>
      <c r="QOR2" s="306"/>
      <c r="QOS2" s="306"/>
      <c r="QOT2" s="306"/>
      <c r="QOU2" s="306"/>
      <c r="QOV2" s="306"/>
      <c r="QOW2" s="306"/>
      <c r="QOX2" s="306"/>
      <c r="QOY2" s="306"/>
      <c r="QOZ2" s="306"/>
      <c r="QPA2" s="306"/>
      <c r="QPB2" s="306"/>
      <c r="QPC2" s="306"/>
      <c r="QPD2" s="306"/>
      <c r="QPE2" s="306"/>
      <c r="QPF2" s="306"/>
      <c r="QPG2" s="306"/>
      <c r="QPH2" s="306"/>
      <c r="QPI2" s="306"/>
      <c r="QPJ2" s="306"/>
      <c r="QPK2" s="306"/>
      <c r="QPL2" s="306"/>
      <c r="QPM2" s="306"/>
      <c r="QPN2" s="306"/>
      <c r="QPO2" s="306"/>
      <c r="QPP2" s="306"/>
      <c r="QPQ2" s="306"/>
      <c r="QPR2" s="306"/>
      <c r="QPS2" s="306"/>
      <c r="QPT2" s="306"/>
      <c r="QPU2" s="306"/>
      <c r="QPV2" s="306"/>
      <c r="QPW2" s="306"/>
      <c r="QPX2" s="306"/>
      <c r="QPY2" s="306"/>
      <c r="QPZ2" s="306"/>
      <c r="QQA2" s="306"/>
      <c r="QQB2" s="306"/>
      <c r="QQC2" s="306"/>
      <c r="QQD2" s="306"/>
      <c r="QQE2" s="306"/>
      <c r="QQF2" s="306"/>
      <c r="QQG2" s="306"/>
      <c r="QQH2" s="306"/>
      <c r="QQI2" s="306"/>
      <c r="QQJ2" s="306"/>
      <c r="QQK2" s="306"/>
      <c r="QQL2" s="306"/>
      <c r="QQM2" s="306"/>
      <c r="QQN2" s="306"/>
      <c r="QQO2" s="306"/>
      <c r="QQP2" s="306"/>
      <c r="QQQ2" s="306"/>
      <c r="QQR2" s="306"/>
      <c r="QQS2" s="306"/>
      <c r="QQT2" s="306"/>
      <c r="QQU2" s="306"/>
      <c r="QQV2" s="306"/>
      <c r="QQW2" s="306"/>
      <c r="QQX2" s="306"/>
      <c r="QQY2" s="306"/>
      <c r="QQZ2" s="306"/>
      <c r="QRA2" s="306"/>
      <c r="QRB2" s="306"/>
      <c r="QRC2" s="306"/>
      <c r="QRD2" s="306"/>
      <c r="QRE2" s="306"/>
      <c r="QRF2" s="306"/>
      <c r="QRG2" s="306"/>
      <c r="QRH2" s="306"/>
      <c r="QRI2" s="306"/>
      <c r="QRJ2" s="306"/>
      <c r="QRK2" s="306"/>
      <c r="QRL2" s="306"/>
      <c r="QRM2" s="306"/>
      <c r="QRN2" s="306"/>
      <c r="QRO2" s="306"/>
      <c r="QRP2" s="306"/>
      <c r="QRQ2" s="306"/>
      <c r="QRR2" s="306"/>
      <c r="QRS2" s="306"/>
      <c r="QRT2" s="306"/>
      <c r="QRU2" s="306"/>
      <c r="QRV2" s="306"/>
      <c r="QRW2" s="306"/>
      <c r="QRX2" s="306"/>
      <c r="QRY2" s="306"/>
      <c r="QRZ2" s="306"/>
      <c r="QSA2" s="306"/>
      <c r="QSB2" s="306"/>
      <c r="QSC2" s="306"/>
      <c r="QSD2" s="306"/>
      <c r="QSE2" s="306"/>
      <c r="QSF2" s="306"/>
      <c r="QSG2" s="306"/>
      <c r="QSH2" s="306"/>
      <c r="QSI2" s="306"/>
      <c r="QSJ2" s="306"/>
      <c r="QSK2" s="306"/>
      <c r="QSL2" s="306"/>
      <c r="QSM2" s="306"/>
      <c r="QSN2" s="306"/>
      <c r="QSO2" s="306"/>
      <c r="QSP2" s="306"/>
      <c r="QSQ2" s="306"/>
      <c r="QSR2" s="306"/>
      <c r="QSS2" s="306"/>
      <c r="QST2" s="306"/>
      <c r="QSU2" s="306"/>
      <c r="QSV2" s="306"/>
      <c r="QSW2" s="306"/>
      <c r="QSX2" s="306"/>
      <c r="QSY2" s="306"/>
      <c r="QSZ2" s="306"/>
      <c r="QTA2" s="306"/>
      <c r="QTB2" s="306"/>
      <c r="QTC2" s="306"/>
      <c r="QTD2" s="306"/>
      <c r="QTE2" s="306"/>
      <c r="QTF2" s="306"/>
      <c r="QTG2" s="306"/>
      <c r="QTH2" s="306"/>
      <c r="QTI2" s="306"/>
      <c r="QTJ2" s="306"/>
      <c r="QTK2" s="306"/>
      <c r="QTL2" s="306"/>
      <c r="QTM2" s="306"/>
      <c r="QTN2" s="306"/>
      <c r="QTO2" s="306"/>
      <c r="QTP2" s="306"/>
      <c r="QTQ2" s="306"/>
      <c r="QTR2" s="306"/>
      <c r="QTS2" s="306"/>
      <c r="QTT2" s="306"/>
      <c r="QTU2" s="306"/>
      <c r="QTV2" s="306"/>
      <c r="QTW2" s="306"/>
      <c r="QTX2" s="306"/>
      <c r="QTY2" s="306"/>
      <c r="QTZ2" s="306"/>
      <c r="QUA2" s="306"/>
      <c r="QUB2" s="306"/>
      <c r="QUC2" s="306"/>
      <c r="QUD2" s="306"/>
      <c r="QUE2" s="306"/>
      <c r="QUF2" s="306"/>
      <c r="QUG2" s="306"/>
      <c r="QUH2" s="306"/>
      <c r="QUI2" s="306"/>
      <c r="QUJ2" s="306"/>
      <c r="QUK2" s="306"/>
      <c r="QUL2" s="306"/>
      <c r="QUM2" s="306"/>
      <c r="QUN2" s="306"/>
      <c r="QUO2" s="306"/>
      <c r="QUP2" s="306"/>
      <c r="QUQ2" s="306"/>
      <c r="QUR2" s="306"/>
      <c r="QUS2" s="306"/>
      <c r="QUT2" s="306"/>
      <c r="QUU2" s="306"/>
      <c r="QUV2" s="306"/>
      <c r="QUW2" s="306"/>
      <c r="QUX2" s="306"/>
      <c r="QUY2" s="306"/>
      <c r="QUZ2" s="306"/>
      <c r="QVA2" s="306"/>
      <c r="QVB2" s="306"/>
      <c r="QVC2" s="306"/>
      <c r="QVD2" s="306"/>
      <c r="QVE2" s="306"/>
      <c r="QVF2" s="306"/>
      <c r="QVG2" s="306"/>
      <c r="QVH2" s="306"/>
      <c r="QVI2" s="306"/>
      <c r="QVJ2" s="306"/>
      <c r="QVK2" s="306"/>
      <c r="QVL2" s="306"/>
      <c r="QVM2" s="306"/>
      <c r="QVN2" s="306"/>
      <c r="QVO2" s="306"/>
      <c r="QVP2" s="306"/>
      <c r="QVQ2" s="306"/>
      <c r="QVR2" s="306"/>
      <c r="QVS2" s="306"/>
      <c r="QVT2" s="306"/>
      <c r="QVU2" s="306"/>
      <c r="QVV2" s="306"/>
      <c r="QVW2" s="306"/>
      <c r="QVX2" s="306"/>
      <c r="QVY2" s="306"/>
      <c r="QVZ2" s="306"/>
      <c r="QWA2" s="306"/>
      <c r="QWB2" s="306"/>
      <c r="QWC2" s="306"/>
      <c r="QWD2" s="306"/>
      <c r="QWE2" s="306"/>
      <c r="QWF2" s="306"/>
      <c r="QWG2" s="306"/>
      <c r="QWH2" s="306"/>
      <c r="QWI2" s="306"/>
      <c r="QWJ2" s="306"/>
      <c r="QWK2" s="306"/>
      <c r="QWL2" s="306"/>
      <c r="QWM2" s="306"/>
      <c r="QWN2" s="306"/>
      <c r="QWO2" s="306"/>
      <c r="QWP2" s="306"/>
      <c r="QWQ2" s="306"/>
      <c r="QWR2" s="306"/>
      <c r="QWS2" s="306"/>
      <c r="QWT2" s="306"/>
      <c r="QWU2" s="306"/>
      <c r="QWV2" s="306"/>
      <c r="QWW2" s="306"/>
      <c r="QWX2" s="306"/>
      <c r="QWY2" s="306"/>
      <c r="QWZ2" s="306"/>
      <c r="QXA2" s="306"/>
      <c r="QXB2" s="306"/>
      <c r="QXC2" s="306"/>
      <c r="QXD2" s="306"/>
      <c r="QXE2" s="306"/>
      <c r="QXF2" s="306"/>
      <c r="QXG2" s="306"/>
      <c r="QXH2" s="306"/>
      <c r="QXI2" s="306"/>
      <c r="QXJ2" s="306"/>
      <c r="QXK2" s="306"/>
      <c r="QXL2" s="306"/>
      <c r="QXM2" s="306"/>
      <c r="QXN2" s="306"/>
      <c r="QXO2" s="306"/>
      <c r="QXP2" s="306"/>
      <c r="QXQ2" s="306"/>
      <c r="QXR2" s="306"/>
      <c r="QXS2" s="306"/>
      <c r="QXT2" s="306"/>
      <c r="QXU2" s="306"/>
      <c r="QXV2" s="306"/>
      <c r="QXW2" s="306"/>
      <c r="QXX2" s="306"/>
      <c r="QXY2" s="306"/>
      <c r="QXZ2" s="306"/>
      <c r="QYA2" s="306"/>
      <c r="QYB2" s="306"/>
      <c r="QYC2" s="306"/>
      <c r="QYD2" s="306"/>
      <c r="QYE2" s="306"/>
      <c r="QYF2" s="306"/>
      <c r="QYG2" s="306"/>
      <c r="QYH2" s="306"/>
      <c r="QYI2" s="306"/>
      <c r="QYJ2" s="306"/>
      <c r="QYK2" s="306"/>
      <c r="QYL2" s="306"/>
      <c r="QYM2" s="306"/>
      <c r="QYN2" s="306"/>
      <c r="QYO2" s="306"/>
      <c r="QYP2" s="306"/>
      <c r="QYQ2" s="306"/>
      <c r="QYR2" s="306"/>
      <c r="QYS2" s="306"/>
      <c r="QYT2" s="306"/>
      <c r="QYU2" s="306"/>
      <c r="QYV2" s="306"/>
      <c r="QYW2" s="306"/>
      <c r="QYX2" s="306"/>
      <c r="QYY2" s="306"/>
      <c r="QYZ2" s="306"/>
      <c r="QZA2" s="306"/>
      <c r="QZB2" s="306"/>
      <c r="QZC2" s="306"/>
      <c r="QZD2" s="306"/>
      <c r="QZE2" s="306"/>
      <c r="QZF2" s="306"/>
      <c r="QZG2" s="306"/>
      <c r="QZH2" s="306"/>
      <c r="QZI2" s="306"/>
      <c r="QZJ2" s="306"/>
      <c r="QZK2" s="306"/>
      <c r="QZL2" s="306"/>
      <c r="QZM2" s="306"/>
      <c r="QZN2" s="306"/>
      <c r="QZO2" s="306"/>
      <c r="QZP2" s="306"/>
      <c r="QZQ2" s="306"/>
      <c r="QZR2" s="306"/>
      <c r="QZS2" s="306"/>
      <c r="QZT2" s="306"/>
      <c r="QZU2" s="306"/>
      <c r="QZV2" s="306"/>
      <c r="QZW2" s="306"/>
      <c r="QZX2" s="306"/>
      <c r="QZY2" s="306"/>
      <c r="QZZ2" s="306"/>
      <c r="RAA2" s="306"/>
      <c r="RAB2" s="306"/>
      <c r="RAC2" s="306"/>
      <c r="RAD2" s="306"/>
      <c r="RAE2" s="306"/>
      <c r="RAF2" s="306"/>
      <c r="RAG2" s="306"/>
      <c r="RAH2" s="306"/>
      <c r="RAI2" s="306"/>
      <c r="RAJ2" s="306"/>
      <c r="RAK2" s="306"/>
      <c r="RAL2" s="306"/>
      <c r="RAM2" s="306"/>
      <c r="RAN2" s="306"/>
      <c r="RAO2" s="306"/>
      <c r="RAP2" s="306"/>
      <c r="RAQ2" s="306"/>
      <c r="RAR2" s="306"/>
      <c r="RAS2" s="306"/>
      <c r="RAT2" s="306"/>
      <c r="RAU2" s="306"/>
      <c r="RAV2" s="306"/>
      <c r="RAW2" s="306"/>
      <c r="RAX2" s="306"/>
      <c r="RAY2" s="306"/>
      <c r="RAZ2" s="306"/>
      <c r="RBA2" s="306"/>
      <c r="RBB2" s="306"/>
      <c r="RBC2" s="306"/>
      <c r="RBD2" s="306"/>
      <c r="RBE2" s="306"/>
      <c r="RBF2" s="306"/>
      <c r="RBG2" s="306"/>
      <c r="RBH2" s="306"/>
      <c r="RBI2" s="306"/>
      <c r="RBJ2" s="306"/>
      <c r="RBK2" s="306"/>
      <c r="RBL2" s="306"/>
      <c r="RBM2" s="306"/>
      <c r="RBN2" s="306"/>
      <c r="RBO2" s="306"/>
      <c r="RBP2" s="306"/>
      <c r="RBQ2" s="306"/>
      <c r="RBR2" s="306"/>
      <c r="RBS2" s="306"/>
      <c r="RBT2" s="306"/>
      <c r="RBU2" s="306"/>
      <c r="RBV2" s="306"/>
      <c r="RBW2" s="306"/>
      <c r="RBX2" s="306"/>
      <c r="RBY2" s="306"/>
      <c r="RBZ2" s="306"/>
      <c r="RCA2" s="306"/>
      <c r="RCB2" s="306"/>
      <c r="RCC2" s="306"/>
      <c r="RCD2" s="306"/>
      <c r="RCE2" s="306"/>
      <c r="RCF2" s="306"/>
      <c r="RCG2" s="306"/>
      <c r="RCH2" s="306"/>
      <c r="RCI2" s="306"/>
      <c r="RCJ2" s="306"/>
      <c r="RCK2" s="306"/>
      <c r="RCL2" s="306"/>
      <c r="RCM2" s="306"/>
      <c r="RCN2" s="306"/>
      <c r="RCO2" s="306"/>
      <c r="RCP2" s="306"/>
      <c r="RCQ2" s="306"/>
      <c r="RCR2" s="306"/>
      <c r="RCS2" s="306"/>
      <c r="RCT2" s="306"/>
      <c r="RCU2" s="306"/>
      <c r="RCV2" s="306"/>
      <c r="RCW2" s="306"/>
      <c r="RCX2" s="306"/>
      <c r="RCY2" s="306"/>
      <c r="RCZ2" s="306"/>
      <c r="RDA2" s="306"/>
      <c r="RDB2" s="306"/>
      <c r="RDC2" s="306"/>
      <c r="RDD2" s="306"/>
      <c r="RDE2" s="306"/>
      <c r="RDF2" s="306"/>
      <c r="RDG2" s="306"/>
      <c r="RDH2" s="306"/>
      <c r="RDI2" s="306"/>
      <c r="RDJ2" s="306"/>
      <c r="RDK2" s="306"/>
      <c r="RDL2" s="306"/>
      <c r="RDM2" s="306"/>
      <c r="RDN2" s="306"/>
      <c r="RDO2" s="306"/>
      <c r="RDP2" s="306"/>
      <c r="RDQ2" s="306"/>
      <c r="RDR2" s="306"/>
      <c r="RDS2" s="306"/>
      <c r="RDT2" s="306"/>
      <c r="RDU2" s="306"/>
      <c r="RDV2" s="306"/>
      <c r="RDW2" s="306"/>
      <c r="RDX2" s="306"/>
      <c r="RDY2" s="306"/>
      <c r="RDZ2" s="306"/>
      <c r="REA2" s="306"/>
      <c r="REB2" s="306"/>
      <c r="REC2" s="306"/>
      <c r="RED2" s="306"/>
      <c r="REE2" s="306"/>
      <c r="REF2" s="306"/>
      <c r="REG2" s="306"/>
      <c r="REH2" s="306"/>
      <c r="REI2" s="306"/>
      <c r="REJ2" s="306"/>
      <c r="REK2" s="306"/>
      <c r="REL2" s="306"/>
      <c r="REM2" s="306"/>
      <c r="REN2" s="306"/>
      <c r="REO2" s="306"/>
      <c r="REP2" s="306"/>
      <c r="REQ2" s="306"/>
      <c r="RER2" s="306"/>
      <c r="RES2" s="306"/>
      <c r="RET2" s="306"/>
      <c r="REU2" s="306"/>
      <c r="REV2" s="306"/>
      <c r="REW2" s="306"/>
      <c r="REX2" s="306"/>
      <c r="REY2" s="306"/>
      <c r="REZ2" s="306"/>
      <c r="RFA2" s="306"/>
      <c r="RFB2" s="306"/>
      <c r="RFC2" s="306"/>
      <c r="RFD2" s="306"/>
      <c r="RFE2" s="306"/>
      <c r="RFF2" s="306"/>
      <c r="RFG2" s="306"/>
      <c r="RFH2" s="306"/>
      <c r="RFI2" s="306"/>
      <c r="RFJ2" s="306"/>
      <c r="RFK2" s="306"/>
      <c r="RFL2" s="306"/>
      <c r="RFM2" s="306"/>
      <c r="RFN2" s="306"/>
      <c r="RFO2" s="306"/>
      <c r="RFP2" s="306"/>
      <c r="RFQ2" s="306"/>
      <c r="RFR2" s="306"/>
      <c r="RFS2" s="306"/>
      <c r="RFT2" s="306"/>
      <c r="RFU2" s="306"/>
      <c r="RFV2" s="306"/>
      <c r="RFW2" s="306"/>
      <c r="RFX2" s="306"/>
      <c r="RFY2" s="306"/>
      <c r="RFZ2" s="306"/>
      <c r="RGA2" s="306"/>
      <c r="RGB2" s="306"/>
      <c r="RGC2" s="306"/>
      <c r="RGD2" s="306"/>
      <c r="RGE2" s="306"/>
      <c r="RGF2" s="306"/>
      <c r="RGG2" s="306"/>
      <c r="RGH2" s="306"/>
      <c r="RGI2" s="306"/>
      <c r="RGJ2" s="306"/>
      <c r="RGK2" s="306"/>
      <c r="RGL2" s="306"/>
      <c r="RGM2" s="306"/>
      <c r="RGN2" s="306"/>
      <c r="RGO2" s="306"/>
      <c r="RGP2" s="306"/>
      <c r="RGQ2" s="306"/>
      <c r="RGR2" s="306"/>
      <c r="RGS2" s="306"/>
      <c r="RGT2" s="306"/>
      <c r="RGU2" s="306"/>
      <c r="RGV2" s="306"/>
      <c r="RGW2" s="306"/>
      <c r="RGX2" s="306"/>
      <c r="RGY2" s="306"/>
      <c r="RGZ2" s="306"/>
      <c r="RHA2" s="306"/>
      <c r="RHB2" s="306"/>
      <c r="RHC2" s="306"/>
      <c r="RHD2" s="306"/>
      <c r="RHE2" s="306"/>
      <c r="RHF2" s="306"/>
      <c r="RHG2" s="306"/>
      <c r="RHH2" s="306"/>
      <c r="RHI2" s="306"/>
      <c r="RHJ2" s="306"/>
      <c r="RHK2" s="306"/>
      <c r="RHL2" s="306"/>
      <c r="RHM2" s="306"/>
      <c r="RHN2" s="306"/>
      <c r="RHO2" s="306"/>
      <c r="RHP2" s="306"/>
      <c r="RHQ2" s="306"/>
      <c r="RHR2" s="306"/>
      <c r="RHS2" s="306"/>
      <c r="RHT2" s="306"/>
      <c r="RHU2" s="306"/>
      <c r="RHV2" s="306"/>
      <c r="RHW2" s="306"/>
      <c r="RHX2" s="306"/>
      <c r="RHY2" s="306"/>
      <c r="RHZ2" s="306"/>
      <c r="RIA2" s="306"/>
      <c r="RIB2" s="306"/>
      <c r="RIC2" s="306"/>
      <c r="RID2" s="306"/>
      <c r="RIE2" s="306"/>
      <c r="RIF2" s="306"/>
      <c r="RIG2" s="306"/>
      <c r="RIH2" s="306"/>
      <c r="RII2" s="306"/>
      <c r="RIJ2" s="306"/>
      <c r="RIK2" s="306"/>
      <c r="RIL2" s="306"/>
      <c r="RIM2" s="306"/>
      <c r="RIN2" s="306"/>
      <c r="RIO2" s="306"/>
      <c r="RIP2" s="306"/>
      <c r="RIQ2" s="306"/>
      <c r="RIR2" s="306"/>
      <c r="RIS2" s="306"/>
      <c r="RIT2" s="306"/>
      <c r="RIU2" s="306"/>
      <c r="RIV2" s="306"/>
      <c r="RIW2" s="306"/>
      <c r="RIX2" s="306"/>
      <c r="RIY2" s="306"/>
      <c r="RIZ2" s="306"/>
      <c r="RJA2" s="306"/>
      <c r="RJB2" s="306"/>
      <c r="RJC2" s="306"/>
      <c r="RJD2" s="306"/>
      <c r="RJE2" s="306"/>
      <c r="RJF2" s="306"/>
      <c r="RJG2" s="306"/>
      <c r="RJH2" s="306"/>
      <c r="RJI2" s="306"/>
      <c r="RJJ2" s="306"/>
      <c r="RJK2" s="306"/>
      <c r="RJL2" s="306"/>
      <c r="RJM2" s="306"/>
      <c r="RJN2" s="306"/>
      <c r="RJO2" s="306"/>
      <c r="RJP2" s="306"/>
      <c r="RJQ2" s="306"/>
      <c r="RJR2" s="306"/>
      <c r="RJS2" s="306"/>
      <c r="RJT2" s="306"/>
      <c r="RJU2" s="306"/>
      <c r="RJV2" s="306"/>
      <c r="RJW2" s="306"/>
      <c r="RJX2" s="306"/>
      <c r="RJY2" s="306"/>
      <c r="RJZ2" s="306"/>
      <c r="RKA2" s="306"/>
      <c r="RKB2" s="306"/>
      <c r="RKC2" s="306"/>
      <c r="RKD2" s="306"/>
      <c r="RKE2" s="306"/>
      <c r="RKF2" s="306"/>
      <c r="RKG2" s="306"/>
      <c r="RKH2" s="306"/>
      <c r="RKI2" s="306"/>
      <c r="RKJ2" s="306"/>
      <c r="RKK2" s="306"/>
      <c r="RKL2" s="306"/>
      <c r="RKM2" s="306"/>
      <c r="RKN2" s="306"/>
      <c r="RKO2" s="306"/>
      <c r="RKP2" s="306"/>
      <c r="RKQ2" s="306"/>
      <c r="RKR2" s="306"/>
      <c r="RKS2" s="306"/>
      <c r="RKT2" s="306"/>
      <c r="RKU2" s="306"/>
      <c r="RKV2" s="306"/>
      <c r="RKW2" s="306"/>
      <c r="RKX2" s="306"/>
      <c r="RKY2" s="306"/>
      <c r="RKZ2" s="306"/>
      <c r="RLA2" s="306"/>
      <c r="RLB2" s="306"/>
      <c r="RLC2" s="306"/>
      <c r="RLD2" s="306"/>
      <c r="RLE2" s="306"/>
      <c r="RLF2" s="306"/>
      <c r="RLG2" s="306"/>
      <c r="RLH2" s="306"/>
      <c r="RLI2" s="306"/>
      <c r="RLJ2" s="306"/>
      <c r="RLK2" s="306"/>
      <c r="RLL2" s="306"/>
      <c r="RLM2" s="306"/>
      <c r="RLN2" s="306"/>
      <c r="RLO2" s="306"/>
      <c r="RLP2" s="306"/>
      <c r="RLQ2" s="306"/>
      <c r="RLR2" s="306"/>
      <c r="RLS2" s="306"/>
      <c r="RLT2" s="306"/>
      <c r="RLU2" s="306"/>
      <c r="RLV2" s="306"/>
      <c r="RLW2" s="306"/>
      <c r="RLX2" s="306"/>
      <c r="RLY2" s="306"/>
      <c r="RLZ2" s="306"/>
      <c r="RMA2" s="306"/>
      <c r="RMB2" s="306"/>
      <c r="RMC2" s="306"/>
      <c r="RMD2" s="306"/>
      <c r="RME2" s="306"/>
      <c r="RMF2" s="306"/>
      <c r="RMG2" s="306"/>
      <c r="RMH2" s="306"/>
      <c r="RMI2" s="306"/>
      <c r="RMJ2" s="306"/>
      <c r="RMK2" s="306"/>
      <c r="RML2" s="306"/>
      <c r="RMM2" s="306"/>
      <c r="RMN2" s="306"/>
      <c r="RMO2" s="306"/>
      <c r="RMP2" s="306"/>
      <c r="RMQ2" s="306"/>
      <c r="RMR2" s="306"/>
      <c r="RMS2" s="306"/>
      <c r="RMT2" s="306"/>
      <c r="RMU2" s="306"/>
      <c r="RMV2" s="306"/>
      <c r="RMW2" s="306"/>
      <c r="RMX2" s="306"/>
      <c r="RMY2" s="306"/>
      <c r="RMZ2" s="306"/>
      <c r="RNA2" s="306"/>
      <c r="RNB2" s="306"/>
      <c r="RNC2" s="306"/>
      <c r="RND2" s="306"/>
      <c r="RNE2" s="306"/>
      <c r="RNF2" s="306"/>
      <c r="RNG2" s="306"/>
      <c r="RNH2" s="306"/>
      <c r="RNI2" s="306"/>
      <c r="RNJ2" s="306"/>
      <c r="RNK2" s="306"/>
      <c r="RNL2" s="306"/>
      <c r="RNM2" s="306"/>
      <c r="RNN2" s="306"/>
      <c r="RNO2" s="306"/>
      <c r="RNP2" s="306"/>
      <c r="RNQ2" s="306"/>
      <c r="RNR2" s="306"/>
      <c r="RNS2" s="306"/>
      <c r="RNT2" s="306"/>
      <c r="RNU2" s="306"/>
      <c r="RNV2" s="306"/>
      <c r="RNW2" s="306"/>
      <c r="RNX2" s="306"/>
      <c r="RNY2" s="306"/>
      <c r="RNZ2" s="306"/>
      <c r="ROA2" s="306"/>
      <c r="ROB2" s="306"/>
      <c r="ROC2" s="306"/>
      <c r="ROD2" s="306"/>
      <c r="ROE2" s="306"/>
      <c r="ROF2" s="306"/>
      <c r="ROG2" s="306"/>
      <c r="ROH2" s="306"/>
      <c r="ROI2" s="306"/>
      <c r="ROJ2" s="306"/>
      <c r="ROK2" s="306"/>
      <c r="ROL2" s="306"/>
      <c r="ROM2" s="306"/>
      <c r="RON2" s="306"/>
      <c r="ROO2" s="306"/>
      <c r="ROP2" s="306"/>
      <c r="ROQ2" s="306"/>
      <c r="ROR2" s="306"/>
      <c r="ROS2" s="306"/>
      <c r="ROT2" s="306"/>
      <c r="ROU2" s="306"/>
      <c r="ROV2" s="306"/>
      <c r="ROW2" s="306"/>
      <c r="ROX2" s="306"/>
      <c r="ROY2" s="306"/>
      <c r="ROZ2" s="306"/>
      <c r="RPA2" s="306"/>
      <c r="RPB2" s="306"/>
      <c r="RPC2" s="306"/>
      <c r="RPD2" s="306"/>
      <c r="RPE2" s="306"/>
      <c r="RPF2" s="306"/>
      <c r="RPG2" s="306"/>
      <c r="RPH2" s="306"/>
      <c r="RPI2" s="306"/>
      <c r="RPJ2" s="306"/>
      <c r="RPK2" s="306"/>
      <c r="RPL2" s="306"/>
      <c r="RPM2" s="306"/>
      <c r="RPN2" s="306"/>
      <c r="RPO2" s="306"/>
      <c r="RPP2" s="306"/>
      <c r="RPQ2" s="306"/>
      <c r="RPR2" s="306"/>
      <c r="RPS2" s="306"/>
      <c r="RPT2" s="306"/>
      <c r="RPU2" s="306"/>
      <c r="RPV2" s="306"/>
      <c r="RPW2" s="306"/>
      <c r="RPX2" s="306"/>
      <c r="RPY2" s="306"/>
      <c r="RPZ2" s="306"/>
      <c r="RQA2" s="306"/>
      <c r="RQB2" s="306"/>
      <c r="RQC2" s="306"/>
      <c r="RQD2" s="306"/>
      <c r="RQE2" s="306"/>
      <c r="RQF2" s="306"/>
      <c r="RQG2" s="306"/>
      <c r="RQH2" s="306"/>
      <c r="RQI2" s="306"/>
      <c r="RQJ2" s="306"/>
      <c r="RQK2" s="306"/>
      <c r="RQL2" s="306"/>
      <c r="RQM2" s="306"/>
      <c r="RQN2" s="306"/>
      <c r="RQO2" s="306"/>
      <c r="RQP2" s="306"/>
      <c r="RQQ2" s="306"/>
      <c r="RQR2" s="306"/>
      <c r="RQS2" s="306"/>
      <c r="RQT2" s="306"/>
      <c r="RQU2" s="306"/>
      <c r="RQV2" s="306"/>
      <c r="RQW2" s="306"/>
      <c r="RQX2" s="306"/>
      <c r="RQY2" s="306"/>
      <c r="RQZ2" s="306"/>
      <c r="RRA2" s="306"/>
      <c r="RRB2" s="306"/>
      <c r="RRC2" s="306"/>
      <c r="RRD2" s="306"/>
      <c r="RRE2" s="306"/>
      <c r="RRF2" s="306"/>
      <c r="RRG2" s="306"/>
      <c r="RRH2" s="306"/>
      <c r="RRI2" s="306"/>
      <c r="RRJ2" s="306"/>
      <c r="RRK2" s="306"/>
      <c r="RRL2" s="306"/>
      <c r="RRM2" s="306"/>
      <c r="RRN2" s="306"/>
      <c r="RRO2" s="306"/>
      <c r="RRP2" s="306"/>
      <c r="RRQ2" s="306"/>
      <c r="RRR2" s="306"/>
      <c r="RRS2" s="306"/>
      <c r="RRT2" s="306"/>
      <c r="RRU2" s="306"/>
      <c r="RRV2" s="306"/>
      <c r="RRW2" s="306"/>
      <c r="RRX2" s="306"/>
      <c r="RRY2" s="306"/>
      <c r="RRZ2" s="306"/>
      <c r="RSA2" s="306"/>
      <c r="RSB2" s="306"/>
      <c r="RSC2" s="306"/>
      <c r="RSD2" s="306"/>
      <c r="RSE2" s="306"/>
      <c r="RSF2" s="306"/>
      <c r="RSG2" s="306"/>
      <c r="RSH2" s="306"/>
      <c r="RSI2" s="306"/>
      <c r="RSJ2" s="306"/>
      <c r="RSK2" s="306"/>
      <c r="RSL2" s="306"/>
      <c r="RSM2" s="306"/>
      <c r="RSN2" s="306"/>
      <c r="RSO2" s="306"/>
      <c r="RSP2" s="306"/>
      <c r="RSQ2" s="306"/>
      <c r="RSR2" s="306"/>
      <c r="RSS2" s="306"/>
      <c r="RST2" s="306"/>
      <c r="RSU2" s="306"/>
      <c r="RSV2" s="306"/>
      <c r="RSW2" s="306"/>
      <c r="RSX2" s="306"/>
      <c r="RSY2" s="306"/>
      <c r="RSZ2" s="306"/>
      <c r="RTA2" s="306"/>
      <c r="RTB2" s="306"/>
      <c r="RTC2" s="306"/>
      <c r="RTD2" s="306"/>
      <c r="RTE2" s="306"/>
      <c r="RTF2" s="306"/>
      <c r="RTG2" s="306"/>
      <c r="RTH2" s="306"/>
      <c r="RTI2" s="306"/>
      <c r="RTJ2" s="306"/>
      <c r="RTK2" s="306"/>
      <c r="RTL2" s="306"/>
      <c r="RTM2" s="306"/>
      <c r="RTN2" s="306"/>
      <c r="RTO2" s="306"/>
      <c r="RTP2" s="306"/>
      <c r="RTQ2" s="306"/>
      <c r="RTR2" s="306"/>
      <c r="RTS2" s="306"/>
      <c r="RTT2" s="306"/>
      <c r="RTU2" s="306"/>
      <c r="RTV2" s="306"/>
      <c r="RTW2" s="306"/>
      <c r="RTX2" s="306"/>
      <c r="RTY2" s="306"/>
      <c r="RTZ2" s="306"/>
      <c r="RUA2" s="306"/>
      <c r="RUB2" s="306"/>
      <c r="RUC2" s="306"/>
      <c r="RUD2" s="306"/>
      <c r="RUE2" s="306"/>
      <c r="RUF2" s="306"/>
      <c r="RUG2" s="306"/>
      <c r="RUH2" s="306"/>
      <c r="RUI2" s="306"/>
      <c r="RUJ2" s="306"/>
      <c r="RUK2" s="306"/>
      <c r="RUL2" s="306"/>
      <c r="RUM2" s="306"/>
      <c r="RUN2" s="306"/>
      <c r="RUO2" s="306"/>
      <c r="RUP2" s="306"/>
      <c r="RUQ2" s="306"/>
      <c r="RUR2" s="306"/>
      <c r="RUS2" s="306"/>
      <c r="RUT2" s="306"/>
      <c r="RUU2" s="306"/>
      <c r="RUV2" s="306"/>
      <c r="RUW2" s="306"/>
      <c r="RUX2" s="306"/>
      <c r="RUY2" s="306"/>
      <c r="RUZ2" s="306"/>
      <c r="RVA2" s="306"/>
      <c r="RVB2" s="306"/>
      <c r="RVC2" s="306"/>
      <c r="RVD2" s="306"/>
      <c r="RVE2" s="306"/>
      <c r="RVF2" s="306"/>
      <c r="RVG2" s="306"/>
      <c r="RVH2" s="306"/>
      <c r="RVI2" s="306"/>
      <c r="RVJ2" s="306"/>
      <c r="RVK2" s="306"/>
      <c r="RVL2" s="306"/>
      <c r="RVM2" s="306"/>
      <c r="RVN2" s="306"/>
      <c r="RVO2" s="306"/>
      <c r="RVP2" s="306"/>
      <c r="RVQ2" s="306"/>
      <c r="RVR2" s="306"/>
      <c r="RVS2" s="306"/>
      <c r="RVT2" s="306"/>
      <c r="RVU2" s="306"/>
      <c r="RVV2" s="306"/>
      <c r="RVW2" s="306"/>
      <c r="RVX2" s="306"/>
      <c r="RVY2" s="306"/>
      <c r="RVZ2" s="306"/>
      <c r="RWA2" s="306"/>
      <c r="RWB2" s="306"/>
      <c r="RWC2" s="306"/>
      <c r="RWD2" s="306"/>
      <c r="RWE2" s="306"/>
      <c r="RWF2" s="306"/>
      <c r="RWG2" s="306"/>
      <c r="RWH2" s="306"/>
      <c r="RWI2" s="306"/>
      <c r="RWJ2" s="306"/>
      <c r="RWK2" s="306"/>
      <c r="RWL2" s="306"/>
      <c r="RWM2" s="306"/>
      <c r="RWN2" s="306"/>
      <c r="RWO2" s="306"/>
      <c r="RWP2" s="306"/>
      <c r="RWQ2" s="306"/>
      <c r="RWR2" s="306"/>
      <c r="RWS2" s="306"/>
      <c r="RWT2" s="306"/>
      <c r="RWU2" s="306"/>
      <c r="RWV2" s="306"/>
      <c r="RWW2" s="306"/>
      <c r="RWX2" s="306"/>
      <c r="RWY2" s="306"/>
      <c r="RWZ2" s="306"/>
      <c r="RXA2" s="306"/>
      <c r="RXB2" s="306"/>
      <c r="RXC2" s="306"/>
      <c r="RXD2" s="306"/>
      <c r="RXE2" s="306"/>
      <c r="RXF2" s="306"/>
      <c r="RXG2" s="306"/>
      <c r="RXH2" s="306"/>
      <c r="RXI2" s="306"/>
      <c r="RXJ2" s="306"/>
      <c r="RXK2" s="306"/>
      <c r="RXL2" s="306"/>
      <c r="RXM2" s="306"/>
      <c r="RXN2" s="306"/>
      <c r="RXO2" s="306"/>
      <c r="RXP2" s="306"/>
      <c r="RXQ2" s="306"/>
      <c r="RXR2" s="306"/>
      <c r="RXS2" s="306"/>
      <c r="RXT2" s="306"/>
      <c r="RXU2" s="306"/>
      <c r="RXV2" s="306"/>
      <c r="RXW2" s="306"/>
      <c r="RXX2" s="306"/>
      <c r="RXY2" s="306"/>
      <c r="RXZ2" s="306"/>
      <c r="RYA2" s="306"/>
      <c r="RYB2" s="306"/>
      <c r="RYC2" s="306"/>
      <c r="RYD2" s="306"/>
      <c r="RYE2" s="306"/>
      <c r="RYF2" s="306"/>
      <c r="RYG2" s="306"/>
      <c r="RYH2" s="306"/>
      <c r="RYI2" s="306"/>
      <c r="RYJ2" s="306"/>
      <c r="RYK2" s="306"/>
      <c r="RYL2" s="306"/>
      <c r="RYM2" s="306"/>
      <c r="RYN2" s="306"/>
      <c r="RYO2" s="306"/>
      <c r="RYP2" s="306"/>
      <c r="RYQ2" s="306"/>
      <c r="RYR2" s="306"/>
      <c r="RYS2" s="306"/>
      <c r="RYT2" s="306"/>
      <c r="RYU2" s="306"/>
      <c r="RYV2" s="306"/>
      <c r="RYW2" s="306"/>
      <c r="RYX2" s="306"/>
      <c r="RYY2" s="306"/>
      <c r="RYZ2" s="306"/>
      <c r="RZA2" s="306"/>
      <c r="RZB2" s="306"/>
      <c r="RZC2" s="306"/>
      <c r="RZD2" s="306"/>
      <c r="RZE2" s="306"/>
      <c r="RZF2" s="306"/>
      <c r="RZG2" s="306"/>
      <c r="RZH2" s="306"/>
      <c r="RZI2" s="306"/>
      <c r="RZJ2" s="306"/>
      <c r="RZK2" s="306"/>
      <c r="RZL2" s="306"/>
      <c r="RZM2" s="306"/>
      <c r="RZN2" s="306"/>
      <c r="RZO2" s="306"/>
      <c r="RZP2" s="306"/>
      <c r="RZQ2" s="306"/>
      <c r="RZR2" s="306"/>
      <c r="RZS2" s="306"/>
      <c r="RZT2" s="306"/>
      <c r="RZU2" s="306"/>
      <c r="RZV2" s="306"/>
      <c r="RZW2" s="306"/>
      <c r="RZX2" s="306"/>
      <c r="RZY2" s="306"/>
      <c r="RZZ2" s="306"/>
      <c r="SAA2" s="306"/>
      <c r="SAB2" s="306"/>
      <c r="SAC2" s="306"/>
      <c r="SAD2" s="306"/>
      <c r="SAE2" s="306"/>
      <c r="SAF2" s="306"/>
      <c r="SAG2" s="306"/>
      <c r="SAH2" s="306"/>
      <c r="SAI2" s="306"/>
      <c r="SAJ2" s="306"/>
      <c r="SAK2" s="306"/>
      <c r="SAL2" s="306"/>
      <c r="SAM2" s="306"/>
      <c r="SAN2" s="306"/>
      <c r="SAO2" s="306"/>
      <c r="SAP2" s="306"/>
      <c r="SAQ2" s="306"/>
      <c r="SAR2" s="306"/>
      <c r="SAS2" s="306"/>
      <c r="SAT2" s="306"/>
      <c r="SAU2" s="306"/>
      <c r="SAV2" s="306"/>
      <c r="SAW2" s="306"/>
      <c r="SAX2" s="306"/>
      <c r="SAY2" s="306"/>
      <c r="SAZ2" s="306"/>
      <c r="SBA2" s="306"/>
      <c r="SBB2" s="306"/>
      <c r="SBC2" s="306"/>
      <c r="SBD2" s="306"/>
      <c r="SBE2" s="306"/>
      <c r="SBF2" s="306"/>
      <c r="SBG2" s="306"/>
      <c r="SBH2" s="306"/>
      <c r="SBI2" s="306"/>
      <c r="SBJ2" s="306"/>
      <c r="SBK2" s="306"/>
      <c r="SBL2" s="306"/>
      <c r="SBM2" s="306"/>
      <c r="SBN2" s="306"/>
      <c r="SBO2" s="306"/>
      <c r="SBP2" s="306"/>
      <c r="SBQ2" s="306"/>
      <c r="SBR2" s="306"/>
      <c r="SBS2" s="306"/>
      <c r="SBT2" s="306"/>
      <c r="SBU2" s="306"/>
      <c r="SBV2" s="306"/>
      <c r="SBW2" s="306"/>
      <c r="SBX2" s="306"/>
      <c r="SBY2" s="306"/>
      <c r="SBZ2" s="306"/>
      <c r="SCA2" s="306"/>
      <c r="SCB2" s="306"/>
      <c r="SCC2" s="306"/>
      <c r="SCD2" s="306"/>
      <c r="SCE2" s="306"/>
      <c r="SCF2" s="306"/>
      <c r="SCG2" s="306"/>
      <c r="SCH2" s="306"/>
      <c r="SCI2" s="306"/>
      <c r="SCJ2" s="306"/>
      <c r="SCK2" s="306"/>
      <c r="SCL2" s="306"/>
      <c r="SCM2" s="306"/>
      <c r="SCN2" s="306"/>
      <c r="SCO2" s="306"/>
      <c r="SCP2" s="306"/>
      <c r="SCQ2" s="306"/>
      <c r="SCR2" s="306"/>
      <c r="SCS2" s="306"/>
      <c r="SCT2" s="306"/>
      <c r="SCU2" s="306"/>
      <c r="SCV2" s="306"/>
      <c r="SCW2" s="306"/>
      <c r="SCX2" s="306"/>
      <c r="SCY2" s="306"/>
      <c r="SCZ2" s="306"/>
      <c r="SDA2" s="306"/>
      <c r="SDB2" s="306"/>
      <c r="SDC2" s="306"/>
      <c r="SDD2" s="306"/>
      <c r="SDE2" s="306"/>
      <c r="SDF2" s="306"/>
      <c r="SDG2" s="306"/>
      <c r="SDH2" s="306"/>
      <c r="SDI2" s="306"/>
      <c r="SDJ2" s="306"/>
      <c r="SDK2" s="306"/>
      <c r="SDL2" s="306"/>
      <c r="SDM2" s="306"/>
      <c r="SDN2" s="306"/>
      <c r="SDO2" s="306"/>
      <c r="SDP2" s="306"/>
      <c r="SDQ2" s="306"/>
      <c r="SDR2" s="306"/>
      <c r="SDS2" s="306"/>
      <c r="SDT2" s="306"/>
      <c r="SDU2" s="306"/>
      <c r="SDV2" s="306"/>
      <c r="SDW2" s="306"/>
      <c r="SDX2" s="306"/>
      <c r="SDY2" s="306"/>
      <c r="SDZ2" s="306"/>
      <c r="SEA2" s="306"/>
      <c r="SEB2" s="306"/>
      <c r="SEC2" s="306"/>
      <c r="SED2" s="306"/>
      <c r="SEE2" s="306"/>
      <c r="SEF2" s="306"/>
      <c r="SEG2" s="306"/>
      <c r="SEH2" s="306"/>
      <c r="SEI2" s="306"/>
      <c r="SEJ2" s="306"/>
      <c r="SEK2" s="306"/>
      <c r="SEL2" s="306"/>
      <c r="SEM2" s="306"/>
      <c r="SEN2" s="306"/>
      <c r="SEO2" s="306"/>
      <c r="SEP2" s="306"/>
      <c r="SEQ2" s="306"/>
      <c r="SER2" s="306"/>
      <c r="SES2" s="306"/>
      <c r="SET2" s="306"/>
      <c r="SEU2" s="306"/>
      <c r="SEV2" s="306"/>
      <c r="SEW2" s="306"/>
      <c r="SEX2" s="306"/>
      <c r="SEY2" s="306"/>
      <c r="SEZ2" s="306"/>
      <c r="SFA2" s="306"/>
      <c r="SFB2" s="306"/>
      <c r="SFC2" s="306"/>
      <c r="SFD2" s="306"/>
      <c r="SFE2" s="306"/>
      <c r="SFF2" s="306"/>
      <c r="SFG2" s="306"/>
      <c r="SFH2" s="306"/>
      <c r="SFI2" s="306"/>
      <c r="SFJ2" s="306"/>
      <c r="SFK2" s="306"/>
      <c r="SFL2" s="306"/>
      <c r="SFM2" s="306"/>
      <c r="SFN2" s="306"/>
      <c r="SFO2" s="306"/>
      <c r="SFP2" s="306"/>
      <c r="SFQ2" s="306"/>
      <c r="SFR2" s="306"/>
      <c r="SFS2" s="306"/>
      <c r="SFT2" s="306"/>
      <c r="SFU2" s="306"/>
      <c r="SFV2" s="306"/>
      <c r="SFW2" s="306"/>
      <c r="SFX2" s="306"/>
      <c r="SFY2" s="306"/>
      <c r="SFZ2" s="306"/>
      <c r="SGA2" s="306"/>
      <c r="SGB2" s="306"/>
      <c r="SGC2" s="306"/>
      <c r="SGD2" s="306"/>
      <c r="SGE2" s="306"/>
      <c r="SGF2" s="306"/>
      <c r="SGG2" s="306"/>
      <c r="SGH2" s="306"/>
      <c r="SGI2" s="306"/>
      <c r="SGJ2" s="306"/>
      <c r="SGK2" s="306"/>
      <c r="SGL2" s="306"/>
      <c r="SGM2" s="306"/>
      <c r="SGN2" s="306"/>
      <c r="SGO2" s="306"/>
      <c r="SGP2" s="306"/>
      <c r="SGQ2" s="306"/>
      <c r="SGR2" s="306"/>
      <c r="SGS2" s="306"/>
      <c r="SGT2" s="306"/>
      <c r="SGU2" s="306"/>
      <c r="SGV2" s="306"/>
      <c r="SGW2" s="306"/>
      <c r="SGX2" s="306"/>
      <c r="SGY2" s="306"/>
      <c r="SGZ2" s="306"/>
      <c r="SHA2" s="306"/>
      <c r="SHB2" s="306"/>
      <c r="SHC2" s="306"/>
      <c r="SHD2" s="306"/>
      <c r="SHE2" s="306"/>
      <c r="SHF2" s="306"/>
      <c r="SHG2" s="306"/>
      <c r="SHH2" s="306"/>
      <c r="SHI2" s="306"/>
      <c r="SHJ2" s="306"/>
      <c r="SHK2" s="306"/>
      <c r="SHL2" s="306"/>
      <c r="SHM2" s="306"/>
      <c r="SHN2" s="306"/>
      <c r="SHO2" s="306"/>
      <c r="SHP2" s="306"/>
      <c r="SHQ2" s="306"/>
      <c r="SHR2" s="306"/>
      <c r="SHS2" s="306"/>
      <c r="SHT2" s="306"/>
      <c r="SHU2" s="306"/>
      <c r="SHV2" s="306"/>
      <c r="SHW2" s="306"/>
      <c r="SHX2" s="306"/>
      <c r="SHY2" s="306"/>
      <c r="SHZ2" s="306"/>
      <c r="SIA2" s="306"/>
      <c r="SIB2" s="306"/>
      <c r="SIC2" s="306"/>
      <c r="SID2" s="306"/>
      <c r="SIE2" s="306"/>
      <c r="SIF2" s="306"/>
      <c r="SIG2" s="306"/>
      <c r="SIH2" s="306"/>
      <c r="SII2" s="306"/>
      <c r="SIJ2" s="306"/>
      <c r="SIK2" s="306"/>
      <c r="SIL2" s="306"/>
      <c r="SIM2" s="306"/>
      <c r="SIN2" s="306"/>
      <c r="SIO2" s="306"/>
      <c r="SIP2" s="306"/>
      <c r="SIQ2" s="306"/>
      <c r="SIR2" s="306"/>
      <c r="SIS2" s="306"/>
      <c r="SIT2" s="306"/>
      <c r="SIU2" s="306"/>
      <c r="SIV2" s="306"/>
      <c r="SIW2" s="306"/>
      <c r="SIX2" s="306"/>
      <c r="SIY2" s="306"/>
      <c r="SIZ2" s="306"/>
      <c r="SJA2" s="306"/>
      <c r="SJB2" s="306"/>
      <c r="SJC2" s="306"/>
      <c r="SJD2" s="306"/>
      <c r="SJE2" s="306"/>
      <c r="SJF2" s="306"/>
      <c r="SJG2" s="306"/>
      <c r="SJH2" s="306"/>
      <c r="SJI2" s="306"/>
      <c r="SJJ2" s="306"/>
      <c r="SJK2" s="306"/>
      <c r="SJL2" s="306"/>
      <c r="SJM2" s="306"/>
      <c r="SJN2" s="306"/>
      <c r="SJO2" s="306"/>
      <c r="SJP2" s="306"/>
      <c r="SJQ2" s="306"/>
      <c r="SJR2" s="306"/>
      <c r="SJS2" s="306"/>
      <c r="SJT2" s="306"/>
      <c r="SJU2" s="306"/>
      <c r="SJV2" s="306"/>
      <c r="SJW2" s="306"/>
      <c r="SJX2" s="306"/>
      <c r="SJY2" s="306"/>
      <c r="SJZ2" s="306"/>
      <c r="SKA2" s="306"/>
      <c r="SKB2" s="306"/>
      <c r="SKC2" s="306"/>
      <c r="SKD2" s="306"/>
      <c r="SKE2" s="306"/>
      <c r="SKF2" s="306"/>
      <c r="SKG2" s="306"/>
      <c r="SKH2" s="306"/>
      <c r="SKI2" s="306"/>
      <c r="SKJ2" s="306"/>
      <c r="SKK2" s="306"/>
      <c r="SKL2" s="306"/>
      <c r="SKM2" s="306"/>
      <c r="SKN2" s="306"/>
      <c r="SKO2" s="306"/>
      <c r="SKP2" s="306"/>
      <c r="SKQ2" s="306"/>
      <c r="SKR2" s="306"/>
      <c r="SKS2" s="306"/>
      <c r="SKT2" s="306"/>
      <c r="SKU2" s="306"/>
      <c r="SKV2" s="306"/>
      <c r="SKW2" s="306"/>
      <c r="SKX2" s="306"/>
      <c r="SKY2" s="306"/>
      <c r="SKZ2" s="306"/>
      <c r="SLA2" s="306"/>
      <c r="SLB2" s="306"/>
      <c r="SLC2" s="306"/>
      <c r="SLD2" s="306"/>
      <c r="SLE2" s="306"/>
      <c r="SLF2" s="306"/>
      <c r="SLG2" s="306"/>
      <c r="SLH2" s="306"/>
      <c r="SLI2" s="306"/>
      <c r="SLJ2" s="306"/>
      <c r="SLK2" s="306"/>
      <c r="SLL2" s="306"/>
      <c r="SLM2" s="306"/>
      <c r="SLN2" s="306"/>
      <c r="SLO2" s="306"/>
      <c r="SLP2" s="306"/>
      <c r="SLQ2" s="306"/>
      <c r="SLR2" s="306"/>
      <c r="SLS2" s="306"/>
      <c r="SLT2" s="306"/>
      <c r="SLU2" s="306"/>
      <c r="SLV2" s="306"/>
      <c r="SLW2" s="306"/>
      <c r="SLX2" s="306"/>
      <c r="SLY2" s="306"/>
      <c r="SLZ2" s="306"/>
      <c r="SMA2" s="306"/>
      <c r="SMB2" s="306"/>
      <c r="SMC2" s="306"/>
      <c r="SMD2" s="306"/>
      <c r="SME2" s="306"/>
      <c r="SMF2" s="306"/>
      <c r="SMG2" s="306"/>
      <c r="SMH2" s="306"/>
      <c r="SMI2" s="306"/>
      <c r="SMJ2" s="306"/>
      <c r="SMK2" s="306"/>
      <c r="SML2" s="306"/>
      <c r="SMM2" s="306"/>
      <c r="SMN2" s="306"/>
      <c r="SMO2" s="306"/>
      <c r="SMP2" s="306"/>
      <c r="SMQ2" s="306"/>
      <c r="SMR2" s="306"/>
      <c r="SMS2" s="306"/>
      <c r="SMT2" s="306"/>
      <c r="SMU2" s="306"/>
      <c r="SMV2" s="306"/>
      <c r="SMW2" s="306"/>
      <c r="SMX2" s="306"/>
      <c r="SMY2" s="306"/>
      <c r="SMZ2" s="306"/>
      <c r="SNA2" s="306"/>
      <c r="SNB2" s="306"/>
      <c r="SNC2" s="306"/>
      <c r="SND2" s="306"/>
      <c r="SNE2" s="306"/>
      <c r="SNF2" s="306"/>
      <c r="SNG2" s="306"/>
      <c r="SNH2" s="306"/>
      <c r="SNI2" s="306"/>
      <c r="SNJ2" s="306"/>
      <c r="SNK2" s="306"/>
      <c r="SNL2" s="306"/>
      <c r="SNM2" s="306"/>
      <c r="SNN2" s="306"/>
      <c r="SNO2" s="306"/>
      <c r="SNP2" s="306"/>
      <c r="SNQ2" s="306"/>
      <c r="SNR2" s="306"/>
      <c r="SNS2" s="306"/>
      <c r="SNT2" s="306"/>
      <c r="SNU2" s="306"/>
      <c r="SNV2" s="306"/>
      <c r="SNW2" s="306"/>
      <c r="SNX2" s="306"/>
      <c r="SNY2" s="306"/>
      <c r="SNZ2" s="306"/>
      <c r="SOA2" s="306"/>
      <c r="SOB2" s="306"/>
      <c r="SOC2" s="306"/>
      <c r="SOD2" s="306"/>
      <c r="SOE2" s="306"/>
      <c r="SOF2" s="306"/>
      <c r="SOG2" s="306"/>
      <c r="SOH2" s="306"/>
      <c r="SOI2" s="306"/>
      <c r="SOJ2" s="306"/>
      <c r="SOK2" s="306"/>
      <c r="SOL2" s="306"/>
      <c r="SOM2" s="306"/>
      <c r="SON2" s="306"/>
      <c r="SOO2" s="306"/>
      <c r="SOP2" s="306"/>
      <c r="SOQ2" s="306"/>
      <c r="SOR2" s="306"/>
      <c r="SOS2" s="306"/>
      <c r="SOT2" s="306"/>
      <c r="SOU2" s="306"/>
      <c r="SOV2" s="306"/>
      <c r="SOW2" s="306"/>
      <c r="SOX2" s="306"/>
      <c r="SOY2" s="306"/>
      <c r="SOZ2" s="306"/>
      <c r="SPA2" s="306"/>
      <c r="SPB2" s="306"/>
      <c r="SPC2" s="306"/>
      <c r="SPD2" s="306"/>
      <c r="SPE2" s="306"/>
      <c r="SPF2" s="306"/>
      <c r="SPG2" s="306"/>
      <c r="SPH2" s="306"/>
      <c r="SPI2" s="306"/>
      <c r="SPJ2" s="306"/>
      <c r="SPK2" s="306"/>
      <c r="SPL2" s="306"/>
      <c r="SPM2" s="306"/>
      <c r="SPN2" s="306"/>
      <c r="SPO2" s="306"/>
      <c r="SPP2" s="306"/>
      <c r="SPQ2" s="306"/>
      <c r="SPR2" s="306"/>
      <c r="SPS2" s="306"/>
      <c r="SPT2" s="306"/>
      <c r="SPU2" s="306"/>
      <c r="SPV2" s="306"/>
      <c r="SPW2" s="306"/>
      <c r="SPX2" s="306"/>
      <c r="SPY2" s="306"/>
      <c r="SPZ2" s="306"/>
      <c r="SQA2" s="306"/>
      <c r="SQB2" s="306"/>
      <c r="SQC2" s="306"/>
      <c r="SQD2" s="306"/>
      <c r="SQE2" s="306"/>
      <c r="SQF2" s="306"/>
      <c r="SQG2" s="306"/>
      <c r="SQH2" s="306"/>
      <c r="SQI2" s="306"/>
      <c r="SQJ2" s="306"/>
      <c r="SQK2" s="306"/>
      <c r="SQL2" s="306"/>
      <c r="SQM2" s="306"/>
      <c r="SQN2" s="306"/>
      <c r="SQO2" s="306"/>
      <c r="SQP2" s="306"/>
      <c r="SQQ2" s="306"/>
      <c r="SQR2" s="306"/>
      <c r="SQS2" s="306"/>
      <c r="SQT2" s="306"/>
      <c r="SQU2" s="306"/>
      <c r="SQV2" s="306"/>
      <c r="SQW2" s="306"/>
      <c r="SQX2" s="306"/>
      <c r="SQY2" s="306"/>
      <c r="SQZ2" s="306"/>
      <c r="SRA2" s="306"/>
      <c r="SRB2" s="306"/>
      <c r="SRC2" s="306"/>
      <c r="SRD2" s="306"/>
      <c r="SRE2" s="306"/>
      <c r="SRF2" s="306"/>
      <c r="SRG2" s="306"/>
      <c r="SRH2" s="306"/>
      <c r="SRI2" s="306"/>
      <c r="SRJ2" s="306"/>
      <c r="SRK2" s="306"/>
      <c r="SRL2" s="306"/>
      <c r="SRM2" s="306"/>
      <c r="SRN2" s="306"/>
      <c r="SRO2" s="306"/>
      <c r="SRP2" s="306"/>
      <c r="SRQ2" s="306"/>
      <c r="SRR2" s="306"/>
      <c r="SRS2" s="306"/>
      <c r="SRT2" s="306"/>
      <c r="SRU2" s="306"/>
      <c r="SRV2" s="306"/>
      <c r="SRW2" s="306"/>
      <c r="SRX2" s="306"/>
      <c r="SRY2" s="306"/>
      <c r="SRZ2" s="306"/>
      <c r="SSA2" s="306"/>
      <c r="SSB2" s="306"/>
      <c r="SSC2" s="306"/>
      <c r="SSD2" s="306"/>
      <c r="SSE2" s="306"/>
      <c r="SSF2" s="306"/>
      <c r="SSG2" s="306"/>
      <c r="SSH2" s="306"/>
      <c r="SSI2" s="306"/>
      <c r="SSJ2" s="306"/>
      <c r="SSK2" s="306"/>
      <c r="SSL2" s="306"/>
      <c r="SSM2" s="306"/>
      <c r="SSN2" s="306"/>
      <c r="SSO2" s="306"/>
      <c r="SSP2" s="306"/>
      <c r="SSQ2" s="306"/>
      <c r="SSR2" s="306"/>
      <c r="SSS2" s="306"/>
      <c r="SST2" s="306"/>
      <c r="SSU2" s="306"/>
      <c r="SSV2" s="306"/>
      <c r="SSW2" s="306"/>
      <c r="SSX2" s="306"/>
      <c r="SSY2" s="306"/>
      <c r="SSZ2" s="306"/>
      <c r="STA2" s="306"/>
      <c r="STB2" s="306"/>
      <c r="STC2" s="306"/>
      <c r="STD2" s="306"/>
      <c r="STE2" s="306"/>
      <c r="STF2" s="306"/>
      <c r="STG2" s="306"/>
      <c r="STH2" s="306"/>
      <c r="STI2" s="306"/>
      <c r="STJ2" s="306"/>
      <c r="STK2" s="306"/>
      <c r="STL2" s="306"/>
      <c r="STM2" s="306"/>
      <c r="STN2" s="306"/>
      <c r="STO2" s="306"/>
      <c r="STP2" s="306"/>
      <c r="STQ2" s="306"/>
      <c r="STR2" s="306"/>
      <c r="STS2" s="306"/>
      <c r="STT2" s="306"/>
      <c r="STU2" s="306"/>
      <c r="STV2" s="306"/>
      <c r="STW2" s="306"/>
      <c r="STX2" s="306"/>
      <c r="STY2" s="306"/>
      <c r="STZ2" s="306"/>
      <c r="SUA2" s="306"/>
      <c r="SUB2" s="306"/>
      <c r="SUC2" s="306"/>
      <c r="SUD2" s="306"/>
      <c r="SUE2" s="306"/>
      <c r="SUF2" s="306"/>
      <c r="SUG2" s="306"/>
      <c r="SUH2" s="306"/>
      <c r="SUI2" s="306"/>
      <c r="SUJ2" s="306"/>
      <c r="SUK2" s="306"/>
      <c r="SUL2" s="306"/>
      <c r="SUM2" s="306"/>
      <c r="SUN2" s="306"/>
      <c r="SUO2" s="306"/>
      <c r="SUP2" s="306"/>
      <c r="SUQ2" s="306"/>
      <c r="SUR2" s="306"/>
      <c r="SUS2" s="306"/>
      <c r="SUT2" s="306"/>
      <c r="SUU2" s="306"/>
      <c r="SUV2" s="306"/>
      <c r="SUW2" s="306"/>
      <c r="SUX2" s="306"/>
      <c r="SUY2" s="306"/>
      <c r="SUZ2" s="306"/>
      <c r="SVA2" s="306"/>
      <c r="SVB2" s="306"/>
      <c r="SVC2" s="306"/>
      <c r="SVD2" s="306"/>
      <c r="SVE2" s="306"/>
      <c r="SVF2" s="306"/>
      <c r="SVG2" s="306"/>
      <c r="SVH2" s="306"/>
      <c r="SVI2" s="306"/>
      <c r="SVJ2" s="306"/>
      <c r="SVK2" s="306"/>
      <c r="SVL2" s="306"/>
      <c r="SVM2" s="306"/>
      <c r="SVN2" s="306"/>
      <c r="SVO2" s="306"/>
      <c r="SVP2" s="306"/>
      <c r="SVQ2" s="306"/>
      <c r="SVR2" s="306"/>
      <c r="SVS2" s="306"/>
      <c r="SVT2" s="306"/>
      <c r="SVU2" s="306"/>
      <c r="SVV2" s="306"/>
      <c r="SVW2" s="306"/>
      <c r="SVX2" s="306"/>
      <c r="SVY2" s="306"/>
      <c r="SVZ2" s="306"/>
      <c r="SWA2" s="306"/>
      <c r="SWB2" s="306"/>
      <c r="SWC2" s="306"/>
      <c r="SWD2" s="306"/>
      <c r="SWE2" s="306"/>
      <c r="SWF2" s="306"/>
      <c r="SWG2" s="306"/>
      <c r="SWH2" s="306"/>
      <c r="SWI2" s="306"/>
      <c r="SWJ2" s="306"/>
      <c r="SWK2" s="306"/>
      <c r="SWL2" s="306"/>
      <c r="SWM2" s="306"/>
      <c r="SWN2" s="306"/>
      <c r="SWO2" s="306"/>
      <c r="SWP2" s="306"/>
      <c r="SWQ2" s="306"/>
      <c r="SWR2" s="306"/>
      <c r="SWS2" s="306"/>
      <c r="SWT2" s="306"/>
      <c r="SWU2" s="306"/>
      <c r="SWV2" s="306"/>
      <c r="SWW2" s="306"/>
      <c r="SWX2" s="306"/>
      <c r="SWY2" s="306"/>
      <c r="SWZ2" s="306"/>
      <c r="SXA2" s="306"/>
      <c r="SXB2" s="306"/>
      <c r="SXC2" s="306"/>
      <c r="SXD2" s="306"/>
      <c r="SXE2" s="306"/>
      <c r="SXF2" s="306"/>
      <c r="SXG2" s="306"/>
      <c r="SXH2" s="306"/>
      <c r="SXI2" s="306"/>
      <c r="SXJ2" s="306"/>
      <c r="SXK2" s="306"/>
      <c r="SXL2" s="306"/>
      <c r="SXM2" s="306"/>
      <c r="SXN2" s="306"/>
      <c r="SXO2" s="306"/>
      <c r="SXP2" s="306"/>
      <c r="SXQ2" s="306"/>
      <c r="SXR2" s="306"/>
      <c r="SXS2" s="306"/>
      <c r="SXT2" s="306"/>
      <c r="SXU2" s="306"/>
      <c r="SXV2" s="306"/>
      <c r="SXW2" s="306"/>
      <c r="SXX2" s="306"/>
      <c r="SXY2" s="306"/>
      <c r="SXZ2" s="306"/>
      <c r="SYA2" s="306"/>
      <c r="SYB2" s="306"/>
      <c r="SYC2" s="306"/>
      <c r="SYD2" s="306"/>
      <c r="SYE2" s="306"/>
      <c r="SYF2" s="306"/>
      <c r="SYG2" s="306"/>
      <c r="SYH2" s="306"/>
      <c r="SYI2" s="306"/>
      <c r="SYJ2" s="306"/>
      <c r="SYK2" s="306"/>
      <c r="SYL2" s="306"/>
      <c r="SYM2" s="306"/>
      <c r="SYN2" s="306"/>
      <c r="SYO2" s="306"/>
      <c r="SYP2" s="306"/>
      <c r="SYQ2" s="306"/>
      <c r="SYR2" s="306"/>
      <c r="SYS2" s="306"/>
      <c r="SYT2" s="306"/>
      <c r="SYU2" s="306"/>
      <c r="SYV2" s="306"/>
      <c r="SYW2" s="306"/>
      <c r="SYX2" s="306"/>
      <c r="SYY2" s="306"/>
      <c r="SYZ2" s="306"/>
      <c r="SZA2" s="306"/>
      <c r="SZB2" s="306"/>
      <c r="SZC2" s="306"/>
      <c r="SZD2" s="306"/>
      <c r="SZE2" s="306"/>
      <c r="SZF2" s="306"/>
      <c r="SZG2" s="306"/>
      <c r="SZH2" s="306"/>
      <c r="SZI2" s="306"/>
      <c r="SZJ2" s="306"/>
      <c r="SZK2" s="306"/>
      <c r="SZL2" s="306"/>
      <c r="SZM2" s="306"/>
      <c r="SZN2" s="306"/>
      <c r="SZO2" s="306"/>
      <c r="SZP2" s="306"/>
      <c r="SZQ2" s="306"/>
      <c r="SZR2" s="306"/>
      <c r="SZS2" s="306"/>
      <c r="SZT2" s="306"/>
      <c r="SZU2" s="306"/>
      <c r="SZV2" s="306"/>
      <c r="SZW2" s="306"/>
      <c r="SZX2" s="306"/>
      <c r="SZY2" s="306"/>
      <c r="SZZ2" s="306"/>
      <c r="TAA2" s="306"/>
      <c r="TAB2" s="306"/>
      <c r="TAC2" s="306"/>
      <c r="TAD2" s="306"/>
      <c r="TAE2" s="306"/>
      <c r="TAF2" s="306"/>
      <c r="TAG2" s="306"/>
      <c r="TAH2" s="306"/>
      <c r="TAI2" s="306"/>
      <c r="TAJ2" s="306"/>
      <c r="TAK2" s="306"/>
      <c r="TAL2" s="306"/>
      <c r="TAM2" s="306"/>
      <c r="TAN2" s="306"/>
      <c r="TAO2" s="306"/>
      <c r="TAP2" s="306"/>
      <c r="TAQ2" s="306"/>
      <c r="TAR2" s="306"/>
      <c r="TAS2" s="306"/>
      <c r="TAT2" s="306"/>
      <c r="TAU2" s="306"/>
      <c r="TAV2" s="306"/>
      <c r="TAW2" s="306"/>
      <c r="TAX2" s="306"/>
      <c r="TAY2" s="306"/>
      <c r="TAZ2" s="306"/>
      <c r="TBA2" s="306"/>
      <c r="TBB2" s="306"/>
      <c r="TBC2" s="306"/>
      <c r="TBD2" s="306"/>
      <c r="TBE2" s="306"/>
      <c r="TBF2" s="306"/>
      <c r="TBG2" s="306"/>
      <c r="TBH2" s="306"/>
      <c r="TBI2" s="306"/>
      <c r="TBJ2" s="306"/>
      <c r="TBK2" s="306"/>
      <c r="TBL2" s="306"/>
      <c r="TBM2" s="306"/>
      <c r="TBN2" s="306"/>
      <c r="TBO2" s="306"/>
      <c r="TBP2" s="306"/>
      <c r="TBQ2" s="306"/>
      <c r="TBR2" s="306"/>
      <c r="TBS2" s="306"/>
      <c r="TBT2" s="306"/>
      <c r="TBU2" s="306"/>
      <c r="TBV2" s="306"/>
      <c r="TBW2" s="306"/>
      <c r="TBX2" s="306"/>
      <c r="TBY2" s="306"/>
      <c r="TBZ2" s="306"/>
      <c r="TCA2" s="306"/>
      <c r="TCB2" s="306"/>
      <c r="TCC2" s="306"/>
      <c r="TCD2" s="306"/>
      <c r="TCE2" s="306"/>
      <c r="TCF2" s="306"/>
      <c r="TCG2" s="306"/>
      <c r="TCH2" s="306"/>
      <c r="TCI2" s="306"/>
      <c r="TCJ2" s="306"/>
      <c r="TCK2" s="306"/>
      <c r="TCL2" s="306"/>
      <c r="TCM2" s="306"/>
      <c r="TCN2" s="306"/>
      <c r="TCO2" s="306"/>
      <c r="TCP2" s="306"/>
      <c r="TCQ2" s="306"/>
      <c r="TCR2" s="306"/>
      <c r="TCS2" s="306"/>
      <c r="TCT2" s="306"/>
      <c r="TCU2" s="306"/>
      <c r="TCV2" s="306"/>
      <c r="TCW2" s="306"/>
      <c r="TCX2" s="306"/>
      <c r="TCY2" s="306"/>
      <c r="TCZ2" s="306"/>
      <c r="TDA2" s="306"/>
      <c r="TDB2" s="306"/>
      <c r="TDC2" s="306"/>
      <c r="TDD2" s="306"/>
      <c r="TDE2" s="306"/>
      <c r="TDF2" s="306"/>
      <c r="TDG2" s="306"/>
      <c r="TDH2" s="306"/>
      <c r="TDI2" s="306"/>
      <c r="TDJ2" s="306"/>
      <c r="TDK2" s="306"/>
      <c r="TDL2" s="306"/>
      <c r="TDM2" s="306"/>
      <c r="TDN2" s="306"/>
      <c r="TDO2" s="306"/>
      <c r="TDP2" s="306"/>
      <c r="TDQ2" s="306"/>
      <c r="TDR2" s="306"/>
      <c r="TDS2" s="306"/>
      <c r="TDT2" s="306"/>
      <c r="TDU2" s="306"/>
      <c r="TDV2" s="306"/>
      <c r="TDW2" s="306"/>
      <c r="TDX2" s="306"/>
      <c r="TDY2" s="306"/>
      <c r="TDZ2" s="306"/>
      <c r="TEA2" s="306"/>
      <c r="TEB2" s="306"/>
      <c r="TEC2" s="306"/>
      <c r="TED2" s="306"/>
      <c r="TEE2" s="306"/>
      <c r="TEF2" s="306"/>
      <c r="TEG2" s="306"/>
      <c r="TEH2" s="306"/>
      <c r="TEI2" s="306"/>
      <c r="TEJ2" s="306"/>
      <c r="TEK2" s="306"/>
      <c r="TEL2" s="306"/>
      <c r="TEM2" s="306"/>
      <c r="TEN2" s="306"/>
      <c r="TEO2" s="306"/>
      <c r="TEP2" s="306"/>
      <c r="TEQ2" s="306"/>
      <c r="TER2" s="306"/>
      <c r="TES2" s="306"/>
      <c r="TET2" s="306"/>
      <c r="TEU2" s="306"/>
      <c r="TEV2" s="306"/>
      <c r="TEW2" s="306"/>
      <c r="TEX2" s="306"/>
      <c r="TEY2" s="306"/>
      <c r="TEZ2" s="306"/>
      <c r="TFA2" s="306"/>
      <c r="TFB2" s="306"/>
      <c r="TFC2" s="306"/>
      <c r="TFD2" s="306"/>
      <c r="TFE2" s="306"/>
      <c r="TFF2" s="306"/>
      <c r="TFG2" s="306"/>
      <c r="TFH2" s="306"/>
      <c r="TFI2" s="306"/>
      <c r="TFJ2" s="306"/>
      <c r="TFK2" s="306"/>
      <c r="TFL2" s="306"/>
      <c r="TFM2" s="306"/>
      <c r="TFN2" s="306"/>
      <c r="TFO2" s="306"/>
      <c r="TFP2" s="306"/>
      <c r="TFQ2" s="306"/>
      <c r="TFR2" s="306"/>
      <c r="TFS2" s="306"/>
      <c r="TFT2" s="306"/>
      <c r="TFU2" s="306"/>
      <c r="TFV2" s="306"/>
      <c r="TFW2" s="306"/>
      <c r="TFX2" s="306"/>
      <c r="TFY2" s="306"/>
      <c r="TFZ2" s="306"/>
      <c r="TGA2" s="306"/>
      <c r="TGB2" s="306"/>
      <c r="TGC2" s="306"/>
      <c r="TGD2" s="306"/>
      <c r="TGE2" s="306"/>
      <c r="TGF2" s="306"/>
      <c r="TGG2" s="306"/>
      <c r="TGH2" s="306"/>
      <c r="TGI2" s="306"/>
      <c r="TGJ2" s="306"/>
      <c r="TGK2" s="306"/>
      <c r="TGL2" s="306"/>
      <c r="TGM2" s="306"/>
      <c r="TGN2" s="306"/>
      <c r="TGO2" s="306"/>
      <c r="TGP2" s="306"/>
      <c r="TGQ2" s="306"/>
      <c r="TGR2" s="306"/>
      <c r="TGS2" s="306"/>
      <c r="TGT2" s="306"/>
      <c r="TGU2" s="306"/>
      <c r="TGV2" s="306"/>
      <c r="TGW2" s="306"/>
      <c r="TGX2" s="306"/>
      <c r="TGY2" s="306"/>
      <c r="TGZ2" s="306"/>
      <c r="THA2" s="306"/>
      <c r="THB2" s="306"/>
      <c r="THC2" s="306"/>
      <c r="THD2" s="306"/>
      <c r="THE2" s="306"/>
      <c r="THF2" s="306"/>
      <c r="THG2" s="306"/>
      <c r="THH2" s="306"/>
      <c r="THI2" s="306"/>
      <c r="THJ2" s="306"/>
      <c r="THK2" s="306"/>
      <c r="THL2" s="306"/>
      <c r="THM2" s="306"/>
      <c r="THN2" s="306"/>
      <c r="THO2" s="306"/>
      <c r="THP2" s="306"/>
      <c r="THQ2" s="306"/>
      <c r="THR2" s="306"/>
      <c r="THS2" s="306"/>
      <c r="THT2" s="306"/>
      <c r="THU2" s="306"/>
      <c r="THV2" s="306"/>
      <c r="THW2" s="306"/>
      <c r="THX2" s="306"/>
      <c r="THY2" s="306"/>
      <c r="THZ2" s="306"/>
      <c r="TIA2" s="306"/>
      <c r="TIB2" s="306"/>
      <c r="TIC2" s="306"/>
      <c r="TID2" s="306"/>
      <c r="TIE2" s="306"/>
      <c r="TIF2" s="306"/>
      <c r="TIG2" s="306"/>
      <c r="TIH2" s="306"/>
      <c r="TII2" s="306"/>
      <c r="TIJ2" s="306"/>
      <c r="TIK2" s="306"/>
      <c r="TIL2" s="306"/>
      <c r="TIM2" s="306"/>
      <c r="TIN2" s="306"/>
      <c r="TIO2" s="306"/>
      <c r="TIP2" s="306"/>
      <c r="TIQ2" s="306"/>
      <c r="TIR2" s="306"/>
      <c r="TIS2" s="306"/>
      <c r="TIT2" s="306"/>
      <c r="TIU2" s="306"/>
      <c r="TIV2" s="306"/>
      <c r="TIW2" s="306"/>
      <c r="TIX2" s="306"/>
      <c r="TIY2" s="306"/>
      <c r="TIZ2" s="306"/>
      <c r="TJA2" s="306"/>
      <c r="TJB2" s="306"/>
      <c r="TJC2" s="306"/>
      <c r="TJD2" s="306"/>
      <c r="TJE2" s="306"/>
      <c r="TJF2" s="306"/>
      <c r="TJG2" s="306"/>
      <c r="TJH2" s="306"/>
      <c r="TJI2" s="306"/>
      <c r="TJJ2" s="306"/>
      <c r="TJK2" s="306"/>
      <c r="TJL2" s="306"/>
      <c r="TJM2" s="306"/>
      <c r="TJN2" s="306"/>
      <c r="TJO2" s="306"/>
      <c r="TJP2" s="306"/>
      <c r="TJQ2" s="306"/>
      <c r="TJR2" s="306"/>
      <c r="TJS2" s="306"/>
      <c r="TJT2" s="306"/>
      <c r="TJU2" s="306"/>
      <c r="TJV2" s="306"/>
      <c r="TJW2" s="306"/>
      <c r="TJX2" s="306"/>
      <c r="TJY2" s="306"/>
      <c r="TJZ2" s="306"/>
      <c r="TKA2" s="306"/>
      <c r="TKB2" s="306"/>
      <c r="TKC2" s="306"/>
      <c r="TKD2" s="306"/>
      <c r="TKE2" s="306"/>
      <c r="TKF2" s="306"/>
      <c r="TKG2" s="306"/>
      <c r="TKH2" s="306"/>
      <c r="TKI2" s="306"/>
      <c r="TKJ2" s="306"/>
      <c r="TKK2" s="306"/>
      <c r="TKL2" s="306"/>
      <c r="TKM2" s="306"/>
      <c r="TKN2" s="306"/>
      <c r="TKO2" s="306"/>
      <c r="TKP2" s="306"/>
      <c r="TKQ2" s="306"/>
      <c r="TKR2" s="306"/>
      <c r="TKS2" s="306"/>
      <c r="TKT2" s="306"/>
      <c r="TKU2" s="306"/>
      <c r="TKV2" s="306"/>
      <c r="TKW2" s="306"/>
      <c r="TKX2" s="306"/>
      <c r="TKY2" s="306"/>
      <c r="TKZ2" s="306"/>
      <c r="TLA2" s="306"/>
      <c r="TLB2" s="306"/>
      <c r="TLC2" s="306"/>
      <c r="TLD2" s="306"/>
      <c r="TLE2" s="306"/>
      <c r="TLF2" s="306"/>
      <c r="TLG2" s="306"/>
      <c r="TLH2" s="306"/>
      <c r="TLI2" s="306"/>
      <c r="TLJ2" s="306"/>
      <c r="TLK2" s="306"/>
      <c r="TLL2" s="306"/>
      <c r="TLM2" s="306"/>
      <c r="TLN2" s="306"/>
      <c r="TLO2" s="306"/>
      <c r="TLP2" s="306"/>
      <c r="TLQ2" s="306"/>
      <c r="TLR2" s="306"/>
      <c r="TLS2" s="306"/>
      <c r="TLT2" s="306"/>
      <c r="TLU2" s="306"/>
      <c r="TLV2" s="306"/>
      <c r="TLW2" s="306"/>
      <c r="TLX2" s="306"/>
      <c r="TLY2" s="306"/>
      <c r="TLZ2" s="306"/>
      <c r="TMA2" s="306"/>
      <c r="TMB2" s="306"/>
      <c r="TMC2" s="306"/>
      <c r="TMD2" s="306"/>
      <c r="TME2" s="306"/>
      <c r="TMF2" s="306"/>
      <c r="TMG2" s="306"/>
      <c r="TMH2" s="306"/>
      <c r="TMI2" s="306"/>
      <c r="TMJ2" s="306"/>
      <c r="TMK2" s="306"/>
      <c r="TML2" s="306"/>
      <c r="TMM2" s="306"/>
      <c r="TMN2" s="306"/>
      <c r="TMO2" s="306"/>
      <c r="TMP2" s="306"/>
      <c r="TMQ2" s="306"/>
      <c r="TMR2" s="306"/>
      <c r="TMS2" s="306"/>
      <c r="TMT2" s="306"/>
      <c r="TMU2" s="306"/>
      <c r="TMV2" s="306"/>
      <c r="TMW2" s="306"/>
      <c r="TMX2" s="306"/>
      <c r="TMY2" s="306"/>
      <c r="TMZ2" s="306"/>
      <c r="TNA2" s="306"/>
      <c r="TNB2" s="306"/>
      <c r="TNC2" s="306"/>
      <c r="TND2" s="306"/>
      <c r="TNE2" s="306"/>
      <c r="TNF2" s="306"/>
      <c r="TNG2" s="306"/>
      <c r="TNH2" s="306"/>
      <c r="TNI2" s="306"/>
      <c r="TNJ2" s="306"/>
      <c r="TNK2" s="306"/>
      <c r="TNL2" s="306"/>
      <c r="TNM2" s="306"/>
      <c r="TNN2" s="306"/>
      <c r="TNO2" s="306"/>
      <c r="TNP2" s="306"/>
      <c r="TNQ2" s="306"/>
      <c r="TNR2" s="306"/>
      <c r="TNS2" s="306"/>
      <c r="TNT2" s="306"/>
      <c r="TNU2" s="306"/>
      <c r="TNV2" s="306"/>
      <c r="TNW2" s="306"/>
      <c r="TNX2" s="306"/>
      <c r="TNY2" s="306"/>
      <c r="TNZ2" s="306"/>
      <c r="TOA2" s="306"/>
      <c r="TOB2" s="306"/>
      <c r="TOC2" s="306"/>
      <c r="TOD2" s="306"/>
      <c r="TOE2" s="306"/>
      <c r="TOF2" s="306"/>
      <c r="TOG2" s="306"/>
      <c r="TOH2" s="306"/>
      <c r="TOI2" s="306"/>
      <c r="TOJ2" s="306"/>
      <c r="TOK2" s="306"/>
      <c r="TOL2" s="306"/>
      <c r="TOM2" s="306"/>
      <c r="TON2" s="306"/>
      <c r="TOO2" s="306"/>
      <c r="TOP2" s="306"/>
      <c r="TOQ2" s="306"/>
      <c r="TOR2" s="306"/>
      <c r="TOS2" s="306"/>
      <c r="TOT2" s="306"/>
      <c r="TOU2" s="306"/>
      <c r="TOV2" s="306"/>
      <c r="TOW2" s="306"/>
      <c r="TOX2" s="306"/>
      <c r="TOY2" s="306"/>
      <c r="TOZ2" s="306"/>
      <c r="TPA2" s="306"/>
      <c r="TPB2" s="306"/>
      <c r="TPC2" s="306"/>
      <c r="TPD2" s="306"/>
      <c r="TPE2" s="306"/>
      <c r="TPF2" s="306"/>
      <c r="TPG2" s="306"/>
      <c r="TPH2" s="306"/>
      <c r="TPI2" s="306"/>
      <c r="TPJ2" s="306"/>
      <c r="TPK2" s="306"/>
      <c r="TPL2" s="306"/>
      <c r="TPM2" s="306"/>
      <c r="TPN2" s="306"/>
      <c r="TPO2" s="306"/>
      <c r="TPP2" s="306"/>
      <c r="TPQ2" s="306"/>
      <c r="TPR2" s="306"/>
      <c r="TPS2" s="306"/>
      <c r="TPT2" s="306"/>
      <c r="TPU2" s="306"/>
      <c r="TPV2" s="306"/>
      <c r="TPW2" s="306"/>
      <c r="TPX2" s="306"/>
      <c r="TPY2" s="306"/>
      <c r="TPZ2" s="306"/>
      <c r="TQA2" s="306"/>
      <c r="TQB2" s="306"/>
      <c r="TQC2" s="306"/>
      <c r="TQD2" s="306"/>
      <c r="TQE2" s="306"/>
      <c r="TQF2" s="306"/>
      <c r="TQG2" s="306"/>
      <c r="TQH2" s="306"/>
      <c r="TQI2" s="306"/>
      <c r="TQJ2" s="306"/>
      <c r="TQK2" s="306"/>
      <c r="TQL2" s="306"/>
      <c r="TQM2" s="306"/>
      <c r="TQN2" s="306"/>
      <c r="TQO2" s="306"/>
      <c r="TQP2" s="306"/>
      <c r="TQQ2" s="306"/>
      <c r="TQR2" s="306"/>
      <c r="TQS2" s="306"/>
      <c r="TQT2" s="306"/>
      <c r="TQU2" s="306"/>
      <c r="TQV2" s="306"/>
      <c r="TQW2" s="306"/>
      <c r="TQX2" s="306"/>
      <c r="TQY2" s="306"/>
      <c r="TQZ2" s="306"/>
      <c r="TRA2" s="306"/>
      <c r="TRB2" s="306"/>
      <c r="TRC2" s="306"/>
      <c r="TRD2" s="306"/>
      <c r="TRE2" s="306"/>
      <c r="TRF2" s="306"/>
      <c r="TRG2" s="306"/>
      <c r="TRH2" s="306"/>
      <c r="TRI2" s="306"/>
      <c r="TRJ2" s="306"/>
      <c r="TRK2" s="306"/>
      <c r="TRL2" s="306"/>
      <c r="TRM2" s="306"/>
      <c r="TRN2" s="306"/>
      <c r="TRO2" s="306"/>
      <c r="TRP2" s="306"/>
      <c r="TRQ2" s="306"/>
      <c r="TRR2" s="306"/>
      <c r="TRS2" s="306"/>
      <c r="TRT2" s="306"/>
      <c r="TRU2" s="306"/>
      <c r="TRV2" s="306"/>
      <c r="TRW2" s="306"/>
      <c r="TRX2" s="306"/>
      <c r="TRY2" s="306"/>
      <c r="TRZ2" s="306"/>
      <c r="TSA2" s="306"/>
      <c r="TSB2" s="306"/>
      <c r="TSC2" s="306"/>
      <c r="TSD2" s="306"/>
      <c r="TSE2" s="306"/>
      <c r="TSF2" s="306"/>
      <c r="TSG2" s="306"/>
      <c r="TSH2" s="306"/>
      <c r="TSI2" s="306"/>
      <c r="TSJ2" s="306"/>
      <c r="TSK2" s="306"/>
      <c r="TSL2" s="306"/>
      <c r="TSM2" s="306"/>
      <c r="TSN2" s="306"/>
      <c r="TSO2" s="306"/>
      <c r="TSP2" s="306"/>
      <c r="TSQ2" s="306"/>
      <c r="TSR2" s="306"/>
      <c r="TSS2" s="306"/>
      <c r="TST2" s="306"/>
      <c r="TSU2" s="306"/>
      <c r="TSV2" s="306"/>
      <c r="TSW2" s="306"/>
      <c r="TSX2" s="306"/>
      <c r="TSY2" s="306"/>
      <c r="TSZ2" s="306"/>
      <c r="TTA2" s="306"/>
      <c r="TTB2" s="306"/>
      <c r="TTC2" s="306"/>
      <c r="TTD2" s="306"/>
      <c r="TTE2" s="306"/>
      <c r="TTF2" s="306"/>
      <c r="TTG2" s="306"/>
      <c r="TTH2" s="306"/>
      <c r="TTI2" s="306"/>
      <c r="TTJ2" s="306"/>
      <c r="TTK2" s="306"/>
      <c r="TTL2" s="306"/>
      <c r="TTM2" s="306"/>
      <c r="TTN2" s="306"/>
      <c r="TTO2" s="306"/>
      <c r="TTP2" s="306"/>
      <c r="TTQ2" s="306"/>
      <c r="TTR2" s="306"/>
      <c r="TTS2" s="306"/>
      <c r="TTT2" s="306"/>
      <c r="TTU2" s="306"/>
      <c r="TTV2" s="306"/>
      <c r="TTW2" s="306"/>
      <c r="TTX2" s="306"/>
      <c r="TTY2" s="306"/>
      <c r="TTZ2" s="306"/>
      <c r="TUA2" s="306"/>
      <c r="TUB2" s="306"/>
      <c r="TUC2" s="306"/>
      <c r="TUD2" s="306"/>
      <c r="TUE2" s="306"/>
      <c r="TUF2" s="306"/>
      <c r="TUG2" s="306"/>
      <c r="TUH2" s="306"/>
      <c r="TUI2" s="306"/>
      <c r="TUJ2" s="306"/>
      <c r="TUK2" s="306"/>
      <c r="TUL2" s="306"/>
      <c r="TUM2" s="306"/>
      <c r="TUN2" s="306"/>
      <c r="TUO2" s="306"/>
      <c r="TUP2" s="306"/>
      <c r="TUQ2" s="306"/>
      <c r="TUR2" s="306"/>
      <c r="TUS2" s="306"/>
      <c r="TUT2" s="306"/>
      <c r="TUU2" s="306"/>
      <c r="TUV2" s="306"/>
      <c r="TUW2" s="306"/>
      <c r="TUX2" s="306"/>
      <c r="TUY2" s="306"/>
      <c r="TUZ2" s="306"/>
      <c r="TVA2" s="306"/>
      <c r="TVB2" s="306"/>
      <c r="TVC2" s="306"/>
      <c r="TVD2" s="306"/>
      <c r="TVE2" s="306"/>
      <c r="TVF2" s="306"/>
      <c r="TVG2" s="306"/>
      <c r="TVH2" s="306"/>
      <c r="TVI2" s="306"/>
      <c r="TVJ2" s="306"/>
      <c r="TVK2" s="306"/>
      <c r="TVL2" s="306"/>
      <c r="TVM2" s="306"/>
      <c r="TVN2" s="306"/>
      <c r="TVO2" s="306"/>
      <c r="TVP2" s="306"/>
      <c r="TVQ2" s="306"/>
      <c r="TVR2" s="306"/>
      <c r="TVS2" s="306"/>
      <c r="TVT2" s="306"/>
      <c r="TVU2" s="306"/>
      <c r="TVV2" s="306"/>
      <c r="TVW2" s="306"/>
      <c r="TVX2" s="306"/>
      <c r="TVY2" s="306"/>
      <c r="TVZ2" s="306"/>
      <c r="TWA2" s="306"/>
      <c r="TWB2" s="306"/>
      <c r="TWC2" s="306"/>
      <c r="TWD2" s="306"/>
      <c r="TWE2" s="306"/>
      <c r="TWF2" s="306"/>
      <c r="TWG2" s="306"/>
      <c r="TWH2" s="306"/>
      <c r="TWI2" s="306"/>
      <c r="TWJ2" s="306"/>
      <c r="TWK2" s="306"/>
      <c r="TWL2" s="306"/>
      <c r="TWM2" s="306"/>
      <c r="TWN2" s="306"/>
      <c r="TWO2" s="306"/>
      <c r="TWP2" s="306"/>
      <c r="TWQ2" s="306"/>
      <c r="TWR2" s="306"/>
      <c r="TWS2" s="306"/>
      <c r="TWT2" s="306"/>
      <c r="TWU2" s="306"/>
      <c r="TWV2" s="306"/>
      <c r="TWW2" s="306"/>
      <c r="TWX2" s="306"/>
      <c r="TWY2" s="306"/>
      <c r="TWZ2" s="306"/>
      <c r="TXA2" s="306"/>
      <c r="TXB2" s="306"/>
      <c r="TXC2" s="306"/>
      <c r="TXD2" s="306"/>
      <c r="TXE2" s="306"/>
      <c r="TXF2" s="306"/>
      <c r="TXG2" s="306"/>
      <c r="TXH2" s="306"/>
      <c r="TXI2" s="306"/>
      <c r="TXJ2" s="306"/>
      <c r="TXK2" s="306"/>
      <c r="TXL2" s="306"/>
      <c r="TXM2" s="306"/>
      <c r="TXN2" s="306"/>
      <c r="TXO2" s="306"/>
      <c r="TXP2" s="306"/>
      <c r="TXQ2" s="306"/>
      <c r="TXR2" s="306"/>
      <c r="TXS2" s="306"/>
      <c r="TXT2" s="306"/>
      <c r="TXU2" s="306"/>
      <c r="TXV2" s="306"/>
      <c r="TXW2" s="306"/>
      <c r="TXX2" s="306"/>
      <c r="TXY2" s="306"/>
      <c r="TXZ2" s="306"/>
      <c r="TYA2" s="306"/>
      <c r="TYB2" s="306"/>
      <c r="TYC2" s="306"/>
      <c r="TYD2" s="306"/>
      <c r="TYE2" s="306"/>
      <c r="TYF2" s="306"/>
      <c r="TYG2" s="306"/>
      <c r="TYH2" s="306"/>
      <c r="TYI2" s="306"/>
      <c r="TYJ2" s="306"/>
      <c r="TYK2" s="306"/>
      <c r="TYL2" s="306"/>
      <c r="TYM2" s="306"/>
      <c r="TYN2" s="306"/>
      <c r="TYO2" s="306"/>
      <c r="TYP2" s="306"/>
      <c r="TYQ2" s="306"/>
      <c r="TYR2" s="306"/>
      <c r="TYS2" s="306"/>
      <c r="TYT2" s="306"/>
      <c r="TYU2" s="306"/>
      <c r="TYV2" s="306"/>
      <c r="TYW2" s="306"/>
      <c r="TYX2" s="306"/>
      <c r="TYY2" s="306"/>
      <c r="TYZ2" s="306"/>
      <c r="TZA2" s="306"/>
      <c r="TZB2" s="306"/>
      <c r="TZC2" s="306"/>
      <c r="TZD2" s="306"/>
      <c r="TZE2" s="306"/>
      <c r="TZF2" s="306"/>
      <c r="TZG2" s="306"/>
      <c r="TZH2" s="306"/>
      <c r="TZI2" s="306"/>
      <c r="TZJ2" s="306"/>
      <c r="TZK2" s="306"/>
      <c r="TZL2" s="306"/>
      <c r="TZM2" s="306"/>
      <c r="TZN2" s="306"/>
      <c r="TZO2" s="306"/>
      <c r="TZP2" s="306"/>
      <c r="TZQ2" s="306"/>
      <c r="TZR2" s="306"/>
      <c r="TZS2" s="306"/>
      <c r="TZT2" s="306"/>
      <c r="TZU2" s="306"/>
      <c r="TZV2" s="306"/>
      <c r="TZW2" s="306"/>
      <c r="TZX2" s="306"/>
      <c r="TZY2" s="306"/>
      <c r="TZZ2" s="306"/>
      <c r="UAA2" s="306"/>
      <c r="UAB2" s="306"/>
      <c r="UAC2" s="306"/>
      <c r="UAD2" s="306"/>
      <c r="UAE2" s="306"/>
      <c r="UAF2" s="306"/>
      <c r="UAG2" s="306"/>
      <c r="UAH2" s="306"/>
      <c r="UAI2" s="306"/>
      <c r="UAJ2" s="306"/>
      <c r="UAK2" s="306"/>
      <c r="UAL2" s="306"/>
      <c r="UAM2" s="306"/>
      <c r="UAN2" s="306"/>
      <c r="UAO2" s="306"/>
      <c r="UAP2" s="306"/>
      <c r="UAQ2" s="306"/>
      <c r="UAR2" s="306"/>
      <c r="UAS2" s="306"/>
      <c r="UAT2" s="306"/>
      <c r="UAU2" s="306"/>
      <c r="UAV2" s="306"/>
      <c r="UAW2" s="306"/>
      <c r="UAX2" s="306"/>
      <c r="UAY2" s="306"/>
      <c r="UAZ2" s="306"/>
      <c r="UBA2" s="306"/>
      <c r="UBB2" s="306"/>
      <c r="UBC2" s="306"/>
      <c r="UBD2" s="306"/>
      <c r="UBE2" s="306"/>
      <c r="UBF2" s="306"/>
      <c r="UBG2" s="306"/>
      <c r="UBH2" s="306"/>
      <c r="UBI2" s="306"/>
      <c r="UBJ2" s="306"/>
      <c r="UBK2" s="306"/>
      <c r="UBL2" s="306"/>
      <c r="UBM2" s="306"/>
      <c r="UBN2" s="306"/>
      <c r="UBO2" s="306"/>
      <c r="UBP2" s="306"/>
      <c r="UBQ2" s="306"/>
      <c r="UBR2" s="306"/>
      <c r="UBS2" s="306"/>
      <c r="UBT2" s="306"/>
      <c r="UBU2" s="306"/>
      <c r="UBV2" s="306"/>
      <c r="UBW2" s="306"/>
      <c r="UBX2" s="306"/>
      <c r="UBY2" s="306"/>
      <c r="UBZ2" s="306"/>
      <c r="UCA2" s="306"/>
      <c r="UCB2" s="306"/>
      <c r="UCC2" s="306"/>
      <c r="UCD2" s="306"/>
      <c r="UCE2" s="306"/>
      <c r="UCF2" s="306"/>
      <c r="UCG2" s="306"/>
      <c r="UCH2" s="306"/>
      <c r="UCI2" s="306"/>
      <c r="UCJ2" s="306"/>
      <c r="UCK2" s="306"/>
      <c r="UCL2" s="306"/>
      <c r="UCM2" s="306"/>
      <c r="UCN2" s="306"/>
      <c r="UCO2" s="306"/>
      <c r="UCP2" s="306"/>
      <c r="UCQ2" s="306"/>
      <c r="UCR2" s="306"/>
      <c r="UCS2" s="306"/>
      <c r="UCT2" s="306"/>
      <c r="UCU2" s="306"/>
      <c r="UCV2" s="306"/>
      <c r="UCW2" s="306"/>
      <c r="UCX2" s="306"/>
      <c r="UCY2" s="306"/>
      <c r="UCZ2" s="306"/>
      <c r="UDA2" s="306"/>
      <c r="UDB2" s="306"/>
      <c r="UDC2" s="306"/>
      <c r="UDD2" s="306"/>
      <c r="UDE2" s="306"/>
      <c r="UDF2" s="306"/>
      <c r="UDG2" s="306"/>
      <c r="UDH2" s="306"/>
      <c r="UDI2" s="306"/>
      <c r="UDJ2" s="306"/>
      <c r="UDK2" s="306"/>
      <c r="UDL2" s="306"/>
      <c r="UDM2" s="306"/>
      <c r="UDN2" s="306"/>
      <c r="UDO2" s="306"/>
      <c r="UDP2" s="306"/>
      <c r="UDQ2" s="306"/>
      <c r="UDR2" s="306"/>
      <c r="UDS2" s="306"/>
      <c r="UDT2" s="306"/>
      <c r="UDU2" s="306"/>
      <c r="UDV2" s="306"/>
      <c r="UDW2" s="306"/>
      <c r="UDX2" s="306"/>
      <c r="UDY2" s="306"/>
      <c r="UDZ2" s="306"/>
      <c r="UEA2" s="306"/>
      <c r="UEB2" s="306"/>
      <c r="UEC2" s="306"/>
      <c r="UED2" s="306"/>
      <c r="UEE2" s="306"/>
      <c r="UEF2" s="306"/>
      <c r="UEG2" s="306"/>
      <c r="UEH2" s="306"/>
      <c r="UEI2" s="306"/>
      <c r="UEJ2" s="306"/>
      <c r="UEK2" s="306"/>
      <c r="UEL2" s="306"/>
      <c r="UEM2" s="306"/>
      <c r="UEN2" s="306"/>
      <c r="UEO2" s="306"/>
      <c r="UEP2" s="306"/>
      <c r="UEQ2" s="306"/>
      <c r="UER2" s="306"/>
      <c r="UES2" s="306"/>
      <c r="UET2" s="306"/>
      <c r="UEU2" s="306"/>
      <c r="UEV2" s="306"/>
      <c r="UEW2" s="306"/>
      <c r="UEX2" s="306"/>
      <c r="UEY2" s="306"/>
      <c r="UEZ2" s="306"/>
      <c r="UFA2" s="306"/>
      <c r="UFB2" s="306"/>
      <c r="UFC2" s="306"/>
      <c r="UFD2" s="306"/>
      <c r="UFE2" s="306"/>
      <c r="UFF2" s="306"/>
      <c r="UFG2" s="306"/>
      <c r="UFH2" s="306"/>
      <c r="UFI2" s="306"/>
      <c r="UFJ2" s="306"/>
      <c r="UFK2" s="306"/>
      <c r="UFL2" s="306"/>
      <c r="UFM2" s="306"/>
      <c r="UFN2" s="306"/>
      <c r="UFO2" s="306"/>
      <c r="UFP2" s="306"/>
      <c r="UFQ2" s="306"/>
      <c r="UFR2" s="306"/>
      <c r="UFS2" s="306"/>
      <c r="UFT2" s="306"/>
      <c r="UFU2" s="306"/>
      <c r="UFV2" s="306"/>
      <c r="UFW2" s="306"/>
      <c r="UFX2" s="306"/>
      <c r="UFY2" s="306"/>
      <c r="UFZ2" s="306"/>
      <c r="UGA2" s="306"/>
      <c r="UGB2" s="306"/>
      <c r="UGC2" s="306"/>
      <c r="UGD2" s="306"/>
      <c r="UGE2" s="306"/>
      <c r="UGF2" s="306"/>
      <c r="UGG2" s="306"/>
      <c r="UGH2" s="306"/>
      <c r="UGI2" s="306"/>
      <c r="UGJ2" s="306"/>
      <c r="UGK2" s="306"/>
      <c r="UGL2" s="306"/>
      <c r="UGM2" s="306"/>
      <c r="UGN2" s="306"/>
      <c r="UGO2" s="306"/>
      <c r="UGP2" s="306"/>
      <c r="UGQ2" s="306"/>
      <c r="UGR2" s="306"/>
      <c r="UGS2" s="306"/>
      <c r="UGT2" s="306"/>
      <c r="UGU2" s="306"/>
      <c r="UGV2" s="306"/>
      <c r="UGW2" s="306"/>
      <c r="UGX2" s="306"/>
      <c r="UGY2" s="306"/>
      <c r="UGZ2" s="306"/>
      <c r="UHA2" s="306"/>
      <c r="UHB2" s="306"/>
      <c r="UHC2" s="306"/>
      <c r="UHD2" s="306"/>
      <c r="UHE2" s="306"/>
      <c r="UHF2" s="306"/>
      <c r="UHG2" s="306"/>
      <c r="UHH2" s="306"/>
      <c r="UHI2" s="306"/>
      <c r="UHJ2" s="306"/>
      <c r="UHK2" s="306"/>
      <c r="UHL2" s="306"/>
      <c r="UHM2" s="306"/>
      <c r="UHN2" s="306"/>
      <c r="UHO2" s="306"/>
      <c r="UHP2" s="306"/>
      <c r="UHQ2" s="306"/>
      <c r="UHR2" s="306"/>
      <c r="UHS2" s="306"/>
      <c r="UHT2" s="306"/>
      <c r="UHU2" s="306"/>
      <c r="UHV2" s="306"/>
      <c r="UHW2" s="306"/>
      <c r="UHX2" s="306"/>
      <c r="UHY2" s="306"/>
      <c r="UHZ2" s="306"/>
      <c r="UIA2" s="306"/>
      <c r="UIB2" s="306"/>
      <c r="UIC2" s="306"/>
      <c r="UID2" s="306"/>
      <c r="UIE2" s="306"/>
      <c r="UIF2" s="306"/>
      <c r="UIG2" s="306"/>
      <c r="UIH2" s="306"/>
      <c r="UII2" s="306"/>
      <c r="UIJ2" s="306"/>
      <c r="UIK2" s="306"/>
      <c r="UIL2" s="306"/>
      <c r="UIM2" s="306"/>
      <c r="UIN2" s="306"/>
      <c r="UIO2" s="306"/>
      <c r="UIP2" s="306"/>
      <c r="UIQ2" s="306"/>
      <c r="UIR2" s="306"/>
      <c r="UIS2" s="306"/>
      <c r="UIT2" s="306"/>
      <c r="UIU2" s="306"/>
      <c r="UIV2" s="306"/>
      <c r="UIW2" s="306"/>
      <c r="UIX2" s="306"/>
      <c r="UIY2" s="306"/>
      <c r="UIZ2" s="306"/>
      <c r="UJA2" s="306"/>
      <c r="UJB2" s="306"/>
      <c r="UJC2" s="306"/>
      <c r="UJD2" s="306"/>
      <c r="UJE2" s="306"/>
      <c r="UJF2" s="306"/>
      <c r="UJG2" s="306"/>
      <c r="UJH2" s="306"/>
      <c r="UJI2" s="306"/>
      <c r="UJJ2" s="306"/>
      <c r="UJK2" s="306"/>
      <c r="UJL2" s="306"/>
      <c r="UJM2" s="306"/>
      <c r="UJN2" s="306"/>
      <c r="UJO2" s="306"/>
      <c r="UJP2" s="306"/>
      <c r="UJQ2" s="306"/>
      <c r="UJR2" s="306"/>
      <c r="UJS2" s="306"/>
      <c r="UJT2" s="306"/>
      <c r="UJU2" s="306"/>
      <c r="UJV2" s="306"/>
      <c r="UJW2" s="306"/>
      <c r="UJX2" s="306"/>
      <c r="UJY2" s="306"/>
      <c r="UJZ2" s="306"/>
      <c r="UKA2" s="306"/>
      <c r="UKB2" s="306"/>
      <c r="UKC2" s="306"/>
      <c r="UKD2" s="306"/>
      <c r="UKE2" s="306"/>
      <c r="UKF2" s="306"/>
      <c r="UKG2" s="306"/>
      <c r="UKH2" s="306"/>
      <c r="UKI2" s="306"/>
      <c r="UKJ2" s="306"/>
      <c r="UKK2" s="306"/>
      <c r="UKL2" s="306"/>
      <c r="UKM2" s="306"/>
      <c r="UKN2" s="306"/>
      <c r="UKO2" s="306"/>
      <c r="UKP2" s="306"/>
      <c r="UKQ2" s="306"/>
      <c r="UKR2" s="306"/>
      <c r="UKS2" s="306"/>
      <c r="UKT2" s="306"/>
      <c r="UKU2" s="306"/>
      <c r="UKV2" s="306"/>
      <c r="UKW2" s="306"/>
      <c r="UKX2" s="306"/>
      <c r="UKY2" s="306"/>
      <c r="UKZ2" s="306"/>
      <c r="ULA2" s="306"/>
      <c r="ULB2" s="306"/>
      <c r="ULC2" s="306"/>
      <c r="ULD2" s="306"/>
      <c r="ULE2" s="306"/>
      <c r="ULF2" s="306"/>
      <c r="ULG2" s="306"/>
      <c r="ULH2" s="306"/>
      <c r="ULI2" s="306"/>
      <c r="ULJ2" s="306"/>
      <c r="ULK2" s="306"/>
      <c r="ULL2" s="306"/>
      <c r="ULM2" s="306"/>
      <c r="ULN2" s="306"/>
      <c r="ULO2" s="306"/>
      <c r="ULP2" s="306"/>
      <c r="ULQ2" s="306"/>
      <c r="ULR2" s="306"/>
      <c r="ULS2" s="306"/>
      <c r="ULT2" s="306"/>
      <c r="ULU2" s="306"/>
      <c r="ULV2" s="306"/>
      <c r="ULW2" s="306"/>
      <c r="ULX2" s="306"/>
      <c r="ULY2" s="306"/>
      <c r="ULZ2" s="306"/>
      <c r="UMA2" s="306"/>
      <c r="UMB2" s="306"/>
      <c r="UMC2" s="306"/>
      <c r="UMD2" s="306"/>
      <c r="UME2" s="306"/>
      <c r="UMF2" s="306"/>
      <c r="UMG2" s="306"/>
      <c r="UMH2" s="306"/>
      <c r="UMI2" s="306"/>
      <c r="UMJ2" s="306"/>
      <c r="UMK2" s="306"/>
      <c r="UML2" s="306"/>
      <c r="UMM2" s="306"/>
      <c r="UMN2" s="306"/>
      <c r="UMO2" s="306"/>
      <c r="UMP2" s="306"/>
      <c r="UMQ2" s="306"/>
      <c r="UMR2" s="306"/>
      <c r="UMS2" s="306"/>
      <c r="UMT2" s="306"/>
      <c r="UMU2" s="306"/>
      <c r="UMV2" s="306"/>
      <c r="UMW2" s="306"/>
      <c r="UMX2" s="306"/>
      <c r="UMY2" s="306"/>
      <c r="UMZ2" s="306"/>
      <c r="UNA2" s="306"/>
      <c r="UNB2" s="306"/>
      <c r="UNC2" s="306"/>
      <c r="UND2" s="306"/>
      <c r="UNE2" s="306"/>
      <c r="UNF2" s="306"/>
      <c r="UNG2" s="306"/>
      <c r="UNH2" s="306"/>
      <c r="UNI2" s="306"/>
      <c r="UNJ2" s="306"/>
      <c r="UNK2" s="306"/>
      <c r="UNL2" s="306"/>
      <c r="UNM2" s="306"/>
      <c r="UNN2" s="306"/>
      <c r="UNO2" s="306"/>
      <c r="UNP2" s="306"/>
      <c r="UNQ2" s="306"/>
      <c r="UNR2" s="306"/>
      <c r="UNS2" s="306"/>
      <c r="UNT2" s="306"/>
      <c r="UNU2" s="306"/>
      <c r="UNV2" s="306"/>
      <c r="UNW2" s="306"/>
      <c r="UNX2" s="306"/>
      <c r="UNY2" s="306"/>
      <c r="UNZ2" s="306"/>
      <c r="UOA2" s="306"/>
      <c r="UOB2" s="306"/>
      <c r="UOC2" s="306"/>
      <c r="UOD2" s="306"/>
      <c r="UOE2" s="306"/>
      <c r="UOF2" s="306"/>
      <c r="UOG2" s="306"/>
      <c r="UOH2" s="306"/>
      <c r="UOI2" s="306"/>
      <c r="UOJ2" s="306"/>
      <c r="UOK2" s="306"/>
      <c r="UOL2" s="306"/>
      <c r="UOM2" s="306"/>
      <c r="UON2" s="306"/>
      <c r="UOO2" s="306"/>
      <c r="UOP2" s="306"/>
      <c r="UOQ2" s="306"/>
      <c r="UOR2" s="306"/>
      <c r="UOS2" s="306"/>
      <c r="UOT2" s="306"/>
      <c r="UOU2" s="306"/>
      <c r="UOV2" s="306"/>
      <c r="UOW2" s="306"/>
      <c r="UOX2" s="306"/>
      <c r="UOY2" s="306"/>
      <c r="UOZ2" s="306"/>
      <c r="UPA2" s="306"/>
      <c r="UPB2" s="306"/>
      <c r="UPC2" s="306"/>
      <c r="UPD2" s="306"/>
      <c r="UPE2" s="306"/>
      <c r="UPF2" s="306"/>
      <c r="UPG2" s="306"/>
      <c r="UPH2" s="306"/>
      <c r="UPI2" s="306"/>
      <c r="UPJ2" s="306"/>
      <c r="UPK2" s="306"/>
      <c r="UPL2" s="306"/>
      <c r="UPM2" s="306"/>
      <c r="UPN2" s="306"/>
      <c r="UPO2" s="306"/>
      <c r="UPP2" s="306"/>
      <c r="UPQ2" s="306"/>
      <c r="UPR2" s="306"/>
      <c r="UPS2" s="306"/>
      <c r="UPT2" s="306"/>
      <c r="UPU2" s="306"/>
      <c r="UPV2" s="306"/>
      <c r="UPW2" s="306"/>
      <c r="UPX2" s="306"/>
      <c r="UPY2" s="306"/>
      <c r="UPZ2" s="306"/>
      <c r="UQA2" s="306"/>
      <c r="UQB2" s="306"/>
      <c r="UQC2" s="306"/>
      <c r="UQD2" s="306"/>
      <c r="UQE2" s="306"/>
      <c r="UQF2" s="306"/>
      <c r="UQG2" s="306"/>
      <c r="UQH2" s="306"/>
      <c r="UQI2" s="306"/>
      <c r="UQJ2" s="306"/>
      <c r="UQK2" s="306"/>
      <c r="UQL2" s="306"/>
      <c r="UQM2" s="306"/>
      <c r="UQN2" s="306"/>
      <c r="UQO2" s="306"/>
      <c r="UQP2" s="306"/>
      <c r="UQQ2" s="306"/>
      <c r="UQR2" s="306"/>
      <c r="UQS2" s="306"/>
      <c r="UQT2" s="306"/>
      <c r="UQU2" s="306"/>
      <c r="UQV2" s="306"/>
      <c r="UQW2" s="306"/>
      <c r="UQX2" s="306"/>
      <c r="UQY2" s="306"/>
      <c r="UQZ2" s="306"/>
      <c r="URA2" s="306"/>
      <c r="URB2" s="306"/>
      <c r="URC2" s="306"/>
      <c r="URD2" s="306"/>
      <c r="URE2" s="306"/>
      <c r="URF2" s="306"/>
      <c r="URG2" s="306"/>
      <c r="URH2" s="306"/>
      <c r="URI2" s="306"/>
      <c r="URJ2" s="306"/>
      <c r="URK2" s="306"/>
      <c r="URL2" s="306"/>
      <c r="URM2" s="306"/>
      <c r="URN2" s="306"/>
      <c r="URO2" s="306"/>
      <c r="URP2" s="306"/>
      <c r="URQ2" s="306"/>
      <c r="URR2" s="306"/>
      <c r="URS2" s="306"/>
      <c r="URT2" s="306"/>
      <c r="URU2" s="306"/>
      <c r="URV2" s="306"/>
      <c r="URW2" s="306"/>
      <c r="URX2" s="306"/>
      <c r="URY2" s="306"/>
      <c r="URZ2" s="306"/>
      <c r="USA2" s="306"/>
      <c r="USB2" s="306"/>
      <c r="USC2" s="306"/>
      <c r="USD2" s="306"/>
      <c r="USE2" s="306"/>
      <c r="USF2" s="306"/>
      <c r="USG2" s="306"/>
      <c r="USH2" s="306"/>
      <c r="USI2" s="306"/>
      <c r="USJ2" s="306"/>
      <c r="USK2" s="306"/>
      <c r="USL2" s="306"/>
      <c r="USM2" s="306"/>
      <c r="USN2" s="306"/>
      <c r="USO2" s="306"/>
      <c r="USP2" s="306"/>
      <c r="USQ2" s="306"/>
      <c r="USR2" s="306"/>
      <c r="USS2" s="306"/>
      <c r="UST2" s="306"/>
      <c r="USU2" s="306"/>
      <c r="USV2" s="306"/>
      <c r="USW2" s="306"/>
      <c r="USX2" s="306"/>
      <c r="USY2" s="306"/>
      <c r="USZ2" s="306"/>
      <c r="UTA2" s="306"/>
      <c r="UTB2" s="306"/>
      <c r="UTC2" s="306"/>
      <c r="UTD2" s="306"/>
      <c r="UTE2" s="306"/>
      <c r="UTF2" s="306"/>
      <c r="UTG2" s="306"/>
      <c r="UTH2" s="306"/>
      <c r="UTI2" s="306"/>
      <c r="UTJ2" s="306"/>
      <c r="UTK2" s="306"/>
      <c r="UTL2" s="306"/>
      <c r="UTM2" s="306"/>
      <c r="UTN2" s="306"/>
      <c r="UTO2" s="306"/>
      <c r="UTP2" s="306"/>
      <c r="UTQ2" s="306"/>
      <c r="UTR2" s="306"/>
      <c r="UTS2" s="306"/>
      <c r="UTT2" s="306"/>
      <c r="UTU2" s="306"/>
      <c r="UTV2" s="306"/>
      <c r="UTW2" s="306"/>
      <c r="UTX2" s="306"/>
      <c r="UTY2" s="306"/>
      <c r="UTZ2" s="306"/>
      <c r="UUA2" s="306"/>
      <c r="UUB2" s="306"/>
      <c r="UUC2" s="306"/>
      <c r="UUD2" s="306"/>
      <c r="UUE2" s="306"/>
      <c r="UUF2" s="306"/>
      <c r="UUG2" s="306"/>
      <c r="UUH2" s="306"/>
      <c r="UUI2" s="306"/>
      <c r="UUJ2" s="306"/>
      <c r="UUK2" s="306"/>
      <c r="UUL2" s="306"/>
      <c r="UUM2" s="306"/>
      <c r="UUN2" s="306"/>
      <c r="UUO2" s="306"/>
      <c r="UUP2" s="306"/>
      <c r="UUQ2" s="306"/>
      <c r="UUR2" s="306"/>
      <c r="UUS2" s="306"/>
      <c r="UUT2" s="306"/>
      <c r="UUU2" s="306"/>
      <c r="UUV2" s="306"/>
      <c r="UUW2" s="306"/>
      <c r="UUX2" s="306"/>
      <c r="UUY2" s="306"/>
      <c r="UUZ2" s="306"/>
      <c r="UVA2" s="306"/>
      <c r="UVB2" s="306"/>
      <c r="UVC2" s="306"/>
      <c r="UVD2" s="306"/>
      <c r="UVE2" s="306"/>
      <c r="UVF2" s="306"/>
      <c r="UVG2" s="306"/>
      <c r="UVH2" s="306"/>
      <c r="UVI2" s="306"/>
      <c r="UVJ2" s="306"/>
      <c r="UVK2" s="306"/>
      <c r="UVL2" s="306"/>
      <c r="UVM2" s="306"/>
      <c r="UVN2" s="306"/>
      <c r="UVO2" s="306"/>
      <c r="UVP2" s="306"/>
      <c r="UVQ2" s="306"/>
      <c r="UVR2" s="306"/>
      <c r="UVS2" s="306"/>
      <c r="UVT2" s="306"/>
      <c r="UVU2" s="306"/>
      <c r="UVV2" s="306"/>
      <c r="UVW2" s="306"/>
      <c r="UVX2" s="306"/>
      <c r="UVY2" s="306"/>
      <c r="UVZ2" s="306"/>
      <c r="UWA2" s="306"/>
      <c r="UWB2" s="306"/>
      <c r="UWC2" s="306"/>
      <c r="UWD2" s="306"/>
      <c r="UWE2" s="306"/>
      <c r="UWF2" s="306"/>
      <c r="UWG2" s="306"/>
      <c r="UWH2" s="306"/>
      <c r="UWI2" s="306"/>
      <c r="UWJ2" s="306"/>
      <c r="UWK2" s="306"/>
      <c r="UWL2" s="306"/>
      <c r="UWM2" s="306"/>
      <c r="UWN2" s="306"/>
      <c r="UWO2" s="306"/>
      <c r="UWP2" s="306"/>
      <c r="UWQ2" s="306"/>
      <c r="UWR2" s="306"/>
      <c r="UWS2" s="306"/>
      <c r="UWT2" s="306"/>
      <c r="UWU2" s="306"/>
      <c r="UWV2" s="306"/>
      <c r="UWW2" s="306"/>
      <c r="UWX2" s="306"/>
      <c r="UWY2" s="306"/>
      <c r="UWZ2" s="306"/>
      <c r="UXA2" s="306"/>
      <c r="UXB2" s="306"/>
      <c r="UXC2" s="306"/>
      <c r="UXD2" s="306"/>
      <c r="UXE2" s="306"/>
      <c r="UXF2" s="306"/>
      <c r="UXG2" s="306"/>
      <c r="UXH2" s="306"/>
      <c r="UXI2" s="306"/>
      <c r="UXJ2" s="306"/>
      <c r="UXK2" s="306"/>
      <c r="UXL2" s="306"/>
      <c r="UXM2" s="306"/>
      <c r="UXN2" s="306"/>
      <c r="UXO2" s="306"/>
      <c r="UXP2" s="306"/>
      <c r="UXQ2" s="306"/>
      <c r="UXR2" s="306"/>
      <c r="UXS2" s="306"/>
      <c r="UXT2" s="306"/>
      <c r="UXU2" s="306"/>
      <c r="UXV2" s="306"/>
      <c r="UXW2" s="306"/>
      <c r="UXX2" s="306"/>
      <c r="UXY2" s="306"/>
      <c r="UXZ2" s="306"/>
      <c r="UYA2" s="306"/>
      <c r="UYB2" s="306"/>
      <c r="UYC2" s="306"/>
      <c r="UYD2" s="306"/>
      <c r="UYE2" s="306"/>
      <c r="UYF2" s="306"/>
      <c r="UYG2" s="306"/>
      <c r="UYH2" s="306"/>
      <c r="UYI2" s="306"/>
      <c r="UYJ2" s="306"/>
      <c r="UYK2" s="306"/>
      <c r="UYL2" s="306"/>
      <c r="UYM2" s="306"/>
      <c r="UYN2" s="306"/>
      <c r="UYO2" s="306"/>
      <c r="UYP2" s="306"/>
      <c r="UYQ2" s="306"/>
      <c r="UYR2" s="306"/>
      <c r="UYS2" s="306"/>
      <c r="UYT2" s="306"/>
      <c r="UYU2" s="306"/>
      <c r="UYV2" s="306"/>
      <c r="UYW2" s="306"/>
      <c r="UYX2" s="306"/>
      <c r="UYY2" s="306"/>
      <c r="UYZ2" s="306"/>
      <c r="UZA2" s="306"/>
      <c r="UZB2" s="306"/>
      <c r="UZC2" s="306"/>
      <c r="UZD2" s="306"/>
      <c r="UZE2" s="306"/>
      <c r="UZF2" s="306"/>
      <c r="UZG2" s="306"/>
      <c r="UZH2" s="306"/>
      <c r="UZI2" s="306"/>
      <c r="UZJ2" s="306"/>
      <c r="UZK2" s="306"/>
      <c r="UZL2" s="306"/>
      <c r="UZM2" s="306"/>
      <c r="UZN2" s="306"/>
      <c r="UZO2" s="306"/>
      <c r="UZP2" s="306"/>
      <c r="UZQ2" s="306"/>
      <c r="UZR2" s="306"/>
      <c r="UZS2" s="306"/>
      <c r="UZT2" s="306"/>
      <c r="UZU2" s="306"/>
      <c r="UZV2" s="306"/>
      <c r="UZW2" s="306"/>
      <c r="UZX2" s="306"/>
      <c r="UZY2" s="306"/>
      <c r="UZZ2" s="306"/>
      <c r="VAA2" s="306"/>
      <c r="VAB2" s="306"/>
      <c r="VAC2" s="306"/>
      <c r="VAD2" s="306"/>
      <c r="VAE2" s="306"/>
      <c r="VAF2" s="306"/>
      <c r="VAG2" s="306"/>
      <c r="VAH2" s="306"/>
      <c r="VAI2" s="306"/>
      <c r="VAJ2" s="306"/>
      <c r="VAK2" s="306"/>
      <c r="VAL2" s="306"/>
      <c r="VAM2" s="306"/>
      <c r="VAN2" s="306"/>
      <c r="VAO2" s="306"/>
      <c r="VAP2" s="306"/>
      <c r="VAQ2" s="306"/>
      <c r="VAR2" s="306"/>
      <c r="VAS2" s="306"/>
      <c r="VAT2" s="306"/>
      <c r="VAU2" s="306"/>
      <c r="VAV2" s="306"/>
      <c r="VAW2" s="306"/>
      <c r="VAX2" s="306"/>
      <c r="VAY2" s="306"/>
      <c r="VAZ2" s="306"/>
      <c r="VBA2" s="306"/>
      <c r="VBB2" s="306"/>
      <c r="VBC2" s="306"/>
      <c r="VBD2" s="306"/>
      <c r="VBE2" s="306"/>
      <c r="VBF2" s="306"/>
      <c r="VBG2" s="306"/>
      <c r="VBH2" s="306"/>
      <c r="VBI2" s="306"/>
      <c r="VBJ2" s="306"/>
      <c r="VBK2" s="306"/>
      <c r="VBL2" s="306"/>
      <c r="VBM2" s="306"/>
      <c r="VBN2" s="306"/>
      <c r="VBO2" s="306"/>
      <c r="VBP2" s="306"/>
      <c r="VBQ2" s="306"/>
      <c r="VBR2" s="306"/>
      <c r="VBS2" s="306"/>
      <c r="VBT2" s="306"/>
      <c r="VBU2" s="306"/>
      <c r="VBV2" s="306"/>
      <c r="VBW2" s="306"/>
      <c r="VBX2" s="306"/>
      <c r="VBY2" s="306"/>
      <c r="VBZ2" s="306"/>
      <c r="VCA2" s="306"/>
      <c r="VCB2" s="306"/>
      <c r="VCC2" s="306"/>
      <c r="VCD2" s="306"/>
      <c r="VCE2" s="306"/>
      <c r="VCF2" s="306"/>
      <c r="VCG2" s="306"/>
      <c r="VCH2" s="306"/>
      <c r="VCI2" s="306"/>
      <c r="VCJ2" s="306"/>
      <c r="VCK2" s="306"/>
      <c r="VCL2" s="306"/>
      <c r="VCM2" s="306"/>
      <c r="VCN2" s="306"/>
      <c r="VCO2" s="306"/>
      <c r="VCP2" s="306"/>
      <c r="VCQ2" s="306"/>
      <c r="VCR2" s="306"/>
      <c r="VCS2" s="306"/>
      <c r="VCT2" s="306"/>
      <c r="VCU2" s="306"/>
      <c r="VCV2" s="306"/>
      <c r="VCW2" s="306"/>
      <c r="VCX2" s="306"/>
      <c r="VCY2" s="306"/>
      <c r="VCZ2" s="306"/>
      <c r="VDA2" s="306"/>
      <c r="VDB2" s="306"/>
      <c r="VDC2" s="306"/>
      <c r="VDD2" s="306"/>
      <c r="VDE2" s="306"/>
      <c r="VDF2" s="306"/>
      <c r="VDG2" s="306"/>
      <c r="VDH2" s="306"/>
      <c r="VDI2" s="306"/>
      <c r="VDJ2" s="306"/>
      <c r="VDK2" s="306"/>
      <c r="VDL2" s="306"/>
      <c r="VDM2" s="306"/>
      <c r="VDN2" s="306"/>
      <c r="VDO2" s="306"/>
      <c r="VDP2" s="306"/>
      <c r="VDQ2" s="306"/>
      <c r="VDR2" s="306"/>
      <c r="VDS2" s="306"/>
      <c r="VDT2" s="306"/>
      <c r="VDU2" s="306"/>
      <c r="VDV2" s="306"/>
      <c r="VDW2" s="306"/>
      <c r="VDX2" s="306"/>
      <c r="VDY2" s="306"/>
      <c r="VDZ2" s="306"/>
      <c r="VEA2" s="306"/>
      <c r="VEB2" s="306"/>
      <c r="VEC2" s="306"/>
      <c r="VED2" s="306"/>
      <c r="VEE2" s="306"/>
      <c r="VEF2" s="306"/>
      <c r="VEG2" s="306"/>
      <c r="VEH2" s="306"/>
      <c r="VEI2" s="306"/>
      <c r="VEJ2" s="306"/>
      <c r="VEK2" s="306"/>
      <c r="VEL2" s="306"/>
      <c r="VEM2" s="306"/>
      <c r="VEN2" s="306"/>
      <c r="VEO2" s="306"/>
      <c r="VEP2" s="306"/>
      <c r="VEQ2" s="306"/>
      <c r="VER2" s="306"/>
      <c r="VES2" s="306"/>
      <c r="VET2" s="306"/>
      <c r="VEU2" s="306"/>
      <c r="VEV2" s="306"/>
      <c r="VEW2" s="306"/>
      <c r="VEX2" s="306"/>
      <c r="VEY2" s="306"/>
      <c r="VEZ2" s="306"/>
      <c r="VFA2" s="306"/>
      <c r="VFB2" s="306"/>
      <c r="VFC2" s="306"/>
      <c r="VFD2" s="306"/>
      <c r="VFE2" s="306"/>
      <c r="VFF2" s="306"/>
      <c r="VFG2" s="306"/>
      <c r="VFH2" s="306"/>
      <c r="VFI2" s="306"/>
      <c r="VFJ2" s="306"/>
      <c r="VFK2" s="306"/>
      <c r="VFL2" s="306"/>
      <c r="VFM2" s="306"/>
      <c r="VFN2" s="306"/>
      <c r="VFO2" s="306"/>
      <c r="VFP2" s="306"/>
      <c r="VFQ2" s="306"/>
      <c r="VFR2" s="306"/>
      <c r="VFS2" s="306"/>
      <c r="VFT2" s="306"/>
      <c r="VFU2" s="306"/>
      <c r="VFV2" s="306"/>
      <c r="VFW2" s="306"/>
      <c r="VFX2" s="306"/>
      <c r="VFY2" s="306"/>
      <c r="VFZ2" s="306"/>
      <c r="VGA2" s="306"/>
      <c r="VGB2" s="306"/>
      <c r="VGC2" s="306"/>
      <c r="VGD2" s="306"/>
      <c r="VGE2" s="306"/>
      <c r="VGF2" s="306"/>
      <c r="VGG2" s="306"/>
      <c r="VGH2" s="306"/>
      <c r="VGI2" s="306"/>
      <c r="VGJ2" s="306"/>
      <c r="VGK2" s="306"/>
      <c r="VGL2" s="306"/>
      <c r="VGM2" s="306"/>
      <c r="VGN2" s="306"/>
      <c r="VGO2" s="306"/>
      <c r="VGP2" s="306"/>
      <c r="VGQ2" s="306"/>
      <c r="VGR2" s="306"/>
      <c r="VGS2" s="306"/>
      <c r="VGT2" s="306"/>
      <c r="VGU2" s="306"/>
      <c r="VGV2" s="306"/>
      <c r="VGW2" s="306"/>
      <c r="VGX2" s="306"/>
      <c r="VGY2" s="306"/>
      <c r="VGZ2" s="306"/>
      <c r="VHA2" s="306"/>
      <c r="VHB2" s="306"/>
      <c r="VHC2" s="306"/>
      <c r="VHD2" s="306"/>
      <c r="VHE2" s="306"/>
      <c r="VHF2" s="306"/>
      <c r="VHG2" s="306"/>
      <c r="VHH2" s="306"/>
      <c r="VHI2" s="306"/>
      <c r="VHJ2" s="306"/>
      <c r="VHK2" s="306"/>
      <c r="VHL2" s="306"/>
      <c r="VHM2" s="306"/>
      <c r="VHN2" s="306"/>
      <c r="VHO2" s="306"/>
      <c r="VHP2" s="306"/>
      <c r="VHQ2" s="306"/>
      <c r="VHR2" s="306"/>
      <c r="VHS2" s="306"/>
      <c r="VHT2" s="306"/>
      <c r="VHU2" s="306"/>
      <c r="VHV2" s="306"/>
      <c r="VHW2" s="306"/>
      <c r="VHX2" s="306"/>
      <c r="VHY2" s="306"/>
      <c r="VHZ2" s="306"/>
      <c r="VIA2" s="306"/>
      <c r="VIB2" s="306"/>
      <c r="VIC2" s="306"/>
      <c r="VID2" s="306"/>
      <c r="VIE2" s="306"/>
      <c r="VIF2" s="306"/>
      <c r="VIG2" s="306"/>
      <c r="VIH2" s="306"/>
      <c r="VII2" s="306"/>
      <c r="VIJ2" s="306"/>
      <c r="VIK2" s="306"/>
      <c r="VIL2" s="306"/>
      <c r="VIM2" s="306"/>
      <c r="VIN2" s="306"/>
      <c r="VIO2" s="306"/>
      <c r="VIP2" s="306"/>
      <c r="VIQ2" s="306"/>
      <c r="VIR2" s="306"/>
      <c r="VIS2" s="306"/>
      <c r="VIT2" s="306"/>
      <c r="VIU2" s="306"/>
      <c r="VIV2" s="306"/>
      <c r="VIW2" s="306"/>
      <c r="VIX2" s="306"/>
      <c r="VIY2" s="306"/>
      <c r="VIZ2" s="306"/>
      <c r="VJA2" s="306"/>
      <c r="VJB2" s="306"/>
      <c r="VJC2" s="306"/>
      <c r="VJD2" s="306"/>
      <c r="VJE2" s="306"/>
      <c r="VJF2" s="306"/>
      <c r="VJG2" s="306"/>
      <c r="VJH2" s="306"/>
      <c r="VJI2" s="306"/>
      <c r="VJJ2" s="306"/>
      <c r="VJK2" s="306"/>
      <c r="VJL2" s="306"/>
      <c r="VJM2" s="306"/>
      <c r="VJN2" s="306"/>
      <c r="VJO2" s="306"/>
      <c r="VJP2" s="306"/>
      <c r="VJQ2" s="306"/>
      <c r="VJR2" s="306"/>
      <c r="VJS2" s="306"/>
      <c r="VJT2" s="306"/>
      <c r="VJU2" s="306"/>
      <c r="VJV2" s="306"/>
      <c r="VJW2" s="306"/>
      <c r="VJX2" s="306"/>
      <c r="VJY2" s="306"/>
      <c r="VJZ2" s="306"/>
      <c r="VKA2" s="306"/>
      <c r="VKB2" s="306"/>
      <c r="VKC2" s="306"/>
      <c r="VKD2" s="306"/>
      <c r="VKE2" s="306"/>
      <c r="VKF2" s="306"/>
      <c r="VKG2" s="306"/>
      <c r="VKH2" s="306"/>
      <c r="VKI2" s="306"/>
      <c r="VKJ2" s="306"/>
      <c r="VKK2" s="306"/>
      <c r="VKL2" s="306"/>
      <c r="VKM2" s="306"/>
      <c r="VKN2" s="306"/>
      <c r="VKO2" s="306"/>
      <c r="VKP2" s="306"/>
      <c r="VKQ2" s="306"/>
      <c r="VKR2" s="306"/>
      <c r="VKS2" s="306"/>
      <c r="VKT2" s="306"/>
      <c r="VKU2" s="306"/>
      <c r="VKV2" s="306"/>
      <c r="VKW2" s="306"/>
      <c r="VKX2" s="306"/>
      <c r="VKY2" s="306"/>
      <c r="VKZ2" s="306"/>
      <c r="VLA2" s="306"/>
      <c r="VLB2" s="306"/>
      <c r="VLC2" s="306"/>
      <c r="VLD2" s="306"/>
      <c r="VLE2" s="306"/>
      <c r="VLF2" s="306"/>
      <c r="VLG2" s="306"/>
      <c r="VLH2" s="306"/>
      <c r="VLI2" s="306"/>
      <c r="VLJ2" s="306"/>
      <c r="VLK2" s="306"/>
      <c r="VLL2" s="306"/>
      <c r="VLM2" s="306"/>
      <c r="VLN2" s="306"/>
      <c r="VLO2" s="306"/>
      <c r="VLP2" s="306"/>
      <c r="VLQ2" s="306"/>
      <c r="VLR2" s="306"/>
      <c r="VLS2" s="306"/>
      <c r="VLT2" s="306"/>
      <c r="VLU2" s="306"/>
      <c r="VLV2" s="306"/>
      <c r="VLW2" s="306"/>
      <c r="VLX2" s="306"/>
      <c r="VLY2" s="306"/>
      <c r="VLZ2" s="306"/>
      <c r="VMA2" s="306"/>
      <c r="VMB2" s="306"/>
      <c r="VMC2" s="306"/>
      <c r="VMD2" s="306"/>
      <c r="VME2" s="306"/>
      <c r="VMF2" s="306"/>
      <c r="VMG2" s="306"/>
      <c r="VMH2" s="306"/>
      <c r="VMI2" s="306"/>
      <c r="VMJ2" s="306"/>
      <c r="VMK2" s="306"/>
      <c r="VML2" s="306"/>
      <c r="VMM2" s="306"/>
      <c r="VMN2" s="306"/>
      <c r="VMO2" s="306"/>
      <c r="VMP2" s="306"/>
      <c r="VMQ2" s="306"/>
      <c r="VMR2" s="306"/>
      <c r="VMS2" s="306"/>
      <c r="VMT2" s="306"/>
      <c r="VMU2" s="306"/>
      <c r="VMV2" s="306"/>
      <c r="VMW2" s="306"/>
      <c r="VMX2" s="306"/>
      <c r="VMY2" s="306"/>
      <c r="VMZ2" s="306"/>
      <c r="VNA2" s="306"/>
      <c r="VNB2" s="306"/>
      <c r="VNC2" s="306"/>
      <c r="VND2" s="306"/>
      <c r="VNE2" s="306"/>
      <c r="VNF2" s="306"/>
      <c r="VNG2" s="306"/>
      <c r="VNH2" s="306"/>
      <c r="VNI2" s="306"/>
      <c r="VNJ2" s="306"/>
      <c r="VNK2" s="306"/>
      <c r="VNL2" s="306"/>
      <c r="VNM2" s="306"/>
      <c r="VNN2" s="306"/>
      <c r="VNO2" s="306"/>
      <c r="VNP2" s="306"/>
      <c r="VNQ2" s="306"/>
      <c r="VNR2" s="306"/>
      <c r="VNS2" s="306"/>
      <c r="VNT2" s="306"/>
      <c r="VNU2" s="306"/>
      <c r="VNV2" s="306"/>
      <c r="VNW2" s="306"/>
      <c r="VNX2" s="306"/>
      <c r="VNY2" s="306"/>
      <c r="VNZ2" s="306"/>
      <c r="VOA2" s="306"/>
      <c r="VOB2" s="306"/>
      <c r="VOC2" s="306"/>
      <c r="VOD2" s="306"/>
      <c r="VOE2" s="306"/>
      <c r="VOF2" s="306"/>
      <c r="VOG2" s="306"/>
      <c r="VOH2" s="306"/>
      <c r="VOI2" s="306"/>
      <c r="VOJ2" s="306"/>
      <c r="VOK2" s="306"/>
      <c r="VOL2" s="306"/>
      <c r="VOM2" s="306"/>
      <c r="VON2" s="306"/>
      <c r="VOO2" s="306"/>
      <c r="VOP2" s="306"/>
      <c r="VOQ2" s="306"/>
      <c r="VOR2" s="306"/>
      <c r="VOS2" s="306"/>
      <c r="VOT2" s="306"/>
      <c r="VOU2" s="306"/>
      <c r="VOV2" s="306"/>
      <c r="VOW2" s="306"/>
      <c r="VOX2" s="306"/>
      <c r="VOY2" s="306"/>
      <c r="VOZ2" s="306"/>
      <c r="VPA2" s="306"/>
      <c r="VPB2" s="306"/>
      <c r="VPC2" s="306"/>
      <c r="VPD2" s="306"/>
      <c r="VPE2" s="306"/>
      <c r="VPF2" s="306"/>
      <c r="VPG2" s="306"/>
      <c r="VPH2" s="306"/>
      <c r="VPI2" s="306"/>
      <c r="VPJ2" s="306"/>
      <c r="VPK2" s="306"/>
      <c r="VPL2" s="306"/>
      <c r="VPM2" s="306"/>
      <c r="VPN2" s="306"/>
      <c r="VPO2" s="306"/>
      <c r="VPP2" s="306"/>
      <c r="VPQ2" s="306"/>
      <c r="VPR2" s="306"/>
      <c r="VPS2" s="306"/>
      <c r="VPT2" s="306"/>
      <c r="VPU2" s="306"/>
      <c r="VPV2" s="306"/>
      <c r="VPW2" s="306"/>
      <c r="VPX2" s="306"/>
      <c r="VPY2" s="306"/>
      <c r="VPZ2" s="306"/>
      <c r="VQA2" s="306"/>
      <c r="VQB2" s="306"/>
      <c r="VQC2" s="306"/>
      <c r="VQD2" s="306"/>
      <c r="VQE2" s="306"/>
      <c r="VQF2" s="306"/>
      <c r="VQG2" s="306"/>
      <c r="VQH2" s="306"/>
      <c r="VQI2" s="306"/>
      <c r="VQJ2" s="306"/>
      <c r="VQK2" s="306"/>
      <c r="VQL2" s="306"/>
      <c r="VQM2" s="306"/>
      <c r="VQN2" s="306"/>
      <c r="VQO2" s="306"/>
      <c r="VQP2" s="306"/>
      <c r="VQQ2" s="306"/>
      <c r="VQR2" s="306"/>
      <c r="VQS2" s="306"/>
      <c r="VQT2" s="306"/>
      <c r="VQU2" s="306"/>
      <c r="VQV2" s="306"/>
      <c r="VQW2" s="306"/>
      <c r="VQX2" s="306"/>
      <c r="VQY2" s="306"/>
      <c r="VQZ2" s="306"/>
      <c r="VRA2" s="306"/>
      <c r="VRB2" s="306"/>
      <c r="VRC2" s="306"/>
      <c r="VRD2" s="306"/>
      <c r="VRE2" s="306"/>
      <c r="VRF2" s="306"/>
      <c r="VRG2" s="306"/>
      <c r="VRH2" s="306"/>
      <c r="VRI2" s="306"/>
      <c r="VRJ2" s="306"/>
      <c r="VRK2" s="306"/>
      <c r="VRL2" s="306"/>
      <c r="VRM2" s="306"/>
      <c r="VRN2" s="306"/>
      <c r="VRO2" s="306"/>
      <c r="VRP2" s="306"/>
      <c r="VRQ2" s="306"/>
      <c r="VRR2" s="306"/>
      <c r="VRS2" s="306"/>
      <c r="VRT2" s="306"/>
      <c r="VRU2" s="306"/>
      <c r="VRV2" s="306"/>
      <c r="VRW2" s="306"/>
      <c r="VRX2" s="306"/>
      <c r="VRY2" s="306"/>
      <c r="VRZ2" s="306"/>
      <c r="VSA2" s="306"/>
      <c r="VSB2" s="306"/>
      <c r="VSC2" s="306"/>
      <c r="VSD2" s="306"/>
      <c r="VSE2" s="306"/>
      <c r="VSF2" s="306"/>
      <c r="VSG2" s="306"/>
      <c r="VSH2" s="306"/>
      <c r="VSI2" s="306"/>
      <c r="VSJ2" s="306"/>
      <c r="VSK2" s="306"/>
      <c r="VSL2" s="306"/>
      <c r="VSM2" s="306"/>
      <c r="VSN2" s="306"/>
      <c r="VSO2" s="306"/>
      <c r="VSP2" s="306"/>
      <c r="VSQ2" s="306"/>
      <c r="VSR2" s="306"/>
      <c r="VSS2" s="306"/>
      <c r="VST2" s="306"/>
      <c r="VSU2" s="306"/>
      <c r="VSV2" s="306"/>
      <c r="VSW2" s="306"/>
      <c r="VSX2" s="306"/>
      <c r="VSY2" s="306"/>
      <c r="VSZ2" s="306"/>
      <c r="VTA2" s="306"/>
      <c r="VTB2" s="306"/>
      <c r="VTC2" s="306"/>
      <c r="VTD2" s="306"/>
      <c r="VTE2" s="306"/>
      <c r="VTF2" s="306"/>
      <c r="VTG2" s="306"/>
      <c r="VTH2" s="306"/>
      <c r="VTI2" s="306"/>
      <c r="VTJ2" s="306"/>
      <c r="VTK2" s="306"/>
      <c r="VTL2" s="306"/>
      <c r="VTM2" s="306"/>
      <c r="VTN2" s="306"/>
      <c r="VTO2" s="306"/>
      <c r="VTP2" s="306"/>
      <c r="VTQ2" s="306"/>
      <c r="VTR2" s="306"/>
      <c r="VTS2" s="306"/>
      <c r="VTT2" s="306"/>
      <c r="VTU2" s="306"/>
      <c r="VTV2" s="306"/>
      <c r="VTW2" s="306"/>
      <c r="VTX2" s="306"/>
      <c r="VTY2" s="306"/>
      <c r="VTZ2" s="306"/>
      <c r="VUA2" s="306"/>
      <c r="VUB2" s="306"/>
      <c r="VUC2" s="306"/>
      <c r="VUD2" s="306"/>
      <c r="VUE2" s="306"/>
      <c r="VUF2" s="306"/>
      <c r="VUG2" s="306"/>
      <c r="VUH2" s="306"/>
      <c r="VUI2" s="306"/>
      <c r="VUJ2" s="306"/>
      <c r="VUK2" s="306"/>
      <c r="VUL2" s="306"/>
      <c r="VUM2" s="306"/>
      <c r="VUN2" s="306"/>
      <c r="VUO2" s="306"/>
      <c r="VUP2" s="306"/>
      <c r="VUQ2" s="306"/>
      <c r="VUR2" s="306"/>
      <c r="VUS2" s="306"/>
      <c r="VUT2" s="306"/>
      <c r="VUU2" s="306"/>
      <c r="VUV2" s="306"/>
      <c r="VUW2" s="306"/>
      <c r="VUX2" s="306"/>
      <c r="VUY2" s="306"/>
      <c r="VUZ2" s="306"/>
      <c r="VVA2" s="306"/>
      <c r="VVB2" s="306"/>
      <c r="VVC2" s="306"/>
      <c r="VVD2" s="306"/>
      <c r="VVE2" s="306"/>
      <c r="VVF2" s="306"/>
      <c r="VVG2" s="306"/>
      <c r="VVH2" s="306"/>
      <c r="VVI2" s="306"/>
      <c r="VVJ2" s="306"/>
      <c r="VVK2" s="306"/>
      <c r="VVL2" s="306"/>
      <c r="VVM2" s="306"/>
      <c r="VVN2" s="306"/>
      <c r="VVO2" s="306"/>
      <c r="VVP2" s="306"/>
      <c r="VVQ2" s="306"/>
      <c r="VVR2" s="306"/>
      <c r="VVS2" s="306"/>
      <c r="VVT2" s="306"/>
      <c r="VVU2" s="306"/>
      <c r="VVV2" s="306"/>
      <c r="VVW2" s="306"/>
      <c r="VVX2" s="306"/>
      <c r="VVY2" s="306"/>
      <c r="VVZ2" s="306"/>
      <c r="VWA2" s="306"/>
      <c r="VWB2" s="306"/>
      <c r="VWC2" s="306"/>
      <c r="VWD2" s="306"/>
      <c r="VWE2" s="306"/>
      <c r="VWF2" s="306"/>
      <c r="VWG2" s="306"/>
      <c r="VWH2" s="306"/>
      <c r="VWI2" s="306"/>
      <c r="VWJ2" s="306"/>
      <c r="VWK2" s="306"/>
      <c r="VWL2" s="306"/>
      <c r="VWM2" s="306"/>
      <c r="VWN2" s="306"/>
      <c r="VWO2" s="306"/>
      <c r="VWP2" s="306"/>
      <c r="VWQ2" s="306"/>
      <c r="VWR2" s="306"/>
      <c r="VWS2" s="306"/>
      <c r="VWT2" s="306"/>
      <c r="VWU2" s="306"/>
      <c r="VWV2" s="306"/>
      <c r="VWW2" s="306"/>
      <c r="VWX2" s="306"/>
      <c r="VWY2" s="306"/>
      <c r="VWZ2" s="306"/>
      <c r="VXA2" s="306"/>
      <c r="VXB2" s="306"/>
      <c r="VXC2" s="306"/>
      <c r="VXD2" s="306"/>
      <c r="VXE2" s="306"/>
      <c r="VXF2" s="306"/>
      <c r="VXG2" s="306"/>
      <c r="VXH2" s="306"/>
      <c r="VXI2" s="306"/>
      <c r="VXJ2" s="306"/>
      <c r="VXK2" s="306"/>
      <c r="VXL2" s="306"/>
      <c r="VXM2" s="306"/>
      <c r="VXN2" s="306"/>
      <c r="VXO2" s="306"/>
      <c r="VXP2" s="306"/>
      <c r="VXQ2" s="306"/>
      <c r="VXR2" s="306"/>
      <c r="VXS2" s="306"/>
      <c r="VXT2" s="306"/>
      <c r="VXU2" s="306"/>
      <c r="VXV2" s="306"/>
      <c r="VXW2" s="306"/>
      <c r="VXX2" s="306"/>
      <c r="VXY2" s="306"/>
      <c r="VXZ2" s="306"/>
      <c r="VYA2" s="306"/>
      <c r="VYB2" s="306"/>
      <c r="VYC2" s="306"/>
      <c r="VYD2" s="306"/>
      <c r="VYE2" s="306"/>
      <c r="VYF2" s="306"/>
      <c r="VYG2" s="306"/>
      <c r="VYH2" s="306"/>
      <c r="VYI2" s="306"/>
      <c r="VYJ2" s="306"/>
      <c r="VYK2" s="306"/>
      <c r="VYL2" s="306"/>
      <c r="VYM2" s="306"/>
      <c r="VYN2" s="306"/>
      <c r="VYO2" s="306"/>
      <c r="VYP2" s="306"/>
      <c r="VYQ2" s="306"/>
      <c r="VYR2" s="306"/>
      <c r="VYS2" s="306"/>
      <c r="VYT2" s="306"/>
      <c r="VYU2" s="306"/>
      <c r="VYV2" s="306"/>
      <c r="VYW2" s="306"/>
      <c r="VYX2" s="306"/>
      <c r="VYY2" s="306"/>
      <c r="VYZ2" s="306"/>
      <c r="VZA2" s="306"/>
      <c r="VZB2" s="306"/>
      <c r="VZC2" s="306"/>
      <c r="VZD2" s="306"/>
      <c r="VZE2" s="306"/>
      <c r="VZF2" s="306"/>
      <c r="VZG2" s="306"/>
      <c r="VZH2" s="306"/>
      <c r="VZI2" s="306"/>
      <c r="VZJ2" s="306"/>
      <c r="VZK2" s="306"/>
      <c r="VZL2" s="306"/>
      <c r="VZM2" s="306"/>
      <c r="VZN2" s="306"/>
      <c r="VZO2" s="306"/>
      <c r="VZP2" s="306"/>
      <c r="VZQ2" s="306"/>
      <c r="VZR2" s="306"/>
      <c r="VZS2" s="306"/>
      <c r="VZT2" s="306"/>
      <c r="VZU2" s="306"/>
      <c r="VZV2" s="306"/>
      <c r="VZW2" s="306"/>
      <c r="VZX2" s="306"/>
      <c r="VZY2" s="306"/>
      <c r="VZZ2" s="306"/>
      <c r="WAA2" s="306"/>
      <c r="WAB2" s="306"/>
      <c r="WAC2" s="306"/>
      <c r="WAD2" s="306"/>
      <c r="WAE2" s="306"/>
      <c r="WAF2" s="306"/>
      <c r="WAG2" s="306"/>
      <c r="WAH2" s="306"/>
      <c r="WAI2" s="306"/>
      <c r="WAJ2" s="306"/>
      <c r="WAK2" s="306"/>
      <c r="WAL2" s="306"/>
      <c r="WAM2" s="306"/>
      <c r="WAN2" s="306"/>
      <c r="WAO2" s="306"/>
      <c r="WAP2" s="306"/>
      <c r="WAQ2" s="306"/>
      <c r="WAR2" s="306"/>
      <c r="WAS2" s="306"/>
      <c r="WAT2" s="306"/>
      <c r="WAU2" s="306"/>
      <c r="WAV2" s="306"/>
      <c r="WAW2" s="306"/>
      <c r="WAX2" s="306"/>
      <c r="WAY2" s="306"/>
      <c r="WAZ2" s="306"/>
      <c r="WBA2" s="306"/>
      <c r="WBB2" s="306"/>
      <c r="WBC2" s="306"/>
      <c r="WBD2" s="306"/>
      <c r="WBE2" s="306"/>
      <c r="WBF2" s="306"/>
      <c r="WBG2" s="306"/>
      <c r="WBH2" s="306"/>
      <c r="WBI2" s="306"/>
      <c r="WBJ2" s="306"/>
      <c r="WBK2" s="306"/>
      <c r="WBL2" s="306"/>
      <c r="WBM2" s="306"/>
      <c r="WBN2" s="306"/>
      <c r="WBO2" s="306"/>
      <c r="WBP2" s="306"/>
      <c r="WBQ2" s="306"/>
      <c r="WBR2" s="306"/>
      <c r="WBS2" s="306"/>
      <c r="WBT2" s="306"/>
      <c r="WBU2" s="306"/>
      <c r="WBV2" s="306"/>
      <c r="WBW2" s="306"/>
      <c r="WBX2" s="306"/>
      <c r="WBY2" s="306"/>
      <c r="WBZ2" s="306"/>
      <c r="WCA2" s="306"/>
      <c r="WCB2" s="306"/>
      <c r="WCC2" s="306"/>
      <c r="WCD2" s="306"/>
      <c r="WCE2" s="306"/>
      <c r="WCF2" s="306"/>
      <c r="WCG2" s="306"/>
      <c r="WCH2" s="306"/>
      <c r="WCI2" s="306"/>
      <c r="WCJ2" s="306"/>
      <c r="WCK2" s="306"/>
      <c r="WCL2" s="306"/>
      <c r="WCM2" s="306"/>
      <c r="WCN2" s="306"/>
      <c r="WCO2" s="306"/>
      <c r="WCP2" s="306"/>
      <c r="WCQ2" s="306"/>
      <c r="WCR2" s="306"/>
      <c r="WCS2" s="306"/>
      <c r="WCT2" s="306"/>
      <c r="WCU2" s="306"/>
      <c r="WCV2" s="306"/>
      <c r="WCW2" s="306"/>
      <c r="WCX2" s="306"/>
      <c r="WCY2" s="306"/>
      <c r="WCZ2" s="306"/>
      <c r="WDA2" s="306"/>
      <c r="WDB2" s="306"/>
      <c r="WDC2" s="306"/>
      <c r="WDD2" s="306"/>
      <c r="WDE2" s="306"/>
      <c r="WDF2" s="306"/>
      <c r="WDG2" s="306"/>
      <c r="WDH2" s="306"/>
      <c r="WDI2" s="306"/>
      <c r="WDJ2" s="306"/>
      <c r="WDK2" s="306"/>
      <c r="WDL2" s="306"/>
      <c r="WDM2" s="306"/>
      <c r="WDN2" s="306"/>
      <c r="WDO2" s="306"/>
      <c r="WDP2" s="306"/>
      <c r="WDQ2" s="306"/>
      <c r="WDR2" s="306"/>
      <c r="WDS2" s="306"/>
      <c r="WDT2" s="306"/>
      <c r="WDU2" s="306"/>
      <c r="WDV2" s="306"/>
      <c r="WDW2" s="306"/>
      <c r="WDX2" s="306"/>
      <c r="WDY2" s="306"/>
      <c r="WDZ2" s="306"/>
      <c r="WEA2" s="306"/>
      <c r="WEB2" s="306"/>
      <c r="WEC2" s="306"/>
      <c r="WED2" s="306"/>
      <c r="WEE2" s="306"/>
      <c r="WEF2" s="306"/>
      <c r="WEG2" s="306"/>
      <c r="WEH2" s="306"/>
      <c r="WEI2" s="306"/>
      <c r="WEJ2" s="306"/>
      <c r="WEK2" s="306"/>
      <c r="WEL2" s="306"/>
      <c r="WEM2" s="306"/>
      <c r="WEN2" s="306"/>
      <c r="WEO2" s="306"/>
      <c r="WEP2" s="306"/>
      <c r="WEQ2" s="306"/>
      <c r="WER2" s="306"/>
      <c r="WES2" s="306"/>
      <c r="WET2" s="306"/>
      <c r="WEU2" s="306"/>
      <c r="WEV2" s="306"/>
      <c r="WEW2" s="306"/>
      <c r="WEX2" s="306"/>
      <c r="WEY2" s="306"/>
      <c r="WEZ2" s="306"/>
      <c r="WFA2" s="306"/>
      <c r="WFB2" s="306"/>
      <c r="WFC2" s="306"/>
      <c r="WFD2" s="306"/>
      <c r="WFE2" s="306"/>
      <c r="WFF2" s="306"/>
      <c r="WFG2" s="306"/>
      <c r="WFH2" s="306"/>
      <c r="WFI2" s="306"/>
      <c r="WFJ2" s="306"/>
      <c r="WFK2" s="306"/>
      <c r="WFL2" s="306"/>
      <c r="WFM2" s="306"/>
      <c r="WFN2" s="306"/>
      <c r="WFO2" s="306"/>
      <c r="WFP2" s="306"/>
      <c r="WFQ2" s="306"/>
      <c r="WFR2" s="306"/>
      <c r="WFS2" s="306"/>
      <c r="WFT2" s="306"/>
      <c r="WFU2" s="306"/>
      <c r="WFV2" s="306"/>
      <c r="WFW2" s="306"/>
      <c r="WFX2" s="306"/>
      <c r="WFY2" s="306"/>
      <c r="WFZ2" s="306"/>
      <c r="WGA2" s="306"/>
      <c r="WGB2" s="306"/>
      <c r="WGC2" s="306"/>
      <c r="WGD2" s="306"/>
      <c r="WGE2" s="306"/>
      <c r="WGF2" s="306"/>
      <c r="WGG2" s="306"/>
      <c r="WGH2" s="306"/>
      <c r="WGI2" s="306"/>
      <c r="WGJ2" s="306"/>
      <c r="WGK2" s="306"/>
      <c r="WGL2" s="306"/>
      <c r="WGM2" s="306"/>
      <c r="WGN2" s="306"/>
      <c r="WGO2" s="306"/>
      <c r="WGP2" s="306"/>
      <c r="WGQ2" s="306"/>
      <c r="WGR2" s="306"/>
      <c r="WGS2" s="306"/>
      <c r="WGT2" s="306"/>
      <c r="WGU2" s="306"/>
      <c r="WGV2" s="306"/>
      <c r="WGW2" s="306"/>
      <c r="WGX2" s="306"/>
      <c r="WGY2" s="306"/>
      <c r="WGZ2" s="306"/>
      <c r="WHA2" s="306"/>
      <c r="WHB2" s="306"/>
      <c r="WHC2" s="306"/>
      <c r="WHD2" s="306"/>
      <c r="WHE2" s="306"/>
      <c r="WHF2" s="306"/>
      <c r="WHG2" s="306"/>
      <c r="WHH2" s="306"/>
      <c r="WHI2" s="306"/>
      <c r="WHJ2" s="306"/>
      <c r="WHK2" s="306"/>
      <c r="WHL2" s="306"/>
      <c r="WHM2" s="306"/>
      <c r="WHN2" s="306"/>
      <c r="WHO2" s="306"/>
      <c r="WHP2" s="306"/>
      <c r="WHQ2" s="306"/>
      <c r="WHR2" s="306"/>
      <c r="WHS2" s="306"/>
      <c r="WHT2" s="306"/>
      <c r="WHU2" s="306"/>
      <c r="WHV2" s="306"/>
      <c r="WHW2" s="306"/>
      <c r="WHX2" s="306"/>
      <c r="WHY2" s="306"/>
      <c r="WHZ2" s="306"/>
      <c r="WIA2" s="306"/>
      <c r="WIB2" s="306"/>
      <c r="WIC2" s="306"/>
      <c r="WID2" s="306"/>
      <c r="WIE2" s="306"/>
      <c r="WIF2" s="306"/>
      <c r="WIG2" s="306"/>
      <c r="WIH2" s="306"/>
      <c r="WII2" s="306"/>
      <c r="WIJ2" s="306"/>
      <c r="WIK2" s="306"/>
      <c r="WIL2" s="306"/>
      <c r="WIM2" s="306"/>
      <c r="WIN2" s="306"/>
      <c r="WIO2" s="306"/>
      <c r="WIP2" s="306"/>
      <c r="WIQ2" s="306"/>
      <c r="WIR2" s="306"/>
      <c r="WIS2" s="306"/>
      <c r="WIT2" s="306"/>
      <c r="WIU2" s="306"/>
      <c r="WIV2" s="306"/>
      <c r="WIW2" s="306"/>
      <c r="WIX2" s="306"/>
      <c r="WIY2" s="306"/>
      <c r="WIZ2" s="306"/>
      <c r="WJA2" s="306"/>
      <c r="WJB2" s="306"/>
      <c r="WJC2" s="306"/>
      <c r="WJD2" s="306"/>
      <c r="WJE2" s="306"/>
      <c r="WJF2" s="306"/>
      <c r="WJG2" s="306"/>
      <c r="WJH2" s="306"/>
      <c r="WJI2" s="306"/>
      <c r="WJJ2" s="306"/>
      <c r="WJK2" s="306"/>
      <c r="WJL2" s="306"/>
      <c r="WJM2" s="306"/>
      <c r="WJN2" s="306"/>
      <c r="WJO2" s="306"/>
      <c r="WJP2" s="306"/>
      <c r="WJQ2" s="306"/>
      <c r="WJR2" s="306"/>
      <c r="WJS2" s="306"/>
      <c r="WJT2" s="306"/>
      <c r="WJU2" s="306"/>
      <c r="WJV2" s="306"/>
      <c r="WJW2" s="306"/>
      <c r="WJX2" s="306"/>
      <c r="WJY2" s="306"/>
      <c r="WJZ2" s="306"/>
      <c r="WKA2" s="306"/>
      <c r="WKB2" s="306"/>
      <c r="WKC2" s="306"/>
      <c r="WKD2" s="306"/>
      <c r="WKE2" s="306"/>
      <c r="WKF2" s="306"/>
      <c r="WKG2" s="306"/>
      <c r="WKH2" s="306"/>
      <c r="WKI2" s="306"/>
      <c r="WKJ2" s="306"/>
      <c r="WKK2" s="306"/>
      <c r="WKL2" s="306"/>
      <c r="WKM2" s="306"/>
      <c r="WKN2" s="306"/>
      <c r="WKO2" s="306"/>
      <c r="WKP2" s="306"/>
      <c r="WKQ2" s="306"/>
      <c r="WKR2" s="306"/>
      <c r="WKS2" s="306"/>
      <c r="WKT2" s="306"/>
      <c r="WKU2" s="306"/>
      <c r="WKV2" s="306"/>
      <c r="WKW2" s="306"/>
      <c r="WKX2" s="306"/>
      <c r="WKY2" s="306"/>
      <c r="WKZ2" s="306"/>
      <c r="WLA2" s="306"/>
      <c r="WLB2" s="306"/>
      <c r="WLC2" s="306"/>
      <c r="WLD2" s="306"/>
      <c r="WLE2" s="306"/>
      <c r="WLF2" s="306"/>
      <c r="WLG2" s="306"/>
      <c r="WLH2" s="306"/>
      <c r="WLI2" s="306"/>
      <c r="WLJ2" s="306"/>
      <c r="WLK2" s="306"/>
      <c r="WLL2" s="306"/>
      <c r="WLM2" s="306"/>
      <c r="WLN2" s="306"/>
      <c r="WLO2" s="306"/>
      <c r="WLP2" s="306"/>
      <c r="WLQ2" s="306"/>
      <c r="WLR2" s="306"/>
      <c r="WLS2" s="306"/>
      <c r="WLT2" s="306"/>
      <c r="WLU2" s="306"/>
      <c r="WLV2" s="306"/>
      <c r="WLW2" s="306"/>
      <c r="WLX2" s="306"/>
      <c r="WLY2" s="306"/>
      <c r="WLZ2" s="306"/>
      <c r="WMA2" s="306"/>
      <c r="WMB2" s="306"/>
      <c r="WMC2" s="306"/>
      <c r="WMD2" s="306"/>
      <c r="WME2" s="306"/>
      <c r="WMF2" s="306"/>
      <c r="WMG2" s="306"/>
      <c r="WMH2" s="306"/>
      <c r="WMI2" s="306"/>
      <c r="WMJ2" s="306"/>
      <c r="WMK2" s="306"/>
      <c r="WML2" s="306"/>
      <c r="WMM2" s="306"/>
      <c r="WMN2" s="306"/>
      <c r="WMO2" s="306"/>
      <c r="WMP2" s="306"/>
      <c r="WMQ2" s="306"/>
      <c r="WMR2" s="306"/>
      <c r="WMS2" s="306"/>
      <c r="WMT2" s="306"/>
      <c r="WMU2" s="306"/>
      <c r="WMV2" s="306"/>
      <c r="WMW2" s="306"/>
      <c r="WMX2" s="306"/>
      <c r="WMY2" s="306"/>
      <c r="WMZ2" s="306"/>
      <c r="WNA2" s="306"/>
      <c r="WNB2" s="306"/>
      <c r="WNC2" s="306"/>
      <c r="WND2" s="306"/>
      <c r="WNE2" s="306"/>
      <c r="WNF2" s="306"/>
      <c r="WNG2" s="306"/>
      <c r="WNH2" s="306"/>
      <c r="WNI2" s="306"/>
      <c r="WNJ2" s="306"/>
      <c r="WNK2" s="306"/>
      <c r="WNL2" s="306"/>
      <c r="WNM2" s="306"/>
      <c r="WNN2" s="306"/>
      <c r="WNO2" s="306"/>
      <c r="WNP2" s="306"/>
      <c r="WNQ2" s="306"/>
      <c r="WNR2" s="306"/>
      <c r="WNS2" s="306"/>
      <c r="WNT2" s="306"/>
      <c r="WNU2" s="306"/>
      <c r="WNV2" s="306"/>
      <c r="WNW2" s="306"/>
      <c r="WNX2" s="306"/>
      <c r="WNY2" s="306"/>
      <c r="WNZ2" s="306"/>
      <c r="WOA2" s="306"/>
      <c r="WOB2" s="306"/>
      <c r="WOC2" s="306"/>
      <c r="WOD2" s="306"/>
      <c r="WOE2" s="306"/>
      <c r="WOF2" s="306"/>
      <c r="WOG2" s="306"/>
      <c r="WOH2" s="306"/>
      <c r="WOI2" s="306"/>
      <c r="WOJ2" s="306"/>
      <c r="WOK2" s="306"/>
      <c r="WOL2" s="306"/>
      <c r="WOM2" s="306"/>
      <c r="WON2" s="306"/>
      <c r="WOO2" s="306"/>
      <c r="WOP2" s="306"/>
      <c r="WOQ2" s="306"/>
      <c r="WOR2" s="306"/>
      <c r="WOS2" s="306"/>
      <c r="WOT2" s="306"/>
      <c r="WOU2" s="306"/>
      <c r="WOV2" s="306"/>
      <c r="WOW2" s="306"/>
      <c r="WOX2" s="306"/>
      <c r="WOY2" s="306"/>
      <c r="WOZ2" s="306"/>
      <c r="WPA2" s="306"/>
      <c r="WPB2" s="306"/>
      <c r="WPC2" s="306"/>
      <c r="WPD2" s="306"/>
      <c r="WPE2" s="306"/>
      <c r="WPF2" s="306"/>
      <c r="WPG2" s="306"/>
      <c r="WPH2" s="306"/>
      <c r="WPI2" s="306"/>
      <c r="WPJ2" s="306"/>
      <c r="WPK2" s="306"/>
      <c r="WPL2" s="306"/>
      <c r="WPM2" s="306"/>
      <c r="WPN2" s="306"/>
      <c r="WPO2" s="306"/>
      <c r="WPP2" s="306"/>
      <c r="WPQ2" s="306"/>
      <c r="WPR2" s="306"/>
      <c r="WPS2" s="306"/>
      <c r="WPT2" s="306"/>
      <c r="WPU2" s="306"/>
      <c r="WPV2" s="306"/>
      <c r="WPW2" s="306"/>
      <c r="WPX2" s="306"/>
      <c r="WPY2" s="306"/>
      <c r="WPZ2" s="306"/>
      <c r="WQA2" s="306"/>
      <c r="WQB2" s="306"/>
      <c r="WQC2" s="306"/>
      <c r="WQD2" s="306"/>
      <c r="WQE2" s="306"/>
      <c r="WQF2" s="306"/>
      <c r="WQG2" s="306"/>
      <c r="WQH2" s="306"/>
      <c r="WQI2" s="306"/>
      <c r="WQJ2" s="306"/>
      <c r="WQK2" s="306"/>
      <c r="WQL2" s="306"/>
      <c r="WQM2" s="306"/>
      <c r="WQN2" s="306"/>
      <c r="WQO2" s="306"/>
      <c r="WQP2" s="306"/>
      <c r="WQQ2" s="306"/>
      <c r="WQR2" s="306"/>
      <c r="WQS2" s="306"/>
      <c r="WQT2" s="306"/>
      <c r="WQU2" s="306"/>
      <c r="WQV2" s="306"/>
      <c r="WQW2" s="306"/>
      <c r="WQX2" s="306"/>
      <c r="WQY2" s="306"/>
      <c r="WQZ2" s="306"/>
      <c r="WRA2" s="306"/>
      <c r="WRB2" s="306"/>
      <c r="WRC2" s="306"/>
      <c r="WRD2" s="306"/>
      <c r="WRE2" s="306"/>
      <c r="WRF2" s="306"/>
      <c r="WRG2" s="306"/>
      <c r="WRH2" s="306"/>
      <c r="WRI2" s="306"/>
      <c r="WRJ2" s="306"/>
      <c r="WRK2" s="306"/>
      <c r="WRL2" s="306"/>
      <c r="WRM2" s="306"/>
      <c r="WRN2" s="306"/>
      <c r="WRO2" s="306"/>
      <c r="WRP2" s="306"/>
      <c r="WRQ2" s="306"/>
      <c r="WRR2" s="306"/>
      <c r="WRS2" s="306"/>
      <c r="WRT2" s="306"/>
      <c r="WRU2" s="306"/>
      <c r="WRV2" s="306"/>
      <c r="WRW2" s="306"/>
      <c r="WRX2" s="306"/>
      <c r="WRY2" s="306"/>
      <c r="WRZ2" s="306"/>
      <c r="WSA2" s="306"/>
      <c r="WSB2" s="306"/>
      <c r="WSC2" s="306"/>
      <c r="WSD2" s="306"/>
      <c r="WSE2" s="306"/>
      <c r="WSF2" s="306"/>
      <c r="WSG2" s="306"/>
      <c r="WSH2" s="306"/>
      <c r="WSI2" s="306"/>
      <c r="WSJ2" s="306"/>
      <c r="WSK2" s="306"/>
      <c r="WSL2" s="306"/>
      <c r="WSM2" s="306"/>
      <c r="WSN2" s="306"/>
      <c r="WSO2" s="306"/>
      <c r="WSP2" s="306"/>
      <c r="WSQ2" s="306"/>
      <c r="WSR2" s="306"/>
      <c r="WSS2" s="306"/>
      <c r="WST2" s="306"/>
      <c r="WSU2" s="306"/>
      <c r="WSV2" s="306"/>
      <c r="WSW2" s="306"/>
      <c r="WSX2" s="306"/>
      <c r="WSY2" s="306"/>
      <c r="WSZ2" s="306"/>
      <c r="WTA2" s="306"/>
      <c r="WTB2" s="306"/>
      <c r="WTC2" s="306"/>
      <c r="WTD2" s="306"/>
      <c r="WTE2" s="306"/>
      <c r="WTF2" s="306"/>
      <c r="WTG2" s="306"/>
      <c r="WTH2" s="306"/>
      <c r="WTI2" s="306"/>
      <c r="WTJ2" s="306"/>
      <c r="WTK2" s="306"/>
      <c r="WTL2" s="306"/>
      <c r="WTM2" s="306"/>
      <c r="WTN2" s="306"/>
      <c r="WTO2" s="306"/>
      <c r="WTP2" s="306"/>
      <c r="WTQ2" s="306"/>
      <c r="WTR2" s="306"/>
      <c r="WTS2" s="306"/>
      <c r="WTT2" s="306"/>
      <c r="WTU2" s="306"/>
      <c r="WTV2" s="306"/>
      <c r="WTW2" s="306"/>
      <c r="WTX2" s="306"/>
      <c r="WTY2" s="306"/>
      <c r="WTZ2" s="306"/>
      <c r="WUA2" s="306"/>
      <c r="WUB2" s="306"/>
      <c r="WUC2" s="306"/>
      <c r="WUD2" s="306"/>
      <c r="WUE2" s="306"/>
      <c r="WUF2" s="306"/>
      <c r="WUG2" s="306"/>
      <c r="WUH2" s="306"/>
      <c r="WUI2" s="306"/>
      <c r="WUJ2" s="306"/>
      <c r="WUK2" s="306"/>
      <c r="WUL2" s="306"/>
      <c r="WUM2" s="306"/>
      <c r="WUN2" s="306"/>
      <c r="WUO2" s="306"/>
      <c r="WUP2" s="306"/>
      <c r="WUQ2" s="306"/>
      <c r="WUR2" s="306"/>
      <c r="WUS2" s="306"/>
      <c r="WUT2" s="306"/>
      <c r="WUU2" s="306"/>
      <c r="WUV2" s="306"/>
      <c r="WUW2" s="306"/>
      <c r="WUX2" s="306"/>
      <c r="WUY2" s="306"/>
      <c r="WUZ2" s="306"/>
      <c r="WVA2" s="306"/>
      <c r="WVB2" s="306"/>
      <c r="WVC2" s="306"/>
      <c r="WVD2" s="306"/>
      <c r="WVE2" s="306"/>
      <c r="WVF2" s="306"/>
      <c r="WVG2" s="306"/>
      <c r="WVH2" s="306"/>
      <c r="WVI2" s="306"/>
      <c r="WVJ2" s="306"/>
      <c r="WVK2" s="306"/>
      <c r="WVL2" s="306"/>
      <c r="WVM2" s="306"/>
      <c r="WVN2" s="306"/>
      <c r="WVO2" s="306"/>
      <c r="WVP2" s="306"/>
      <c r="WVQ2" s="306"/>
      <c r="WVR2" s="306"/>
      <c r="WVS2" s="306"/>
      <c r="WVT2" s="306"/>
      <c r="WVU2" s="306"/>
      <c r="WVV2" s="306"/>
      <c r="WVW2" s="306"/>
      <c r="WVX2" s="306"/>
      <c r="WVY2" s="306"/>
      <c r="WVZ2" s="306"/>
      <c r="WWA2" s="306"/>
      <c r="WWB2" s="306"/>
      <c r="WWC2" s="306"/>
      <c r="WWD2" s="306"/>
      <c r="WWE2" s="306"/>
      <c r="WWF2" s="306"/>
      <c r="WWG2" s="306"/>
      <c r="WWH2" s="306"/>
      <c r="WWI2" s="306"/>
      <c r="WWJ2" s="306"/>
      <c r="WWK2" s="306"/>
      <c r="WWL2" s="306"/>
      <c r="WWM2" s="306"/>
      <c r="WWN2" s="306"/>
      <c r="WWO2" s="306"/>
      <c r="WWP2" s="306"/>
      <c r="WWQ2" s="306"/>
      <c r="WWR2" s="306"/>
      <c r="WWS2" s="306"/>
      <c r="WWT2" s="306"/>
      <c r="WWU2" s="306"/>
      <c r="WWV2" s="306"/>
      <c r="WWW2" s="306"/>
      <c r="WWX2" s="306"/>
      <c r="WWY2" s="306"/>
      <c r="WWZ2" s="306"/>
      <c r="WXA2" s="306"/>
      <c r="WXB2" s="306"/>
      <c r="WXC2" s="306"/>
      <c r="WXD2" s="306"/>
      <c r="WXE2" s="306"/>
      <c r="WXF2" s="306"/>
      <c r="WXG2" s="306"/>
      <c r="WXH2" s="306"/>
      <c r="WXI2" s="306"/>
      <c r="WXJ2" s="306"/>
      <c r="WXK2" s="306"/>
      <c r="WXL2" s="306"/>
      <c r="WXM2" s="306"/>
      <c r="WXN2" s="306"/>
      <c r="WXO2" s="306"/>
      <c r="WXP2" s="306"/>
      <c r="WXQ2" s="306"/>
      <c r="WXR2" s="306"/>
      <c r="WXS2" s="306"/>
      <c r="WXT2" s="306"/>
      <c r="WXU2" s="306"/>
      <c r="WXV2" s="306"/>
      <c r="WXW2" s="306"/>
      <c r="WXX2" s="306"/>
      <c r="WXY2" s="306"/>
      <c r="WXZ2" s="306"/>
      <c r="WYA2" s="306"/>
      <c r="WYB2" s="306"/>
      <c r="WYC2" s="306"/>
      <c r="WYD2" s="306"/>
      <c r="WYE2" s="306"/>
      <c r="WYF2" s="306"/>
      <c r="WYG2" s="306"/>
      <c r="WYH2" s="306"/>
      <c r="WYI2" s="306"/>
      <c r="WYJ2" s="306"/>
      <c r="WYK2" s="306"/>
      <c r="WYL2" s="306"/>
      <c r="WYM2" s="306"/>
      <c r="WYN2" s="306"/>
      <c r="WYO2" s="306"/>
      <c r="WYP2" s="306"/>
      <c r="WYQ2" s="306"/>
      <c r="WYR2" s="306"/>
      <c r="WYS2" s="306"/>
      <c r="WYT2" s="306"/>
      <c r="WYU2" s="306"/>
      <c r="WYV2" s="306"/>
      <c r="WYW2" s="306"/>
      <c r="WYX2" s="306"/>
      <c r="WYY2" s="306"/>
      <c r="WYZ2" s="306"/>
      <c r="WZA2" s="306"/>
      <c r="WZB2" s="306"/>
      <c r="WZC2" s="306"/>
      <c r="WZD2" s="306"/>
      <c r="WZE2" s="306"/>
      <c r="WZF2" s="306"/>
      <c r="WZG2" s="306"/>
      <c r="WZH2" s="306"/>
      <c r="WZI2" s="306"/>
      <c r="WZJ2" s="306"/>
      <c r="WZK2" s="306"/>
      <c r="WZL2" s="306"/>
      <c r="WZM2" s="306"/>
      <c r="WZN2" s="306"/>
      <c r="WZO2" s="306"/>
      <c r="WZP2" s="306"/>
      <c r="WZQ2" s="306"/>
      <c r="WZR2" s="306"/>
      <c r="WZS2" s="306"/>
      <c r="WZT2" s="306"/>
      <c r="WZU2" s="306"/>
      <c r="WZV2" s="306"/>
      <c r="WZW2" s="306"/>
      <c r="WZX2" s="306"/>
      <c r="WZY2" s="306"/>
      <c r="WZZ2" s="306"/>
      <c r="XAA2" s="306"/>
      <c r="XAB2" s="306"/>
      <c r="XAC2" s="306"/>
      <c r="XAD2" s="306"/>
      <c r="XAE2" s="306"/>
      <c r="XAF2" s="306"/>
      <c r="XAG2" s="306"/>
      <c r="XAH2" s="306"/>
      <c r="XAI2" s="306"/>
      <c r="XAJ2" s="306"/>
      <c r="XAK2" s="306"/>
      <c r="XAL2" s="306"/>
      <c r="XAM2" s="306"/>
      <c r="XAN2" s="306"/>
      <c r="XAO2" s="306"/>
      <c r="XAP2" s="306"/>
      <c r="XAQ2" s="306"/>
      <c r="XAR2" s="306"/>
      <c r="XAS2" s="306"/>
      <c r="XAT2" s="306"/>
      <c r="XAU2" s="306"/>
      <c r="XAV2" s="306"/>
      <c r="XAW2" s="306"/>
      <c r="XAX2" s="306"/>
      <c r="XAY2" s="306"/>
      <c r="XAZ2" s="306"/>
      <c r="XBA2" s="306"/>
      <c r="XBB2" s="306"/>
      <c r="XBC2" s="306"/>
      <c r="XBD2" s="306"/>
      <c r="XBE2" s="306"/>
      <c r="XBF2" s="306"/>
      <c r="XBG2" s="306"/>
      <c r="XBH2" s="306"/>
      <c r="XBI2" s="306"/>
      <c r="XBJ2" s="306"/>
      <c r="XBK2" s="306"/>
      <c r="XBL2" s="306"/>
      <c r="XBM2" s="306"/>
      <c r="XBN2" s="306"/>
      <c r="XBO2" s="306"/>
      <c r="XBP2" s="306"/>
      <c r="XBQ2" s="306"/>
      <c r="XBR2" s="306"/>
      <c r="XBS2" s="306"/>
      <c r="XBT2" s="306"/>
      <c r="XBU2" s="306"/>
      <c r="XBV2" s="306"/>
      <c r="XBW2" s="306"/>
      <c r="XBX2" s="306"/>
      <c r="XBY2" s="306"/>
      <c r="XBZ2" s="306"/>
      <c r="XCA2" s="306"/>
      <c r="XCB2" s="306"/>
      <c r="XCC2" s="306"/>
      <c r="XCD2" s="306"/>
      <c r="XCE2" s="306"/>
      <c r="XCF2" s="306"/>
      <c r="XCG2" s="306"/>
      <c r="XCH2" s="306"/>
      <c r="XCI2" s="306"/>
      <c r="XCJ2" s="306"/>
      <c r="XCK2" s="306"/>
      <c r="XCL2" s="306"/>
      <c r="XCM2" s="306"/>
      <c r="XCN2" s="306"/>
      <c r="XCO2" s="306"/>
      <c r="XCP2" s="306"/>
      <c r="XCQ2" s="306"/>
      <c r="XCR2" s="306"/>
      <c r="XCS2" s="306"/>
      <c r="XCT2" s="306"/>
      <c r="XCU2" s="306"/>
      <c r="XCV2" s="306"/>
      <c r="XCW2" s="306"/>
      <c r="XCX2" s="306"/>
      <c r="XCY2" s="306"/>
      <c r="XCZ2" s="306"/>
      <c r="XDA2" s="306"/>
      <c r="XDB2" s="306"/>
      <c r="XDC2" s="306"/>
      <c r="XDD2" s="306"/>
      <c r="XDE2" s="306"/>
      <c r="XDF2" s="306"/>
      <c r="XDG2" s="306"/>
      <c r="XDH2" s="306"/>
      <c r="XDI2" s="306"/>
      <c r="XDJ2" s="306"/>
      <c r="XDK2" s="306"/>
      <c r="XDL2" s="306"/>
      <c r="XDM2" s="306"/>
      <c r="XDN2" s="306"/>
      <c r="XDO2" s="306"/>
      <c r="XDP2" s="306"/>
      <c r="XDQ2" s="306"/>
      <c r="XDR2" s="306"/>
      <c r="XDS2" s="306"/>
      <c r="XDT2" s="306"/>
      <c r="XDU2" s="306"/>
      <c r="XDV2" s="306"/>
      <c r="XDW2" s="306"/>
      <c r="XDX2" s="306"/>
      <c r="XDY2" s="306"/>
      <c r="XDZ2" s="306"/>
      <c r="XEA2" s="306"/>
      <c r="XEB2" s="306"/>
      <c r="XEC2" s="306"/>
      <c r="XED2" s="306"/>
      <c r="XEE2" s="306"/>
      <c r="XEF2" s="306"/>
      <c r="XEG2" s="306"/>
      <c r="XEH2" s="306"/>
      <c r="XEI2" s="306"/>
      <c r="XEJ2" s="306"/>
      <c r="XEK2" s="306"/>
      <c r="XEL2" s="306"/>
      <c r="XEM2" s="306"/>
      <c r="XEN2" s="306"/>
      <c r="XEO2" s="306"/>
      <c r="XEP2" s="306"/>
      <c r="XEQ2" s="306"/>
      <c r="XER2" s="306"/>
      <c r="XES2" s="306"/>
      <c r="XET2" s="306"/>
      <c r="XEU2" s="306"/>
    </row>
    <row r="3" spans="1:16375" ht="15" customHeight="1" x14ac:dyDescent="0.45">
      <c r="A3" s="21"/>
      <c r="B3" s="9"/>
      <c r="C3" s="9"/>
      <c r="D3" s="9"/>
      <c r="E3" s="9"/>
      <c r="F3" s="9"/>
      <c r="G3" s="9"/>
      <c r="H3" s="306"/>
      <c r="I3" s="306"/>
      <c r="J3" s="306"/>
      <c r="K3" s="306"/>
      <c r="L3" s="306"/>
      <c r="M3" s="306"/>
      <c r="N3" s="306"/>
      <c r="O3" s="306"/>
      <c r="P3" s="306"/>
      <c r="Q3" s="306"/>
      <c r="R3" s="306"/>
      <c r="S3" s="306"/>
      <c r="T3" s="306"/>
      <c r="U3" s="306"/>
      <c r="V3" s="306"/>
      <c r="W3" s="306"/>
      <c r="X3" s="306"/>
      <c r="Y3" s="306"/>
      <c r="Z3" s="306"/>
      <c r="AA3" s="306"/>
      <c r="AB3" s="306"/>
      <c r="AC3" s="306"/>
      <c r="AD3" s="306"/>
      <c r="AE3" s="306"/>
      <c r="AF3" s="306"/>
      <c r="AG3" s="306"/>
      <c r="AH3" s="306"/>
      <c r="AI3" s="306"/>
      <c r="AJ3" s="306"/>
      <c r="AK3" s="306"/>
      <c r="AL3" s="306"/>
      <c r="AM3" s="306"/>
      <c r="AN3" s="306"/>
      <c r="AO3" s="306"/>
      <c r="AP3" s="306"/>
      <c r="AQ3" s="306"/>
      <c r="AR3" s="306"/>
      <c r="AS3" s="306"/>
      <c r="AT3" s="306"/>
      <c r="AU3" s="306"/>
      <c r="AV3" s="306"/>
      <c r="AW3" s="306"/>
      <c r="AX3" s="306"/>
      <c r="AY3" s="306"/>
      <c r="AZ3" s="306"/>
      <c r="BA3" s="306"/>
      <c r="BB3" s="306"/>
      <c r="BC3" s="306"/>
      <c r="BD3" s="306"/>
      <c r="BE3" s="306"/>
      <c r="BF3" s="306"/>
      <c r="BG3" s="306"/>
      <c r="BH3" s="306"/>
      <c r="BI3" s="306"/>
      <c r="BJ3" s="306"/>
      <c r="BK3" s="306"/>
      <c r="BL3" s="306"/>
      <c r="BM3" s="306"/>
      <c r="BN3" s="306"/>
      <c r="BO3" s="306"/>
      <c r="BP3" s="306"/>
      <c r="BQ3" s="306"/>
      <c r="BR3" s="306"/>
      <c r="BS3" s="306"/>
      <c r="BT3" s="306"/>
      <c r="BU3" s="306"/>
      <c r="BV3" s="306"/>
      <c r="BW3" s="306"/>
      <c r="BX3" s="306"/>
      <c r="BY3" s="306"/>
      <c r="BZ3" s="306"/>
      <c r="CA3" s="306"/>
      <c r="CB3" s="306"/>
      <c r="CC3" s="306"/>
      <c r="CD3" s="306"/>
      <c r="CE3" s="306"/>
      <c r="CF3" s="306"/>
      <c r="CG3" s="306"/>
      <c r="CH3" s="306"/>
      <c r="CI3" s="306"/>
      <c r="CJ3" s="306"/>
      <c r="CK3" s="306"/>
      <c r="CL3" s="306"/>
      <c r="CM3" s="306"/>
      <c r="CN3" s="306"/>
      <c r="CO3" s="306"/>
      <c r="CP3" s="306"/>
      <c r="CQ3" s="306"/>
      <c r="CR3" s="306"/>
      <c r="CS3" s="306"/>
      <c r="CT3" s="306"/>
      <c r="CU3" s="306"/>
      <c r="CV3" s="306"/>
      <c r="CW3" s="306"/>
      <c r="CX3" s="306"/>
      <c r="CY3" s="306"/>
      <c r="CZ3" s="306"/>
      <c r="DA3" s="306"/>
      <c r="DB3" s="306"/>
      <c r="DC3" s="306"/>
      <c r="DD3" s="306"/>
      <c r="DE3" s="306"/>
      <c r="DF3" s="306"/>
      <c r="DG3" s="306"/>
      <c r="DH3" s="306"/>
      <c r="DI3" s="306"/>
      <c r="DJ3" s="306"/>
      <c r="DK3" s="306"/>
      <c r="DL3" s="306"/>
      <c r="DM3" s="306"/>
      <c r="DN3" s="306"/>
      <c r="DO3" s="306"/>
      <c r="DP3" s="306"/>
      <c r="DQ3" s="306"/>
      <c r="DR3" s="306"/>
      <c r="DS3" s="306"/>
      <c r="DT3" s="306"/>
      <c r="DU3" s="306"/>
      <c r="DV3" s="306"/>
      <c r="DW3" s="306"/>
      <c r="DX3" s="306"/>
      <c r="DY3" s="306"/>
      <c r="DZ3" s="306"/>
      <c r="EA3" s="306"/>
      <c r="EB3" s="306"/>
      <c r="EC3" s="306"/>
      <c r="ED3" s="306"/>
      <c r="EE3" s="306"/>
      <c r="EF3" s="306"/>
      <c r="EG3" s="306"/>
      <c r="EH3" s="306"/>
      <c r="EI3" s="306"/>
      <c r="EJ3" s="306"/>
      <c r="EK3" s="306"/>
      <c r="EL3" s="306"/>
      <c r="EM3" s="306"/>
      <c r="EN3" s="306"/>
      <c r="EO3" s="306"/>
      <c r="EP3" s="306"/>
      <c r="EQ3" s="306"/>
      <c r="ER3" s="306"/>
      <c r="ES3" s="306"/>
      <c r="ET3" s="306"/>
      <c r="EU3" s="306"/>
      <c r="EV3" s="306"/>
      <c r="EW3" s="306"/>
      <c r="EX3" s="306"/>
      <c r="EY3" s="306"/>
      <c r="EZ3" s="306"/>
      <c r="FA3" s="306"/>
      <c r="FB3" s="306"/>
      <c r="FC3" s="306"/>
      <c r="FD3" s="306"/>
      <c r="FE3" s="306"/>
      <c r="FF3" s="306"/>
      <c r="FG3" s="306"/>
      <c r="FH3" s="306"/>
      <c r="FI3" s="306"/>
      <c r="FJ3" s="306"/>
      <c r="FK3" s="306"/>
      <c r="FL3" s="306"/>
      <c r="FM3" s="306"/>
      <c r="FN3" s="306"/>
      <c r="FO3" s="306"/>
      <c r="FP3" s="306"/>
      <c r="FQ3" s="306"/>
      <c r="FR3" s="306"/>
      <c r="FS3" s="306"/>
      <c r="FT3" s="306"/>
      <c r="FU3" s="306"/>
      <c r="FV3" s="306"/>
      <c r="FW3" s="306"/>
      <c r="FX3" s="306"/>
      <c r="FY3" s="306"/>
      <c r="FZ3" s="306"/>
      <c r="GA3" s="306"/>
      <c r="GB3" s="306"/>
      <c r="GC3" s="306"/>
      <c r="GD3" s="306"/>
      <c r="GE3" s="306"/>
      <c r="GF3" s="306"/>
      <c r="GG3" s="306"/>
      <c r="GH3" s="306"/>
      <c r="GI3" s="306"/>
      <c r="GJ3" s="306"/>
      <c r="GK3" s="306"/>
      <c r="GL3" s="306"/>
      <c r="GM3" s="306"/>
      <c r="GN3" s="306"/>
      <c r="GO3" s="306"/>
      <c r="GP3" s="306"/>
      <c r="GQ3" s="306"/>
      <c r="GR3" s="306"/>
      <c r="GS3" s="306"/>
      <c r="GT3" s="306"/>
      <c r="GU3" s="306"/>
      <c r="GV3" s="306"/>
      <c r="GW3" s="306"/>
      <c r="GX3" s="306"/>
      <c r="GY3" s="306"/>
      <c r="GZ3" s="306"/>
      <c r="HA3" s="306"/>
      <c r="HB3" s="306"/>
      <c r="HC3" s="306"/>
      <c r="HD3" s="306"/>
      <c r="HE3" s="306"/>
      <c r="HF3" s="306"/>
      <c r="HG3" s="306"/>
      <c r="HH3" s="306"/>
      <c r="HI3" s="306"/>
      <c r="HJ3" s="306"/>
      <c r="HK3" s="306"/>
      <c r="HL3" s="306"/>
      <c r="HM3" s="306"/>
      <c r="HN3" s="306"/>
      <c r="HO3" s="306"/>
      <c r="HP3" s="306"/>
      <c r="HQ3" s="306"/>
      <c r="HR3" s="306"/>
      <c r="HS3" s="306"/>
      <c r="HT3" s="306"/>
      <c r="HU3" s="306"/>
      <c r="HV3" s="306"/>
      <c r="HW3" s="306"/>
      <c r="HX3" s="306"/>
      <c r="HY3" s="306"/>
      <c r="HZ3" s="306"/>
      <c r="IA3" s="306"/>
      <c r="IB3" s="306"/>
      <c r="IC3" s="306"/>
      <c r="ID3" s="306"/>
      <c r="IE3" s="306"/>
      <c r="IF3" s="306"/>
      <c r="IG3" s="306"/>
      <c r="IH3" s="306"/>
      <c r="II3" s="306"/>
      <c r="IJ3" s="306"/>
      <c r="IK3" s="306"/>
      <c r="IL3" s="306"/>
      <c r="IM3" s="306"/>
      <c r="IN3" s="306"/>
      <c r="IO3" s="306"/>
      <c r="IP3" s="306"/>
      <c r="IQ3" s="306"/>
      <c r="IR3" s="306"/>
      <c r="IS3" s="306"/>
      <c r="IT3" s="306"/>
      <c r="IU3" s="306"/>
      <c r="IV3" s="306"/>
      <c r="IW3" s="306"/>
      <c r="IX3" s="306"/>
      <c r="IY3" s="306"/>
      <c r="IZ3" s="306"/>
      <c r="JA3" s="306"/>
      <c r="JB3" s="306"/>
      <c r="JC3" s="306"/>
      <c r="JD3" s="306"/>
      <c r="JE3" s="306"/>
      <c r="JF3" s="306"/>
      <c r="JG3" s="306"/>
      <c r="JH3" s="306"/>
      <c r="JI3" s="306"/>
      <c r="JJ3" s="306"/>
      <c r="JK3" s="306"/>
      <c r="JL3" s="306"/>
      <c r="JM3" s="306"/>
      <c r="JN3" s="306"/>
      <c r="JO3" s="306"/>
      <c r="JP3" s="306"/>
      <c r="JQ3" s="306"/>
      <c r="JR3" s="306"/>
      <c r="JS3" s="306"/>
      <c r="JT3" s="306"/>
      <c r="JU3" s="306"/>
      <c r="JV3" s="306"/>
      <c r="JW3" s="306"/>
      <c r="JX3" s="306"/>
      <c r="JY3" s="306"/>
      <c r="JZ3" s="306"/>
      <c r="KA3" s="306"/>
      <c r="KB3" s="306"/>
      <c r="KC3" s="306"/>
      <c r="KD3" s="306"/>
      <c r="KE3" s="306"/>
      <c r="KF3" s="306"/>
      <c r="KG3" s="306"/>
      <c r="KH3" s="306"/>
      <c r="KI3" s="306"/>
      <c r="KJ3" s="306"/>
      <c r="KK3" s="306"/>
      <c r="KL3" s="306"/>
      <c r="KM3" s="306"/>
      <c r="KN3" s="306"/>
      <c r="KO3" s="306"/>
      <c r="KP3" s="306"/>
      <c r="KQ3" s="306"/>
      <c r="KR3" s="306"/>
      <c r="KS3" s="306"/>
      <c r="KT3" s="306"/>
      <c r="KU3" s="306"/>
      <c r="KV3" s="306"/>
      <c r="KW3" s="306"/>
      <c r="KX3" s="306"/>
      <c r="KY3" s="306"/>
      <c r="KZ3" s="306"/>
      <c r="LA3" s="306"/>
      <c r="LB3" s="306"/>
      <c r="LC3" s="306"/>
      <c r="LD3" s="306"/>
      <c r="LE3" s="306"/>
      <c r="LF3" s="306"/>
      <c r="LG3" s="306"/>
      <c r="LH3" s="306"/>
      <c r="LI3" s="306"/>
      <c r="LJ3" s="306"/>
      <c r="LK3" s="306"/>
      <c r="LL3" s="306"/>
      <c r="LM3" s="306"/>
      <c r="LN3" s="306"/>
      <c r="LO3" s="306"/>
      <c r="LP3" s="306"/>
      <c r="LQ3" s="306"/>
      <c r="LR3" s="306"/>
      <c r="LS3" s="306"/>
      <c r="LT3" s="306"/>
      <c r="LU3" s="306"/>
      <c r="LV3" s="306"/>
      <c r="LW3" s="306"/>
      <c r="LX3" s="306"/>
      <c r="LY3" s="306"/>
      <c r="LZ3" s="306"/>
      <c r="MA3" s="306"/>
      <c r="MB3" s="306"/>
      <c r="MC3" s="306"/>
      <c r="MD3" s="306"/>
      <c r="ME3" s="306"/>
      <c r="MF3" s="306"/>
      <c r="MG3" s="306"/>
      <c r="MH3" s="306"/>
      <c r="MI3" s="306"/>
      <c r="MJ3" s="306"/>
      <c r="MK3" s="306"/>
      <c r="ML3" s="306"/>
      <c r="MM3" s="306"/>
      <c r="MN3" s="306"/>
      <c r="MO3" s="306"/>
      <c r="MP3" s="306"/>
      <c r="MQ3" s="306"/>
      <c r="MR3" s="306"/>
      <c r="MS3" s="306"/>
      <c r="MT3" s="306"/>
      <c r="MU3" s="306"/>
      <c r="MV3" s="306"/>
      <c r="MW3" s="306"/>
      <c r="MX3" s="306"/>
      <c r="MY3" s="306"/>
      <c r="MZ3" s="306"/>
      <c r="NA3" s="306"/>
      <c r="NB3" s="306"/>
      <c r="NC3" s="306"/>
      <c r="ND3" s="306"/>
      <c r="NE3" s="306"/>
      <c r="NF3" s="306"/>
      <c r="NG3" s="306"/>
      <c r="NH3" s="306"/>
      <c r="NI3" s="306"/>
      <c r="NJ3" s="306"/>
      <c r="NK3" s="306"/>
      <c r="NL3" s="306"/>
      <c r="NM3" s="306"/>
      <c r="NN3" s="306"/>
      <c r="NO3" s="306"/>
      <c r="NP3" s="306"/>
      <c r="NQ3" s="306"/>
      <c r="NR3" s="306"/>
      <c r="NS3" s="306"/>
      <c r="NT3" s="306"/>
      <c r="NU3" s="306"/>
      <c r="NV3" s="306"/>
      <c r="NW3" s="306"/>
      <c r="NX3" s="306"/>
      <c r="NY3" s="306"/>
      <c r="NZ3" s="306"/>
      <c r="OA3" s="306"/>
      <c r="OB3" s="306"/>
      <c r="OC3" s="306"/>
      <c r="OD3" s="306"/>
      <c r="OE3" s="306"/>
      <c r="OF3" s="306"/>
      <c r="OG3" s="306"/>
      <c r="OH3" s="306"/>
      <c r="OI3" s="306"/>
      <c r="OJ3" s="306"/>
      <c r="OK3" s="306"/>
      <c r="OL3" s="306"/>
      <c r="OM3" s="306"/>
      <c r="ON3" s="306"/>
      <c r="OO3" s="306"/>
      <c r="OP3" s="306"/>
      <c r="OQ3" s="306"/>
      <c r="OR3" s="306"/>
      <c r="OS3" s="306"/>
      <c r="OT3" s="306"/>
      <c r="OU3" s="306"/>
      <c r="OV3" s="306"/>
      <c r="OW3" s="306"/>
      <c r="OX3" s="306"/>
      <c r="OY3" s="306"/>
      <c r="OZ3" s="306"/>
      <c r="PA3" s="306"/>
      <c r="PB3" s="306"/>
      <c r="PC3" s="306"/>
      <c r="PD3" s="306"/>
      <c r="PE3" s="306"/>
      <c r="PF3" s="306"/>
      <c r="PG3" s="306"/>
      <c r="PH3" s="306"/>
      <c r="PI3" s="306"/>
      <c r="PJ3" s="306"/>
      <c r="PK3" s="306"/>
      <c r="PL3" s="306"/>
      <c r="PM3" s="306"/>
      <c r="PN3" s="306"/>
      <c r="PO3" s="306"/>
      <c r="PP3" s="306"/>
      <c r="PQ3" s="306"/>
      <c r="PR3" s="306"/>
      <c r="PS3" s="306"/>
      <c r="PT3" s="306"/>
      <c r="PU3" s="306"/>
      <c r="PV3" s="306"/>
      <c r="PW3" s="306"/>
      <c r="PX3" s="306"/>
      <c r="PY3" s="306"/>
      <c r="PZ3" s="306"/>
      <c r="QA3" s="306"/>
      <c r="QB3" s="306"/>
      <c r="QC3" s="306"/>
      <c r="QD3" s="306"/>
      <c r="QE3" s="306"/>
      <c r="QF3" s="306"/>
      <c r="QG3" s="306"/>
      <c r="QH3" s="306"/>
      <c r="QI3" s="306"/>
      <c r="QJ3" s="306"/>
      <c r="QK3" s="306"/>
      <c r="QL3" s="306"/>
      <c r="QM3" s="306"/>
      <c r="QN3" s="306"/>
      <c r="QO3" s="306"/>
      <c r="QP3" s="306"/>
      <c r="QQ3" s="306"/>
      <c r="QR3" s="306"/>
      <c r="QS3" s="306"/>
      <c r="QT3" s="306"/>
      <c r="QU3" s="306"/>
      <c r="QV3" s="306"/>
      <c r="QW3" s="306"/>
      <c r="QX3" s="306"/>
      <c r="QY3" s="306"/>
      <c r="QZ3" s="306"/>
      <c r="RA3" s="306"/>
      <c r="RB3" s="306"/>
      <c r="RC3" s="306"/>
      <c r="RD3" s="306"/>
      <c r="RE3" s="306"/>
      <c r="RF3" s="306"/>
      <c r="RG3" s="306"/>
      <c r="RH3" s="306"/>
      <c r="RI3" s="306"/>
      <c r="RJ3" s="306"/>
      <c r="RK3" s="306"/>
      <c r="RL3" s="306"/>
      <c r="RM3" s="306"/>
      <c r="RN3" s="306"/>
      <c r="RO3" s="306"/>
      <c r="RP3" s="306"/>
      <c r="RQ3" s="306"/>
      <c r="RR3" s="306"/>
      <c r="RS3" s="306"/>
      <c r="RT3" s="306"/>
      <c r="RU3" s="306"/>
      <c r="RV3" s="306"/>
      <c r="RW3" s="306"/>
      <c r="RX3" s="306"/>
      <c r="RY3" s="306"/>
      <c r="RZ3" s="306"/>
      <c r="SA3" s="306"/>
      <c r="SB3" s="306"/>
      <c r="SC3" s="306"/>
      <c r="SD3" s="306"/>
      <c r="SE3" s="306"/>
      <c r="SF3" s="306"/>
      <c r="SG3" s="306"/>
      <c r="SH3" s="306"/>
      <c r="SI3" s="306"/>
      <c r="SJ3" s="306"/>
      <c r="SK3" s="306"/>
      <c r="SL3" s="306"/>
      <c r="SM3" s="306"/>
      <c r="SN3" s="306"/>
      <c r="SO3" s="306"/>
      <c r="SP3" s="306"/>
      <c r="SQ3" s="306"/>
      <c r="SR3" s="306"/>
      <c r="SS3" s="306"/>
      <c r="ST3" s="306"/>
      <c r="SU3" s="306"/>
      <c r="SV3" s="306"/>
      <c r="SW3" s="306"/>
      <c r="SX3" s="306"/>
      <c r="SY3" s="306"/>
      <c r="SZ3" s="306"/>
      <c r="TA3" s="306"/>
      <c r="TB3" s="306"/>
      <c r="TC3" s="306"/>
      <c r="TD3" s="306"/>
      <c r="TE3" s="306"/>
      <c r="TF3" s="306"/>
      <c r="TG3" s="306"/>
      <c r="TH3" s="306"/>
      <c r="TI3" s="306"/>
      <c r="TJ3" s="306"/>
      <c r="TK3" s="306"/>
      <c r="TL3" s="306"/>
      <c r="TM3" s="306"/>
      <c r="TN3" s="306"/>
      <c r="TO3" s="306"/>
      <c r="TP3" s="306"/>
      <c r="TQ3" s="306"/>
      <c r="TR3" s="306"/>
      <c r="TS3" s="306"/>
      <c r="TT3" s="306"/>
      <c r="TU3" s="306"/>
      <c r="TV3" s="306"/>
      <c r="TW3" s="306"/>
      <c r="TX3" s="306"/>
      <c r="TY3" s="306"/>
      <c r="TZ3" s="306"/>
      <c r="UA3" s="306"/>
      <c r="UB3" s="306"/>
      <c r="UC3" s="306"/>
      <c r="UD3" s="306"/>
      <c r="UE3" s="306"/>
      <c r="UF3" s="306"/>
      <c r="UG3" s="306"/>
      <c r="UH3" s="306"/>
      <c r="UI3" s="306"/>
      <c r="UJ3" s="306"/>
      <c r="UK3" s="306"/>
      <c r="UL3" s="306"/>
      <c r="UM3" s="306"/>
      <c r="UN3" s="306"/>
      <c r="UO3" s="306"/>
      <c r="UP3" s="306"/>
      <c r="UQ3" s="306"/>
      <c r="UR3" s="306"/>
      <c r="US3" s="306"/>
      <c r="UT3" s="306"/>
      <c r="UU3" s="306"/>
      <c r="UV3" s="306"/>
      <c r="UW3" s="306"/>
      <c r="UX3" s="306"/>
      <c r="UY3" s="306"/>
      <c r="UZ3" s="306"/>
      <c r="VA3" s="306"/>
      <c r="VB3" s="306"/>
      <c r="VC3" s="306"/>
      <c r="VD3" s="306"/>
      <c r="VE3" s="306"/>
      <c r="VF3" s="306"/>
      <c r="VG3" s="306"/>
      <c r="VH3" s="306"/>
      <c r="VI3" s="306"/>
      <c r="VJ3" s="306"/>
      <c r="VK3" s="306"/>
      <c r="VL3" s="306"/>
      <c r="VM3" s="306"/>
      <c r="VN3" s="306"/>
      <c r="VO3" s="306"/>
      <c r="VP3" s="306"/>
      <c r="VQ3" s="306"/>
      <c r="VR3" s="306"/>
      <c r="VS3" s="306"/>
      <c r="VT3" s="306"/>
      <c r="VU3" s="306"/>
      <c r="VV3" s="306"/>
      <c r="VW3" s="306"/>
      <c r="VX3" s="306"/>
      <c r="VY3" s="306"/>
      <c r="VZ3" s="306"/>
      <c r="WA3" s="306"/>
      <c r="WB3" s="306"/>
      <c r="WC3" s="306"/>
      <c r="WD3" s="306"/>
      <c r="WE3" s="306"/>
      <c r="WF3" s="306"/>
      <c r="WG3" s="306"/>
      <c r="WH3" s="306"/>
      <c r="WI3" s="306"/>
      <c r="WJ3" s="306"/>
      <c r="WK3" s="306"/>
      <c r="WL3" s="306"/>
      <c r="WM3" s="306"/>
      <c r="WN3" s="306"/>
      <c r="WO3" s="306"/>
      <c r="WP3" s="306"/>
      <c r="WQ3" s="306"/>
      <c r="WR3" s="306"/>
      <c r="WS3" s="306"/>
      <c r="WT3" s="306"/>
      <c r="WU3" s="306"/>
      <c r="WV3" s="306"/>
      <c r="WW3" s="306"/>
      <c r="WX3" s="306"/>
      <c r="WY3" s="306"/>
      <c r="WZ3" s="306"/>
      <c r="XA3" s="306"/>
      <c r="XB3" s="306"/>
      <c r="XC3" s="306"/>
      <c r="XD3" s="306"/>
      <c r="XE3" s="306"/>
      <c r="XF3" s="306"/>
      <c r="XG3" s="306"/>
      <c r="XH3" s="306"/>
      <c r="XI3" s="306"/>
      <c r="XJ3" s="306"/>
      <c r="XK3" s="306"/>
      <c r="XL3" s="306"/>
      <c r="XM3" s="306"/>
      <c r="XN3" s="306"/>
      <c r="XO3" s="306"/>
      <c r="XP3" s="306"/>
      <c r="XQ3" s="306"/>
      <c r="XR3" s="306"/>
      <c r="XS3" s="306"/>
      <c r="XT3" s="306"/>
      <c r="XU3" s="306"/>
      <c r="XV3" s="306"/>
      <c r="XW3" s="306"/>
      <c r="XX3" s="306"/>
      <c r="XY3" s="306"/>
      <c r="XZ3" s="306"/>
      <c r="YA3" s="306"/>
      <c r="YB3" s="306"/>
      <c r="YC3" s="306"/>
      <c r="YD3" s="306"/>
      <c r="YE3" s="306"/>
      <c r="YF3" s="306"/>
      <c r="YG3" s="306"/>
      <c r="YH3" s="306"/>
      <c r="YI3" s="306"/>
      <c r="YJ3" s="306"/>
      <c r="YK3" s="306"/>
      <c r="YL3" s="306"/>
      <c r="YM3" s="306"/>
      <c r="YN3" s="306"/>
      <c r="YO3" s="306"/>
      <c r="YP3" s="306"/>
      <c r="YQ3" s="306"/>
      <c r="YR3" s="306"/>
      <c r="YS3" s="306"/>
      <c r="YT3" s="306"/>
      <c r="YU3" s="306"/>
      <c r="YV3" s="306"/>
      <c r="YW3" s="306"/>
      <c r="YX3" s="306"/>
      <c r="YY3" s="306"/>
      <c r="YZ3" s="306"/>
      <c r="ZA3" s="306"/>
      <c r="ZB3" s="306"/>
      <c r="ZC3" s="306"/>
      <c r="ZD3" s="306"/>
      <c r="ZE3" s="306"/>
      <c r="ZF3" s="306"/>
      <c r="ZG3" s="306"/>
      <c r="ZH3" s="306"/>
      <c r="ZI3" s="306"/>
      <c r="ZJ3" s="306"/>
      <c r="ZK3" s="306"/>
      <c r="ZL3" s="306"/>
      <c r="ZM3" s="306"/>
      <c r="ZN3" s="306"/>
      <c r="ZO3" s="306"/>
      <c r="ZP3" s="306"/>
      <c r="ZQ3" s="306"/>
      <c r="ZR3" s="306"/>
      <c r="ZS3" s="306"/>
      <c r="ZT3" s="306"/>
      <c r="ZU3" s="306"/>
      <c r="ZV3" s="306"/>
      <c r="ZW3" s="306"/>
      <c r="ZX3" s="306"/>
      <c r="ZY3" s="306"/>
      <c r="ZZ3" s="306"/>
      <c r="AAA3" s="306"/>
      <c r="AAB3" s="306"/>
      <c r="AAC3" s="306"/>
      <c r="AAD3" s="306"/>
      <c r="AAE3" s="306"/>
      <c r="AAF3" s="306"/>
      <c r="AAG3" s="306"/>
      <c r="AAH3" s="306"/>
      <c r="AAI3" s="306"/>
      <c r="AAJ3" s="306"/>
      <c r="AAK3" s="306"/>
      <c r="AAL3" s="306"/>
      <c r="AAM3" s="306"/>
      <c r="AAN3" s="306"/>
      <c r="AAO3" s="306"/>
      <c r="AAP3" s="306"/>
      <c r="AAQ3" s="306"/>
      <c r="AAR3" s="306"/>
      <c r="AAS3" s="306"/>
      <c r="AAT3" s="306"/>
      <c r="AAU3" s="306"/>
      <c r="AAV3" s="306"/>
      <c r="AAW3" s="306"/>
      <c r="AAX3" s="306"/>
      <c r="AAY3" s="306"/>
      <c r="AAZ3" s="306"/>
      <c r="ABA3" s="306"/>
      <c r="ABB3" s="306"/>
      <c r="ABC3" s="306"/>
      <c r="ABD3" s="306"/>
      <c r="ABE3" s="306"/>
      <c r="ABF3" s="306"/>
      <c r="ABG3" s="306"/>
      <c r="ABH3" s="306"/>
      <c r="ABI3" s="306"/>
      <c r="ABJ3" s="306"/>
      <c r="ABK3" s="306"/>
      <c r="ABL3" s="306"/>
      <c r="ABM3" s="306"/>
      <c r="ABN3" s="306"/>
      <c r="ABO3" s="306"/>
      <c r="ABP3" s="306"/>
      <c r="ABQ3" s="306"/>
      <c r="ABR3" s="306"/>
      <c r="ABS3" s="306"/>
      <c r="ABT3" s="306"/>
      <c r="ABU3" s="306"/>
      <c r="ABV3" s="306"/>
      <c r="ABW3" s="306"/>
      <c r="ABX3" s="306"/>
      <c r="ABY3" s="306"/>
      <c r="ABZ3" s="306"/>
      <c r="ACA3" s="306"/>
      <c r="ACB3" s="306"/>
      <c r="ACC3" s="306"/>
      <c r="ACD3" s="306"/>
      <c r="ACE3" s="306"/>
      <c r="ACF3" s="306"/>
      <c r="ACG3" s="306"/>
      <c r="ACH3" s="306"/>
      <c r="ACI3" s="306"/>
      <c r="ACJ3" s="306"/>
      <c r="ACK3" s="306"/>
      <c r="ACL3" s="306"/>
      <c r="ACM3" s="306"/>
      <c r="ACN3" s="306"/>
      <c r="ACO3" s="306"/>
      <c r="ACP3" s="306"/>
      <c r="ACQ3" s="306"/>
      <c r="ACR3" s="306"/>
      <c r="ACS3" s="306"/>
      <c r="ACT3" s="306"/>
      <c r="ACU3" s="306"/>
      <c r="ACV3" s="306"/>
      <c r="ACW3" s="306"/>
      <c r="ACX3" s="306"/>
      <c r="ACY3" s="306"/>
      <c r="ACZ3" s="306"/>
      <c r="ADA3" s="306"/>
      <c r="ADB3" s="306"/>
      <c r="ADC3" s="306"/>
      <c r="ADD3" s="306"/>
      <c r="ADE3" s="306"/>
      <c r="ADF3" s="306"/>
      <c r="ADG3" s="306"/>
      <c r="ADH3" s="306"/>
      <c r="ADI3" s="306"/>
      <c r="ADJ3" s="306"/>
      <c r="ADK3" s="306"/>
      <c r="ADL3" s="306"/>
      <c r="ADM3" s="306"/>
      <c r="ADN3" s="306"/>
      <c r="ADO3" s="306"/>
      <c r="ADP3" s="306"/>
      <c r="ADQ3" s="306"/>
      <c r="ADR3" s="306"/>
      <c r="ADS3" s="306"/>
      <c r="ADT3" s="306"/>
      <c r="ADU3" s="306"/>
      <c r="ADV3" s="306"/>
      <c r="ADW3" s="306"/>
      <c r="ADX3" s="306"/>
      <c r="ADY3" s="306"/>
      <c r="ADZ3" s="306"/>
      <c r="AEA3" s="306"/>
      <c r="AEB3" s="306"/>
      <c r="AEC3" s="306"/>
      <c r="AED3" s="306"/>
      <c r="AEE3" s="306"/>
      <c r="AEF3" s="306"/>
      <c r="AEG3" s="306"/>
      <c r="AEH3" s="306"/>
      <c r="AEI3" s="306"/>
      <c r="AEJ3" s="306"/>
      <c r="AEK3" s="306"/>
      <c r="AEL3" s="306"/>
      <c r="AEM3" s="306"/>
      <c r="AEN3" s="306"/>
      <c r="AEO3" s="306"/>
      <c r="AEP3" s="306"/>
      <c r="AEQ3" s="306"/>
      <c r="AER3" s="306"/>
      <c r="AES3" s="306"/>
      <c r="AET3" s="306"/>
      <c r="AEU3" s="306"/>
      <c r="AEV3" s="306"/>
      <c r="AEW3" s="306"/>
      <c r="AEX3" s="306"/>
      <c r="AEY3" s="306"/>
      <c r="AEZ3" s="306"/>
      <c r="AFA3" s="306"/>
      <c r="AFB3" s="306"/>
      <c r="AFC3" s="306"/>
      <c r="AFD3" s="306"/>
      <c r="AFE3" s="306"/>
      <c r="AFF3" s="306"/>
      <c r="AFG3" s="306"/>
      <c r="AFH3" s="306"/>
      <c r="AFI3" s="306"/>
      <c r="AFJ3" s="306"/>
      <c r="AFK3" s="306"/>
      <c r="AFL3" s="306"/>
      <c r="AFM3" s="306"/>
      <c r="AFN3" s="306"/>
      <c r="AFO3" s="306"/>
      <c r="AFP3" s="306"/>
      <c r="AFQ3" s="306"/>
      <c r="AFR3" s="306"/>
      <c r="AFS3" s="306"/>
      <c r="AFT3" s="306"/>
      <c r="AFU3" s="306"/>
      <c r="AFV3" s="306"/>
      <c r="AFW3" s="306"/>
      <c r="AFX3" s="306"/>
      <c r="AFY3" s="306"/>
      <c r="AFZ3" s="306"/>
      <c r="AGA3" s="306"/>
      <c r="AGB3" s="306"/>
      <c r="AGC3" s="306"/>
      <c r="AGD3" s="306"/>
      <c r="AGE3" s="306"/>
      <c r="AGF3" s="306"/>
      <c r="AGG3" s="306"/>
      <c r="AGH3" s="306"/>
      <c r="AGI3" s="306"/>
      <c r="AGJ3" s="306"/>
      <c r="AGK3" s="306"/>
      <c r="AGL3" s="306"/>
      <c r="AGM3" s="306"/>
      <c r="AGN3" s="306"/>
      <c r="AGO3" s="306"/>
      <c r="AGP3" s="306"/>
      <c r="AGQ3" s="306"/>
      <c r="AGR3" s="306"/>
      <c r="AGS3" s="306"/>
      <c r="AGT3" s="306"/>
      <c r="AGU3" s="306"/>
      <c r="AGV3" s="306"/>
      <c r="AGW3" s="306"/>
      <c r="AGX3" s="306"/>
      <c r="AGY3" s="306"/>
      <c r="AGZ3" s="306"/>
      <c r="AHA3" s="306"/>
      <c r="AHB3" s="306"/>
      <c r="AHC3" s="306"/>
      <c r="AHD3" s="306"/>
      <c r="AHE3" s="306"/>
      <c r="AHF3" s="306"/>
      <c r="AHG3" s="306"/>
      <c r="AHH3" s="306"/>
      <c r="AHI3" s="306"/>
      <c r="AHJ3" s="306"/>
      <c r="AHK3" s="306"/>
      <c r="AHL3" s="306"/>
      <c r="AHM3" s="306"/>
      <c r="AHN3" s="306"/>
      <c r="AHO3" s="306"/>
      <c r="AHP3" s="306"/>
      <c r="AHQ3" s="306"/>
      <c r="AHR3" s="306"/>
      <c r="AHS3" s="306"/>
      <c r="AHT3" s="306"/>
      <c r="AHU3" s="306"/>
      <c r="AHV3" s="306"/>
      <c r="AHW3" s="306"/>
      <c r="AHX3" s="306"/>
      <c r="AHY3" s="306"/>
      <c r="AHZ3" s="306"/>
      <c r="AIA3" s="306"/>
      <c r="AIB3" s="306"/>
      <c r="AIC3" s="306"/>
      <c r="AID3" s="306"/>
      <c r="AIE3" s="306"/>
      <c r="AIF3" s="306"/>
      <c r="AIG3" s="306"/>
      <c r="AIH3" s="306"/>
      <c r="AII3" s="306"/>
      <c r="AIJ3" s="306"/>
      <c r="AIK3" s="306"/>
      <c r="AIL3" s="306"/>
      <c r="AIM3" s="306"/>
      <c r="AIN3" s="306"/>
      <c r="AIO3" s="306"/>
      <c r="AIP3" s="306"/>
      <c r="AIQ3" s="306"/>
      <c r="AIR3" s="306"/>
      <c r="AIS3" s="306"/>
      <c r="AIT3" s="306"/>
      <c r="AIU3" s="306"/>
      <c r="AIV3" s="306"/>
      <c r="AIW3" s="306"/>
      <c r="AIX3" s="306"/>
      <c r="AIY3" s="306"/>
      <c r="AIZ3" s="306"/>
      <c r="AJA3" s="306"/>
      <c r="AJB3" s="306"/>
      <c r="AJC3" s="306"/>
      <c r="AJD3" s="306"/>
      <c r="AJE3" s="306"/>
      <c r="AJF3" s="306"/>
      <c r="AJG3" s="306"/>
      <c r="AJH3" s="306"/>
      <c r="AJI3" s="306"/>
      <c r="AJJ3" s="306"/>
      <c r="AJK3" s="306"/>
      <c r="AJL3" s="306"/>
      <c r="AJM3" s="306"/>
      <c r="AJN3" s="306"/>
      <c r="AJO3" s="306"/>
      <c r="AJP3" s="306"/>
      <c r="AJQ3" s="306"/>
      <c r="AJR3" s="306"/>
      <c r="AJS3" s="306"/>
      <c r="AJT3" s="306"/>
      <c r="AJU3" s="306"/>
      <c r="AJV3" s="306"/>
      <c r="AJW3" s="306"/>
      <c r="AJX3" s="306"/>
      <c r="AJY3" s="306"/>
      <c r="AJZ3" s="306"/>
      <c r="AKA3" s="306"/>
      <c r="AKB3" s="306"/>
      <c r="AKC3" s="306"/>
      <c r="AKD3" s="306"/>
      <c r="AKE3" s="306"/>
      <c r="AKF3" s="306"/>
      <c r="AKG3" s="306"/>
      <c r="AKH3" s="306"/>
      <c r="AKI3" s="306"/>
      <c r="AKJ3" s="306"/>
      <c r="AKK3" s="306"/>
      <c r="AKL3" s="306"/>
      <c r="AKM3" s="306"/>
      <c r="AKN3" s="306"/>
      <c r="AKO3" s="306"/>
      <c r="AKP3" s="306"/>
      <c r="AKQ3" s="306"/>
      <c r="AKR3" s="306"/>
      <c r="AKS3" s="306"/>
      <c r="AKT3" s="306"/>
      <c r="AKU3" s="306"/>
      <c r="AKV3" s="306"/>
      <c r="AKW3" s="306"/>
      <c r="AKX3" s="306"/>
      <c r="AKY3" s="306"/>
      <c r="AKZ3" s="306"/>
      <c r="ALA3" s="306"/>
      <c r="ALB3" s="306"/>
      <c r="ALC3" s="306"/>
      <c r="ALD3" s="306"/>
      <c r="ALE3" s="306"/>
      <c r="ALF3" s="306"/>
      <c r="ALG3" s="306"/>
      <c r="ALH3" s="306"/>
      <c r="ALI3" s="306"/>
      <c r="ALJ3" s="306"/>
      <c r="ALK3" s="306"/>
      <c r="ALL3" s="306"/>
      <c r="ALM3" s="306"/>
      <c r="ALN3" s="306"/>
      <c r="ALO3" s="306"/>
      <c r="ALP3" s="306"/>
      <c r="ALQ3" s="306"/>
      <c r="ALR3" s="306"/>
      <c r="ALS3" s="306"/>
      <c r="ALT3" s="306"/>
      <c r="ALU3" s="306"/>
      <c r="ALV3" s="306"/>
      <c r="ALW3" s="306"/>
      <c r="ALX3" s="306"/>
      <c r="ALY3" s="306"/>
      <c r="ALZ3" s="306"/>
      <c r="AMA3" s="306"/>
      <c r="AMB3" s="306"/>
      <c r="AMC3" s="306"/>
      <c r="AMD3" s="306"/>
      <c r="AME3" s="306"/>
      <c r="AMF3" s="306"/>
      <c r="AMG3" s="306"/>
      <c r="AMH3" s="306"/>
      <c r="AMI3" s="306"/>
      <c r="AMJ3" s="306"/>
      <c r="AMK3" s="306"/>
      <c r="AML3" s="306"/>
      <c r="AMM3" s="306"/>
      <c r="AMN3" s="306"/>
      <c r="AMO3" s="306"/>
      <c r="AMP3" s="306"/>
      <c r="AMQ3" s="306"/>
      <c r="AMR3" s="306"/>
      <c r="AMS3" s="306"/>
      <c r="AMT3" s="306"/>
      <c r="AMU3" s="306"/>
      <c r="AMV3" s="306"/>
      <c r="AMW3" s="306"/>
      <c r="AMX3" s="306"/>
      <c r="AMY3" s="306"/>
      <c r="AMZ3" s="306"/>
      <c r="ANA3" s="306"/>
      <c r="ANB3" s="306"/>
      <c r="ANC3" s="306"/>
      <c r="AND3" s="306"/>
      <c r="ANE3" s="306"/>
      <c r="ANF3" s="306"/>
      <c r="ANG3" s="306"/>
      <c r="ANH3" s="306"/>
      <c r="ANI3" s="306"/>
      <c r="ANJ3" s="306"/>
      <c r="ANK3" s="306"/>
      <c r="ANL3" s="306"/>
      <c r="ANM3" s="306"/>
      <c r="ANN3" s="306"/>
      <c r="ANO3" s="306"/>
      <c r="ANP3" s="306"/>
      <c r="ANQ3" s="306"/>
      <c r="ANR3" s="306"/>
      <c r="ANS3" s="306"/>
      <c r="ANT3" s="306"/>
      <c r="ANU3" s="306"/>
      <c r="ANV3" s="306"/>
      <c r="ANW3" s="306"/>
      <c r="ANX3" s="306"/>
      <c r="ANY3" s="306"/>
      <c r="ANZ3" s="306"/>
      <c r="AOA3" s="306"/>
      <c r="AOB3" s="306"/>
      <c r="AOC3" s="306"/>
      <c r="AOD3" s="306"/>
      <c r="AOE3" s="306"/>
      <c r="AOF3" s="306"/>
      <c r="AOG3" s="306"/>
      <c r="AOH3" s="306"/>
      <c r="AOI3" s="306"/>
      <c r="AOJ3" s="306"/>
      <c r="AOK3" s="306"/>
      <c r="AOL3" s="306"/>
      <c r="AOM3" s="306"/>
      <c r="AON3" s="306"/>
      <c r="AOO3" s="306"/>
      <c r="AOP3" s="306"/>
      <c r="AOQ3" s="306"/>
      <c r="AOR3" s="306"/>
      <c r="AOS3" s="306"/>
      <c r="AOT3" s="306"/>
      <c r="AOU3" s="306"/>
      <c r="AOV3" s="306"/>
      <c r="AOW3" s="306"/>
      <c r="AOX3" s="306"/>
      <c r="AOY3" s="306"/>
      <c r="AOZ3" s="306"/>
      <c r="APA3" s="306"/>
      <c r="APB3" s="306"/>
      <c r="APC3" s="306"/>
      <c r="APD3" s="306"/>
      <c r="APE3" s="306"/>
      <c r="APF3" s="306"/>
      <c r="APG3" s="306"/>
      <c r="APH3" s="306"/>
      <c r="API3" s="306"/>
      <c r="APJ3" s="306"/>
      <c r="APK3" s="306"/>
      <c r="APL3" s="306"/>
      <c r="APM3" s="306"/>
      <c r="APN3" s="306"/>
      <c r="APO3" s="306"/>
      <c r="APP3" s="306"/>
      <c r="APQ3" s="306"/>
      <c r="APR3" s="306"/>
      <c r="APS3" s="306"/>
      <c r="APT3" s="306"/>
      <c r="APU3" s="306"/>
      <c r="APV3" s="306"/>
      <c r="APW3" s="306"/>
      <c r="APX3" s="306"/>
      <c r="APY3" s="306"/>
      <c r="APZ3" s="306"/>
      <c r="AQA3" s="306"/>
      <c r="AQB3" s="306"/>
      <c r="AQC3" s="306"/>
      <c r="AQD3" s="306"/>
      <c r="AQE3" s="306"/>
      <c r="AQF3" s="306"/>
      <c r="AQG3" s="306"/>
      <c r="AQH3" s="306"/>
      <c r="AQI3" s="306"/>
      <c r="AQJ3" s="306"/>
      <c r="AQK3" s="306"/>
      <c r="AQL3" s="306"/>
      <c r="AQM3" s="306"/>
      <c r="AQN3" s="306"/>
      <c r="AQO3" s="306"/>
      <c r="AQP3" s="306"/>
      <c r="AQQ3" s="306"/>
      <c r="AQR3" s="306"/>
      <c r="AQS3" s="306"/>
      <c r="AQT3" s="306"/>
      <c r="AQU3" s="306"/>
      <c r="AQV3" s="306"/>
      <c r="AQW3" s="306"/>
      <c r="AQX3" s="306"/>
      <c r="AQY3" s="306"/>
      <c r="AQZ3" s="306"/>
      <c r="ARA3" s="306"/>
      <c r="ARB3" s="306"/>
      <c r="ARC3" s="306"/>
      <c r="ARD3" s="306"/>
      <c r="ARE3" s="306"/>
      <c r="ARF3" s="306"/>
      <c r="ARG3" s="306"/>
      <c r="ARH3" s="306"/>
      <c r="ARI3" s="306"/>
      <c r="ARJ3" s="306"/>
      <c r="ARK3" s="306"/>
      <c r="ARL3" s="306"/>
      <c r="ARM3" s="306"/>
      <c r="ARN3" s="306"/>
      <c r="ARO3" s="306"/>
      <c r="ARP3" s="306"/>
      <c r="ARQ3" s="306"/>
      <c r="ARR3" s="306"/>
      <c r="ARS3" s="306"/>
      <c r="ART3" s="306"/>
      <c r="ARU3" s="306"/>
      <c r="ARV3" s="306"/>
      <c r="ARW3" s="306"/>
      <c r="ARX3" s="306"/>
      <c r="ARY3" s="306"/>
      <c r="ARZ3" s="306"/>
      <c r="ASA3" s="306"/>
      <c r="ASB3" s="306"/>
      <c r="ASC3" s="306"/>
      <c r="ASD3" s="306"/>
      <c r="ASE3" s="306"/>
      <c r="ASF3" s="306"/>
      <c r="ASG3" s="306"/>
      <c r="ASH3" s="306"/>
      <c r="ASI3" s="306"/>
      <c r="ASJ3" s="306"/>
      <c r="ASK3" s="306"/>
      <c r="ASL3" s="306"/>
      <c r="ASM3" s="306"/>
      <c r="ASN3" s="306"/>
      <c r="ASO3" s="306"/>
      <c r="ASP3" s="306"/>
      <c r="ASQ3" s="306"/>
      <c r="ASR3" s="306"/>
      <c r="ASS3" s="306"/>
      <c r="AST3" s="306"/>
      <c r="ASU3" s="306"/>
      <c r="ASV3" s="306"/>
      <c r="ASW3" s="306"/>
      <c r="ASX3" s="306"/>
      <c r="ASY3" s="306"/>
      <c r="ASZ3" s="306"/>
      <c r="ATA3" s="306"/>
      <c r="ATB3" s="306"/>
      <c r="ATC3" s="306"/>
      <c r="ATD3" s="306"/>
      <c r="ATE3" s="306"/>
      <c r="ATF3" s="306"/>
      <c r="ATG3" s="306"/>
      <c r="ATH3" s="306"/>
      <c r="ATI3" s="306"/>
      <c r="ATJ3" s="306"/>
      <c r="ATK3" s="306"/>
      <c r="ATL3" s="306"/>
      <c r="ATM3" s="306"/>
      <c r="ATN3" s="306"/>
      <c r="ATO3" s="306"/>
      <c r="ATP3" s="306"/>
      <c r="ATQ3" s="306"/>
      <c r="ATR3" s="306"/>
      <c r="ATS3" s="306"/>
      <c r="ATT3" s="306"/>
      <c r="ATU3" s="306"/>
      <c r="ATV3" s="306"/>
      <c r="ATW3" s="306"/>
      <c r="ATX3" s="306"/>
      <c r="ATY3" s="306"/>
      <c r="ATZ3" s="306"/>
      <c r="AUA3" s="306"/>
      <c r="AUB3" s="306"/>
      <c r="AUC3" s="306"/>
      <c r="AUD3" s="306"/>
      <c r="AUE3" s="306"/>
      <c r="AUF3" s="306"/>
      <c r="AUG3" s="306"/>
      <c r="AUH3" s="306"/>
      <c r="AUI3" s="306"/>
      <c r="AUJ3" s="306"/>
      <c r="AUK3" s="306"/>
      <c r="AUL3" s="306"/>
      <c r="AUM3" s="306"/>
      <c r="AUN3" s="306"/>
      <c r="AUO3" s="306"/>
      <c r="AUP3" s="306"/>
      <c r="AUQ3" s="306"/>
      <c r="AUR3" s="306"/>
      <c r="AUS3" s="306"/>
      <c r="AUT3" s="306"/>
      <c r="AUU3" s="306"/>
      <c r="AUV3" s="306"/>
      <c r="AUW3" s="306"/>
      <c r="AUX3" s="306"/>
      <c r="AUY3" s="306"/>
      <c r="AUZ3" s="306"/>
      <c r="AVA3" s="306"/>
      <c r="AVB3" s="306"/>
      <c r="AVC3" s="306"/>
      <c r="AVD3" s="306"/>
      <c r="AVE3" s="306"/>
      <c r="AVF3" s="306"/>
      <c r="AVG3" s="306"/>
      <c r="AVH3" s="306"/>
      <c r="AVI3" s="306"/>
      <c r="AVJ3" s="306"/>
      <c r="AVK3" s="306"/>
      <c r="AVL3" s="306"/>
      <c r="AVM3" s="306"/>
      <c r="AVN3" s="306"/>
      <c r="AVO3" s="306"/>
      <c r="AVP3" s="306"/>
      <c r="AVQ3" s="306"/>
      <c r="AVR3" s="306"/>
      <c r="AVS3" s="306"/>
      <c r="AVT3" s="306"/>
      <c r="AVU3" s="306"/>
      <c r="AVV3" s="306"/>
      <c r="AVW3" s="306"/>
      <c r="AVX3" s="306"/>
      <c r="AVY3" s="306"/>
      <c r="AVZ3" s="306"/>
      <c r="AWA3" s="306"/>
      <c r="AWB3" s="306"/>
      <c r="AWC3" s="306"/>
      <c r="AWD3" s="306"/>
      <c r="AWE3" s="306"/>
      <c r="AWF3" s="306"/>
      <c r="AWG3" s="306"/>
      <c r="AWH3" s="306"/>
      <c r="AWI3" s="306"/>
      <c r="AWJ3" s="306"/>
      <c r="AWK3" s="306"/>
      <c r="AWL3" s="306"/>
      <c r="AWM3" s="306"/>
      <c r="AWN3" s="306"/>
      <c r="AWO3" s="306"/>
      <c r="AWP3" s="306"/>
      <c r="AWQ3" s="306"/>
      <c r="AWR3" s="306"/>
      <c r="AWS3" s="306"/>
      <c r="AWT3" s="306"/>
      <c r="AWU3" s="306"/>
      <c r="AWV3" s="306"/>
      <c r="AWW3" s="306"/>
      <c r="AWX3" s="306"/>
      <c r="AWY3" s="306"/>
      <c r="AWZ3" s="306"/>
      <c r="AXA3" s="306"/>
      <c r="AXB3" s="306"/>
      <c r="AXC3" s="306"/>
      <c r="AXD3" s="306"/>
      <c r="AXE3" s="306"/>
      <c r="AXF3" s="306"/>
      <c r="AXG3" s="306"/>
      <c r="AXH3" s="306"/>
      <c r="AXI3" s="306"/>
      <c r="AXJ3" s="306"/>
      <c r="AXK3" s="306"/>
      <c r="AXL3" s="306"/>
      <c r="AXM3" s="306"/>
      <c r="AXN3" s="306"/>
      <c r="AXO3" s="306"/>
      <c r="AXP3" s="306"/>
      <c r="AXQ3" s="306"/>
      <c r="AXR3" s="306"/>
      <c r="AXS3" s="306"/>
      <c r="AXT3" s="306"/>
      <c r="AXU3" s="306"/>
      <c r="AXV3" s="306"/>
      <c r="AXW3" s="306"/>
      <c r="AXX3" s="306"/>
      <c r="AXY3" s="306"/>
      <c r="AXZ3" s="306"/>
      <c r="AYA3" s="306"/>
      <c r="AYB3" s="306"/>
      <c r="AYC3" s="306"/>
      <c r="AYD3" s="306"/>
      <c r="AYE3" s="306"/>
      <c r="AYF3" s="306"/>
      <c r="AYG3" s="306"/>
      <c r="AYH3" s="306"/>
      <c r="AYI3" s="306"/>
      <c r="AYJ3" s="306"/>
      <c r="AYK3" s="306"/>
      <c r="AYL3" s="306"/>
      <c r="AYM3" s="306"/>
      <c r="AYN3" s="306"/>
      <c r="AYO3" s="306"/>
      <c r="AYP3" s="306"/>
      <c r="AYQ3" s="306"/>
      <c r="AYR3" s="306"/>
      <c r="AYS3" s="306"/>
      <c r="AYT3" s="306"/>
      <c r="AYU3" s="306"/>
      <c r="AYV3" s="306"/>
      <c r="AYW3" s="306"/>
      <c r="AYX3" s="306"/>
      <c r="AYY3" s="306"/>
      <c r="AYZ3" s="306"/>
      <c r="AZA3" s="306"/>
      <c r="AZB3" s="306"/>
      <c r="AZC3" s="306"/>
      <c r="AZD3" s="306"/>
      <c r="AZE3" s="306"/>
      <c r="AZF3" s="306"/>
      <c r="AZG3" s="306"/>
      <c r="AZH3" s="306"/>
      <c r="AZI3" s="306"/>
      <c r="AZJ3" s="306"/>
      <c r="AZK3" s="306"/>
      <c r="AZL3" s="306"/>
      <c r="AZM3" s="306"/>
      <c r="AZN3" s="306"/>
      <c r="AZO3" s="306"/>
      <c r="AZP3" s="306"/>
      <c r="AZQ3" s="306"/>
      <c r="AZR3" s="306"/>
      <c r="AZS3" s="306"/>
      <c r="AZT3" s="306"/>
      <c r="AZU3" s="306"/>
      <c r="AZV3" s="306"/>
      <c r="AZW3" s="306"/>
      <c r="AZX3" s="306"/>
      <c r="AZY3" s="306"/>
      <c r="AZZ3" s="306"/>
      <c r="BAA3" s="306"/>
      <c r="BAB3" s="306"/>
      <c r="BAC3" s="306"/>
      <c r="BAD3" s="306"/>
      <c r="BAE3" s="306"/>
      <c r="BAF3" s="306"/>
      <c r="BAG3" s="306"/>
      <c r="BAH3" s="306"/>
      <c r="BAI3" s="306"/>
      <c r="BAJ3" s="306"/>
      <c r="BAK3" s="306"/>
      <c r="BAL3" s="306"/>
      <c r="BAM3" s="306"/>
      <c r="BAN3" s="306"/>
      <c r="BAO3" s="306"/>
      <c r="BAP3" s="306"/>
      <c r="BAQ3" s="306"/>
      <c r="BAR3" s="306"/>
      <c r="BAS3" s="306"/>
      <c r="BAT3" s="306"/>
      <c r="BAU3" s="306"/>
      <c r="BAV3" s="306"/>
      <c r="BAW3" s="306"/>
      <c r="BAX3" s="306"/>
      <c r="BAY3" s="306"/>
      <c r="BAZ3" s="306"/>
      <c r="BBA3" s="306"/>
      <c r="BBB3" s="306"/>
      <c r="BBC3" s="306"/>
      <c r="BBD3" s="306"/>
      <c r="BBE3" s="306"/>
      <c r="BBF3" s="306"/>
      <c r="BBG3" s="306"/>
      <c r="BBH3" s="306"/>
      <c r="BBI3" s="306"/>
      <c r="BBJ3" s="306"/>
      <c r="BBK3" s="306"/>
      <c r="BBL3" s="306"/>
      <c r="BBM3" s="306"/>
      <c r="BBN3" s="306"/>
      <c r="BBO3" s="306"/>
      <c r="BBP3" s="306"/>
      <c r="BBQ3" s="306"/>
      <c r="BBR3" s="306"/>
      <c r="BBS3" s="306"/>
      <c r="BBT3" s="306"/>
      <c r="BBU3" s="306"/>
      <c r="BBV3" s="306"/>
      <c r="BBW3" s="306"/>
      <c r="BBX3" s="306"/>
      <c r="BBY3" s="306"/>
      <c r="BBZ3" s="306"/>
      <c r="BCA3" s="306"/>
      <c r="BCB3" s="306"/>
      <c r="BCC3" s="306"/>
      <c r="BCD3" s="306"/>
      <c r="BCE3" s="306"/>
      <c r="BCF3" s="306"/>
      <c r="BCG3" s="306"/>
      <c r="BCH3" s="306"/>
      <c r="BCI3" s="306"/>
      <c r="BCJ3" s="306"/>
      <c r="BCK3" s="306"/>
      <c r="BCL3" s="306"/>
      <c r="BCM3" s="306"/>
      <c r="BCN3" s="306"/>
      <c r="BCO3" s="306"/>
      <c r="BCP3" s="306"/>
      <c r="BCQ3" s="306"/>
      <c r="BCR3" s="306"/>
      <c r="BCS3" s="306"/>
      <c r="BCT3" s="306"/>
      <c r="BCU3" s="306"/>
      <c r="BCV3" s="306"/>
      <c r="BCW3" s="306"/>
      <c r="BCX3" s="306"/>
      <c r="BCY3" s="306"/>
      <c r="BCZ3" s="306"/>
      <c r="BDA3" s="306"/>
      <c r="BDB3" s="306"/>
      <c r="BDC3" s="306"/>
      <c r="BDD3" s="306"/>
      <c r="BDE3" s="306"/>
      <c r="BDF3" s="306"/>
      <c r="BDG3" s="306"/>
      <c r="BDH3" s="306"/>
      <c r="BDI3" s="306"/>
      <c r="BDJ3" s="306"/>
      <c r="BDK3" s="306"/>
      <c r="BDL3" s="306"/>
      <c r="BDM3" s="306"/>
      <c r="BDN3" s="306"/>
      <c r="BDO3" s="306"/>
      <c r="BDP3" s="306"/>
      <c r="BDQ3" s="306"/>
      <c r="BDR3" s="306"/>
      <c r="BDS3" s="306"/>
      <c r="BDT3" s="306"/>
      <c r="BDU3" s="306"/>
      <c r="BDV3" s="306"/>
      <c r="BDW3" s="306"/>
      <c r="BDX3" s="306"/>
      <c r="BDY3" s="306"/>
      <c r="BDZ3" s="306"/>
      <c r="BEA3" s="306"/>
      <c r="BEB3" s="306"/>
      <c r="BEC3" s="306"/>
      <c r="BED3" s="306"/>
      <c r="BEE3" s="306"/>
      <c r="BEF3" s="306"/>
      <c r="BEG3" s="306"/>
      <c r="BEH3" s="306"/>
      <c r="BEI3" s="306"/>
      <c r="BEJ3" s="306"/>
      <c r="BEK3" s="306"/>
      <c r="BEL3" s="306"/>
      <c r="BEM3" s="306"/>
      <c r="BEN3" s="306"/>
      <c r="BEO3" s="306"/>
      <c r="BEP3" s="306"/>
      <c r="BEQ3" s="306"/>
      <c r="BER3" s="306"/>
      <c r="BES3" s="306"/>
      <c r="BET3" s="306"/>
      <c r="BEU3" s="306"/>
      <c r="BEV3" s="306"/>
      <c r="BEW3" s="306"/>
      <c r="BEX3" s="306"/>
      <c r="BEY3" s="306"/>
      <c r="BEZ3" s="306"/>
      <c r="BFA3" s="306"/>
      <c r="BFB3" s="306"/>
      <c r="BFC3" s="306"/>
      <c r="BFD3" s="306"/>
      <c r="BFE3" s="306"/>
      <c r="BFF3" s="306"/>
      <c r="BFG3" s="306"/>
      <c r="BFH3" s="306"/>
      <c r="BFI3" s="306"/>
      <c r="BFJ3" s="306"/>
      <c r="BFK3" s="306"/>
      <c r="BFL3" s="306"/>
      <c r="BFM3" s="306"/>
      <c r="BFN3" s="306"/>
      <c r="BFO3" s="306"/>
      <c r="BFP3" s="306"/>
      <c r="BFQ3" s="306"/>
      <c r="BFR3" s="306"/>
      <c r="BFS3" s="306"/>
      <c r="BFT3" s="306"/>
      <c r="BFU3" s="306"/>
      <c r="BFV3" s="306"/>
      <c r="BFW3" s="306"/>
      <c r="BFX3" s="306"/>
      <c r="BFY3" s="306"/>
      <c r="BFZ3" s="306"/>
      <c r="BGA3" s="306"/>
      <c r="BGB3" s="306"/>
      <c r="BGC3" s="306"/>
      <c r="BGD3" s="306"/>
      <c r="BGE3" s="306"/>
      <c r="BGF3" s="306"/>
      <c r="BGG3" s="306"/>
      <c r="BGH3" s="306"/>
      <c r="BGI3" s="306"/>
      <c r="BGJ3" s="306"/>
      <c r="BGK3" s="306"/>
      <c r="BGL3" s="306"/>
      <c r="BGM3" s="306"/>
      <c r="BGN3" s="306"/>
      <c r="BGO3" s="306"/>
      <c r="BGP3" s="306"/>
      <c r="BGQ3" s="306"/>
      <c r="BGR3" s="306"/>
      <c r="BGS3" s="306"/>
      <c r="BGT3" s="306"/>
      <c r="BGU3" s="306"/>
      <c r="BGV3" s="306"/>
      <c r="BGW3" s="306"/>
      <c r="BGX3" s="306"/>
      <c r="BGY3" s="306"/>
      <c r="BGZ3" s="306"/>
      <c r="BHA3" s="306"/>
      <c r="BHB3" s="306"/>
      <c r="BHC3" s="306"/>
      <c r="BHD3" s="306"/>
      <c r="BHE3" s="306"/>
      <c r="BHF3" s="306"/>
      <c r="BHG3" s="306"/>
      <c r="BHH3" s="306"/>
      <c r="BHI3" s="306"/>
      <c r="BHJ3" s="306"/>
      <c r="BHK3" s="306"/>
      <c r="BHL3" s="306"/>
      <c r="BHM3" s="306"/>
      <c r="BHN3" s="306"/>
      <c r="BHO3" s="306"/>
      <c r="BHP3" s="306"/>
      <c r="BHQ3" s="306"/>
      <c r="BHR3" s="306"/>
      <c r="BHS3" s="306"/>
      <c r="BHT3" s="306"/>
      <c r="BHU3" s="306"/>
      <c r="BHV3" s="306"/>
      <c r="BHW3" s="306"/>
      <c r="BHX3" s="306"/>
      <c r="BHY3" s="306"/>
      <c r="BHZ3" s="306"/>
      <c r="BIA3" s="306"/>
      <c r="BIB3" s="306"/>
      <c r="BIC3" s="306"/>
      <c r="BID3" s="306"/>
      <c r="BIE3" s="306"/>
      <c r="BIF3" s="306"/>
      <c r="BIG3" s="306"/>
      <c r="BIH3" s="306"/>
      <c r="BII3" s="306"/>
      <c r="BIJ3" s="306"/>
      <c r="BIK3" s="306"/>
      <c r="BIL3" s="306"/>
      <c r="BIM3" s="306"/>
      <c r="BIN3" s="306"/>
      <c r="BIO3" s="306"/>
      <c r="BIP3" s="306"/>
      <c r="BIQ3" s="306"/>
      <c r="BIR3" s="306"/>
      <c r="BIS3" s="306"/>
      <c r="BIT3" s="306"/>
      <c r="BIU3" s="306"/>
      <c r="BIV3" s="306"/>
      <c r="BIW3" s="306"/>
      <c r="BIX3" s="306"/>
      <c r="BIY3" s="306"/>
      <c r="BIZ3" s="306"/>
      <c r="BJA3" s="306"/>
      <c r="BJB3" s="306"/>
      <c r="BJC3" s="306"/>
      <c r="BJD3" s="306"/>
      <c r="BJE3" s="306"/>
      <c r="BJF3" s="306"/>
      <c r="BJG3" s="306"/>
      <c r="BJH3" s="306"/>
      <c r="BJI3" s="306"/>
      <c r="BJJ3" s="306"/>
      <c r="BJK3" s="306"/>
      <c r="BJL3" s="306"/>
      <c r="BJM3" s="306"/>
      <c r="BJN3" s="306"/>
      <c r="BJO3" s="306"/>
      <c r="BJP3" s="306"/>
      <c r="BJQ3" s="306"/>
      <c r="BJR3" s="306"/>
      <c r="BJS3" s="306"/>
      <c r="BJT3" s="306"/>
      <c r="BJU3" s="306"/>
      <c r="BJV3" s="306"/>
      <c r="BJW3" s="306"/>
      <c r="BJX3" s="306"/>
      <c r="BJY3" s="306"/>
      <c r="BJZ3" s="306"/>
      <c r="BKA3" s="306"/>
      <c r="BKB3" s="306"/>
      <c r="BKC3" s="306"/>
      <c r="BKD3" s="306"/>
      <c r="BKE3" s="306"/>
      <c r="BKF3" s="306"/>
      <c r="BKG3" s="306"/>
      <c r="BKH3" s="306"/>
      <c r="BKI3" s="306"/>
      <c r="BKJ3" s="306"/>
      <c r="BKK3" s="306"/>
      <c r="BKL3" s="306"/>
      <c r="BKM3" s="306"/>
      <c r="BKN3" s="306"/>
      <c r="BKO3" s="306"/>
      <c r="BKP3" s="306"/>
      <c r="BKQ3" s="306"/>
      <c r="BKR3" s="306"/>
      <c r="BKS3" s="306"/>
      <c r="BKT3" s="306"/>
      <c r="BKU3" s="306"/>
      <c r="BKV3" s="306"/>
      <c r="BKW3" s="306"/>
      <c r="BKX3" s="306"/>
      <c r="BKY3" s="306"/>
      <c r="BKZ3" s="306"/>
      <c r="BLA3" s="306"/>
      <c r="BLB3" s="306"/>
      <c r="BLC3" s="306"/>
      <c r="BLD3" s="306"/>
      <c r="BLE3" s="306"/>
      <c r="BLF3" s="306"/>
      <c r="BLG3" s="306"/>
      <c r="BLH3" s="306"/>
      <c r="BLI3" s="306"/>
      <c r="BLJ3" s="306"/>
      <c r="BLK3" s="306"/>
      <c r="BLL3" s="306"/>
      <c r="BLM3" s="306"/>
      <c r="BLN3" s="306"/>
      <c r="BLO3" s="306"/>
      <c r="BLP3" s="306"/>
      <c r="BLQ3" s="306"/>
      <c r="BLR3" s="306"/>
      <c r="BLS3" s="306"/>
      <c r="BLT3" s="306"/>
      <c r="BLU3" s="306"/>
      <c r="BLV3" s="306"/>
      <c r="BLW3" s="306"/>
      <c r="BLX3" s="306"/>
      <c r="BLY3" s="306"/>
      <c r="BLZ3" s="306"/>
      <c r="BMA3" s="306"/>
      <c r="BMB3" s="306"/>
      <c r="BMC3" s="306"/>
      <c r="BMD3" s="306"/>
      <c r="BME3" s="306"/>
      <c r="BMF3" s="306"/>
      <c r="BMG3" s="306"/>
      <c r="BMH3" s="306"/>
      <c r="BMI3" s="306"/>
      <c r="BMJ3" s="306"/>
      <c r="BMK3" s="306"/>
      <c r="BML3" s="306"/>
      <c r="BMM3" s="306"/>
      <c r="BMN3" s="306"/>
      <c r="BMO3" s="306"/>
      <c r="BMP3" s="306"/>
      <c r="BMQ3" s="306"/>
      <c r="BMR3" s="306"/>
      <c r="BMS3" s="306"/>
      <c r="BMT3" s="306"/>
      <c r="BMU3" s="306"/>
      <c r="BMV3" s="306"/>
      <c r="BMW3" s="306"/>
      <c r="BMX3" s="306"/>
      <c r="BMY3" s="306"/>
      <c r="BMZ3" s="306"/>
      <c r="BNA3" s="306"/>
      <c r="BNB3" s="306"/>
      <c r="BNC3" s="306"/>
      <c r="BND3" s="306"/>
      <c r="BNE3" s="306"/>
      <c r="BNF3" s="306"/>
      <c r="BNG3" s="306"/>
      <c r="BNH3" s="306"/>
      <c r="BNI3" s="306"/>
      <c r="BNJ3" s="306"/>
      <c r="BNK3" s="306"/>
      <c r="BNL3" s="306"/>
      <c r="BNM3" s="306"/>
      <c r="BNN3" s="306"/>
      <c r="BNO3" s="306"/>
      <c r="BNP3" s="306"/>
      <c r="BNQ3" s="306"/>
      <c r="BNR3" s="306"/>
      <c r="BNS3" s="306"/>
      <c r="BNT3" s="306"/>
      <c r="BNU3" s="306"/>
      <c r="BNV3" s="306"/>
      <c r="BNW3" s="306"/>
      <c r="BNX3" s="306"/>
      <c r="BNY3" s="306"/>
      <c r="BNZ3" s="306"/>
      <c r="BOA3" s="306"/>
      <c r="BOB3" s="306"/>
      <c r="BOC3" s="306"/>
      <c r="BOD3" s="306"/>
      <c r="BOE3" s="306"/>
      <c r="BOF3" s="306"/>
      <c r="BOG3" s="306"/>
      <c r="BOH3" s="306"/>
      <c r="BOI3" s="306"/>
      <c r="BOJ3" s="306"/>
      <c r="BOK3" s="306"/>
      <c r="BOL3" s="306"/>
      <c r="BOM3" s="306"/>
      <c r="BON3" s="306"/>
      <c r="BOO3" s="306"/>
      <c r="BOP3" s="306"/>
      <c r="BOQ3" s="306"/>
      <c r="BOR3" s="306"/>
      <c r="BOS3" s="306"/>
      <c r="BOT3" s="306"/>
      <c r="BOU3" s="306"/>
      <c r="BOV3" s="306"/>
      <c r="BOW3" s="306"/>
      <c r="BOX3" s="306"/>
      <c r="BOY3" s="306"/>
      <c r="BOZ3" s="306"/>
      <c r="BPA3" s="306"/>
      <c r="BPB3" s="306"/>
      <c r="BPC3" s="306"/>
      <c r="BPD3" s="306"/>
      <c r="BPE3" s="306"/>
      <c r="BPF3" s="306"/>
      <c r="BPG3" s="306"/>
      <c r="BPH3" s="306"/>
      <c r="BPI3" s="306"/>
      <c r="BPJ3" s="306"/>
      <c r="BPK3" s="306"/>
      <c r="BPL3" s="306"/>
      <c r="BPM3" s="306"/>
      <c r="BPN3" s="306"/>
      <c r="BPO3" s="306"/>
      <c r="BPP3" s="306"/>
      <c r="BPQ3" s="306"/>
      <c r="BPR3" s="306"/>
      <c r="BPS3" s="306"/>
      <c r="BPT3" s="306"/>
      <c r="BPU3" s="306"/>
      <c r="BPV3" s="306"/>
      <c r="BPW3" s="306"/>
      <c r="BPX3" s="306"/>
      <c r="BPY3" s="306"/>
      <c r="BPZ3" s="306"/>
      <c r="BQA3" s="306"/>
      <c r="BQB3" s="306"/>
      <c r="BQC3" s="306"/>
      <c r="BQD3" s="306"/>
      <c r="BQE3" s="306"/>
      <c r="BQF3" s="306"/>
      <c r="BQG3" s="306"/>
      <c r="BQH3" s="306"/>
      <c r="BQI3" s="306"/>
      <c r="BQJ3" s="306"/>
      <c r="BQK3" s="306"/>
      <c r="BQL3" s="306"/>
      <c r="BQM3" s="306"/>
      <c r="BQN3" s="306"/>
      <c r="BQO3" s="306"/>
      <c r="BQP3" s="306"/>
      <c r="BQQ3" s="306"/>
      <c r="BQR3" s="306"/>
      <c r="BQS3" s="306"/>
      <c r="BQT3" s="306"/>
      <c r="BQU3" s="306"/>
      <c r="BQV3" s="306"/>
      <c r="BQW3" s="306"/>
      <c r="BQX3" s="306"/>
      <c r="BQY3" s="306"/>
      <c r="BQZ3" s="306"/>
      <c r="BRA3" s="306"/>
      <c r="BRB3" s="306"/>
      <c r="BRC3" s="306"/>
      <c r="BRD3" s="306"/>
      <c r="BRE3" s="306"/>
      <c r="BRF3" s="306"/>
      <c r="BRG3" s="306"/>
      <c r="BRH3" s="306"/>
      <c r="BRI3" s="306"/>
      <c r="BRJ3" s="306"/>
      <c r="BRK3" s="306"/>
      <c r="BRL3" s="306"/>
      <c r="BRM3" s="306"/>
      <c r="BRN3" s="306"/>
      <c r="BRO3" s="306"/>
      <c r="BRP3" s="306"/>
      <c r="BRQ3" s="306"/>
      <c r="BRR3" s="306"/>
      <c r="BRS3" s="306"/>
      <c r="BRT3" s="306"/>
      <c r="BRU3" s="306"/>
      <c r="BRV3" s="306"/>
      <c r="BRW3" s="306"/>
      <c r="BRX3" s="306"/>
      <c r="BRY3" s="306"/>
      <c r="BRZ3" s="306"/>
      <c r="BSA3" s="306"/>
      <c r="BSB3" s="306"/>
      <c r="BSC3" s="306"/>
      <c r="BSD3" s="306"/>
      <c r="BSE3" s="306"/>
      <c r="BSF3" s="306"/>
      <c r="BSG3" s="306"/>
      <c r="BSH3" s="306"/>
      <c r="BSI3" s="306"/>
      <c r="BSJ3" s="306"/>
      <c r="BSK3" s="306"/>
      <c r="BSL3" s="306"/>
      <c r="BSM3" s="306"/>
      <c r="BSN3" s="306"/>
      <c r="BSO3" s="306"/>
      <c r="BSP3" s="306"/>
      <c r="BSQ3" s="306"/>
      <c r="BSR3" s="306"/>
      <c r="BSS3" s="306"/>
      <c r="BST3" s="306"/>
      <c r="BSU3" s="306"/>
      <c r="BSV3" s="306"/>
      <c r="BSW3" s="306"/>
      <c r="BSX3" s="306"/>
      <c r="BSY3" s="306"/>
      <c r="BSZ3" s="306"/>
      <c r="BTA3" s="306"/>
      <c r="BTB3" s="306"/>
      <c r="BTC3" s="306"/>
      <c r="BTD3" s="306"/>
      <c r="BTE3" s="306"/>
      <c r="BTF3" s="306"/>
      <c r="BTG3" s="306"/>
      <c r="BTH3" s="306"/>
      <c r="BTI3" s="306"/>
      <c r="BTJ3" s="306"/>
      <c r="BTK3" s="306"/>
      <c r="BTL3" s="306"/>
      <c r="BTM3" s="306"/>
      <c r="BTN3" s="306"/>
      <c r="BTO3" s="306"/>
      <c r="BTP3" s="306"/>
      <c r="BTQ3" s="306"/>
      <c r="BTR3" s="306"/>
      <c r="BTS3" s="306"/>
      <c r="BTT3" s="306"/>
      <c r="BTU3" s="306"/>
      <c r="BTV3" s="306"/>
      <c r="BTW3" s="306"/>
      <c r="BTX3" s="306"/>
      <c r="BTY3" s="306"/>
      <c r="BTZ3" s="306"/>
      <c r="BUA3" s="306"/>
      <c r="BUB3" s="306"/>
      <c r="BUC3" s="306"/>
      <c r="BUD3" s="306"/>
      <c r="BUE3" s="306"/>
      <c r="BUF3" s="306"/>
      <c r="BUG3" s="306"/>
      <c r="BUH3" s="306"/>
      <c r="BUI3" s="306"/>
      <c r="BUJ3" s="306"/>
      <c r="BUK3" s="306"/>
      <c r="BUL3" s="306"/>
      <c r="BUM3" s="306"/>
      <c r="BUN3" s="306"/>
      <c r="BUO3" s="306"/>
      <c r="BUP3" s="306"/>
      <c r="BUQ3" s="306"/>
      <c r="BUR3" s="306"/>
      <c r="BUS3" s="306"/>
      <c r="BUT3" s="306"/>
      <c r="BUU3" s="306"/>
      <c r="BUV3" s="306"/>
      <c r="BUW3" s="306"/>
      <c r="BUX3" s="306"/>
      <c r="BUY3" s="306"/>
      <c r="BUZ3" s="306"/>
      <c r="BVA3" s="306"/>
      <c r="BVB3" s="306"/>
      <c r="BVC3" s="306"/>
      <c r="BVD3" s="306"/>
      <c r="BVE3" s="306"/>
      <c r="BVF3" s="306"/>
      <c r="BVG3" s="306"/>
      <c r="BVH3" s="306"/>
      <c r="BVI3" s="306"/>
      <c r="BVJ3" s="306"/>
      <c r="BVK3" s="306"/>
      <c r="BVL3" s="306"/>
      <c r="BVM3" s="306"/>
      <c r="BVN3" s="306"/>
      <c r="BVO3" s="306"/>
      <c r="BVP3" s="306"/>
      <c r="BVQ3" s="306"/>
      <c r="BVR3" s="306"/>
      <c r="BVS3" s="306"/>
      <c r="BVT3" s="306"/>
      <c r="BVU3" s="306"/>
      <c r="BVV3" s="306"/>
      <c r="BVW3" s="306"/>
      <c r="BVX3" s="306"/>
      <c r="BVY3" s="306"/>
      <c r="BVZ3" s="306"/>
      <c r="BWA3" s="306"/>
      <c r="BWB3" s="306"/>
      <c r="BWC3" s="306"/>
      <c r="BWD3" s="306"/>
      <c r="BWE3" s="306"/>
      <c r="BWF3" s="306"/>
      <c r="BWG3" s="306"/>
      <c r="BWH3" s="306"/>
      <c r="BWI3" s="306"/>
      <c r="BWJ3" s="306"/>
      <c r="BWK3" s="306"/>
      <c r="BWL3" s="306"/>
      <c r="BWM3" s="306"/>
      <c r="BWN3" s="306"/>
      <c r="BWO3" s="306"/>
      <c r="BWP3" s="306"/>
      <c r="BWQ3" s="306"/>
      <c r="BWR3" s="306"/>
      <c r="BWS3" s="306"/>
      <c r="BWT3" s="306"/>
      <c r="BWU3" s="306"/>
      <c r="BWV3" s="306"/>
      <c r="BWW3" s="306"/>
      <c r="BWX3" s="306"/>
      <c r="BWY3" s="306"/>
      <c r="BWZ3" s="306"/>
      <c r="BXA3" s="306"/>
      <c r="BXB3" s="306"/>
      <c r="BXC3" s="306"/>
      <c r="BXD3" s="306"/>
      <c r="BXE3" s="306"/>
      <c r="BXF3" s="306"/>
      <c r="BXG3" s="306"/>
      <c r="BXH3" s="306"/>
      <c r="BXI3" s="306"/>
      <c r="BXJ3" s="306"/>
      <c r="BXK3" s="306"/>
      <c r="BXL3" s="306"/>
      <c r="BXM3" s="306"/>
      <c r="BXN3" s="306"/>
      <c r="BXO3" s="306"/>
      <c r="BXP3" s="306"/>
      <c r="BXQ3" s="306"/>
      <c r="BXR3" s="306"/>
      <c r="BXS3" s="306"/>
      <c r="BXT3" s="306"/>
      <c r="BXU3" s="306"/>
      <c r="BXV3" s="306"/>
      <c r="BXW3" s="306"/>
      <c r="BXX3" s="306"/>
      <c r="BXY3" s="306"/>
      <c r="BXZ3" s="306"/>
      <c r="BYA3" s="306"/>
      <c r="BYB3" s="306"/>
      <c r="BYC3" s="306"/>
      <c r="BYD3" s="306"/>
      <c r="BYE3" s="306"/>
      <c r="BYF3" s="306"/>
      <c r="BYG3" s="306"/>
      <c r="BYH3" s="306"/>
      <c r="BYI3" s="306"/>
      <c r="BYJ3" s="306"/>
      <c r="BYK3" s="306"/>
      <c r="BYL3" s="306"/>
      <c r="BYM3" s="306"/>
      <c r="BYN3" s="306"/>
      <c r="BYO3" s="306"/>
      <c r="BYP3" s="306"/>
      <c r="BYQ3" s="306"/>
      <c r="BYR3" s="306"/>
      <c r="BYS3" s="306"/>
      <c r="BYT3" s="306"/>
      <c r="BYU3" s="306"/>
      <c r="BYV3" s="306"/>
      <c r="BYW3" s="306"/>
      <c r="BYX3" s="306"/>
      <c r="BYY3" s="306"/>
      <c r="BYZ3" s="306"/>
      <c r="BZA3" s="306"/>
      <c r="BZB3" s="306"/>
      <c r="BZC3" s="306"/>
      <c r="BZD3" s="306"/>
      <c r="BZE3" s="306"/>
      <c r="BZF3" s="306"/>
      <c r="BZG3" s="306"/>
      <c r="BZH3" s="306"/>
      <c r="BZI3" s="306"/>
      <c r="BZJ3" s="306"/>
      <c r="BZK3" s="306"/>
      <c r="BZL3" s="306"/>
      <c r="BZM3" s="306"/>
      <c r="BZN3" s="306"/>
      <c r="BZO3" s="306"/>
      <c r="BZP3" s="306"/>
      <c r="BZQ3" s="306"/>
      <c r="BZR3" s="306"/>
      <c r="BZS3" s="306"/>
      <c r="BZT3" s="306"/>
      <c r="BZU3" s="306"/>
      <c r="BZV3" s="306"/>
      <c r="BZW3" s="306"/>
      <c r="BZX3" s="306"/>
      <c r="BZY3" s="306"/>
      <c r="BZZ3" s="306"/>
      <c r="CAA3" s="306"/>
      <c r="CAB3" s="306"/>
      <c r="CAC3" s="306"/>
      <c r="CAD3" s="306"/>
      <c r="CAE3" s="306"/>
      <c r="CAF3" s="306"/>
      <c r="CAG3" s="306"/>
      <c r="CAH3" s="306"/>
      <c r="CAI3" s="306"/>
      <c r="CAJ3" s="306"/>
      <c r="CAK3" s="306"/>
      <c r="CAL3" s="306"/>
      <c r="CAM3" s="306"/>
      <c r="CAN3" s="306"/>
      <c r="CAO3" s="306"/>
      <c r="CAP3" s="306"/>
      <c r="CAQ3" s="306"/>
      <c r="CAR3" s="306"/>
      <c r="CAS3" s="306"/>
      <c r="CAT3" s="306"/>
      <c r="CAU3" s="306"/>
      <c r="CAV3" s="306"/>
      <c r="CAW3" s="306"/>
      <c r="CAX3" s="306"/>
      <c r="CAY3" s="306"/>
      <c r="CAZ3" s="306"/>
      <c r="CBA3" s="306"/>
      <c r="CBB3" s="306"/>
      <c r="CBC3" s="306"/>
      <c r="CBD3" s="306"/>
      <c r="CBE3" s="306"/>
      <c r="CBF3" s="306"/>
      <c r="CBG3" s="306"/>
      <c r="CBH3" s="306"/>
      <c r="CBI3" s="306"/>
      <c r="CBJ3" s="306"/>
      <c r="CBK3" s="306"/>
      <c r="CBL3" s="306"/>
      <c r="CBM3" s="306"/>
      <c r="CBN3" s="306"/>
      <c r="CBO3" s="306"/>
      <c r="CBP3" s="306"/>
      <c r="CBQ3" s="306"/>
      <c r="CBR3" s="306"/>
      <c r="CBS3" s="306"/>
      <c r="CBT3" s="306"/>
      <c r="CBU3" s="306"/>
      <c r="CBV3" s="306"/>
      <c r="CBW3" s="306"/>
      <c r="CBX3" s="306"/>
      <c r="CBY3" s="306"/>
      <c r="CBZ3" s="306"/>
      <c r="CCA3" s="306"/>
      <c r="CCB3" s="306"/>
      <c r="CCC3" s="306"/>
      <c r="CCD3" s="306"/>
      <c r="CCE3" s="306"/>
      <c r="CCF3" s="306"/>
      <c r="CCG3" s="306"/>
      <c r="CCH3" s="306"/>
      <c r="CCI3" s="306"/>
      <c r="CCJ3" s="306"/>
      <c r="CCK3" s="306"/>
      <c r="CCL3" s="306"/>
      <c r="CCM3" s="306"/>
      <c r="CCN3" s="306"/>
      <c r="CCO3" s="306"/>
      <c r="CCP3" s="306"/>
      <c r="CCQ3" s="306"/>
      <c r="CCR3" s="306"/>
      <c r="CCS3" s="306"/>
      <c r="CCT3" s="306"/>
      <c r="CCU3" s="306"/>
      <c r="CCV3" s="306"/>
      <c r="CCW3" s="306"/>
      <c r="CCX3" s="306"/>
      <c r="CCY3" s="306"/>
      <c r="CCZ3" s="306"/>
      <c r="CDA3" s="306"/>
      <c r="CDB3" s="306"/>
      <c r="CDC3" s="306"/>
      <c r="CDD3" s="306"/>
      <c r="CDE3" s="306"/>
      <c r="CDF3" s="306"/>
      <c r="CDG3" s="306"/>
      <c r="CDH3" s="306"/>
      <c r="CDI3" s="306"/>
      <c r="CDJ3" s="306"/>
      <c r="CDK3" s="306"/>
      <c r="CDL3" s="306"/>
      <c r="CDM3" s="306"/>
      <c r="CDN3" s="306"/>
      <c r="CDO3" s="306"/>
      <c r="CDP3" s="306"/>
      <c r="CDQ3" s="306"/>
      <c r="CDR3" s="306"/>
      <c r="CDS3" s="306"/>
      <c r="CDT3" s="306"/>
      <c r="CDU3" s="306"/>
      <c r="CDV3" s="306"/>
      <c r="CDW3" s="306"/>
      <c r="CDX3" s="306"/>
      <c r="CDY3" s="306"/>
      <c r="CDZ3" s="306"/>
      <c r="CEA3" s="306"/>
      <c r="CEB3" s="306"/>
      <c r="CEC3" s="306"/>
      <c r="CED3" s="306"/>
      <c r="CEE3" s="306"/>
      <c r="CEF3" s="306"/>
      <c r="CEG3" s="306"/>
      <c r="CEH3" s="306"/>
      <c r="CEI3" s="306"/>
      <c r="CEJ3" s="306"/>
      <c r="CEK3" s="306"/>
      <c r="CEL3" s="306"/>
      <c r="CEM3" s="306"/>
      <c r="CEN3" s="306"/>
      <c r="CEO3" s="306"/>
      <c r="CEP3" s="306"/>
      <c r="CEQ3" s="306"/>
      <c r="CER3" s="306"/>
      <c r="CES3" s="306"/>
      <c r="CET3" s="306"/>
      <c r="CEU3" s="306"/>
      <c r="CEV3" s="306"/>
      <c r="CEW3" s="306"/>
      <c r="CEX3" s="306"/>
      <c r="CEY3" s="306"/>
      <c r="CEZ3" s="306"/>
      <c r="CFA3" s="306"/>
      <c r="CFB3" s="306"/>
      <c r="CFC3" s="306"/>
      <c r="CFD3" s="306"/>
      <c r="CFE3" s="306"/>
      <c r="CFF3" s="306"/>
      <c r="CFG3" s="306"/>
      <c r="CFH3" s="306"/>
      <c r="CFI3" s="306"/>
      <c r="CFJ3" s="306"/>
      <c r="CFK3" s="306"/>
      <c r="CFL3" s="306"/>
      <c r="CFM3" s="306"/>
      <c r="CFN3" s="306"/>
      <c r="CFO3" s="306"/>
      <c r="CFP3" s="306"/>
      <c r="CFQ3" s="306"/>
      <c r="CFR3" s="306"/>
      <c r="CFS3" s="306"/>
      <c r="CFT3" s="306"/>
      <c r="CFU3" s="306"/>
      <c r="CFV3" s="306"/>
      <c r="CFW3" s="306"/>
      <c r="CFX3" s="306"/>
      <c r="CFY3" s="306"/>
      <c r="CFZ3" s="306"/>
      <c r="CGA3" s="306"/>
      <c r="CGB3" s="306"/>
      <c r="CGC3" s="306"/>
      <c r="CGD3" s="306"/>
      <c r="CGE3" s="306"/>
      <c r="CGF3" s="306"/>
      <c r="CGG3" s="306"/>
      <c r="CGH3" s="306"/>
      <c r="CGI3" s="306"/>
      <c r="CGJ3" s="306"/>
      <c r="CGK3" s="306"/>
      <c r="CGL3" s="306"/>
      <c r="CGM3" s="306"/>
      <c r="CGN3" s="306"/>
      <c r="CGO3" s="306"/>
      <c r="CGP3" s="306"/>
      <c r="CGQ3" s="306"/>
      <c r="CGR3" s="306"/>
      <c r="CGS3" s="306"/>
      <c r="CGT3" s="306"/>
      <c r="CGU3" s="306"/>
      <c r="CGV3" s="306"/>
      <c r="CGW3" s="306"/>
      <c r="CGX3" s="306"/>
      <c r="CGY3" s="306"/>
      <c r="CGZ3" s="306"/>
      <c r="CHA3" s="306"/>
      <c r="CHB3" s="306"/>
      <c r="CHC3" s="306"/>
      <c r="CHD3" s="306"/>
      <c r="CHE3" s="306"/>
      <c r="CHF3" s="306"/>
      <c r="CHG3" s="306"/>
      <c r="CHH3" s="306"/>
      <c r="CHI3" s="306"/>
      <c r="CHJ3" s="306"/>
      <c r="CHK3" s="306"/>
      <c r="CHL3" s="306"/>
      <c r="CHM3" s="306"/>
      <c r="CHN3" s="306"/>
      <c r="CHO3" s="306"/>
      <c r="CHP3" s="306"/>
      <c r="CHQ3" s="306"/>
      <c r="CHR3" s="306"/>
      <c r="CHS3" s="306"/>
      <c r="CHT3" s="306"/>
      <c r="CHU3" s="306"/>
      <c r="CHV3" s="306"/>
      <c r="CHW3" s="306"/>
      <c r="CHX3" s="306"/>
      <c r="CHY3" s="306"/>
      <c r="CHZ3" s="306"/>
      <c r="CIA3" s="306"/>
      <c r="CIB3" s="306"/>
      <c r="CIC3" s="306"/>
      <c r="CID3" s="306"/>
      <c r="CIE3" s="306"/>
      <c r="CIF3" s="306"/>
      <c r="CIG3" s="306"/>
      <c r="CIH3" s="306"/>
      <c r="CII3" s="306"/>
      <c r="CIJ3" s="306"/>
      <c r="CIK3" s="306"/>
      <c r="CIL3" s="306"/>
      <c r="CIM3" s="306"/>
      <c r="CIN3" s="306"/>
      <c r="CIO3" s="306"/>
      <c r="CIP3" s="306"/>
      <c r="CIQ3" s="306"/>
      <c r="CIR3" s="306"/>
      <c r="CIS3" s="306"/>
      <c r="CIT3" s="306"/>
      <c r="CIU3" s="306"/>
      <c r="CIV3" s="306"/>
      <c r="CIW3" s="306"/>
      <c r="CIX3" s="306"/>
      <c r="CIY3" s="306"/>
      <c r="CIZ3" s="306"/>
      <c r="CJA3" s="306"/>
      <c r="CJB3" s="306"/>
      <c r="CJC3" s="306"/>
      <c r="CJD3" s="306"/>
      <c r="CJE3" s="306"/>
      <c r="CJF3" s="306"/>
      <c r="CJG3" s="306"/>
      <c r="CJH3" s="306"/>
      <c r="CJI3" s="306"/>
      <c r="CJJ3" s="306"/>
      <c r="CJK3" s="306"/>
      <c r="CJL3" s="306"/>
      <c r="CJM3" s="306"/>
      <c r="CJN3" s="306"/>
      <c r="CJO3" s="306"/>
      <c r="CJP3" s="306"/>
      <c r="CJQ3" s="306"/>
      <c r="CJR3" s="306"/>
      <c r="CJS3" s="306"/>
      <c r="CJT3" s="306"/>
      <c r="CJU3" s="306"/>
      <c r="CJV3" s="306"/>
      <c r="CJW3" s="306"/>
      <c r="CJX3" s="306"/>
      <c r="CJY3" s="306"/>
      <c r="CJZ3" s="306"/>
      <c r="CKA3" s="306"/>
      <c r="CKB3" s="306"/>
      <c r="CKC3" s="306"/>
      <c r="CKD3" s="306"/>
      <c r="CKE3" s="306"/>
      <c r="CKF3" s="306"/>
      <c r="CKG3" s="306"/>
      <c r="CKH3" s="306"/>
      <c r="CKI3" s="306"/>
      <c r="CKJ3" s="306"/>
      <c r="CKK3" s="306"/>
      <c r="CKL3" s="306"/>
      <c r="CKM3" s="306"/>
      <c r="CKN3" s="306"/>
      <c r="CKO3" s="306"/>
      <c r="CKP3" s="306"/>
      <c r="CKQ3" s="306"/>
      <c r="CKR3" s="306"/>
      <c r="CKS3" s="306"/>
      <c r="CKT3" s="306"/>
      <c r="CKU3" s="306"/>
      <c r="CKV3" s="306"/>
      <c r="CKW3" s="306"/>
      <c r="CKX3" s="306"/>
      <c r="CKY3" s="306"/>
      <c r="CKZ3" s="306"/>
      <c r="CLA3" s="306"/>
      <c r="CLB3" s="306"/>
      <c r="CLC3" s="306"/>
      <c r="CLD3" s="306"/>
      <c r="CLE3" s="306"/>
      <c r="CLF3" s="306"/>
      <c r="CLG3" s="306"/>
      <c r="CLH3" s="306"/>
      <c r="CLI3" s="306"/>
      <c r="CLJ3" s="306"/>
      <c r="CLK3" s="306"/>
      <c r="CLL3" s="306"/>
      <c r="CLM3" s="306"/>
      <c r="CLN3" s="306"/>
      <c r="CLO3" s="306"/>
      <c r="CLP3" s="306"/>
      <c r="CLQ3" s="306"/>
      <c r="CLR3" s="306"/>
      <c r="CLS3" s="306"/>
      <c r="CLT3" s="306"/>
      <c r="CLU3" s="306"/>
      <c r="CLV3" s="306"/>
      <c r="CLW3" s="306"/>
      <c r="CLX3" s="306"/>
      <c r="CLY3" s="306"/>
      <c r="CLZ3" s="306"/>
      <c r="CMA3" s="306"/>
      <c r="CMB3" s="306"/>
      <c r="CMC3" s="306"/>
      <c r="CMD3" s="306"/>
      <c r="CME3" s="306"/>
      <c r="CMF3" s="306"/>
      <c r="CMG3" s="306"/>
      <c r="CMH3" s="306"/>
      <c r="CMI3" s="306"/>
      <c r="CMJ3" s="306"/>
      <c r="CMK3" s="306"/>
      <c r="CML3" s="306"/>
      <c r="CMM3" s="306"/>
      <c r="CMN3" s="306"/>
      <c r="CMO3" s="306"/>
      <c r="CMP3" s="306"/>
      <c r="CMQ3" s="306"/>
      <c r="CMR3" s="306"/>
      <c r="CMS3" s="306"/>
      <c r="CMT3" s="306"/>
      <c r="CMU3" s="306"/>
      <c r="CMV3" s="306"/>
      <c r="CMW3" s="306"/>
      <c r="CMX3" s="306"/>
      <c r="CMY3" s="306"/>
      <c r="CMZ3" s="306"/>
      <c r="CNA3" s="306"/>
      <c r="CNB3" s="306"/>
      <c r="CNC3" s="306"/>
      <c r="CND3" s="306"/>
      <c r="CNE3" s="306"/>
      <c r="CNF3" s="306"/>
      <c r="CNG3" s="306"/>
      <c r="CNH3" s="306"/>
      <c r="CNI3" s="306"/>
      <c r="CNJ3" s="306"/>
      <c r="CNK3" s="306"/>
      <c r="CNL3" s="306"/>
      <c r="CNM3" s="306"/>
      <c r="CNN3" s="306"/>
      <c r="CNO3" s="306"/>
      <c r="CNP3" s="306"/>
      <c r="CNQ3" s="306"/>
      <c r="CNR3" s="306"/>
      <c r="CNS3" s="306"/>
      <c r="CNT3" s="306"/>
      <c r="CNU3" s="306"/>
      <c r="CNV3" s="306"/>
      <c r="CNW3" s="306"/>
      <c r="CNX3" s="306"/>
      <c r="CNY3" s="306"/>
      <c r="CNZ3" s="306"/>
      <c r="COA3" s="306"/>
      <c r="COB3" s="306"/>
      <c r="COC3" s="306"/>
      <c r="COD3" s="306"/>
      <c r="COE3" s="306"/>
      <c r="COF3" s="306"/>
      <c r="COG3" s="306"/>
      <c r="COH3" s="306"/>
      <c r="COI3" s="306"/>
      <c r="COJ3" s="306"/>
      <c r="COK3" s="306"/>
      <c r="COL3" s="306"/>
      <c r="COM3" s="306"/>
      <c r="CON3" s="306"/>
      <c r="COO3" s="306"/>
      <c r="COP3" s="306"/>
      <c r="COQ3" s="306"/>
      <c r="COR3" s="306"/>
      <c r="COS3" s="306"/>
      <c r="COT3" s="306"/>
      <c r="COU3" s="306"/>
      <c r="COV3" s="306"/>
      <c r="COW3" s="306"/>
      <c r="COX3" s="306"/>
      <c r="COY3" s="306"/>
      <c r="COZ3" s="306"/>
      <c r="CPA3" s="306"/>
      <c r="CPB3" s="306"/>
      <c r="CPC3" s="306"/>
      <c r="CPD3" s="306"/>
      <c r="CPE3" s="306"/>
      <c r="CPF3" s="306"/>
      <c r="CPG3" s="306"/>
      <c r="CPH3" s="306"/>
      <c r="CPI3" s="306"/>
      <c r="CPJ3" s="306"/>
      <c r="CPK3" s="306"/>
      <c r="CPL3" s="306"/>
      <c r="CPM3" s="306"/>
      <c r="CPN3" s="306"/>
      <c r="CPO3" s="306"/>
      <c r="CPP3" s="306"/>
      <c r="CPQ3" s="306"/>
      <c r="CPR3" s="306"/>
      <c r="CPS3" s="306"/>
      <c r="CPT3" s="306"/>
      <c r="CPU3" s="306"/>
      <c r="CPV3" s="306"/>
      <c r="CPW3" s="306"/>
      <c r="CPX3" s="306"/>
      <c r="CPY3" s="306"/>
      <c r="CPZ3" s="306"/>
      <c r="CQA3" s="306"/>
      <c r="CQB3" s="306"/>
      <c r="CQC3" s="306"/>
      <c r="CQD3" s="306"/>
      <c r="CQE3" s="306"/>
      <c r="CQF3" s="306"/>
      <c r="CQG3" s="306"/>
      <c r="CQH3" s="306"/>
      <c r="CQI3" s="306"/>
      <c r="CQJ3" s="306"/>
      <c r="CQK3" s="306"/>
      <c r="CQL3" s="306"/>
      <c r="CQM3" s="306"/>
      <c r="CQN3" s="306"/>
      <c r="CQO3" s="306"/>
      <c r="CQP3" s="306"/>
      <c r="CQQ3" s="306"/>
      <c r="CQR3" s="306"/>
      <c r="CQS3" s="306"/>
      <c r="CQT3" s="306"/>
      <c r="CQU3" s="306"/>
      <c r="CQV3" s="306"/>
      <c r="CQW3" s="306"/>
      <c r="CQX3" s="306"/>
      <c r="CQY3" s="306"/>
      <c r="CQZ3" s="306"/>
      <c r="CRA3" s="306"/>
      <c r="CRB3" s="306"/>
      <c r="CRC3" s="306"/>
      <c r="CRD3" s="306"/>
      <c r="CRE3" s="306"/>
      <c r="CRF3" s="306"/>
      <c r="CRG3" s="306"/>
      <c r="CRH3" s="306"/>
      <c r="CRI3" s="306"/>
      <c r="CRJ3" s="306"/>
      <c r="CRK3" s="306"/>
      <c r="CRL3" s="306"/>
      <c r="CRM3" s="306"/>
      <c r="CRN3" s="306"/>
      <c r="CRO3" s="306"/>
      <c r="CRP3" s="306"/>
      <c r="CRQ3" s="306"/>
      <c r="CRR3" s="306"/>
      <c r="CRS3" s="306"/>
      <c r="CRT3" s="306"/>
      <c r="CRU3" s="306"/>
      <c r="CRV3" s="306"/>
      <c r="CRW3" s="306"/>
      <c r="CRX3" s="306"/>
      <c r="CRY3" s="306"/>
      <c r="CRZ3" s="306"/>
      <c r="CSA3" s="306"/>
      <c r="CSB3" s="306"/>
      <c r="CSC3" s="306"/>
      <c r="CSD3" s="306"/>
      <c r="CSE3" s="306"/>
      <c r="CSF3" s="306"/>
      <c r="CSG3" s="306"/>
      <c r="CSH3" s="306"/>
      <c r="CSI3" s="306"/>
      <c r="CSJ3" s="306"/>
      <c r="CSK3" s="306"/>
      <c r="CSL3" s="306"/>
      <c r="CSM3" s="306"/>
      <c r="CSN3" s="306"/>
      <c r="CSO3" s="306"/>
      <c r="CSP3" s="306"/>
      <c r="CSQ3" s="306"/>
      <c r="CSR3" s="306"/>
      <c r="CSS3" s="306"/>
      <c r="CST3" s="306"/>
      <c r="CSU3" s="306"/>
      <c r="CSV3" s="306"/>
      <c r="CSW3" s="306"/>
      <c r="CSX3" s="306"/>
      <c r="CSY3" s="306"/>
      <c r="CSZ3" s="306"/>
      <c r="CTA3" s="306"/>
      <c r="CTB3" s="306"/>
      <c r="CTC3" s="306"/>
      <c r="CTD3" s="306"/>
      <c r="CTE3" s="306"/>
      <c r="CTF3" s="306"/>
      <c r="CTG3" s="306"/>
      <c r="CTH3" s="306"/>
      <c r="CTI3" s="306"/>
      <c r="CTJ3" s="306"/>
      <c r="CTK3" s="306"/>
      <c r="CTL3" s="306"/>
      <c r="CTM3" s="306"/>
      <c r="CTN3" s="306"/>
      <c r="CTO3" s="306"/>
      <c r="CTP3" s="306"/>
      <c r="CTQ3" s="306"/>
      <c r="CTR3" s="306"/>
      <c r="CTS3" s="306"/>
      <c r="CTT3" s="306"/>
      <c r="CTU3" s="306"/>
      <c r="CTV3" s="306"/>
      <c r="CTW3" s="306"/>
      <c r="CTX3" s="306"/>
      <c r="CTY3" s="306"/>
      <c r="CTZ3" s="306"/>
      <c r="CUA3" s="306"/>
      <c r="CUB3" s="306"/>
      <c r="CUC3" s="306"/>
      <c r="CUD3" s="306"/>
      <c r="CUE3" s="306"/>
      <c r="CUF3" s="306"/>
      <c r="CUG3" s="306"/>
      <c r="CUH3" s="306"/>
      <c r="CUI3" s="306"/>
      <c r="CUJ3" s="306"/>
      <c r="CUK3" s="306"/>
      <c r="CUL3" s="306"/>
      <c r="CUM3" s="306"/>
      <c r="CUN3" s="306"/>
      <c r="CUO3" s="306"/>
      <c r="CUP3" s="306"/>
      <c r="CUQ3" s="306"/>
      <c r="CUR3" s="306"/>
      <c r="CUS3" s="306"/>
      <c r="CUT3" s="306"/>
      <c r="CUU3" s="306"/>
      <c r="CUV3" s="306"/>
      <c r="CUW3" s="306"/>
      <c r="CUX3" s="306"/>
      <c r="CUY3" s="306"/>
      <c r="CUZ3" s="306"/>
      <c r="CVA3" s="306"/>
      <c r="CVB3" s="306"/>
      <c r="CVC3" s="306"/>
      <c r="CVD3" s="306"/>
      <c r="CVE3" s="306"/>
      <c r="CVF3" s="306"/>
      <c r="CVG3" s="306"/>
      <c r="CVH3" s="306"/>
      <c r="CVI3" s="306"/>
      <c r="CVJ3" s="306"/>
      <c r="CVK3" s="306"/>
      <c r="CVL3" s="306"/>
      <c r="CVM3" s="306"/>
      <c r="CVN3" s="306"/>
      <c r="CVO3" s="306"/>
      <c r="CVP3" s="306"/>
      <c r="CVQ3" s="306"/>
      <c r="CVR3" s="306"/>
      <c r="CVS3" s="306"/>
      <c r="CVT3" s="306"/>
      <c r="CVU3" s="306"/>
      <c r="CVV3" s="306"/>
      <c r="CVW3" s="306"/>
      <c r="CVX3" s="306"/>
      <c r="CVY3" s="306"/>
      <c r="CVZ3" s="306"/>
      <c r="CWA3" s="306"/>
      <c r="CWB3" s="306"/>
      <c r="CWC3" s="306"/>
      <c r="CWD3" s="306"/>
      <c r="CWE3" s="306"/>
      <c r="CWF3" s="306"/>
      <c r="CWG3" s="306"/>
      <c r="CWH3" s="306"/>
      <c r="CWI3" s="306"/>
      <c r="CWJ3" s="306"/>
      <c r="CWK3" s="306"/>
      <c r="CWL3" s="306"/>
      <c r="CWM3" s="306"/>
      <c r="CWN3" s="306"/>
      <c r="CWO3" s="306"/>
      <c r="CWP3" s="306"/>
      <c r="CWQ3" s="306"/>
      <c r="CWR3" s="306"/>
      <c r="CWS3" s="306"/>
      <c r="CWT3" s="306"/>
      <c r="CWU3" s="306"/>
      <c r="CWV3" s="306"/>
      <c r="CWW3" s="306"/>
      <c r="CWX3" s="306"/>
      <c r="CWY3" s="306"/>
      <c r="CWZ3" s="306"/>
      <c r="CXA3" s="306"/>
      <c r="CXB3" s="306"/>
      <c r="CXC3" s="306"/>
      <c r="CXD3" s="306"/>
      <c r="CXE3" s="306"/>
      <c r="CXF3" s="306"/>
      <c r="CXG3" s="306"/>
      <c r="CXH3" s="306"/>
      <c r="CXI3" s="306"/>
      <c r="CXJ3" s="306"/>
      <c r="CXK3" s="306"/>
      <c r="CXL3" s="306"/>
      <c r="CXM3" s="306"/>
      <c r="CXN3" s="306"/>
      <c r="CXO3" s="306"/>
      <c r="CXP3" s="306"/>
      <c r="CXQ3" s="306"/>
      <c r="CXR3" s="306"/>
      <c r="CXS3" s="306"/>
      <c r="CXT3" s="306"/>
      <c r="CXU3" s="306"/>
      <c r="CXV3" s="306"/>
      <c r="CXW3" s="306"/>
      <c r="CXX3" s="306"/>
      <c r="CXY3" s="306"/>
      <c r="CXZ3" s="306"/>
      <c r="CYA3" s="306"/>
      <c r="CYB3" s="306"/>
      <c r="CYC3" s="306"/>
      <c r="CYD3" s="306"/>
      <c r="CYE3" s="306"/>
      <c r="CYF3" s="306"/>
      <c r="CYG3" s="306"/>
      <c r="CYH3" s="306"/>
      <c r="CYI3" s="306"/>
      <c r="CYJ3" s="306"/>
      <c r="CYK3" s="306"/>
      <c r="CYL3" s="306"/>
      <c r="CYM3" s="306"/>
      <c r="CYN3" s="306"/>
      <c r="CYO3" s="306"/>
      <c r="CYP3" s="306"/>
      <c r="CYQ3" s="306"/>
      <c r="CYR3" s="306"/>
      <c r="CYS3" s="306"/>
      <c r="CYT3" s="306"/>
      <c r="CYU3" s="306"/>
      <c r="CYV3" s="306"/>
      <c r="CYW3" s="306"/>
      <c r="CYX3" s="306"/>
      <c r="CYY3" s="306"/>
      <c r="CYZ3" s="306"/>
      <c r="CZA3" s="306"/>
      <c r="CZB3" s="306"/>
      <c r="CZC3" s="306"/>
      <c r="CZD3" s="306"/>
      <c r="CZE3" s="306"/>
      <c r="CZF3" s="306"/>
      <c r="CZG3" s="306"/>
      <c r="CZH3" s="306"/>
      <c r="CZI3" s="306"/>
      <c r="CZJ3" s="306"/>
      <c r="CZK3" s="306"/>
      <c r="CZL3" s="306"/>
      <c r="CZM3" s="306"/>
      <c r="CZN3" s="306"/>
      <c r="CZO3" s="306"/>
      <c r="CZP3" s="306"/>
      <c r="CZQ3" s="306"/>
      <c r="CZR3" s="306"/>
      <c r="CZS3" s="306"/>
      <c r="CZT3" s="306"/>
      <c r="CZU3" s="306"/>
      <c r="CZV3" s="306"/>
      <c r="CZW3" s="306"/>
      <c r="CZX3" s="306"/>
      <c r="CZY3" s="306"/>
      <c r="CZZ3" s="306"/>
      <c r="DAA3" s="306"/>
      <c r="DAB3" s="306"/>
      <c r="DAC3" s="306"/>
      <c r="DAD3" s="306"/>
      <c r="DAE3" s="306"/>
      <c r="DAF3" s="306"/>
      <c r="DAG3" s="306"/>
      <c r="DAH3" s="306"/>
      <c r="DAI3" s="306"/>
      <c r="DAJ3" s="306"/>
      <c r="DAK3" s="306"/>
      <c r="DAL3" s="306"/>
      <c r="DAM3" s="306"/>
      <c r="DAN3" s="306"/>
      <c r="DAO3" s="306"/>
      <c r="DAP3" s="306"/>
      <c r="DAQ3" s="306"/>
      <c r="DAR3" s="306"/>
      <c r="DAS3" s="306"/>
      <c r="DAT3" s="306"/>
      <c r="DAU3" s="306"/>
      <c r="DAV3" s="306"/>
      <c r="DAW3" s="306"/>
      <c r="DAX3" s="306"/>
      <c r="DAY3" s="306"/>
      <c r="DAZ3" s="306"/>
      <c r="DBA3" s="306"/>
      <c r="DBB3" s="306"/>
      <c r="DBC3" s="306"/>
      <c r="DBD3" s="306"/>
      <c r="DBE3" s="306"/>
      <c r="DBF3" s="306"/>
      <c r="DBG3" s="306"/>
      <c r="DBH3" s="306"/>
      <c r="DBI3" s="306"/>
      <c r="DBJ3" s="306"/>
      <c r="DBK3" s="306"/>
      <c r="DBL3" s="306"/>
      <c r="DBM3" s="306"/>
      <c r="DBN3" s="306"/>
      <c r="DBO3" s="306"/>
      <c r="DBP3" s="306"/>
      <c r="DBQ3" s="306"/>
      <c r="DBR3" s="306"/>
      <c r="DBS3" s="306"/>
      <c r="DBT3" s="306"/>
      <c r="DBU3" s="306"/>
      <c r="DBV3" s="306"/>
      <c r="DBW3" s="306"/>
      <c r="DBX3" s="306"/>
      <c r="DBY3" s="306"/>
      <c r="DBZ3" s="306"/>
      <c r="DCA3" s="306"/>
      <c r="DCB3" s="306"/>
      <c r="DCC3" s="306"/>
      <c r="DCD3" s="306"/>
      <c r="DCE3" s="306"/>
      <c r="DCF3" s="306"/>
      <c r="DCG3" s="306"/>
      <c r="DCH3" s="306"/>
      <c r="DCI3" s="306"/>
      <c r="DCJ3" s="306"/>
      <c r="DCK3" s="306"/>
      <c r="DCL3" s="306"/>
      <c r="DCM3" s="306"/>
      <c r="DCN3" s="306"/>
      <c r="DCO3" s="306"/>
      <c r="DCP3" s="306"/>
      <c r="DCQ3" s="306"/>
      <c r="DCR3" s="306"/>
      <c r="DCS3" s="306"/>
      <c r="DCT3" s="306"/>
      <c r="DCU3" s="306"/>
      <c r="DCV3" s="306"/>
      <c r="DCW3" s="306"/>
      <c r="DCX3" s="306"/>
      <c r="DCY3" s="306"/>
      <c r="DCZ3" s="306"/>
      <c r="DDA3" s="306"/>
      <c r="DDB3" s="306"/>
      <c r="DDC3" s="306"/>
      <c r="DDD3" s="306"/>
      <c r="DDE3" s="306"/>
      <c r="DDF3" s="306"/>
      <c r="DDG3" s="306"/>
      <c r="DDH3" s="306"/>
      <c r="DDI3" s="306"/>
      <c r="DDJ3" s="306"/>
      <c r="DDK3" s="306"/>
      <c r="DDL3" s="306"/>
      <c r="DDM3" s="306"/>
      <c r="DDN3" s="306"/>
      <c r="DDO3" s="306"/>
      <c r="DDP3" s="306"/>
      <c r="DDQ3" s="306"/>
      <c r="DDR3" s="306"/>
      <c r="DDS3" s="306"/>
      <c r="DDT3" s="306"/>
      <c r="DDU3" s="306"/>
      <c r="DDV3" s="306"/>
      <c r="DDW3" s="306"/>
      <c r="DDX3" s="306"/>
      <c r="DDY3" s="306"/>
      <c r="DDZ3" s="306"/>
      <c r="DEA3" s="306"/>
      <c r="DEB3" s="306"/>
      <c r="DEC3" s="306"/>
      <c r="DED3" s="306"/>
      <c r="DEE3" s="306"/>
      <c r="DEF3" s="306"/>
      <c r="DEG3" s="306"/>
      <c r="DEH3" s="306"/>
      <c r="DEI3" s="306"/>
      <c r="DEJ3" s="306"/>
      <c r="DEK3" s="306"/>
      <c r="DEL3" s="306"/>
      <c r="DEM3" s="306"/>
      <c r="DEN3" s="306"/>
      <c r="DEO3" s="306"/>
      <c r="DEP3" s="306"/>
      <c r="DEQ3" s="306"/>
      <c r="DER3" s="306"/>
      <c r="DES3" s="306"/>
      <c r="DET3" s="306"/>
      <c r="DEU3" s="306"/>
      <c r="DEV3" s="306"/>
      <c r="DEW3" s="306"/>
      <c r="DEX3" s="306"/>
      <c r="DEY3" s="306"/>
      <c r="DEZ3" s="306"/>
      <c r="DFA3" s="306"/>
      <c r="DFB3" s="306"/>
      <c r="DFC3" s="306"/>
      <c r="DFD3" s="306"/>
      <c r="DFE3" s="306"/>
      <c r="DFF3" s="306"/>
      <c r="DFG3" s="306"/>
      <c r="DFH3" s="306"/>
      <c r="DFI3" s="306"/>
      <c r="DFJ3" s="306"/>
      <c r="DFK3" s="306"/>
      <c r="DFL3" s="306"/>
      <c r="DFM3" s="306"/>
      <c r="DFN3" s="306"/>
      <c r="DFO3" s="306"/>
      <c r="DFP3" s="306"/>
      <c r="DFQ3" s="306"/>
      <c r="DFR3" s="306"/>
      <c r="DFS3" s="306"/>
      <c r="DFT3" s="306"/>
      <c r="DFU3" s="306"/>
      <c r="DFV3" s="306"/>
      <c r="DFW3" s="306"/>
      <c r="DFX3" s="306"/>
      <c r="DFY3" s="306"/>
      <c r="DFZ3" s="306"/>
      <c r="DGA3" s="306"/>
      <c r="DGB3" s="306"/>
      <c r="DGC3" s="306"/>
      <c r="DGD3" s="306"/>
      <c r="DGE3" s="306"/>
      <c r="DGF3" s="306"/>
      <c r="DGG3" s="306"/>
      <c r="DGH3" s="306"/>
      <c r="DGI3" s="306"/>
      <c r="DGJ3" s="306"/>
      <c r="DGK3" s="306"/>
      <c r="DGL3" s="306"/>
      <c r="DGM3" s="306"/>
      <c r="DGN3" s="306"/>
      <c r="DGO3" s="306"/>
      <c r="DGP3" s="306"/>
      <c r="DGQ3" s="306"/>
      <c r="DGR3" s="306"/>
      <c r="DGS3" s="306"/>
      <c r="DGT3" s="306"/>
      <c r="DGU3" s="306"/>
      <c r="DGV3" s="306"/>
      <c r="DGW3" s="306"/>
      <c r="DGX3" s="306"/>
      <c r="DGY3" s="306"/>
      <c r="DGZ3" s="306"/>
      <c r="DHA3" s="306"/>
      <c r="DHB3" s="306"/>
      <c r="DHC3" s="306"/>
      <c r="DHD3" s="306"/>
      <c r="DHE3" s="306"/>
      <c r="DHF3" s="306"/>
      <c r="DHG3" s="306"/>
      <c r="DHH3" s="306"/>
      <c r="DHI3" s="306"/>
      <c r="DHJ3" s="306"/>
      <c r="DHK3" s="306"/>
      <c r="DHL3" s="306"/>
      <c r="DHM3" s="306"/>
      <c r="DHN3" s="306"/>
      <c r="DHO3" s="306"/>
      <c r="DHP3" s="306"/>
      <c r="DHQ3" s="306"/>
      <c r="DHR3" s="306"/>
      <c r="DHS3" s="306"/>
      <c r="DHT3" s="306"/>
      <c r="DHU3" s="306"/>
      <c r="DHV3" s="306"/>
      <c r="DHW3" s="306"/>
      <c r="DHX3" s="306"/>
      <c r="DHY3" s="306"/>
      <c r="DHZ3" s="306"/>
      <c r="DIA3" s="306"/>
      <c r="DIB3" s="306"/>
      <c r="DIC3" s="306"/>
      <c r="DID3" s="306"/>
      <c r="DIE3" s="306"/>
      <c r="DIF3" s="306"/>
      <c r="DIG3" s="306"/>
      <c r="DIH3" s="306"/>
      <c r="DII3" s="306"/>
      <c r="DIJ3" s="306"/>
      <c r="DIK3" s="306"/>
      <c r="DIL3" s="306"/>
      <c r="DIM3" s="306"/>
      <c r="DIN3" s="306"/>
      <c r="DIO3" s="306"/>
      <c r="DIP3" s="306"/>
      <c r="DIQ3" s="306"/>
      <c r="DIR3" s="306"/>
      <c r="DIS3" s="306"/>
      <c r="DIT3" s="306"/>
      <c r="DIU3" s="306"/>
      <c r="DIV3" s="306"/>
      <c r="DIW3" s="306"/>
      <c r="DIX3" s="306"/>
      <c r="DIY3" s="306"/>
      <c r="DIZ3" s="306"/>
      <c r="DJA3" s="306"/>
      <c r="DJB3" s="306"/>
      <c r="DJC3" s="306"/>
      <c r="DJD3" s="306"/>
      <c r="DJE3" s="306"/>
      <c r="DJF3" s="306"/>
      <c r="DJG3" s="306"/>
      <c r="DJH3" s="306"/>
      <c r="DJI3" s="306"/>
      <c r="DJJ3" s="306"/>
      <c r="DJK3" s="306"/>
      <c r="DJL3" s="306"/>
      <c r="DJM3" s="306"/>
      <c r="DJN3" s="306"/>
      <c r="DJO3" s="306"/>
      <c r="DJP3" s="306"/>
      <c r="DJQ3" s="306"/>
      <c r="DJR3" s="306"/>
      <c r="DJS3" s="306"/>
      <c r="DJT3" s="306"/>
      <c r="DJU3" s="306"/>
      <c r="DJV3" s="306"/>
      <c r="DJW3" s="306"/>
      <c r="DJX3" s="306"/>
      <c r="DJY3" s="306"/>
      <c r="DJZ3" s="306"/>
      <c r="DKA3" s="306"/>
      <c r="DKB3" s="306"/>
      <c r="DKC3" s="306"/>
      <c r="DKD3" s="306"/>
      <c r="DKE3" s="306"/>
      <c r="DKF3" s="306"/>
      <c r="DKG3" s="306"/>
      <c r="DKH3" s="306"/>
      <c r="DKI3" s="306"/>
      <c r="DKJ3" s="306"/>
      <c r="DKK3" s="306"/>
      <c r="DKL3" s="306"/>
      <c r="DKM3" s="306"/>
      <c r="DKN3" s="306"/>
      <c r="DKO3" s="306"/>
      <c r="DKP3" s="306"/>
      <c r="DKQ3" s="306"/>
      <c r="DKR3" s="306"/>
      <c r="DKS3" s="306"/>
      <c r="DKT3" s="306"/>
      <c r="DKU3" s="306"/>
      <c r="DKV3" s="306"/>
      <c r="DKW3" s="306"/>
      <c r="DKX3" s="306"/>
      <c r="DKY3" s="306"/>
      <c r="DKZ3" s="306"/>
      <c r="DLA3" s="306"/>
      <c r="DLB3" s="306"/>
      <c r="DLC3" s="306"/>
      <c r="DLD3" s="306"/>
      <c r="DLE3" s="306"/>
      <c r="DLF3" s="306"/>
      <c r="DLG3" s="306"/>
      <c r="DLH3" s="306"/>
      <c r="DLI3" s="306"/>
      <c r="DLJ3" s="306"/>
      <c r="DLK3" s="306"/>
      <c r="DLL3" s="306"/>
      <c r="DLM3" s="306"/>
      <c r="DLN3" s="306"/>
      <c r="DLO3" s="306"/>
      <c r="DLP3" s="306"/>
      <c r="DLQ3" s="306"/>
      <c r="DLR3" s="306"/>
      <c r="DLS3" s="306"/>
      <c r="DLT3" s="306"/>
      <c r="DLU3" s="306"/>
      <c r="DLV3" s="306"/>
      <c r="DLW3" s="306"/>
      <c r="DLX3" s="306"/>
      <c r="DLY3" s="306"/>
      <c r="DLZ3" s="306"/>
      <c r="DMA3" s="306"/>
      <c r="DMB3" s="306"/>
      <c r="DMC3" s="306"/>
      <c r="DMD3" s="306"/>
      <c r="DME3" s="306"/>
      <c r="DMF3" s="306"/>
      <c r="DMG3" s="306"/>
      <c r="DMH3" s="306"/>
      <c r="DMI3" s="306"/>
      <c r="DMJ3" s="306"/>
      <c r="DMK3" s="306"/>
      <c r="DML3" s="306"/>
      <c r="DMM3" s="306"/>
      <c r="DMN3" s="306"/>
      <c r="DMO3" s="306"/>
      <c r="DMP3" s="306"/>
      <c r="DMQ3" s="306"/>
      <c r="DMR3" s="306"/>
      <c r="DMS3" s="306"/>
      <c r="DMT3" s="306"/>
      <c r="DMU3" s="306"/>
      <c r="DMV3" s="306"/>
      <c r="DMW3" s="306"/>
      <c r="DMX3" s="306"/>
      <c r="DMY3" s="306"/>
      <c r="DMZ3" s="306"/>
      <c r="DNA3" s="306"/>
      <c r="DNB3" s="306"/>
      <c r="DNC3" s="306"/>
      <c r="DND3" s="306"/>
      <c r="DNE3" s="306"/>
      <c r="DNF3" s="306"/>
      <c r="DNG3" s="306"/>
      <c r="DNH3" s="306"/>
      <c r="DNI3" s="306"/>
      <c r="DNJ3" s="306"/>
      <c r="DNK3" s="306"/>
      <c r="DNL3" s="306"/>
      <c r="DNM3" s="306"/>
      <c r="DNN3" s="306"/>
      <c r="DNO3" s="306"/>
      <c r="DNP3" s="306"/>
      <c r="DNQ3" s="306"/>
      <c r="DNR3" s="306"/>
      <c r="DNS3" s="306"/>
      <c r="DNT3" s="306"/>
      <c r="DNU3" s="306"/>
      <c r="DNV3" s="306"/>
      <c r="DNW3" s="306"/>
      <c r="DNX3" s="306"/>
      <c r="DNY3" s="306"/>
      <c r="DNZ3" s="306"/>
      <c r="DOA3" s="306"/>
      <c r="DOB3" s="306"/>
      <c r="DOC3" s="306"/>
      <c r="DOD3" s="306"/>
      <c r="DOE3" s="306"/>
      <c r="DOF3" s="306"/>
      <c r="DOG3" s="306"/>
      <c r="DOH3" s="306"/>
      <c r="DOI3" s="306"/>
      <c r="DOJ3" s="306"/>
      <c r="DOK3" s="306"/>
      <c r="DOL3" s="306"/>
      <c r="DOM3" s="306"/>
      <c r="DON3" s="306"/>
      <c r="DOO3" s="306"/>
      <c r="DOP3" s="306"/>
      <c r="DOQ3" s="306"/>
      <c r="DOR3" s="306"/>
      <c r="DOS3" s="306"/>
      <c r="DOT3" s="306"/>
      <c r="DOU3" s="306"/>
      <c r="DOV3" s="306"/>
      <c r="DOW3" s="306"/>
      <c r="DOX3" s="306"/>
      <c r="DOY3" s="306"/>
      <c r="DOZ3" s="306"/>
      <c r="DPA3" s="306"/>
      <c r="DPB3" s="306"/>
      <c r="DPC3" s="306"/>
      <c r="DPD3" s="306"/>
      <c r="DPE3" s="306"/>
      <c r="DPF3" s="306"/>
      <c r="DPG3" s="306"/>
      <c r="DPH3" s="306"/>
      <c r="DPI3" s="306"/>
      <c r="DPJ3" s="306"/>
      <c r="DPK3" s="306"/>
      <c r="DPL3" s="306"/>
      <c r="DPM3" s="306"/>
      <c r="DPN3" s="306"/>
      <c r="DPO3" s="306"/>
      <c r="DPP3" s="306"/>
      <c r="DPQ3" s="306"/>
      <c r="DPR3" s="306"/>
      <c r="DPS3" s="306"/>
      <c r="DPT3" s="306"/>
      <c r="DPU3" s="306"/>
      <c r="DPV3" s="306"/>
      <c r="DPW3" s="306"/>
      <c r="DPX3" s="306"/>
      <c r="DPY3" s="306"/>
      <c r="DPZ3" s="306"/>
      <c r="DQA3" s="306"/>
      <c r="DQB3" s="306"/>
      <c r="DQC3" s="306"/>
      <c r="DQD3" s="306"/>
      <c r="DQE3" s="306"/>
      <c r="DQF3" s="306"/>
      <c r="DQG3" s="306"/>
      <c r="DQH3" s="306"/>
      <c r="DQI3" s="306"/>
      <c r="DQJ3" s="306"/>
      <c r="DQK3" s="306"/>
      <c r="DQL3" s="306"/>
      <c r="DQM3" s="306"/>
      <c r="DQN3" s="306"/>
      <c r="DQO3" s="306"/>
      <c r="DQP3" s="306"/>
      <c r="DQQ3" s="306"/>
      <c r="DQR3" s="306"/>
      <c r="DQS3" s="306"/>
      <c r="DQT3" s="306"/>
      <c r="DQU3" s="306"/>
      <c r="DQV3" s="306"/>
      <c r="DQW3" s="306"/>
      <c r="DQX3" s="306"/>
      <c r="DQY3" s="306"/>
      <c r="DQZ3" s="306"/>
      <c r="DRA3" s="306"/>
      <c r="DRB3" s="306"/>
      <c r="DRC3" s="306"/>
      <c r="DRD3" s="306"/>
      <c r="DRE3" s="306"/>
      <c r="DRF3" s="306"/>
      <c r="DRG3" s="306"/>
      <c r="DRH3" s="306"/>
      <c r="DRI3" s="306"/>
      <c r="DRJ3" s="306"/>
      <c r="DRK3" s="306"/>
      <c r="DRL3" s="306"/>
      <c r="DRM3" s="306"/>
      <c r="DRN3" s="306"/>
      <c r="DRO3" s="306"/>
      <c r="DRP3" s="306"/>
      <c r="DRQ3" s="306"/>
      <c r="DRR3" s="306"/>
      <c r="DRS3" s="306"/>
      <c r="DRT3" s="306"/>
      <c r="DRU3" s="306"/>
      <c r="DRV3" s="306"/>
      <c r="DRW3" s="306"/>
      <c r="DRX3" s="306"/>
      <c r="DRY3" s="306"/>
      <c r="DRZ3" s="306"/>
      <c r="DSA3" s="306"/>
      <c r="DSB3" s="306"/>
      <c r="DSC3" s="306"/>
      <c r="DSD3" s="306"/>
      <c r="DSE3" s="306"/>
      <c r="DSF3" s="306"/>
      <c r="DSG3" s="306"/>
      <c r="DSH3" s="306"/>
      <c r="DSI3" s="306"/>
      <c r="DSJ3" s="306"/>
      <c r="DSK3" s="306"/>
      <c r="DSL3" s="306"/>
      <c r="DSM3" s="306"/>
      <c r="DSN3" s="306"/>
      <c r="DSO3" s="306"/>
      <c r="DSP3" s="306"/>
      <c r="DSQ3" s="306"/>
      <c r="DSR3" s="306"/>
      <c r="DSS3" s="306"/>
      <c r="DST3" s="306"/>
      <c r="DSU3" s="306"/>
      <c r="DSV3" s="306"/>
      <c r="DSW3" s="306"/>
      <c r="DSX3" s="306"/>
      <c r="DSY3" s="306"/>
      <c r="DSZ3" s="306"/>
      <c r="DTA3" s="306"/>
      <c r="DTB3" s="306"/>
      <c r="DTC3" s="306"/>
      <c r="DTD3" s="306"/>
      <c r="DTE3" s="306"/>
      <c r="DTF3" s="306"/>
      <c r="DTG3" s="306"/>
      <c r="DTH3" s="306"/>
      <c r="DTI3" s="306"/>
      <c r="DTJ3" s="306"/>
      <c r="DTK3" s="306"/>
      <c r="DTL3" s="306"/>
      <c r="DTM3" s="306"/>
      <c r="DTN3" s="306"/>
      <c r="DTO3" s="306"/>
      <c r="DTP3" s="306"/>
      <c r="DTQ3" s="306"/>
      <c r="DTR3" s="306"/>
      <c r="DTS3" s="306"/>
      <c r="DTT3" s="306"/>
      <c r="DTU3" s="306"/>
      <c r="DTV3" s="306"/>
      <c r="DTW3" s="306"/>
      <c r="DTX3" s="306"/>
      <c r="DTY3" s="306"/>
      <c r="DTZ3" s="306"/>
      <c r="DUA3" s="306"/>
      <c r="DUB3" s="306"/>
      <c r="DUC3" s="306"/>
      <c r="DUD3" s="306"/>
      <c r="DUE3" s="306"/>
      <c r="DUF3" s="306"/>
      <c r="DUG3" s="306"/>
      <c r="DUH3" s="306"/>
      <c r="DUI3" s="306"/>
      <c r="DUJ3" s="306"/>
      <c r="DUK3" s="306"/>
      <c r="DUL3" s="306"/>
      <c r="DUM3" s="306"/>
      <c r="DUN3" s="306"/>
      <c r="DUO3" s="306"/>
      <c r="DUP3" s="306"/>
      <c r="DUQ3" s="306"/>
      <c r="DUR3" s="306"/>
      <c r="DUS3" s="306"/>
      <c r="DUT3" s="306"/>
      <c r="DUU3" s="306"/>
      <c r="DUV3" s="306"/>
      <c r="DUW3" s="306"/>
      <c r="DUX3" s="306"/>
      <c r="DUY3" s="306"/>
      <c r="DUZ3" s="306"/>
      <c r="DVA3" s="306"/>
      <c r="DVB3" s="306"/>
      <c r="DVC3" s="306"/>
      <c r="DVD3" s="306"/>
      <c r="DVE3" s="306"/>
      <c r="DVF3" s="306"/>
      <c r="DVG3" s="306"/>
      <c r="DVH3" s="306"/>
      <c r="DVI3" s="306"/>
      <c r="DVJ3" s="306"/>
      <c r="DVK3" s="306"/>
      <c r="DVL3" s="306"/>
      <c r="DVM3" s="306"/>
      <c r="DVN3" s="306"/>
      <c r="DVO3" s="306"/>
      <c r="DVP3" s="306"/>
      <c r="DVQ3" s="306"/>
      <c r="DVR3" s="306"/>
      <c r="DVS3" s="306"/>
      <c r="DVT3" s="306"/>
      <c r="DVU3" s="306"/>
      <c r="DVV3" s="306"/>
      <c r="DVW3" s="306"/>
      <c r="DVX3" s="306"/>
      <c r="DVY3" s="306"/>
      <c r="DVZ3" s="306"/>
      <c r="DWA3" s="306"/>
      <c r="DWB3" s="306"/>
      <c r="DWC3" s="306"/>
      <c r="DWD3" s="306"/>
      <c r="DWE3" s="306"/>
      <c r="DWF3" s="306"/>
      <c r="DWG3" s="306"/>
      <c r="DWH3" s="306"/>
      <c r="DWI3" s="306"/>
      <c r="DWJ3" s="306"/>
      <c r="DWK3" s="306"/>
      <c r="DWL3" s="306"/>
      <c r="DWM3" s="306"/>
      <c r="DWN3" s="306"/>
      <c r="DWO3" s="306"/>
      <c r="DWP3" s="306"/>
      <c r="DWQ3" s="306"/>
      <c r="DWR3" s="306"/>
      <c r="DWS3" s="306"/>
      <c r="DWT3" s="306"/>
      <c r="DWU3" s="306"/>
      <c r="DWV3" s="306"/>
      <c r="DWW3" s="306"/>
      <c r="DWX3" s="306"/>
      <c r="DWY3" s="306"/>
      <c r="DWZ3" s="306"/>
      <c r="DXA3" s="306"/>
      <c r="DXB3" s="306"/>
      <c r="DXC3" s="306"/>
      <c r="DXD3" s="306"/>
      <c r="DXE3" s="306"/>
      <c r="DXF3" s="306"/>
      <c r="DXG3" s="306"/>
      <c r="DXH3" s="306"/>
      <c r="DXI3" s="306"/>
      <c r="DXJ3" s="306"/>
      <c r="DXK3" s="306"/>
      <c r="DXL3" s="306"/>
      <c r="DXM3" s="306"/>
      <c r="DXN3" s="306"/>
      <c r="DXO3" s="306"/>
      <c r="DXP3" s="306"/>
      <c r="DXQ3" s="306"/>
      <c r="DXR3" s="306"/>
      <c r="DXS3" s="306"/>
      <c r="DXT3" s="306"/>
      <c r="DXU3" s="306"/>
      <c r="DXV3" s="306"/>
      <c r="DXW3" s="306"/>
      <c r="DXX3" s="306"/>
      <c r="DXY3" s="306"/>
      <c r="DXZ3" s="306"/>
      <c r="DYA3" s="306"/>
      <c r="DYB3" s="306"/>
      <c r="DYC3" s="306"/>
      <c r="DYD3" s="306"/>
      <c r="DYE3" s="306"/>
      <c r="DYF3" s="306"/>
      <c r="DYG3" s="306"/>
      <c r="DYH3" s="306"/>
      <c r="DYI3" s="306"/>
      <c r="DYJ3" s="306"/>
      <c r="DYK3" s="306"/>
      <c r="DYL3" s="306"/>
      <c r="DYM3" s="306"/>
      <c r="DYN3" s="306"/>
      <c r="DYO3" s="306"/>
      <c r="DYP3" s="306"/>
      <c r="DYQ3" s="306"/>
      <c r="DYR3" s="306"/>
      <c r="DYS3" s="306"/>
      <c r="DYT3" s="306"/>
      <c r="DYU3" s="306"/>
      <c r="DYV3" s="306"/>
      <c r="DYW3" s="306"/>
      <c r="DYX3" s="306"/>
      <c r="DYY3" s="306"/>
      <c r="DYZ3" s="306"/>
      <c r="DZA3" s="306"/>
      <c r="DZB3" s="306"/>
      <c r="DZC3" s="306"/>
      <c r="DZD3" s="306"/>
      <c r="DZE3" s="306"/>
      <c r="DZF3" s="306"/>
      <c r="DZG3" s="306"/>
      <c r="DZH3" s="306"/>
      <c r="DZI3" s="306"/>
      <c r="DZJ3" s="306"/>
      <c r="DZK3" s="306"/>
      <c r="DZL3" s="306"/>
      <c r="DZM3" s="306"/>
      <c r="DZN3" s="306"/>
      <c r="DZO3" s="306"/>
      <c r="DZP3" s="306"/>
      <c r="DZQ3" s="306"/>
      <c r="DZR3" s="306"/>
      <c r="DZS3" s="306"/>
      <c r="DZT3" s="306"/>
      <c r="DZU3" s="306"/>
      <c r="DZV3" s="306"/>
      <c r="DZW3" s="306"/>
      <c r="DZX3" s="306"/>
      <c r="DZY3" s="306"/>
      <c r="DZZ3" s="306"/>
      <c r="EAA3" s="306"/>
      <c r="EAB3" s="306"/>
      <c r="EAC3" s="306"/>
      <c r="EAD3" s="306"/>
      <c r="EAE3" s="306"/>
      <c r="EAF3" s="306"/>
      <c r="EAG3" s="306"/>
      <c r="EAH3" s="306"/>
      <c r="EAI3" s="306"/>
      <c r="EAJ3" s="306"/>
      <c r="EAK3" s="306"/>
      <c r="EAL3" s="306"/>
      <c r="EAM3" s="306"/>
      <c r="EAN3" s="306"/>
      <c r="EAO3" s="306"/>
      <c r="EAP3" s="306"/>
      <c r="EAQ3" s="306"/>
      <c r="EAR3" s="306"/>
      <c r="EAS3" s="306"/>
      <c r="EAT3" s="306"/>
      <c r="EAU3" s="306"/>
      <c r="EAV3" s="306"/>
      <c r="EAW3" s="306"/>
      <c r="EAX3" s="306"/>
      <c r="EAY3" s="306"/>
      <c r="EAZ3" s="306"/>
      <c r="EBA3" s="306"/>
      <c r="EBB3" s="306"/>
      <c r="EBC3" s="306"/>
      <c r="EBD3" s="306"/>
      <c r="EBE3" s="306"/>
      <c r="EBF3" s="306"/>
      <c r="EBG3" s="306"/>
      <c r="EBH3" s="306"/>
      <c r="EBI3" s="306"/>
      <c r="EBJ3" s="306"/>
      <c r="EBK3" s="306"/>
      <c r="EBL3" s="306"/>
      <c r="EBM3" s="306"/>
      <c r="EBN3" s="306"/>
      <c r="EBO3" s="306"/>
      <c r="EBP3" s="306"/>
      <c r="EBQ3" s="306"/>
      <c r="EBR3" s="306"/>
      <c r="EBS3" s="306"/>
      <c r="EBT3" s="306"/>
      <c r="EBU3" s="306"/>
      <c r="EBV3" s="306"/>
      <c r="EBW3" s="306"/>
      <c r="EBX3" s="306"/>
      <c r="EBY3" s="306"/>
      <c r="EBZ3" s="306"/>
      <c r="ECA3" s="306"/>
      <c r="ECB3" s="306"/>
      <c r="ECC3" s="306"/>
      <c r="ECD3" s="306"/>
      <c r="ECE3" s="306"/>
      <c r="ECF3" s="306"/>
      <c r="ECG3" s="306"/>
      <c r="ECH3" s="306"/>
      <c r="ECI3" s="306"/>
      <c r="ECJ3" s="306"/>
      <c r="ECK3" s="306"/>
      <c r="ECL3" s="306"/>
      <c r="ECM3" s="306"/>
      <c r="ECN3" s="306"/>
      <c r="ECO3" s="306"/>
      <c r="ECP3" s="306"/>
      <c r="ECQ3" s="306"/>
      <c r="ECR3" s="306"/>
      <c r="ECS3" s="306"/>
      <c r="ECT3" s="306"/>
      <c r="ECU3" s="306"/>
      <c r="ECV3" s="306"/>
      <c r="ECW3" s="306"/>
      <c r="ECX3" s="306"/>
      <c r="ECY3" s="306"/>
      <c r="ECZ3" s="306"/>
      <c r="EDA3" s="306"/>
      <c r="EDB3" s="306"/>
      <c r="EDC3" s="306"/>
      <c r="EDD3" s="306"/>
      <c r="EDE3" s="306"/>
      <c r="EDF3" s="306"/>
      <c r="EDG3" s="306"/>
      <c r="EDH3" s="306"/>
      <c r="EDI3" s="306"/>
      <c r="EDJ3" s="306"/>
      <c r="EDK3" s="306"/>
      <c r="EDL3" s="306"/>
      <c r="EDM3" s="306"/>
      <c r="EDN3" s="306"/>
      <c r="EDO3" s="306"/>
      <c r="EDP3" s="306"/>
      <c r="EDQ3" s="306"/>
      <c r="EDR3" s="306"/>
      <c r="EDS3" s="306"/>
      <c r="EDT3" s="306"/>
      <c r="EDU3" s="306"/>
      <c r="EDV3" s="306"/>
      <c r="EDW3" s="306"/>
      <c r="EDX3" s="306"/>
      <c r="EDY3" s="306"/>
      <c r="EDZ3" s="306"/>
      <c r="EEA3" s="306"/>
      <c r="EEB3" s="306"/>
      <c r="EEC3" s="306"/>
      <c r="EED3" s="306"/>
      <c r="EEE3" s="306"/>
      <c r="EEF3" s="306"/>
      <c r="EEG3" s="306"/>
      <c r="EEH3" s="306"/>
      <c r="EEI3" s="306"/>
      <c r="EEJ3" s="306"/>
      <c r="EEK3" s="306"/>
      <c r="EEL3" s="306"/>
      <c r="EEM3" s="306"/>
      <c r="EEN3" s="306"/>
      <c r="EEO3" s="306"/>
      <c r="EEP3" s="306"/>
      <c r="EEQ3" s="306"/>
      <c r="EER3" s="306"/>
      <c r="EES3" s="306"/>
      <c r="EET3" s="306"/>
      <c r="EEU3" s="306"/>
      <c r="EEV3" s="306"/>
      <c r="EEW3" s="306"/>
      <c r="EEX3" s="306"/>
      <c r="EEY3" s="306"/>
      <c r="EEZ3" s="306"/>
      <c r="EFA3" s="306"/>
      <c r="EFB3" s="306"/>
      <c r="EFC3" s="306"/>
      <c r="EFD3" s="306"/>
      <c r="EFE3" s="306"/>
      <c r="EFF3" s="306"/>
      <c r="EFG3" s="306"/>
      <c r="EFH3" s="306"/>
      <c r="EFI3" s="306"/>
      <c r="EFJ3" s="306"/>
      <c r="EFK3" s="306"/>
      <c r="EFL3" s="306"/>
      <c r="EFM3" s="306"/>
      <c r="EFN3" s="306"/>
      <c r="EFO3" s="306"/>
      <c r="EFP3" s="306"/>
      <c r="EFQ3" s="306"/>
      <c r="EFR3" s="306"/>
      <c r="EFS3" s="306"/>
      <c r="EFT3" s="306"/>
      <c r="EFU3" s="306"/>
      <c r="EFV3" s="306"/>
      <c r="EFW3" s="306"/>
      <c r="EFX3" s="306"/>
      <c r="EFY3" s="306"/>
      <c r="EFZ3" s="306"/>
      <c r="EGA3" s="306"/>
      <c r="EGB3" s="306"/>
      <c r="EGC3" s="306"/>
      <c r="EGD3" s="306"/>
      <c r="EGE3" s="306"/>
      <c r="EGF3" s="306"/>
      <c r="EGG3" s="306"/>
      <c r="EGH3" s="306"/>
      <c r="EGI3" s="306"/>
      <c r="EGJ3" s="306"/>
      <c r="EGK3" s="306"/>
      <c r="EGL3" s="306"/>
      <c r="EGM3" s="306"/>
      <c r="EGN3" s="306"/>
      <c r="EGO3" s="306"/>
      <c r="EGP3" s="306"/>
      <c r="EGQ3" s="306"/>
      <c r="EGR3" s="306"/>
      <c r="EGS3" s="306"/>
      <c r="EGT3" s="306"/>
      <c r="EGU3" s="306"/>
      <c r="EGV3" s="306"/>
      <c r="EGW3" s="306"/>
      <c r="EGX3" s="306"/>
      <c r="EGY3" s="306"/>
      <c r="EGZ3" s="306"/>
      <c r="EHA3" s="306"/>
      <c r="EHB3" s="306"/>
      <c r="EHC3" s="306"/>
      <c r="EHD3" s="306"/>
      <c r="EHE3" s="306"/>
      <c r="EHF3" s="306"/>
      <c r="EHG3" s="306"/>
      <c r="EHH3" s="306"/>
      <c r="EHI3" s="306"/>
      <c r="EHJ3" s="306"/>
      <c r="EHK3" s="306"/>
      <c r="EHL3" s="306"/>
      <c r="EHM3" s="306"/>
      <c r="EHN3" s="306"/>
      <c r="EHO3" s="306"/>
      <c r="EHP3" s="306"/>
      <c r="EHQ3" s="306"/>
      <c r="EHR3" s="306"/>
      <c r="EHS3" s="306"/>
      <c r="EHT3" s="306"/>
      <c r="EHU3" s="306"/>
      <c r="EHV3" s="306"/>
      <c r="EHW3" s="306"/>
      <c r="EHX3" s="306"/>
      <c r="EHY3" s="306"/>
      <c r="EHZ3" s="306"/>
      <c r="EIA3" s="306"/>
      <c r="EIB3" s="306"/>
      <c r="EIC3" s="306"/>
      <c r="EID3" s="306"/>
      <c r="EIE3" s="306"/>
      <c r="EIF3" s="306"/>
      <c r="EIG3" s="306"/>
      <c r="EIH3" s="306"/>
      <c r="EII3" s="306"/>
      <c r="EIJ3" s="306"/>
      <c r="EIK3" s="306"/>
      <c r="EIL3" s="306"/>
      <c r="EIM3" s="306"/>
      <c r="EIN3" s="306"/>
      <c r="EIO3" s="306"/>
      <c r="EIP3" s="306"/>
      <c r="EIQ3" s="306"/>
      <c r="EIR3" s="306"/>
      <c r="EIS3" s="306"/>
      <c r="EIT3" s="306"/>
      <c r="EIU3" s="306"/>
      <c r="EIV3" s="306"/>
      <c r="EIW3" s="306"/>
      <c r="EIX3" s="306"/>
      <c r="EIY3" s="306"/>
      <c r="EIZ3" s="306"/>
      <c r="EJA3" s="306"/>
      <c r="EJB3" s="306"/>
      <c r="EJC3" s="306"/>
      <c r="EJD3" s="306"/>
      <c r="EJE3" s="306"/>
      <c r="EJF3" s="306"/>
      <c r="EJG3" s="306"/>
      <c r="EJH3" s="306"/>
      <c r="EJI3" s="306"/>
      <c r="EJJ3" s="306"/>
      <c r="EJK3" s="306"/>
      <c r="EJL3" s="306"/>
      <c r="EJM3" s="306"/>
      <c r="EJN3" s="306"/>
      <c r="EJO3" s="306"/>
      <c r="EJP3" s="306"/>
      <c r="EJQ3" s="306"/>
      <c r="EJR3" s="306"/>
      <c r="EJS3" s="306"/>
      <c r="EJT3" s="306"/>
      <c r="EJU3" s="306"/>
      <c r="EJV3" s="306"/>
      <c r="EJW3" s="306"/>
      <c r="EJX3" s="306"/>
      <c r="EJY3" s="306"/>
      <c r="EJZ3" s="306"/>
      <c r="EKA3" s="306"/>
      <c r="EKB3" s="306"/>
      <c r="EKC3" s="306"/>
      <c r="EKD3" s="306"/>
      <c r="EKE3" s="306"/>
      <c r="EKF3" s="306"/>
      <c r="EKG3" s="306"/>
      <c r="EKH3" s="306"/>
      <c r="EKI3" s="306"/>
      <c r="EKJ3" s="306"/>
      <c r="EKK3" s="306"/>
      <c r="EKL3" s="306"/>
      <c r="EKM3" s="306"/>
      <c r="EKN3" s="306"/>
      <c r="EKO3" s="306"/>
      <c r="EKP3" s="306"/>
      <c r="EKQ3" s="306"/>
      <c r="EKR3" s="306"/>
      <c r="EKS3" s="306"/>
      <c r="EKT3" s="306"/>
      <c r="EKU3" s="306"/>
      <c r="EKV3" s="306"/>
      <c r="EKW3" s="306"/>
      <c r="EKX3" s="306"/>
      <c r="EKY3" s="306"/>
      <c r="EKZ3" s="306"/>
      <c r="ELA3" s="306"/>
      <c r="ELB3" s="306"/>
      <c r="ELC3" s="306"/>
      <c r="ELD3" s="306"/>
      <c r="ELE3" s="306"/>
      <c r="ELF3" s="306"/>
      <c r="ELG3" s="306"/>
      <c r="ELH3" s="306"/>
      <c r="ELI3" s="306"/>
      <c r="ELJ3" s="306"/>
      <c r="ELK3" s="306"/>
      <c r="ELL3" s="306"/>
      <c r="ELM3" s="306"/>
      <c r="ELN3" s="306"/>
      <c r="ELO3" s="306"/>
      <c r="ELP3" s="306"/>
      <c r="ELQ3" s="306"/>
      <c r="ELR3" s="306"/>
      <c r="ELS3" s="306"/>
      <c r="ELT3" s="306"/>
      <c r="ELU3" s="306"/>
      <c r="ELV3" s="306"/>
      <c r="ELW3" s="306"/>
      <c r="ELX3" s="306"/>
      <c r="ELY3" s="306"/>
      <c r="ELZ3" s="306"/>
      <c r="EMA3" s="306"/>
      <c r="EMB3" s="306"/>
      <c r="EMC3" s="306"/>
      <c r="EMD3" s="306"/>
      <c r="EME3" s="306"/>
      <c r="EMF3" s="306"/>
      <c r="EMG3" s="306"/>
      <c r="EMH3" s="306"/>
      <c r="EMI3" s="306"/>
      <c r="EMJ3" s="306"/>
      <c r="EMK3" s="306"/>
      <c r="EML3" s="306"/>
      <c r="EMM3" s="306"/>
      <c r="EMN3" s="306"/>
      <c r="EMO3" s="306"/>
      <c r="EMP3" s="306"/>
      <c r="EMQ3" s="306"/>
      <c r="EMR3" s="306"/>
      <c r="EMS3" s="306"/>
      <c r="EMT3" s="306"/>
      <c r="EMU3" s="306"/>
      <c r="EMV3" s="306"/>
      <c r="EMW3" s="306"/>
      <c r="EMX3" s="306"/>
      <c r="EMY3" s="306"/>
      <c r="EMZ3" s="306"/>
      <c r="ENA3" s="306"/>
      <c r="ENB3" s="306"/>
      <c r="ENC3" s="306"/>
      <c r="END3" s="306"/>
      <c r="ENE3" s="306"/>
      <c r="ENF3" s="306"/>
      <c r="ENG3" s="306"/>
      <c r="ENH3" s="306"/>
      <c r="ENI3" s="306"/>
      <c r="ENJ3" s="306"/>
      <c r="ENK3" s="306"/>
      <c r="ENL3" s="306"/>
      <c r="ENM3" s="306"/>
      <c r="ENN3" s="306"/>
      <c r="ENO3" s="306"/>
      <c r="ENP3" s="306"/>
      <c r="ENQ3" s="306"/>
      <c r="ENR3" s="306"/>
      <c r="ENS3" s="306"/>
      <c r="ENT3" s="306"/>
      <c r="ENU3" s="306"/>
      <c r="ENV3" s="306"/>
      <c r="ENW3" s="306"/>
      <c r="ENX3" s="306"/>
      <c r="ENY3" s="306"/>
      <c r="ENZ3" s="306"/>
      <c r="EOA3" s="306"/>
      <c r="EOB3" s="306"/>
      <c r="EOC3" s="306"/>
      <c r="EOD3" s="306"/>
      <c r="EOE3" s="306"/>
      <c r="EOF3" s="306"/>
      <c r="EOG3" s="306"/>
      <c r="EOH3" s="306"/>
      <c r="EOI3" s="306"/>
      <c r="EOJ3" s="306"/>
      <c r="EOK3" s="306"/>
      <c r="EOL3" s="306"/>
      <c r="EOM3" s="306"/>
      <c r="EON3" s="306"/>
      <c r="EOO3" s="306"/>
      <c r="EOP3" s="306"/>
      <c r="EOQ3" s="306"/>
      <c r="EOR3" s="306"/>
      <c r="EOS3" s="306"/>
      <c r="EOT3" s="306"/>
      <c r="EOU3" s="306"/>
      <c r="EOV3" s="306"/>
      <c r="EOW3" s="306"/>
      <c r="EOX3" s="306"/>
      <c r="EOY3" s="306"/>
      <c r="EOZ3" s="306"/>
      <c r="EPA3" s="306"/>
      <c r="EPB3" s="306"/>
      <c r="EPC3" s="306"/>
      <c r="EPD3" s="306"/>
      <c r="EPE3" s="306"/>
      <c r="EPF3" s="306"/>
      <c r="EPG3" s="306"/>
      <c r="EPH3" s="306"/>
      <c r="EPI3" s="306"/>
      <c r="EPJ3" s="306"/>
      <c r="EPK3" s="306"/>
      <c r="EPL3" s="306"/>
      <c r="EPM3" s="306"/>
      <c r="EPN3" s="306"/>
      <c r="EPO3" s="306"/>
      <c r="EPP3" s="306"/>
      <c r="EPQ3" s="306"/>
      <c r="EPR3" s="306"/>
      <c r="EPS3" s="306"/>
      <c r="EPT3" s="306"/>
      <c r="EPU3" s="306"/>
      <c r="EPV3" s="306"/>
      <c r="EPW3" s="306"/>
      <c r="EPX3" s="306"/>
      <c r="EPY3" s="306"/>
      <c r="EPZ3" s="306"/>
      <c r="EQA3" s="306"/>
      <c r="EQB3" s="306"/>
      <c r="EQC3" s="306"/>
      <c r="EQD3" s="306"/>
      <c r="EQE3" s="306"/>
      <c r="EQF3" s="306"/>
      <c r="EQG3" s="306"/>
      <c r="EQH3" s="306"/>
      <c r="EQI3" s="306"/>
      <c r="EQJ3" s="306"/>
      <c r="EQK3" s="306"/>
      <c r="EQL3" s="306"/>
      <c r="EQM3" s="306"/>
      <c r="EQN3" s="306"/>
      <c r="EQO3" s="306"/>
      <c r="EQP3" s="306"/>
      <c r="EQQ3" s="306"/>
      <c r="EQR3" s="306"/>
      <c r="EQS3" s="306"/>
      <c r="EQT3" s="306"/>
      <c r="EQU3" s="306"/>
      <c r="EQV3" s="306"/>
      <c r="EQW3" s="306"/>
      <c r="EQX3" s="306"/>
      <c r="EQY3" s="306"/>
      <c r="EQZ3" s="306"/>
      <c r="ERA3" s="306"/>
      <c r="ERB3" s="306"/>
      <c r="ERC3" s="306"/>
      <c r="ERD3" s="306"/>
      <c r="ERE3" s="306"/>
      <c r="ERF3" s="306"/>
      <c r="ERG3" s="306"/>
      <c r="ERH3" s="306"/>
      <c r="ERI3" s="306"/>
      <c r="ERJ3" s="306"/>
      <c r="ERK3" s="306"/>
      <c r="ERL3" s="306"/>
      <c r="ERM3" s="306"/>
      <c r="ERN3" s="306"/>
      <c r="ERO3" s="306"/>
      <c r="ERP3" s="306"/>
      <c r="ERQ3" s="306"/>
      <c r="ERR3" s="306"/>
      <c r="ERS3" s="306"/>
      <c r="ERT3" s="306"/>
      <c r="ERU3" s="306"/>
      <c r="ERV3" s="306"/>
      <c r="ERW3" s="306"/>
      <c r="ERX3" s="306"/>
      <c r="ERY3" s="306"/>
      <c r="ERZ3" s="306"/>
      <c r="ESA3" s="306"/>
      <c r="ESB3" s="306"/>
      <c r="ESC3" s="306"/>
      <c r="ESD3" s="306"/>
      <c r="ESE3" s="306"/>
      <c r="ESF3" s="306"/>
      <c r="ESG3" s="306"/>
      <c r="ESH3" s="306"/>
      <c r="ESI3" s="306"/>
      <c r="ESJ3" s="306"/>
      <c r="ESK3" s="306"/>
      <c r="ESL3" s="306"/>
      <c r="ESM3" s="306"/>
      <c r="ESN3" s="306"/>
      <c r="ESO3" s="306"/>
      <c r="ESP3" s="306"/>
      <c r="ESQ3" s="306"/>
      <c r="ESR3" s="306"/>
      <c r="ESS3" s="306"/>
      <c r="EST3" s="306"/>
      <c r="ESU3" s="306"/>
      <c r="ESV3" s="306"/>
      <c r="ESW3" s="306"/>
      <c r="ESX3" s="306"/>
      <c r="ESY3" s="306"/>
      <c r="ESZ3" s="306"/>
      <c r="ETA3" s="306"/>
      <c r="ETB3" s="306"/>
      <c r="ETC3" s="306"/>
      <c r="ETD3" s="306"/>
      <c r="ETE3" s="306"/>
      <c r="ETF3" s="306"/>
      <c r="ETG3" s="306"/>
      <c r="ETH3" s="306"/>
      <c r="ETI3" s="306"/>
      <c r="ETJ3" s="306"/>
      <c r="ETK3" s="306"/>
      <c r="ETL3" s="306"/>
      <c r="ETM3" s="306"/>
      <c r="ETN3" s="306"/>
      <c r="ETO3" s="306"/>
      <c r="ETP3" s="306"/>
      <c r="ETQ3" s="306"/>
      <c r="ETR3" s="306"/>
      <c r="ETS3" s="306"/>
      <c r="ETT3" s="306"/>
      <c r="ETU3" s="306"/>
      <c r="ETV3" s="306"/>
      <c r="ETW3" s="306"/>
      <c r="ETX3" s="306"/>
      <c r="ETY3" s="306"/>
      <c r="ETZ3" s="306"/>
      <c r="EUA3" s="306"/>
      <c r="EUB3" s="306"/>
      <c r="EUC3" s="306"/>
      <c r="EUD3" s="306"/>
      <c r="EUE3" s="306"/>
      <c r="EUF3" s="306"/>
      <c r="EUG3" s="306"/>
      <c r="EUH3" s="306"/>
      <c r="EUI3" s="306"/>
      <c r="EUJ3" s="306"/>
      <c r="EUK3" s="306"/>
      <c r="EUL3" s="306"/>
      <c r="EUM3" s="306"/>
      <c r="EUN3" s="306"/>
      <c r="EUO3" s="306"/>
      <c r="EUP3" s="306"/>
      <c r="EUQ3" s="306"/>
      <c r="EUR3" s="306"/>
      <c r="EUS3" s="306"/>
      <c r="EUT3" s="306"/>
      <c r="EUU3" s="306"/>
      <c r="EUV3" s="306"/>
      <c r="EUW3" s="306"/>
      <c r="EUX3" s="306"/>
      <c r="EUY3" s="306"/>
      <c r="EUZ3" s="306"/>
      <c r="EVA3" s="306"/>
      <c r="EVB3" s="306"/>
      <c r="EVC3" s="306"/>
      <c r="EVD3" s="306"/>
      <c r="EVE3" s="306"/>
      <c r="EVF3" s="306"/>
      <c r="EVG3" s="306"/>
      <c r="EVH3" s="306"/>
      <c r="EVI3" s="306"/>
      <c r="EVJ3" s="306"/>
      <c r="EVK3" s="306"/>
      <c r="EVL3" s="306"/>
      <c r="EVM3" s="306"/>
      <c r="EVN3" s="306"/>
      <c r="EVO3" s="306"/>
      <c r="EVP3" s="306"/>
      <c r="EVQ3" s="306"/>
      <c r="EVR3" s="306"/>
      <c r="EVS3" s="306"/>
      <c r="EVT3" s="306"/>
      <c r="EVU3" s="306"/>
      <c r="EVV3" s="306"/>
      <c r="EVW3" s="306"/>
      <c r="EVX3" s="306"/>
      <c r="EVY3" s="306"/>
      <c r="EVZ3" s="306"/>
      <c r="EWA3" s="306"/>
      <c r="EWB3" s="306"/>
      <c r="EWC3" s="306"/>
      <c r="EWD3" s="306"/>
      <c r="EWE3" s="306"/>
      <c r="EWF3" s="306"/>
      <c r="EWG3" s="306"/>
      <c r="EWH3" s="306"/>
      <c r="EWI3" s="306"/>
      <c r="EWJ3" s="306"/>
      <c r="EWK3" s="306"/>
      <c r="EWL3" s="306"/>
      <c r="EWM3" s="306"/>
      <c r="EWN3" s="306"/>
      <c r="EWO3" s="306"/>
      <c r="EWP3" s="306"/>
      <c r="EWQ3" s="306"/>
      <c r="EWR3" s="306"/>
      <c r="EWS3" s="306"/>
      <c r="EWT3" s="306"/>
      <c r="EWU3" s="306"/>
      <c r="EWV3" s="306"/>
      <c r="EWW3" s="306"/>
      <c r="EWX3" s="306"/>
      <c r="EWY3" s="306"/>
      <c r="EWZ3" s="306"/>
      <c r="EXA3" s="306"/>
      <c r="EXB3" s="306"/>
      <c r="EXC3" s="306"/>
      <c r="EXD3" s="306"/>
      <c r="EXE3" s="306"/>
      <c r="EXF3" s="306"/>
      <c r="EXG3" s="306"/>
      <c r="EXH3" s="306"/>
      <c r="EXI3" s="306"/>
      <c r="EXJ3" s="306"/>
      <c r="EXK3" s="306"/>
      <c r="EXL3" s="306"/>
      <c r="EXM3" s="306"/>
      <c r="EXN3" s="306"/>
      <c r="EXO3" s="306"/>
      <c r="EXP3" s="306"/>
      <c r="EXQ3" s="306"/>
      <c r="EXR3" s="306"/>
      <c r="EXS3" s="306"/>
      <c r="EXT3" s="306"/>
      <c r="EXU3" s="306"/>
      <c r="EXV3" s="306"/>
      <c r="EXW3" s="306"/>
      <c r="EXX3" s="306"/>
      <c r="EXY3" s="306"/>
      <c r="EXZ3" s="306"/>
      <c r="EYA3" s="306"/>
      <c r="EYB3" s="306"/>
      <c r="EYC3" s="306"/>
      <c r="EYD3" s="306"/>
      <c r="EYE3" s="306"/>
      <c r="EYF3" s="306"/>
      <c r="EYG3" s="306"/>
      <c r="EYH3" s="306"/>
      <c r="EYI3" s="306"/>
      <c r="EYJ3" s="306"/>
      <c r="EYK3" s="306"/>
      <c r="EYL3" s="306"/>
      <c r="EYM3" s="306"/>
      <c r="EYN3" s="306"/>
      <c r="EYO3" s="306"/>
      <c r="EYP3" s="306"/>
      <c r="EYQ3" s="306"/>
      <c r="EYR3" s="306"/>
      <c r="EYS3" s="306"/>
      <c r="EYT3" s="306"/>
      <c r="EYU3" s="306"/>
      <c r="EYV3" s="306"/>
      <c r="EYW3" s="306"/>
      <c r="EYX3" s="306"/>
      <c r="EYY3" s="306"/>
      <c r="EYZ3" s="306"/>
      <c r="EZA3" s="306"/>
      <c r="EZB3" s="306"/>
      <c r="EZC3" s="306"/>
      <c r="EZD3" s="306"/>
      <c r="EZE3" s="306"/>
      <c r="EZF3" s="306"/>
      <c r="EZG3" s="306"/>
      <c r="EZH3" s="306"/>
      <c r="EZI3" s="306"/>
      <c r="EZJ3" s="306"/>
      <c r="EZK3" s="306"/>
      <c r="EZL3" s="306"/>
      <c r="EZM3" s="306"/>
      <c r="EZN3" s="306"/>
      <c r="EZO3" s="306"/>
      <c r="EZP3" s="306"/>
      <c r="EZQ3" s="306"/>
      <c r="EZR3" s="306"/>
      <c r="EZS3" s="306"/>
      <c r="EZT3" s="306"/>
      <c r="EZU3" s="306"/>
      <c r="EZV3" s="306"/>
      <c r="EZW3" s="306"/>
      <c r="EZX3" s="306"/>
      <c r="EZY3" s="306"/>
      <c r="EZZ3" s="306"/>
      <c r="FAA3" s="306"/>
      <c r="FAB3" s="306"/>
      <c r="FAC3" s="306"/>
      <c r="FAD3" s="306"/>
      <c r="FAE3" s="306"/>
      <c r="FAF3" s="306"/>
      <c r="FAG3" s="306"/>
      <c r="FAH3" s="306"/>
      <c r="FAI3" s="306"/>
      <c r="FAJ3" s="306"/>
      <c r="FAK3" s="306"/>
      <c r="FAL3" s="306"/>
      <c r="FAM3" s="306"/>
      <c r="FAN3" s="306"/>
      <c r="FAO3" s="306"/>
      <c r="FAP3" s="306"/>
      <c r="FAQ3" s="306"/>
      <c r="FAR3" s="306"/>
      <c r="FAS3" s="306"/>
      <c r="FAT3" s="306"/>
      <c r="FAU3" s="306"/>
      <c r="FAV3" s="306"/>
      <c r="FAW3" s="306"/>
      <c r="FAX3" s="306"/>
      <c r="FAY3" s="306"/>
      <c r="FAZ3" s="306"/>
      <c r="FBA3" s="306"/>
      <c r="FBB3" s="306"/>
      <c r="FBC3" s="306"/>
      <c r="FBD3" s="306"/>
      <c r="FBE3" s="306"/>
      <c r="FBF3" s="306"/>
      <c r="FBG3" s="306"/>
      <c r="FBH3" s="306"/>
      <c r="FBI3" s="306"/>
      <c r="FBJ3" s="306"/>
      <c r="FBK3" s="306"/>
      <c r="FBL3" s="306"/>
      <c r="FBM3" s="306"/>
      <c r="FBN3" s="306"/>
      <c r="FBO3" s="306"/>
      <c r="FBP3" s="306"/>
      <c r="FBQ3" s="306"/>
      <c r="FBR3" s="306"/>
      <c r="FBS3" s="306"/>
      <c r="FBT3" s="306"/>
      <c r="FBU3" s="306"/>
      <c r="FBV3" s="306"/>
      <c r="FBW3" s="306"/>
      <c r="FBX3" s="306"/>
      <c r="FBY3" s="306"/>
      <c r="FBZ3" s="306"/>
      <c r="FCA3" s="306"/>
      <c r="FCB3" s="306"/>
      <c r="FCC3" s="306"/>
      <c r="FCD3" s="306"/>
      <c r="FCE3" s="306"/>
      <c r="FCF3" s="306"/>
      <c r="FCG3" s="306"/>
      <c r="FCH3" s="306"/>
      <c r="FCI3" s="306"/>
      <c r="FCJ3" s="306"/>
      <c r="FCK3" s="306"/>
      <c r="FCL3" s="306"/>
      <c r="FCM3" s="306"/>
      <c r="FCN3" s="306"/>
      <c r="FCO3" s="306"/>
      <c r="FCP3" s="306"/>
      <c r="FCQ3" s="306"/>
      <c r="FCR3" s="306"/>
      <c r="FCS3" s="306"/>
      <c r="FCT3" s="306"/>
      <c r="FCU3" s="306"/>
      <c r="FCV3" s="306"/>
      <c r="FCW3" s="306"/>
      <c r="FCX3" s="306"/>
      <c r="FCY3" s="306"/>
      <c r="FCZ3" s="306"/>
      <c r="FDA3" s="306"/>
      <c r="FDB3" s="306"/>
      <c r="FDC3" s="306"/>
      <c r="FDD3" s="306"/>
      <c r="FDE3" s="306"/>
      <c r="FDF3" s="306"/>
      <c r="FDG3" s="306"/>
      <c r="FDH3" s="306"/>
      <c r="FDI3" s="306"/>
      <c r="FDJ3" s="306"/>
      <c r="FDK3" s="306"/>
      <c r="FDL3" s="306"/>
      <c r="FDM3" s="306"/>
      <c r="FDN3" s="306"/>
      <c r="FDO3" s="306"/>
      <c r="FDP3" s="306"/>
      <c r="FDQ3" s="306"/>
      <c r="FDR3" s="306"/>
      <c r="FDS3" s="306"/>
      <c r="FDT3" s="306"/>
      <c r="FDU3" s="306"/>
      <c r="FDV3" s="306"/>
      <c r="FDW3" s="306"/>
      <c r="FDX3" s="306"/>
      <c r="FDY3" s="306"/>
      <c r="FDZ3" s="306"/>
      <c r="FEA3" s="306"/>
      <c r="FEB3" s="306"/>
      <c r="FEC3" s="306"/>
      <c r="FED3" s="306"/>
      <c r="FEE3" s="306"/>
      <c r="FEF3" s="306"/>
      <c r="FEG3" s="306"/>
      <c r="FEH3" s="306"/>
      <c r="FEI3" s="306"/>
      <c r="FEJ3" s="306"/>
      <c r="FEK3" s="306"/>
      <c r="FEL3" s="306"/>
      <c r="FEM3" s="306"/>
      <c r="FEN3" s="306"/>
      <c r="FEO3" s="306"/>
      <c r="FEP3" s="306"/>
      <c r="FEQ3" s="306"/>
      <c r="FER3" s="306"/>
      <c r="FES3" s="306"/>
      <c r="FET3" s="306"/>
      <c r="FEU3" s="306"/>
      <c r="FEV3" s="306"/>
      <c r="FEW3" s="306"/>
      <c r="FEX3" s="306"/>
      <c r="FEY3" s="306"/>
      <c r="FEZ3" s="306"/>
      <c r="FFA3" s="306"/>
      <c r="FFB3" s="306"/>
      <c r="FFC3" s="306"/>
      <c r="FFD3" s="306"/>
      <c r="FFE3" s="306"/>
      <c r="FFF3" s="306"/>
      <c r="FFG3" s="306"/>
      <c r="FFH3" s="306"/>
      <c r="FFI3" s="306"/>
      <c r="FFJ3" s="306"/>
      <c r="FFK3" s="306"/>
      <c r="FFL3" s="306"/>
      <c r="FFM3" s="306"/>
      <c r="FFN3" s="306"/>
      <c r="FFO3" s="306"/>
      <c r="FFP3" s="306"/>
      <c r="FFQ3" s="306"/>
      <c r="FFR3" s="306"/>
      <c r="FFS3" s="306"/>
      <c r="FFT3" s="306"/>
      <c r="FFU3" s="306"/>
      <c r="FFV3" s="306"/>
      <c r="FFW3" s="306"/>
      <c r="FFX3" s="306"/>
      <c r="FFY3" s="306"/>
      <c r="FFZ3" s="306"/>
      <c r="FGA3" s="306"/>
      <c r="FGB3" s="306"/>
      <c r="FGC3" s="306"/>
      <c r="FGD3" s="306"/>
      <c r="FGE3" s="306"/>
      <c r="FGF3" s="306"/>
      <c r="FGG3" s="306"/>
      <c r="FGH3" s="306"/>
      <c r="FGI3" s="306"/>
      <c r="FGJ3" s="306"/>
      <c r="FGK3" s="306"/>
      <c r="FGL3" s="306"/>
      <c r="FGM3" s="306"/>
      <c r="FGN3" s="306"/>
      <c r="FGO3" s="306"/>
      <c r="FGP3" s="306"/>
      <c r="FGQ3" s="306"/>
      <c r="FGR3" s="306"/>
      <c r="FGS3" s="306"/>
      <c r="FGT3" s="306"/>
      <c r="FGU3" s="306"/>
      <c r="FGV3" s="306"/>
      <c r="FGW3" s="306"/>
      <c r="FGX3" s="306"/>
      <c r="FGY3" s="306"/>
      <c r="FGZ3" s="306"/>
      <c r="FHA3" s="306"/>
      <c r="FHB3" s="306"/>
      <c r="FHC3" s="306"/>
      <c r="FHD3" s="306"/>
      <c r="FHE3" s="306"/>
      <c r="FHF3" s="306"/>
      <c r="FHG3" s="306"/>
      <c r="FHH3" s="306"/>
      <c r="FHI3" s="306"/>
      <c r="FHJ3" s="306"/>
      <c r="FHK3" s="306"/>
      <c r="FHL3" s="306"/>
      <c r="FHM3" s="306"/>
      <c r="FHN3" s="306"/>
      <c r="FHO3" s="306"/>
      <c r="FHP3" s="306"/>
      <c r="FHQ3" s="306"/>
      <c r="FHR3" s="306"/>
      <c r="FHS3" s="306"/>
      <c r="FHT3" s="306"/>
      <c r="FHU3" s="306"/>
      <c r="FHV3" s="306"/>
      <c r="FHW3" s="306"/>
      <c r="FHX3" s="306"/>
      <c r="FHY3" s="306"/>
      <c r="FHZ3" s="306"/>
      <c r="FIA3" s="306"/>
      <c r="FIB3" s="306"/>
      <c r="FIC3" s="306"/>
      <c r="FID3" s="306"/>
      <c r="FIE3" s="306"/>
      <c r="FIF3" s="306"/>
      <c r="FIG3" s="306"/>
      <c r="FIH3" s="306"/>
      <c r="FII3" s="306"/>
      <c r="FIJ3" s="306"/>
      <c r="FIK3" s="306"/>
      <c r="FIL3" s="306"/>
      <c r="FIM3" s="306"/>
      <c r="FIN3" s="306"/>
      <c r="FIO3" s="306"/>
      <c r="FIP3" s="306"/>
      <c r="FIQ3" s="306"/>
      <c r="FIR3" s="306"/>
      <c r="FIS3" s="306"/>
      <c r="FIT3" s="306"/>
      <c r="FIU3" s="306"/>
      <c r="FIV3" s="306"/>
      <c r="FIW3" s="306"/>
      <c r="FIX3" s="306"/>
      <c r="FIY3" s="306"/>
      <c r="FIZ3" s="306"/>
      <c r="FJA3" s="306"/>
      <c r="FJB3" s="306"/>
      <c r="FJC3" s="306"/>
      <c r="FJD3" s="306"/>
      <c r="FJE3" s="306"/>
      <c r="FJF3" s="306"/>
      <c r="FJG3" s="306"/>
      <c r="FJH3" s="306"/>
      <c r="FJI3" s="306"/>
      <c r="FJJ3" s="306"/>
      <c r="FJK3" s="306"/>
      <c r="FJL3" s="306"/>
      <c r="FJM3" s="306"/>
      <c r="FJN3" s="306"/>
      <c r="FJO3" s="306"/>
      <c r="FJP3" s="306"/>
      <c r="FJQ3" s="306"/>
      <c r="FJR3" s="306"/>
      <c r="FJS3" s="306"/>
      <c r="FJT3" s="306"/>
      <c r="FJU3" s="306"/>
      <c r="FJV3" s="306"/>
      <c r="FJW3" s="306"/>
      <c r="FJX3" s="306"/>
      <c r="FJY3" s="306"/>
      <c r="FJZ3" s="306"/>
      <c r="FKA3" s="306"/>
      <c r="FKB3" s="306"/>
      <c r="FKC3" s="306"/>
      <c r="FKD3" s="306"/>
      <c r="FKE3" s="306"/>
      <c r="FKF3" s="306"/>
      <c r="FKG3" s="306"/>
      <c r="FKH3" s="306"/>
      <c r="FKI3" s="306"/>
      <c r="FKJ3" s="306"/>
      <c r="FKK3" s="306"/>
      <c r="FKL3" s="306"/>
      <c r="FKM3" s="306"/>
      <c r="FKN3" s="306"/>
      <c r="FKO3" s="306"/>
      <c r="FKP3" s="306"/>
      <c r="FKQ3" s="306"/>
      <c r="FKR3" s="306"/>
      <c r="FKS3" s="306"/>
      <c r="FKT3" s="306"/>
      <c r="FKU3" s="306"/>
      <c r="FKV3" s="306"/>
      <c r="FKW3" s="306"/>
      <c r="FKX3" s="306"/>
      <c r="FKY3" s="306"/>
      <c r="FKZ3" s="306"/>
      <c r="FLA3" s="306"/>
      <c r="FLB3" s="306"/>
      <c r="FLC3" s="306"/>
      <c r="FLD3" s="306"/>
      <c r="FLE3" s="306"/>
      <c r="FLF3" s="306"/>
      <c r="FLG3" s="306"/>
      <c r="FLH3" s="306"/>
      <c r="FLI3" s="306"/>
      <c r="FLJ3" s="306"/>
      <c r="FLK3" s="306"/>
      <c r="FLL3" s="306"/>
      <c r="FLM3" s="306"/>
      <c r="FLN3" s="306"/>
      <c r="FLO3" s="306"/>
      <c r="FLP3" s="306"/>
      <c r="FLQ3" s="306"/>
      <c r="FLR3" s="306"/>
      <c r="FLS3" s="306"/>
      <c r="FLT3" s="306"/>
      <c r="FLU3" s="306"/>
      <c r="FLV3" s="306"/>
      <c r="FLW3" s="306"/>
      <c r="FLX3" s="306"/>
      <c r="FLY3" s="306"/>
      <c r="FLZ3" s="306"/>
      <c r="FMA3" s="306"/>
      <c r="FMB3" s="306"/>
      <c r="FMC3" s="306"/>
      <c r="FMD3" s="306"/>
      <c r="FME3" s="306"/>
      <c r="FMF3" s="306"/>
      <c r="FMG3" s="306"/>
      <c r="FMH3" s="306"/>
      <c r="FMI3" s="306"/>
      <c r="FMJ3" s="306"/>
      <c r="FMK3" s="306"/>
      <c r="FML3" s="306"/>
      <c r="FMM3" s="306"/>
      <c r="FMN3" s="306"/>
      <c r="FMO3" s="306"/>
      <c r="FMP3" s="306"/>
      <c r="FMQ3" s="306"/>
      <c r="FMR3" s="306"/>
      <c r="FMS3" s="306"/>
      <c r="FMT3" s="306"/>
      <c r="FMU3" s="306"/>
      <c r="FMV3" s="306"/>
      <c r="FMW3" s="306"/>
      <c r="FMX3" s="306"/>
      <c r="FMY3" s="306"/>
      <c r="FMZ3" s="306"/>
      <c r="FNA3" s="306"/>
      <c r="FNB3" s="306"/>
      <c r="FNC3" s="306"/>
      <c r="FND3" s="306"/>
      <c r="FNE3" s="306"/>
      <c r="FNF3" s="306"/>
      <c r="FNG3" s="306"/>
      <c r="FNH3" s="306"/>
      <c r="FNI3" s="306"/>
      <c r="FNJ3" s="306"/>
      <c r="FNK3" s="306"/>
      <c r="FNL3" s="306"/>
      <c r="FNM3" s="306"/>
      <c r="FNN3" s="306"/>
      <c r="FNO3" s="306"/>
      <c r="FNP3" s="306"/>
      <c r="FNQ3" s="306"/>
      <c r="FNR3" s="306"/>
      <c r="FNS3" s="306"/>
      <c r="FNT3" s="306"/>
      <c r="FNU3" s="306"/>
      <c r="FNV3" s="306"/>
      <c r="FNW3" s="306"/>
      <c r="FNX3" s="306"/>
      <c r="FNY3" s="306"/>
      <c r="FNZ3" s="306"/>
      <c r="FOA3" s="306"/>
      <c r="FOB3" s="306"/>
      <c r="FOC3" s="306"/>
      <c r="FOD3" s="306"/>
      <c r="FOE3" s="306"/>
      <c r="FOF3" s="306"/>
      <c r="FOG3" s="306"/>
      <c r="FOH3" s="306"/>
      <c r="FOI3" s="306"/>
      <c r="FOJ3" s="306"/>
      <c r="FOK3" s="306"/>
      <c r="FOL3" s="306"/>
      <c r="FOM3" s="306"/>
      <c r="FON3" s="306"/>
      <c r="FOO3" s="306"/>
      <c r="FOP3" s="306"/>
      <c r="FOQ3" s="306"/>
      <c r="FOR3" s="306"/>
      <c r="FOS3" s="306"/>
      <c r="FOT3" s="306"/>
      <c r="FOU3" s="306"/>
      <c r="FOV3" s="306"/>
      <c r="FOW3" s="306"/>
      <c r="FOX3" s="306"/>
      <c r="FOY3" s="306"/>
      <c r="FOZ3" s="306"/>
      <c r="FPA3" s="306"/>
      <c r="FPB3" s="306"/>
      <c r="FPC3" s="306"/>
      <c r="FPD3" s="306"/>
      <c r="FPE3" s="306"/>
      <c r="FPF3" s="306"/>
      <c r="FPG3" s="306"/>
      <c r="FPH3" s="306"/>
      <c r="FPI3" s="306"/>
      <c r="FPJ3" s="306"/>
      <c r="FPK3" s="306"/>
      <c r="FPL3" s="306"/>
      <c r="FPM3" s="306"/>
      <c r="FPN3" s="306"/>
      <c r="FPO3" s="306"/>
      <c r="FPP3" s="306"/>
      <c r="FPQ3" s="306"/>
      <c r="FPR3" s="306"/>
      <c r="FPS3" s="306"/>
      <c r="FPT3" s="306"/>
      <c r="FPU3" s="306"/>
      <c r="FPV3" s="306"/>
      <c r="FPW3" s="306"/>
      <c r="FPX3" s="306"/>
      <c r="FPY3" s="306"/>
      <c r="FPZ3" s="306"/>
      <c r="FQA3" s="306"/>
      <c r="FQB3" s="306"/>
      <c r="FQC3" s="306"/>
      <c r="FQD3" s="306"/>
      <c r="FQE3" s="306"/>
      <c r="FQF3" s="306"/>
      <c r="FQG3" s="306"/>
      <c r="FQH3" s="306"/>
      <c r="FQI3" s="306"/>
      <c r="FQJ3" s="306"/>
      <c r="FQK3" s="306"/>
      <c r="FQL3" s="306"/>
      <c r="FQM3" s="306"/>
      <c r="FQN3" s="306"/>
      <c r="FQO3" s="306"/>
      <c r="FQP3" s="306"/>
      <c r="FQQ3" s="306"/>
      <c r="FQR3" s="306"/>
      <c r="FQS3" s="306"/>
      <c r="FQT3" s="306"/>
      <c r="FQU3" s="306"/>
      <c r="FQV3" s="306"/>
      <c r="FQW3" s="306"/>
      <c r="FQX3" s="306"/>
      <c r="FQY3" s="306"/>
      <c r="FQZ3" s="306"/>
      <c r="FRA3" s="306"/>
      <c r="FRB3" s="306"/>
      <c r="FRC3" s="306"/>
      <c r="FRD3" s="306"/>
      <c r="FRE3" s="306"/>
      <c r="FRF3" s="306"/>
      <c r="FRG3" s="306"/>
      <c r="FRH3" s="306"/>
      <c r="FRI3" s="306"/>
      <c r="FRJ3" s="306"/>
      <c r="FRK3" s="306"/>
      <c r="FRL3" s="306"/>
      <c r="FRM3" s="306"/>
      <c r="FRN3" s="306"/>
      <c r="FRO3" s="306"/>
      <c r="FRP3" s="306"/>
      <c r="FRQ3" s="306"/>
      <c r="FRR3" s="306"/>
      <c r="FRS3" s="306"/>
      <c r="FRT3" s="306"/>
      <c r="FRU3" s="306"/>
      <c r="FRV3" s="306"/>
      <c r="FRW3" s="306"/>
      <c r="FRX3" s="306"/>
      <c r="FRY3" s="306"/>
      <c r="FRZ3" s="306"/>
      <c r="FSA3" s="306"/>
      <c r="FSB3" s="306"/>
      <c r="FSC3" s="306"/>
      <c r="FSD3" s="306"/>
      <c r="FSE3" s="306"/>
      <c r="FSF3" s="306"/>
      <c r="FSG3" s="306"/>
      <c r="FSH3" s="306"/>
      <c r="FSI3" s="306"/>
      <c r="FSJ3" s="306"/>
      <c r="FSK3" s="306"/>
      <c r="FSL3" s="306"/>
      <c r="FSM3" s="306"/>
      <c r="FSN3" s="306"/>
      <c r="FSO3" s="306"/>
      <c r="FSP3" s="306"/>
      <c r="FSQ3" s="306"/>
      <c r="FSR3" s="306"/>
      <c r="FSS3" s="306"/>
      <c r="FST3" s="306"/>
      <c r="FSU3" s="306"/>
      <c r="FSV3" s="306"/>
      <c r="FSW3" s="306"/>
      <c r="FSX3" s="306"/>
      <c r="FSY3" s="306"/>
      <c r="FSZ3" s="306"/>
      <c r="FTA3" s="306"/>
      <c r="FTB3" s="306"/>
      <c r="FTC3" s="306"/>
      <c r="FTD3" s="306"/>
      <c r="FTE3" s="306"/>
      <c r="FTF3" s="306"/>
      <c r="FTG3" s="306"/>
      <c r="FTH3" s="306"/>
      <c r="FTI3" s="306"/>
      <c r="FTJ3" s="306"/>
      <c r="FTK3" s="306"/>
      <c r="FTL3" s="306"/>
      <c r="FTM3" s="306"/>
      <c r="FTN3" s="306"/>
      <c r="FTO3" s="306"/>
      <c r="FTP3" s="306"/>
      <c r="FTQ3" s="306"/>
      <c r="FTR3" s="306"/>
      <c r="FTS3" s="306"/>
      <c r="FTT3" s="306"/>
      <c r="FTU3" s="306"/>
      <c r="FTV3" s="306"/>
      <c r="FTW3" s="306"/>
      <c r="FTX3" s="306"/>
      <c r="FTY3" s="306"/>
      <c r="FTZ3" s="306"/>
      <c r="FUA3" s="306"/>
      <c r="FUB3" s="306"/>
      <c r="FUC3" s="306"/>
      <c r="FUD3" s="306"/>
      <c r="FUE3" s="306"/>
      <c r="FUF3" s="306"/>
      <c r="FUG3" s="306"/>
      <c r="FUH3" s="306"/>
      <c r="FUI3" s="306"/>
      <c r="FUJ3" s="306"/>
      <c r="FUK3" s="306"/>
      <c r="FUL3" s="306"/>
      <c r="FUM3" s="306"/>
      <c r="FUN3" s="306"/>
      <c r="FUO3" s="306"/>
      <c r="FUP3" s="306"/>
      <c r="FUQ3" s="306"/>
      <c r="FUR3" s="306"/>
      <c r="FUS3" s="306"/>
      <c r="FUT3" s="306"/>
      <c r="FUU3" s="306"/>
      <c r="FUV3" s="306"/>
      <c r="FUW3" s="306"/>
      <c r="FUX3" s="306"/>
      <c r="FUY3" s="306"/>
      <c r="FUZ3" s="306"/>
      <c r="FVA3" s="306"/>
      <c r="FVB3" s="306"/>
      <c r="FVC3" s="306"/>
      <c r="FVD3" s="306"/>
      <c r="FVE3" s="306"/>
      <c r="FVF3" s="306"/>
      <c r="FVG3" s="306"/>
      <c r="FVH3" s="306"/>
      <c r="FVI3" s="306"/>
      <c r="FVJ3" s="306"/>
      <c r="FVK3" s="306"/>
      <c r="FVL3" s="306"/>
      <c r="FVM3" s="306"/>
      <c r="FVN3" s="306"/>
      <c r="FVO3" s="306"/>
      <c r="FVP3" s="306"/>
      <c r="FVQ3" s="306"/>
      <c r="FVR3" s="306"/>
      <c r="FVS3" s="306"/>
      <c r="FVT3" s="306"/>
      <c r="FVU3" s="306"/>
      <c r="FVV3" s="306"/>
      <c r="FVW3" s="306"/>
      <c r="FVX3" s="306"/>
      <c r="FVY3" s="306"/>
      <c r="FVZ3" s="306"/>
      <c r="FWA3" s="306"/>
      <c r="FWB3" s="306"/>
      <c r="FWC3" s="306"/>
      <c r="FWD3" s="306"/>
      <c r="FWE3" s="306"/>
      <c r="FWF3" s="306"/>
      <c r="FWG3" s="306"/>
      <c r="FWH3" s="306"/>
      <c r="FWI3" s="306"/>
      <c r="FWJ3" s="306"/>
      <c r="FWK3" s="306"/>
      <c r="FWL3" s="306"/>
      <c r="FWM3" s="306"/>
      <c r="FWN3" s="306"/>
      <c r="FWO3" s="306"/>
      <c r="FWP3" s="306"/>
      <c r="FWQ3" s="306"/>
      <c r="FWR3" s="306"/>
      <c r="FWS3" s="306"/>
      <c r="FWT3" s="306"/>
      <c r="FWU3" s="306"/>
      <c r="FWV3" s="306"/>
      <c r="FWW3" s="306"/>
      <c r="FWX3" s="306"/>
      <c r="FWY3" s="306"/>
      <c r="FWZ3" s="306"/>
      <c r="FXA3" s="306"/>
      <c r="FXB3" s="306"/>
      <c r="FXC3" s="306"/>
      <c r="FXD3" s="306"/>
      <c r="FXE3" s="306"/>
      <c r="FXF3" s="306"/>
      <c r="FXG3" s="306"/>
      <c r="FXH3" s="306"/>
      <c r="FXI3" s="306"/>
      <c r="FXJ3" s="306"/>
      <c r="FXK3" s="306"/>
      <c r="FXL3" s="306"/>
      <c r="FXM3" s="306"/>
      <c r="FXN3" s="306"/>
      <c r="FXO3" s="306"/>
      <c r="FXP3" s="306"/>
      <c r="FXQ3" s="306"/>
      <c r="FXR3" s="306"/>
      <c r="FXS3" s="306"/>
      <c r="FXT3" s="306"/>
      <c r="FXU3" s="306"/>
      <c r="FXV3" s="306"/>
      <c r="FXW3" s="306"/>
      <c r="FXX3" s="306"/>
      <c r="FXY3" s="306"/>
      <c r="FXZ3" s="306"/>
      <c r="FYA3" s="306"/>
      <c r="FYB3" s="306"/>
      <c r="FYC3" s="306"/>
      <c r="FYD3" s="306"/>
      <c r="FYE3" s="306"/>
      <c r="FYF3" s="306"/>
      <c r="FYG3" s="306"/>
      <c r="FYH3" s="306"/>
      <c r="FYI3" s="306"/>
      <c r="FYJ3" s="306"/>
      <c r="FYK3" s="306"/>
      <c r="FYL3" s="306"/>
      <c r="FYM3" s="306"/>
      <c r="FYN3" s="306"/>
      <c r="FYO3" s="306"/>
      <c r="FYP3" s="306"/>
      <c r="FYQ3" s="306"/>
      <c r="FYR3" s="306"/>
      <c r="FYS3" s="306"/>
      <c r="FYT3" s="306"/>
      <c r="FYU3" s="306"/>
      <c r="FYV3" s="306"/>
      <c r="FYW3" s="306"/>
      <c r="FYX3" s="306"/>
      <c r="FYY3" s="306"/>
      <c r="FYZ3" s="306"/>
      <c r="FZA3" s="306"/>
      <c r="FZB3" s="306"/>
      <c r="FZC3" s="306"/>
      <c r="FZD3" s="306"/>
      <c r="FZE3" s="306"/>
      <c r="FZF3" s="306"/>
      <c r="FZG3" s="306"/>
      <c r="FZH3" s="306"/>
      <c r="FZI3" s="306"/>
      <c r="FZJ3" s="306"/>
      <c r="FZK3" s="306"/>
      <c r="FZL3" s="306"/>
      <c r="FZM3" s="306"/>
      <c r="FZN3" s="306"/>
      <c r="FZO3" s="306"/>
      <c r="FZP3" s="306"/>
      <c r="FZQ3" s="306"/>
      <c r="FZR3" s="306"/>
      <c r="FZS3" s="306"/>
      <c r="FZT3" s="306"/>
      <c r="FZU3" s="306"/>
      <c r="FZV3" s="306"/>
      <c r="FZW3" s="306"/>
      <c r="FZX3" s="306"/>
      <c r="FZY3" s="306"/>
      <c r="FZZ3" s="306"/>
      <c r="GAA3" s="306"/>
      <c r="GAB3" s="306"/>
      <c r="GAC3" s="306"/>
      <c r="GAD3" s="306"/>
      <c r="GAE3" s="306"/>
      <c r="GAF3" s="306"/>
      <c r="GAG3" s="306"/>
      <c r="GAH3" s="306"/>
      <c r="GAI3" s="306"/>
      <c r="GAJ3" s="306"/>
      <c r="GAK3" s="306"/>
      <c r="GAL3" s="306"/>
      <c r="GAM3" s="306"/>
      <c r="GAN3" s="306"/>
      <c r="GAO3" s="306"/>
      <c r="GAP3" s="306"/>
      <c r="GAQ3" s="306"/>
      <c r="GAR3" s="306"/>
      <c r="GAS3" s="306"/>
      <c r="GAT3" s="306"/>
      <c r="GAU3" s="306"/>
      <c r="GAV3" s="306"/>
      <c r="GAW3" s="306"/>
      <c r="GAX3" s="306"/>
      <c r="GAY3" s="306"/>
      <c r="GAZ3" s="306"/>
      <c r="GBA3" s="306"/>
      <c r="GBB3" s="306"/>
      <c r="GBC3" s="306"/>
      <c r="GBD3" s="306"/>
      <c r="GBE3" s="306"/>
      <c r="GBF3" s="306"/>
      <c r="GBG3" s="306"/>
      <c r="GBH3" s="306"/>
      <c r="GBI3" s="306"/>
      <c r="GBJ3" s="306"/>
      <c r="GBK3" s="306"/>
      <c r="GBL3" s="306"/>
      <c r="GBM3" s="306"/>
      <c r="GBN3" s="306"/>
      <c r="GBO3" s="306"/>
      <c r="GBP3" s="306"/>
      <c r="GBQ3" s="306"/>
      <c r="GBR3" s="306"/>
      <c r="GBS3" s="306"/>
      <c r="GBT3" s="306"/>
      <c r="GBU3" s="306"/>
      <c r="GBV3" s="306"/>
      <c r="GBW3" s="306"/>
      <c r="GBX3" s="306"/>
      <c r="GBY3" s="306"/>
      <c r="GBZ3" s="306"/>
      <c r="GCA3" s="306"/>
      <c r="GCB3" s="306"/>
      <c r="GCC3" s="306"/>
      <c r="GCD3" s="306"/>
      <c r="GCE3" s="306"/>
      <c r="GCF3" s="306"/>
      <c r="GCG3" s="306"/>
      <c r="GCH3" s="306"/>
      <c r="GCI3" s="306"/>
      <c r="GCJ3" s="306"/>
      <c r="GCK3" s="306"/>
      <c r="GCL3" s="306"/>
      <c r="GCM3" s="306"/>
      <c r="GCN3" s="306"/>
      <c r="GCO3" s="306"/>
      <c r="GCP3" s="306"/>
      <c r="GCQ3" s="306"/>
      <c r="GCR3" s="306"/>
      <c r="GCS3" s="306"/>
      <c r="GCT3" s="306"/>
      <c r="GCU3" s="306"/>
      <c r="GCV3" s="306"/>
      <c r="GCW3" s="306"/>
      <c r="GCX3" s="306"/>
      <c r="GCY3" s="306"/>
      <c r="GCZ3" s="306"/>
      <c r="GDA3" s="306"/>
      <c r="GDB3" s="306"/>
      <c r="GDC3" s="306"/>
      <c r="GDD3" s="306"/>
      <c r="GDE3" s="306"/>
      <c r="GDF3" s="306"/>
      <c r="GDG3" s="306"/>
      <c r="GDH3" s="306"/>
      <c r="GDI3" s="306"/>
      <c r="GDJ3" s="306"/>
      <c r="GDK3" s="306"/>
      <c r="GDL3" s="306"/>
      <c r="GDM3" s="306"/>
      <c r="GDN3" s="306"/>
      <c r="GDO3" s="306"/>
      <c r="GDP3" s="306"/>
      <c r="GDQ3" s="306"/>
      <c r="GDR3" s="306"/>
      <c r="GDS3" s="306"/>
      <c r="GDT3" s="306"/>
      <c r="GDU3" s="306"/>
      <c r="GDV3" s="306"/>
      <c r="GDW3" s="306"/>
      <c r="GDX3" s="306"/>
      <c r="GDY3" s="306"/>
      <c r="GDZ3" s="306"/>
      <c r="GEA3" s="306"/>
      <c r="GEB3" s="306"/>
      <c r="GEC3" s="306"/>
      <c r="GED3" s="306"/>
      <c r="GEE3" s="306"/>
      <c r="GEF3" s="306"/>
      <c r="GEG3" s="306"/>
      <c r="GEH3" s="306"/>
      <c r="GEI3" s="306"/>
      <c r="GEJ3" s="306"/>
      <c r="GEK3" s="306"/>
      <c r="GEL3" s="306"/>
      <c r="GEM3" s="306"/>
      <c r="GEN3" s="306"/>
      <c r="GEO3" s="306"/>
      <c r="GEP3" s="306"/>
      <c r="GEQ3" s="306"/>
      <c r="GER3" s="306"/>
      <c r="GES3" s="306"/>
      <c r="GET3" s="306"/>
      <c r="GEU3" s="306"/>
      <c r="GEV3" s="306"/>
      <c r="GEW3" s="306"/>
      <c r="GEX3" s="306"/>
      <c r="GEY3" s="306"/>
      <c r="GEZ3" s="306"/>
      <c r="GFA3" s="306"/>
      <c r="GFB3" s="306"/>
      <c r="GFC3" s="306"/>
      <c r="GFD3" s="306"/>
      <c r="GFE3" s="306"/>
      <c r="GFF3" s="306"/>
      <c r="GFG3" s="306"/>
      <c r="GFH3" s="306"/>
      <c r="GFI3" s="306"/>
      <c r="GFJ3" s="306"/>
      <c r="GFK3" s="306"/>
      <c r="GFL3" s="306"/>
      <c r="GFM3" s="306"/>
      <c r="GFN3" s="306"/>
      <c r="GFO3" s="306"/>
      <c r="GFP3" s="306"/>
      <c r="GFQ3" s="306"/>
      <c r="GFR3" s="306"/>
      <c r="GFS3" s="306"/>
      <c r="GFT3" s="306"/>
      <c r="GFU3" s="306"/>
      <c r="GFV3" s="306"/>
      <c r="GFW3" s="306"/>
      <c r="GFX3" s="306"/>
      <c r="GFY3" s="306"/>
      <c r="GFZ3" s="306"/>
      <c r="GGA3" s="306"/>
      <c r="GGB3" s="306"/>
      <c r="GGC3" s="306"/>
      <c r="GGD3" s="306"/>
      <c r="GGE3" s="306"/>
      <c r="GGF3" s="306"/>
      <c r="GGG3" s="306"/>
      <c r="GGH3" s="306"/>
      <c r="GGI3" s="306"/>
      <c r="GGJ3" s="306"/>
      <c r="GGK3" s="306"/>
      <c r="GGL3" s="306"/>
      <c r="GGM3" s="306"/>
      <c r="GGN3" s="306"/>
      <c r="GGO3" s="306"/>
      <c r="GGP3" s="306"/>
      <c r="GGQ3" s="306"/>
      <c r="GGR3" s="306"/>
      <c r="GGS3" s="306"/>
      <c r="GGT3" s="306"/>
      <c r="GGU3" s="306"/>
      <c r="GGV3" s="306"/>
      <c r="GGW3" s="306"/>
      <c r="GGX3" s="306"/>
      <c r="GGY3" s="306"/>
      <c r="GGZ3" s="306"/>
      <c r="GHA3" s="306"/>
      <c r="GHB3" s="306"/>
      <c r="GHC3" s="306"/>
      <c r="GHD3" s="306"/>
      <c r="GHE3" s="306"/>
      <c r="GHF3" s="306"/>
      <c r="GHG3" s="306"/>
      <c r="GHH3" s="306"/>
      <c r="GHI3" s="306"/>
      <c r="GHJ3" s="306"/>
      <c r="GHK3" s="306"/>
      <c r="GHL3" s="306"/>
      <c r="GHM3" s="306"/>
      <c r="GHN3" s="306"/>
      <c r="GHO3" s="306"/>
      <c r="GHP3" s="306"/>
      <c r="GHQ3" s="306"/>
      <c r="GHR3" s="306"/>
      <c r="GHS3" s="306"/>
      <c r="GHT3" s="306"/>
      <c r="GHU3" s="306"/>
      <c r="GHV3" s="306"/>
      <c r="GHW3" s="306"/>
      <c r="GHX3" s="306"/>
      <c r="GHY3" s="306"/>
      <c r="GHZ3" s="306"/>
      <c r="GIA3" s="306"/>
      <c r="GIB3" s="306"/>
      <c r="GIC3" s="306"/>
      <c r="GID3" s="306"/>
      <c r="GIE3" s="306"/>
      <c r="GIF3" s="306"/>
      <c r="GIG3" s="306"/>
      <c r="GIH3" s="306"/>
      <c r="GII3" s="306"/>
      <c r="GIJ3" s="306"/>
      <c r="GIK3" s="306"/>
      <c r="GIL3" s="306"/>
      <c r="GIM3" s="306"/>
      <c r="GIN3" s="306"/>
      <c r="GIO3" s="306"/>
      <c r="GIP3" s="306"/>
      <c r="GIQ3" s="306"/>
      <c r="GIR3" s="306"/>
      <c r="GIS3" s="306"/>
      <c r="GIT3" s="306"/>
      <c r="GIU3" s="306"/>
      <c r="GIV3" s="306"/>
      <c r="GIW3" s="306"/>
      <c r="GIX3" s="306"/>
      <c r="GIY3" s="306"/>
      <c r="GIZ3" s="306"/>
      <c r="GJA3" s="306"/>
      <c r="GJB3" s="306"/>
      <c r="GJC3" s="306"/>
      <c r="GJD3" s="306"/>
      <c r="GJE3" s="306"/>
      <c r="GJF3" s="306"/>
      <c r="GJG3" s="306"/>
      <c r="GJH3" s="306"/>
      <c r="GJI3" s="306"/>
      <c r="GJJ3" s="306"/>
      <c r="GJK3" s="306"/>
      <c r="GJL3" s="306"/>
      <c r="GJM3" s="306"/>
      <c r="GJN3" s="306"/>
      <c r="GJO3" s="306"/>
      <c r="GJP3" s="306"/>
      <c r="GJQ3" s="306"/>
      <c r="GJR3" s="306"/>
      <c r="GJS3" s="306"/>
      <c r="GJT3" s="306"/>
      <c r="GJU3" s="306"/>
      <c r="GJV3" s="306"/>
      <c r="GJW3" s="306"/>
      <c r="GJX3" s="306"/>
      <c r="GJY3" s="306"/>
      <c r="GJZ3" s="306"/>
      <c r="GKA3" s="306"/>
      <c r="GKB3" s="306"/>
      <c r="GKC3" s="306"/>
      <c r="GKD3" s="306"/>
      <c r="GKE3" s="306"/>
      <c r="GKF3" s="306"/>
      <c r="GKG3" s="306"/>
      <c r="GKH3" s="306"/>
      <c r="GKI3" s="306"/>
      <c r="GKJ3" s="306"/>
      <c r="GKK3" s="306"/>
      <c r="GKL3" s="306"/>
      <c r="GKM3" s="306"/>
      <c r="GKN3" s="306"/>
      <c r="GKO3" s="306"/>
      <c r="GKP3" s="306"/>
      <c r="GKQ3" s="306"/>
      <c r="GKR3" s="306"/>
      <c r="GKS3" s="306"/>
      <c r="GKT3" s="306"/>
      <c r="GKU3" s="306"/>
      <c r="GKV3" s="306"/>
      <c r="GKW3" s="306"/>
      <c r="GKX3" s="306"/>
      <c r="GKY3" s="306"/>
      <c r="GKZ3" s="306"/>
      <c r="GLA3" s="306"/>
      <c r="GLB3" s="306"/>
      <c r="GLC3" s="306"/>
      <c r="GLD3" s="306"/>
      <c r="GLE3" s="306"/>
      <c r="GLF3" s="306"/>
      <c r="GLG3" s="306"/>
      <c r="GLH3" s="306"/>
      <c r="GLI3" s="306"/>
      <c r="GLJ3" s="306"/>
      <c r="GLK3" s="306"/>
      <c r="GLL3" s="306"/>
      <c r="GLM3" s="306"/>
      <c r="GLN3" s="306"/>
      <c r="GLO3" s="306"/>
      <c r="GLP3" s="306"/>
      <c r="GLQ3" s="306"/>
      <c r="GLR3" s="306"/>
      <c r="GLS3" s="306"/>
      <c r="GLT3" s="306"/>
      <c r="GLU3" s="306"/>
      <c r="GLV3" s="306"/>
      <c r="GLW3" s="306"/>
      <c r="GLX3" s="306"/>
      <c r="GLY3" s="306"/>
      <c r="GLZ3" s="306"/>
      <c r="GMA3" s="306"/>
      <c r="GMB3" s="306"/>
      <c r="GMC3" s="306"/>
      <c r="GMD3" s="306"/>
      <c r="GME3" s="306"/>
      <c r="GMF3" s="306"/>
      <c r="GMG3" s="306"/>
      <c r="GMH3" s="306"/>
      <c r="GMI3" s="306"/>
      <c r="GMJ3" s="306"/>
      <c r="GMK3" s="306"/>
      <c r="GML3" s="306"/>
      <c r="GMM3" s="306"/>
      <c r="GMN3" s="306"/>
      <c r="GMO3" s="306"/>
      <c r="GMP3" s="306"/>
      <c r="GMQ3" s="306"/>
      <c r="GMR3" s="306"/>
      <c r="GMS3" s="306"/>
      <c r="GMT3" s="306"/>
      <c r="GMU3" s="306"/>
      <c r="GMV3" s="306"/>
      <c r="GMW3" s="306"/>
      <c r="GMX3" s="306"/>
      <c r="GMY3" s="306"/>
      <c r="GMZ3" s="306"/>
      <c r="GNA3" s="306"/>
      <c r="GNB3" s="306"/>
      <c r="GNC3" s="306"/>
      <c r="GND3" s="306"/>
      <c r="GNE3" s="306"/>
      <c r="GNF3" s="306"/>
      <c r="GNG3" s="306"/>
      <c r="GNH3" s="306"/>
      <c r="GNI3" s="306"/>
      <c r="GNJ3" s="306"/>
      <c r="GNK3" s="306"/>
      <c r="GNL3" s="306"/>
      <c r="GNM3" s="306"/>
      <c r="GNN3" s="306"/>
      <c r="GNO3" s="306"/>
      <c r="GNP3" s="306"/>
      <c r="GNQ3" s="306"/>
      <c r="GNR3" s="306"/>
      <c r="GNS3" s="306"/>
      <c r="GNT3" s="306"/>
      <c r="GNU3" s="306"/>
      <c r="GNV3" s="306"/>
      <c r="GNW3" s="306"/>
      <c r="GNX3" s="306"/>
      <c r="GNY3" s="306"/>
      <c r="GNZ3" s="306"/>
      <c r="GOA3" s="306"/>
      <c r="GOB3" s="306"/>
      <c r="GOC3" s="306"/>
      <c r="GOD3" s="306"/>
      <c r="GOE3" s="306"/>
      <c r="GOF3" s="306"/>
      <c r="GOG3" s="306"/>
      <c r="GOH3" s="306"/>
      <c r="GOI3" s="306"/>
      <c r="GOJ3" s="306"/>
      <c r="GOK3" s="306"/>
      <c r="GOL3" s="306"/>
      <c r="GOM3" s="306"/>
      <c r="GON3" s="306"/>
      <c r="GOO3" s="306"/>
      <c r="GOP3" s="306"/>
      <c r="GOQ3" s="306"/>
      <c r="GOR3" s="306"/>
      <c r="GOS3" s="306"/>
      <c r="GOT3" s="306"/>
      <c r="GOU3" s="306"/>
      <c r="GOV3" s="306"/>
      <c r="GOW3" s="306"/>
      <c r="GOX3" s="306"/>
      <c r="GOY3" s="306"/>
      <c r="GOZ3" s="306"/>
      <c r="GPA3" s="306"/>
      <c r="GPB3" s="306"/>
      <c r="GPC3" s="306"/>
      <c r="GPD3" s="306"/>
      <c r="GPE3" s="306"/>
      <c r="GPF3" s="306"/>
      <c r="GPG3" s="306"/>
      <c r="GPH3" s="306"/>
      <c r="GPI3" s="306"/>
      <c r="GPJ3" s="306"/>
      <c r="GPK3" s="306"/>
      <c r="GPL3" s="306"/>
      <c r="GPM3" s="306"/>
      <c r="GPN3" s="306"/>
      <c r="GPO3" s="306"/>
      <c r="GPP3" s="306"/>
      <c r="GPQ3" s="306"/>
      <c r="GPR3" s="306"/>
      <c r="GPS3" s="306"/>
      <c r="GPT3" s="306"/>
      <c r="GPU3" s="306"/>
      <c r="GPV3" s="306"/>
      <c r="GPW3" s="306"/>
      <c r="GPX3" s="306"/>
      <c r="GPY3" s="306"/>
      <c r="GPZ3" s="306"/>
      <c r="GQA3" s="306"/>
      <c r="GQB3" s="306"/>
      <c r="GQC3" s="306"/>
      <c r="GQD3" s="306"/>
      <c r="GQE3" s="306"/>
      <c r="GQF3" s="306"/>
      <c r="GQG3" s="306"/>
      <c r="GQH3" s="306"/>
      <c r="GQI3" s="306"/>
      <c r="GQJ3" s="306"/>
      <c r="GQK3" s="306"/>
      <c r="GQL3" s="306"/>
      <c r="GQM3" s="306"/>
      <c r="GQN3" s="306"/>
      <c r="GQO3" s="306"/>
      <c r="GQP3" s="306"/>
      <c r="GQQ3" s="306"/>
      <c r="GQR3" s="306"/>
      <c r="GQS3" s="306"/>
      <c r="GQT3" s="306"/>
      <c r="GQU3" s="306"/>
      <c r="GQV3" s="306"/>
      <c r="GQW3" s="306"/>
      <c r="GQX3" s="306"/>
      <c r="GQY3" s="306"/>
      <c r="GQZ3" s="306"/>
      <c r="GRA3" s="306"/>
      <c r="GRB3" s="306"/>
      <c r="GRC3" s="306"/>
      <c r="GRD3" s="306"/>
      <c r="GRE3" s="306"/>
      <c r="GRF3" s="306"/>
      <c r="GRG3" s="306"/>
      <c r="GRH3" s="306"/>
      <c r="GRI3" s="306"/>
      <c r="GRJ3" s="306"/>
      <c r="GRK3" s="306"/>
      <c r="GRL3" s="306"/>
      <c r="GRM3" s="306"/>
      <c r="GRN3" s="306"/>
      <c r="GRO3" s="306"/>
      <c r="GRP3" s="306"/>
      <c r="GRQ3" s="306"/>
      <c r="GRR3" s="306"/>
      <c r="GRS3" s="306"/>
      <c r="GRT3" s="306"/>
      <c r="GRU3" s="306"/>
      <c r="GRV3" s="306"/>
      <c r="GRW3" s="306"/>
      <c r="GRX3" s="306"/>
      <c r="GRY3" s="306"/>
      <c r="GRZ3" s="306"/>
      <c r="GSA3" s="306"/>
      <c r="GSB3" s="306"/>
      <c r="GSC3" s="306"/>
      <c r="GSD3" s="306"/>
      <c r="GSE3" s="306"/>
      <c r="GSF3" s="306"/>
      <c r="GSG3" s="306"/>
      <c r="GSH3" s="306"/>
      <c r="GSI3" s="306"/>
      <c r="GSJ3" s="306"/>
      <c r="GSK3" s="306"/>
      <c r="GSL3" s="306"/>
      <c r="GSM3" s="306"/>
      <c r="GSN3" s="306"/>
      <c r="GSO3" s="306"/>
      <c r="GSP3" s="306"/>
      <c r="GSQ3" s="306"/>
      <c r="GSR3" s="306"/>
      <c r="GSS3" s="306"/>
      <c r="GST3" s="306"/>
      <c r="GSU3" s="306"/>
      <c r="GSV3" s="306"/>
      <c r="GSW3" s="306"/>
      <c r="GSX3" s="306"/>
      <c r="GSY3" s="306"/>
      <c r="GSZ3" s="306"/>
      <c r="GTA3" s="306"/>
      <c r="GTB3" s="306"/>
      <c r="GTC3" s="306"/>
      <c r="GTD3" s="306"/>
      <c r="GTE3" s="306"/>
      <c r="GTF3" s="306"/>
      <c r="GTG3" s="306"/>
      <c r="GTH3" s="306"/>
      <c r="GTI3" s="306"/>
      <c r="GTJ3" s="306"/>
      <c r="GTK3" s="306"/>
      <c r="GTL3" s="306"/>
      <c r="GTM3" s="306"/>
      <c r="GTN3" s="306"/>
      <c r="GTO3" s="306"/>
      <c r="GTP3" s="306"/>
      <c r="GTQ3" s="306"/>
      <c r="GTR3" s="306"/>
      <c r="GTS3" s="306"/>
      <c r="GTT3" s="306"/>
      <c r="GTU3" s="306"/>
      <c r="GTV3" s="306"/>
      <c r="GTW3" s="306"/>
      <c r="GTX3" s="306"/>
      <c r="GTY3" s="306"/>
      <c r="GTZ3" s="306"/>
      <c r="GUA3" s="306"/>
      <c r="GUB3" s="306"/>
      <c r="GUC3" s="306"/>
      <c r="GUD3" s="306"/>
      <c r="GUE3" s="306"/>
      <c r="GUF3" s="306"/>
      <c r="GUG3" s="306"/>
      <c r="GUH3" s="306"/>
      <c r="GUI3" s="306"/>
      <c r="GUJ3" s="306"/>
      <c r="GUK3" s="306"/>
      <c r="GUL3" s="306"/>
      <c r="GUM3" s="306"/>
      <c r="GUN3" s="306"/>
      <c r="GUO3" s="306"/>
      <c r="GUP3" s="306"/>
      <c r="GUQ3" s="306"/>
      <c r="GUR3" s="306"/>
      <c r="GUS3" s="306"/>
      <c r="GUT3" s="306"/>
      <c r="GUU3" s="306"/>
      <c r="GUV3" s="306"/>
      <c r="GUW3" s="306"/>
      <c r="GUX3" s="306"/>
      <c r="GUY3" s="306"/>
      <c r="GUZ3" s="306"/>
      <c r="GVA3" s="306"/>
      <c r="GVB3" s="306"/>
      <c r="GVC3" s="306"/>
      <c r="GVD3" s="306"/>
      <c r="GVE3" s="306"/>
      <c r="GVF3" s="306"/>
      <c r="GVG3" s="306"/>
      <c r="GVH3" s="306"/>
      <c r="GVI3" s="306"/>
      <c r="GVJ3" s="306"/>
      <c r="GVK3" s="306"/>
      <c r="GVL3" s="306"/>
      <c r="GVM3" s="306"/>
      <c r="GVN3" s="306"/>
      <c r="GVO3" s="306"/>
      <c r="GVP3" s="306"/>
      <c r="GVQ3" s="306"/>
      <c r="GVR3" s="306"/>
      <c r="GVS3" s="306"/>
      <c r="GVT3" s="306"/>
      <c r="GVU3" s="306"/>
      <c r="GVV3" s="306"/>
      <c r="GVW3" s="306"/>
      <c r="GVX3" s="306"/>
      <c r="GVY3" s="306"/>
      <c r="GVZ3" s="306"/>
      <c r="GWA3" s="306"/>
      <c r="GWB3" s="306"/>
      <c r="GWC3" s="306"/>
      <c r="GWD3" s="306"/>
      <c r="GWE3" s="306"/>
      <c r="GWF3" s="306"/>
      <c r="GWG3" s="306"/>
      <c r="GWH3" s="306"/>
      <c r="GWI3" s="306"/>
      <c r="GWJ3" s="306"/>
      <c r="GWK3" s="306"/>
      <c r="GWL3" s="306"/>
      <c r="GWM3" s="306"/>
      <c r="GWN3" s="306"/>
      <c r="GWO3" s="306"/>
      <c r="GWP3" s="306"/>
      <c r="GWQ3" s="306"/>
      <c r="GWR3" s="306"/>
      <c r="GWS3" s="306"/>
      <c r="GWT3" s="306"/>
      <c r="GWU3" s="306"/>
      <c r="GWV3" s="306"/>
      <c r="GWW3" s="306"/>
      <c r="GWX3" s="306"/>
      <c r="GWY3" s="306"/>
      <c r="GWZ3" s="306"/>
      <c r="GXA3" s="306"/>
      <c r="GXB3" s="306"/>
      <c r="GXC3" s="306"/>
      <c r="GXD3" s="306"/>
      <c r="GXE3" s="306"/>
      <c r="GXF3" s="306"/>
      <c r="GXG3" s="306"/>
      <c r="GXH3" s="306"/>
      <c r="GXI3" s="306"/>
      <c r="GXJ3" s="306"/>
      <c r="GXK3" s="306"/>
      <c r="GXL3" s="306"/>
      <c r="GXM3" s="306"/>
      <c r="GXN3" s="306"/>
      <c r="GXO3" s="306"/>
      <c r="GXP3" s="306"/>
      <c r="GXQ3" s="306"/>
      <c r="GXR3" s="306"/>
      <c r="GXS3" s="306"/>
      <c r="GXT3" s="306"/>
      <c r="GXU3" s="306"/>
      <c r="GXV3" s="306"/>
      <c r="GXW3" s="306"/>
      <c r="GXX3" s="306"/>
      <c r="GXY3" s="306"/>
      <c r="GXZ3" s="306"/>
      <c r="GYA3" s="306"/>
      <c r="GYB3" s="306"/>
      <c r="GYC3" s="306"/>
      <c r="GYD3" s="306"/>
      <c r="GYE3" s="306"/>
      <c r="GYF3" s="306"/>
      <c r="GYG3" s="306"/>
      <c r="GYH3" s="306"/>
      <c r="GYI3" s="306"/>
      <c r="GYJ3" s="306"/>
      <c r="GYK3" s="306"/>
      <c r="GYL3" s="306"/>
      <c r="GYM3" s="306"/>
      <c r="GYN3" s="306"/>
      <c r="GYO3" s="306"/>
      <c r="GYP3" s="306"/>
      <c r="GYQ3" s="306"/>
      <c r="GYR3" s="306"/>
      <c r="GYS3" s="306"/>
      <c r="GYT3" s="306"/>
      <c r="GYU3" s="306"/>
      <c r="GYV3" s="306"/>
      <c r="GYW3" s="306"/>
      <c r="GYX3" s="306"/>
      <c r="GYY3" s="306"/>
      <c r="GYZ3" s="306"/>
      <c r="GZA3" s="306"/>
      <c r="GZB3" s="306"/>
      <c r="GZC3" s="306"/>
      <c r="GZD3" s="306"/>
      <c r="GZE3" s="306"/>
      <c r="GZF3" s="306"/>
      <c r="GZG3" s="306"/>
      <c r="GZH3" s="306"/>
      <c r="GZI3" s="306"/>
      <c r="GZJ3" s="306"/>
      <c r="GZK3" s="306"/>
      <c r="GZL3" s="306"/>
      <c r="GZM3" s="306"/>
      <c r="GZN3" s="306"/>
      <c r="GZO3" s="306"/>
      <c r="GZP3" s="306"/>
      <c r="GZQ3" s="306"/>
      <c r="GZR3" s="306"/>
      <c r="GZS3" s="306"/>
      <c r="GZT3" s="306"/>
      <c r="GZU3" s="306"/>
      <c r="GZV3" s="306"/>
      <c r="GZW3" s="306"/>
      <c r="GZX3" s="306"/>
      <c r="GZY3" s="306"/>
      <c r="GZZ3" s="306"/>
      <c r="HAA3" s="306"/>
      <c r="HAB3" s="306"/>
      <c r="HAC3" s="306"/>
      <c r="HAD3" s="306"/>
      <c r="HAE3" s="306"/>
      <c r="HAF3" s="306"/>
      <c r="HAG3" s="306"/>
      <c r="HAH3" s="306"/>
      <c r="HAI3" s="306"/>
      <c r="HAJ3" s="306"/>
      <c r="HAK3" s="306"/>
      <c r="HAL3" s="306"/>
      <c r="HAM3" s="306"/>
      <c r="HAN3" s="306"/>
      <c r="HAO3" s="306"/>
      <c r="HAP3" s="306"/>
      <c r="HAQ3" s="306"/>
      <c r="HAR3" s="306"/>
      <c r="HAS3" s="306"/>
      <c r="HAT3" s="306"/>
      <c r="HAU3" s="306"/>
      <c r="HAV3" s="306"/>
      <c r="HAW3" s="306"/>
      <c r="HAX3" s="306"/>
      <c r="HAY3" s="306"/>
      <c r="HAZ3" s="306"/>
      <c r="HBA3" s="306"/>
      <c r="HBB3" s="306"/>
      <c r="HBC3" s="306"/>
      <c r="HBD3" s="306"/>
      <c r="HBE3" s="306"/>
      <c r="HBF3" s="306"/>
      <c r="HBG3" s="306"/>
      <c r="HBH3" s="306"/>
      <c r="HBI3" s="306"/>
      <c r="HBJ3" s="306"/>
      <c r="HBK3" s="306"/>
      <c r="HBL3" s="306"/>
      <c r="HBM3" s="306"/>
      <c r="HBN3" s="306"/>
      <c r="HBO3" s="306"/>
      <c r="HBP3" s="306"/>
      <c r="HBQ3" s="306"/>
      <c r="HBR3" s="306"/>
      <c r="HBS3" s="306"/>
      <c r="HBT3" s="306"/>
      <c r="HBU3" s="306"/>
      <c r="HBV3" s="306"/>
      <c r="HBW3" s="306"/>
      <c r="HBX3" s="306"/>
      <c r="HBY3" s="306"/>
      <c r="HBZ3" s="306"/>
      <c r="HCA3" s="306"/>
      <c r="HCB3" s="306"/>
      <c r="HCC3" s="306"/>
      <c r="HCD3" s="306"/>
      <c r="HCE3" s="306"/>
      <c r="HCF3" s="306"/>
      <c r="HCG3" s="306"/>
      <c r="HCH3" s="306"/>
      <c r="HCI3" s="306"/>
      <c r="HCJ3" s="306"/>
      <c r="HCK3" s="306"/>
      <c r="HCL3" s="306"/>
      <c r="HCM3" s="306"/>
      <c r="HCN3" s="306"/>
      <c r="HCO3" s="306"/>
      <c r="HCP3" s="306"/>
      <c r="HCQ3" s="306"/>
      <c r="HCR3" s="306"/>
      <c r="HCS3" s="306"/>
      <c r="HCT3" s="306"/>
      <c r="HCU3" s="306"/>
      <c r="HCV3" s="306"/>
      <c r="HCW3" s="306"/>
      <c r="HCX3" s="306"/>
      <c r="HCY3" s="306"/>
      <c r="HCZ3" s="306"/>
      <c r="HDA3" s="306"/>
      <c r="HDB3" s="306"/>
      <c r="HDC3" s="306"/>
      <c r="HDD3" s="306"/>
      <c r="HDE3" s="306"/>
      <c r="HDF3" s="306"/>
      <c r="HDG3" s="306"/>
      <c r="HDH3" s="306"/>
      <c r="HDI3" s="306"/>
      <c r="HDJ3" s="306"/>
      <c r="HDK3" s="306"/>
      <c r="HDL3" s="306"/>
      <c r="HDM3" s="306"/>
      <c r="HDN3" s="306"/>
      <c r="HDO3" s="306"/>
      <c r="HDP3" s="306"/>
      <c r="HDQ3" s="306"/>
      <c r="HDR3" s="306"/>
      <c r="HDS3" s="306"/>
      <c r="HDT3" s="306"/>
      <c r="HDU3" s="306"/>
      <c r="HDV3" s="306"/>
      <c r="HDW3" s="306"/>
      <c r="HDX3" s="306"/>
      <c r="HDY3" s="306"/>
      <c r="HDZ3" s="306"/>
      <c r="HEA3" s="306"/>
      <c r="HEB3" s="306"/>
      <c r="HEC3" s="306"/>
      <c r="HED3" s="306"/>
      <c r="HEE3" s="306"/>
      <c r="HEF3" s="306"/>
      <c r="HEG3" s="306"/>
      <c r="HEH3" s="306"/>
      <c r="HEI3" s="306"/>
      <c r="HEJ3" s="306"/>
      <c r="HEK3" s="306"/>
      <c r="HEL3" s="306"/>
      <c r="HEM3" s="306"/>
      <c r="HEN3" s="306"/>
      <c r="HEO3" s="306"/>
      <c r="HEP3" s="306"/>
      <c r="HEQ3" s="306"/>
      <c r="HER3" s="306"/>
      <c r="HES3" s="306"/>
      <c r="HET3" s="306"/>
      <c r="HEU3" s="306"/>
      <c r="HEV3" s="306"/>
      <c r="HEW3" s="306"/>
      <c r="HEX3" s="306"/>
      <c r="HEY3" s="306"/>
      <c r="HEZ3" s="306"/>
      <c r="HFA3" s="306"/>
      <c r="HFB3" s="306"/>
      <c r="HFC3" s="306"/>
      <c r="HFD3" s="306"/>
      <c r="HFE3" s="306"/>
      <c r="HFF3" s="306"/>
      <c r="HFG3" s="306"/>
      <c r="HFH3" s="306"/>
      <c r="HFI3" s="306"/>
      <c r="HFJ3" s="306"/>
      <c r="HFK3" s="306"/>
      <c r="HFL3" s="306"/>
      <c r="HFM3" s="306"/>
      <c r="HFN3" s="306"/>
      <c r="HFO3" s="306"/>
      <c r="HFP3" s="306"/>
      <c r="HFQ3" s="306"/>
      <c r="HFR3" s="306"/>
      <c r="HFS3" s="306"/>
      <c r="HFT3" s="306"/>
      <c r="HFU3" s="306"/>
      <c r="HFV3" s="306"/>
      <c r="HFW3" s="306"/>
      <c r="HFX3" s="306"/>
      <c r="HFY3" s="306"/>
      <c r="HFZ3" s="306"/>
      <c r="HGA3" s="306"/>
      <c r="HGB3" s="306"/>
      <c r="HGC3" s="306"/>
      <c r="HGD3" s="306"/>
      <c r="HGE3" s="306"/>
      <c r="HGF3" s="306"/>
      <c r="HGG3" s="306"/>
      <c r="HGH3" s="306"/>
      <c r="HGI3" s="306"/>
      <c r="HGJ3" s="306"/>
      <c r="HGK3" s="306"/>
      <c r="HGL3" s="306"/>
      <c r="HGM3" s="306"/>
      <c r="HGN3" s="306"/>
      <c r="HGO3" s="306"/>
      <c r="HGP3" s="306"/>
      <c r="HGQ3" s="306"/>
      <c r="HGR3" s="306"/>
      <c r="HGS3" s="306"/>
      <c r="HGT3" s="306"/>
      <c r="HGU3" s="306"/>
      <c r="HGV3" s="306"/>
      <c r="HGW3" s="306"/>
      <c r="HGX3" s="306"/>
      <c r="HGY3" s="306"/>
      <c r="HGZ3" s="306"/>
      <c r="HHA3" s="306"/>
      <c r="HHB3" s="306"/>
      <c r="HHC3" s="306"/>
      <c r="HHD3" s="306"/>
      <c r="HHE3" s="306"/>
      <c r="HHF3" s="306"/>
      <c r="HHG3" s="306"/>
      <c r="HHH3" s="306"/>
      <c r="HHI3" s="306"/>
      <c r="HHJ3" s="306"/>
      <c r="HHK3" s="306"/>
      <c r="HHL3" s="306"/>
      <c r="HHM3" s="306"/>
      <c r="HHN3" s="306"/>
      <c r="HHO3" s="306"/>
      <c r="HHP3" s="306"/>
      <c r="HHQ3" s="306"/>
      <c r="HHR3" s="306"/>
      <c r="HHS3" s="306"/>
      <c r="HHT3" s="306"/>
      <c r="HHU3" s="306"/>
      <c r="HHV3" s="306"/>
      <c r="HHW3" s="306"/>
      <c r="HHX3" s="306"/>
      <c r="HHY3" s="306"/>
      <c r="HHZ3" s="306"/>
      <c r="HIA3" s="306"/>
      <c r="HIB3" s="306"/>
      <c r="HIC3" s="306"/>
      <c r="HID3" s="306"/>
      <c r="HIE3" s="306"/>
      <c r="HIF3" s="306"/>
      <c r="HIG3" s="306"/>
      <c r="HIH3" s="306"/>
      <c r="HII3" s="306"/>
      <c r="HIJ3" s="306"/>
      <c r="HIK3" s="306"/>
      <c r="HIL3" s="306"/>
      <c r="HIM3" s="306"/>
      <c r="HIN3" s="306"/>
      <c r="HIO3" s="306"/>
      <c r="HIP3" s="306"/>
      <c r="HIQ3" s="306"/>
      <c r="HIR3" s="306"/>
      <c r="HIS3" s="306"/>
      <c r="HIT3" s="306"/>
      <c r="HIU3" s="306"/>
      <c r="HIV3" s="306"/>
      <c r="HIW3" s="306"/>
      <c r="HIX3" s="306"/>
      <c r="HIY3" s="306"/>
      <c r="HIZ3" s="306"/>
      <c r="HJA3" s="306"/>
      <c r="HJB3" s="306"/>
      <c r="HJC3" s="306"/>
      <c r="HJD3" s="306"/>
      <c r="HJE3" s="306"/>
      <c r="HJF3" s="306"/>
      <c r="HJG3" s="306"/>
      <c r="HJH3" s="306"/>
      <c r="HJI3" s="306"/>
      <c r="HJJ3" s="306"/>
      <c r="HJK3" s="306"/>
      <c r="HJL3" s="306"/>
      <c r="HJM3" s="306"/>
      <c r="HJN3" s="306"/>
      <c r="HJO3" s="306"/>
      <c r="HJP3" s="306"/>
      <c r="HJQ3" s="306"/>
      <c r="HJR3" s="306"/>
      <c r="HJS3" s="306"/>
      <c r="HJT3" s="306"/>
      <c r="HJU3" s="306"/>
      <c r="HJV3" s="306"/>
      <c r="HJW3" s="306"/>
      <c r="HJX3" s="306"/>
      <c r="HJY3" s="306"/>
      <c r="HJZ3" s="306"/>
      <c r="HKA3" s="306"/>
      <c r="HKB3" s="306"/>
      <c r="HKC3" s="306"/>
      <c r="HKD3" s="306"/>
      <c r="HKE3" s="306"/>
      <c r="HKF3" s="306"/>
      <c r="HKG3" s="306"/>
      <c r="HKH3" s="306"/>
      <c r="HKI3" s="306"/>
      <c r="HKJ3" s="306"/>
      <c r="HKK3" s="306"/>
      <c r="HKL3" s="306"/>
      <c r="HKM3" s="306"/>
      <c r="HKN3" s="306"/>
      <c r="HKO3" s="306"/>
      <c r="HKP3" s="306"/>
      <c r="HKQ3" s="306"/>
      <c r="HKR3" s="306"/>
      <c r="HKS3" s="306"/>
      <c r="HKT3" s="306"/>
      <c r="HKU3" s="306"/>
      <c r="HKV3" s="306"/>
      <c r="HKW3" s="306"/>
      <c r="HKX3" s="306"/>
      <c r="HKY3" s="306"/>
      <c r="HKZ3" s="306"/>
      <c r="HLA3" s="306"/>
      <c r="HLB3" s="306"/>
      <c r="HLC3" s="306"/>
      <c r="HLD3" s="306"/>
      <c r="HLE3" s="306"/>
      <c r="HLF3" s="306"/>
      <c r="HLG3" s="306"/>
      <c r="HLH3" s="306"/>
      <c r="HLI3" s="306"/>
      <c r="HLJ3" s="306"/>
      <c r="HLK3" s="306"/>
      <c r="HLL3" s="306"/>
      <c r="HLM3" s="306"/>
      <c r="HLN3" s="306"/>
      <c r="HLO3" s="306"/>
      <c r="HLP3" s="306"/>
      <c r="HLQ3" s="306"/>
      <c r="HLR3" s="306"/>
      <c r="HLS3" s="306"/>
      <c r="HLT3" s="306"/>
      <c r="HLU3" s="306"/>
      <c r="HLV3" s="306"/>
      <c r="HLW3" s="306"/>
      <c r="HLX3" s="306"/>
      <c r="HLY3" s="306"/>
      <c r="HLZ3" s="306"/>
      <c r="HMA3" s="306"/>
      <c r="HMB3" s="306"/>
      <c r="HMC3" s="306"/>
      <c r="HMD3" s="306"/>
      <c r="HME3" s="306"/>
      <c r="HMF3" s="306"/>
      <c r="HMG3" s="306"/>
      <c r="HMH3" s="306"/>
      <c r="HMI3" s="306"/>
      <c r="HMJ3" s="306"/>
      <c r="HMK3" s="306"/>
      <c r="HML3" s="306"/>
      <c r="HMM3" s="306"/>
      <c r="HMN3" s="306"/>
      <c r="HMO3" s="306"/>
      <c r="HMP3" s="306"/>
      <c r="HMQ3" s="306"/>
      <c r="HMR3" s="306"/>
      <c r="HMS3" s="306"/>
      <c r="HMT3" s="306"/>
      <c r="HMU3" s="306"/>
      <c r="HMV3" s="306"/>
      <c r="HMW3" s="306"/>
      <c r="HMX3" s="306"/>
      <c r="HMY3" s="306"/>
      <c r="HMZ3" s="306"/>
      <c r="HNA3" s="306"/>
      <c r="HNB3" s="306"/>
      <c r="HNC3" s="306"/>
      <c r="HND3" s="306"/>
      <c r="HNE3" s="306"/>
      <c r="HNF3" s="306"/>
      <c r="HNG3" s="306"/>
      <c r="HNH3" s="306"/>
      <c r="HNI3" s="306"/>
      <c r="HNJ3" s="306"/>
      <c r="HNK3" s="306"/>
      <c r="HNL3" s="306"/>
      <c r="HNM3" s="306"/>
      <c r="HNN3" s="306"/>
      <c r="HNO3" s="306"/>
      <c r="HNP3" s="306"/>
      <c r="HNQ3" s="306"/>
      <c r="HNR3" s="306"/>
      <c r="HNS3" s="306"/>
      <c r="HNT3" s="306"/>
      <c r="HNU3" s="306"/>
      <c r="HNV3" s="306"/>
      <c r="HNW3" s="306"/>
      <c r="HNX3" s="306"/>
      <c r="HNY3" s="306"/>
      <c r="HNZ3" s="306"/>
      <c r="HOA3" s="306"/>
      <c r="HOB3" s="306"/>
      <c r="HOC3" s="306"/>
      <c r="HOD3" s="306"/>
      <c r="HOE3" s="306"/>
      <c r="HOF3" s="306"/>
      <c r="HOG3" s="306"/>
      <c r="HOH3" s="306"/>
      <c r="HOI3" s="306"/>
      <c r="HOJ3" s="306"/>
      <c r="HOK3" s="306"/>
      <c r="HOL3" s="306"/>
      <c r="HOM3" s="306"/>
      <c r="HON3" s="306"/>
      <c r="HOO3" s="306"/>
      <c r="HOP3" s="306"/>
      <c r="HOQ3" s="306"/>
      <c r="HOR3" s="306"/>
      <c r="HOS3" s="306"/>
      <c r="HOT3" s="306"/>
      <c r="HOU3" s="306"/>
      <c r="HOV3" s="306"/>
      <c r="HOW3" s="306"/>
      <c r="HOX3" s="306"/>
      <c r="HOY3" s="306"/>
      <c r="HOZ3" s="306"/>
      <c r="HPA3" s="306"/>
      <c r="HPB3" s="306"/>
      <c r="HPC3" s="306"/>
      <c r="HPD3" s="306"/>
      <c r="HPE3" s="306"/>
      <c r="HPF3" s="306"/>
      <c r="HPG3" s="306"/>
      <c r="HPH3" s="306"/>
      <c r="HPI3" s="306"/>
      <c r="HPJ3" s="306"/>
      <c r="HPK3" s="306"/>
      <c r="HPL3" s="306"/>
      <c r="HPM3" s="306"/>
      <c r="HPN3" s="306"/>
      <c r="HPO3" s="306"/>
      <c r="HPP3" s="306"/>
      <c r="HPQ3" s="306"/>
      <c r="HPR3" s="306"/>
      <c r="HPS3" s="306"/>
      <c r="HPT3" s="306"/>
      <c r="HPU3" s="306"/>
      <c r="HPV3" s="306"/>
      <c r="HPW3" s="306"/>
      <c r="HPX3" s="306"/>
      <c r="HPY3" s="306"/>
      <c r="HPZ3" s="306"/>
      <c r="HQA3" s="306"/>
      <c r="HQB3" s="306"/>
      <c r="HQC3" s="306"/>
      <c r="HQD3" s="306"/>
      <c r="HQE3" s="306"/>
      <c r="HQF3" s="306"/>
      <c r="HQG3" s="306"/>
      <c r="HQH3" s="306"/>
      <c r="HQI3" s="306"/>
      <c r="HQJ3" s="306"/>
      <c r="HQK3" s="306"/>
      <c r="HQL3" s="306"/>
      <c r="HQM3" s="306"/>
      <c r="HQN3" s="306"/>
      <c r="HQO3" s="306"/>
      <c r="HQP3" s="306"/>
      <c r="HQQ3" s="306"/>
      <c r="HQR3" s="306"/>
      <c r="HQS3" s="306"/>
      <c r="HQT3" s="306"/>
      <c r="HQU3" s="306"/>
      <c r="HQV3" s="306"/>
      <c r="HQW3" s="306"/>
      <c r="HQX3" s="306"/>
      <c r="HQY3" s="306"/>
      <c r="HQZ3" s="306"/>
      <c r="HRA3" s="306"/>
      <c r="HRB3" s="306"/>
      <c r="HRC3" s="306"/>
      <c r="HRD3" s="306"/>
      <c r="HRE3" s="306"/>
      <c r="HRF3" s="306"/>
      <c r="HRG3" s="306"/>
      <c r="HRH3" s="306"/>
      <c r="HRI3" s="306"/>
      <c r="HRJ3" s="306"/>
      <c r="HRK3" s="306"/>
      <c r="HRL3" s="306"/>
      <c r="HRM3" s="306"/>
      <c r="HRN3" s="306"/>
      <c r="HRO3" s="306"/>
      <c r="HRP3" s="306"/>
      <c r="HRQ3" s="306"/>
      <c r="HRR3" s="306"/>
      <c r="HRS3" s="306"/>
      <c r="HRT3" s="306"/>
      <c r="HRU3" s="306"/>
      <c r="HRV3" s="306"/>
      <c r="HRW3" s="306"/>
      <c r="HRX3" s="306"/>
      <c r="HRY3" s="306"/>
      <c r="HRZ3" s="306"/>
      <c r="HSA3" s="306"/>
      <c r="HSB3" s="306"/>
      <c r="HSC3" s="306"/>
      <c r="HSD3" s="306"/>
      <c r="HSE3" s="306"/>
      <c r="HSF3" s="306"/>
      <c r="HSG3" s="306"/>
      <c r="HSH3" s="306"/>
      <c r="HSI3" s="306"/>
      <c r="HSJ3" s="306"/>
      <c r="HSK3" s="306"/>
      <c r="HSL3" s="306"/>
      <c r="HSM3" s="306"/>
      <c r="HSN3" s="306"/>
      <c r="HSO3" s="306"/>
      <c r="HSP3" s="306"/>
      <c r="HSQ3" s="306"/>
      <c r="HSR3" s="306"/>
      <c r="HSS3" s="306"/>
      <c r="HST3" s="306"/>
      <c r="HSU3" s="306"/>
      <c r="HSV3" s="306"/>
      <c r="HSW3" s="306"/>
      <c r="HSX3" s="306"/>
      <c r="HSY3" s="306"/>
      <c r="HSZ3" s="306"/>
      <c r="HTA3" s="306"/>
      <c r="HTB3" s="306"/>
      <c r="HTC3" s="306"/>
      <c r="HTD3" s="306"/>
      <c r="HTE3" s="306"/>
      <c r="HTF3" s="306"/>
      <c r="HTG3" s="306"/>
      <c r="HTH3" s="306"/>
      <c r="HTI3" s="306"/>
      <c r="HTJ3" s="306"/>
      <c r="HTK3" s="306"/>
      <c r="HTL3" s="306"/>
      <c r="HTM3" s="306"/>
      <c r="HTN3" s="306"/>
      <c r="HTO3" s="306"/>
      <c r="HTP3" s="306"/>
      <c r="HTQ3" s="306"/>
      <c r="HTR3" s="306"/>
      <c r="HTS3" s="306"/>
      <c r="HTT3" s="306"/>
      <c r="HTU3" s="306"/>
      <c r="HTV3" s="306"/>
      <c r="HTW3" s="306"/>
      <c r="HTX3" s="306"/>
      <c r="HTY3" s="306"/>
      <c r="HTZ3" s="306"/>
      <c r="HUA3" s="306"/>
      <c r="HUB3" s="306"/>
      <c r="HUC3" s="306"/>
      <c r="HUD3" s="306"/>
      <c r="HUE3" s="306"/>
      <c r="HUF3" s="306"/>
      <c r="HUG3" s="306"/>
      <c r="HUH3" s="306"/>
      <c r="HUI3" s="306"/>
      <c r="HUJ3" s="306"/>
      <c r="HUK3" s="306"/>
      <c r="HUL3" s="306"/>
      <c r="HUM3" s="306"/>
      <c r="HUN3" s="306"/>
      <c r="HUO3" s="306"/>
      <c r="HUP3" s="306"/>
      <c r="HUQ3" s="306"/>
      <c r="HUR3" s="306"/>
      <c r="HUS3" s="306"/>
      <c r="HUT3" s="306"/>
      <c r="HUU3" s="306"/>
      <c r="HUV3" s="306"/>
      <c r="HUW3" s="306"/>
      <c r="HUX3" s="306"/>
      <c r="HUY3" s="306"/>
      <c r="HUZ3" s="306"/>
      <c r="HVA3" s="306"/>
      <c r="HVB3" s="306"/>
      <c r="HVC3" s="306"/>
      <c r="HVD3" s="306"/>
      <c r="HVE3" s="306"/>
      <c r="HVF3" s="306"/>
      <c r="HVG3" s="306"/>
      <c r="HVH3" s="306"/>
      <c r="HVI3" s="306"/>
      <c r="HVJ3" s="306"/>
      <c r="HVK3" s="306"/>
      <c r="HVL3" s="306"/>
      <c r="HVM3" s="306"/>
      <c r="HVN3" s="306"/>
      <c r="HVO3" s="306"/>
      <c r="HVP3" s="306"/>
      <c r="HVQ3" s="306"/>
      <c r="HVR3" s="306"/>
      <c r="HVS3" s="306"/>
      <c r="HVT3" s="306"/>
      <c r="HVU3" s="306"/>
      <c r="HVV3" s="306"/>
      <c r="HVW3" s="306"/>
      <c r="HVX3" s="306"/>
      <c r="HVY3" s="306"/>
      <c r="HVZ3" s="306"/>
      <c r="HWA3" s="306"/>
      <c r="HWB3" s="306"/>
      <c r="HWC3" s="306"/>
      <c r="HWD3" s="306"/>
      <c r="HWE3" s="306"/>
      <c r="HWF3" s="306"/>
      <c r="HWG3" s="306"/>
      <c r="HWH3" s="306"/>
      <c r="HWI3" s="306"/>
      <c r="HWJ3" s="306"/>
      <c r="HWK3" s="306"/>
      <c r="HWL3" s="306"/>
      <c r="HWM3" s="306"/>
      <c r="HWN3" s="306"/>
      <c r="HWO3" s="306"/>
      <c r="HWP3" s="306"/>
      <c r="HWQ3" s="306"/>
      <c r="HWR3" s="306"/>
      <c r="HWS3" s="306"/>
      <c r="HWT3" s="306"/>
      <c r="HWU3" s="306"/>
      <c r="HWV3" s="306"/>
      <c r="HWW3" s="306"/>
      <c r="HWX3" s="306"/>
      <c r="HWY3" s="306"/>
      <c r="HWZ3" s="306"/>
      <c r="HXA3" s="306"/>
      <c r="HXB3" s="306"/>
      <c r="HXC3" s="306"/>
      <c r="HXD3" s="306"/>
      <c r="HXE3" s="306"/>
      <c r="HXF3" s="306"/>
      <c r="HXG3" s="306"/>
      <c r="HXH3" s="306"/>
      <c r="HXI3" s="306"/>
      <c r="HXJ3" s="306"/>
      <c r="HXK3" s="306"/>
      <c r="HXL3" s="306"/>
      <c r="HXM3" s="306"/>
      <c r="HXN3" s="306"/>
      <c r="HXO3" s="306"/>
      <c r="HXP3" s="306"/>
      <c r="HXQ3" s="306"/>
      <c r="HXR3" s="306"/>
      <c r="HXS3" s="306"/>
      <c r="HXT3" s="306"/>
      <c r="HXU3" s="306"/>
      <c r="HXV3" s="306"/>
      <c r="HXW3" s="306"/>
      <c r="HXX3" s="306"/>
      <c r="HXY3" s="306"/>
      <c r="HXZ3" s="306"/>
      <c r="HYA3" s="306"/>
      <c r="HYB3" s="306"/>
      <c r="HYC3" s="306"/>
      <c r="HYD3" s="306"/>
      <c r="HYE3" s="306"/>
      <c r="HYF3" s="306"/>
      <c r="HYG3" s="306"/>
      <c r="HYH3" s="306"/>
      <c r="HYI3" s="306"/>
      <c r="HYJ3" s="306"/>
      <c r="HYK3" s="306"/>
      <c r="HYL3" s="306"/>
      <c r="HYM3" s="306"/>
      <c r="HYN3" s="306"/>
      <c r="HYO3" s="306"/>
      <c r="HYP3" s="306"/>
      <c r="HYQ3" s="306"/>
      <c r="HYR3" s="306"/>
      <c r="HYS3" s="306"/>
      <c r="HYT3" s="306"/>
      <c r="HYU3" s="306"/>
      <c r="HYV3" s="306"/>
      <c r="HYW3" s="306"/>
      <c r="HYX3" s="306"/>
      <c r="HYY3" s="306"/>
      <c r="HYZ3" s="306"/>
      <c r="HZA3" s="306"/>
      <c r="HZB3" s="306"/>
      <c r="HZC3" s="306"/>
      <c r="HZD3" s="306"/>
      <c r="HZE3" s="306"/>
      <c r="HZF3" s="306"/>
      <c r="HZG3" s="306"/>
      <c r="HZH3" s="306"/>
      <c r="HZI3" s="306"/>
      <c r="HZJ3" s="306"/>
      <c r="HZK3" s="306"/>
      <c r="HZL3" s="306"/>
      <c r="HZM3" s="306"/>
      <c r="HZN3" s="306"/>
      <c r="HZO3" s="306"/>
      <c r="HZP3" s="306"/>
      <c r="HZQ3" s="306"/>
      <c r="HZR3" s="306"/>
      <c r="HZS3" s="306"/>
      <c r="HZT3" s="306"/>
      <c r="HZU3" s="306"/>
      <c r="HZV3" s="306"/>
      <c r="HZW3" s="306"/>
      <c r="HZX3" s="306"/>
      <c r="HZY3" s="306"/>
      <c r="HZZ3" s="306"/>
      <c r="IAA3" s="306"/>
      <c r="IAB3" s="306"/>
      <c r="IAC3" s="306"/>
      <c r="IAD3" s="306"/>
      <c r="IAE3" s="306"/>
      <c r="IAF3" s="306"/>
      <c r="IAG3" s="306"/>
      <c r="IAH3" s="306"/>
      <c r="IAI3" s="306"/>
      <c r="IAJ3" s="306"/>
      <c r="IAK3" s="306"/>
      <c r="IAL3" s="306"/>
      <c r="IAM3" s="306"/>
      <c r="IAN3" s="306"/>
      <c r="IAO3" s="306"/>
      <c r="IAP3" s="306"/>
      <c r="IAQ3" s="306"/>
      <c r="IAR3" s="306"/>
      <c r="IAS3" s="306"/>
      <c r="IAT3" s="306"/>
      <c r="IAU3" s="306"/>
      <c r="IAV3" s="306"/>
      <c r="IAW3" s="306"/>
      <c r="IAX3" s="306"/>
      <c r="IAY3" s="306"/>
      <c r="IAZ3" s="306"/>
      <c r="IBA3" s="306"/>
      <c r="IBB3" s="306"/>
      <c r="IBC3" s="306"/>
      <c r="IBD3" s="306"/>
      <c r="IBE3" s="306"/>
      <c r="IBF3" s="306"/>
      <c r="IBG3" s="306"/>
      <c r="IBH3" s="306"/>
      <c r="IBI3" s="306"/>
      <c r="IBJ3" s="306"/>
      <c r="IBK3" s="306"/>
      <c r="IBL3" s="306"/>
      <c r="IBM3" s="306"/>
      <c r="IBN3" s="306"/>
      <c r="IBO3" s="306"/>
      <c r="IBP3" s="306"/>
      <c r="IBQ3" s="306"/>
      <c r="IBR3" s="306"/>
      <c r="IBS3" s="306"/>
      <c r="IBT3" s="306"/>
      <c r="IBU3" s="306"/>
      <c r="IBV3" s="306"/>
      <c r="IBW3" s="306"/>
      <c r="IBX3" s="306"/>
      <c r="IBY3" s="306"/>
      <c r="IBZ3" s="306"/>
      <c r="ICA3" s="306"/>
      <c r="ICB3" s="306"/>
      <c r="ICC3" s="306"/>
      <c r="ICD3" s="306"/>
      <c r="ICE3" s="306"/>
      <c r="ICF3" s="306"/>
      <c r="ICG3" s="306"/>
      <c r="ICH3" s="306"/>
      <c r="ICI3" s="306"/>
      <c r="ICJ3" s="306"/>
      <c r="ICK3" s="306"/>
      <c r="ICL3" s="306"/>
      <c r="ICM3" s="306"/>
      <c r="ICN3" s="306"/>
      <c r="ICO3" s="306"/>
      <c r="ICP3" s="306"/>
      <c r="ICQ3" s="306"/>
      <c r="ICR3" s="306"/>
      <c r="ICS3" s="306"/>
      <c r="ICT3" s="306"/>
      <c r="ICU3" s="306"/>
      <c r="ICV3" s="306"/>
      <c r="ICW3" s="306"/>
      <c r="ICX3" s="306"/>
      <c r="ICY3" s="306"/>
      <c r="ICZ3" s="306"/>
      <c r="IDA3" s="306"/>
      <c r="IDB3" s="306"/>
      <c r="IDC3" s="306"/>
      <c r="IDD3" s="306"/>
      <c r="IDE3" s="306"/>
      <c r="IDF3" s="306"/>
      <c r="IDG3" s="306"/>
      <c r="IDH3" s="306"/>
      <c r="IDI3" s="306"/>
      <c r="IDJ3" s="306"/>
      <c r="IDK3" s="306"/>
      <c r="IDL3" s="306"/>
      <c r="IDM3" s="306"/>
      <c r="IDN3" s="306"/>
      <c r="IDO3" s="306"/>
      <c r="IDP3" s="306"/>
      <c r="IDQ3" s="306"/>
      <c r="IDR3" s="306"/>
      <c r="IDS3" s="306"/>
      <c r="IDT3" s="306"/>
      <c r="IDU3" s="306"/>
      <c r="IDV3" s="306"/>
      <c r="IDW3" s="306"/>
      <c r="IDX3" s="306"/>
      <c r="IDY3" s="306"/>
      <c r="IDZ3" s="306"/>
      <c r="IEA3" s="306"/>
      <c r="IEB3" s="306"/>
      <c r="IEC3" s="306"/>
      <c r="IED3" s="306"/>
      <c r="IEE3" s="306"/>
      <c r="IEF3" s="306"/>
      <c r="IEG3" s="306"/>
      <c r="IEH3" s="306"/>
      <c r="IEI3" s="306"/>
      <c r="IEJ3" s="306"/>
      <c r="IEK3" s="306"/>
      <c r="IEL3" s="306"/>
      <c r="IEM3" s="306"/>
      <c r="IEN3" s="306"/>
      <c r="IEO3" s="306"/>
      <c r="IEP3" s="306"/>
      <c r="IEQ3" s="306"/>
      <c r="IER3" s="306"/>
      <c r="IES3" s="306"/>
      <c r="IET3" s="306"/>
      <c r="IEU3" s="306"/>
      <c r="IEV3" s="306"/>
      <c r="IEW3" s="306"/>
      <c r="IEX3" s="306"/>
      <c r="IEY3" s="306"/>
      <c r="IEZ3" s="306"/>
      <c r="IFA3" s="306"/>
      <c r="IFB3" s="306"/>
      <c r="IFC3" s="306"/>
      <c r="IFD3" s="306"/>
      <c r="IFE3" s="306"/>
      <c r="IFF3" s="306"/>
      <c r="IFG3" s="306"/>
      <c r="IFH3" s="306"/>
      <c r="IFI3" s="306"/>
      <c r="IFJ3" s="306"/>
      <c r="IFK3" s="306"/>
      <c r="IFL3" s="306"/>
      <c r="IFM3" s="306"/>
      <c r="IFN3" s="306"/>
      <c r="IFO3" s="306"/>
      <c r="IFP3" s="306"/>
      <c r="IFQ3" s="306"/>
      <c r="IFR3" s="306"/>
      <c r="IFS3" s="306"/>
      <c r="IFT3" s="306"/>
      <c r="IFU3" s="306"/>
      <c r="IFV3" s="306"/>
      <c r="IFW3" s="306"/>
      <c r="IFX3" s="306"/>
      <c r="IFY3" s="306"/>
      <c r="IFZ3" s="306"/>
      <c r="IGA3" s="306"/>
      <c r="IGB3" s="306"/>
      <c r="IGC3" s="306"/>
      <c r="IGD3" s="306"/>
      <c r="IGE3" s="306"/>
      <c r="IGF3" s="306"/>
      <c r="IGG3" s="306"/>
      <c r="IGH3" s="306"/>
      <c r="IGI3" s="306"/>
      <c r="IGJ3" s="306"/>
      <c r="IGK3" s="306"/>
      <c r="IGL3" s="306"/>
      <c r="IGM3" s="306"/>
      <c r="IGN3" s="306"/>
      <c r="IGO3" s="306"/>
      <c r="IGP3" s="306"/>
      <c r="IGQ3" s="306"/>
      <c r="IGR3" s="306"/>
      <c r="IGS3" s="306"/>
      <c r="IGT3" s="306"/>
      <c r="IGU3" s="306"/>
      <c r="IGV3" s="306"/>
      <c r="IGW3" s="306"/>
      <c r="IGX3" s="306"/>
      <c r="IGY3" s="306"/>
      <c r="IGZ3" s="306"/>
      <c r="IHA3" s="306"/>
      <c r="IHB3" s="306"/>
      <c r="IHC3" s="306"/>
      <c r="IHD3" s="306"/>
      <c r="IHE3" s="306"/>
      <c r="IHF3" s="306"/>
      <c r="IHG3" s="306"/>
      <c r="IHH3" s="306"/>
      <c r="IHI3" s="306"/>
      <c r="IHJ3" s="306"/>
      <c r="IHK3" s="306"/>
      <c r="IHL3" s="306"/>
      <c r="IHM3" s="306"/>
      <c r="IHN3" s="306"/>
      <c r="IHO3" s="306"/>
      <c r="IHP3" s="306"/>
      <c r="IHQ3" s="306"/>
      <c r="IHR3" s="306"/>
      <c r="IHS3" s="306"/>
      <c r="IHT3" s="306"/>
      <c r="IHU3" s="306"/>
      <c r="IHV3" s="306"/>
      <c r="IHW3" s="306"/>
      <c r="IHX3" s="306"/>
      <c r="IHY3" s="306"/>
      <c r="IHZ3" s="306"/>
      <c r="IIA3" s="306"/>
      <c r="IIB3" s="306"/>
      <c r="IIC3" s="306"/>
      <c r="IID3" s="306"/>
      <c r="IIE3" s="306"/>
      <c r="IIF3" s="306"/>
      <c r="IIG3" s="306"/>
      <c r="IIH3" s="306"/>
      <c r="III3" s="306"/>
      <c r="IIJ3" s="306"/>
      <c r="IIK3" s="306"/>
      <c r="IIL3" s="306"/>
      <c r="IIM3" s="306"/>
      <c r="IIN3" s="306"/>
      <c r="IIO3" s="306"/>
      <c r="IIP3" s="306"/>
      <c r="IIQ3" s="306"/>
      <c r="IIR3" s="306"/>
      <c r="IIS3" s="306"/>
      <c r="IIT3" s="306"/>
      <c r="IIU3" s="306"/>
      <c r="IIV3" s="306"/>
      <c r="IIW3" s="306"/>
      <c r="IIX3" s="306"/>
      <c r="IIY3" s="306"/>
      <c r="IIZ3" s="306"/>
      <c r="IJA3" s="306"/>
      <c r="IJB3" s="306"/>
      <c r="IJC3" s="306"/>
      <c r="IJD3" s="306"/>
      <c r="IJE3" s="306"/>
      <c r="IJF3" s="306"/>
      <c r="IJG3" s="306"/>
      <c r="IJH3" s="306"/>
      <c r="IJI3" s="306"/>
      <c r="IJJ3" s="306"/>
      <c r="IJK3" s="306"/>
      <c r="IJL3" s="306"/>
      <c r="IJM3" s="306"/>
      <c r="IJN3" s="306"/>
      <c r="IJO3" s="306"/>
      <c r="IJP3" s="306"/>
      <c r="IJQ3" s="306"/>
      <c r="IJR3" s="306"/>
      <c r="IJS3" s="306"/>
      <c r="IJT3" s="306"/>
      <c r="IJU3" s="306"/>
      <c r="IJV3" s="306"/>
      <c r="IJW3" s="306"/>
      <c r="IJX3" s="306"/>
      <c r="IJY3" s="306"/>
      <c r="IJZ3" s="306"/>
      <c r="IKA3" s="306"/>
      <c r="IKB3" s="306"/>
      <c r="IKC3" s="306"/>
      <c r="IKD3" s="306"/>
      <c r="IKE3" s="306"/>
      <c r="IKF3" s="306"/>
      <c r="IKG3" s="306"/>
      <c r="IKH3" s="306"/>
      <c r="IKI3" s="306"/>
      <c r="IKJ3" s="306"/>
      <c r="IKK3" s="306"/>
      <c r="IKL3" s="306"/>
      <c r="IKM3" s="306"/>
      <c r="IKN3" s="306"/>
      <c r="IKO3" s="306"/>
      <c r="IKP3" s="306"/>
      <c r="IKQ3" s="306"/>
      <c r="IKR3" s="306"/>
      <c r="IKS3" s="306"/>
      <c r="IKT3" s="306"/>
      <c r="IKU3" s="306"/>
      <c r="IKV3" s="306"/>
      <c r="IKW3" s="306"/>
      <c r="IKX3" s="306"/>
      <c r="IKY3" s="306"/>
      <c r="IKZ3" s="306"/>
      <c r="ILA3" s="306"/>
      <c r="ILB3" s="306"/>
      <c r="ILC3" s="306"/>
      <c r="ILD3" s="306"/>
      <c r="ILE3" s="306"/>
      <c r="ILF3" s="306"/>
      <c r="ILG3" s="306"/>
      <c r="ILH3" s="306"/>
      <c r="ILI3" s="306"/>
      <c r="ILJ3" s="306"/>
      <c r="ILK3" s="306"/>
      <c r="ILL3" s="306"/>
      <c r="ILM3" s="306"/>
      <c r="ILN3" s="306"/>
      <c r="ILO3" s="306"/>
      <c r="ILP3" s="306"/>
      <c r="ILQ3" s="306"/>
      <c r="ILR3" s="306"/>
      <c r="ILS3" s="306"/>
      <c r="ILT3" s="306"/>
      <c r="ILU3" s="306"/>
      <c r="ILV3" s="306"/>
      <c r="ILW3" s="306"/>
      <c r="ILX3" s="306"/>
      <c r="ILY3" s="306"/>
      <c r="ILZ3" s="306"/>
      <c r="IMA3" s="306"/>
      <c r="IMB3" s="306"/>
      <c r="IMC3" s="306"/>
      <c r="IMD3" s="306"/>
      <c r="IME3" s="306"/>
      <c r="IMF3" s="306"/>
      <c r="IMG3" s="306"/>
      <c r="IMH3" s="306"/>
      <c r="IMI3" s="306"/>
      <c r="IMJ3" s="306"/>
      <c r="IMK3" s="306"/>
      <c r="IML3" s="306"/>
      <c r="IMM3" s="306"/>
      <c r="IMN3" s="306"/>
      <c r="IMO3" s="306"/>
      <c r="IMP3" s="306"/>
      <c r="IMQ3" s="306"/>
      <c r="IMR3" s="306"/>
      <c r="IMS3" s="306"/>
      <c r="IMT3" s="306"/>
      <c r="IMU3" s="306"/>
      <c r="IMV3" s="306"/>
      <c r="IMW3" s="306"/>
      <c r="IMX3" s="306"/>
      <c r="IMY3" s="306"/>
      <c r="IMZ3" s="306"/>
      <c r="INA3" s="306"/>
      <c r="INB3" s="306"/>
      <c r="INC3" s="306"/>
      <c r="IND3" s="306"/>
      <c r="INE3" s="306"/>
      <c r="INF3" s="306"/>
      <c r="ING3" s="306"/>
      <c r="INH3" s="306"/>
      <c r="INI3" s="306"/>
      <c r="INJ3" s="306"/>
      <c r="INK3" s="306"/>
      <c r="INL3" s="306"/>
      <c r="INM3" s="306"/>
      <c r="INN3" s="306"/>
      <c r="INO3" s="306"/>
      <c r="INP3" s="306"/>
      <c r="INQ3" s="306"/>
      <c r="INR3" s="306"/>
      <c r="INS3" s="306"/>
      <c r="INT3" s="306"/>
      <c r="INU3" s="306"/>
      <c r="INV3" s="306"/>
      <c r="INW3" s="306"/>
      <c r="INX3" s="306"/>
      <c r="INY3" s="306"/>
      <c r="INZ3" s="306"/>
      <c r="IOA3" s="306"/>
      <c r="IOB3" s="306"/>
      <c r="IOC3" s="306"/>
      <c r="IOD3" s="306"/>
      <c r="IOE3" s="306"/>
      <c r="IOF3" s="306"/>
      <c r="IOG3" s="306"/>
      <c r="IOH3" s="306"/>
      <c r="IOI3" s="306"/>
      <c r="IOJ3" s="306"/>
      <c r="IOK3" s="306"/>
      <c r="IOL3" s="306"/>
      <c r="IOM3" s="306"/>
      <c r="ION3" s="306"/>
      <c r="IOO3" s="306"/>
      <c r="IOP3" s="306"/>
      <c r="IOQ3" s="306"/>
      <c r="IOR3" s="306"/>
      <c r="IOS3" s="306"/>
      <c r="IOT3" s="306"/>
      <c r="IOU3" s="306"/>
      <c r="IOV3" s="306"/>
      <c r="IOW3" s="306"/>
      <c r="IOX3" s="306"/>
      <c r="IOY3" s="306"/>
      <c r="IOZ3" s="306"/>
      <c r="IPA3" s="306"/>
      <c r="IPB3" s="306"/>
      <c r="IPC3" s="306"/>
      <c r="IPD3" s="306"/>
      <c r="IPE3" s="306"/>
      <c r="IPF3" s="306"/>
      <c r="IPG3" s="306"/>
      <c r="IPH3" s="306"/>
      <c r="IPI3" s="306"/>
      <c r="IPJ3" s="306"/>
      <c r="IPK3" s="306"/>
      <c r="IPL3" s="306"/>
      <c r="IPM3" s="306"/>
      <c r="IPN3" s="306"/>
      <c r="IPO3" s="306"/>
      <c r="IPP3" s="306"/>
      <c r="IPQ3" s="306"/>
      <c r="IPR3" s="306"/>
      <c r="IPS3" s="306"/>
      <c r="IPT3" s="306"/>
      <c r="IPU3" s="306"/>
      <c r="IPV3" s="306"/>
      <c r="IPW3" s="306"/>
      <c r="IPX3" s="306"/>
      <c r="IPY3" s="306"/>
      <c r="IPZ3" s="306"/>
      <c r="IQA3" s="306"/>
      <c r="IQB3" s="306"/>
      <c r="IQC3" s="306"/>
      <c r="IQD3" s="306"/>
      <c r="IQE3" s="306"/>
      <c r="IQF3" s="306"/>
      <c r="IQG3" s="306"/>
      <c r="IQH3" s="306"/>
      <c r="IQI3" s="306"/>
      <c r="IQJ3" s="306"/>
      <c r="IQK3" s="306"/>
      <c r="IQL3" s="306"/>
      <c r="IQM3" s="306"/>
      <c r="IQN3" s="306"/>
      <c r="IQO3" s="306"/>
      <c r="IQP3" s="306"/>
      <c r="IQQ3" s="306"/>
      <c r="IQR3" s="306"/>
      <c r="IQS3" s="306"/>
      <c r="IQT3" s="306"/>
      <c r="IQU3" s="306"/>
      <c r="IQV3" s="306"/>
      <c r="IQW3" s="306"/>
      <c r="IQX3" s="306"/>
      <c r="IQY3" s="306"/>
      <c r="IQZ3" s="306"/>
      <c r="IRA3" s="306"/>
      <c r="IRB3" s="306"/>
      <c r="IRC3" s="306"/>
      <c r="IRD3" s="306"/>
      <c r="IRE3" s="306"/>
      <c r="IRF3" s="306"/>
      <c r="IRG3" s="306"/>
      <c r="IRH3" s="306"/>
      <c r="IRI3" s="306"/>
      <c r="IRJ3" s="306"/>
      <c r="IRK3" s="306"/>
      <c r="IRL3" s="306"/>
      <c r="IRM3" s="306"/>
      <c r="IRN3" s="306"/>
      <c r="IRO3" s="306"/>
      <c r="IRP3" s="306"/>
      <c r="IRQ3" s="306"/>
      <c r="IRR3" s="306"/>
      <c r="IRS3" s="306"/>
      <c r="IRT3" s="306"/>
      <c r="IRU3" s="306"/>
      <c r="IRV3" s="306"/>
      <c r="IRW3" s="306"/>
      <c r="IRX3" s="306"/>
      <c r="IRY3" s="306"/>
      <c r="IRZ3" s="306"/>
      <c r="ISA3" s="306"/>
      <c r="ISB3" s="306"/>
      <c r="ISC3" s="306"/>
      <c r="ISD3" s="306"/>
      <c r="ISE3" s="306"/>
      <c r="ISF3" s="306"/>
      <c r="ISG3" s="306"/>
      <c r="ISH3" s="306"/>
      <c r="ISI3" s="306"/>
      <c r="ISJ3" s="306"/>
      <c r="ISK3" s="306"/>
      <c r="ISL3" s="306"/>
      <c r="ISM3" s="306"/>
      <c r="ISN3" s="306"/>
      <c r="ISO3" s="306"/>
      <c r="ISP3" s="306"/>
      <c r="ISQ3" s="306"/>
      <c r="ISR3" s="306"/>
      <c r="ISS3" s="306"/>
      <c r="IST3" s="306"/>
      <c r="ISU3" s="306"/>
      <c r="ISV3" s="306"/>
      <c r="ISW3" s="306"/>
      <c r="ISX3" s="306"/>
      <c r="ISY3" s="306"/>
      <c r="ISZ3" s="306"/>
      <c r="ITA3" s="306"/>
      <c r="ITB3" s="306"/>
      <c r="ITC3" s="306"/>
      <c r="ITD3" s="306"/>
      <c r="ITE3" s="306"/>
      <c r="ITF3" s="306"/>
      <c r="ITG3" s="306"/>
      <c r="ITH3" s="306"/>
      <c r="ITI3" s="306"/>
      <c r="ITJ3" s="306"/>
      <c r="ITK3" s="306"/>
      <c r="ITL3" s="306"/>
      <c r="ITM3" s="306"/>
      <c r="ITN3" s="306"/>
      <c r="ITO3" s="306"/>
      <c r="ITP3" s="306"/>
      <c r="ITQ3" s="306"/>
      <c r="ITR3" s="306"/>
      <c r="ITS3" s="306"/>
      <c r="ITT3" s="306"/>
      <c r="ITU3" s="306"/>
      <c r="ITV3" s="306"/>
      <c r="ITW3" s="306"/>
      <c r="ITX3" s="306"/>
      <c r="ITY3" s="306"/>
      <c r="ITZ3" s="306"/>
      <c r="IUA3" s="306"/>
      <c r="IUB3" s="306"/>
      <c r="IUC3" s="306"/>
      <c r="IUD3" s="306"/>
      <c r="IUE3" s="306"/>
      <c r="IUF3" s="306"/>
      <c r="IUG3" s="306"/>
      <c r="IUH3" s="306"/>
      <c r="IUI3" s="306"/>
      <c r="IUJ3" s="306"/>
      <c r="IUK3" s="306"/>
      <c r="IUL3" s="306"/>
      <c r="IUM3" s="306"/>
      <c r="IUN3" s="306"/>
      <c r="IUO3" s="306"/>
      <c r="IUP3" s="306"/>
      <c r="IUQ3" s="306"/>
      <c r="IUR3" s="306"/>
      <c r="IUS3" s="306"/>
      <c r="IUT3" s="306"/>
      <c r="IUU3" s="306"/>
      <c r="IUV3" s="306"/>
      <c r="IUW3" s="306"/>
      <c r="IUX3" s="306"/>
      <c r="IUY3" s="306"/>
      <c r="IUZ3" s="306"/>
      <c r="IVA3" s="306"/>
      <c r="IVB3" s="306"/>
      <c r="IVC3" s="306"/>
      <c r="IVD3" s="306"/>
      <c r="IVE3" s="306"/>
      <c r="IVF3" s="306"/>
      <c r="IVG3" s="306"/>
      <c r="IVH3" s="306"/>
      <c r="IVI3" s="306"/>
      <c r="IVJ3" s="306"/>
      <c r="IVK3" s="306"/>
      <c r="IVL3" s="306"/>
      <c r="IVM3" s="306"/>
      <c r="IVN3" s="306"/>
      <c r="IVO3" s="306"/>
      <c r="IVP3" s="306"/>
      <c r="IVQ3" s="306"/>
      <c r="IVR3" s="306"/>
      <c r="IVS3" s="306"/>
      <c r="IVT3" s="306"/>
      <c r="IVU3" s="306"/>
      <c r="IVV3" s="306"/>
      <c r="IVW3" s="306"/>
      <c r="IVX3" s="306"/>
      <c r="IVY3" s="306"/>
      <c r="IVZ3" s="306"/>
      <c r="IWA3" s="306"/>
      <c r="IWB3" s="306"/>
      <c r="IWC3" s="306"/>
      <c r="IWD3" s="306"/>
      <c r="IWE3" s="306"/>
      <c r="IWF3" s="306"/>
      <c r="IWG3" s="306"/>
      <c r="IWH3" s="306"/>
      <c r="IWI3" s="306"/>
      <c r="IWJ3" s="306"/>
      <c r="IWK3" s="306"/>
      <c r="IWL3" s="306"/>
      <c r="IWM3" s="306"/>
      <c r="IWN3" s="306"/>
      <c r="IWO3" s="306"/>
      <c r="IWP3" s="306"/>
      <c r="IWQ3" s="306"/>
      <c r="IWR3" s="306"/>
      <c r="IWS3" s="306"/>
      <c r="IWT3" s="306"/>
      <c r="IWU3" s="306"/>
      <c r="IWV3" s="306"/>
      <c r="IWW3" s="306"/>
      <c r="IWX3" s="306"/>
      <c r="IWY3" s="306"/>
      <c r="IWZ3" s="306"/>
      <c r="IXA3" s="306"/>
      <c r="IXB3" s="306"/>
      <c r="IXC3" s="306"/>
      <c r="IXD3" s="306"/>
      <c r="IXE3" s="306"/>
      <c r="IXF3" s="306"/>
      <c r="IXG3" s="306"/>
      <c r="IXH3" s="306"/>
      <c r="IXI3" s="306"/>
      <c r="IXJ3" s="306"/>
      <c r="IXK3" s="306"/>
      <c r="IXL3" s="306"/>
      <c r="IXM3" s="306"/>
      <c r="IXN3" s="306"/>
      <c r="IXO3" s="306"/>
      <c r="IXP3" s="306"/>
      <c r="IXQ3" s="306"/>
      <c r="IXR3" s="306"/>
      <c r="IXS3" s="306"/>
      <c r="IXT3" s="306"/>
      <c r="IXU3" s="306"/>
      <c r="IXV3" s="306"/>
      <c r="IXW3" s="306"/>
      <c r="IXX3" s="306"/>
      <c r="IXY3" s="306"/>
      <c r="IXZ3" s="306"/>
      <c r="IYA3" s="306"/>
      <c r="IYB3" s="306"/>
      <c r="IYC3" s="306"/>
      <c r="IYD3" s="306"/>
      <c r="IYE3" s="306"/>
      <c r="IYF3" s="306"/>
      <c r="IYG3" s="306"/>
      <c r="IYH3" s="306"/>
      <c r="IYI3" s="306"/>
      <c r="IYJ3" s="306"/>
      <c r="IYK3" s="306"/>
      <c r="IYL3" s="306"/>
      <c r="IYM3" s="306"/>
      <c r="IYN3" s="306"/>
      <c r="IYO3" s="306"/>
      <c r="IYP3" s="306"/>
      <c r="IYQ3" s="306"/>
      <c r="IYR3" s="306"/>
      <c r="IYS3" s="306"/>
      <c r="IYT3" s="306"/>
      <c r="IYU3" s="306"/>
      <c r="IYV3" s="306"/>
      <c r="IYW3" s="306"/>
      <c r="IYX3" s="306"/>
      <c r="IYY3" s="306"/>
      <c r="IYZ3" s="306"/>
      <c r="IZA3" s="306"/>
      <c r="IZB3" s="306"/>
      <c r="IZC3" s="306"/>
      <c r="IZD3" s="306"/>
      <c r="IZE3" s="306"/>
      <c r="IZF3" s="306"/>
      <c r="IZG3" s="306"/>
      <c r="IZH3" s="306"/>
      <c r="IZI3" s="306"/>
      <c r="IZJ3" s="306"/>
      <c r="IZK3" s="306"/>
      <c r="IZL3" s="306"/>
      <c r="IZM3" s="306"/>
      <c r="IZN3" s="306"/>
      <c r="IZO3" s="306"/>
      <c r="IZP3" s="306"/>
      <c r="IZQ3" s="306"/>
      <c r="IZR3" s="306"/>
      <c r="IZS3" s="306"/>
      <c r="IZT3" s="306"/>
      <c r="IZU3" s="306"/>
      <c r="IZV3" s="306"/>
      <c r="IZW3" s="306"/>
      <c r="IZX3" s="306"/>
      <c r="IZY3" s="306"/>
      <c r="IZZ3" s="306"/>
      <c r="JAA3" s="306"/>
      <c r="JAB3" s="306"/>
      <c r="JAC3" s="306"/>
      <c r="JAD3" s="306"/>
      <c r="JAE3" s="306"/>
      <c r="JAF3" s="306"/>
      <c r="JAG3" s="306"/>
      <c r="JAH3" s="306"/>
      <c r="JAI3" s="306"/>
      <c r="JAJ3" s="306"/>
      <c r="JAK3" s="306"/>
      <c r="JAL3" s="306"/>
      <c r="JAM3" s="306"/>
      <c r="JAN3" s="306"/>
      <c r="JAO3" s="306"/>
      <c r="JAP3" s="306"/>
      <c r="JAQ3" s="306"/>
      <c r="JAR3" s="306"/>
      <c r="JAS3" s="306"/>
      <c r="JAT3" s="306"/>
      <c r="JAU3" s="306"/>
      <c r="JAV3" s="306"/>
      <c r="JAW3" s="306"/>
      <c r="JAX3" s="306"/>
      <c r="JAY3" s="306"/>
      <c r="JAZ3" s="306"/>
      <c r="JBA3" s="306"/>
      <c r="JBB3" s="306"/>
      <c r="JBC3" s="306"/>
      <c r="JBD3" s="306"/>
      <c r="JBE3" s="306"/>
      <c r="JBF3" s="306"/>
      <c r="JBG3" s="306"/>
      <c r="JBH3" s="306"/>
      <c r="JBI3" s="306"/>
      <c r="JBJ3" s="306"/>
      <c r="JBK3" s="306"/>
      <c r="JBL3" s="306"/>
      <c r="JBM3" s="306"/>
      <c r="JBN3" s="306"/>
      <c r="JBO3" s="306"/>
      <c r="JBP3" s="306"/>
      <c r="JBQ3" s="306"/>
      <c r="JBR3" s="306"/>
      <c r="JBS3" s="306"/>
      <c r="JBT3" s="306"/>
      <c r="JBU3" s="306"/>
      <c r="JBV3" s="306"/>
      <c r="JBW3" s="306"/>
      <c r="JBX3" s="306"/>
      <c r="JBY3" s="306"/>
      <c r="JBZ3" s="306"/>
      <c r="JCA3" s="306"/>
      <c r="JCB3" s="306"/>
      <c r="JCC3" s="306"/>
      <c r="JCD3" s="306"/>
      <c r="JCE3" s="306"/>
      <c r="JCF3" s="306"/>
      <c r="JCG3" s="306"/>
      <c r="JCH3" s="306"/>
      <c r="JCI3" s="306"/>
      <c r="JCJ3" s="306"/>
      <c r="JCK3" s="306"/>
      <c r="JCL3" s="306"/>
      <c r="JCM3" s="306"/>
      <c r="JCN3" s="306"/>
      <c r="JCO3" s="306"/>
      <c r="JCP3" s="306"/>
      <c r="JCQ3" s="306"/>
      <c r="JCR3" s="306"/>
      <c r="JCS3" s="306"/>
      <c r="JCT3" s="306"/>
      <c r="JCU3" s="306"/>
      <c r="JCV3" s="306"/>
      <c r="JCW3" s="306"/>
      <c r="JCX3" s="306"/>
      <c r="JCY3" s="306"/>
      <c r="JCZ3" s="306"/>
      <c r="JDA3" s="306"/>
      <c r="JDB3" s="306"/>
      <c r="JDC3" s="306"/>
      <c r="JDD3" s="306"/>
      <c r="JDE3" s="306"/>
      <c r="JDF3" s="306"/>
      <c r="JDG3" s="306"/>
      <c r="JDH3" s="306"/>
      <c r="JDI3" s="306"/>
      <c r="JDJ3" s="306"/>
      <c r="JDK3" s="306"/>
      <c r="JDL3" s="306"/>
      <c r="JDM3" s="306"/>
      <c r="JDN3" s="306"/>
      <c r="JDO3" s="306"/>
      <c r="JDP3" s="306"/>
      <c r="JDQ3" s="306"/>
      <c r="JDR3" s="306"/>
      <c r="JDS3" s="306"/>
      <c r="JDT3" s="306"/>
      <c r="JDU3" s="306"/>
      <c r="JDV3" s="306"/>
      <c r="JDW3" s="306"/>
      <c r="JDX3" s="306"/>
      <c r="JDY3" s="306"/>
      <c r="JDZ3" s="306"/>
      <c r="JEA3" s="306"/>
      <c r="JEB3" s="306"/>
      <c r="JEC3" s="306"/>
      <c r="JED3" s="306"/>
      <c r="JEE3" s="306"/>
      <c r="JEF3" s="306"/>
      <c r="JEG3" s="306"/>
      <c r="JEH3" s="306"/>
      <c r="JEI3" s="306"/>
      <c r="JEJ3" s="306"/>
      <c r="JEK3" s="306"/>
      <c r="JEL3" s="306"/>
      <c r="JEM3" s="306"/>
      <c r="JEN3" s="306"/>
      <c r="JEO3" s="306"/>
      <c r="JEP3" s="306"/>
      <c r="JEQ3" s="306"/>
      <c r="JER3" s="306"/>
      <c r="JES3" s="306"/>
      <c r="JET3" s="306"/>
      <c r="JEU3" s="306"/>
      <c r="JEV3" s="306"/>
      <c r="JEW3" s="306"/>
      <c r="JEX3" s="306"/>
      <c r="JEY3" s="306"/>
      <c r="JEZ3" s="306"/>
      <c r="JFA3" s="306"/>
      <c r="JFB3" s="306"/>
      <c r="JFC3" s="306"/>
      <c r="JFD3" s="306"/>
      <c r="JFE3" s="306"/>
      <c r="JFF3" s="306"/>
      <c r="JFG3" s="306"/>
      <c r="JFH3" s="306"/>
      <c r="JFI3" s="306"/>
      <c r="JFJ3" s="306"/>
      <c r="JFK3" s="306"/>
      <c r="JFL3" s="306"/>
      <c r="JFM3" s="306"/>
      <c r="JFN3" s="306"/>
      <c r="JFO3" s="306"/>
      <c r="JFP3" s="306"/>
      <c r="JFQ3" s="306"/>
      <c r="JFR3" s="306"/>
      <c r="JFS3" s="306"/>
      <c r="JFT3" s="306"/>
      <c r="JFU3" s="306"/>
      <c r="JFV3" s="306"/>
      <c r="JFW3" s="306"/>
      <c r="JFX3" s="306"/>
      <c r="JFY3" s="306"/>
      <c r="JFZ3" s="306"/>
      <c r="JGA3" s="306"/>
      <c r="JGB3" s="306"/>
      <c r="JGC3" s="306"/>
      <c r="JGD3" s="306"/>
      <c r="JGE3" s="306"/>
      <c r="JGF3" s="306"/>
      <c r="JGG3" s="306"/>
      <c r="JGH3" s="306"/>
      <c r="JGI3" s="306"/>
      <c r="JGJ3" s="306"/>
      <c r="JGK3" s="306"/>
      <c r="JGL3" s="306"/>
      <c r="JGM3" s="306"/>
      <c r="JGN3" s="306"/>
      <c r="JGO3" s="306"/>
      <c r="JGP3" s="306"/>
      <c r="JGQ3" s="306"/>
      <c r="JGR3" s="306"/>
      <c r="JGS3" s="306"/>
      <c r="JGT3" s="306"/>
      <c r="JGU3" s="306"/>
      <c r="JGV3" s="306"/>
      <c r="JGW3" s="306"/>
      <c r="JGX3" s="306"/>
      <c r="JGY3" s="306"/>
      <c r="JGZ3" s="306"/>
      <c r="JHA3" s="306"/>
      <c r="JHB3" s="306"/>
      <c r="JHC3" s="306"/>
      <c r="JHD3" s="306"/>
      <c r="JHE3" s="306"/>
      <c r="JHF3" s="306"/>
      <c r="JHG3" s="306"/>
      <c r="JHH3" s="306"/>
      <c r="JHI3" s="306"/>
      <c r="JHJ3" s="306"/>
      <c r="JHK3" s="306"/>
      <c r="JHL3" s="306"/>
      <c r="JHM3" s="306"/>
      <c r="JHN3" s="306"/>
      <c r="JHO3" s="306"/>
      <c r="JHP3" s="306"/>
      <c r="JHQ3" s="306"/>
      <c r="JHR3" s="306"/>
      <c r="JHS3" s="306"/>
      <c r="JHT3" s="306"/>
      <c r="JHU3" s="306"/>
      <c r="JHV3" s="306"/>
      <c r="JHW3" s="306"/>
      <c r="JHX3" s="306"/>
      <c r="JHY3" s="306"/>
      <c r="JHZ3" s="306"/>
      <c r="JIA3" s="306"/>
      <c r="JIB3" s="306"/>
      <c r="JIC3" s="306"/>
      <c r="JID3" s="306"/>
      <c r="JIE3" s="306"/>
      <c r="JIF3" s="306"/>
      <c r="JIG3" s="306"/>
      <c r="JIH3" s="306"/>
      <c r="JII3" s="306"/>
      <c r="JIJ3" s="306"/>
      <c r="JIK3" s="306"/>
      <c r="JIL3" s="306"/>
      <c r="JIM3" s="306"/>
      <c r="JIN3" s="306"/>
      <c r="JIO3" s="306"/>
      <c r="JIP3" s="306"/>
      <c r="JIQ3" s="306"/>
      <c r="JIR3" s="306"/>
      <c r="JIS3" s="306"/>
      <c r="JIT3" s="306"/>
      <c r="JIU3" s="306"/>
      <c r="JIV3" s="306"/>
      <c r="JIW3" s="306"/>
      <c r="JIX3" s="306"/>
      <c r="JIY3" s="306"/>
      <c r="JIZ3" s="306"/>
      <c r="JJA3" s="306"/>
      <c r="JJB3" s="306"/>
      <c r="JJC3" s="306"/>
      <c r="JJD3" s="306"/>
      <c r="JJE3" s="306"/>
      <c r="JJF3" s="306"/>
      <c r="JJG3" s="306"/>
      <c r="JJH3" s="306"/>
      <c r="JJI3" s="306"/>
      <c r="JJJ3" s="306"/>
      <c r="JJK3" s="306"/>
      <c r="JJL3" s="306"/>
      <c r="JJM3" s="306"/>
      <c r="JJN3" s="306"/>
      <c r="JJO3" s="306"/>
      <c r="JJP3" s="306"/>
      <c r="JJQ3" s="306"/>
      <c r="JJR3" s="306"/>
      <c r="JJS3" s="306"/>
      <c r="JJT3" s="306"/>
      <c r="JJU3" s="306"/>
      <c r="JJV3" s="306"/>
      <c r="JJW3" s="306"/>
      <c r="JJX3" s="306"/>
      <c r="JJY3" s="306"/>
      <c r="JJZ3" s="306"/>
      <c r="JKA3" s="306"/>
      <c r="JKB3" s="306"/>
      <c r="JKC3" s="306"/>
      <c r="JKD3" s="306"/>
      <c r="JKE3" s="306"/>
      <c r="JKF3" s="306"/>
      <c r="JKG3" s="306"/>
      <c r="JKH3" s="306"/>
      <c r="JKI3" s="306"/>
      <c r="JKJ3" s="306"/>
      <c r="JKK3" s="306"/>
      <c r="JKL3" s="306"/>
      <c r="JKM3" s="306"/>
      <c r="JKN3" s="306"/>
      <c r="JKO3" s="306"/>
      <c r="JKP3" s="306"/>
      <c r="JKQ3" s="306"/>
      <c r="JKR3" s="306"/>
      <c r="JKS3" s="306"/>
      <c r="JKT3" s="306"/>
      <c r="JKU3" s="306"/>
      <c r="JKV3" s="306"/>
      <c r="JKW3" s="306"/>
      <c r="JKX3" s="306"/>
      <c r="JKY3" s="306"/>
      <c r="JKZ3" s="306"/>
      <c r="JLA3" s="306"/>
      <c r="JLB3" s="306"/>
      <c r="JLC3" s="306"/>
      <c r="JLD3" s="306"/>
      <c r="JLE3" s="306"/>
      <c r="JLF3" s="306"/>
      <c r="JLG3" s="306"/>
      <c r="JLH3" s="306"/>
      <c r="JLI3" s="306"/>
      <c r="JLJ3" s="306"/>
      <c r="JLK3" s="306"/>
      <c r="JLL3" s="306"/>
      <c r="JLM3" s="306"/>
      <c r="JLN3" s="306"/>
      <c r="JLO3" s="306"/>
      <c r="JLP3" s="306"/>
      <c r="JLQ3" s="306"/>
      <c r="JLR3" s="306"/>
      <c r="JLS3" s="306"/>
      <c r="JLT3" s="306"/>
      <c r="JLU3" s="306"/>
      <c r="JLV3" s="306"/>
      <c r="JLW3" s="306"/>
      <c r="JLX3" s="306"/>
      <c r="JLY3" s="306"/>
      <c r="JLZ3" s="306"/>
      <c r="JMA3" s="306"/>
      <c r="JMB3" s="306"/>
      <c r="JMC3" s="306"/>
      <c r="JMD3" s="306"/>
      <c r="JME3" s="306"/>
      <c r="JMF3" s="306"/>
      <c r="JMG3" s="306"/>
      <c r="JMH3" s="306"/>
      <c r="JMI3" s="306"/>
      <c r="JMJ3" s="306"/>
      <c r="JMK3" s="306"/>
      <c r="JML3" s="306"/>
      <c r="JMM3" s="306"/>
      <c r="JMN3" s="306"/>
      <c r="JMO3" s="306"/>
      <c r="JMP3" s="306"/>
      <c r="JMQ3" s="306"/>
      <c r="JMR3" s="306"/>
      <c r="JMS3" s="306"/>
      <c r="JMT3" s="306"/>
      <c r="JMU3" s="306"/>
      <c r="JMV3" s="306"/>
      <c r="JMW3" s="306"/>
      <c r="JMX3" s="306"/>
      <c r="JMY3" s="306"/>
      <c r="JMZ3" s="306"/>
      <c r="JNA3" s="306"/>
      <c r="JNB3" s="306"/>
      <c r="JNC3" s="306"/>
      <c r="JND3" s="306"/>
      <c r="JNE3" s="306"/>
      <c r="JNF3" s="306"/>
      <c r="JNG3" s="306"/>
      <c r="JNH3" s="306"/>
      <c r="JNI3" s="306"/>
      <c r="JNJ3" s="306"/>
      <c r="JNK3" s="306"/>
      <c r="JNL3" s="306"/>
      <c r="JNM3" s="306"/>
      <c r="JNN3" s="306"/>
      <c r="JNO3" s="306"/>
      <c r="JNP3" s="306"/>
      <c r="JNQ3" s="306"/>
      <c r="JNR3" s="306"/>
      <c r="JNS3" s="306"/>
      <c r="JNT3" s="306"/>
      <c r="JNU3" s="306"/>
      <c r="JNV3" s="306"/>
      <c r="JNW3" s="306"/>
      <c r="JNX3" s="306"/>
      <c r="JNY3" s="306"/>
      <c r="JNZ3" s="306"/>
      <c r="JOA3" s="306"/>
      <c r="JOB3" s="306"/>
      <c r="JOC3" s="306"/>
      <c r="JOD3" s="306"/>
      <c r="JOE3" s="306"/>
      <c r="JOF3" s="306"/>
      <c r="JOG3" s="306"/>
      <c r="JOH3" s="306"/>
      <c r="JOI3" s="306"/>
      <c r="JOJ3" s="306"/>
      <c r="JOK3" s="306"/>
      <c r="JOL3" s="306"/>
      <c r="JOM3" s="306"/>
      <c r="JON3" s="306"/>
      <c r="JOO3" s="306"/>
      <c r="JOP3" s="306"/>
      <c r="JOQ3" s="306"/>
      <c r="JOR3" s="306"/>
      <c r="JOS3" s="306"/>
      <c r="JOT3" s="306"/>
      <c r="JOU3" s="306"/>
      <c r="JOV3" s="306"/>
      <c r="JOW3" s="306"/>
      <c r="JOX3" s="306"/>
      <c r="JOY3" s="306"/>
      <c r="JOZ3" s="306"/>
      <c r="JPA3" s="306"/>
      <c r="JPB3" s="306"/>
      <c r="JPC3" s="306"/>
      <c r="JPD3" s="306"/>
      <c r="JPE3" s="306"/>
      <c r="JPF3" s="306"/>
      <c r="JPG3" s="306"/>
      <c r="JPH3" s="306"/>
      <c r="JPI3" s="306"/>
      <c r="JPJ3" s="306"/>
      <c r="JPK3" s="306"/>
      <c r="JPL3" s="306"/>
      <c r="JPM3" s="306"/>
      <c r="JPN3" s="306"/>
      <c r="JPO3" s="306"/>
      <c r="JPP3" s="306"/>
      <c r="JPQ3" s="306"/>
      <c r="JPR3" s="306"/>
      <c r="JPS3" s="306"/>
      <c r="JPT3" s="306"/>
      <c r="JPU3" s="306"/>
      <c r="JPV3" s="306"/>
      <c r="JPW3" s="306"/>
      <c r="JPX3" s="306"/>
      <c r="JPY3" s="306"/>
      <c r="JPZ3" s="306"/>
      <c r="JQA3" s="306"/>
      <c r="JQB3" s="306"/>
      <c r="JQC3" s="306"/>
      <c r="JQD3" s="306"/>
      <c r="JQE3" s="306"/>
      <c r="JQF3" s="306"/>
      <c r="JQG3" s="306"/>
      <c r="JQH3" s="306"/>
      <c r="JQI3" s="306"/>
      <c r="JQJ3" s="306"/>
      <c r="JQK3" s="306"/>
      <c r="JQL3" s="306"/>
      <c r="JQM3" s="306"/>
      <c r="JQN3" s="306"/>
      <c r="JQO3" s="306"/>
      <c r="JQP3" s="306"/>
      <c r="JQQ3" s="306"/>
      <c r="JQR3" s="306"/>
      <c r="JQS3" s="306"/>
      <c r="JQT3" s="306"/>
      <c r="JQU3" s="306"/>
      <c r="JQV3" s="306"/>
      <c r="JQW3" s="306"/>
      <c r="JQX3" s="306"/>
      <c r="JQY3" s="306"/>
      <c r="JQZ3" s="306"/>
      <c r="JRA3" s="306"/>
      <c r="JRB3" s="306"/>
      <c r="JRC3" s="306"/>
      <c r="JRD3" s="306"/>
      <c r="JRE3" s="306"/>
      <c r="JRF3" s="306"/>
      <c r="JRG3" s="306"/>
      <c r="JRH3" s="306"/>
      <c r="JRI3" s="306"/>
      <c r="JRJ3" s="306"/>
      <c r="JRK3" s="306"/>
      <c r="JRL3" s="306"/>
      <c r="JRM3" s="306"/>
      <c r="JRN3" s="306"/>
      <c r="JRO3" s="306"/>
      <c r="JRP3" s="306"/>
      <c r="JRQ3" s="306"/>
      <c r="JRR3" s="306"/>
      <c r="JRS3" s="306"/>
      <c r="JRT3" s="306"/>
      <c r="JRU3" s="306"/>
      <c r="JRV3" s="306"/>
      <c r="JRW3" s="306"/>
      <c r="JRX3" s="306"/>
      <c r="JRY3" s="306"/>
      <c r="JRZ3" s="306"/>
      <c r="JSA3" s="306"/>
      <c r="JSB3" s="306"/>
      <c r="JSC3" s="306"/>
      <c r="JSD3" s="306"/>
      <c r="JSE3" s="306"/>
      <c r="JSF3" s="306"/>
      <c r="JSG3" s="306"/>
      <c r="JSH3" s="306"/>
      <c r="JSI3" s="306"/>
      <c r="JSJ3" s="306"/>
      <c r="JSK3" s="306"/>
      <c r="JSL3" s="306"/>
      <c r="JSM3" s="306"/>
      <c r="JSN3" s="306"/>
      <c r="JSO3" s="306"/>
      <c r="JSP3" s="306"/>
      <c r="JSQ3" s="306"/>
      <c r="JSR3" s="306"/>
      <c r="JSS3" s="306"/>
      <c r="JST3" s="306"/>
      <c r="JSU3" s="306"/>
      <c r="JSV3" s="306"/>
      <c r="JSW3" s="306"/>
      <c r="JSX3" s="306"/>
      <c r="JSY3" s="306"/>
      <c r="JSZ3" s="306"/>
      <c r="JTA3" s="306"/>
      <c r="JTB3" s="306"/>
      <c r="JTC3" s="306"/>
      <c r="JTD3" s="306"/>
      <c r="JTE3" s="306"/>
      <c r="JTF3" s="306"/>
      <c r="JTG3" s="306"/>
      <c r="JTH3" s="306"/>
      <c r="JTI3" s="306"/>
      <c r="JTJ3" s="306"/>
      <c r="JTK3" s="306"/>
      <c r="JTL3" s="306"/>
      <c r="JTM3" s="306"/>
      <c r="JTN3" s="306"/>
      <c r="JTO3" s="306"/>
      <c r="JTP3" s="306"/>
      <c r="JTQ3" s="306"/>
      <c r="JTR3" s="306"/>
      <c r="JTS3" s="306"/>
      <c r="JTT3" s="306"/>
      <c r="JTU3" s="306"/>
      <c r="JTV3" s="306"/>
      <c r="JTW3" s="306"/>
      <c r="JTX3" s="306"/>
      <c r="JTY3" s="306"/>
      <c r="JTZ3" s="306"/>
      <c r="JUA3" s="306"/>
      <c r="JUB3" s="306"/>
      <c r="JUC3" s="306"/>
      <c r="JUD3" s="306"/>
      <c r="JUE3" s="306"/>
      <c r="JUF3" s="306"/>
      <c r="JUG3" s="306"/>
      <c r="JUH3" s="306"/>
      <c r="JUI3" s="306"/>
      <c r="JUJ3" s="306"/>
      <c r="JUK3" s="306"/>
      <c r="JUL3" s="306"/>
      <c r="JUM3" s="306"/>
      <c r="JUN3" s="306"/>
      <c r="JUO3" s="306"/>
      <c r="JUP3" s="306"/>
      <c r="JUQ3" s="306"/>
      <c r="JUR3" s="306"/>
      <c r="JUS3" s="306"/>
      <c r="JUT3" s="306"/>
      <c r="JUU3" s="306"/>
      <c r="JUV3" s="306"/>
      <c r="JUW3" s="306"/>
      <c r="JUX3" s="306"/>
      <c r="JUY3" s="306"/>
      <c r="JUZ3" s="306"/>
      <c r="JVA3" s="306"/>
      <c r="JVB3" s="306"/>
      <c r="JVC3" s="306"/>
      <c r="JVD3" s="306"/>
      <c r="JVE3" s="306"/>
      <c r="JVF3" s="306"/>
      <c r="JVG3" s="306"/>
      <c r="JVH3" s="306"/>
      <c r="JVI3" s="306"/>
      <c r="JVJ3" s="306"/>
      <c r="JVK3" s="306"/>
      <c r="JVL3" s="306"/>
      <c r="JVM3" s="306"/>
      <c r="JVN3" s="306"/>
      <c r="JVO3" s="306"/>
      <c r="JVP3" s="306"/>
      <c r="JVQ3" s="306"/>
      <c r="JVR3" s="306"/>
      <c r="JVS3" s="306"/>
      <c r="JVT3" s="306"/>
      <c r="JVU3" s="306"/>
      <c r="JVV3" s="306"/>
      <c r="JVW3" s="306"/>
      <c r="JVX3" s="306"/>
      <c r="JVY3" s="306"/>
      <c r="JVZ3" s="306"/>
      <c r="JWA3" s="306"/>
      <c r="JWB3" s="306"/>
      <c r="JWC3" s="306"/>
      <c r="JWD3" s="306"/>
      <c r="JWE3" s="306"/>
      <c r="JWF3" s="306"/>
      <c r="JWG3" s="306"/>
      <c r="JWH3" s="306"/>
      <c r="JWI3" s="306"/>
      <c r="JWJ3" s="306"/>
      <c r="JWK3" s="306"/>
      <c r="JWL3" s="306"/>
      <c r="JWM3" s="306"/>
      <c r="JWN3" s="306"/>
      <c r="JWO3" s="306"/>
      <c r="JWP3" s="306"/>
      <c r="JWQ3" s="306"/>
      <c r="JWR3" s="306"/>
      <c r="JWS3" s="306"/>
      <c r="JWT3" s="306"/>
      <c r="JWU3" s="306"/>
      <c r="JWV3" s="306"/>
      <c r="JWW3" s="306"/>
      <c r="JWX3" s="306"/>
      <c r="JWY3" s="306"/>
      <c r="JWZ3" s="306"/>
      <c r="JXA3" s="306"/>
      <c r="JXB3" s="306"/>
      <c r="JXC3" s="306"/>
      <c r="JXD3" s="306"/>
      <c r="JXE3" s="306"/>
      <c r="JXF3" s="306"/>
      <c r="JXG3" s="306"/>
      <c r="JXH3" s="306"/>
      <c r="JXI3" s="306"/>
      <c r="JXJ3" s="306"/>
      <c r="JXK3" s="306"/>
      <c r="JXL3" s="306"/>
      <c r="JXM3" s="306"/>
      <c r="JXN3" s="306"/>
      <c r="JXO3" s="306"/>
      <c r="JXP3" s="306"/>
      <c r="JXQ3" s="306"/>
      <c r="JXR3" s="306"/>
      <c r="JXS3" s="306"/>
      <c r="JXT3" s="306"/>
      <c r="JXU3" s="306"/>
      <c r="JXV3" s="306"/>
      <c r="JXW3" s="306"/>
      <c r="JXX3" s="306"/>
      <c r="JXY3" s="306"/>
      <c r="JXZ3" s="306"/>
      <c r="JYA3" s="306"/>
      <c r="JYB3" s="306"/>
      <c r="JYC3" s="306"/>
      <c r="JYD3" s="306"/>
      <c r="JYE3" s="306"/>
      <c r="JYF3" s="306"/>
      <c r="JYG3" s="306"/>
      <c r="JYH3" s="306"/>
      <c r="JYI3" s="306"/>
      <c r="JYJ3" s="306"/>
      <c r="JYK3" s="306"/>
      <c r="JYL3" s="306"/>
      <c r="JYM3" s="306"/>
      <c r="JYN3" s="306"/>
      <c r="JYO3" s="306"/>
      <c r="JYP3" s="306"/>
      <c r="JYQ3" s="306"/>
      <c r="JYR3" s="306"/>
      <c r="JYS3" s="306"/>
      <c r="JYT3" s="306"/>
      <c r="JYU3" s="306"/>
      <c r="JYV3" s="306"/>
      <c r="JYW3" s="306"/>
      <c r="JYX3" s="306"/>
      <c r="JYY3" s="306"/>
      <c r="JYZ3" s="306"/>
      <c r="JZA3" s="306"/>
      <c r="JZB3" s="306"/>
      <c r="JZC3" s="306"/>
      <c r="JZD3" s="306"/>
      <c r="JZE3" s="306"/>
      <c r="JZF3" s="306"/>
      <c r="JZG3" s="306"/>
      <c r="JZH3" s="306"/>
      <c r="JZI3" s="306"/>
      <c r="JZJ3" s="306"/>
      <c r="JZK3" s="306"/>
      <c r="JZL3" s="306"/>
      <c r="JZM3" s="306"/>
      <c r="JZN3" s="306"/>
      <c r="JZO3" s="306"/>
      <c r="JZP3" s="306"/>
      <c r="JZQ3" s="306"/>
      <c r="JZR3" s="306"/>
      <c r="JZS3" s="306"/>
      <c r="JZT3" s="306"/>
      <c r="JZU3" s="306"/>
      <c r="JZV3" s="306"/>
      <c r="JZW3" s="306"/>
      <c r="JZX3" s="306"/>
      <c r="JZY3" s="306"/>
      <c r="JZZ3" s="306"/>
      <c r="KAA3" s="306"/>
      <c r="KAB3" s="306"/>
      <c r="KAC3" s="306"/>
      <c r="KAD3" s="306"/>
      <c r="KAE3" s="306"/>
      <c r="KAF3" s="306"/>
      <c r="KAG3" s="306"/>
      <c r="KAH3" s="306"/>
      <c r="KAI3" s="306"/>
      <c r="KAJ3" s="306"/>
      <c r="KAK3" s="306"/>
      <c r="KAL3" s="306"/>
      <c r="KAM3" s="306"/>
      <c r="KAN3" s="306"/>
      <c r="KAO3" s="306"/>
      <c r="KAP3" s="306"/>
      <c r="KAQ3" s="306"/>
      <c r="KAR3" s="306"/>
      <c r="KAS3" s="306"/>
      <c r="KAT3" s="306"/>
      <c r="KAU3" s="306"/>
      <c r="KAV3" s="306"/>
      <c r="KAW3" s="306"/>
      <c r="KAX3" s="306"/>
      <c r="KAY3" s="306"/>
      <c r="KAZ3" s="306"/>
      <c r="KBA3" s="306"/>
      <c r="KBB3" s="306"/>
      <c r="KBC3" s="306"/>
      <c r="KBD3" s="306"/>
      <c r="KBE3" s="306"/>
      <c r="KBF3" s="306"/>
      <c r="KBG3" s="306"/>
      <c r="KBH3" s="306"/>
      <c r="KBI3" s="306"/>
      <c r="KBJ3" s="306"/>
      <c r="KBK3" s="306"/>
      <c r="KBL3" s="306"/>
      <c r="KBM3" s="306"/>
      <c r="KBN3" s="306"/>
      <c r="KBO3" s="306"/>
      <c r="KBP3" s="306"/>
      <c r="KBQ3" s="306"/>
      <c r="KBR3" s="306"/>
      <c r="KBS3" s="306"/>
      <c r="KBT3" s="306"/>
      <c r="KBU3" s="306"/>
      <c r="KBV3" s="306"/>
      <c r="KBW3" s="306"/>
      <c r="KBX3" s="306"/>
      <c r="KBY3" s="306"/>
      <c r="KBZ3" s="306"/>
      <c r="KCA3" s="306"/>
      <c r="KCB3" s="306"/>
      <c r="KCC3" s="306"/>
      <c r="KCD3" s="306"/>
      <c r="KCE3" s="306"/>
      <c r="KCF3" s="306"/>
      <c r="KCG3" s="306"/>
      <c r="KCH3" s="306"/>
      <c r="KCI3" s="306"/>
      <c r="KCJ3" s="306"/>
      <c r="KCK3" s="306"/>
      <c r="KCL3" s="306"/>
      <c r="KCM3" s="306"/>
      <c r="KCN3" s="306"/>
      <c r="KCO3" s="306"/>
      <c r="KCP3" s="306"/>
      <c r="KCQ3" s="306"/>
      <c r="KCR3" s="306"/>
      <c r="KCS3" s="306"/>
      <c r="KCT3" s="306"/>
      <c r="KCU3" s="306"/>
      <c r="KCV3" s="306"/>
      <c r="KCW3" s="306"/>
      <c r="KCX3" s="306"/>
      <c r="KCY3" s="306"/>
      <c r="KCZ3" s="306"/>
      <c r="KDA3" s="306"/>
      <c r="KDB3" s="306"/>
      <c r="KDC3" s="306"/>
      <c r="KDD3" s="306"/>
      <c r="KDE3" s="306"/>
      <c r="KDF3" s="306"/>
      <c r="KDG3" s="306"/>
      <c r="KDH3" s="306"/>
      <c r="KDI3" s="306"/>
      <c r="KDJ3" s="306"/>
      <c r="KDK3" s="306"/>
      <c r="KDL3" s="306"/>
      <c r="KDM3" s="306"/>
      <c r="KDN3" s="306"/>
      <c r="KDO3" s="306"/>
      <c r="KDP3" s="306"/>
      <c r="KDQ3" s="306"/>
      <c r="KDR3" s="306"/>
      <c r="KDS3" s="306"/>
      <c r="KDT3" s="306"/>
      <c r="KDU3" s="306"/>
      <c r="KDV3" s="306"/>
      <c r="KDW3" s="306"/>
      <c r="KDX3" s="306"/>
      <c r="KDY3" s="306"/>
      <c r="KDZ3" s="306"/>
      <c r="KEA3" s="306"/>
      <c r="KEB3" s="306"/>
      <c r="KEC3" s="306"/>
      <c r="KED3" s="306"/>
      <c r="KEE3" s="306"/>
      <c r="KEF3" s="306"/>
      <c r="KEG3" s="306"/>
      <c r="KEH3" s="306"/>
      <c r="KEI3" s="306"/>
      <c r="KEJ3" s="306"/>
      <c r="KEK3" s="306"/>
      <c r="KEL3" s="306"/>
      <c r="KEM3" s="306"/>
      <c r="KEN3" s="306"/>
      <c r="KEO3" s="306"/>
      <c r="KEP3" s="306"/>
      <c r="KEQ3" s="306"/>
      <c r="KER3" s="306"/>
      <c r="KES3" s="306"/>
      <c r="KET3" s="306"/>
      <c r="KEU3" s="306"/>
      <c r="KEV3" s="306"/>
      <c r="KEW3" s="306"/>
      <c r="KEX3" s="306"/>
      <c r="KEY3" s="306"/>
      <c r="KEZ3" s="306"/>
      <c r="KFA3" s="306"/>
      <c r="KFB3" s="306"/>
      <c r="KFC3" s="306"/>
      <c r="KFD3" s="306"/>
      <c r="KFE3" s="306"/>
      <c r="KFF3" s="306"/>
      <c r="KFG3" s="306"/>
      <c r="KFH3" s="306"/>
      <c r="KFI3" s="306"/>
      <c r="KFJ3" s="306"/>
      <c r="KFK3" s="306"/>
      <c r="KFL3" s="306"/>
      <c r="KFM3" s="306"/>
      <c r="KFN3" s="306"/>
      <c r="KFO3" s="306"/>
      <c r="KFP3" s="306"/>
      <c r="KFQ3" s="306"/>
      <c r="KFR3" s="306"/>
      <c r="KFS3" s="306"/>
      <c r="KFT3" s="306"/>
      <c r="KFU3" s="306"/>
      <c r="KFV3" s="306"/>
      <c r="KFW3" s="306"/>
      <c r="KFX3" s="306"/>
      <c r="KFY3" s="306"/>
      <c r="KFZ3" s="306"/>
      <c r="KGA3" s="306"/>
      <c r="KGB3" s="306"/>
      <c r="KGC3" s="306"/>
      <c r="KGD3" s="306"/>
      <c r="KGE3" s="306"/>
      <c r="KGF3" s="306"/>
      <c r="KGG3" s="306"/>
      <c r="KGH3" s="306"/>
      <c r="KGI3" s="306"/>
      <c r="KGJ3" s="306"/>
      <c r="KGK3" s="306"/>
      <c r="KGL3" s="306"/>
      <c r="KGM3" s="306"/>
      <c r="KGN3" s="306"/>
      <c r="KGO3" s="306"/>
      <c r="KGP3" s="306"/>
      <c r="KGQ3" s="306"/>
      <c r="KGR3" s="306"/>
      <c r="KGS3" s="306"/>
      <c r="KGT3" s="306"/>
      <c r="KGU3" s="306"/>
      <c r="KGV3" s="306"/>
      <c r="KGW3" s="306"/>
      <c r="KGX3" s="306"/>
      <c r="KGY3" s="306"/>
      <c r="KGZ3" s="306"/>
      <c r="KHA3" s="306"/>
      <c r="KHB3" s="306"/>
      <c r="KHC3" s="306"/>
      <c r="KHD3" s="306"/>
      <c r="KHE3" s="306"/>
      <c r="KHF3" s="306"/>
      <c r="KHG3" s="306"/>
      <c r="KHH3" s="306"/>
      <c r="KHI3" s="306"/>
      <c r="KHJ3" s="306"/>
      <c r="KHK3" s="306"/>
      <c r="KHL3" s="306"/>
      <c r="KHM3" s="306"/>
      <c r="KHN3" s="306"/>
      <c r="KHO3" s="306"/>
      <c r="KHP3" s="306"/>
      <c r="KHQ3" s="306"/>
      <c r="KHR3" s="306"/>
      <c r="KHS3" s="306"/>
      <c r="KHT3" s="306"/>
      <c r="KHU3" s="306"/>
      <c r="KHV3" s="306"/>
      <c r="KHW3" s="306"/>
      <c r="KHX3" s="306"/>
      <c r="KHY3" s="306"/>
      <c r="KHZ3" s="306"/>
      <c r="KIA3" s="306"/>
      <c r="KIB3" s="306"/>
      <c r="KIC3" s="306"/>
      <c r="KID3" s="306"/>
      <c r="KIE3" s="306"/>
      <c r="KIF3" s="306"/>
      <c r="KIG3" s="306"/>
      <c r="KIH3" s="306"/>
      <c r="KII3" s="306"/>
      <c r="KIJ3" s="306"/>
      <c r="KIK3" s="306"/>
      <c r="KIL3" s="306"/>
      <c r="KIM3" s="306"/>
      <c r="KIN3" s="306"/>
      <c r="KIO3" s="306"/>
      <c r="KIP3" s="306"/>
      <c r="KIQ3" s="306"/>
      <c r="KIR3" s="306"/>
      <c r="KIS3" s="306"/>
      <c r="KIT3" s="306"/>
      <c r="KIU3" s="306"/>
      <c r="KIV3" s="306"/>
      <c r="KIW3" s="306"/>
      <c r="KIX3" s="306"/>
      <c r="KIY3" s="306"/>
      <c r="KIZ3" s="306"/>
      <c r="KJA3" s="306"/>
      <c r="KJB3" s="306"/>
      <c r="KJC3" s="306"/>
      <c r="KJD3" s="306"/>
      <c r="KJE3" s="306"/>
      <c r="KJF3" s="306"/>
      <c r="KJG3" s="306"/>
      <c r="KJH3" s="306"/>
      <c r="KJI3" s="306"/>
      <c r="KJJ3" s="306"/>
      <c r="KJK3" s="306"/>
      <c r="KJL3" s="306"/>
      <c r="KJM3" s="306"/>
      <c r="KJN3" s="306"/>
      <c r="KJO3" s="306"/>
      <c r="KJP3" s="306"/>
      <c r="KJQ3" s="306"/>
      <c r="KJR3" s="306"/>
      <c r="KJS3" s="306"/>
      <c r="KJT3" s="306"/>
      <c r="KJU3" s="306"/>
      <c r="KJV3" s="306"/>
      <c r="KJW3" s="306"/>
      <c r="KJX3" s="306"/>
      <c r="KJY3" s="306"/>
      <c r="KJZ3" s="306"/>
      <c r="KKA3" s="306"/>
      <c r="KKB3" s="306"/>
      <c r="KKC3" s="306"/>
      <c r="KKD3" s="306"/>
      <c r="KKE3" s="306"/>
      <c r="KKF3" s="306"/>
      <c r="KKG3" s="306"/>
      <c r="KKH3" s="306"/>
      <c r="KKI3" s="306"/>
      <c r="KKJ3" s="306"/>
      <c r="KKK3" s="306"/>
      <c r="KKL3" s="306"/>
      <c r="KKM3" s="306"/>
      <c r="KKN3" s="306"/>
      <c r="KKO3" s="306"/>
      <c r="KKP3" s="306"/>
      <c r="KKQ3" s="306"/>
      <c r="KKR3" s="306"/>
      <c r="KKS3" s="306"/>
      <c r="KKT3" s="306"/>
      <c r="KKU3" s="306"/>
      <c r="KKV3" s="306"/>
      <c r="KKW3" s="306"/>
      <c r="KKX3" s="306"/>
      <c r="KKY3" s="306"/>
      <c r="KKZ3" s="306"/>
      <c r="KLA3" s="306"/>
      <c r="KLB3" s="306"/>
      <c r="KLC3" s="306"/>
      <c r="KLD3" s="306"/>
      <c r="KLE3" s="306"/>
      <c r="KLF3" s="306"/>
      <c r="KLG3" s="306"/>
      <c r="KLH3" s="306"/>
      <c r="KLI3" s="306"/>
      <c r="KLJ3" s="306"/>
      <c r="KLK3" s="306"/>
      <c r="KLL3" s="306"/>
      <c r="KLM3" s="306"/>
      <c r="KLN3" s="306"/>
      <c r="KLO3" s="306"/>
      <c r="KLP3" s="306"/>
      <c r="KLQ3" s="306"/>
      <c r="KLR3" s="306"/>
      <c r="KLS3" s="306"/>
      <c r="KLT3" s="306"/>
      <c r="KLU3" s="306"/>
      <c r="KLV3" s="306"/>
      <c r="KLW3" s="306"/>
      <c r="KLX3" s="306"/>
      <c r="KLY3" s="306"/>
      <c r="KLZ3" s="306"/>
      <c r="KMA3" s="306"/>
      <c r="KMB3" s="306"/>
      <c r="KMC3" s="306"/>
      <c r="KMD3" s="306"/>
      <c r="KME3" s="306"/>
      <c r="KMF3" s="306"/>
      <c r="KMG3" s="306"/>
      <c r="KMH3" s="306"/>
      <c r="KMI3" s="306"/>
      <c r="KMJ3" s="306"/>
      <c r="KMK3" s="306"/>
      <c r="KML3" s="306"/>
      <c r="KMM3" s="306"/>
      <c r="KMN3" s="306"/>
      <c r="KMO3" s="306"/>
      <c r="KMP3" s="306"/>
      <c r="KMQ3" s="306"/>
      <c r="KMR3" s="306"/>
      <c r="KMS3" s="306"/>
      <c r="KMT3" s="306"/>
      <c r="KMU3" s="306"/>
      <c r="KMV3" s="306"/>
      <c r="KMW3" s="306"/>
      <c r="KMX3" s="306"/>
      <c r="KMY3" s="306"/>
      <c r="KMZ3" s="306"/>
      <c r="KNA3" s="306"/>
      <c r="KNB3" s="306"/>
      <c r="KNC3" s="306"/>
      <c r="KND3" s="306"/>
      <c r="KNE3" s="306"/>
      <c r="KNF3" s="306"/>
      <c r="KNG3" s="306"/>
      <c r="KNH3" s="306"/>
      <c r="KNI3" s="306"/>
      <c r="KNJ3" s="306"/>
      <c r="KNK3" s="306"/>
      <c r="KNL3" s="306"/>
      <c r="KNM3" s="306"/>
      <c r="KNN3" s="306"/>
      <c r="KNO3" s="306"/>
      <c r="KNP3" s="306"/>
      <c r="KNQ3" s="306"/>
      <c r="KNR3" s="306"/>
      <c r="KNS3" s="306"/>
      <c r="KNT3" s="306"/>
      <c r="KNU3" s="306"/>
      <c r="KNV3" s="306"/>
      <c r="KNW3" s="306"/>
      <c r="KNX3" s="306"/>
      <c r="KNY3" s="306"/>
      <c r="KNZ3" s="306"/>
      <c r="KOA3" s="306"/>
      <c r="KOB3" s="306"/>
      <c r="KOC3" s="306"/>
      <c r="KOD3" s="306"/>
      <c r="KOE3" s="306"/>
      <c r="KOF3" s="306"/>
      <c r="KOG3" s="306"/>
      <c r="KOH3" s="306"/>
      <c r="KOI3" s="306"/>
      <c r="KOJ3" s="306"/>
      <c r="KOK3" s="306"/>
      <c r="KOL3" s="306"/>
      <c r="KOM3" s="306"/>
      <c r="KON3" s="306"/>
      <c r="KOO3" s="306"/>
      <c r="KOP3" s="306"/>
      <c r="KOQ3" s="306"/>
      <c r="KOR3" s="306"/>
      <c r="KOS3" s="306"/>
      <c r="KOT3" s="306"/>
      <c r="KOU3" s="306"/>
      <c r="KOV3" s="306"/>
      <c r="KOW3" s="306"/>
      <c r="KOX3" s="306"/>
      <c r="KOY3" s="306"/>
      <c r="KOZ3" s="306"/>
      <c r="KPA3" s="306"/>
      <c r="KPB3" s="306"/>
      <c r="KPC3" s="306"/>
      <c r="KPD3" s="306"/>
      <c r="KPE3" s="306"/>
      <c r="KPF3" s="306"/>
      <c r="KPG3" s="306"/>
      <c r="KPH3" s="306"/>
      <c r="KPI3" s="306"/>
      <c r="KPJ3" s="306"/>
      <c r="KPK3" s="306"/>
      <c r="KPL3" s="306"/>
      <c r="KPM3" s="306"/>
      <c r="KPN3" s="306"/>
      <c r="KPO3" s="306"/>
      <c r="KPP3" s="306"/>
      <c r="KPQ3" s="306"/>
      <c r="KPR3" s="306"/>
      <c r="KPS3" s="306"/>
      <c r="KPT3" s="306"/>
      <c r="KPU3" s="306"/>
      <c r="KPV3" s="306"/>
      <c r="KPW3" s="306"/>
      <c r="KPX3" s="306"/>
      <c r="KPY3" s="306"/>
      <c r="KPZ3" s="306"/>
      <c r="KQA3" s="306"/>
      <c r="KQB3" s="306"/>
      <c r="KQC3" s="306"/>
      <c r="KQD3" s="306"/>
      <c r="KQE3" s="306"/>
      <c r="KQF3" s="306"/>
      <c r="KQG3" s="306"/>
      <c r="KQH3" s="306"/>
      <c r="KQI3" s="306"/>
      <c r="KQJ3" s="306"/>
      <c r="KQK3" s="306"/>
      <c r="KQL3" s="306"/>
      <c r="KQM3" s="306"/>
      <c r="KQN3" s="306"/>
      <c r="KQO3" s="306"/>
      <c r="KQP3" s="306"/>
      <c r="KQQ3" s="306"/>
      <c r="KQR3" s="306"/>
      <c r="KQS3" s="306"/>
      <c r="KQT3" s="306"/>
      <c r="KQU3" s="306"/>
      <c r="KQV3" s="306"/>
      <c r="KQW3" s="306"/>
      <c r="KQX3" s="306"/>
      <c r="KQY3" s="306"/>
      <c r="KQZ3" s="306"/>
      <c r="KRA3" s="306"/>
      <c r="KRB3" s="306"/>
      <c r="KRC3" s="306"/>
      <c r="KRD3" s="306"/>
      <c r="KRE3" s="306"/>
      <c r="KRF3" s="306"/>
      <c r="KRG3" s="306"/>
      <c r="KRH3" s="306"/>
      <c r="KRI3" s="306"/>
      <c r="KRJ3" s="306"/>
      <c r="KRK3" s="306"/>
      <c r="KRL3" s="306"/>
      <c r="KRM3" s="306"/>
      <c r="KRN3" s="306"/>
      <c r="KRO3" s="306"/>
      <c r="KRP3" s="306"/>
      <c r="KRQ3" s="306"/>
      <c r="KRR3" s="306"/>
      <c r="KRS3" s="306"/>
      <c r="KRT3" s="306"/>
      <c r="KRU3" s="306"/>
      <c r="KRV3" s="306"/>
      <c r="KRW3" s="306"/>
      <c r="KRX3" s="306"/>
      <c r="KRY3" s="306"/>
      <c r="KRZ3" s="306"/>
      <c r="KSA3" s="306"/>
      <c r="KSB3" s="306"/>
      <c r="KSC3" s="306"/>
      <c r="KSD3" s="306"/>
      <c r="KSE3" s="306"/>
      <c r="KSF3" s="306"/>
      <c r="KSG3" s="306"/>
      <c r="KSH3" s="306"/>
      <c r="KSI3" s="306"/>
      <c r="KSJ3" s="306"/>
      <c r="KSK3" s="306"/>
      <c r="KSL3" s="306"/>
      <c r="KSM3" s="306"/>
      <c r="KSN3" s="306"/>
      <c r="KSO3" s="306"/>
      <c r="KSP3" s="306"/>
      <c r="KSQ3" s="306"/>
      <c r="KSR3" s="306"/>
      <c r="KSS3" s="306"/>
      <c r="KST3" s="306"/>
      <c r="KSU3" s="306"/>
      <c r="KSV3" s="306"/>
      <c r="KSW3" s="306"/>
      <c r="KSX3" s="306"/>
      <c r="KSY3" s="306"/>
      <c r="KSZ3" s="306"/>
      <c r="KTA3" s="306"/>
      <c r="KTB3" s="306"/>
      <c r="KTC3" s="306"/>
      <c r="KTD3" s="306"/>
      <c r="KTE3" s="306"/>
      <c r="KTF3" s="306"/>
      <c r="KTG3" s="306"/>
      <c r="KTH3" s="306"/>
      <c r="KTI3" s="306"/>
      <c r="KTJ3" s="306"/>
      <c r="KTK3" s="306"/>
      <c r="KTL3" s="306"/>
      <c r="KTM3" s="306"/>
      <c r="KTN3" s="306"/>
      <c r="KTO3" s="306"/>
      <c r="KTP3" s="306"/>
      <c r="KTQ3" s="306"/>
      <c r="KTR3" s="306"/>
      <c r="KTS3" s="306"/>
      <c r="KTT3" s="306"/>
      <c r="KTU3" s="306"/>
      <c r="KTV3" s="306"/>
      <c r="KTW3" s="306"/>
      <c r="KTX3" s="306"/>
      <c r="KTY3" s="306"/>
      <c r="KTZ3" s="306"/>
      <c r="KUA3" s="306"/>
      <c r="KUB3" s="306"/>
      <c r="KUC3" s="306"/>
      <c r="KUD3" s="306"/>
      <c r="KUE3" s="306"/>
      <c r="KUF3" s="306"/>
      <c r="KUG3" s="306"/>
      <c r="KUH3" s="306"/>
      <c r="KUI3" s="306"/>
      <c r="KUJ3" s="306"/>
      <c r="KUK3" s="306"/>
      <c r="KUL3" s="306"/>
      <c r="KUM3" s="306"/>
      <c r="KUN3" s="306"/>
      <c r="KUO3" s="306"/>
      <c r="KUP3" s="306"/>
      <c r="KUQ3" s="306"/>
      <c r="KUR3" s="306"/>
      <c r="KUS3" s="306"/>
      <c r="KUT3" s="306"/>
      <c r="KUU3" s="306"/>
      <c r="KUV3" s="306"/>
      <c r="KUW3" s="306"/>
      <c r="KUX3" s="306"/>
      <c r="KUY3" s="306"/>
      <c r="KUZ3" s="306"/>
      <c r="KVA3" s="306"/>
      <c r="KVB3" s="306"/>
      <c r="KVC3" s="306"/>
      <c r="KVD3" s="306"/>
      <c r="KVE3" s="306"/>
      <c r="KVF3" s="306"/>
      <c r="KVG3" s="306"/>
      <c r="KVH3" s="306"/>
      <c r="KVI3" s="306"/>
      <c r="KVJ3" s="306"/>
      <c r="KVK3" s="306"/>
      <c r="KVL3" s="306"/>
      <c r="KVM3" s="306"/>
      <c r="KVN3" s="306"/>
      <c r="KVO3" s="306"/>
      <c r="KVP3" s="306"/>
      <c r="KVQ3" s="306"/>
      <c r="KVR3" s="306"/>
      <c r="KVS3" s="306"/>
      <c r="KVT3" s="306"/>
      <c r="KVU3" s="306"/>
      <c r="KVV3" s="306"/>
      <c r="KVW3" s="306"/>
      <c r="KVX3" s="306"/>
      <c r="KVY3" s="306"/>
      <c r="KVZ3" s="306"/>
      <c r="KWA3" s="306"/>
      <c r="KWB3" s="306"/>
      <c r="KWC3" s="306"/>
      <c r="KWD3" s="306"/>
      <c r="KWE3" s="306"/>
      <c r="KWF3" s="306"/>
      <c r="KWG3" s="306"/>
      <c r="KWH3" s="306"/>
      <c r="KWI3" s="306"/>
      <c r="KWJ3" s="306"/>
      <c r="KWK3" s="306"/>
      <c r="KWL3" s="306"/>
      <c r="KWM3" s="306"/>
      <c r="KWN3" s="306"/>
      <c r="KWO3" s="306"/>
      <c r="KWP3" s="306"/>
      <c r="KWQ3" s="306"/>
      <c r="KWR3" s="306"/>
      <c r="KWS3" s="306"/>
      <c r="KWT3" s="306"/>
      <c r="KWU3" s="306"/>
      <c r="KWV3" s="306"/>
      <c r="KWW3" s="306"/>
      <c r="KWX3" s="306"/>
      <c r="KWY3" s="306"/>
      <c r="KWZ3" s="306"/>
      <c r="KXA3" s="306"/>
      <c r="KXB3" s="306"/>
      <c r="KXC3" s="306"/>
      <c r="KXD3" s="306"/>
      <c r="KXE3" s="306"/>
      <c r="KXF3" s="306"/>
      <c r="KXG3" s="306"/>
      <c r="KXH3" s="306"/>
      <c r="KXI3" s="306"/>
      <c r="KXJ3" s="306"/>
      <c r="KXK3" s="306"/>
      <c r="KXL3" s="306"/>
      <c r="KXM3" s="306"/>
      <c r="KXN3" s="306"/>
      <c r="KXO3" s="306"/>
      <c r="KXP3" s="306"/>
      <c r="KXQ3" s="306"/>
      <c r="KXR3" s="306"/>
      <c r="KXS3" s="306"/>
      <c r="KXT3" s="306"/>
      <c r="KXU3" s="306"/>
      <c r="KXV3" s="306"/>
      <c r="KXW3" s="306"/>
      <c r="KXX3" s="306"/>
      <c r="KXY3" s="306"/>
      <c r="KXZ3" s="306"/>
      <c r="KYA3" s="306"/>
      <c r="KYB3" s="306"/>
      <c r="KYC3" s="306"/>
      <c r="KYD3" s="306"/>
      <c r="KYE3" s="306"/>
      <c r="KYF3" s="306"/>
      <c r="KYG3" s="306"/>
      <c r="KYH3" s="306"/>
      <c r="KYI3" s="306"/>
      <c r="KYJ3" s="306"/>
      <c r="KYK3" s="306"/>
      <c r="KYL3" s="306"/>
      <c r="KYM3" s="306"/>
      <c r="KYN3" s="306"/>
      <c r="KYO3" s="306"/>
      <c r="KYP3" s="306"/>
      <c r="KYQ3" s="306"/>
      <c r="KYR3" s="306"/>
      <c r="KYS3" s="306"/>
      <c r="KYT3" s="306"/>
      <c r="KYU3" s="306"/>
      <c r="KYV3" s="306"/>
      <c r="KYW3" s="306"/>
      <c r="KYX3" s="306"/>
      <c r="KYY3" s="306"/>
      <c r="KYZ3" s="306"/>
      <c r="KZA3" s="306"/>
      <c r="KZB3" s="306"/>
      <c r="KZC3" s="306"/>
      <c r="KZD3" s="306"/>
      <c r="KZE3" s="306"/>
      <c r="KZF3" s="306"/>
      <c r="KZG3" s="306"/>
      <c r="KZH3" s="306"/>
      <c r="KZI3" s="306"/>
      <c r="KZJ3" s="306"/>
      <c r="KZK3" s="306"/>
      <c r="KZL3" s="306"/>
      <c r="KZM3" s="306"/>
      <c r="KZN3" s="306"/>
      <c r="KZO3" s="306"/>
      <c r="KZP3" s="306"/>
      <c r="KZQ3" s="306"/>
      <c r="KZR3" s="306"/>
      <c r="KZS3" s="306"/>
      <c r="KZT3" s="306"/>
      <c r="KZU3" s="306"/>
      <c r="KZV3" s="306"/>
      <c r="KZW3" s="306"/>
      <c r="KZX3" s="306"/>
      <c r="KZY3" s="306"/>
      <c r="KZZ3" s="306"/>
      <c r="LAA3" s="306"/>
      <c r="LAB3" s="306"/>
      <c r="LAC3" s="306"/>
      <c r="LAD3" s="306"/>
      <c r="LAE3" s="306"/>
      <c r="LAF3" s="306"/>
      <c r="LAG3" s="306"/>
      <c r="LAH3" s="306"/>
      <c r="LAI3" s="306"/>
      <c r="LAJ3" s="306"/>
      <c r="LAK3" s="306"/>
      <c r="LAL3" s="306"/>
      <c r="LAM3" s="306"/>
      <c r="LAN3" s="306"/>
      <c r="LAO3" s="306"/>
      <c r="LAP3" s="306"/>
      <c r="LAQ3" s="306"/>
      <c r="LAR3" s="306"/>
      <c r="LAS3" s="306"/>
      <c r="LAT3" s="306"/>
      <c r="LAU3" s="306"/>
      <c r="LAV3" s="306"/>
      <c r="LAW3" s="306"/>
      <c r="LAX3" s="306"/>
      <c r="LAY3" s="306"/>
      <c r="LAZ3" s="306"/>
      <c r="LBA3" s="306"/>
      <c r="LBB3" s="306"/>
      <c r="LBC3" s="306"/>
      <c r="LBD3" s="306"/>
      <c r="LBE3" s="306"/>
      <c r="LBF3" s="306"/>
      <c r="LBG3" s="306"/>
      <c r="LBH3" s="306"/>
      <c r="LBI3" s="306"/>
      <c r="LBJ3" s="306"/>
      <c r="LBK3" s="306"/>
      <c r="LBL3" s="306"/>
      <c r="LBM3" s="306"/>
      <c r="LBN3" s="306"/>
      <c r="LBO3" s="306"/>
      <c r="LBP3" s="306"/>
      <c r="LBQ3" s="306"/>
      <c r="LBR3" s="306"/>
      <c r="LBS3" s="306"/>
      <c r="LBT3" s="306"/>
      <c r="LBU3" s="306"/>
      <c r="LBV3" s="306"/>
      <c r="LBW3" s="306"/>
      <c r="LBX3" s="306"/>
      <c r="LBY3" s="306"/>
      <c r="LBZ3" s="306"/>
      <c r="LCA3" s="306"/>
      <c r="LCB3" s="306"/>
      <c r="LCC3" s="306"/>
      <c r="LCD3" s="306"/>
      <c r="LCE3" s="306"/>
      <c r="LCF3" s="306"/>
      <c r="LCG3" s="306"/>
      <c r="LCH3" s="306"/>
      <c r="LCI3" s="306"/>
      <c r="LCJ3" s="306"/>
      <c r="LCK3" s="306"/>
      <c r="LCL3" s="306"/>
      <c r="LCM3" s="306"/>
      <c r="LCN3" s="306"/>
      <c r="LCO3" s="306"/>
      <c r="LCP3" s="306"/>
      <c r="LCQ3" s="306"/>
      <c r="LCR3" s="306"/>
      <c r="LCS3" s="306"/>
      <c r="LCT3" s="306"/>
      <c r="LCU3" s="306"/>
      <c r="LCV3" s="306"/>
      <c r="LCW3" s="306"/>
      <c r="LCX3" s="306"/>
      <c r="LCY3" s="306"/>
      <c r="LCZ3" s="306"/>
      <c r="LDA3" s="306"/>
      <c r="LDB3" s="306"/>
      <c r="LDC3" s="306"/>
      <c r="LDD3" s="306"/>
      <c r="LDE3" s="306"/>
      <c r="LDF3" s="306"/>
      <c r="LDG3" s="306"/>
      <c r="LDH3" s="306"/>
      <c r="LDI3" s="306"/>
      <c r="LDJ3" s="306"/>
      <c r="LDK3" s="306"/>
      <c r="LDL3" s="306"/>
      <c r="LDM3" s="306"/>
      <c r="LDN3" s="306"/>
      <c r="LDO3" s="306"/>
      <c r="LDP3" s="306"/>
      <c r="LDQ3" s="306"/>
      <c r="LDR3" s="306"/>
      <c r="LDS3" s="306"/>
      <c r="LDT3" s="306"/>
      <c r="LDU3" s="306"/>
      <c r="LDV3" s="306"/>
      <c r="LDW3" s="306"/>
      <c r="LDX3" s="306"/>
      <c r="LDY3" s="306"/>
      <c r="LDZ3" s="306"/>
      <c r="LEA3" s="306"/>
      <c r="LEB3" s="306"/>
      <c r="LEC3" s="306"/>
      <c r="LED3" s="306"/>
      <c r="LEE3" s="306"/>
      <c r="LEF3" s="306"/>
      <c r="LEG3" s="306"/>
      <c r="LEH3" s="306"/>
      <c r="LEI3" s="306"/>
      <c r="LEJ3" s="306"/>
      <c r="LEK3" s="306"/>
      <c r="LEL3" s="306"/>
      <c r="LEM3" s="306"/>
      <c r="LEN3" s="306"/>
      <c r="LEO3" s="306"/>
      <c r="LEP3" s="306"/>
      <c r="LEQ3" s="306"/>
      <c r="LER3" s="306"/>
      <c r="LES3" s="306"/>
      <c r="LET3" s="306"/>
      <c r="LEU3" s="306"/>
      <c r="LEV3" s="306"/>
      <c r="LEW3" s="306"/>
      <c r="LEX3" s="306"/>
      <c r="LEY3" s="306"/>
      <c r="LEZ3" s="306"/>
      <c r="LFA3" s="306"/>
      <c r="LFB3" s="306"/>
      <c r="LFC3" s="306"/>
      <c r="LFD3" s="306"/>
      <c r="LFE3" s="306"/>
      <c r="LFF3" s="306"/>
      <c r="LFG3" s="306"/>
      <c r="LFH3" s="306"/>
      <c r="LFI3" s="306"/>
      <c r="LFJ3" s="306"/>
      <c r="LFK3" s="306"/>
      <c r="LFL3" s="306"/>
      <c r="LFM3" s="306"/>
      <c r="LFN3" s="306"/>
      <c r="LFO3" s="306"/>
      <c r="LFP3" s="306"/>
      <c r="LFQ3" s="306"/>
      <c r="LFR3" s="306"/>
      <c r="LFS3" s="306"/>
      <c r="LFT3" s="306"/>
      <c r="LFU3" s="306"/>
      <c r="LFV3" s="306"/>
      <c r="LFW3" s="306"/>
      <c r="LFX3" s="306"/>
      <c r="LFY3" s="306"/>
      <c r="LFZ3" s="306"/>
      <c r="LGA3" s="306"/>
      <c r="LGB3" s="306"/>
      <c r="LGC3" s="306"/>
      <c r="LGD3" s="306"/>
      <c r="LGE3" s="306"/>
      <c r="LGF3" s="306"/>
      <c r="LGG3" s="306"/>
      <c r="LGH3" s="306"/>
      <c r="LGI3" s="306"/>
      <c r="LGJ3" s="306"/>
      <c r="LGK3" s="306"/>
      <c r="LGL3" s="306"/>
      <c r="LGM3" s="306"/>
      <c r="LGN3" s="306"/>
      <c r="LGO3" s="306"/>
      <c r="LGP3" s="306"/>
      <c r="LGQ3" s="306"/>
      <c r="LGR3" s="306"/>
      <c r="LGS3" s="306"/>
      <c r="LGT3" s="306"/>
      <c r="LGU3" s="306"/>
      <c r="LGV3" s="306"/>
      <c r="LGW3" s="306"/>
      <c r="LGX3" s="306"/>
      <c r="LGY3" s="306"/>
      <c r="LGZ3" s="306"/>
      <c r="LHA3" s="306"/>
      <c r="LHB3" s="306"/>
      <c r="LHC3" s="306"/>
      <c r="LHD3" s="306"/>
      <c r="LHE3" s="306"/>
      <c r="LHF3" s="306"/>
      <c r="LHG3" s="306"/>
      <c r="LHH3" s="306"/>
      <c r="LHI3" s="306"/>
      <c r="LHJ3" s="306"/>
      <c r="LHK3" s="306"/>
      <c r="LHL3" s="306"/>
      <c r="LHM3" s="306"/>
      <c r="LHN3" s="306"/>
      <c r="LHO3" s="306"/>
      <c r="LHP3" s="306"/>
      <c r="LHQ3" s="306"/>
      <c r="LHR3" s="306"/>
      <c r="LHS3" s="306"/>
      <c r="LHT3" s="306"/>
      <c r="LHU3" s="306"/>
      <c r="LHV3" s="306"/>
      <c r="LHW3" s="306"/>
      <c r="LHX3" s="306"/>
      <c r="LHY3" s="306"/>
      <c r="LHZ3" s="306"/>
      <c r="LIA3" s="306"/>
      <c r="LIB3" s="306"/>
      <c r="LIC3" s="306"/>
      <c r="LID3" s="306"/>
      <c r="LIE3" s="306"/>
      <c r="LIF3" s="306"/>
      <c r="LIG3" s="306"/>
      <c r="LIH3" s="306"/>
      <c r="LII3" s="306"/>
      <c r="LIJ3" s="306"/>
      <c r="LIK3" s="306"/>
      <c r="LIL3" s="306"/>
      <c r="LIM3" s="306"/>
      <c r="LIN3" s="306"/>
      <c r="LIO3" s="306"/>
      <c r="LIP3" s="306"/>
      <c r="LIQ3" s="306"/>
      <c r="LIR3" s="306"/>
      <c r="LIS3" s="306"/>
      <c r="LIT3" s="306"/>
      <c r="LIU3" s="306"/>
      <c r="LIV3" s="306"/>
      <c r="LIW3" s="306"/>
      <c r="LIX3" s="306"/>
      <c r="LIY3" s="306"/>
      <c r="LIZ3" s="306"/>
      <c r="LJA3" s="306"/>
      <c r="LJB3" s="306"/>
      <c r="LJC3" s="306"/>
      <c r="LJD3" s="306"/>
      <c r="LJE3" s="306"/>
      <c r="LJF3" s="306"/>
      <c r="LJG3" s="306"/>
      <c r="LJH3" s="306"/>
      <c r="LJI3" s="306"/>
      <c r="LJJ3" s="306"/>
      <c r="LJK3" s="306"/>
      <c r="LJL3" s="306"/>
      <c r="LJM3" s="306"/>
      <c r="LJN3" s="306"/>
      <c r="LJO3" s="306"/>
      <c r="LJP3" s="306"/>
      <c r="LJQ3" s="306"/>
      <c r="LJR3" s="306"/>
      <c r="LJS3" s="306"/>
      <c r="LJT3" s="306"/>
      <c r="LJU3" s="306"/>
      <c r="LJV3" s="306"/>
      <c r="LJW3" s="306"/>
      <c r="LJX3" s="306"/>
      <c r="LJY3" s="306"/>
      <c r="LJZ3" s="306"/>
      <c r="LKA3" s="306"/>
      <c r="LKB3" s="306"/>
      <c r="LKC3" s="306"/>
      <c r="LKD3" s="306"/>
      <c r="LKE3" s="306"/>
      <c r="LKF3" s="306"/>
      <c r="LKG3" s="306"/>
      <c r="LKH3" s="306"/>
      <c r="LKI3" s="306"/>
      <c r="LKJ3" s="306"/>
      <c r="LKK3" s="306"/>
      <c r="LKL3" s="306"/>
      <c r="LKM3" s="306"/>
      <c r="LKN3" s="306"/>
      <c r="LKO3" s="306"/>
      <c r="LKP3" s="306"/>
      <c r="LKQ3" s="306"/>
      <c r="LKR3" s="306"/>
      <c r="LKS3" s="306"/>
      <c r="LKT3" s="306"/>
      <c r="LKU3" s="306"/>
      <c r="LKV3" s="306"/>
      <c r="LKW3" s="306"/>
      <c r="LKX3" s="306"/>
      <c r="LKY3" s="306"/>
      <c r="LKZ3" s="306"/>
      <c r="LLA3" s="306"/>
      <c r="LLB3" s="306"/>
      <c r="LLC3" s="306"/>
      <c r="LLD3" s="306"/>
      <c r="LLE3" s="306"/>
      <c r="LLF3" s="306"/>
      <c r="LLG3" s="306"/>
      <c r="LLH3" s="306"/>
      <c r="LLI3" s="306"/>
      <c r="LLJ3" s="306"/>
      <c r="LLK3" s="306"/>
      <c r="LLL3" s="306"/>
      <c r="LLM3" s="306"/>
      <c r="LLN3" s="306"/>
      <c r="LLO3" s="306"/>
      <c r="LLP3" s="306"/>
      <c r="LLQ3" s="306"/>
      <c r="LLR3" s="306"/>
      <c r="LLS3" s="306"/>
      <c r="LLT3" s="306"/>
      <c r="LLU3" s="306"/>
      <c r="LLV3" s="306"/>
      <c r="LLW3" s="306"/>
      <c r="LLX3" s="306"/>
      <c r="LLY3" s="306"/>
      <c r="LLZ3" s="306"/>
      <c r="LMA3" s="306"/>
      <c r="LMB3" s="306"/>
      <c r="LMC3" s="306"/>
      <c r="LMD3" s="306"/>
      <c r="LME3" s="306"/>
      <c r="LMF3" s="306"/>
      <c r="LMG3" s="306"/>
      <c r="LMH3" s="306"/>
      <c r="LMI3" s="306"/>
      <c r="LMJ3" s="306"/>
      <c r="LMK3" s="306"/>
      <c r="LML3" s="306"/>
      <c r="LMM3" s="306"/>
      <c r="LMN3" s="306"/>
      <c r="LMO3" s="306"/>
      <c r="LMP3" s="306"/>
      <c r="LMQ3" s="306"/>
      <c r="LMR3" s="306"/>
      <c r="LMS3" s="306"/>
      <c r="LMT3" s="306"/>
      <c r="LMU3" s="306"/>
      <c r="LMV3" s="306"/>
      <c r="LMW3" s="306"/>
      <c r="LMX3" s="306"/>
      <c r="LMY3" s="306"/>
      <c r="LMZ3" s="306"/>
      <c r="LNA3" s="306"/>
      <c r="LNB3" s="306"/>
      <c r="LNC3" s="306"/>
      <c r="LND3" s="306"/>
      <c r="LNE3" s="306"/>
      <c r="LNF3" s="306"/>
      <c r="LNG3" s="306"/>
      <c r="LNH3" s="306"/>
      <c r="LNI3" s="306"/>
      <c r="LNJ3" s="306"/>
      <c r="LNK3" s="306"/>
      <c r="LNL3" s="306"/>
      <c r="LNM3" s="306"/>
      <c r="LNN3" s="306"/>
      <c r="LNO3" s="306"/>
      <c r="LNP3" s="306"/>
      <c r="LNQ3" s="306"/>
      <c r="LNR3" s="306"/>
      <c r="LNS3" s="306"/>
      <c r="LNT3" s="306"/>
      <c r="LNU3" s="306"/>
      <c r="LNV3" s="306"/>
      <c r="LNW3" s="306"/>
      <c r="LNX3" s="306"/>
      <c r="LNY3" s="306"/>
      <c r="LNZ3" s="306"/>
      <c r="LOA3" s="306"/>
      <c r="LOB3" s="306"/>
      <c r="LOC3" s="306"/>
      <c r="LOD3" s="306"/>
      <c r="LOE3" s="306"/>
      <c r="LOF3" s="306"/>
      <c r="LOG3" s="306"/>
      <c r="LOH3" s="306"/>
      <c r="LOI3" s="306"/>
      <c r="LOJ3" s="306"/>
      <c r="LOK3" s="306"/>
      <c r="LOL3" s="306"/>
      <c r="LOM3" s="306"/>
      <c r="LON3" s="306"/>
      <c r="LOO3" s="306"/>
      <c r="LOP3" s="306"/>
      <c r="LOQ3" s="306"/>
      <c r="LOR3" s="306"/>
      <c r="LOS3" s="306"/>
      <c r="LOT3" s="306"/>
      <c r="LOU3" s="306"/>
      <c r="LOV3" s="306"/>
      <c r="LOW3" s="306"/>
      <c r="LOX3" s="306"/>
      <c r="LOY3" s="306"/>
      <c r="LOZ3" s="306"/>
      <c r="LPA3" s="306"/>
      <c r="LPB3" s="306"/>
      <c r="LPC3" s="306"/>
      <c r="LPD3" s="306"/>
      <c r="LPE3" s="306"/>
      <c r="LPF3" s="306"/>
      <c r="LPG3" s="306"/>
      <c r="LPH3" s="306"/>
      <c r="LPI3" s="306"/>
      <c r="LPJ3" s="306"/>
      <c r="LPK3" s="306"/>
      <c r="LPL3" s="306"/>
      <c r="LPM3" s="306"/>
      <c r="LPN3" s="306"/>
      <c r="LPO3" s="306"/>
      <c r="LPP3" s="306"/>
      <c r="LPQ3" s="306"/>
      <c r="LPR3" s="306"/>
      <c r="LPS3" s="306"/>
      <c r="LPT3" s="306"/>
      <c r="LPU3" s="306"/>
      <c r="LPV3" s="306"/>
      <c r="LPW3" s="306"/>
      <c r="LPX3" s="306"/>
      <c r="LPY3" s="306"/>
      <c r="LPZ3" s="306"/>
      <c r="LQA3" s="306"/>
      <c r="LQB3" s="306"/>
      <c r="LQC3" s="306"/>
      <c r="LQD3" s="306"/>
      <c r="LQE3" s="306"/>
      <c r="LQF3" s="306"/>
      <c r="LQG3" s="306"/>
      <c r="LQH3" s="306"/>
      <c r="LQI3" s="306"/>
      <c r="LQJ3" s="306"/>
      <c r="LQK3" s="306"/>
      <c r="LQL3" s="306"/>
      <c r="LQM3" s="306"/>
      <c r="LQN3" s="306"/>
      <c r="LQO3" s="306"/>
      <c r="LQP3" s="306"/>
      <c r="LQQ3" s="306"/>
      <c r="LQR3" s="306"/>
      <c r="LQS3" s="306"/>
      <c r="LQT3" s="306"/>
      <c r="LQU3" s="306"/>
      <c r="LQV3" s="306"/>
      <c r="LQW3" s="306"/>
      <c r="LQX3" s="306"/>
      <c r="LQY3" s="306"/>
      <c r="LQZ3" s="306"/>
      <c r="LRA3" s="306"/>
      <c r="LRB3" s="306"/>
      <c r="LRC3" s="306"/>
      <c r="LRD3" s="306"/>
      <c r="LRE3" s="306"/>
      <c r="LRF3" s="306"/>
      <c r="LRG3" s="306"/>
      <c r="LRH3" s="306"/>
      <c r="LRI3" s="306"/>
      <c r="LRJ3" s="306"/>
      <c r="LRK3" s="306"/>
      <c r="LRL3" s="306"/>
      <c r="LRM3" s="306"/>
      <c r="LRN3" s="306"/>
      <c r="LRO3" s="306"/>
      <c r="LRP3" s="306"/>
      <c r="LRQ3" s="306"/>
      <c r="LRR3" s="306"/>
      <c r="LRS3" s="306"/>
      <c r="LRT3" s="306"/>
      <c r="LRU3" s="306"/>
      <c r="LRV3" s="306"/>
      <c r="LRW3" s="306"/>
      <c r="LRX3" s="306"/>
      <c r="LRY3" s="306"/>
      <c r="LRZ3" s="306"/>
      <c r="LSA3" s="306"/>
      <c r="LSB3" s="306"/>
      <c r="LSC3" s="306"/>
      <c r="LSD3" s="306"/>
      <c r="LSE3" s="306"/>
      <c r="LSF3" s="306"/>
      <c r="LSG3" s="306"/>
      <c r="LSH3" s="306"/>
      <c r="LSI3" s="306"/>
      <c r="LSJ3" s="306"/>
      <c r="LSK3" s="306"/>
      <c r="LSL3" s="306"/>
      <c r="LSM3" s="306"/>
      <c r="LSN3" s="306"/>
      <c r="LSO3" s="306"/>
      <c r="LSP3" s="306"/>
      <c r="LSQ3" s="306"/>
      <c r="LSR3" s="306"/>
      <c r="LSS3" s="306"/>
      <c r="LST3" s="306"/>
      <c r="LSU3" s="306"/>
      <c r="LSV3" s="306"/>
      <c r="LSW3" s="306"/>
      <c r="LSX3" s="306"/>
      <c r="LSY3" s="306"/>
      <c r="LSZ3" s="306"/>
      <c r="LTA3" s="306"/>
      <c r="LTB3" s="306"/>
      <c r="LTC3" s="306"/>
      <c r="LTD3" s="306"/>
      <c r="LTE3" s="306"/>
      <c r="LTF3" s="306"/>
      <c r="LTG3" s="306"/>
      <c r="LTH3" s="306"/>
      <c r="LTI3" s="306"/>
      <c r="LTJ3" s="306"/>
      <c r="LTK3" s="306"/>
      <c r="LTL3" s="306"/>
      <c r="LTM3" s="306"/>
      <c r="LTN3" s="306"/>
      <c r="LTO3" s="306"/>
      <c r="LTP3" s="306"/>
      <c r="LTQ3" s="306"/>
      <c r="LTR3" s="306"/>
      <c r="LTS3" s="306"/>
      <c r="LTT3" s="306"/>
      <c r="LTU3" s="306"/>
      <c r="LTV3" s="306"/>
      <c r="LTW3" s="306"/>
      <c r="LTX3" s="306"/>
      <c r="LTY3" s="306"/>
      <c r="LTZ3" s="306"/>
      <c r="LUA3" s="306"/>
      <c r="LUB3" s="306"/>
      <c r="LUC3" s="306"/>
      <c r="LUD3" s="306"/>
      <c r="LUE3" s="306"/>
      <c r="LUF3" s="306"/>
      <c r="LUG3" s="306"/>
      <c r="LUH3" s="306"/>
      <c r="LUI3" s="306"/>
      <c r="LUJ3" s="306"/>
      <c r="LUK3" s="306"/>
      <c r="LUL3" s="306"/>
      <c r="LUM3" s="306"/>
      <c r="LUN3" s="306"/>
      <c r="LUO3" s="306"/>
      <c r="LUP3" s="306"/>
      <c r="LUQ3" s="306"/>
      <c r="LUR3" s="306"/>
      <c r="LUS3" s="306"/>
      <c r="LUT3" s="306"/>
      <c r="LUU3" s="306"/>
      <c r="LUV3" s="306"/>
      <c r="LUW3" s="306"/>
      <c r="LUX3" s="306"/>
      <c r="LUY3" s="306"/>
      <c r="LUZ3" s="306"/>
      <c r="LVA3" s="306"/>
      <c r="LVB3" s="306"/>
      <c r="LVC3" s="306"/>
      <c r="LVD3" s="306"/>
      <c r="LVE3" s="306"/>
      <c r="LVF3" s="306"/>
      <c r="LVG3" s="306"/>
      <c r="LVH3" s="306"/>
      <c r="LVI3" s="306"/>
      <c r="LVJ3" s="306"/>
      <c r="LVK3" s="306"/>
      <c r="LVL3" s="306"/>
      <c r="LVM3" s="306"/>
      <c r="LVN3" s="306"/>
      <c r="LVO3" s="306"/>
      <c r="LVP3" s="306"/>
      <c r="LVQ3" s="306"/>
      <c r="LVR3" s="306"/>
      <c r="LVS3" s="306"/>
      <c r="LVT3" s="306"/>
      <c r="LVU3" s="306"/>
      <c r="LVV3" s="306"/>
      <c r="LVW3" s="306"/>
      <c r="LVX3" s="306"/>
      <c r="LVY3" s="306"/>
      <c r="LVZ3" s="306"/>
      <c r="LWA3" s="306"/>
      <c r="LWB3" s="306"/>
      <c r="LWC3" s="306"/>
      <c r="LWD3" s="306"/>
      <c r="LWE3" s="306"/>
      <c r="LWF3" s="306"/>
      <c r="LWG3" s="306"/>
      <c r="LWH3" s="306"/>
      <c r="LWI3" s="306"/>
      <c r="LWJ3" s="306"/>
      <c r="LWK3" s="306"/>
      <c r="LWL3" s="306"/>
      <c r="LWM3" s="306"/>
      <c r="LWN3" s="306"/>
      <c r="LWO3" s="306"/>
      <c r="LWP3" s="306"/>
      <c r="LWQ3" s="306"/>
      <c r="LWR3" s="306"/>
      <c r="LWS3" s="306"/>
      <c r="LWT3" s="306"/>
      <c r="LWU3" s="306"/>
      <c r="LWV3" s="306"/>
      <c r="LWW3" s="306"/>
      <c r="LWX3" s="306"/>
      <c r="LWY3" s="306"/>
      <c r="LWZ3" s="306"/>
      <c r="LXA3" s="306"/>
      <c r="LXB3" s="306"/>
      <c r="LXC3" s="306"/>
      <c r="LXD3" s="306"/>
      <c r="LXE3" s="306"/>
      <c r="LXF3" s="306"/>
      <c r="LXG3" s="306"/>
      <c r="LXH3" s="306"/>
      <c r="LXI3" s="306"/>
      <c r="LXJ3" s="306"/>
      <c r="LXK3" s="306"/>
      <c r="LXL3" s="306"/>
      <c r="LXM3" s="306"/>
      <c r="LXN3" s="306"/>
      <c r="LXO3" s="306"/>
      <c r="LXP3" s="306"/>
      <c r="LXQ3" s="306"/>
      <c r="LXR3" s="306"/>
      <c r="LXS3" s="306"/>
      <c r="LXT3" s="306"/>
      <c r="LXU3" s="306"/>
      <c r="LXV3" s="306"/>
      <c r="LXW3" s="306"/>
      <c r="LXX3" s="306"/>
      <c r="LXY3" s="306"/>
      <c r="LXZ3" s="306"/>
      <c r="LYA3" s="306"/>
      <c r="LYB3" s="306"/>
      <c r="LYC3" s="306"/>
      <c r="LYD3" s="306"/>
      <c r="LYE3" s="306"/>
      <c r="LYF3" s="306"/>
      <c r="LYG3" s="306"/>
      <c r="LYH3" s="306"/>
      <c r="LYI3" s="306"/>
      <c r="LYJ3" s="306"/>
      <c r="LYK3" s="306"/>
      <c r="LYL3" s="306"/>
      <c r="LYM3" s="306"/>
      <c r="LYN3" s="306"/>
      <c r="LYO3" s="306"/>
      <c r="LYP3" s="306"/>
      <c r="LYQ3" s="306"/>
      <c r="LYR3" s="306"/>
      <c r="LYS3" s="306"/>
      <c r="LYT3" s="306"/>
      <c r="LYU3" s="306"/>
      <c r="LYV3" s="306"/>
      <c r="LYW3" s="306"/>
      <c r="LYX3" s="306"/>
      <c r="LYY3" s="306"/>
      <c r="LYZ3" s="306"/>
      <c r="LZA3" s="306"/>
      <c r="LZB3" s="306"/>
      <c r="LZC3" s="306"/>
      <c r="LZD3" s="306"/>
      <c r="LZE3" s="306"/>
      <c r="LZF3" s="306"/>
      <c r="LZG3" s="306"/>
      <c r="LZH3" s="306"/>
      <c r="LZI3" s="306"/>
      <c r="LZJ3" s="306"/>
      <c r="LZK3" s="306"/>
      <c r="LZL3" s="306"/>
      <c r="LZM3" s="306"/>
      <c r="LZN3" s="306"/>
      <c r="LZO3" s="306"/>
      <c r="LZP3" s="306"/>
      <c r="LZQ3" s="306"/>
      <c r="LZR3" s="306"/>
      <c r="LZS3" s="306"/>
      <c r="LZT3" s="306"/>
      <c r="LZU3" s="306"/>
      <c r="LZV3" s="306"/>
      <c r="LZW3" s="306"/>
      <c r="LZX3" s="306"/>
      <c r="LZY3" s="306"/>
      <c r="LZZ3" s="306"/>
      <c r="MAA3" s="306"/>
      <c r="MAB3" s="306"/>
      <c r="MAC3" s="306"/>
      <c r="MAD3" s="306"/>
      <c r="MAE3" s="306"/>
      <c r="MAF3" s="306"/>
      <c r="MAG3" s="306"/>
      <c r="MAH3" s="306"/>
      <c r="MAI3" s="306"/>
      <c r="MAJ3" s="306"/>
      <c r="MAK3" s="306"/>
      <c r="MAL3" s="306"/>
      <c r="MAM3" s="306"/>
      <c r="MAN3" s="306"/>
      <c r="MAO3" s="306"/>
      <c r="MAP3" s="306"/>
      <c r="MAQ3" s="306"/>
      <c r="MAR3" s="306"/>
      <c r="MAS3" s="306"/>
      <c r="MAT3" s="306"/>
      <c r="MAU3" s="306"/>
      <c r="MAV3" s="306"/>
      <c r="MAW3" s="306"/>
      <c r="MAX3" s="306"/>
      <c r="MAY3" s="306"/>
      <c r="MAZ3" s="306"/>
      <c r="MBA3" s="306"/>
      <c r="MBB3" s="306"/>
      <c r="MBC3" s="306"/>
      <c r="MBD3" s="306"/>
      <c r="MBE3" s="306"/>
      <c r="MBF3" s="306"/>
      <c r="MBG3" s="306"/>
      <c r="MBH3" s="306"/>
      <c r="MBI3" s="306"/>
      <c r="MBJ3" s="306"/>
      <c r="MBK3" s="306"/>
      <c r="MBL3" s="306"/>
      <c r="MBM3" s="306"/>
      <c r="MBN3" s="306"/>
      <c r="MBO3" s="306"/>
      <c r="MBP3" s="306"/>
      <c r="MBQ3" s="306"/>
      <c r="MBR3" s="306"/>
      <c r="MBS3" s="306"/>
      <c r="MBT3" s="306"/>
      <c r="MBU3" s="306"/>
      <c r="MBV3" s="306"/>
      <c r="MBW3" s="306"/>
      <c r="MBX3" s="306"/>
      <c r="MBY3" s="306"/>
      <c r="MBZ3" s="306"/>
      <c r="MCA3" s="306"/>
      <c r="MCB3" s="306"/>
      <c r="MCC3" s="306"/>
      <c r="MCD3" s="306"/>
      <c r="MCE3" s="306"/>
      <c r="MCF3" s="306"/>
      <c r="MCG3" s="306"/>
      <c r="MCH3" s="306"/>
      <c r="MCI3" s="306"/>
      <c r="MCJ3" s="306"/>
      <c r="MCK3" s="306"/>
      <c r="MCL3" s="306"/>
      <c r="MCM3" s="306"/>
      <c r="MCN3" s="306"/>
      <c r="MCO3" s="306"/>
      <c r="MCP3" s="306"/>
      <c r="MCQ3" s="306"/>
      <c r="MCR3" s="306"/>
      <c r="MCS3" s="306"/>
      <c r="MCT3" s="306"/>
      <c r="MCU3" s="306"/>
      <c r="MCV3" s="306"/>
      <c r="MCW3" s="306"/>
      <c r="MCX3" s="306"/>
      <c r="MCY3" s="306"/>
      <c r="MCZ3" s="306"/>
      <c r="MDA3" s="306"/>
      <c r="MDB3" s="306"/>
      <c r="MDC3" s="306"/>
      <c r="MDD3" s="306"/>
      <c r="MDE3" s="306"/>
      <c r="MDF3" s="306"/>
      <c r="MDG3" s="306"/>
      <c r="MDH3" s="306"/>
      <c r="MDI3" s="306"/>
      <c r="MDJ3" s="306"/>
      <c r="MDK3" s="306"/>
      <c r="MDL3" s="306"/>
      <c r="MDM3" s="306"/>
      <c r="MDN3" s="306"/>
      <c r="MDO3" s="306"/>
      <c r="MDP3" s="306"/>
      <c r="MDQ3" s="306"/>
      <c r="MDR3" s="306"/>
      <c r="MDS3" s="306"/>
      <c r="MDT3" s="306"/>
      <c r="MDU3" s="306"/>
      <c r="MDV3" s="306"/>
      <c r="MDW3" s="306"/>
      <c r="MDX3" s="306"/>
      <c r="MDY3" s="306"/>
      <c r="MDZ3" s="306"/>
      <c r="MEA3" s="306"/>
      <c r="MEB3" s="306"/>
      <c r="MEC3" s="306"/>
      <c r="MED3" s="306"/>
      <c r="MEE3" s="306"/>
      <c r="MEF3" s="306"/>
      <c r="MEG3" s="306"/>
      <c r="MEH3" s="306"/>
      <c r="MEI3" s="306"/>
      <c r="MEJ3" s="306"/>
      <c r="MEK3" s="306"/>
      <c r="MEL3" s="306"/>
      <c r="MEM3" s="306"/>
      <c r="MEN3" s="306"/>
      <c r="MEO3" s="306"/>
      <c r="MEP3" s="306"/>
      <c r="MEQ3" s="306"/>
      <c r="MER3" s="306"/>
      <c r="MES3" s="306"/>
      <c r="MET3" s="306"/>
      <c r="MEU3" s="306"/>
      <c r="MEV3" s="306"/>
      <c r="MEW3" s="306"/>
      <c r="MEX3" s="306"/>
      <c r="MEY3" s="306"/>
      <c r="MEZ3" s="306"/>
      <c r="MFA3" s="306"/>
      <c r="MFB3" s="306"/>
      <c r="MFC3" s="306"/>
      <c r="MFD3" s="306"/>
      <c r="MFE3" s="306"/>
      <c r="MFF3" s="306"/>
      <c r="MFG3" s="306"/>
      <c r="MFH3" s="306"/>
      <c r="MFI3" s="306"/>
      <c r="MFJ3" s="306"/>
      <c r="MFK3" s="306"/>
      <c r="MFL3" s="306"/>
      <c r="MFM3" s="306"/>
      <c r="MFN3" s="306"/>
      <c r="MFO3" s="306"/>
      <c r="MFP3" s="306"/>
      <c r="MFQ3" s="306"/>
      <c r="MFR3" s="306"/>
      <c r="MFS3" s="306"/>
      <c r="MFT3" s="306"/>
      <c r="MFU3" s="306"/>
      <c r="MFV3" s="306"/>
      <c r="MFW3" s="306"/>
      <c r="MFX3" s="306"/>
      <c r="MFY3" s="306"/>
      <c r="MFZ3" s="306"/>
      <c r="MGA3" s="306"/>
      <c r="MGB3" s="306"/>
      <c r="MGC3" s="306"/>
      <c r="MGD3" s="306"/>
      <c r="MGE3" s="306"/>
      <c r="MGF3" s="306"/>
      <c r="MGG3" s="306"/>
      <c r="MGH3" s="306"/>
      <c r="MGI3" s="306"/>
      <c r="MGJ3" s="306"/>
      <c r="MGK3" s="306"/>
      <c r="MGL3" s="306"/>
      <c r="MGM3" s="306"/>
      <c r="MGN3" s="306"/>
      <c r="MGO3" s="306"/>
      <c r="MGP3" s="306"/>
      <c r="MGQ3" s="306"/>
      <c r="MGR3" s="306"/>
      <c r="MGS3" s="306"/>
      <c r="MGT3" s="306"/>
      <c r="MGU3" s="306"/>
      <c r="MGV3" s="306"/>
      <c r="MGW3" s="306"/>
      <c r="MGX3" s="306"/>
      <c r="MGY3" s="306"/>
      <c r="MGZ3" s="306"/>
      <c r="MHA3" s="306"/>
      <c r="MHB3" s="306"/>
      <c r="MHC3" s="306"/>
      <c r="MHD3" s="306"/>
      <c r="MHE3" s="306"/>
      <c r="MHF3" s="306"/>
      <c r="MHG3" s="306"/>
      <c r="MHH3" s="306"/>
      <c r="MHI3" s="306"/>
      <c r="MHJ3" s="306"/>
      <c r="MHK3" s="306"/>
      <c r="MHL3" s="306"/>
      <c r="MHM3" s="306"/>
      <c r="MHN3" s="306"/>
      <c r="MHO3" s="306"/>
      <c r="MHP3" s="306"/>
      <c r="MHQ3" s="306"/>
      <c r="MHR3" s="306"/>
      <c r="MHS3" s="306"/>
      <c r="MHT3" s="306"/>
      <c r="MHU3" s="306"/>
      <c r="MHV3" s="306"/>
      <c r="MHW3" s="306"/>
      <c r="MHX3" s="306"/>
      <c r="MHY3" s="306"/>
      <c r="MHZ3" s="306"/>
      <c r="MIA3" s="306"/>
      <c r="MIB3" s="306"/>
      <c r="MIC3" s="306"/>
      <c r="MID3" s="306"/>
      <c r="MIE3" s="306"/>
      <c r="MIF3" s="306"/>
      <c r="MIG3" s="306"/>
      <c r="MIH3" s="306"/>
      <c r="MII3" s="306"/>
      <c r="MIJ3" s="306"/>
      <c r="MIK3" s="306"/>
      <c r="MIL3" s="306"/>
      <c r="MIM3" s="306"/>
      <c r="MIN3" s="306"/>
      <c r="MIO3" s="306"/>
      <c r="MIP3" s="306"/>
      <c r="MIQ3" s="306"/>
      <c r="MIR3" s="306"/>
      <c r="MIS3" s="306"/>
      <c r="MIT3" s="306"/>
      <c r="MIU3" s="306"/>
      <c r="MIV3" s="306"/>
      <c r="MIW3" s="306"/>
      <c r="MIX3" s="306"/>
      <c r="MIY3" s="306"/>
      <c r="MIZ3" s="306"/>
      <c r="MJA3" s="306"/>
      <c r="MJB3" s="306"/>
      <c r="MJC3" s="306"/>
      <c r="MJD3" s="306"/>
      <c r="MJE3" s="306"/>
      <c r="MJF3" s="306"/>
      <c r="MJG3" s="306"/>
      <c r="MJH3" s="306"/>
      <c r="MJI3" s="306"/>
      <c r="MJJ3" s="306"/>
      <c r="MJK3" s="306"/>
      <c r="MJL3" s="306"/>
      <c r="MJM3" s="306"/>
      <c r="MJN3" s="306"/>
      <c r="MJO3" s="306"/>
      <c r="MJP3" s="306"/>
      <c r="MJQ3" s="306"/>
      <c r="MJR3" s="306"/>
      <c r="MJS3" s="306"/>
      <c r="MJT3" s="306"/>
      <c r="MJU3" s="306"/>
      <c r="MJV3" s="306"/>
      <c r="MJW3" s="306"/>
      <c r="MJX3" s="306"/>
      <c r="MJY3" s="306"/>
      <c r="MJZ3" s="306"/>
      <c r="MKA3" s="306"/>
      <c r="MKB3" s="306"/>
      <c r="MKC3" s="306"/>
      <c r="MKD3" s="306"/>
      <c r="MKE3" s="306"/>
      <c r="MKF3" s="306"/>
      <c r="MKG3" s="306"/>
      <c r="MKH3" s="306"/>
      <c r="MKI3" s="306"/>
      <c r="MKJ3" s="306"/>
      <c r="MKK3" s="306"/>
      <c r="MKL3" s="306"/>
      <c r="MKM3" s="306"/>
      <c r="MKN3" s="306"/>
      <c r="MKO3" s="306"/>
      <c r="MKP3" s="306"/>
      <c r="MKQ3" s="306"/>
      <c r="MKR3" s="306"/>
      <c r="MKS3" s="306"/>
      <c r="MKT3" s="306"/>
      <c r="MKU3" s="306"/>
      <c r="MKV3" s="306"/>
      <c r="MKW3" s="306"/>
      <c r="MKX3" s="306"/>
      <c r="MKY3" s="306"/>
      <c r="MKZ3" s="306"/>
      <c r="MLA3" s="306"/>
      <c r="MLB3" s="306"/>
      <c r="MLC3" s="306"/>
      <c r="MLD3" s="306"/>
      <c r="MLE3" s="306"/>
      <c r="MLF3" s="306"/>
      <c r="MLG3" s="306"/>
      <c r="MLH3" s="306"/>
      <c r="MLI3" s="306"/>
      <c r="MLJ3" s="306"/>
      <c r="MLK3" s="306"/>
      <c r="MLL3" s="306"/>
      <c r="MLM3" s="306"/>
      <c r="MLN3" s="306"/>
      <c r="MLO3" s="306"/>
      <c r="MLP3" s="306"/>
      <c r="MLQ3" s="306"/>
      <c r="MLR3" s="306"/>
      <c r="MLS3" s="306"/>
      <c r="MLT3" s="306"/>
      <c r="MLU3" s="306"/>
      <c r="MLV3" s="306"/>
      <c r="MLW3" s="306"/>
      <c r="MLX3" s="306"/>
      <c r="MLY3" s="306"/>
      <c r="MLZ3" s="306"/>
      <c r="MMA3" s="306"/>
      <c r="MMB3" s="306"/>
      <c r="MMC3" s="306"/>
      <c r="MMD3" s="306"/>
      <c r="MME3" s="306"/>
      <c r="MMF3" s="306"/>
      <c r="MMG3" s="306"/>
      <c r="MMH3" s="306"/>
      <c r="MMI3" s="306"/>
      <c r="MMJ3" s="306"/>
      <c r="MMK3" s="306"/>
      <c r="MML3" s="306"/>
      <c r="MMM3" s="306"/>
      <c r="MMN3" s="306"/>
      <c r="MMO3" s="306"/>
      <c r="MMP3" s="306"/>
      <c r="MMQ3" s="306"/>
      <c r="MMR3" s="306"/>
      <c r="MMS3" s="306"/>
      <c r="MMT3" s="306"/>
      <c r="MMU3" s="306"/>
      <c r="MMV3" s="306"/>
      <c r="MMW3" s="306"/>
      <c r="MMX3" s="306"/>
      <c r="MMY3" s="306"/>
      <c r="MMZ3" s="306"/>
      <c r="MNA3" s="306"/>
      <c r="MNB3" s="306"/>
      <c r="MNC3" s="306"/>
      <c r="MND3" s="306"/>
      <c r="MNE3" s="306"/>
      <c r="MNF3" s="306"/>
      <c r="MNG3" s="306"/>
      <c r="MNH3" s="306"/>
      <c r="MNI3" s="306"/>
      <c r="MNJ3" s="306"/>
      <c r="MNK3" s="306"/>
      <c r="MNL3" s="306"/>
      <c r="MNM3" s="306"/>
      <c r="MNN3" s="306"/>
      <c r="MNO3" s="306"/>
      <c r="MNP3" s="306"/>
      <c r="MNQ3" s="306"/>
      <c r="MNR3" s="306"/>
      <c r="MNS3" s="306"/>
      <c r="MNT3" s="306"/>
      <c r="MNU3" s="306"/>
      <c r="MNV3" s="306"/>
      <c r="MNW3" s="306"/>
      <c r="MNX3" s="306"/>
      <c r="MNY3" s="306"/>
      <c r="MNZ3" s="306"/>
      <c r="MOA3" s="306"/>
      <c r="MOB3" s="306"/>
      <c r="MOC3" s="306"/>
      <c r="MOD3" s="306"/>
      <c r="MOE3" s="306"/>
      <c r="MOF3" s="306"/>
      <c r="MOG3" s="306"/>
      <c r="MOH3" s="306"/>
      <c r="MOI3" s="306"/>
      <c r="MOJ3" s="306"/>
      <c r="MOK3" s="306"/>
      <c r="MOL3" s="306"/>
      <c r="MOM3" s="306"/>
      <c r="MON3" s="306"/>
      <c r="MOO3" s="306"/>
      <c r="MOP3" s="306"/>
      <c r="MOQ3" s="306"/>
      <c r="MOR3" s="306"/>
      <c r="MOS3" s="306"/>
      <c r="MOT3" s="306"/>
      <c r="MOU3" s="306"/>
      <c r="MOV3" s="306"/>
      <c r="MOW3" s="306"/>
      <c r="MOX3" s="306"/>
      <c r="MOY3" s="306"/>
      <c r="MOZ3" s="306"/>
      <c r="MPA3" s="306"/>
      <c r="MPB3" s="306"/>
      <c r="MPC3" s="306"/>
      <c r="MPD3" s="306"/>
      <c r="MPE3" s="306"/>
      <c r="MPF3" s="306"/>
      <c r="MPG3" s="306"/>
      <c r="MPH3" s="306"/>
      <c r="MPI3" s="306"/>
      <c r="MPJ3" s="306"/>
      <c r="MPK3" s="306"/>
      <c r="MPL3" s="306"/>
      <c r="MPM3" s="306"/>
      <c r="MPN3" s="306"/>
      <c r="MPO3" s="306"/>
      <c r="MPP3" s="306"/>
      <c r="MPQ3" s="306"/>
      <c r="MPR3" s="306"/>
      <c r="MPS3" s="306"/>
      <c r="MPT3" s="306"/>
      <c r="MPU3" s="306"/>
      <c r="MPV3" s="306"/>
      <c r="MPW3" s="306"/>
      <c r="MPX3" s="306"/>
      <c r="MPY3" s="306"/>
      <c r="MPZ3" s="306"/>
      <c r="MQA3" s="306"/>
      <c r="MQB3" s="306"/>
      <c r="MQC3" s="306"/>
      <c r="MQD3" s="306"/>
      <c r="MQE3" s="306"/>
      <c r="MQF3" s="306"/>
      <c r="MQG3" s="306"/>
      <c r="MQH3" s="306"/>
      <c r="MQI3" s="306"/>
      <c r="MQJ3" s="306"/>
      <c r="MQK3" s="306"/>
      <c r="MQL3" s="306"/>
      <c r="MQM3" s="306"/>
      <c r="MQN3" s="306"/>
      <c r="MQO3" s="306"/>
      <c r="MQP3" s="306"/>
      <c r="MQQ3" s="306"/>
      <c r="MQR3" s="306"/>
      <c r="MQS3" s="306"/>
      <c r="MQT3" s="306"/>
      <c r="MQU3" s="306"/>
      <c r="MQV3" s="306"/>
      <c r="MQW3" s="306"/>
      <c r="MQX3" s="306"/>
      <c r="MQY3" s="306"/>
      <c r="MQZ3" s="306"/>
      <c r="MRA3" s="306"/>
      <c r="MRB3" s="306"/>
      <c r="MRC3" s="306"/>
      <c r="MRD3" s="306"/>
      <c r="MRE3" s="306"/>
      <c r="MRF3" s="306"/>
      <c r="MRG3" s="306"/>
      <c r="MRH3" s="306"/>
      <c r="MRI3" s="306"/>
      <c r="MRJ3" s="306"/>
      <c r="MRK3" s="306"/>
      <c r="MRL3" s="306"/>
      <c r="MRM3" s="306"/>
      <c r="MRN3" s="306"/>
      <c r="MRO3" s="306"/>
      <c r="MRP3" s="306"/>
      <c r="MRQ3" s="306"/>
      <c r="MRR3" s="306"/>
      <c r="MRS3" s="306"/>
      <c r="MRT3" s="306"/>
      <c r="MRU3" s="306"/>
      <c r="MRV3" s="306"/>
      <c r="MRW3" s="306"/>
      <c r="MRX3" s="306"/>
      <c r="MRY3" s="306"/>
      <c r="MRZ3" s="306"/>
      <c r="MSA3" s="306"/>
      <c r="MSB3" s="306"/>
      <c r="MSC3" s="306"/>
      <c r="MSD3" s="306"/>
      <c r="MSE3" s="306"/>
      <c r="MSF3" s="306"/>
      <c r="MSG3" s="306"/>
      <c r="MSH3" s="306"/>
      <c r="MSI3" s="306"/>
      <c r="MSJ3" s="306"/>
      <c r="MSK3" s="306"/>
      <c r="MSL3" s="306"/>
      <c r="MSM3" s="306"/>
      <c r="MSN3" s="306"/>
      <c r="MSO3" s="306"/>
      <c r="MSP3" s="306"/>
      <c r="MSQ3" s="306"/>
      <c r="MSR3" s="306"/>
      <c r="MSS3" s="306"/>
      <c r="MST3" s="306"/>
      <c r="MSU3" s="306"/>
      <c r="MSV3" s="306"/>
      <c r="MSW3" s="306"/>
      <c r="MSX3" s="306"/>
      <c r="MSY3" s="306"/>
      <c r="MSZ3" s="306"/>
      <c r="MTA3" s="306"/>
      <c r="MTB3" s="306"/>
      <c r="MTC3" s="306"/>
      <c r="MTD3" s="306"/>
      <c r="MTE3" s="306"/>
      <c r="MTF3" s="306"/>
      <c r="MTG3" s="306"/>
      <c r="MTH3" s="306"/>
      <c r="MTI3" s="306"/>
      <c r="MTJ3" s="306"/>
      <c r="MTK3" s="306"/>
      <c r="MTL3" s="306"/>
      <c r="MTM3" s="306"/>
      <c r="MTN3" s="306"/>
      <c r="MTO3" s="306"/>
      <c r="MTP3" s="306"/>
      <c r="MTQ3" s="306"/>
      <c r="MTR3" s="306"/>
      <c r="MTS3" s="306"/>
      <c r="MTT3" s="306"/>
      <c r="MTU3" s="306"/>
      <c r="MTV3" s="306"/>
      <c r="MTW3" s="306"/>
      <c r="MTX3" s="306"/>
      <c r="MTY3" s="306"/>
      <c r="MTZ3" s="306"/>
      <c r="MUA3" s="306"/>
      <c r="MUB3" s="306"/>
      <c r="MUC3" s="306"/>
      <c r="MUD3" s="306"/>
      <c r="MUE3" s="306"/>
      <c r="MUF3" s="306"/>
      <c r="MUG3" s="306"/>
      <c r="MUH3" s="306"/>
      <c r="MUI3" s="306"/>
      <c r="MUJ3" s="306"/>
      <c r="MUK3" s="306"/>
      <c r="MUL3" s="306"/>
      <c r="MUM3" s="306"/>
      <c r="MUN3" s="306"/>
      <c r="MUO3" s="306"/>
      <c r="MUP3" s="306"/>
      <c r="MUQ3" s="306"/>
      <c r="MUR3" s="306"/>
      <c r="MUS3" s="306"/>
      <c r="MUT3" s="306"/>
      <c r="MUU3" s="306"/>
      <c r="MUV3" s="306"/>
      <c r="MUW3" s="306"/>
      <c r="MUX3" s="306"/>
      <c r="MUY3" s="306"/>
      <c r="MUZ3" s="306"/>
      <c r="MVA3" s="306"/>
      <c r="MVB3" s="306"/>
      <c r="MVC3" s="306"/>
      <c r="MVD3" s="306"/>
      <c r="MVE3" s="306"/>
      <c r="MVF3" s="306"/>
      <c r="MVG3" s="306"/>
      <c r="MVH3" s="306"/>
      <c r="MVI3" s="306"/>
      <c r="MVJ3" s="306"/>
      <c r="MVK3" s="306"/>
      <c r="MVL3" s="306"/>
      <c r="MVM3" s="306"/>
      <c r="MVN3" s="306"/>
      <c r="MVO3" s="306"/>
      <c r="MVP3" s="306"/>
      <c r="MVQ3" s="306"/>
      <c r="MVR3" s="306"/>
      <c r="MVS3" s="306"/>
      <c r="MVT3" s="306"/>
      <c r="MVU3" s="306"/>
      <c r="MVV3" s="306"/>
      <c r="MVW3" s="306"/>
      <c r="MVX3" s="306"/>
      <c r="MVY3" s="306"/>
      <c r="MVZ3" s="306"/>
      <c r="MWA3" s="306"/>
      <c r="MWB3" s="306"/>
      <c r="MWC3" s="306"/>
      <c r="MWD3" s="306"/>
      <c r="MWE3" s="306"/>
      <c r="MWF3" s="306"/>
      <c r="MWG3" s="306"/>
      <c r="MWH3" s="306"/>
      <c r="MWI3" s="306"/>
      <c r="MWJ3" s="306"/>
      <c r="MWK3" s="306"/>
      <c r="MWL3" s="306"/>
      <c r="MWM3" s="306"/>
      <c r="MWN3" s="306"/>
      <c r="MWO3" s="306"/>
      <c r="MWP3" s="306"/>
      <c r="MWQ3" s="306"/>
      <c r="MWR3" s="306"/>
      <c r="MWS3" s="306"/>
      <c r="MWT3" s="306"/>
      <c r="MWU3" s="306"/>
      <c r="MWV3" s="306"/>
      <c r="MWW3" s="306"/>
      <c r="MWX3" s="306"/>
      <c r="MWY3" s="306"/>
      <c r="MWZ3" s="306"/>
      <c r="MXA3" s="306"/>
      <c r="MXB3" s="306"/>
      <c r="MXC3" s="306"/>
      <c r="MXD3" s="306"/>
      <c r="MXE3" s="306"/>
      <c r="MXF3" s="306"/>
      <c r="MXG3" s="306"/>
      <c r="MXH3" s="306"/>
      <c r="MXI3" s="306"/>
      <c r="MXJ3" s="306"/>
      <c r="MXK3" s="306"/>
      <c r="MXL3" s="306"/>
      <c r="MXM3" s="306"/>
      <c r="MXN3" s="306"/>
      <c r="MXO3" s="306"/>
      <c r="MXP3" s="306"/>
      <c r="MXQ3" s="306"/>
      <c r="MXR3" s="306"/>
      <c r="MXS3" s="306"/>
      <c r="MXT3" s="306"/>
      <c r="MXU3" s="306"/>
      <c r="MXV3" s="306"/>
      <c r="MXW3" s="306"/>
      <c r="MXX3" s="306"/>
      <c r="MXY3" s="306"/>
      <c r="MXZ3" s="306"/>
      <c r="MYA3" s="306"/>
      <c r="MYB3" s="306"/>
      <c r="MYC3" s="306"/>
      <c r="MYD3" s="306"/>
      <c r="MYE3" s="306"/>
      <c r="MYF3" s="306"/>
      <c r="MYG3" s="306"/>
      <c r="MYH3" s="306"/>
      <c r="MYI3" s="306"/>
      <c r="MYJ3" s="306"/>
      <c r="MYK3" s="306"/>
      <c r="MYL3" s="306"/>
      <c r="MYM3" s="306"/>
      <c r="MYN3" s="306"/>
      <c r="MYO3" s="306"/>
      <c r="MYP3" s="306"/>
      <c r="MYQ3" s="306"/>
      <c r="MYR3" s="306"/>
      <c r="MYS3" s="306"/>
      <c r="MYT3" s="306"/>
      <c r="MYU3" s="306"/>
      <c r="MYV3" s="306"/>
      <c r="MYW3" s="306"/>
      <c r="MYX3" s="306"/>
      <c r="MYY3" s="306"/>
      <c r="MYZ3" s="306"/>
      <c r="MZA3" s="306"/>
      <c r="MZB3" s="306"/>
      <c r="MZC3" s="306"/>
      <c r="MZD3" s="306"/>
      <c r="MZE3" s="306"/>
      <c r="MZF3" s="306"/>
      <c r="MZG3" s="306"/>
      <c r="MZH3" s="306"/>
      <c r="MZI3" s="306"/>
      <c r="MZJ3" s="306"/>
      <c r="MZK3" s="306"/>
      <c r="MZL3" s="306"/>
      <c r="MZM3" s="306"/>
      <c r="MZN3" s="306"/>
      <c r="MZO3" s="306"/>
      <c r="MZP3" s="306"/>
      <c r="MZQ3" s="306"/>
      <c r="MZR3" s="306"/>
      <c r="MZS3" s="306"/>
      <c r="MZT3" s="306"/>
      <c r="MZU3" s="306"/>
      <c r="MZV3" s="306"/>
      <c r="MZW3" s="306"/>
      <c r="MZX3" s="306"/>
      <c r="MZY3" s="306"/>
      <c r="MZZ3" s="306"/>
      <c r="NAA3" s="306"/>
      <c r="NAB3" s="306"/>
      <c r="NAC3" s="306"/>
      <c r="NAD3" s="306"/>
      <c r="NAE3" s="306"/>
      <c r="NAF3" s="306"/>
      <c r="NAG3" s="306"/>
      <c r="NAH3" s="306"/>
      <c r="NAI3" s="306"/>
      <c r="NAJ3" s="306"/>
      <c r="NAK3" s="306"/>
      <c r="NAL3" s="306"/>
      <c r="NAM3" s="306"/>
      <c r="NAN3" s="306"/>
      <c r="NAO3" s="306"/>
      <c r="NAP3" s="306"/>
      <c r="NAQ3" s="306"/>
      <c r="NAR3" s="306"/>
      <c r="NAS3" s="306"/>
      <c r="NAT3" s="306"/>
      <c r="NAU3" s="306"/>
      <c r="NAV3" s="306"/>
      <c r="NAW3" s="306"/>
      <c r="NAX3" s="306"/>
      <c r="NAY3" s="306"/>
      <c r="NAZ3" s="306"/>
      <c r="NBA3" s="306"/>
      <c r="NBB3" s="306"/>
      <c r="NBC3" s="306"/>
      <c r="NBD3" s="306"/>
      <c r="NBE3" s="306"/>
      <c r="NBF3" s="306"/>
      <c r="NBG3" s="306"/>
      <c r="NBH3" s="306"/>
      <c r="NBI3" s="306"/>
      <c r="NBJ3" s="306"/>
      <c r="NBK3" s="306"/>
      <c r="NBL3" s="306"/>
      <c r="NBM3" s="306"/>
      <c r="NBN3" s="306"/>
      <c r="NBO3" s="306"/>
      <c r="NBP3" s="306"/>
      <c r="NBQ3" s="306"/>
      <c r="NBR3" s="306"/>
      <c r="NBS3" s="306"/>
      <c r="NBT3" s="306"/>
      <c r="NBU3" s="306"/>
      <c r="NBV3" s="306"/>
      <c r="NBW3" s="306"/>
      <c r="NBX3" s="306"/>
      <c r="NBY3" s="306"/>
      <c r="NBZ3" s="306"/>
      <c r="NCA3" s="306"/>
      <c r="NCB3" s="306"/>
      <c r="NCC3" s="306"/>
      <c r="NCD3" s="306"/>
      <c r="NCE3" s="306"/>
      <c r="NCF3" s="306"/>
      <c r="NCG3" s="306"/>
      <c r="NCH3" s="306"/>
      <c r="NCI3" s="306"/>
      <c r="NCJ3" s="306"/>
      <c r="NCK3" s="306"/>
      <c r="NCL3" s="306"/>
      <c r="NCM3" s="306"/>
      <c r="NCN3" s="306"/>
      <c r="NCO3" s="306"/>
      <c r="NCP3" s="306"/>
      <c r="NCQ3" s="306"/>
      <c r="NCR3" s="306"/>
      <c r="NCS3" s="306"/>
      <c r="NCT3" s="306"/>
      <c r="NCU3" s="306"/>
      <c r="NCV3" s="306"/>
      <c r="NCW3" s="306"/>
      <c r="NCX3" s="306"/>
      <c r="NCY3" s="306"/>
      <c r="NCZ3" s="306"/>
      <c r="NDA3" s="306"/>
      <c r="NDB3" s="306"/>
      <c r="NDC3" s="306"/>
      <c r="NDD3" s="306"/>
      <c r="NDE3" s="306"/>
      <c r="NDF3" s="306"/>
      <c r="NDG3" s="306"/>
      <c r="NDH3" s="306"/>
      <c r="NDI3" s="306"/>
      <c r="NDJ3" s="306"/>
      <c r="NDK3" s="306"/>
      <c r="NDL3" s="306"/>
      <c r="NDM3" s="306"/>
      <c r="NDN3" s="306"/>
      <c r="NDO3" s="306"/>
      <c r="NDP3" s="306"/>
      <c r="NDQ3" s="306"/>
      <c r="NDR3" s="306"/>
      <c r="NDS3" s="306"/>
      <c r="NDT3" s="306"/>
      <c r="NDU3" s="306"/>
      <c r="NDV3" s="306"/>
      <c r="NDW3" s="306"/>
      <c r="NDX3" s="306"/>
      <c r="NDY3" s="306"/>
      <c r="NDZ3" s="306"/>
      <c r="NEA3" s="306"/>
      <c r="NEB3" s="306"/>
      <c r="NEC3" s="306"/>
      <c r="NED3" s="306"/>
      <c r="NEE3" s="306"/>
      <c r="NEF3" s="306"/>
      <c r="NEG3" s="306"/>
      <c r="NEH3" s="306"/>
      <c r="NEI3" s="306"/>
      <c r="NEJ3" s="306"/>
      <c r="NEK3" s="306"/>
      <c r="NEL3" s="306"/>
      <c r="NEM3" s="306"/>
      <c r="NEN3" s="306"/>
      <c r="NEO3" s="306"/>
      <c r="NEP3" s="306"/>
      <c r="NEQ3" s="306"/>
      <c r="NER3" s="306"/>
      <c r="NES3" s="306"/>
      <c r="NET3" s="306"/>
      <c r="NEU3" s="306"/>
      <c r="NEV3" s="306"/>
      <c r="NEW3" s="306"/>
      <c r="NEX3" s="306"/>
      <c r="NEY3" s="306"/>
      <c r="NEZ3" s="306"/>
      <c r="NFA3" s="306"/>
      <c r="NFB3" s="306"/>
      <c r="NFC3" s="306"/>
      <c r="NFD3" s="306"/>
      <c r="NFE3" s="306"/>
      <c r="NFF3" s="306"/>
      <c r="NFG3" s="306"/>
      <c r="NFH3" s="306"/>
      <c r="NFI3" s="306"/>
      <c r="NFJ3" s="306"/>
      <c r="NFK3" s="306"/>
      <c r="NFL3" s="306"/>
      <c r="NFM3" s="306"/>
      <c r="NFN3" s="306"/>
      <c r="NFO3" s="306"/>
      <c r="NFP3" s="306"/>
      <c r="NFQ3" s="306"/>
      <c r="NFR3" s="306"/>
      <c r="NFS3" s="306"/>
      <c r="NFT3" s="306"/>
      <c r="NFU3" s="306"/>
      <c r="NFV3" s="306"/>
      <c r="NFW3" s="306"/>
      <c r="NFX3" s="306"/>
      <c r="NFY3" s="306"/>
      <c r="NFZ3" s="306"/>
      <c r="NGA3" s="306"/>
      <c r="NGB3" s="306"/>
      <c r="NGC3" s="306"/>
      <c r="NGD3" s="306"/>
      <c r="NGE3" s="306"/>
      <c r="NGF3" s="306"/>
      <c r="NGG3" s="306"/>
      <c r="NGH3" s="306"/>
      <c r="NGI3" s="306"/>
      <c r="NGJ3" s="306"/>
      <c r="NGK3" s="306"/>
      <c r="NGL3" s="306"/>
      <c r="NGM3" s="306"/>
      <c r="NGN3" s="306"/>
      <c r="NGO3" s="306"/>
      <c r="NGP3" s="306"/>
      <c r="NGQ3" s="306"/>
      <c r="NGR3" s="306"/>
      <c r="NGS3" s="306"/>
      <c r="NGT3" s="306"/>
      <c r="NGU3" s="306"/>
      <c r="NGV3" s="306"/>
      <c r="NGW3" s="306"/>
      <c r="NGX3" s="306"/>
      <c r="NGY3" s="306"/>
      <c r="NGZ3" s="306"/>
      <c r="NHA3" s="306"/>
      <c r="NHB3" s="306"/>
      <c r="NHC3" s="306"/>
      <c r="NHD3" s="306"/>
      <c r="NHE3" s="306"/>
      <c r="NHF3" s="306"/>
      <c r="NHG3" s="306"/>
      <c r="NHH3" s="306"/>
      <c r="NHI3" s="306"/>
      <c r="NHJ3" s="306"/>
      <c r="NHK3" s="306"/>
      <c r="NHL3" s="306"/>
      <c r="NHM3" s="306"/>
      <c r="NHN3" s="306"/>
      <c r="NHO3" s="306"/>
      <c r="NHP3" s="306"/>
      <c r="NHQ3" s="306"/>
      <c r="NHR3" s="306"/>
      <c r="NHS3" s="306"/>
      <c r="NHT3" s="306"/>
      <c r="NHU3" s="306"/>
      <c r="NHV3" s="306"/>
      <c r="NHW3" s="306"/>
      <c r="NHX3" s="306"/>
      <c r="NHY3" s="306"/>
      <c r="NHZ3" s="306"/>
      <c r="NIA3" s="306"/>
      <c r="NIB3" s="306"/>
      <c r="NIC3" s="306"/>
      <c r="NID3" s="306"/>
      <c r="NIE3" s="306"/>
      <c r="NIF3" s="306"/>
      <c r="NIG3" s="306"/>
      <c r="NIH3" s="306"/>
      <c r="NII3" s="306"/>
      <c r="NIJ3" s="306"/>
      <c r="NIK3" s="306"/>
      <c r="NIL3" s="306"/>
      <c r="NIM3" s="306"/>
      <c r="NIN3" s="306"/>
      <c r="NIO3" s="306"/>
      <c r="NIP3" s="306"/>
      <c r="NIQ3" s="306"/>
      <c r="NIR3" s="306"/>
      <c r="NIS3" s="306"/>
      <c r="NIT3" s="306"/>
      <c r="NIU3" s="306"/>
      <c r="NIV3" s="306"/>
      <c r="NIW3" s="306"/>
      <c r="NIX3" s="306"/>
      <c r="NIY3" s="306"/>
      <c r="NIZ3" s="306"/>
      <c r="NJA3" s="306"/>
      <c r="NJB3" s="306"/>
      <c r="NJC3" s="306"/>
      <c r="NJD3" s="306"/>
      <c r="NJE3" s="306"/>
      <c r="NJF3" s="306"/>
      <c r="NJG3" s="306"/>
      <c r="NJH3" s="306"/>
      <c r="NJI3" s="306"/>
      <c r="NJJ3" s="306"/>
      <c r="NJK3" s="306"/>
      <c r="NJL3" s="306"/>
      <c r="NJM3" s="306"/>
      <c r="NJN3" s="306"/>
      <c r="NJO3" s="306"/>
      <c r="NJP3" s="306"/>
      <c r="NJQ3" s="306"/>
      <c r="NJR3" s="306"/>
      <c r="NJS3" s="306"/>
      <c r="NJT3" s="306"/>
      <c r="NJU3" s="306"/>
      <c r="NJV3" s="306"/>
      <c r="NJW3" s="306"/>
      <c r="NJX3" s="306"/>
      <c r="NJY3" s="306"/>
      <c r="NJZ3" s="306"/>
      <c r="NKA3" s="306"/>
      <c r="NKB3" s="306"/>
      <c r="NKC3" s="306"/>
      <c r="NKD3" s="306"/>
      <c r="NKE3" s="306"/>
      <c r="NKF3" s="306"/>
      <c r="NKG3" s="306"/>
      <c r="NKH3" s="306"/>
      <c r="NKI3" s="306"/>
      <c r="NKJ3" s="306"/>
      <c r="NKK3" s="306"/>
      <c r="NKL3" s="306"/>
      <c r="NKM3" s="306"/>
      <c r="NKN3" s="306"/>
      <c r="NKO3" s="306"/>
      <c r="NKP3" s="306"/>
      <c r="NKQ3" s="306"/>
      <c r="NKR3" s="306"/>
      <c r="NKS3" s="306"/>
      <c r="NKT3" s="306"/>
      <c r="NKU3" s="306"/>
      <c r="NKV3" s="306"/>
      <c r="NKW3" s="306"/>
      <c r="NKX3" s="306"/>
      <c r="NKY3" s="306"/>
      <c r="NKZ3" s="306"/>
      <c r="NLA3" s="306"/>
      <c r="NLB3" s="306"/>
      <c r="NLC3" s="306"/>
      <c r="NLD3" s="306"/>
      <c r="NLE3" s="306"/>
      <c r="NLF3" s="306"/>
      <c r="NLG3" s="306"/>
      <c r="NLH3" s="306"/>
      <c r="NLI3" s="306"/>
      <c r="NLJ3" s="306"/>
      <c r="NLK3" s="306"/>
      <c r="NLL3" s="306"/>
      <c r="NLM3" s="306"/>
      <c r="NLN3" s="306"/>
      <c r="NLO3" s="306"/>
      <c r="NLP3" s="306"/>
      <c r="NLQ3" s="306"/>
      <c r="NLR3" s="306"/>
      <c r="NLS3" s="306"/>
      <c r="NLT3" s="306"/>
      <c r="NLU3" s="306"/>
      <c r="NLV3" s="306"/>
      <c r="NLW3" s="306"/>
      <c r="NLX3" s="306"/>
      <c r="NLY3" s="306"/>
      <c r="NLZ3" s="306"/>
      <c r="NMA3" s="306"/>
      <c r="NMB3" s="306"/>
      <c r="NMC3" s="306"/>
      <c r="NMD3" s="306"/>
      <c r="NME3" s="306"/>
      <c r="NMF3" s="306"/>
      <c r="NMG3" s="306"/>
      <c r="NMH3" s="306"/>
      <c r="NMI3" s="306"/>
      <c r="NMJ3" s="306"/>
      <c r="NMK3" s="306"/>
      <c r="NML3" s="306"/>
      <c r="NMM3" s="306"/>
      <c r="NMN3" s="306"/>
      <c r="NMO3" s="306"/>
      <c r="NMP3" s="306"/>
      <c r="NMQ3" s="306"/>
      <c r="NMR3" s="306"/>
      <c r="NMS3" s="306"/>
      <c r="NMT3" s="306"/>
      <c r="NMU3" s="306"/>
      <c r="NMV3" s="306"/>
      <c r="NMW3" s="306"/>
      <c r="NMX3" s="306"/>
      <c r="NMY3" s="306"/>
      <c r="NMZ3" s="306"/>
      <c r="NNA3" s="306"/>
      <c r="NNB3" s="306"/>
      <c r="NNC3" s="306"/>
      <c r="NND3" s="306"/>
      <c r="NNE3" s="306"/>
      <c r="NNF3" s="306"/>
      <c r="NNG3" s="306"/>
      <c r="NNH3" s="306"/>
      <c r="NNI3" s="306"/>
      <c r="NNJ3" s="306"/>
      <c r="NNK3" s="306"/>
      <c r="NNL3" s="306"/>
      <c r="NNM3" s="306"/>
      <c r="NNN3" s="306"/>
      <c r="NNO3" s="306"/>
      <c r="NNP3" s="306"/>
      <c r="NNQ3" s="306"/>
      <c r="NNR3" s="306"/>
      <c r="NNS3" s="306"/>
      <c r="NNT3" s="306"/>
      <c r="NNU3" s="306"/>
      <c r="NNV3" s="306"/>
      <c r="NNW3" s="306"/>
      <c r="NNX3" s="306"/>
      <c r="NNY3" s="306"/>
      <c r="NNZ3" s="306"/>
      <c r="NOA3" s="306"/>
      <c r="NOB3" s="306"/>
      <c r="NOC3" s="306"/>
      <c r="NOD3" s="306"/>
      <c r="NOE3" s="306"/>
      <c r="NOF3" s="306"/>
      <c r="NOG3" s="306"/>
      <c r="NOH3" s="306"/>
      <c r="NOI3" s="306"/>
      <c r="NOJ3" s="306"/>
      <c r="NOK3" s="306"/>
      <c r="NOL3" s="306"/>
      <c r="NOM3" s="306"/>
      <c r="NON3" s="306"/>
      <c r="NOO3" s="306"/>
      <c r="NOP3" s="306"/>
      <c r="NOQ3" s="306"/>
      <c r="NOR3" s="306"/>
      <c r="NOS3" s="306"/>
      <c r="NOT3" s="306"/>
      <c r="NOU3" s="306"/>
      <c r="NOV3" s="306"/>
      <c r="NOW3" s="306"/>
      <c r="NOX3" s="306"/>
      <c r="NOY3" s="306"/>
      <c r="NOZ3" s="306"/>
      <c r="NPA3" s="306"/>
      <c r="NPB3" s="306"/>
      <c r="NPC3" s="306"/>
      <c r="NPD3" s="306"/>
      <c r="NPE3" s="306"/>
      <c r="NPF3" s="306"/>
      <c r="NPG3" s="306"/>
      <c r="NPH3" s="306"/>
      <c r="NPI3" s="306"/>
      <c r="NPJ3" s="306"/>
      <c r="NPK3" s="306"/>
      <c r="NPL3" s="306"/>
      <c r="NPM3" s="306"/>
      <c r="NPN3" s="306"/>
      <c r="NPO3" s="306"/>
      <c r="NPP3" s="306"/>
      <c r="NPQ3" s="306"/>
      <c r="NPR3" s="306"/>
      <c r="NPS3" s="306"/>
      <c r="NPT3" s="306"/>
      <c r="NPU3" s="306"/>
      <c r="NPV3" s="306"/>
      <c r="NPW3" s="306"/>
      <c r="NPX3" s="306"/>
      <c r="NPY3" s="306"/>
      <c r="NPZ3" s="306"/>
      <c r="NQA3" s="306"/>
      <c r="NQB3" s="306"/>
      <c r="NQC3" s="306"/>
      <c r="NQD3" s="306"/>
      <c r="NQE3" s="306"/>
      <c r="NQF3" s="306"/>
      <c r="NQG3" s="306"/>
      <c r="NQH3" s="306"/>
      <c r="NQI3" s="306"/>
      <c r="NQJ3" s="306"/>
      <c r="NQK3" s="306"/>
      <c r="NQL3" s="306"/>
      <c r="NQM3" s="306"/>
      <c r="NQN3" s="306"/>
      <c r="NQO3" s="306"/>
      <c r="NQP3" s="306"/>
      <c r="NQQ3" s="306"/>
      <c r="NQR3" s="306"/>
      <c r="NQS3" s="306"/>
      <c r="NQT3" s="306"/>
      <c r="NQU3" s="306"/>
      <c r="NQV3" s="306"/>
      <c r="NQW3" s="306"/>
      <c r="NQX3" s="306"/>
      <c r="NQY3" s="306"/>
      <c r="NQZ3" s="306"/>
      <c r="NRA3" s="306"/>
      <c r="NRB3" s="306"/>
      <c r="NRC3" s="306"/>
      <c r="NRD3" s="306"/>
      <c r="NRE3" s="306"/>
      <c r="NRF3" s="306"/>
      <c r="NRG3" s="306"/>
      <c r="NRH3" s="306"/>
      <c r="NRI3" s="306"/>
      <c r="NRJ3" s="306"/>
      <c r="NRK3" s="306"/>
      <c r="NRL3" s="306"/>
      <c r="NRM3" s="306"/>
      <c r="NRN3" s="306"/>
      <c r="NRO3" s="306"/>
      <c r="NRP3" s="306"/>
      <c r="NRQ3" s="306"/>
      <c r="NRR3" s="306"/>
      <c r="NRS3" s="306"/>
      <c r="NRT3" s="306"/>
      <c r="NRU3" s="306"/>
      <c r="NRV3" s="306"/>
      <c r="NRW3" s="306"/>
      <c r="NRX3" s="306"/>
      <c r="NRY3" s="306"/>
      <c r="NRZ3" s="306"/>
      <c r="NSA3" s="306"/>
      <c r="NSB3" s="306"/>
      <c r="NSC3" s="306"/>
      <c r="NSD3" s="306"/>
      <c r="NSE3" s="306"/>
      <c r="NSF3" s="306"/>
      <c r="NSG3" s="306"/>
      <c r="NSH3" s="306"/>
      <c r="NSI3" s="306"/>
      <c r="NSJ3" s="306"/>
      <c r="NSK3" s="306"/>
      <c r="NSL3" s="306"/>
      <c r="NSM3" s="306"/>
      <c r="NSN3" s="306"/>
      <c r="NSO3" s="306"/>
      <c r="NSP3" s="306"/>
      <c r="NSQ3" s="306"/>
      <c r="NSR3" s="306"/>
      <c r="NSS3" s="306"/>
      <c r="NST3" s="306"/>
      <c r="NSU3" s="306"/>
      <c r="NSV3" s="306"/>
      <c r="NSW3" s="306"/>
      <c r="NSX3" s="306"/>
      <c r="NSY3" s="306"/>
      <c r="NSZ3" s="306"/>
      <c r="NTA3" s="306"/>
      <c r="NTB3" s="306"/>
      <c r="NTC3" s="306"/>
      <c r="NTD3" s="306"/>
      <c r="NTE3" s="306"/>
      <c r="NTF3" s="306"/>
      <c r="NTG3" s="306"/>
      <c r="NTH3" s="306"/>
      <c r="NTI3" s="306"/>
      <c r="NTJ3" s="306"/>
      <c r="NTK3" s="306"/>
      <c r="NTL3" s="306"/>
      <c r="NTM3" s="306"/>
      <c r="NTN3" s="306"/>
      <c r="NTO3" s="306"/>
      <c r="NTP3" s="306"/>
      <c r="NTQ3" s="306"/>
      <c r="NTR3" s="306"/>
      <c r="NTS3" s="306"/>
      <c r="NTT3" s="306"/>
      <c r="NTU3" s="306"/>
      <c r="NTV3" s="306"/>
      <c r="NTW3" s="306"/>
      <c r="NTX3" s="306"/>
      <c r="NTY3" s="306"/>
      <c r="NTZ3" s="306"/>
      <c r="NUA3" s="306"/>
      <c r="NUB3" s="306"/>
      <c r="NUC3" s="306"/>
      <c r="NUD3" s="306"/>
      <c r="NUE3" s="306"/>
      <c r="NUF3" s="306"/>
      <c r="NUG3" s="306"/>
      <c r="NUH3" s="306"/>
      <c r="NUI3" s="306"/>
      <c r="NUJ3" s="306"/>
      <c r="NUK3" s="306"/>
      <c r="NUL3" s="306"/>
      <c r="NUM3" s="306"/>
      <c r="NUN3" s="306"/>
      <c r="NUO3" s="306"/>
      <c r="NUP3" s="306"/>
      <c r="NUQ3" s="306"/>
      <c r="NUR3" s="306"/>
      <c r="NUS3" s="306"/>
      <c r="NUT3" s="306"/>
      <c r="NUU3" s="306"/>
      <c r="NUV3" s="306"/>
      <c r="NUW3" s="306"/>
      <c r="NUX3" s="306"/>
      <c r="NUY3" s="306"/>
      <c r="NUZ3" s="306"/>
      <c r="NVA3" s="306"/>
      <c r="NVB3" s="306"/>
      <c r="NVC3" s="306"/>
      <c r="NVD3" s="306"/>
      <c r="NVE3" s="306"/>
      <c r="NVF3" s="306"/>
      <c r="NVG3" s="306"/>
      <c r="NVH3" s="306"/>
      <c r="NVI3" s="306"/>
      <c r="NVJ3" s="306"/>
      <c r="NVK3" s="306"/>
      <c r="NVL3" s="306"/>
      <c r="NVM3" s="306"/>
      <c r="NVN3" s="306"/>
      <c r="NVO3" s="306"/>
      <c r="NVP3" s="306"/>
      <c r="NVQ3" s="306"/>
      <c r="NVR3" s="306"/>
      <c r="NVS3" s="306"/>
      <c r="NVT3" s="306"/>
      <c r="NVU3" s="306"/>
      <c r="NVV3" s="306"/>
      <c r="NVW3" s="306"/>
      <c r="NVX3" s="306"/>
      <c r="NVY3" s="306"/>
      <c r="NVZ3" s="306"/>
      <c r="NWA3" s="306"/>
      <c r="NWB3" s="306"/>
      <c r="NWC3" s="306"/>
      <c r="NWD3" s="306"/>
      <c r="NWE3" s="306"/>
      <c r="NWF3" s="306"/>
      <c r="NWG3" s="306"/>
      <c r="NWH3" s="306"/>
      <c r="NWI3" s="306"/>
      <c r="NWJ3" s="306"/>
      <c r="NWK3" s="306"/>
      <c r="NWL3" s="306"/>
      <c r="NWM3" s="306"/>
      <c r="NWN3" s="306"/>
      <c r="NWO3" s="306"/>
      <c r="NWP3" s="306"/>
      <c r="NWQ3" s="306"/>
      <c r="NWR3" s="306"/>
      <c r="NWS3" s="306"/>
      <c r="NWT3" s="306"/>
      <c r="NWU3" s="306"/>
      <c r="NWV3" s="306"/>
      <c r="NWW3" s="306"/>
      <c r="NWX3" s="306"/>
      <c r="NWY3" s="306"/>
      <c r="NWZ3" s="306"/>
      <c r="NXA3" s="306"/>
      <c r="NXB3" s="306"/>
      <c r="NXC3" s="306"/>
      <c r="NXD3" s="306"/>
      <c r="NXE3" s="306"/>
      <c r="NXF3" s="306"/>
      <c r="NXG3" s="306"/>
      <c r="NXH3" s="306"/>
      <c r="NXI3" s="306"/>
      <c r="NXJ3" s="306"/>
      <c r="NXK3" s="306"/>
      <c r="NXL3" s="306"/>
      <c r="NXM3" s="306"/>
      <c r="NXN3" s="306"/>
      <c r="NXO3" s="306"/>
      <c r="NXP3" s="306"/>
      <c r="NXQ3" s="306"/>
      <c r="NXR3" s="306"/>
      <c r="NXS3" s="306"/>
      <c r="NXT3" s="306"/>
      <c r="NXU3" s="306"/>
      <c r="NXV3" s="306"/>
      <c r="NXW3" s="306"/>
      <c r="NXX3" s="306"/>
      <c r="NXY3" s="306"/>
      <c r="NXZ3" s="306"/>
      <c r="NYA3" s="306"/>
      <c r="NYB3" s="306"/>
      <c r="NYC3" s="306"/>
      <c r="NYD3" s="306"/>
      <c r="NYE3" s="306"/>
      <c r="NYF3" s="306"/>
      <c r="NYG3" s="306"/>
      <c r="NYH3" s="306"/>
      <c r="NYI3" s="306"/>
      <c r="NYJ3" s="306"/>
      <c r="NYK3" s="306"/>
      <c r="NYL3" s="306"/>
      <c r="NYM3" s="306"/>
      <c r="NYN3" s="306"/>
      <c r="NYO3" s="306"/>
      <c r="NYP3" s="306"/>
      <c r="NYQ3" s="306"/>
      <c r="NYR3" s="306"/>
      <c r="NYS3" s="306"/>
      <c r="NYT3" s="306"/>
      <c r="NYU3" s="306"/>
      <c r="NYV3" s="306"/>
      <c r="NYW3" s="306"/>
      <c r="NYX3" s="306"/>
      <c r="NYY3" s="306"/>
      <c r="NYZ3" s="306"/>
      <c r="NZA3" s="306"/>
      <c r="NZB3" s="306"/>
      <c r="NZC3" s="306"/>
      <c r="NZD3" s="306"/>
      <c r="NZE3" s="306"/>
      <c r="NZF3" s="306"/>
      <c r="NZG3" s="306"/>
      <c r="NZH3" s="306"/>
      <c r="NZI3" s="306"/>
      <c r="NZJ3" s="306"/>
      <c r="NZK3" s="306"/>
      <c r="NZL3" s="306"/>
      <c r="NZM3" s="306"/>
      <c r="NZN3" s="306"/>
      <c r="NZO3" s="306"/>
      <c r="NZP3" s="306"/>
      <c r="NZQ3" s="306"/>
      <c r="NZR3" s="306"/>
      <c r="NZS3" s="306"/>
      <c r="NZT3" s="306"/>
      <c r="NZU3" s="306"/>
      <c r="NZV3" s="306"/>
      <c r="NZW3" s="306"/>
      <c r="NZX3" s="306"/>
      <c r="NZY3" s="306"/>
      <c r="NZZ3" s="306"/>
      <c r="OAA3" s="306"/>
      <c r="OAB3" s="306"/>
      <c r="OAC3" s="306"/>
      <c r="OAD3" s="306"/>
      <c r="OAE3" s="306"/>
      <c r="OAF3" s="306"/>
      <c r="OAG3" s="306"/>
      <c r="OAH3" s="306"/>
      <c r="OAI3" s="306"/>
      <c r="OAJ3" s="306"/>
      <c r="OAK3" s="306"/>
      <c r="OAL3" s="306"/>
      <c r="OAM3" s="306"/>
      <c r="OAN3" s="306"/>
      <c r="OAO3" s="306"/>
      <c r="OAP3" s="306"/>
      <c r="OAQ3" s="306"/>
      <c r="OAR3" s="306"/>
      <c r="OAS3" s="306"/>
      <c r="OAT3" s="306"/>
      <c r="OAU3" s="306"/>
      <c r="OAV3" s="306"/>
      <c r="OAW3" s="306"/>
      <c r="OAX3" s="306"/>
      <c r="OAY3" s="306"/>
      <c r="OAZ3" s="306"/>
      <c r="OBA3" s="306"/>
      <c r="OBB3" s="306"/>
      <c r="OBC3" s="306"/>
      <c r="OBD3" s="306"/>
      <c r="OBE3" s="306"/>
      <c r="OBF3" s="306"/>
      <c r="OBG3" s="306"/>
      <c r="OBH3" s="306"/>
      <c r="OBI3" s="306"/>
      <c r="OBJ3" s="306"/>
      <c r="OBK3" s="306"/>
      <c r="OBL3" s="306"/>
      <c r="OBM3" s="306"/>
      <c r="OBN3" s="306"/>
      <c r="OBO3" s="306"/>
      <c r="OBP3" s="306"/>
      <c r="OBQ3" s="306"/>
      <c r="OBR3" s="306"/>
      <c r="OBS3" s="306"/>
      <c r="OBT3" s="306"/>
      <c r="OBU3" s="306"/>
      <c r="OBV3" s="306"/>
      <c r="OBW3" s="306"/>
      <c r="OBX3" s="306"/>
      <c r="OBY3" s="306"/>
      <c r="OBZ3" s="306"/>
      <c r="OCA3" s="306"/>
      <c r="OCB3" s="306"/>
      <c r="OCC3" s="306"/>
      <c r="OCD3" s="306"/>
      <c r="OCE3" s="306"/>
      <c r="OCF3" s="306"/>
      <c r="OCG3" s="306"/>
      <c r="OCH3" s="306"/>
      <c r="OCI3" s="306"/>
      <c r="OCJ3" s="306"/>
      <c r="OCK3" s="306"/>
      <c r="OCL3" s="306"/>
      <c r="OCM3" s="306"/>
      <c r="OCN3" s="306"/>
      <c r="OCO3" s="306"/>
      <c r="OCP3" s="306"/>
      <c r="OCQ3" s="306"/>
      <c r="OCR3" s="306"/>
      <c r="OCS3" s="306"/>
      <c r="OCT3" s="306"/>
      <c r="OCU3" s="306"/>
      <c r="OCV3" s="306"/>
      <c r="OCW3" s="306"/>
      <c r="OCX3" s="306"/>
      <c r="OCY3" s="306"/>
      <c r="OCZ3" s="306"/>
      <c r="ODA3" s="306"/>
      <c r="ODB3" s="306"/>
      <c r="ODC3" s="306"/>
      <c r="ODD3" s="306"/>
      <c r="ODE3" s="306"/>
      <c r="ODF3" s="306"/>
      <c r="ODG3" s="306"/>
      <c r="ODH3" s="306"/>
      <c r="ODI3" s="306"/>
      <c r="ODJ3" s="306"/>
      <c r="ODK3" s="306"/>
      <c r="ODL3" s="306"/>
      <c r="ODM3" s="306"/>
      <c r="ODN3" s="306"/>
      <c r="ODO3" s="306"/>
      <c r="ODP3" s="306"/>
      <c r="ODQ3" s="306"/>
      <c r="ODR3" s="306"/>
      <c r="ODS3" s="306"/>
      <c r="ODT3" s="306"/>
      <c r="ODU3" s="306"/>
      <c r="ODV3" s="306"/>
      <c r="ODW3" s="306"/>
      <c r="ODX3" s="306"/>
      <c r="ODY3" s="306"/>
      <c r="ODZ3" s="306"/>
      <c r="OEA3" s="306"/>
      <c r="OEB3" s="306"/>
      <c r="OEC3" s="306"/>
      <c r="OED3" s="306"/>
      <c r="OEE3" s="306"/>
      <c r="OEF3" s="306"/>
      <c r="OEG3" s="306"/>
      <c r="OEH3" s="306"/>
      <c r="OEI3" s="306"/>
      <c r="OEJ3" s="306"/>
      <c r="OEK3" s="306"/>
      <c r="OEL3" s="306"/>
      <c r="OEM3" s="306"/>
      <c r="OEN3" s="306"/>
      <c r="OEO3" s="306"/>
      <c r="OEP3" s="306"/>
      <c r="OEQ3" s="306"/>
      <c r="OER3" s="306"/>
      <c r="OES3" s="306"/>
      <c r="OET3" s="306"/>
      <c r="OEU3" s="306"/>
      <c r="OEV3" s="306"/>
      <c r="OEW3" s="306"/>
      <c r="OEX3" s="306"/>
      <c r="OEY3" s="306"/>
      <c r="OEZ3" s="306"/>
      <c r="OFA3" s="306"/>
      <c r="OFB3" s="306"/>
      <c r="OFC3" s="306"/>
      <c r="OFD3" s="306"/>
      <c r="OFE3" s="306"/>
      <c r="OFF3" s="306"/>
      <c r="OFG3" s="306"/>
      <c r="OFH3" s="306"/>
      <c r="OFI3" s="306"/>
      <c r="OFJ3" s="306"/>
      <c r="OFK3" s="306"/>
      <c r="OFL3" s="306"/>
      <c r="OFM3" s="306"/>
      <c r="OFN3" s="306"/>
      <c r="OFO3" s="306"/>
      <c r="OFP3" s="306"/>
      <c r="OFQ3" s="306"/>
      <c r="OFR3" s="306"/>
      <c r="OFS3" s="306"/>
      <c r="OFT3" s="306"/>
      <c r="OFU3" s="306"/>
      <c r="OFV3" s="306"/>
      <c r="OFW3" s="306"/>
      <c r="OFX3" s="306"/>
      <c r="OFY3" s="306"/>
      <c r="OFZ3" s="306"/>
      <c r="OGA3" s="306"/>
      <c r="OGB3" s="306"/>
      <c r="OGC3" s="306"/>
      <c r="OGD3" s="306"/>
      <c r="OGE3" s="306"/>
      <c r="OGF3" s="306"/>
      <c r="OGG3" s="306"/>
      <c r="OGH3" s="306"/>
      <c r="OGI3" s="306"/>
      <c r="OGJ3" s="306"/>
      <c r="OGK3" s="306"/>
      <c r="OGL3" s="306"/>
      <c r="OGM3" s="306"/>
      <c r="OGN3" s="306"/>
      <c r="OGO3" s="306"/>
      <c r="OGP3" s="306"/>
      <c r="OGQ3" s="306"/>
      <c r="OGR3" s="306"/>
      <c r="OGS3" s="306"/>
      <c r="OGT3" s="306"/>
      <c r="OGU3" s="306"/>
      <c r="OGV3" s="306"/>
      <c r="OGW3" s="306"/>
      <c r="OGX3" s="306"/>
      <c r="OGY3" s="306"/>
      <c r="OGZ3" s="306"/>
      <c r="OHA3" s="306"/>
      <c r="OHB3" s="306"/>
      <c r="OHC3" s="306"/>
      <c r="OHD3" s="306"/>
      <c r="OHE3" s="306"/>
      <c r="OHF3" s="306"/>
      <c r="OHG3" s="306"/>
      <c r="OHH3" s="306"/>
      <c r="OHI3" s="306"/>
      <c r="OHJ3" s="306"/>
      <c r="OHK3" s="306"/>
      <c r="OHL3" s="306"/>
      <c r="OHM3" s="306"/>
      <c r="OHN3" s="306"/>
      <c r="OHO3" s="306"/>
      <c r="OHP3" s="306"/>
      <c r="OHQ3" s="306"/>
      <c r="OHR3" s="306"/>
      <c r="OHS3" s="306"/>
      <c r="OHT3" s="306"/>
      <c r="OHU3" s="306"/>
      <c r="OHV3" s="306"/>
      <c r="OHW3" s="306"/>
      <c r="OHX3" s="306"/>
      <c r="OHY3" s="306"/>
      <c r="OHZ3" s="306"/>
      <c r="OIA3" s="306"/>
      <c r="OIB3" s="306"/>
      <c r="OIC3" s="306"/>
      <c r="OID3" s="306"/>
      <c r="OIE3" s="306"/>
      <c r="OIF3" s="306"/>
      <c r="OIG3" s="306"/>
      <c r="OIH3" s="306"/>
      <c r="OII3" s="306"/>
      <c r="OIJ3" s="306"/>
      <c r="OIK3" s="306"/>
      <c r="OIL3" s="306"/>
      <c r="OIM3" s="306"/>
      <c r="OIN3" s="306"/>
      <c r="OIO3" s="306"/>
      <c r="OIP3" s="306"/>
      <c r="OIQ3" s="306"/>
      <c r="OIR3" s="306"/>
      <c r="OIS3" s="306"/>
      <c r="OIT3" s="306"/>
      <c r="OIU3" s="306"/>
      <c r="OIV3" s="306"/>
      <c r="OIW3" s="306"/>
      <c r="OIX3" s="306"/>
      <c r="OIY3" s="306"/>
      <c r="OIZ3" s="306"/>
      <c r="OJA3" s="306"/>
      <c r="OJB3" s="306"/>
      <c r="OJC3" s="306"/>
      <c r="OJD3" s="306"/>
      <c r="OJE3" s="306"/>
      <c r="OJF3" s="306"/>
      <c r="OJG3" s="306"/>
      <c r="OJH3" s="306"/>
      <c r="OJI3" s="306"/>
      <c r="OJJ3" s="306"/>
      <c r="OJK3" s="306"/>
      <c r="OJL3" s="306"/>
      <c r="OJM3" s="306"/>
      <c r="OJN3" s="306"/>
      <c r="OJO3" s="306"/>
      <c r="OJP3" s="306"/>
      <c r="OJQ3" s="306"/>
      <c r="OJR3" s="306"/>
      <c r="OJS3" s="306"/>
      <c r="OJT3" s="306"/>
      <c r="OJU3" s="306"/>
      <c r="OJV3" s="306"/>
      <c r="OJW3" s="306"/>
      <c r="OJX3" s="306"/>
      <c r="OJY3" s="306"/>
      <c r="OJZ3" s="306"/>
      <c r="OKA3" s="306"/>
      <c r="OKB3" s="306"/>
      <c r="OKC3" s="306"/>
      <c r="OKD3" s="306"/>
      <c r="OKE3" s="306"/>
      <c r="OKF3" s="306"/>
      <c r="OKG3" s="306"/>
      <c r="OKH3" s="306"/>
      <c r="OKI3" s="306"/>
      <c r="OKJ3" s="306"/>
      <c r="OKK3" s="306"/>
      <c r="OKL3" s="306"/>
      <c r="OKM3" s="306"/>
      <c r="OKN3" s="306"/>
      <c r="OKO3" s="306"/>
      <c r="OKP3" s="306"/>
      <c r="OKQ3" s="306"/>
      <c r="OKR3" s="306"/>
      <c r="OKS3" s="306"/>
      <c r="OKT3" s="306"/>
      <c r="OKU3" s="306"/>
      <c r="OKV3" s="306"/>
      <c r="OKW3" s="306"/>
      <c r="OKX3" s="306"/>
      <c r="OKY3" s="306"/>
      <c r="OKZ3" s="306"/>
      <c r="OLA3" s="306"/>
      <c r="OLB3" s="306"/>
      <c r="OLC3" s="306"/>
      <c r="OLD3" s="306"/>
      <c r="OLE3" s="306"/>
      <c r="OLF3" s="306"/>
      <c r="OLG3" s="306"/>
      <c r="OLH3" s="306"/>
      <c r="OLI3" s="306"/>
      <c r="OLJ3" s="306"/>
      <c r="OLK3" s="306"/>
      <c r="OLL3" s="306"/>
      <c r="OLM3" s="306"/>
      <c r="OLN3" s="306"/>
      <c r="OLO3" s="306"/>
      <c r="OLP3" s="306"/>
      <c r="OLQ3" s="306"/>
      <c r="OLR3" s="306"/>
      <c r="OLS3" s="306"/>
      <c r="OLT3" s="306"/>
      <c r="OLU3" s="306"/>
      <c r="OLV3" s="306"/>
      <c r="OLW3" s="306"/>
      <c r="OLX3" s="306"/>
      <c r="OLY3" s="306"/>
      <c r="OLZ3" s="306"/>
      <c r="OMA3" s="306"/>
      <c r="OMB3" s="306"/>
      <c r="OMC3" s="306"/>
      <c r="OMD3" s="306"/>
      <c r="OME3" s="306"/>
      <c r="OMF3" s="306"/>
      <c r="OMG3" s="306"/>
      <c r="OMH3" s="306"/>
      <c r="OMI3" s="306"/>
      <c r="OMJ3" s="306"/>
      <c r="OMK3" s="306"/>
      <c r="OML3" s="306"/>
      <c r="OMM3" s="306"/>
      <c r="OMN3" s="306"/>
      <c r="OMO3" s="306"/>
      <c r="OMP3" s="306"/>
      <c r="OMQ3" s="306"/>
      <c r="OMR3" s="306"/>
      <c r="OMS3" s="306"/>
      <c r="OMT3" s="306"/>
      <c r="OMU3" s="306"/>
      <c r="OMV3" s="306"/>
      <c r="OMW3" s="306"/>
      <c r="OMX3" s="306"/>
      <c r="OMY3" s="306"/>
      <c r="OMZ3" s="306"/>
      <c r="ONA3" s="306"/>
      <c r="ONB3" s="306"/>
      <c r="ONC3" s="306"/>
      <c r="OND3" s="306"/>
      <c r="ONE3" s="306"/>
      <c r="ONF3" s="306"/>
      <c r="ONG3" s="306"/>
      <c r="ONH3" s="306"/>
      <c r="ONI3" s="306"/>
      <c r="ONJ3" s="306"/>
      <c r="ONK3" s="306"/>
      <c r="ONL3" s="306"/>
      <c r="ONM3" s="306"/>
      <c r="ONN3" s="306"/>
      <c r="ONO3" s="306"/>
      <c r="ONP3" s="306"/>
      <c r="ONQ3" s="306"/>
      <c r="ONR3" s="306"/>
      <c r="ONS3" s="306"/>
      <c r="ONT3" s="306"/>
      <c r="ONU3" s="306"/>
      <c r="ONV3" s="306"/>
      <c r="ONW3" s="306"/>
      <c r="ONX3" s="306"/>
      <c r="ONY3" s="306"/>
      <c r="ONZ3" s="306"/>
      <c r="OOA3" s="306"/>
      <c r="OOB3" s="306"/>
      <c r="OOC3" s="306"/>
      <c r="OOD3" s="306"/>
      <c r="OOE3" s="306"/>
      <c r="OOF3" s="306"/>
      <c r="OOG3" s="306"/>
      <c r="OOH3" s="306"/>
      <c r="OOI3" s="306"/>
      <c r="OOJ3" s="306"/>
      <c r="OOK3" s="306"/>
      <c r="OOL3" s="306"/>
      <c r="OOM3" s="306"/>
      <c r="OON3" s="306"/>
      <c r="OOO3" s="306"/>
      <c r="OOP3" s="306"/>
      <c r="OOQ3" s="306"/>
      <c r="OOR3" s="306"/>
      <c r="OOS3" s="306"/>
      <c r="OOT3" s="306"/>
      <c r="OOU3" s="306"/>
      <c r="OOV3" s="306"/>
      <c r="OOW3" s="306"/>
      <c r="OOX3" s="306"/>
      <c r="OOY3" s="306"/>
      <c r="OOZ3" s="306"/>
      <c r="OPA3" s="306"/>
      <c r="OPB3" s="306"/>
      <c r="OPC3" s="306"/>
      <c r="OPD3" s="306"/>
      <c r="OPE3" s="306"/>
      <c r="OPF3" s="306"/>
      <c r="OPG3" s="306"/>
      <c r="OPH3" s="306"/>
      <c r="OPI3" s="306"/>
      <c r="OPJ3" s="306"/>
      <c r="OPK3" s="306"/>
      <c r="OPL3" s="306"/>
      <c r="OPM3" s="306"/>
      <c r="OPN3" s="306"/>
      <c r="OPO3" s="306"/>
      <c r="OPP3" s="306"/>
      <c r="OPQ3" s="306"/>
      <c r="OPR3" s="306"/>
      <c r="OPS3" s="306"/>
      <c r="OPT3" s="306"/>
      <c r="OPU3" s="306"/>
      <c r="OPV3" s="306"/>
      <c r="OPW3" s="306"/>
      <c r="OPX3" s="306"/>
      <c r="OPY3" s="306"/>
      <c r="OPZ3" s="306"/>
      <c r="OQA3" s="306"/>
      <c r="OQB3" s="306"/>
      <c r="OQC3" s="306"/>
      <c r="OQD3" s="306"/>
      <c r="OQE3" s="306"/>
      <c r="OQF3" s="306"/>
      <c r="OQG3" s="306"/>
      <c r="OQH3" s="306"/>
      <c r="OQI3" s="306"/>
      <c r="OQJ3" s="306"/>
      <c r="OQK3" s="306"/>
      <c r="OQL3" s="306"/>
      <c r="OQM3" s="306"/>
      <c r="OQN3" s="306"/>
      <c r="OQO3" s="306"/>
      <c r="OQP3" s="306"/>
      <c r="OQQ3" s="306"/>
      <c r="OQR3" s="306"/>
      <c r="OQS3" s="306"/>
      <c r="OQT3" s="306"/>
      <c r="OQU3" s="306"/>
      <c r="OQV3" s="306"/>
      <c r="OQW3" s="306"/>
      <c r="OQX3" s="306"/>
      <c r="OQY3" s="306"/>
      <c r="OQZ3" s="306"/>
      <c r="ORA3" s="306"/>
      <c r="ORB3" s="306"/>
      <c r="ORC3" s="306"/>
      <c r="ORD3" s="306"/>
      <c r="ORE3" s="306"/>
      <c r="ORF3" s="306"/>
      <c r="ORG3" s="306"/>
      <c r="ORH3" s="306"/>
      <c r="ORI3" s="306"/>
      <c r="ORJ3" s="306"/>
      <c r="ORK3" s="306"/>
      <c r="ORL3" s="306"/>
      <c r="ORM3" s="306"/>
      <c r="ORN3" s="306"/>
      <c r="ORO3" s="306"/>
      <c r="ORP3" s="306"/>
      <c r="ORQ3" s="306"/>
      <c r="ORR3" s="306"/>
      <c r="ORS3" s="306"/>
      <c r="ORT3" s="306"/>
      <c r="ORU3" s="306"/>
      <c r="ORV3" s="306"/>
      <c r="ORW3" s="306"/>
      <c r="ORX3" s="306"/>
      <c r="ORY3" s="306"/>
      <c r="ORZ3" s="306"/>
      <c r="OSA3" s="306"/>
      <c r="OSB3" s="306"/>
      <c r="OSC3" s="306"/>
      <c r="OSD3" s="306"/>
      <c r="OSE3" s="306"/>
      <c r="OSF3" s="306"/>
      <c r="OSG3" s="306"/>
      <c r="OSH3" s="306"/>
      <c r="OSI3" s="306"/>
      <c r="OSJ3" s="306"/>
      <c r="OSK3" s="306"/>
      <c r="OSL3" s="306"/>
      <c r="OSM3" s="306"/>
      <c r="OSN3" s="306"/>
      <c r="OSO3" s="306"/>
      <c r="OSP3" s="306"/>
      <c r="OSQ3" s="306"/>
      <c r="OSR3" s="306"/>
      <c r="OSS3" s="306"/>
      <c r="OST3" s="306"/>
      <c r="OSU3" s="306"/>
      <c r="OSV3" s="306"/>
      <c r="OSW3" s="306"/>
      <c r="OSX3" s="306"/>
      <c r="OSY3" s="306"/>
      <c r="OSZ3" s="306"/>
      <c r="OTA3" s="306"/>
      <c r="OTB3" s="306"/>
      <c r="OTC3" s="306"/>
      <c r="OTD3" s="306"/>
      <c r="OTE3" s="306"/>
      <c r="OTF3" s="306"/>
      <c r="OTG3" s="306"/>
      <c r="OTH3" s="306"/>
      <c r="OTI3" s="306"/>
      <c r="OTJ3" s="306"/>
      <c r="OTK3" s="306"/>
      <c r="OTL3" s="306"/>
      <c r="OTM3" s="306"/>
      <c r="OTN3" s="306"/>
      <c r="OTO3" s="306"/>
      <c r="OTP3" s="306"/>
      <c r="OTQ3" s="306"/>
      <c r="OTR3" s="306"/>
      <c r="OTS3" s="306"/>
      <c r="OTT3" s="306"/>
      <c r="OTU3" s="306"/>
      <c r="OTV3" s="306"/>
      <c r="OTW3" s="306"/>
      <c r="OTX3" s="306"/>
      <c r="OTY3" s="306"/>
      <c r="OTZ3" s="306"/>
      <c r="OUA3" s="306"/>
      <c r="OUB3" s="306"/>
      <c r="OUC3" s="306"/>
      <c r="OUD3" s="306"/>
      <c r="OUE3" s="306"/>
      <c r="OUF3" s="306"/>
      <c r="OUG3" s="306"/>
      <c r="OUH3" s="306"/>
      <c r="OUI3" s="306"/>
      <c r="OUJ3" s="306"/>
      <c r="OUK3" s="306"/>
      <c r="OUL3" s="306"/>
      <c r="OUM3" s="306"/>
      <c r="OUN3" s="306"/>
      <c r="OUO3" s="306"/>
      <c r="OUP3" s="306"/>
      <c r="OUQ3" s="306"/>
      <c r="OUR3" s="306"/>
      <c r="OUS3" s="306"/>
      <c r="OUT3" s="306"/>
      <c r="OUU3" s="306"/>
      <c r="OUV3" s="306"/>
      <c r="OUW3" s="306"/>
      <c r="OUX3" s="306"/>
      <c r="OUY3" s="306"/>
      <c r="OUZ3" s="306"/>
      <c r="OVA3" s="306"/>
      <c r="OVB3" s="306"/>
      <c r="OVC3" s="306"/>
      <c r="OVD3" s="306"/>
      <c r="OVE3" s="306"/>
      <c r="OVF3" s="306"/>
      <c r="OVG3" s="306"/>
      <c r="OVH3" s="306"/>
      <c r="OVI3" s="306"/>
      <c r="OVJ3" s="306"/>
      <c r="OVK3" s="306"/>
      <c r="OVL3" s="306"/>
      <c r="OVM3" s="306"/>
      <c r="OVN3" s="306"/>
      <c r="OVO3" s="306"/>
      <c r="OVP3" s="306"/>
      <c r="OVQ3" s="306"/>
      <c r="OVR3" s="306"/>
      <c r="OVS3" s="306"/>
      <c r="OVT3" s="306"/>
      <c r="OVU3" s="306"/>
      <c r="OVV3" s="306"/>
      <c r="OVW3" s="306"/>
      <c r="OVX3" s="306"/>
      <c r="OVY3" s="306"/>
      <c r="OVZ3" s="306"/>
      <c r="OWA3" s="306"/>
      <c r="OWB3" s="306"/>
      <c r="OWC3" s="306"/>
      <c r="OWD3" s="306"/>
      <c r="OWE3" s="306"/>
      <c r="OWF3" s="306"/>
      <c r="OWG3" s="306"/>
      <c r="OWH3" s="306"/>
      <c r="OWI3" s="306"/>
      <c r="OWJ3" s="306"/>
      <c r="OWK3" s="306"/>
      <c r="OWL3" s="306"/>
      <c r="OWM3" s="306"/>
      <c r="OWN3" s="306"/>
      <c r="OWO3" s="306"/>
      <c r="OWP3" s="306"/>
      <c r="OWQ3" s="306"/>
      <c r="OWR3" s="306"/>
      <c r="OWS3" s="306"/>
      <c r="OWT3" s="306"/>
      <c r="OWU3" s="306"/>
      <c r="OWV3" s="306"/>
      <c r="OWW3" s="306"/>
      <c r="OWX3" s="306"/>
      <c r="OWY3" s="306"/>
      <c r="OWZ3" s="306"/>
      <c r="OXA3" s="306"/>
      <c r="OXB3" s="306"/>
      <c r="OXC3" s="306"/>
      <c r="OXD3" s="306"/>
      <c r="OXE3" s="306"/>
      <c r="OXF3" s="306"/>
      <c r="OXG3" s="306"/>
      <c r="OXH3" s="306"/>
      <c r="OXI3" s="306"/>
      <c r="OXJ3" s="306"/>
      <c r="OXK3" s="306"/>
      <c r="OXL3" s="306"/>
      <c r="OXM3" s="306"/>
      <c r="OXN3" s="306"/>
      <c r="OXO3" s="306"/>
      <c r="OXP3" s="306"/>
      <c r="OXQ3" s="306"/>
      <c r="OXR3" s="306"/>
      <c r="OXS3" s="306"/>
      <c r="OXT3" s="306"/>
      <c r="OXU3" s="306"/>
      <c r="OXV3" s="306"/>
      <c r="OXW3" s="306"/>
      <c r="OXX3" s="306"/>
      <c r="OXY3" s="306"/>
      <c r="OXZ3" s="306"/>
      <c r="OYA3" s="306"/>
      <c r="OYB3" s="306"/>
      <c r="OYC3" s="306"/>
      <c r="OYD3" s="306"/>
      <c r="OYE3" s="306"/>
      <c r="OYF3" s="306"/>
      <c r="OYG3" s="306"/>
      <c r="OYH3" s="306"/>
      <c r="OYI3" s="306"/>
      <c r="OYJ3" s="306"/>
      <c r="OYK3" s="306"/>
      <c r="OYL3" s="306"/>
      <c r="OYM3" s="306"/>
      <c r="OYN3" s="306"/>
      <c r="OYO3" s="306"/>
      <c r="OYP3" s="306"/>
      <c r="OYQ3" s="306"/>
      <c r="OYR3" s="306"/>
      <c r="OYS3" s="306"/>
      <c r="OYT3" s="306"/>
      <c r="OYU3" s="306"/>
      <c r="OYV3" s="306"/>
      <c r="OYW3" s="306"/>
      <c r="OYX3" s="306"/>
      <c r="OYY3" s="306"/>
      <c r="OYZ3" s="306"/>
      <c r="OZA3" s="306"/>
      <c r="OZB3" s="306"/>
      <c r="OZC3" s="306"/>
      <c r="OZD3" s="306"/>
      <c r="OZE3" s="306"/>
      <c r="OZF3" s="306"/>
      <c r="OZG3" s="306"/>
      <c r="OZH3" s="306"/>
      <c r="OZI3" s="306"/>
      <c r="OZJ3" s="306"/>
      <c r="OZK3" s="306"/>
      <c r="OZL3" s="306"/>
      <c r="OZM3" s="306"/>
      <c r="OZN3" s="306"/>
      <c r="OZO3" s="306"/>
      <c r="OZP3" s="306"/>
      <c r="OZQ3" s="306"/>
      <c r="OZR3" s="306"/>
      <c r="OZS3" s="306"/>
      <c r="OZT3" s="306"/>
      <c r="OZU3" s="306"/>
      <c r="OZV3" s="306"/>
      <c r="OZW3" s="306"/>
      <c r="OZX3" s="306"/>
      <c r="OZY3" s="306"/>
      <c r="OZZ3" s="306"/>
      <c r="PAA3" s="306"/>
      <c r="PAB3" s="306"/>
      <c r="PAC3" s="306"/>
      <c r="PAD3" s="306"/>
      <c r="PAE3" s="306"/>
      <c r="PAF3" s="306"/>
      <c r="PAG3" s="306"/>
      <c r="PAH3" s="306"/>
      <c r="PAI3" s="306"/>
      <c r="PAJ3" s="306"/>
      <c r="PAK3" s="306"/>
      <c r="PAL3" s="306"/>
      <c r="PAM3" s="306"/>
      <c r="PAN3" s="306"/>
      <c r="PAO3" s="306"/>
      <c r="PAP3" s="306"/>
      <c r="PAQ3" s="306"/>
      <c r="PAR3" s="306"/>
      <c r="PAS3" s="306"/>
      <c r="PAT3" s="306"/>
      <c r="PAU3" s="306"/>
      <c r="PAV3" s="306"/>
      <c r="PAW3" s="306"/>
      <c r="PAX3" s="306"/>
      <c r="PAY3" s="306"/>
      <c r="PAZ3" s="306"/>
      <c r="PBA3" s="306"/>
      <c r="PBB3" s="306"/>
      <c r="PBC3" s="306"/>
      <c r="PBD3" s="306"/>
      <c r="PBE3" s="306"/>
      <c r="PBF3" s="306"/>
      <c r="PBG3" s="306"/>
      <c r="PBH3" s="306"/>
      <c r="PBI3" s="306"/>
      <c r="PBJ3" s="306"/>
      <c r="PBK3" s="306"/>
      <c r="PBL3" s="306"/>
      <c r="PBM3" s="306"/>
      <c r="PBN3" s="306"/>
      <c r="PBO3" s="306"/>
      <c r="PBP3" s="306"/>
      <c r="PBQ3" s="306"/>
      <c r="PBR3" s="306"/>
      <c r="PBS3" s="306"/>
      <c r="PBT3" s="306"/>
      <c r="PBU3" s="306"/>
      <c r="PBV3" s="306"/>
      <c r="PBW3" s="306"/>
      <c r="PBX3" s="306"/>
      <c r="PBY3" s="306"/>
      <c r="PBZ3" s="306"/>
      <c r="PCA3" s="306"/>
      <c r="PCB3" s="306"/>
      <c r="PCC3" s="306"/>
      <c r="PCD3" s="306"/>
      <c r="PCE3" s="306"/>
      <c r="PCF3" s="306"/>
      <c r="PCG3" s="306"/>
      <c r="PCH3" s="306"/>
      <c r="PCI3" s="306"/>
      <c r="PCJ3" s="306"/>
      <c r="PCK3" s="306"/>
      <c r="PCL3" s="306"/>
      <c r="PCM3" s="306"/>
      <c r="PCN3" s="306"/>
      <c r="PCO3" s="306"/>
      <c r="PCP3" s="306"/>
      <c r="PCQ3" s="306"/>
      <c r="PCR3" s="306"/>
      <c r="PCS3" s="306"/>
      <c r="PCT3" s="306"/>
      <c r="PCU3" s="306"/>
      <c r="PCV3" s="306"/>
      <c r="PCW3" s="306"/>
      <c r="PCX3" s="306"/>
      <c r="PCY3" s="306"/>
      <c r="PCZ3" s="306"/>
      <c r="PDA3" s="306"/>
      <c r="PDB3" s="306"/>
      <c r="PDC3" s="306"/>
      <c r="PDD3" s="306"/>
      <c r="PDE3" s="306"/>
      <c r="PDF3" s="306"/>
      <c r="PDG3" s="306"/>
      <c r="PDH3" s="306"/>
      <c r="PDI3" s="306"/>
      <c r="PDJ3" s="306"/>
      <c r="PDK3" s="306"/>
      <c r="PDL3" s="306"/>
      <c r="PDM3" s="306"/>
      <c r="PDN3" s="306"/>
      <c r="PDO3" s="306"/>
      <c r="PDP3" s="306"/>
      <c r="PDQ3" s="306"/>
      <c r="PDR3" s="306"/>
      <c r="PDS3" s="306"/>
      <c r="PDT3" s="306"/>
      <c r="PDU3" s="306"/>
      <c r="PDV3" s="306"/>
      <c r="PDW3" s="306"/>
      <c r="PDX3" s="306"/>
      <c r="PDY3" s="306"/>
      <c r="PDZ3" s="306"/>
      <c r="PEA3" s="306"/>
      <c r="PEB3" s="306"/>
      <c r="PEC3" s="306"/>
      <c r="PED3" s="306"/>
      <c r="PEE3" s="306"/>
      <c r="PEF3" s="306"/>
      <c r="PEG3" s="306"/>
      <c r="PEH3" s="306"/>
      <c r="PEI3" s="306"/>
      <c r="PEJ3" s="306"/>
      <c r="PEK3" s="306"/>
      <c r="PEL3" s="306"/>
      <c r="PEM3" s="306"/>
      <c r="PEN3" s="306"/>
      <c r="PEO3" s="306"/>
      <c r="PEP3" s="306"/>
      <c r="PEQ3" s="306"/>
      <c r="PER3" s="306"/>
      <c r="PES3" s="306"/>
      <c r="PET3" s="306"/>
      <c r="PEU3" s="306"/>
      <c r="PEV3" s="306"/>
      <c r="PEW3" s="306"/>
      <c r="PEX3" s="306"/>
      <c r="PEY3" s="306"/>
      <c r="PEZ3" s="306"/>
      <c r="PFA3" s="306"/>
      <c r="PFB3" s="306"/>
      <c r="PFC3" s="306"/>
      <c r="PFD3" s="306"/>
      <c r="PFE3" s="306"/>
      <c r="PFF3" s="306"/>
      <c r="PFG3" s="306"/>
      <c r="PFH3" s="306"/>
      <c r="PFI3" s="306"/>
      <c r="PFJ3" s="306"/>
      <c r="PFK3" s="306"/>
      <c r="PFL3" s="306"/>
      <c r="PFM3" s="306"/>
      <c r="PFN3" s="306"/>
      <c r="PFO3" s="306"/>
      <c r="PFP3" s="306"/>
      <c r="PFQ3" s="306"/>
      <c r="PFR3" s="306"/>
      <c r="PFS3" s="306"/>
      <c r="PFT3" s="306"/>
      <c r="PFU3" s="306"/>
      <c r="PFV3" s="306"/>
      <c r="PFW3" s="306"/>
      <c r="PFX3" s="306"/>
      <c r="PFY3" s="306"/>
      <c r="PFZ3" s="306"/>
      <c r="PGA3" s="306"/>
      <c r="PGB3" s="306"/>
      <c r="PGC3" s="306"/>
      <c r="PGD3" s="306"/>
      <c r="PGE3" s="306"/>
      <c r="PGF3" s="306"/>
      <c r="PGG3" s="306"/>
      <c r="PGH3" s="306"/>
      <c r="PGI3" s="306"/>
      <c r="PGJ3" s="306"/>
      <c r="PGK3" s="306"/>
      <c r="PGL3" s="306"/>
      <c r="PGM3" s="306"/>
      <c r="PGN3" s="306"/>
      <c r="PGO3" s="306"/>
      <c r="PGP3" s="306"/>
      <c r="PGQ3" s="306"/>
      <c r="PGR3" s="306"/>
      <c r="PGS3" s="306"/>
      <c r="PGT3" s="306"/>
      <c r="PGU3" s="306"/>
      <c r="PGV3" s="306"/>
      <c r="PGW3" s="306"/>
      <c r="PGX3" s="306"/>
      <c r="PGY3" s="306"/>
      <c r="PGZ3" s="306"/>
      <c r="PHA3" s="306"/>
      <c r="PHB3" s="306"/>
      <c r="PHC3" s="306"/>
      <c r="PHD3" s="306"/>
      <c r="PHE3" s="306"/>
      <c r="PHF3" s="306"/>
      <c r="PHG3" s="306"/>
      <c r="PHH3" s="306"/>
      <c r="PHI3" s="306"/>
      <c r="PHJ3" s="306"/>
      <c r="PHK3" s="306"/>
      <c r="PHL3" s="306"/>
      <c r="PHM3" s="306"/>
      <c r="PHN3" s="306"/>
      <c r="PHO3" s="306"/>
      <c r="PHP3" s="306"/>
      <c r="PHQ3" s="306"/>
      <c r="PHR3" s="306"/>
      <c r="PHS3" s="306"/>
      <c r="PHT3" s="306"/>
      <c r="PHU3" s="306"/>
      <c r="PHV3" s="306"/>
      <c r="PHW3" s="306"/>
      <c r="PHX3" s="306"/>
      <c r="PHY3" s="306"/>
      <c r="PHZ3" s="306"/>
      <c r="PIA3" s="306"/>
      <c r="PIB3" s="306"/>
      <c r="PIC3" s="306"/>
      <c r="PID3" s="306"/>
      <c r="PIE3" s="306"/>
      <c r="PIF3" s="306"/>
      <c r="PIG3" s="306"/>
      <c r="PIH3" s="306"/>
      <c r="PII3" s="306"/>
      <c r="PIJ3" s="306"/>
      <c r="PIK3" s="306"/>
      <c r="PIL3" s="306"/>
      <c r="PIM3" s="306"/>
      <c r="PIN3" s="306"/>
      <c r="PIO3" s="306"/>
      <c r="PIP3" s="306"/>
      <c r="PIQ3" s="306"/>
      <c r="PIR3" s="306"/>
      <c r="PIS3" s="306"/>
      <c r="PIT3" s="306"/>
      <c r="PIU3" s="306"/>
      <c r="PIV3" s="306"/>
      <c r="PIW3" s="306"/>
      <c r="PIX3" s="306"/>
      <c r="PIY3" s="306"/>
      <c r="PIZ3" s="306"/>
      <c r="PJA3" s="306"/>
      <c r="PJB3" s="306"/>
      <c r="PJC3" s="306"/>
      <c r="PJD3" s="306"/>
      <c r="PJE3" s="306"/>
      <c r="PJF3" s="306"/>
      <c r="PJG3" s="306"/>
      <c r="PJH3" s="306"/>
      <c r="PJI3" s="306"/>
      <c r="PJJ3" s="306"/>
      <c r="PJK3" s="306"/>
      <c r="PJL3" s="306"/>
      <c r="PJM3" s="306"/>
      <c r="PJN3" s="306"/>
      <c r="PJO3" s="306"/>
      <c r="PJP3" s="306"/>
      <c r="PJQ3" s="306"/>
      <c r="PJR3" s="306"/>
      <c r="PJS3" s="306"/>
      <c r="PJT3" s="306"/>
      <c r="PJU3" s="306"/>
      <c r="PJV3" s="306"/>
      <c r="PJW3" s="306"/>
      <c r="PJX3" s="306"/>
      <c r="PJY3" s="306"/>
      <c r="PJZ3" s="306"/>
      <c r="PKA3" s="306"/>
      <c r="PKB3" s="306"/>
      <c r="PKC3" s="306"/>
      <c r="PKD3" s="306"/>
      <c r="PKE3" s="306"/>
      <c r="PKF3" s="306"/>
      <c r="PKG3" s="306"/>
      <c r="PKH3" s="306"/>
      <c r="PKI3" s="306"/>
      <c r="PKJ3" s="306"/>
      <c r="PKK3" s="306"/>
      <c r="PKL3" s="306"/>
      <c r="PKM3" s="306"/>
      <c r="PKN3" s="306"/>
      <c r="PKO3" s="306"/>
      <c r="PKP3" s="306"/>
      <c r="PKQ3" s="306"/>
      <c r="PKR3" s="306"/>
      <c r="PKS3" s="306"/>
      <c r="PKT3" s="306"/>
      <c r="PKU3" s="306"/>
      <c r="PKV3" s="306"/>
      <c r="PKW3" s="306"/>
      <c r="PKX3" s="306"/>
      <c r="PKY3" s="306"/>
      <c r="PKZ3" s="306"/>
      <c r="PLA3" s="306"/>
      <c r="PLB3" s="306"/>
      <c r="PLC3" s="306"/>
      <c r="PLD3" s="306"/>
      <c r="PLE3" s="306"/>
      <c r="PLF3" s="306"/>
      <c r="PLG3" s="306"/>
      <c r="PLH3" s="306"/>
      <c r="PLI3" s="306"/>
      <c r="PLJ3" s="306"/>
      <c r="PLK3" s="306"/>
      <c r="PLL3" s="306"/>
      <c r="PLM3" s="306"/>
      <c r="PLN3" s="306"/>
      <c r="PLO3" s="306"/>
      <c r="PLP3" s="306"/>
      <c r="PLQ3" s="306"/>
      <c r="PLR3" s="306"/>
      <c r="PLS3" s="306"/>
      <c r="PLT3" s="306"/>
      <c r="PLU3" s="306"/>
      <c r="PLV3" s="306"/>
      <c r="PLW3" s="306"/>
      <c r="PLX3" s="306"/>
      <c r="PLY3" s="306"/>
      <c r="PLZ3" s="306"/>
      <c r="PMA3" s="306"/>
      <c r="PMB3" s="306"/>
      <c r="PMC3" s="306"/>
      <c r="PMD3" s="306"/>
      <c r="PME3" s="306"/>
      <c r="PMF3" s="306"/>
      <c r="PMG3" s="306"/>
      <c r="PMH3" s="306"/>
      <c r="PMI3" s="306"/>
      <c r="PMJ3" s="306"/>
      <c r="PMK3" s="306"/>
      <c r="PML3" s="306"/>
      <c r="PMM3" s="306"/>
      <c r="PMN3" s="306"/>
      <c r="PMO3" s="306"/>
      <c r="PMP3" s="306"/>
      <c r="PMQ3" s="306"/>
      <c r="PMR3" s="306"/>
      <c r="PMS3" s="306"/>
      <c r="PMT3" s="306"/>
      <c r="PMU3" s="306"/>
      <c r="PMV3" s="306"/>
      <c r="PMW3" s="306"/>
      <c r="PMX3" s="306"/>
      <c r="PMY3" s="306"/>
      <c r="PMZ3" s="306"/>
      <c r="PNA3" s="306"/>
      <c r="PNB3" s="306"/>
      <c r="PNC3" s="306"/>
      <c r="PND3" s="306"/>
      <c r="PNE3" s="306"/>
      <c r="PNF3" s="306"/>
      <c r="PNG3" s="306"/>
      <c r="PNH3" s="306"/>
      <c r="PNI3" s="306"/>
      <c r="PNJ3" s="306"/>
      <c r="PNK3" s="306"/>
      <c r="PNL3" s="306"/>
      <c r="PNM3" s="306"/>
      <c r="PNN3" s="306"/>
      <c r="PNO3" s="306"/>
      <c r="PNP3" s="306"/>
      <c r="PNQ3" s="306"/>
      <c r="PNR3" s="306"/>
      <c r="PNS3" s="306"/>
      <c r="PNT3" s="306"/>
      <c r="PNU3" s="306"/>
      <c r="PNV3" s="306"/>
      <c r="PNW3" s="306"/>
      <c r="PNX3" s="306"/>
      <c r="PNY3" s="306"/>
      <c r="PNZ3" s="306"/>
      <c r="POA3" s="306"/>
      <c r="POB3" s="306"/>
      <c r="POC3" s="306"/>
      <c r="POD3" s="306"/>
      <c r="POE3" s="306"/>
      <c r="POF3" s="306"/>
      <c r="POG3" s="306"/>
      <c r="POH3" s="306"/>
      <c r="POI3" s="306"/>
      <c r="POJ3" s="306"/>
      <c r="POK3" s="306"/>
      <c r="POL3" s="306"/>
      <c r="POM3" s="306"/>
      <c r="PON3" s="306"/>
      <c r="POO3" s="306"/>
      <c r="POP3" s="306"/>
      <c r="POQ3" s="306"/>
      <c r="POR3" s="306"/>
      <c r="POS3" s="306"/>
      <c r="POT3" s="306"/>
      <c r="POU3" s="306"/>
      <c r="POV3" s="306"/>
      <c r="POW3" s="306"/>
      <c r="POX3" s="306"/>
      <c r="POY3" s="306"/>
      <c r="POZ3" s="306"/>
      <c r="PPA3" s="306"/>
      <c r="PPB3" s="306"/>
      <c r="PPC3" s="306"/>
      <c r="PPD3" s="306"/>
      <c r="PPE3" s="306"/>
      <c r="PPF3" s="306"/>
      <c r="PPG3" s="306"/>
      <c r="PPH3" s="306"/>
      <c r="PPI3" s="306"/>
      <c r="PPJ3" s="306"/>
      <c r="PPK3" s="306"/>
      <c r="PPL3" s="306"/>
      <c r="PPM3" s="306"/>
      <c r="PPN3" s="306"/>
      <c r="PPO3" s="306"/>
      <c r="PPP3" s="306"/>
      <c r="PPQ3" s="306"/>
      <c r="PPR3" s="306"/>
      <c r="PPS3" s="306"/>
      <c r="PPT3" s="306"/>
      <c r="PPU3" s="306"/>
      <c r="PPV3" s="306"/>
      <c r="PPW3" s="306"/>
      <c r="PPX3" s="306"/>
      <c r="PPY3" s="306"/>
      <c r="PPZ3" s="306"/>
      <c r="PQA3" s="306"/>
      <c r="PQB3" s="306"/>
      <c r="PQC3" s="306"/>
      <c r="PQD3" s="306"/>
      <c r="PQE3" s="306"/>
      <c r="PQF3" s="306"/>
      <c r="PQG3" s="306"/>
      <c r="PQH3" s="306"/>
      <c r="PQI3" s="306"/>
      <c r="PQJ3" s="306"/>
      <c r="PQK3" s="306"/>
      <c r="PQL3" s="306"/>
      <c r="PQM3" s="306"/>
      <c r="PQN3" s="306"/>
      <c r="PQO3" s="306"/>
      <c r="PQP3" s="306"/>
      <c r="PQQ3" s="306"/>
      <c r="PQR3" s="306"/>
      <c r="PQS3" s="306"/>
      <c r="PQT3" s="306"/>
      <c r="PQU3" s="306"/>
      <c r="PQV3" s="306"/>
      <c r="PQW3" s="306"/>
      <c r="PQX3" s="306"/>
      <c r="PQY3" s="306"/>
      <c r="PQZ3" s="306"/>
      <c r="PRA3" s="306"/>
      <c r="PRB3" s="306"/>
      <c r="PRC3" s="306"/>
      <c r="PRD3" s="306"/>
      <c r="PRE3" s="306"/>
      <c r="PRF3" s="306"/>
      <c r="PRG3" s="306"/>
      <c r="PRH3" s="306"/>
      <c r="PRI3" s="306"/>
      <c r="PRJ3" s="306"/>
      <c r="PRK3" s="306"/>
      <c r="PRL3" s="306"/>
      <c r="PRM3" s="306"/>
      <c r="PRN3" s="306"/>
      <c r="PRO3" s="306"/>
      <c r="PRP3" s="306"/>
      <c r="PRQ3" s="306"/>
      <c r="PRR3" s="306"/>
      <c r="PRS3" s="306"/>
      <c r="PRT3" s="306"/>
      <c r="PRU3" s="306"/>
      <c r="PRV3" s="306"/>
      <c r="PRW3" s="306"/>
      <c r="PRX3" s="306"/>
      <c r="PRY3" s="306"/>
      <c r="PRZ3" s="306"/>
      <c r="PSA3" s="306"/>
      <c r="PSB3" s="306"/>
      <c r="PSC3" s="306"/>
      <c r="PSD3" s="306"/>
      <c r="PSE3" s="306"/>
      <c r="PSF3" s="306"/>
      <c r="PSG3" s="306"/>
      <c r="PSH3" s="306"/>
      <c r="PSI3" s="306"/>
      <c r="PSJ3" s="306"/>
      <c r="PSK3" s="306"/>
      <c r="PSL3" s="306"/>
      <c r="PSM3" s="306"/>
      <c r="PSN3" s="306"/>
      <c r="PSO3" s="306"/>
      <c r="PSP3" s="306"/>
      <c r="PSQ3" s="306"/>
      <c r="PSR3" s="306"/>
      <c r="PSS3" s="306"/>
      <c r="PST3" s="306"/>
      <c r="PSU3" s="306"/>
      <c r="PSV3" s="306"/>
      <c r="PSW3" s="306"/>
      <c r="PSX3" s="306"/>
      <c r="PSY3" s="306"/>
      <c r="PSZ3" s="306"/>
      <c r="PTA3" s="306"/>
      <c r="PTB3" s="306"/>
      <c r="PTC3" s="306"/>
      <c r="PTD3" s="306"/>
      <c r="PTE3" s="306"/>
      <c r="PTF3" s="306"/>
      <c r="PTG3" s="306"/>
      <c r="PTH3" s="306"/>
      <c r="PTI3" s="306"/>
      <c r="PTJ3" s="306"/>
      <c r="PTK3" s="306"/>
      <c r="PTL3" s="306"/>
      <c r="PTM3" s="306"/>
      <c r="PTN3" s="306"/>
      <c r="PTO3" s="306"/>
      <c r="PTP3" s="306"/>
      <c r="PTQ3" s="306"/>
      <c r="PTR3" s="306"/>
      <c r="PTS3" s="306"/>
      <c r="PTT3" s="306"/>
      <c r="PTU3" s="306"/>
      <c r="PTV3" s="306"/>
      <c r="PTW3" s="306"/>
      <c r="PTX3" s="306"/>
      <c r="PTY3" s="306"/>
      <c r="PTZ3" s="306"/>
      <c r="PUA3" s="306"/>
      <c r="PUB3" s="306"/>
      <c r="PUC3" s="306"/>
      <c r="PUD3" s="306"/>
      <c r="PUE3" s="306"/>
      <c r="PUF3" s="306"/>
      <c r="PUG3" s="306"/>
      <c r="PUH3" s="306"/>
      <c r="PUI3" s="306"/>
      <c r="PUJ3" s="306"/>
      <c r="PUK3" s="306"/>
      <c r="PUL3" s="306"/>
      <c r="PUM3" s="306"/>
      <c r="PUN3" s="306"/>
      <c r="PUO3" s="306"/>
      <c r="PUP3" s="306"/>
      <c r="PUQ3" s="306"/>
      <c r="PUR3" s="306"/>
      <c r="PUS3" s="306"/>
      <c r="PUT3" s="306"/>
      <c r="PUU3" s="306"/>
      <c r="PUV3" s="306"/>
      <c r="PUW3" s="306"/>
      <c r="PUX3" s="306"/>
      <c r="PUY3" s="306"/>
      <c r="PUZ3" s="306"/>
      <c r="PVA3" s="306"/>
      <c r="PVB3" s="306"/>
      <c r="PVC3" s="306"/>
      <c r="PVD3" s="306"/>
      <c r="PVE3" s="306"/>
      <c r="PVF3" s="306"/>
      <c r="PVG3" s="306"/>
      <c r="PVH3" s="306"/>
      <c r="PVI3" s="306"/>
      <c r="PVJ3" s="306"/>
      <c r="PVK3" s="306"/>
      <c r="PVL3" s="306"/>
      <c r="PVM3" s="306"/>
      <c r="PVN3" s="306"/>
      <c r="PVO3" s="306"/>
      <c r="PVP3" s="306"/>
      <c r="PVQ3" s="306"/>
      <c r="PVR3" s="306"/>
      <c r="PVS3" s="306"/>
      <c r="PVT3" s="306"/>
      <c r="PVU3" s="306"/>
      <c r="PVV3" s="306"/>
      <c r="PVW3" s="306"/>
      <c r="PVX3" s="306"/>
      <c r="PVY3" s="306"/>
      <c r="PVZ3" s="306"/>
      <c r="PWA3" s="306"/>
      <c r="PWB3" s="306"/>
      <c r="PWC3" s="306"/>
      <c r="PWD3" s="306"/>
      <c r="PWE3" s="306"/>
      <c r="PWF3" s="306"/>
      <c r="PWG3" s="306"/>
      <c r="PWH3" s="306"/>
      <c r="PWI3" s="306"/>
      <c r="PWJ3" s="306"/>
      <c r="PWK3" s="306"/>
      <c r="PWL3" s="306"/>
      <c r="PWM3" s="306"/>
      <c r="PWN3" s="306"/>
      <c r="PWO3" s="306"/>
      <c r="PWP3" s="306"/>
      <c r="PWQ3" s="306"/>
      <c r="PWR3" s="306"/>
      <c r="PWS3" s="306"/>
      <c r="PWT3" s="306"/>
      <c r="PWU3" s="306"/>
      <c r="PWV3" s="306"/>
      <c r="PWW3" s="306"/>
      <c r="PWX3" s="306"/>
      <c r="PWY3" s="306"/>
      <c r="PWZ3" s="306"/>
      <c r="PXA3" s="306"/>
      <c r="PXB3" s="306"/>
      <c r="PXC3" s="306"/>
      <c r="PXD3" s="306"/>
      <c r="PXE3" s="306"/>
      <c r="PXF3" s="306"/>
      <c r="PXG3" s="306"/>
      <c r="PXH3" s="306"/>
      <c r="PXI3" s="306"/>
      <c r="PXJ3" s="306"/>
      <c r="PXK3" s="306"/>
      <c r="PXL3" s="306"/>
      <c r="PXM3" s="306"/>
      <c r="PXN3" s="306"/>
      <c r="PXO3" s="306"/>
      <c r="PXP3" s="306"/>
      <c r="PXQ3" s="306"/>
      <c r="PXR3" s="306"/>
      <c r="PXS3" s="306"/>
      <c r="PXT3" s="306"/>
      <c r="PXU3" s="306"/>
      <c r="PXV3" s="306"/>
      <c r="PXW3" s="306"/>
      <c r="PXX3" s="306"/>
      <c r="PXY3" s="306"/>
      <c r="PXZ3" s="306"/>
      <c r="PYA3" s="306"/>
      <c r="PYB3" s="306"/>
      <c r="PYC3" s="306"/>
      <c r="PYD3" s="306"/>
      <c r="PYE3" s="306"/>
      <c r="PYF3" s="306"/>
      <c r="PYG3" s="306"/>
      <c r="PYH3" s="306"/>
      <c r="PYI3" s="306"/>
      <c r="PYJ3" s="306"/>
      <c r="PYK3" s="306"/>
      <c r="PYL3" s="306"/>
      <c r="PYM3" s="306"/>
      <c r="PYN3" s="306"/>
      <c r="PYO3" s="306"/>
      <c r="PYP3" s="306"/>
      <c r="PYQ3" s="306"/>
      <c r="PYR3" s="306"/>
      <c r="PYS3" s="306"/>
      <c r="PYT3" s="306"/>
      <c r="PYU3" s="306"/>
      <c r="PYV3" s="306"/>
      <c r="PYW3" s="306"/>
      <c r="PYX3" s="306"/>
      <c r="PYY3" s="306"/>
      <c r="PYZ3" s="306"/>
      <c r="PZA3" s="306"/>
      <c r="PZB3" s="306"/>
      <c r="PZC3" s="306"/>
      <c r="PZD3" s="306"/>
      <c r="PZE3" s="306"/>
      <c r="PZF3" s="306"/>
      <c r="PZG3" s="306"/>
      <c r="PZH3" s="306"/>
      <c r="PZI3" s="306"/>
      <c r="PZJ3" s="306"/>
      <c r="PZK3" s="306"/>
      <c r="PZL3" s="306"/>
      <c r="PZM3" s="306"/>
      <c r="PZN3" s="306"/>
      <c r="PZO3" s="306"/>
      <c r="PZP3" s="306"/>
      <c r="PZQ3" s="306"/>
      <c r="PZR3" s="306"/>
      <c r="PZS3" s="306"/>
      <c r="PZT3" s="306"/>
      <c r="PZU3" s="306"/>
      <c r="PZV3" s="306"/>
      <c r="PZW3" s="306"/>
      <c r="PZX3" s="306"/>
      <c r="PZY3" s="306"/>
      <c r="PZZ3" s="306"/>
      <c r="QAA3" s="306"/>
      <c r="QAB3" s="306"/>
      <c r="QAC3" s="306"/>
      <c r="QAD3" s="306"/>
      <c r="QAE3" s="306"/>
      <c r="QAF3" s="306"/>
      <c r="QAG3" s="306"/>
      <c r="QAH3" s="306"/>
      <c r="QAI3" s="306"/>
      <c r="QAJ3" s="306"/>
      <c r="QAK3" s="306"/>
      <c r="QAL3" s="306"/>
      <c r="QAM3" s="306"/>
      <c r="QAN3" s="306"/>
      <c r="QAO3" s="306"/>
      <c r="QAP3" s="306"/>
      <c r="QAQ3" s="306"/>
      <c r="QAR3" s="306"/>
      <c r="QAS3" s="306"/>
      <c r="QAT3" s="306"/>
      <c r="QAU3" s="306"/>
      <c r="QAV3" s="306"/>
      <c r="QAW3" s="306"/>
      <c r="QAX3" s="306"/>
      <c r="QAY3" s="306"/>
      <c r="QAZ3" s="306"/>
      <c r="QBA3" s="306"/>
      <c r="QBB3" s="306"/>
      <c r="QBC3" s="306"/>
      <c r="QBD3" s="306"/>
      <c r="QBE3" s="306"/>
      <c r="QBF3" s="306"/>
      <c r="QBG3" s="306"/>
      <c r="QBH3" s="306"/>
      <c r="QBI3" s="306"/>
      <c r="QBJ3" s="306"/>
      <c r="QBK3" s="306"/>
      <c r="QBL3" s="306"/>
      <c r="QBM3" s="306"/>
      <c r="QBN3" s="306"/>
      <c r="QBO3" s="306"/>
      <c r="QBP3" s="306"/>
      <c r="QBQ3" s="306"/>
      <c r="QBR3" s="306"/>
      <c r="QBS3" s="306"/>
      <c r="QBT3" s="306"/>
      <c r="QBU3" s="306"/>
      <c r="QBV3" s="306"/>
      <c r="QBW3" s="306"/>
      <c r="QBX3" s="306"/>
      <c r="QBY3" s="306"/>
      <c r="QBZ3" s="306"/>
      <c r="QCA3" s="306"/>
      <c r="QCB3" s="306"/>
      <c r="QCC3" s="306"/>
      <c r="QCD3" s="306"/>
      <c r="QCE3" s="306"/>
      <c r="QCF3" s="306"/>
      <c r="QCG3" s="306"/>
      <c r="QCH3" s="306"/>
      <c r="QCI3" s="306"/>
      <c r="QCJ3" s="306"/>
      <c r="QCK3" s="306"/>
      <c r="QCL3" s="306"/>
      <c r="QCM3" s="306"/>
      <c r="QCN3" s="306"/>
      <c r="QCO3" s="306"/>
      <c r="QCP3" s="306"/>
      <c r="QCQ3" s="306"/>
      <c r="QCR3" s="306"/>
      <c r="QCS3" s="306"/>
      <c r="QCT3" s="306"/>
      <c r="QCU3" s="306"/>
      <c r="QCV3" s="306"/>
      <c r="QCW3" s="306"/>
      <c r="QCX3" s="306"/>
      <c r="QCY3" s="306"/>
      <c r="QCZ3" s="306"/>
      <c r="QDA3" s="306"/>
      <c r="QDB3" s="306"/>
      <c r="QDC3" s="306"/>
      <c r="QDD3" s="306"/>
      <c r="QDE3" s="306"/>
      <c r="QDF3" s="306"/>
      <c r="QDG3" s="306"/>
      <c r="QDH3" s="306"/>
      <c r="QDI3" s="306"/>
      <c r="QDJ3" s="306"/>
      <c r="QDK3" s="306"/>
      <c r="QDL3" s="306"/>
      <c r="QDM3" s="306"/>
      <c r="QDN3" s="306"/>
      <c r="QDO3" s="306"/>
      <c r="QDP3" s="306"/>
      <c r="QDQ3" s="306"/>
      <c r="QDR3" s="306"/>
      <c r="QDS3" s="306"/>
      <c r="QDT3" s="306"/>
      <c r="QDU3" s="306"/>
      <c r="QDV3" s="306"/>
      <c r="QDW3" s="306"/>
      <c r="QDX3" s="306"/>
      <c r="QDY3" s="306"/>
      <c r="QDZ3" s="306"/>
      <c r="QEA3" s="306"/>
      <c r="QEB3" s="306"/>
      <c r="QEC3" s="306"/>
      <c r="QED3" s="306"/>
      <c r="QEE3" s="306"/>
      <c r="QEF3" s="306"/>
      <c r="QEG3" s="306"/>
      <c r="QEH3" s="306"/>
      <c r="QEI3" s="306"/>
      <c r="QEJ3" s="306"/>
      <c r="QEK3" s="306"/>
      <c r="QEL3" s="306"/>
      <c r="QEM3" s="306"/>
      <c r="QEN3" s="306"/>
      <c r="QEO3" s="306"/>
      <c r="QEP3" s="306"/>
      <c r="QEQ3" s="306"/>
      <c r="QER3" s="306"/>
      <c r="QES3" s="306"/>
      <c r="QET3" s="306"/>
      <c r="QEU3" s="306"/>
      <c r="QEV3" s="306"/>
      <c r="QEW3" s="306"/>
      <c r="QEX3" s="306"/>
      <c r="QEY3" s="306"/>
      <c r="QEZ3" s="306"/>
      <c r="QFA3" s="306"/>
      <c r="QFB3" s="306"/>
      <c r="QFC3" s="306"/>
      <c r="QFD3" s="306"/>
      <c r="QFE3" s="306"/>
      <c r="QFF3" s="306"/>
      <c r="QFG3" s="306"/>
      <c r="QFH3" s="306"/>
      <c r="QFI3" s="306"/>
      <c r="QFJ3" s="306"/>
      <c r="QFK3" s="306"/>
      <c r="QFL3" s="306"/>
      <c r="QFM3" s="306"/>
      <c r="QFN3" s="306"/>
      <c r="QFO3" s="306"/>
      <c r="QFP3" s="306"/>
      <c r="QFQ3" s="306"/>
      <c r="QFR3" s="306"/>
      <c r="QFS3" s="306"/>
      <c r="QFT3" s="306"/>
      <c r="QFU3" s="306"/>
      <c r="QFV3" s="306"/>
      <c r="QFW3" s="306"/>
      <c r="QFX3" s="306"/>
      <c r="QFY3" s="306"/>
      <c r="QFZ3" s="306"/>
      <c r="QGA3" s="306"/>
      <c r="QGB3" s="306"/>
      <c r="QGC3" s="306"/>
      <c r="QGD3" s="306"/>
      <c r="QGE3" s="306"/>
      <c r="QGF3" s="306"/>
      <c r="QGG3" s="306"/>
      <c r="QGH3" s="306"/>
      <c r="QGI3" s="306"/>
      <c r="QGJ3" s="306"/>
      <c r="QGK3" s="306"/>
      <c r="QGL3" s="306"/>
      <c r="QGM3" s="306"/>
      <c r="QGN3" s="306"/>
      <c r="QGO3" s="306"/>
      <c r="QGP3" s="306"/>
      <c r="QGQ3" s="306"/>
      <c r="QGR3" s="306"/>
      <c r="QGS3" s="306"/>
      <c r="QGT3" s="306"/>
      <c r="QGU3" s="306"/>
      <c r="QGV3" s="306"/>
      <c r="QGW3" s="306"/>
      <c r="QGX3" s="306"/>
      <c r="QGY3" s="306"/>
      <c r="QGZ3" s="306"/>
      <c r="QHA3" s="306"/>
      <c r="QHB3" s="306"/>
      <c r="QHC3" s="306"/>
      <c r="QHD3" s="306"/>
      <c r="QHE3" s="306"/>
      <c r="QHF3" s="306"/>
      <c r="QHG3" s="306"/>
      <c r="QHH3" s="306"/>
      <c r="QHI3" s="306"/>
      <c r="QHJ3" s="306"/>
      <c r="QHK3" s="306"/>
      <c r="QHL3" s="306"/>
      <c r="QHM3" s="306"/>
      <c r="QHN3" s="306"/>
      <c r="QHO3" s="306"/>
      <c r="QHP3" s="306"/>
      <c r="QHQ3" s="306"/>
      <c r="QHR3" s="306"/>
      <c r="QHS3" s="306"/>
      <c r="QHT3" s="306"/>
      <c r="QHU3" s="306"/>
      <c r="QHV3" s="306"/>
      <c r="QHW3" s="306"/>
      <c r="QHX3" s="306"/>
      <c r="QHY3" s="306"/>
      <c r="QHZ3" s="306"/>
      <c r="QIA3" s="306"/>
      <c r="QIB3" s="306"/>
      <c r="QIC3" s="306"/>
      <c r="QID3" s="306"/>
      <c r="QIE3" s="306"/>
      <c r="QIF3" s="306"/>
      <c r="QIG3" s="306"/>
      <c r="QIH3" s="306"/>
      <c r="QII3" s="306"/>
      <c r="QIJ3" s="306"/>
      <c r="QIK3" s="306"/>
      <c r="QIL3" s="306"/>
      <c r="QIM3" s="306"/>
      <c r="QIN3" s="306"/>
      <c r="QIO3" s="306"/>
      <c r="QIP3" s="306"/>
      <c r="QIQ3" s="306"/>
      <c r="QIR3" s="306"/>
      <c r="QIS3" s="306"/>
      <c r="QIT3" s="306"/>
      <c r="QIU3" s="306"/>
      <c r="QIV3" s="306"/>
      <c r="QIW3" s="306"/>
      <c r="QIX3" s="306"/>
      <c r="QIY3" s="306"/>
      <c r="QIZ3" s="306"/>
      <c r="QJA3" s="306"/>
      <c r="QJB3" s="306"/>
      <c r="QJC3" s="306"/>
      <c r="QJD3" s="306"/>
      <c r="QJE3" s="306"/>
      <c r="QJF3" s="306"/>
      <c r="QJG3" s="306"/>
      <c r="QJH3" s="306"/>
      <c r="QJI3" s="306"/>
      <c r="QJJ3" s="306"/>
      <c r="QJK3" s="306"/>
      <c r="QJL3" s="306"/>
      <c r="QJM3" s="306"/>
      <c r="QJN3" s="306"/>
      <c r="QJO3" s="306"/>
      <c r="QJP3" s="306"/>
      <c r="QJQ3" s="306"/>
      <c r="QJR3" s="306"/>
      <c r="QJS3" s="306"/>
      <c r="QJT3" s="306"/>
      <c r="QJU3" s="306"/>
      <c r="QJV3" s="306"/>
      <c r="QJW3" s="306"/>
      <c r="QJX3" s="306"/>
      <c r="QJY3" s="306"/>
      <c r="QJZ3" s="306"/>
      <c r="QKA3" s="306"/>
      <c r="QKB3" s="306"/>
      <c r="QKC3" s="306"/>
      <c r="QKD3" s="306"/>
      <c r="QKE3" s="306"/>
      <c r="QKF3" s="306"/>
      <c r="QKG3" s="306"/>
      <c r="QKH3" s="306"/>
      <c r="QKI3" s="306"/>
      <c r="QKJ3" s="306"/>
      <c r="QKK3" s="306"/>
      <c r="QKL3" s="306"/>
      <c r="QKM3" s="306"/>
      <c r="QKN3" s="306"/>
      <c r="QKO3" s="306"/>
      <c r="QKP3" s="306"/>
      <c r="QKQ3" s="306"/>
      <c r="QKR3" s="306"/>
      <c r="QKS3" s="306"/>
      <c r="QKT3" s="306"/>
      <c r="QKU3" s="306"/>
      <c r="QKV3" s="306"/>
      <c r="QKW3" s="306"/>
      <c r="QKX3" s="306"/>
      <c r="QKY3" s="306"/>
      <c r="QKZ3" s="306"/>
      <c r="QLA3" s="306"/>
      <c r="QLB3" s="306"/>
      <c r="QLC3" s="306"/>
      <c r="QLD3" s="306"/>
      <c r="QLE3" s="306"/>
      <c r="QLF3" s="306"/>
      <c r="QLG3" s="306"/>
      <c r="QLH3" s="306"/>
      <c r="QLI3" s="306"/>
      <c r="QLJ3" s="306"/>
      <c r="QLK3" s="306"/>
      <c r="QLL3" s="306"/>
      <c r="QLM3" s="306"/>
      <c r="QLN3" s="306"/>
      <c r="QLO3" s="306"/>
      <c r="QLP3" s="306"/>
      <c r="QLQ3" s="306"/>
      <c r="QLR3" s="306"/>
      <c r="QLS3" s="306"/>
      <c r="QLT3" s="306"/>
      <c r="QLU3" s="306"/>
      <c r="QLV3" s="306"/>
      <c r="QLW3" s="306"/>
      <c r="QLX3" s="306"/>
      <c r="QLY3" s="306"/>
      <c r="QLZ3" s="306"/>
      <c r="QMA3" s="306"/>
      <c r="QMB3" s="306"/>
      <c r="QMC3" s="306"/>
      <c r="QMD3" s="306"/>
      <c r="QME3" s="306"/>
      <c r="QMF3" s="306"/>
      <c r="QMG3" s="306"/>
      <c r="QMH3" s="306"/>
      <c r="QMI3" s="306"/>
      <c r="QMJ3" s="306"/>
      <c r="QMK3" s="306"/>
      <c r="QML3" s="306"/>
      <c r="QMM3" s="306"/>
      <c r="QMN3" s="306"/>
      <c r="QMO3" s="306"/>
      <c r="QMP3" s="306"/>
      <c r="QMQ3" s="306"/>
      <c r="QMR3" s="306"/>
      <c r="QMS3" s="306"/>
      <c r="QMT3" s="306"/>
      <c r="QMU3" s="306"/>
      <c r="QMV3" s="306"/>
      <c r="QMW3" s="306"/>
      <c r="QMX3" s="306"/>
      <c r="QMY3" s="306"/>
      <c r="QMZ3" s="306"/>
      <c r="QNA3" s="306"/>
      <c r="QNB3" s="306"/>
      <c r="QNC3" s="306"/>
      <c r="QND3" s="306"/>
      <c r="QNE3" s="306"/>
      <c r="QNF3" s="306"/>
      <c r="QNG3" s="306"/>
      <c r="QNH3" s="306"/>
      <c r="QNI3" s="306"/>
      <c r="QNJ3" s="306"/>
      <c r="QNK3" s="306"/>
      <c r="QNL3" s="306"/>
      <c r="QNM3" s="306"/>
      <c r="QNN3" s="306"/>
      <c r="QNO3" s="306"/>
      <c r="QNP3" s="306"/>
      <c r="QNQ3" s="306"/>
      <c r="QNR3" s="306"/>
      <c r="QNS3" s="306"/>
      <c r="QNT3" s="306"/>
      <c r="QNU3" s="306"/>
      <c r="QNV3" s="306"/>
      <c r="QNW3" s="306"/>
      <c r="QNX3" s="306"/>
      <c r="QNY3" s="306"/>
      <c r="QNZ3" s="306"/>
      <c r="QOA3" s="306"/>
      <c r="QOB3" s="306"/>
      <c r="QOC3" s="306"/>
      <c r="QOD3" s="306"/>
      <c r="QOE3" s="306"/>
      <c r="QOF3" s="306"/>
      <c r="QOG3" s="306"/>
      <c r="QOH3" s="306"/>
      <c r="QOI3" s="306"/>
      <c r="QOJ3" s="306"/>
      <c r="QOK3" s="306"/>
      <c r="QOL3" s="306"/>
      <c r="QOM3" s="306"/>
      <c r="QON3" s="306"/>
      <c r="QOO3" s="306"/>
      <c r="QOP3" s="306"/>
      <c r="QOQ3" s="306"/>
      <c r="QOR3" s="306"/>
      <c r="QOS3" s="306"/>
      <c r="QOT3" s="306"/>
      <c r="QOU3" s="306"/>
      <c r="QOV3" s="306"/>
      <c r="QOW3" s="306"/>
      <c r="QOX3" s="306"/>
      <c r="QOY3" s="306"/>
      <c r="QOZ3" s="306"/>
      <c r="QPA3" s="306"/>
      <c r="QPB3" s="306"/>
      <c r="QPC3" s="306"/>
      <c r="QPD3" s="306"/>
      <c r="QPE3" s="306"/>
      <c r="QPF3" s="306"/>
      <c r="QPG3" s="306"/>
      <c r="QPH3" s="306"/>
      <c r="QPI3" s="306"/>
      <c r="QPJ3" s="306"/>
      <c r="QPK3" s="306"/>
      <c r="QPL3" s="306"/>
      <c r="QPM3" s="306"/>
      <c r="QPN3" s="306"/>
      <c r="QPO3" s="306"/>
      <c r="QPP3" s="306"/>
      <c r="QPQ3" s="306"/>
      <c r="QPR3" s="306"/>
      <c r="QPS3" s="306"/>
      <c r="QPT3" s="306"/>
      <c r="QPU3" s="306"/>
      <c r="QPV3" s="306"/>
      <c r="QPW3" s="306"/>
      <c r="QPX3" s="306"/>
      <c r="QPY3" s="306"/>
      <c r="QPZ3" s="306"/>
      <c r="QQA3" s="306"/>
      <c r="QQB3" s="306"/>
      <c r="QQC3" s="306"/>
      <c r="QQD3" s="306"/>
      <c r="QQE3" s="306"/>
      <c r="QQF3" s="306"/>
      <c r="QQG3" s="306"/>
      <c r="QQH3" s="306"/>
      <c r="QQI3" s="306"/>
      <c r="QQJ3" s="306"/>
      <c r="QQK3" s="306"/>
      <c r="QQL3" s="306"/>
      <c r="QQM3" s="306"/>
      <c r="QQN3" s="306"/>
      <c r="QQO3" s="306"/>
      <c r="QQP3" s="306"/>
      <c r="QQQ3" s="306"/>
      <c r="QQR3" s="306"/>
      <c r="QQS3" s="306"/>
      <c r="QQT3" s="306"/>
      <c r="QQU3" s="306"/>
      <c r="QQV3" s="306"/>
      <c r="QQW3" s="306"/>
      <c r="QQX3" s="306"/>
      <c r="QQY3" s="306"/>
      <c r="QQZ3" s="306"/>
      <c r="QRA3" s="306"/>
      <c r="QRB3" s="306"/>
      <c r="QRC3" s="306"/>
      <c r="QRD3" s="306"/>
      <c r="QRE3" s="306"/>
      <c r="QRF3" s="306"/>
      <c r="QRG3" s="306"/>
      <c r="QRH3" s="306"/>
      <c r="QRI3" s="306"/>
      <c r="QRJ3" s="306"/>
      <c r="QRK3" s="306"/>
      <c r="QRL3" s="306"/>
      <c r="QRM3" s="306"/>
      <c r="QRN3" s="306"/>
      <c r="QRO3" s="306"/>
      <c r="QRP3" s="306"/>
      <c r="QRQ3" s="306"/>
      <c r="QRR3" s="306"/>
      <c r="QRS3" s="306"/>
      <c r="QRT3" s="306"/>
      <c r="QRU3" s="306"/>
      <c r="QRV3" s="306"/>
      <c r="QRW3" s="306"/>
      <c r="QRX3" s="306"/>
      <c r="QRY3" s="306"/>
      <c r="QRZ3" s="306"/>
      <c r="QSA3" s="306"/>
      <c r="QSB3" s="306"/>
      <c r="QSC3" s="306"/>
      <c r="QSD3" s="306"/>
      <c r="QSE3" s="306"/>
      <c r="QSF3" s="306"/>
      <c r="QSG3" s="306"/>
      <c r="QSH3" s="306"/>
      <c r="QSI3" s="306"/>
      <c r="QSJ3" s="306"/>
      <c r="QSK3" s="306"/>
      <c r="QSL3" s="306"/>
      <c r="QSM3" s="306"/>
      <c r="QSN3" s="306"/>
      <c r="QSO3" s="306"/>
      <c r="QSP3" s="306"/>
      <c r="QSQ3" s="306"/>
      <c r="QSR3" s="306"/>
      <c r="QSS3" s="306"/>
      <c r="QST3" s="306"/>
      <c r="QSU3" s="306"/>
      <c r="QSV3" s="306"/>
      <c r="QSW3" s="306"/>
      <c r="QSX3" s="306"/>
      <c r="QSY3" s="306"/>
      <c r="QSZ3" s="306"/>
      <c r="QTA3" s="306"/>
      <c r="QTB3" s="306"/>
      <c r="QTC3" s="306"/>
      <c r="QTD3" s="306"/>
      <c r="QTE3" s="306"/>
      <c r="QTF3" s="306"/>
      <c r="QTG3" s="306"/>
      <c r="QTH3" s="306"/>
      <c r="QTI3" s="306"/>
      <c r="QTJ3" s="306"/>
      <c r="QTK3" s="306"/>
      <c r="QTL3" s="306"/>
      <c r="QTM3" s="306"/>
      <c r="QTN3" s="306"/>
      <c r="QTO3" s="306"/>
      <c r="QTP3" s="306"/>
      <c r="QTQ3" s="306"/>
      <c r="QTR3" s="306"/>
      <c r="QTS3" s="306"/>
      <c r="QTT3" s="306"/>
      <c r="QTU3" s="306"/>
      <c r="QTV3" s="306"/>
      <c r="QTW3" s="306"/>
      <c r="QTX3" s="306"/>
      <c r="QTY3" s="306"/>
      <c r="QTZ3" s="306"/>
      <c r="QUA3" s="306"/>
      <c r="QUB3" s="306"/>
      <c r="QUC3" s="306"/>
      <c r="QUD3" s="306"/>
      <c r="QUE3" s="306"/>
      <c r="QUF3" s="306"/>
      <c r="QUG3" s="306"/>
      <c r="QUH3" s="306"/>
      <c r="QUI3" s="306"/>
      <c r="QUJ3" s="306"/>
      <c r="QUK3" s="306"/>
      <c r="QUL3" s="306"/>
      <c r="QUM3" s="306"/>
      <c r="QUN3" s="306"/>
      <c r="QUO3" s="306"/>
      <c r="QUP3" s="306"/>
      <c r="QUQ3" s="306"/>
      <c r="QUR3" s="306"/>
      <c r="QUS3" s="306"/>
      <c r="QUT3" s="306"/>
      <c r="QUU3" s="306"/>
      <c r="QUV3" s="306"/>
      <c r="QUW3" s="306"/>
      <c r="QUX3" s="306"/>
      <c r="QUY3" s="306"/>
      <c r="QUZ3" s="306"/>
      <c r="QVA3" s="306"/>
      <c r="QVB3" s="306"/>
      <c r="QVC3" s="306"/>
      <c r="QVD3" s="306"/>
      <c r="QVE3" s="306"/>
      <c r="QVF3" s="306"/>
      <c r="QVG3" s="306"/>
      <c r="QVH3" s="306"/>
      <c r="QVI3" s="306"/>
      <c r="QVJ3" s="306"/>
      <c r="QVK3" s="306"/>
      <c r="QVL3" s="306"/>
      <c r="QVM3" s="306"/>
      <c r="QVN3" s="306"/>
      <c r="QVO3" s="306"/>
      <c r="QVP3" s="306"/>
      <c r="QVQ3" s="306"/>
      <c r="QVR3" s="306"/>
      <c r="QVS3" s="306"/>
      <c r="QVT3" s="306"/>
      <c r="QVU3" s="306"/>
      <c r="QVV3" s="306"/>
      <c r="QVW3" s="306"/>
      <c r="QVX3" s="306"/>
      <c r="QVY3" s="306"/>
      <c r="QVZ3" s="306"/>
      <c r="QWA3" s="306"/>
      <c r="QWB3" s="306"/>
      <c r="QWC3" s="306"/>
      <c r="QWD3" s="306"/>
      <c r="QWE3" s="306"/>
      <c r="QWF3" s="306"/>
      <c r="QWG3" s="306"/>
      <c r="QWH3" s="306"/>
      <c r="QWI3" s="306"/>
      <c r="QWJ3" s="306"/>
      <c r="QWK3" s="306"/>
      <c r="QWL3" s="306"/>
      <c r="QWM3" s="306"/>
      <c r="QWN3" s="306"/>
      <c r="QWO3" s="306"/>
      <c r="QWP3" s="306"/>
      <c r="QWQ3" s="306"/>
      <c r="QWR3" s="306"/>
      <c r="QWS3" s="306"/>
      <c r="QWT3" s="306"/>
      <c r="QWU3" s="306"/>
      <c r="QWV3" s="306"/>
      <c r="QWW3" s="306"/>
      <c r="QWX3" s="306"/>
      <c r="QWY3" s="306"/>
      <c r="QWZ3" s="306"/>
      <c r="QXA3" s="306"/>
      <c r="QXB3" s="306"/>
      <c r="QXC3" s="306"/>
      <c r="QXD3" s="306"/>
      <c r="QXE3" s="306"/>
      <c r="QXF3" s="306"/>
      <c r="QXG3" s="306"/>
      <c r="QXH3" s="306"/>
      <c r="QXI3" s="306"/>
      <c r="QXJ3" s="306"/>
      <c r="QXK3" s="306"/>
      <c r="QXL3" s="306"/>
      <c r="QXM3" s="306"/>
      <c r="QXN3" s="306"/>
      <c r="QXO3" s="306"/>
      <c r="QXP3" s="306"/>
      <c r="QXQ3" s="306"/>
      <c r="QXR3" s="306"/>
      <c r="QXS3" s="306"/>
      <c r="QXT3" s="306"/>
      <c r="QXU3" s="306"/>
      <c r="QXV3" s="306"/>
      <c r="QXW3" s="306"/>
      <c r="QXX3" s="306"/>
      <c r="QXY3" s="306"/>
      <c r="QXZ3" s="306"/>
      <c r="QYA3" s="306"/>
      <c r="QYB3" s="306"/>
      <c r="QYC3" s="306"/>
      <c r="QYD3" s="306"/>
      <c r="QYE3" s="306"/>
      <c r="QYF3" s="306"/>
      <c r="QYG3" s="306"/>
      <c r="QYH3" s="306"/>
      <c r="QYI3" s="306"/>
      <c r="QYJ3" s="306"/>
      <c r="QYK3" s="306"/>
      <c r="QYL3" s="306"/>
      <c r="QYM3" s="306"/>
      <c r="QYN3" s="306"/>
      <c r="QYO3" s="306"/>
      <c r="QYP3" s="306"/>
      <c r="QYQ3" s="306"/>
      <c r="QYR3" s="306"/>
      <c r="QYS3" s="306"/>
      <c r="QYT3" s="306"/>
      <c r="QYU3" s="306"/>
      <c r="QYV3" s="306"/>
      <c r="QYW3" s="306"/>
      <c r="QYX3" s="306"/>
      <c r="QYY3" s="306"/>
      <c r="QYZ3" s="306"/>
      <c r="QZA3" s="306"/>
      <c r="QZB3" s="306"/>
      <c r="QZC3" s="306"/>
      <c r="QZD3" s="306"/>
      <c r="QZE3" s="306"/>
      <c r="QZF3" s="306"/>
      <c r="QZG3" s="306"/>
      <c r="QZH3" s="306"/>
      <c r="QZI3" s="306"/>
      <c r="QZJ3" s="306"/>
      <c r="QZK3" s="306"/>
      <c r="QZL3" s="306"/>
      <c r="QZM3" s="306"/>
      <c r="QZN3" s="306"/>
      <c r="QZO3" s="306"/>
      <c r="QZP3" s="306"/>
      <c r="QZQ3" s="306"/>
      <c r="QZR3" s="306"/>
      <c r="QZS3" s="306"/>
      <c r="QZT3" s="306"/>
      <c r="QZU3" s="306"/>
      <c r="QZV3" s="306"/>
      <c r="QZW3" s="306"/>
      <c r="QZX3" s="306"/>
      <c r="QZY3" s="306"/>
      <c r="QZZ3" s="306"/>
      <c r="RAA3" s="306"/>
      <c r="RAB3" s="306"/>
      <c r="RAC3" s="306"/>
      <c r="RAD3" s="306"/>
      <c r="RAE3" s="306"/>
      <c r="RAF3" s="306"/>
      <c r="RAG3" s="306"/>
      <c r="RAH3" s="306"/>
      <c r="RAI3" s="306"/>
      <c r="RAJ3" s="306"/>
      <c r="RAK3" s="306"/>
      <c r="RAL3" s="306"/>
      <c r="RAM3" s="306"/>
      <c r="RAN3" s="306"/>
      <c r="RAO3" s="306"/>
      <c r="RAP3" s="306"/>
      <c r="RAQ3" s="306"/>
      <c r="RAR3" s="306"/>
      <c r="RAS3" s="306"/>
      <c r="RAT3" s="306"/>
      <c r="RAU3" s="306"/>
      <c r="RAV3" s="306"/>
      <c r="RAW3" s="306"/>
      <c r="RAX3" s="306"/>
      <c r="RAY3" s="306"/>
      <c r="RAZ3" s="306"/>
      <c r="RBA3" s="306"/>
      <c r="RBB3" s="306"/>
      <c r="RBC3" s="306"/>
      <c r="RBD3" s="306"/>
      <c r="RBE3" s="306"/>
      <c r="RBF3" s="306"/>
      <c r="RBG3" s="306"/>
      <c r="RBH3" s="306"/>
      <c r="RBI3" s="306"/>
      <c r="RBJ3" s="306"/>
      <c r="RBK3" s="306"/>
      <c r="RBL3" s="306"/>
      <c r="RBM3" s="306"/>
      <c r="RBN3" s="306"/>
      <c r="RBO3" s="306"/>
      <c r="RBP3" s="306"/>
      <c r="RBQ3" s="306"/>
      <c r="RBR3" s="306"/>
      <c r="RBS3" s="306"/>
      <c r="RBT3" s="306"/>
      <c r="RBU3" s="306"/>
      <c r="RBV3" s="306"/>
      <c r="RBW3" s="306"/>
      <c r="RBX3" s="306"/>
      <c r="RBY3" s="306"/>
      <c r="RBZ3" s="306"/>
      <c r="RCA3" s="306"/>
      <c r="RCB3" s="306"/>
      <c r="RCC3" s="306"/>
      <c r="RCD3" s="306"/>
      <c r="RCE3" s="306"/>
      <c r="RCF3" s="306"/>
      <c r="RCG3" s="306"/>
      <c r="RCH3" s="306"/>
      <c r="RCI3" s="306"/>
      <c r="RCJ3" s="306"/>
      <c r="RCK3" s="306"/>
      <c r="RCL3" s="306"/>
      <c r="RCM3" s="306"/>
      <c r="RCN3" s="306"/>
      <c r="RCO3" s="306"/>
      <c r="RCP3" s="306"/>
      <c r="RCQ3" s="306"/>
      <c r="RCR3" s="306"/>
      <c r="RCS3" s="306"/>
      <c r="RCT3" s="306"/>
      <c r="RCU3" s="306"/>
      <c r="RCV3" s="306"/>
      <c r="RCW3" s="306"/>
      <c r="RCX3" s="306"/>
      <c r="RCY3" s="306"/>
      <c r="RCZ3" s="306"/>
      <c r="RDA3" s="306"/>
      <c r="RDB3" s="306"/>
      <c r="RDC3" s="306"/>
      <c r="RDD3" s="306"/>
      <c r="RDE3" s="306"/>
      <c r="RDF3" s="306"/>
      <c r="RDG3" s="306"/>
      <c r="RDH3" s="306"/>
      <c r="RDI3" s="306"/>
      <c r="RDJ3" s="306"/>
      <c r="RDK3" s="306"/>
      <c r="RDL3" s="306"/>
      <c r="RDM3" s="306"/>
      <c r="RDN3" s="306"/>
      <c r="RDO3" s="306"/>
      <c r="RDP3" s="306"/>
      <c r="RDQ3" s="306"/>
      <c r="RDR3" s="306"/>
      <c r="RDS3" s="306"/>
      <c r="RDT3" s="306"/>
      <c r="RDU3" s="306"/>
      <c r="RDV3" s="306"/>
      <c r="RDW3" s="306"/>
      <c r="RDX3" s="306"/>
      <c r="RDY3" s="306"/>
      <c r="RDZ3" s="306"/>
      <c r="REA3" s="306"/>
      <c r="REB3" s="306"/>
      <c r="REC3" s="306"/>
      <c r="RED3" s="306"/>
      <c r="REE3" s="306"/>
      <c r="REF3" s="306"/>
      <c r="REG3" s="306"/>
      <c r="REH3" s="306"/>
      <c r="REI3" s="306"/>
      <c r="REJ3" s="306"/>
      <c r="REK3" s="306"/>
      <c r="REL3" s="306"/>
      <c r="REM3" s="306"/>
      <c r="REN3" s="306"/>
      <c r="REO3" s="306"/>
      <c r="REP3" s="306"/>
      <c r="REQ3" s="306"/>
      <c r="RER3" s="306"/>
      <c r="RES3" s="306"/>
      <c r="RET3" s="306"/>
      <c r="REU3" s="306"/>
      <c r="REV3" s="306"/>
      <c r="REW3" s="306"/>
      <c r="REX3" s="306"/>
      <c r="REY3" s="306"/>
      <c r="REZ3" s="306"/>
      <c r="RFA3" s="306"/>
      <c r="RFB3" s="306"/>
      <c r="RFC3" s="306"/>
      <c r="RFD3" s="306"/>
      <c r="RFE3" s="306"/>
      <c r="RFF3" s="306"/>
      <c r="RFG3" s="306"/>
      <c r="RFH3" s="306"/>
      <c r="RFI3" s="306"/>
      <c r="RFJ3" s="306"/>
      <c r="RFK3" s="306"/>
      <c r="RFL3" s="306"/>
      <c r="RFM3" s="306"/>
      <c r="RFN3" s="306"/>
      <c r="RFO3" s="306"/>
      <c r="RFP3" s="306"/>
      <c r="RFQ3" s="306"/>
      <c r="RFR3" s="306"/>
      <c r="RFS3" s="306"/>
      <c r="RFT3" s="306"/>
      <c r="RFU3" s="306"/>
      <c r="RFV3" s="306"/>
      <c r="RFW3" s="306"/>
      <c r="RFX3" s="306"/>
      <c r="RFY3" s="306"/>
      <c r="RFZ3" s="306"/>
      <c r="RGA3" s="306"/>
      <c r="RGB3" s="306"/>
      <c r="RGC3" s="306"/>
      <c r="RGD3" s="306"/>
      <c r="RGE3" s="306"/>
      <c r="RGF3" s="306"/>
      <c r="RGG3" s="306"/>
      <c r="RGH3" s="306"/>
      <c r="RGI3" s="306"/>
      <c r="RGJ3" s="306"/>
      <c r="RGK3" s="306"/>
      <c r="RGL3" s="306"/>
      <c r="RGM3" s="306"/>
      <c r="RGN3" s="306"/>
      <c r="RGO3" s="306"/>
      <c r="RGP3" s="306"/>
      <c r="RGQ3" s="306"/>
      <c r="RGR3" s="306"/>
      <c r="RGS3" s="306"/>
      <c r="RGT3" s="306"/>
      <c r="RGU3" s="306"/>
      <c r="RGV3" s="306"/>
      <c r="RGW3" s="306"/>
      <c r="RGX3" s="306"/>
      <c r="RGY3" s="306"/>
      <c r="RGZ3" s="306"/>
      <c r="RHA3" s="306"/>
      <c r="RHB3" s="306"/>
      <c r="RHC3" s="306"/>
      <c r="RHD3" s="306"/>
      <c r="RHE3" s="306"/>
      <c r="RHF3" s="306"/>
      <c r="RHG3" s="306"/>
      <c r="RHH3" s="306"/>
      <c r="RHI3" s="306"/>
      <c r="RHJ3" s="306"/>
      <c r="RHK3" s="306"/>
      <c r="RHL3" s="306"/>
      <c r="RHM3" s="306"/>
      <c r="RHN3" s="306"/>
      <c r="RHO3" s="306"/>
      <c r="RHP3" s="306"/>
      <c r="RHQ3" s="306"/>
      <c r="RHR3" s="306"/>
      <c r="RHS3" s="306"/>
      <c r="RHT3" s="306"/>
      <c r="RHU3" s="306"/>
      <c r="RHV3" s="306"/>
      <c r="RHW3" s="306"/>
      <c r="RHX3" s="306"/>
      <c r="RHY3" s="306"/>
      <c r="RHZ3" s="306"/>
      <c r="RIA3" s="306"/>
      <c r="RIB3" s="306"/>
      <c r="RIC3" s="306"/>
      <c r="RID3" s="306"/>
      <c r="RIE3" s="306"/>
      <c r="RIF3" s="306"/>
      <c r="RIG3" s="306"/>
      <c r="RIH3" s="306"/>
      <c r="RII3" s="306"/>
      <c r="RIJ3" s="306"/>
      <c r="RIK3" s="306"/>
      <c r="RIL3" s="306"/>
      <c r="RIM3" s="306"/>
      <c r="RIN3" s="306"/>
      <c r="RIO3" s="306"/>
      <c r="RIP3" s="306"/>
      <c r="RIQ3" s="306"/>
      <c r="RIR3" s="306"/>
      <c r="RIS3" s="306"/>
      <c r="RIT3" s="306"/>
      <c r="RIU3" s="306"/>
      <c r="RIV3" s="306"/>
      <c r="RIW3" s="306"/>
      <c r="RIX3" s="306"/>
      <c r="RIY3" s="306"/>
      <c r="RIZ3" s="306"/>
      <c r="RJA3" s="306"/>
      <c r="RJB3" s="306"/>
      <c r="RJC3" s="306"/>
      <c r="RJD3" s="306"/>
      <c r="RJE3" s="306"/>
      <c r="RJF3" s="306"/>
      <c r="RJG3" s="306"/>
      <c r="RJH3" s="306"/>
      <c r="RJI3" s="306"/>
      <c r="RJJ3" s="306"/>
      <c r="RJK3" s="306"/>
      <c r="RJL3" s="306"/>
      <c r="RJM3" s="306"/>
      <c r="RJN3" s="306"/>
      <c r="RJO3" s="306"/>
      <c r="RJP3" s="306"/>
      <c r="RJQ3" s="306"/>
      <c r="RJR3" s="306"/>
      <c r="RJS3" s="306"/>
      <c r="RJT3" s="306"/>
      <c r="RJU3" s="306"/>
      <c r="RJV3" s="306"/>
      <c r="RJW3" s="306"/>
      <c r="RJX3" s="306"/>
      <c r="RJY3" s="306"/>
      <c r="RJZ3" s="306"/>
      <c r="RKA3" s="306"/>
      <c r="RKB3" s="306"/>
      <c r="RKC3" s="306"/>
      <c r="RKD3" s="306"/>
      <c r="RKE3" s="306"/>
      <c r="RKF3" s="306"/>
      <c r="RKG3" s="306"/>
      <c r="RKH3" s="306"/>
      <c r="RKI3" s="306"/>
      <c r="RKJ3" s="306"/>
      <c r="RKK3" s="306"/>
      <c r="RKL3" s="306"/>
      <c r="RKM3" s="306"/>
      <c r="RKN3" s="306"/>
      <c r="RKO3" s="306"/>
      <c r="RKP3" s="306"/>
      <c r="RKQ3" s="306"/>
      <c r="RKR3" s="306"/>
      <c r="RKS3" s="306"/>
      <c r="RKT3" s="306"/>
      <c r="RKU3" s="306"/>
      <c r="RKV3" s="306"/>
      <c r="RKW3" s="306"/>
      <c r="RKX3" s="306"/>
      <c r="RKY3" s="306"/>
      <c r="RKZ3" s="306"/>
      <c r="RLA3" s="306"/>
      <c r="RLB3" s="306"/>
      <c r="RLC3" s="306"/>
      <c r="RLD3" s="306"/>
      <c r="RLE3" s="306"/>
      <c r="RLF3" s="306"/>
      <c r="RLG3" s="306"/>
      <c r="RLH3" s="306"/>
      <c r="RLI3" s="306"/>
      <c r="RLJ3" s="306"/>
      <c r="RLK3" s="306"/>
      <c r="RLL3" s="306"/>
      <c r="RLM3" s="306"/>
      <c r="RLN3" s="306"/>
      <c r="RLO3" s="306"/>
      <c r="RLP3" s="306"/>
      <c r="RLQ3" s="306"/>
      <c r="RLR3" s="306"/>
      <c r="RLS3" s="306"/>
      <c r="RLT3" s="306"/>
      <c r="RLU3" s="306"/>
      <c r="RLV3" s="306"/>
      <c r="RLW3" s="306"/>
      <c r="RLX3" s="306"/>
      <c r="RLY3" s="306"/>
      <c r="RLZ3" s="306"/>
      <c r="RMA3" s="306"/>
      <c r="RMB3" s="306"/>
      <c r="RMC3" s="306"/>
      <c r="RMD3" s="306"/>
      <c r="RME3" s="306"/>
      <c r="RMF3" s="306"/>
      <c r="RMG3" s="306"/>
      <c r="RMH3" s="306"/>
      <c r="RMI3" s="306"/>
      <c r="RMJ3" s="306"/>
      <c r="RMK3" s="306"/>
      <c r="RML3" s="306"/>
      <c r="RMM3" s="306"/>
      <c r="RMN3" s="306"/>
      <c r="RMO3" s="306"/>
      <c r="RMP3" s="306"/>
      <c r="RMQ3" s="306"/>
      <c r="RMR3" s="306"/>
      <c r="RMS3" s="306"/>
      <c r="RMT3" s="306"/>
      <c r="RMU3" s="306"/>
      <c r="RMV3" s="306"/>
      <c r="RMW3" s="306"/>
      <c r="RMX3" s="306"/>
      <c r="RMY3" s="306"/>
      <c r="RMZ3" s="306"/>
      <c r="RNA3" s="306"/>
      <c r="RNB3" s="306"/>
      <c r="RNC3" s="306"/>
      <c r="RND3" s="306"/>
      <c r="RNE3" s="306"/>
      <c r="RNF3" s="306"/>
      <c r="RNG3" s="306"/>
      <c r="RNH3" s="306"/>
      <c r="RNI3" s="306"/>
      <c r="RNJ3" s="306"/>
      <c r="RNK3" s="306"/>
      <c r="RNL3" s="306"/>
      <c r="RNM3" s="306"/>
      <c r="RNN3" s="306"/>
      <c r="RNO3" s="306"/>
      <c r="RNP3" s="306"/>
      <c r="RNQ3" s="306"/>
      <c r="RNR3" s="306"/>
      <c r="RNS3" s="306"/>
      <c r="RNT3" s="306"/>
      <c r="RNU3" s="306"/>
      <c r="RNV3" s="306"/>
      <c r="RNW3" s="306"/>
      <c r="RNX3" s="306"/>
      <c r="RNY3" s="306"/>
      <c r="RNZ3" s="306"/>
      <c r="ROA3" s="306"/>
      <c r="ROB3" s="306"/>
      <c r="ROC3" s="306"/>
      <c r="ROD3" s="306"/>
      <c r="ROE3" s="306"/>
      <c r="ROF3" s="306"/>
      <c r="ROG3" s="306"/>
      <c r="ROH3" s="306"/>
      <c r="ROI3" s="306"/>
      <c r="ROJ3" s="306"/>
      <c r="ROK3" s="306"/>
      <c r="ROL3" s="306"/>
      <c r="ROM3" s="306"/>
      <c r="RON3" s="306"/>
      <c r="ROO3" s="306"/>
      <c r="ROP3" s="306"/>
      <c r="ROQ3" s="306"/>
      <c r="ROR3" s="306"/>
      <c r="ROS3" s="306"/>
      <c r="ROT3" s="306"/>
      <c r="ROU3" s="306"/>
      <c r="ROV3" s="306"/>
      <c r="ROW3" s="306"/>
      <c r="ROX3" s="306"/>
      <c r="ROY3" s="306"/>
      <c r="ROZ3" s="306"/>
      <c r="RPA3" s="306"/>
      <c r="RPB3" s="306"/>
      <c r="RPC3" s="306"/>
      <c r="RPD3" s="306"/>
      <c r="RPE3" s="306"/>
      <c r="RPF3" s="306"/>
      <c r="RPG3" s="306"/>
      <c r="RPH3" s="306"/>
      <c r="RPI3" s="306"/>
      <c r="RPJ3" s="306"/>
      <c r="RPK3" s="306"/>
      <c r="RPL3" s="306"/>
      <c r="RPM3" s="306"/>
      <c r="RPN3" s="306"/>
      <c r="RPO3" s="306"/>
      <c r="RPP3" s="306"/>
      <c r="RPQ3" s="306"/>
      <c r="RPR3" s="306"/>
      <c r="RPS3" s="306"/>
      <c r="RPT3" s="306"/>
      <c r="RPU3" s="306"/>
      <c r="RPV3" s="306"/>
      <c r="RPW3" s="306"/>
      <c r="RPX3" s="306"/>
      <c r="RPY3" s="306"/>
      <c r="RPZ3" s="306"/>
      <c r="RQA3" s="306"/>
      <c r="RQB3" s="306"/>
      <c r="RQC3" s="306"/>
      <c r="RQD3" s="306"/>
      <c r="RQE3" s="306"/>
      <c r="RQF3" s="306"/>
      <c r="RQG3" s="306"/>
      <c r="RQH3" s="306"/>
      <c r="RQI3" s="306"/>
      <c r="RQJ3" s="306"/>
      <c r="RQK3" s="306"/>
      <c r="RQL3" s="306"/>
      <c r="RQM3" s="306"/>
      <c r="RQN3" s="306"/>
      <c r="RQO3" s="306"/>
      <c r="RQP3" s="306"/>
      <c r="RQQ3" s="306"/>
      <c r="RQR3" s="306"/>
      <c r="RQS3" s="306"/>
      <c r="RQT3" s="306"/>
      <c r="RQU3" s="306"/>
      <c r="RQV3" s="306"/>
      <c r="RQW3" s="306"/>
      <c r="RQX3" s="306"/>
      <c r="RQY3" s="306"/>
      <c r="RQZ3" s="306"/>
      <c r="RRA3" s="306"/>
      <c r="RRB3" s="306"/>
      <c r="RRC3" s="306"/>
      <c r="RRD3" s="306"/>
      <c r="RRE3" s="306"/>
      <c r="RRF3" s="306"/>
      <c r="RRG3" s="306"/>
      <c r="RRH3" s="306"/>
      <c r="RRI3" s="306"/>
      <c r="RRJ3" s="306"/>
      <c r="RRK3" s="306"/>
      <c r="RRL3" s="306"/>
      <c r="RRM3" s="306"/>
      <c r="RRN3" s="306"/>
      <c r="RRO3" s="306"/>
      <c r="RRP3" s="306"/>
      <c r="RRQ3" s="306"/>
      <c r="RRR3" s="306"/>
      <c r="RRS3" s="306"/>
      <c r="RRT3" s="306"/>
      <c r="RRU3" s="306"/>
      <c r="RRV3" s="306"/>
      <c r="RRW3" s="306"/>
      <c r="RRX3" s="306"/>
      <c r="RRY3" s="306"/>
      <c r="RRZ3" s="306"/>
      <c r="RSA3" s="306"/>
      <c r="RSB3" s="306"/>
      <c r="RSC3" s="306"/>
      <c r="RSD3" s="306"/>
      <c r="RSE3" s="306"/>
      <c r="RSF3" s="306"/>
      <c r="RSG3" s="306"/>
      <c r="RSH3" s="306"/>
      <c r="RSI3" s="306"/>
      <c r="RSJ3" s="306"/>
      <c r="RSK3" s="306"/>
      <c r="RSL3" s="306"/>
      <c r="RSM3" s="306"/>
      <c r="RSN3" s="306"/>
      <c r="RSO3" s="306"/>
      <c r="RSP3" s="306"/>
      <c r="RSQ3" s="306"/>
      <c r="RSR3" s="306"/>
      <c r="RSS3" s="306"/>
      <c r="RST3" s="306"/>
      <c r="RSU3" s="306"/>
      <c r="RSV3" s="306"/>
      <c r="RSW3" s="306"/>
      <c r="RSX3" s="306"/>
      <c r="RSY3" s="306"/>
      <c r="RSZ3" s="306"/>
      <c r="RTA3" s="306"/>
      <c r="RTB3" s="306"/>
      <c r="RTC3" s="306"/>
      <c r="RTD3" s="306"/>
      <c r="RTE3" s="306"/>
      <c r="RTF3" s="306"/>
      <c r="RTG3" s="306"/>
      <c r="RTH3" s="306"/>
      <c r="RTI3" s="306"/>
      <c r="RTJ3" s="306"/>
      <c r="RTK3" s="306"/>
      <c r="RTL3" s="306"/>
      <c r="RTM3" s="306"/>
      <c r="RTN3" s="306"/>
      <c r="RTO3" s="306"/>
      <c r="RTP3" s="306"/>
      <c r="RTQ3" s="306"/>
      <c r="RTR3" s="306"/>
      <c r="RTS3" s="306"/>
      <c r="RTT3" s="306"/>
      <c r="RTU3" s="306"/>
      <c r="RTV3" s="306"/>
      <c r="RTW3" s="306"/>
      <c r="RTX3" s="306"/>
      <c r="RTY3" s="306"/>
      <c r="RTZ3" s="306"/>
      <c r="RUA3" s="306"/>
      <c r="RUB3" s="306"/>
      <c r="RUC3" s="306"/>
      <c r="RUD3" s="306"/>
      <c r="RUE3" s="306"/>
      <c r="RUF3" s="306"/>
      <c r="RUG3" s="306"/>
      <c r="RUH3" s="306"/>
      <c r="RUI3" s="306"/>
      <c r="RUJ3" s="306"/>
      <c r="RUK3" s="306"/>
      <c r="RUL3" s="306"/>
      <c r="RUM3" s="306"/>
      <c r="RUN3" s="306"/>
      <c r="RUO3" s="306"/>
      <c r="RUP3" s="306"/>
      <c r="RUQ3" s="306"/>
      <c r="RUR3" s="306"/>
      <c r="RUS3" s="306"/>
      <c r="RUT3" s="306"/>
      <c r="RUU3" s="306"/>
      <c r="RUV3" s="306"/>
      <c r="RUW3" s="306"/>
      <c r="RUX3" s="306"/>
      <c r="RUY3" s="306"/>
      <c r="RUZ3" s="306"/>
      <c r="RVA3" s="306"/>
      <c r="RVB3" s="306"/>
      <c r="RVC3" s="306"/>
      <c r="RVD3" s="306"/>
      <c r="RVE3" s="306"/>
      <c r="RVF3" s="306"/>
      <c r="RVG3" s="306"/>
      <c r="RVH3" s="306"/>
      <c r="RVI3" s="306"/>
      <c r="RVJ3" s="306"/>
      <c r="RVK3" s="306"/>
      <c r="RVL3" s="306"/>
      <c r="RVM3" s="306"/>
      <c r="RVN3" s="306"/>
      <c r="RVO3" s="306"/>
      <c r="RVP3" s="306"/>
      <c r="RVQ3" s="306"/>
      <c r="RVR3" s="306"/>
      <c r="RVS3" s="306"/>
      <c r="RVT3" s="306"/>
      <c r="RVU3" s="306"/>
      <c r="RVV3" s="306"/>
      <c r="RVW3" s="306"/>
      <c r="RVX3" s="306"/>
      <c r="RVY3" s="306"/>
      <c r="RVZ3" s="306"/>
      <c r="RWA3" s="306"/>
      <c r="RWB3" s="306"/>
      <c r="RWC3" s="306"/>
      <c r="RWD3" s="306"/>
      <c r="RWE3" s="306"/>
      <c r="RWF3" s="306"/>
      <c r="RWG3" s="306"/>
      <c r="RWH3" s="306"/>
      <c r="RWI3" s="306"/>
      <c r="RWJ3" s="306"/>
      <c r="RWK3" s="306"/>
      <c r="RWL3" s="306"/>
      <c r="RWM3" s="306"/>
      <c r="RWN3" s="306"/>
      <c r="RWO3" s="306"/>
      <c r="RWP3" s="306"/>
      <c r="RWQ3" s="306"/>
      <c r="RWR3" s="306"/>
      <c r="RWS3" s="306"/>
      <c r="RWT3" s="306"/>
      <c r="RWU3" s="306"/>
      <c r="RWV3" s="306"/>
      <c r="RWW3" s="306"/>
      <c r="RWX3" s="306"/>
      <c r="RWY3" s="306"/>
      <c r="RWZ3" s="306"/>
      <c r="RXA3" s="306"/>
      <c r="RXB3" s="306"/>
      <c r="RXC3" s="306"/>
      <c r="RXD3" s="306"/>
      <c r="RXE3" s="306"/>
      <c r="RXF3" s="306"/>
      <c r="RXG3" s="306"/>
      <c r="RXH3" s="306"/>
      <c r="RXI3" s="306"/>
      <c r="RXJ3" s="306"/>
      <c r="RXK3" s="306"/>
      <c r="RXL3" s="306"/>
      <c r="RXM3" s="306"/>
      <c r="RXN3" s="306"/>
      <c r="RXO3" s="306"/>
      <c r="RXP3" s="306"/>
      <c r="RXQ3" s="306"/>
      <c r="RXR3" s="306"/>
      <c r="RXS3" s="306"/>
      <c r="RXT3" s="306"/>
      <c r="RXU3" s="306"/>
      <c r="RXV3" s="306"/>
      <c r="RXW3" s="306"/>
      <c r="RXX3" s="306"/>
      <c r="RXY3" s="306"/>
      <c r="RXZ3" s="306"/>
      <c r="RYA3" s="306"/>
      <c r="RYB3" s="306"/>
      <c r="RYC3" s="306"/>
      <c r="RYD3" s="306"/>
      <c r="RYE3" s="306"/>
      <c r="RYF3" s="306"/>
      <c r="RYG3" s="306"/>
      <c r="RYH3" s="306"/>
      <c r="RYI3" s="306"/>
      <c r="RYJ3" s="306"/>
      <c r="RYK3" s="306"/>
      <c r="RYL3" s="306"/>
      <c r="RYM3" s="306"/>
      <c r="RYN3" s="306"/>
      <c r="RYO3" s="306"/>
      <c r="RYP3" s="306"/>
      <c r="RYQ3" s="306"/>
      <c r="RYR3" s="306"/>
      <c r="RYS3" s="306"/>
      <c r="RYT3" s="306"/>
      <c r="RYU3" s="306"/>
      <c r="RYV3" s="306"/>
      <c r="RYW3" s="306"/>
      <c r="RYX3" s="306"/>
      <c r="RYY3" s="306"/>
      <c r="RYZ3" s="306"/>
      <c r="RZA3" s="306"/>
      <c r="RZB3" s="306"/>
      <c r="RZC3" s="306"/>
      <c r="RZD3" s="306"/>
      <c r="RZE3" s="306"/>
      <c r="RZF3" s="306"/>
      <c r="RZG3" s="306"/>
      <c r="RZH3" s="306"/>
      <c r="RZI3" s="306"/>
      <c r="RZJ3" s="306"/>
      <c r="RZK3" s="306"/>
      <c r="RZL3" s="306"/>
      <c r="RZM3" s="306"/>
      <c r="RZN3" s="306"/>
      <c r="RZO3" s="306"/>
      <c r="RZP3" s="306"/>
      <c r="RZQ3" s="306"/>
      <c r="RZR3" s="306"/>
      <c r="RZS3" s="306"/>
      <c r="RZT3" s="306"/>
      <c r="RZU3" s="306"/>
      <c r="RZV3" s="306"/>
      <c r="RZW3" s="306"/>
      <c r="RZX3" s="306"/>
      <c r="RZY3" s="306"/>
      <c r="RZZ3" s="306"/>
      <c r="SAA3" s="306"/>
      <c r="SAB3" s="306"/>
      <c r="SAC3" s="306"/>
      <c r="SAD3" s="306"/>
      <c r="SAE3" s="306"/>
      <c r="SAF3" s="306"/>
      <c r="SAG3" s="306"/>
      <c r="SAH3" s="306"/>
      <c r="SAI3" s="306"/>
      <c r="SAJ3" s="306"/>
      <c r="SAK3" s="306"/>
      <c r="SAL3" s="306"/>
      <c r="SAM3" s="306"/>
      <c r="SAN3" s="306"/>
      <c r="SAO3" s="306"/>
      <c r="SAP3" s="306"/>
      <c r="SAQ3" s="306"/>
      <c r="SAR3" s="306"/>
      <c r="SAS3" s="306"/>
      <c r="SAT3" s="306"/>
      <c r="SAU3" s="306"/>
      <c r="SAV3" s="306"/>
      <c r="SAW3" s="306"/>
      <c r="SAX3" s="306"/>
      <c r="SAY3" s="306"/>
      <c r="SAZ3" s="306"/>
      <c r="SBA3" s="306"/>
      <c r="SBB3" s="306"/>
      <c r="SBC3" s="306"/>
      <c r="SBD3" s="306"/>
      <c r="SBE3" s="306"/>
      <c r="SBF3" s="306"/>
      <c r="SBG3" s="306"/>
      <c r="SBH3" s="306"/>
      <c r="SBI3" s="306"/>
      <c r="SBJ3" s="306"/>
      <c r="SBK3" s="306"/>
      <c r="SBL3" s="306"/>
      <c r="SBM3" s="306"/>
      <c r="SBN3" s="306"/>
      <c r="SBO3" s="306"/>
      <c r="SBP3" s="306"/>
      <c r="SBQ3" s="306"/>
      <c r="SBR3" s="306"/>
      <c r="SBS3" s="306"/>
      <c r="SBT3" s="306"/>
      <c r="SBU3" s="306"/>
      <c r="SBV3" s="306"/>
      <c r="SBW3" s="306"/>
      <c r="SBX3" s="306"/>
      <c r="SBY3" s="306"/>
      <c r="SBZ3" s="306"/>
      <c r="SCA3" s="306"/>
      <c r="SCB3" s="306"/>
      <c r="SCC3" s="306"/>
      <c r="SCD3" s="306"/>
      <c r="SCE3" s="306"/>
      <c r="SCF3" s="306"/>
      <c r="SCG3" s="306"/>
      <c r="SCH3" s="306"/>
      <c r="SCI3" s="306"/>
      <c r="SCJ3" s="306"/>
      <c r="SCK3" s="306"/>
      <c r="SCL3" s="306"/>
      <c r="SCM3" s="306"/>
      <c r="SCN3" s="306"/>
      <c r="SCO3" s="306"/>
      <c r="SCP3" s="306"/>
      <c r="SCQ3" s="306"/>
      <c r="SCR3" s="306"/>
      <c r="SCS3" s="306"/>
      <c r="SCT3" s="306"/>
      <c r="SCU3" s="306"/>
      <c r="SCV3" s="306"/>
      <c r="SCW3" s="306"/>
      <c r="SCX3" s="306"/>
      <c r="SCY3" s="306"/>
      <c r="SCZ3" s="306"/>
      <c r="SDA3" s="306"/>
      <c r="SDB3" s="306"/>
      <c r="SDC3" s="306"/>
      <c r="SDD3" s="306"/>
      <c r="SDE3" s="306"/>
      <c r="SDF3" s="306"/>
      <c r="SDG3" s="306"/>
      <c r="SDH3" s="306"/>
      <c r="SDI3" s="306"/>
      <c r="SDJ3" s="306"/>
      <c r="SDK3" s="306"/>
      <c r="SDL3" s="306"/>
      <c r="SDM3" s="306"/>
      <c r="SDN3" s="306"/>
      <c r="SDO3" s="306"/>
      <c r="SDP3" s="306"/>
      <c r="SDQ3" s="306"/>
      <c r="SDR3" s="306"/>
      <c r="SDS3" s="306"/>
      <c r="SDT3" s="306"/>
      <c r="SDU3" s="306"/>
      <c r="SDV3" s="306"/>
      <c r="SDW3" s="306"/>
      <c r="SDX3" s="306"/>
      <c r="SDY3" s="306"/>
      <c r="SDZ3" s="306"/>
      <c r="SEA3" s="306"/>
      <c r="SEB3" s="306"/>
      <c r="SEC3" s="306"/>
      <c r="SED3" s="306"/>
      <c r="SEE3" s="306"/>
      <c r="SEF3" s="306"/>
      <c r="SEG3" s="306"/>
      <c r="SEH3" s="306"/>
      <c r="SEI3" s="306"/>
      <c r="SEJ3" s="306"/>
      <c r="SEK3" s="306"/>
      <c r="SEL3" s="306"/>
      <c r="SEM3" s="306"/>
      <c r="SEN3" s="306"/>
      <c r="SEO3" s="306"/>
      <c r="SEP3" s="306"/>
      <c r="SEQ3" s="306"/>
      <c r="SER3" s="306"/>
      <c r="SES3" s="306"/>
      <c r="SET3" s="306"/>
      <c r="SEU3" s="306"/>
      <c r="SEV3" s="306"/>
      <c r="SEW3" s="306"/>
      <c r="SEX3" s="306"/>
      <c r="SEY3" s="306"/>
      <c r="SEZ3" s="306"/>
      <c r="SFA3" s="306"/>
      <c r="SFB3" s="306"/>
      <c r="SFC3" s="306"/>
      <c r="SFD3" s="306"/>
      <c r="SFE3" s="306"/>
      <c r="SFF3" s="306"/>
      <c r="SFG3" s="306"/>
      <c r="SFH3" s="306"/>
      <c r="SFI3" s="306"/>
      <c r="SFJ3" s="306"/>
      <c r="SFK3" s="306"/>
      <c r="SFL3" s="306"/>
      <c r="SFM3" s="306"/>
      <c r="SFN3" s="306"/>
      <c r="SFO3" s="306"/>
      <c r="SFP3" s="306"/>
      <c r="SFQ3" s="306"/>
      <c r="SFR3" s="306"/>
      <c r="SFS3" s="306"/>
      <c r="SFT3" s="306"/>
      <c r="SFU3" s="306"/>
      <c r="SFV3" s="306"/>
      <c r="SFW3" s="306"/>
      <c r="SFX3" s="306"/>
      <c r="SFY3" s="306"/>
      <c r="SFZ3" s="306"/>
      <c r="SGA3" s="306"/>
      <c r="SGB3" s="306"/>
      <c r="SGC3" s="306"/>
      <c r="SGD3" s="306"/>
      <c r="SGE3" s="306"/>
      <c r="SGF3" s="306"/>
      <c r="SGG3" s="306"/>
      <c r="SGH3" s="306"/>
      <c r="SGI3" s="306"/>
      <c r="SGJ3" s="306"/>
      <c r="SGK3" s="306"/>
      <c r="SGL3" s="306"/>
      <c r="SGM3" s="306"/>
      <c r="SGN3" s="306"/>
      <c r="SGO3" s="306"/>
      <c r="SGP3" s="306"/>
      <c r="SGQ3" s="306"/>
      <c r="SGR3" s="306"/>
      <c r="SGS3" s="306"/>
      <c r="SGT3" s="306"/>
      <c r="SGU3" s="306"/>
      <c r="SGV3" s="306"/>
      <c r="SGW3" s="306"/>
      <c r="SGX3" s="306"/>
      <c r="SGY3" s="306"/>
      <c r="SGZ3" s="306"/>
      <c r="SHA3" s="306"/>
      <c r="SHB3" s="306"/>
      <c r="SHC3" s="306"/>
      <c r="SHD3" s="306"/>
      <c r="SHE3" s="306"/>
      <c r="SHF3" s="306"/>
      <c r="SHG3" s="306"/>
      <c r="SHH3" s="306"/>
      <c r="SHI3" s="306"/>
      <c r="SHJ3" s="306"/>
      <c r="SHK3" s="306"/>
      <c r="SHL3" s="306"/>
      <c r="SHM3" s="306"/>
      <c r="SHN3" s="306"/>
      <c r="SHO3" s="306"/>
      <c r="SHP3" s="306"/>
      <c r="SHQ3" s="306"/>
      <c r="SHR3" s="306"/>
      <c r="SHS3" s="306"/>
      <c r="SHT3" s="306"/>
      <c r="SHU3" s="306"/>
      <c r="SHV3" s="306"/>
      <c r="SHW3" s="306"/>
      <c r="SHX3" s="306"/>
      <c r="SHY3" s="306"/>
      <c r="SHZ3" s="306"/>
      <c r="SIA3" s="306"/>
      <c r="SIB3" s="306"/>
      <c r="SIC3" s="306"/>
      <c r="SID3" s="306"/>
      <c r="SIE3" s="306"/>
      <c r="SIF3" s="306"/>
      <c r="SIG3" s="306"/>
      <c r="SIH3" s="306"/>
      <c r="SII3" s="306"/>
      <c r="SIJ3" s="306"/>
      <c r="SIK3" s="306"/>
      <c r="SIL3" s="306"/>
      <c r="SIM3" s="306"/>
      <c r="SIN3" s="306"/>
      <c r="SIO3" s="306"/>
      <c r="SIP3" s="306"/>
      <c r="SIQ3" s="306"/>
      <c r="SIR3" s="306"/>
      <c r="SIS3" s="306"/>
      <c r="SIT3" s="306"/>
      <c r="SIU3" s="306"/>
      <c r="SIV3" s="306"/>
      <c r="SIW3" s="306"/>
      <c r="SIX3" s="306"/>
      <c r="SIY3" s="306"/>
      <c r="SIZ3" s="306"/>
      <c r="SJA3" s="306"/>
      <c r="SJB3" s="306"/>
      <c r="SJC3" s="306"/>
      <c r="SJD3" s="306"/>
      <c r="SJE3" s="306"/>
      <c r="SJF3" s="306"/>
      <c r="SJG3" s="306"/>
      <c r="SJH3" s="306"/>
      <c r="SJI3" s="306"/>
      <c r="SJJ3" s="306"/>
      <c r="SJK3" s="306"/>
      <c r="SJL3" s="306"/>
      <c r="SJM3" s="306"/>
      <c r="SJN3" s="306"/>
      <c r="SJO3" s="306"/>
      <c r="SJP3" s="306"/>
      <c r="SJQ3" s="306"/>
      <c r="SJR3" s="306"/>
      <c r="SJS3" s="306"/>
      <c r="SJT3" s="306"/>
      <c r="SJU3" s="306"/>
      <c r="SJV3" s="306"/>
      <c r="SJW3" s="306"/>
      <c r="SJX3" s="306"/>
      <c r="SJY3" s="306"/>
      <c r="SJZ3" s="306"/>
      <c r="SKA3" s="306"/>
      <c r="SKB3" s="306"/>
      <c r="SKC3" s="306"/>
      <c r="SKD3" s="306"/>
      <c r="SKE3" s="306"/>
      <c r="SKF3" s="306"/>
      <c r="SKG3" s="306"/>
      <c r="SKH3" s="306"/>
      <c r="SKI3" s="306"/>
      <c r="SKJ3" s="306"/>
      <c r="SKK3" s="306"/>
      <c r="SKL3" s="306"/>
      <c r="SKM3" s="306"/>
      <c r="SKN3" s="306"/>
      <c r="SKO3" s="306"/>
      <c r="SKP3" s="306"/>
      <c r="SKQ3" s="306"/>
      <c r="SKR3" s="306"/>
      <c r="SKS3" s="306"/>
      <c r="SKT3" s="306"/>
      <c r="SKU3" s="306"/>
      <c r="SKV3" s="306"/>
      <c r="SKW3" s="306"/>
      <c r="SKX3" s="306"/>
      <c r="SKY3" s="306"/>
      <c r="SKZ3" s="306"/>
      <c r="SLA3" s="306"/>
      <c r="SLB3" s="306"/>
      <c r="SLC3" s="306"/>
      <c r="SLD3" s="306"/>
      <c r="SLE3" s="306"/>
      <c r="SLF3" s="306"/>
      <c r="SLG3" s="306"/>
      <c r="SLH3" s="306"/>
      <c r="SLI3" s="306"/>
      <c r="SLJ3" s="306"/>
      <c r="SLK3" s="306"/>
      <c r="SLL3" s="306"/>
      <c r="SLM3" s="306"/>
      <c r="SLN3" s="306"/>
      <c r="SLO3" s="306"/>
      <c r="SLP3" s="306"/>
      <c r="SLQ3" s="306"/>
      <c r="SLR3" s="306"/>
      <c r="SLS3" s="306"/>
      <c r="SLT3" s="306"/>
      <c r="SLU3" s="306"/>
      <c r="SLV3" s="306"/>
      <c r="SLW3" s="306"/>
      <c r="SLX3" s="306"/>
      <c r="SLY3" s="306"/>
      <c r="SLZ3" s="306"/>
      <c r="SMA3" s="306"/>
      <c r="SMB3" s="306"/>
      <c r="SMC3" s="306"/>
      <c r="SMD3" s="306"/>
      <c r="SME3" s="306"/>
      <c r="SMF3" s="306"/>
      <c r="SMG3" s="306"/>
      <c r="SMH3" s="306"/>
      <c r="SMI3" s="306"/>
      <c r="SMJ3" s="306"/>
      <c r="SMK3" s="306"/>
      <c r="SML3" s="306"/>
      <c r="SMM3" s="306"/>
      <c r="SMN3" s="306"/>
      <c r="SMO3" s="306"/>
      <c r="SMP3" s="306"/>
      <c r="SMQ3" s="306"/>
      <c r="SMR3" s="306"/>
      <c r="SMS3" s="306"/>
      <c r="SMT3" s="306"/>
      <c r="SMU3" s="306"/>
      <c r="SMV3" s="306"/>
      <c r="SMW3" s="306"/>
      <c r="SMX3" s="306"/>
      <c r="SMY3" s="306"/>
      <c r="SMZ3" s="306"/>
      <c r="SNA3" s="306"/>
      <c r="SNB3" s="306"/>
      <c r="SNC3" s="306"/>
      <c r="SND3" s="306"/>
      <c r="SNE3" s="306"/>
      <c r="SNF3" s="306"/>
      <c r="SNG3" s="306"/>
      <c r="SNH3" s="306"/>
      <c r="SNI3" s="306"/>
      <c r="SNJ3" s="306"/>
      <c r="SNK3" s="306"/>
      <c r="SNL3" s="306"/>
      <c r="SNM3" s="306"/>
      <c r="SNN3" s="306"/>
      <c r="SNO3" s="306"/>
      <c r="SNP3" s="306"/>
      <c r="SNQ3" s="306"/>
      <c r="SNR3" s="306"/>
      <c r="SNS3" s="306"/>
      <c r="SNT3" s="306"/>
      <c r="SNU3" s="306"/>
      <c r="SNV3" s="306"/>
      <c r="SNW3" s="306"/>
      <c r="SNX3" s="306"/>
      <c r="SNY3" s="306"/>
      <c r="SNZ3" s="306"/>
      <c r="SOA3" s="306"/>
      <c r="SOB3" s="306"/>
      <c r="SOC3" s="306"/>
      <c r="SOD3" s="306"/>
      <c r="SOE3" s="306"/>
      <c r="SOF3" s="306"/>
      <c r="SOG3" s="306"/>
      <c r="SOH3" s="306"/>
      <c r="SOI3" s="306"/>
      <c r="SOJ3" s="306"/>
      <c r="SOK3" s="306"/>
      <c r="SOL3" s="306"/>
      <c r="SOM3" s="306"/>
      <c r="SON3" s="306"/>
      <c r="SOO3" s="306"/>
      <c r="SOP3" s="306"/>
      <c r="SOQ3" s="306"/>
      <c r="SOR3" s="306"/>
      <c r="SOS3" s="306"/>
      <c r="SOT3" s="306"/>
      <c r="SOU3" s="306"/>
      <c r="SOV3" s="306"/>
      <c r="SOW3" s="306"/>
      <c r="SOX3" s="306"/>
      <c r="SOY3" s="306"/>
      <c r="SOZ3" s="306"/>
      <c r="SPA3" s="306"/>
      <c r="SPB3" s="306"/>
      <c r="SPC3" s="306"/>
      <c r="SPD3" s="306"/>
      <c r="SPE3" s="306"/>
      <c r="SPF3" s="306"/>
      <c r="SPG3" s="306"/>
      <c r="SPH3" s="306"/>
      <c r="SPI3" s="306"/>
      <c r="SPJ3" s="306"/>
      <c r="SPK3" s="306"/>
      <c r="SPL3" s="306"/>
      <c r="SPM3" s="306"/>
      <c r="SPN3" s="306"/>
      <c r="SPO3" s="306"/>
      <c r="SPP3" s="306"/>
      <c r="SPQ3" s="306"/>
      <c r="SPR3" s="306"/>
      <c r="SPS3" s="306"/>
      <c r="SPT3" s="306"/>
      <c r="SPU3" s="306"/>
      <c r="SPV3" s="306"/>
      <c r="SPW3" s="306"/>
      <c r="SPX3" s="306"/>
      <c r="SPY3" s="306"/>
      <c r="SPZ3" s="306"/>
      <c r="SQA3" s="306"/>
      <c r="SQB3" s="306"/>
      <c r="SQC3" s="306"/>
      <c r="SQD3" s="306"/>
      <c r="SQE3" s="306"/>
      <c r="SQF3" s="306"/>
      <c r="SQG3" s="306"/>
      <c r="SQH3" s="306"/>
      <c r="SQI3" s="306"/>
      <c r="SQJ3" s="306"/>
      <c r="SQK3" s="306"/>
      <c r="SQL3" s="306"/>
      <c r="SQM3" s="306"/>
      <c r="SQN3" s="306"/>
      <c r="SQO3" s="306"/>
      <c r="SQP3" s="306"/>
      <c r="SQQ3" s="306"/>
      <c r="SQR3" s="306"/>
      <c r="SQS3" s="306"/>
      <c r="SQT3" s="306"/>
      <c r="SQU3" s="306"/>
      <c r="SQV3" s="306"/>
      <c r="SQW3" s="306"/>
      <c r="SQX3" s="306"/>
      <c r="SQY3" s="306"/>
      <c r="SQZ3" s="306"/>
      <c r="SRA3" s="306"/>
      <c r="SRB3" s="306"/>
      <c r="SRC3" s="306"/>
      <c r="SRD3" s="306"/>
      <c r="SRE3" s="306"/>
      <c r="SRF3" s="306"/>
      <c r="SRG3" s="306"/>
      <c r="SRH3" s="306"/>
      <c r="SRI3" s="306"/>
      <c r="SRJ3" s="306"/>
      <c r="SRK3" s="306"/>
      <c r="SRL3" s="306"/>
      <c r="SRM3" s="306"/>
      <c r="SRN3" s="306"/>
      <c r="SRO3" s="306"/>
      <c r="SRP3" s="306"/>
      <c r="SRQ3" s="306"/>
      <c r="SRR3" s="306"/>
      <c r="SRS3" s="306"/>
      <c r="SRT3" s="306"/>
      <c r="SRU3" s="306"/>
      <c r="SRV3" s="306"/>
      <c r="SRW3" s="306"/>
      <c r="SRX3" s="306"/>
      <c r="SRY3" s="306"/>
      <c r="SRZ3" s="306"/>
      <c r="SSA3" s="306"/>
      <c r="SSB3" s="306"/>
      <c r="SSC3" s="306"/>
      <c r="SSD3" s="306"/>
      <c r="SSE3" s="306"/>
      <c r="SSF3" s="306"/>
      <c r="SSG3" s="306"/>
      <c r="SSH3" s="306"/>
      <c r="SSI3" s="306"/>
      <c r="SSJ3" s="306"/>
      <c r="SSK3" s="306"/>
      <c r="SSL3" s="306"/>
      <c r="SSM3" s="306"/>
      <c r="SSN3" s="306"/>
      <c r="SSO3" s="306"/>
      <c r="SSP3" s="306"/>
      <c r="SSQ3" s="306"/>
      <c r="SSR3" s="306"/>
      <c r="SSS3" s="306"/>
      <c r="SST3" s="306"/>
      <c r="SSU3" s="306"/>
      <c r="SSV3" s="306"/>
      <c r="SSW3" s="306"/>
      <c r="SSX3" s="306"/>
      <c r="SSY3" s="306"/>
      <c r="SSZ3" s="306"/>
      <c r="STA3" s="306"/>
      <c r="STB3" s="306"/>
      <c r="STC3" s="306"/>
      <c r="STD3" s="306"/>
      <c r="STE3" s="306"/>
      <c r="STF3" s="306"/>
      <c r="STG3" s="306"/>
      <c r="STH3" s="306"/>
      <c r="STI3" s="306"/>
      <c r="STJ3" s="306"/>
      <c r="STK3" s="306"/>
      <c r="STL3" s="306"/>
      <c r="STM3" s="306"/>
      <c r="STN3" s="306"/>
      <c r="STO3" s="306"/>
      <c r="STP3" s="306"/>
      <c r="STQ3" s="306"/>
      <c r="STR3" s="306"/>
      <c r="STS3" s="306"/>
      <c r="STT3" s="306"/>
      <c r="STU3" s="306"/>
      <c r="STV3" s="306"/>
      <c r="STW3" s="306"/>
      <c r="STX3" s="306"/>
      <c r="STY3" s="306"/>
      <c r="STZ3" s="306"/>
      <c r="SUA3" s="306"/>
      <c r="SUB3" s="306"/>
      <c r="SUC3" s="306"/>
      <c r="SUD3" s="306"/>
      <c r="SUE3" s="306"/>
      <c r="SUF3" s="306"/>
      <c r="SUG3" s="306"/>
      <c r="SUH3" s="306"/>
      <c r="SUI3" s="306"/>
      <c r="SUJ3" s="306"/>
      <c r="SUK3" s="306"/>
      <c r="SUL3" s="306"/>
      <c r="SUM3" s="306"/>
      <c r="SUN3" s="306"/>
      <c r="SUO3" s="306"/>
      <c r="SUP3" s="306"/>
      <c r="SUQ3" s="306"/>
      <c r="SUR3" s="306"/>
      <c r="SUS3" s="306"/>
      <c r="SUT3" s="306"/>
      <c r="SUU3" s="306"/>
      <c r="SUV3" s="306"/>
      <c r="SUW3" s="306"/>
      <c r="SUX3" s="306"/>
      <c r="SUY3" s="306"/>
      <c r="SUZ3" s="306"/>
      <c r="SVA3" s="306"/>
      <c r="SVB3" s="306"/>
      <c r="SVC3" s="306"/>
      <c r="SVD3" s="306"/>
      <c r="SVE3" s="306"/>
      <c r="SVF3" s="306"/>
      <c r="SVG3" s="306"/>
      <c r="SVH3" s="306"/>
      <c r="SVI3" s="306"/>
      <c r="SVJ3" s="306"/>
      <c r="SVK3" s="306"/>
      <c r="SVL3" s="306"/>
      <c r="SVM3" s="306"/>
      <c r="SVN3" s="306"/>
      <c r="SVO3" s="306"/>
      <c r="SVP3" s="306"/>
      <c r="SVQ3" s="306"/>
      <c r="SVR3" s="306"/>
      <c r="SVS3" s="306"/>
      <c r="SVT3" s="306"/>
      <c r="SVU3" s="306"/>
      <c r="SVV3" s="306"/>
      <c r="SVW3" s="306"/>
      <c r="SVX3" s="306"/>
      <c r="SVY3" s="306"/>
      <c r="SVZ3" s="306"/>
      <c r="SWA3" s="306"/>
      <c r="SWB3" s="306"/>
      <c r="SWC3" s="306"/>
      <c r="SWD3" s="306"/>
      <c r="SWE3" s="306"/>
      <c r="SWF3" s="306"/>
      <c r="SWG3" s="306"/>
      <c r="SWH3" s="306"/>
      <c r="SWI3" s="306"/>
      <c r="SWJ3" s="306"/>
      <c r="SWK3" s="306"/>
      <c r="SWL3" s="306"/>
      <c r="SWM3" s="306"/>
      <c r="SWN3" s="306"/>
      <c r="SWO3" s="306"/>
      <c r="SWP3" s="306"/>
      <c r="SWQ3" s="306"/>
      <c r="SWR3" s="306"/>
      <c r="SWS3" s="306"/>
      <c r="SWT3" s="306"/>
      <c r="SWU3" s="306"/>
      <c r="SWV3" s="306"/>
      <c r="SWW3" s="306"/>
      <c r="SWX3" s="306"/>
      <c r="SWY3" s="306"/>
      <c r="SWZ3" s="306"/>
      <c r="SXA3" s="306"/>
      <c r="SXB3" s="306"/>
      <c r="SXC3" s="306"/>
      <c r="SXD3" s="306"/>
      <c r="SXE3" s="306"/>
      <c r="SXF3" s="306"/>
      <c r="SXG3" s="306"/>
      <c r="SXH3" s="306"/>
      <c r="SXI3" s="306"/>
      <c r="SXJ3" s="306"/>
      <c r="SXK3" s="306"/>
      <c r="SXL3" s="306"/>
      <c r="SXM3" s="306"/>
      <c r="SXN3" s="306"/>
      <c r="SXO3" s="306"/>
      <c r="SXP3" s="306"/>
      <c r="SXQ3" s="306"/>
      <c r="SXR3" s="306"/>
      <c r="SXS3" s="306"/>
      <c r="SXT3" s="306"/>
      <c r="SXU3" s="306"/>
      <c r="SXV3" s="306"/>
      <c r="SXW3" s="306"/>
      <c r="SXX3" s="306"/>
      <c r="SXY3" s="306"/>
      <c r="SXZ3" s="306"/>
      <c r="SYA3" s="306"/>
      <c r="SYB3" s="306"/>
      <c r="SYC3" s="306"/>
      <c r="SYD3" s="306"/>
      <c r="SYE3" s="306"/>
      <c r="SYF3" s="306"/>
      <c r="SYG3" s="306"/>
      <c r="SYH3" s="306"/>
      <c r="SYI3" s="306"/>
      <c r="SYJ3" s="306"/>
      <c r="SYK3" s="306"/>
      <c r="SYL3" s="306"/>
      <c r="SYM3" s="306"/>
      <c r="SYN3" s="306"/>
      <c r="SYO3" s="306"/>
      <c r="SYP3" s="306"/>
      <c r="SYQ3" s="306"/>
      <c r="SYR3" s="306"/>
      <c r="SYS3" s="306"/>
      <c r="SYT3" s="306"/>
      <c r="SYU3" s="306"/>
      <c r="SYV3" s="306"/>
      <c r="SYW3" s="306"/>
      <c r="SYX3" s="306"/>
      <c r="SYY3" s="306"/>
      <c r="SYZ3" s="306"/>
      <c r="SZA3" s="306"/>
      <c r="SZB3" s="306"/>
      <c r="SZC3" s="306"/>
      <c r="SZD3" s="306"/>
      <c r="SZE3" s="306"/>
      <c r="SZF3" s="306"/>
      <c r="SZG3" s="306"/>
      <c r="SZH3" s="306"/>
      <c r="SZI3" s="306"/>
      <c r="SZJ3" s="306"/>
      <c r="SZK3" s="306"/>
      <c r="SZL3" s="306"/>
      <c r="SZM3" s="306"/>
      <c r="SZN3" s="306"/>
      <c r="SZO3" s="306"/>
      <c r="SZP3" s="306"/>
      <c r="SZQ3" s="306"/>
      <c r="SZR3" s="306"/>
      <c r="SZS3" s="306"/>
      <c r="SZT3" s="306"/>
      <c r="SZU3" s="306"/>
      <c r="SZV3" s="306"/>
      <c r="SZW3" s="306"/>
      <c r="SZX3" s="306"/>
      <c r="SZY3" s="306"/>
      <c r="SZZ3" s="306"/>
      <c r="TAA3" s="306"/>
      <c r="TAB3" s="306"/>
      <c r="TAC3" s="306"/>
      <c r="TAD3" s="306"/>
      <c r="TAE3" s="306"/>
      <c r="TAF3" s="306"/>
      <c r="TAG3" s="306"/>
      <c r="TAH3" s="306"/>
      <c r="TAI3" s="306"/>
      <c r="TAJ3" s="306"/>
      <c r="TAK3" s="306"/>
      <c r="TAL3" s="306"/>
      <c r="TAM3" s="306"/>
      <c r="TAN3" s="306"/>
      <c r="TAO3" s="306"/>
      <c r="TAP3" s="306"/>
      <c r="TAQ3" s="306"/>
      <c r="TAR3" s="306"/>
      <c r="TAS3" s="306"/>
      <c r="TAT3" s="306"/>
      <c r="TAU3" s="306"/>
      <c r="TAV3" s="306"/>
      <c r="TAW3" s="306"/>
      <c r="TAX3" s="306"/>
      <c r="TAY3" s="306"/>
      <c r="TAZ3" s="306"/>
      <c r="TBA3" s="306"/>
      <c r="TBB3" s="306"/>
      <c r="TBC3" s="306"/>
      <c r="TBD3" s="306"/>
      <c r="TBE3" s="306"/>
      <c r="TBF3" s="306"/>
      <c r="TBG3" s="306"/>
      <c r="TBH3" s="306"/>
      <c r="TBI3" s="306"/>
      <c r="TBJ3" s="306"/>
      <c r="TBK3" s="306"/>
      <c r="TBL3" s="306"/>
      <c r="TBM3" s="306"/>
      <c r="TBN3" s="306"/>
      <c r="TBO3" s="306"/>
      <c r="TBP3" s="306"/>
      <c r="TBQ3" s="306"/>
      <c r="TBR3" s="306"/>
      <c r="TBS3" s="306"/>
      <c r="TBT3" s="306"/>
      <c r="TBU3" s="306"/>
      <c r="TBV3" s="306"/>
      <c r="TBW3" s="306"/>
      <c r="TBX3" s="306"/>
      <c r="TBY3" s="306"/>
      <c r="TBZ3" s="306"/>
      <c r="TCA3" s="306"/>
      <c r="TCB3" s="306"/>
      <c r="TCC3" s="306"/>
      <c r="TCD3" s="306"/>
      <c r="TCE3" s="306"/>
      <c r="TCF3" s="306"/>
      <c r="TCG3" s="306"/>
      <c r="TCH3" s="306"/>
      <c r="TCI3" s="306"/>
      <c r="TCJ3" s="306"/>
      <c r="TCK3" s="306"/>
      <c r="TCL3" s="306"/>
      <c r="TCM3" s="306"/>
      <c r="TCN3" s="306"/>
      <c r="TCO3" s="306"/>
      <c r="TCP3" s="306"/>
      <c r="TCQ3" s="306"/>
      <c r="TCR3" s="306"/>
      <c r="TCS3" s="306"/>
      <c r="TCT3" s="306"/>
      <c r="TCU3" s="306"/>
      <c r="TCV3" s="306"/>
      <c r="TCW3" s="306"/>
      <c r="TCX3" s="306"/>
      <c r="TCY3" s="306"/>
      <c r="TCZ3" s="306"/>
      <c r="TDA3" s="306"/>
      <c r="TDB3" s="306"/>
      <c r="TDC3" s="306"/>
      <c r="TDD3" s="306"/>
      <c r="TDE3" s="306"/>
      <c r="TDF3" s="306"/>
      <c r="TDG3" s="306"/>
      <c r="TDH3" s="306"/>
      <c r="TDI3" s="306"/>
      <c r="TDJ3" s="306"/>
      <c r="TDK3" s="306"/>
      <c r="TDL3" s="306"/>
      <c r="TDM3" s="306"/>
      <c r="TDN3" s="306"/>
      <c r="TDO3" s="306"/>
      <c r="TDP3" s="306"/>
      <c r="TDQ3" s="306"/>
      <c r="TDR3" s="306"/>
      <c r="TDS3" s="306"/>
      <c r="TDT3" s="306"/>
      <c r="TDU3" s="306"/>
      <c r="TDV3" s="306"/>
      <c r="TDW3" s="306"/>
      <c r="TDX3" s="306"/>
      <c r="TDY3" s="306"/>
      <c r="TDZ3" s="306"/>
      <c r="TEA3" s="306"/>
      <c r="TEB3" s="306"/>
      <c r="TEC3" s="306"/>
      <c r="TED3" s="306"/>
      <c r="TEE3" s="306"/>
      <c r="TEF3" s="306"/>
      <c r="TEG3" s="306"/>
      <c r="TEH3" s="306"/>
      <c r="TEI3" s="306"/>
      <c r="TEJ3" s="306"/>
      <c r="TEK3" s="306"/>
      <c r="TEL3" s="306"/>
      <c r="TEM3" s="306"/>
      <c r="TEN3" s="306"/>
      <c r="TEO3" s="306"/>
      <c r="TEP3" s="306"/>
      <c r="TEQ3" s="306"/>
      <c r="TER3" s="306"/>
      <c r="TES3" s="306"/>
      <c r="TET3" s="306"/>
      <c r="TEU3" s="306"/>
      <c r="TEV3" s="306"/>
      <c r="TEW3" s="306"/>
      <c r="TEX3" s="306"/>
      <c r="TEY3" s="306"/>
      <c r="TEZ3" s="306"/>
      <c r="TFA3" s="306"/>
      <c r="TFB3" s="306"/>
      <c r="TFC3" s="306"/>
      <c r="TFD3" s="306"/>
      <c r="TFE3" s="306"/>
      <c r="TFF3" s="306"/>
      <c r="TFG3" s="306"/>
      <c r="TFH3" s="306"/>
      <c r="TFI3" s="306"/>
      <c r="TFJ3" s="306"/>
      <c r="TFK3" s="306"/>
      <c r="TFL3" s="306"/>
      <c r="TFM3" s="306"/>
      <c r="TFN3" s="306"/>
      <c r="TFO3" s="306"/>
      <c r="TFP3" s="306"/>
      <c r="TFQ3" s="306"/>
      <c r="TFR3" s="306"/>
      <c r="TFS3" s="306"/>
      <c r="TFT3" s="306"/>
      <c r="TFU3" s="306"/>
      <c r="TFV3" s="306"/>
      <c r="TFW3" s="306"/>
      <c r="TFX3" s="306"/>
      <c r="TFY3" s="306"/>
      <c r="TFZ3" s="306"/>
      <c r="TGA3" s="306"/>
      <c r="TGB3" s="306"/>
      <c r="TGC3" s="306"/>
      <c r="TGD3" s="306"/>
      <c r="TGE3" s="306"/>
      <c r="TGF3" s="306"/>
      <c r="TGG3" s="306"/>
      <c r="TGH3" s="306"/>
      <c r="TGI3" s="306"/>
      <c r="TGJ3" s="306"/>
      <c r="TGK3" s="306"/>
      <c r="TGL3" s="306"/>
      <c r="TGM3" s="306"/>
      <c r="TGN3" s="306"/>
      <c r="TGO3" s="306"/>
      <c r="TGP3" s="306"/>
      <c r="TGQ3" s="306"/>
      <c r="TGR3" s="306"/>
      <c r="TGS3" s="306"/>
      <c r="TGT3" s="306"/>
      <c r="TGU3" s="306"/>
      <c r="TGV3" s="306"/>
      <c r="TGW3" s="306"/>
      <c r="TGX3" s="306"/>
      <c r="TGY3" s="306"/>
      <c r="TGZ3" s="306"/>
      <c r="THA3" s="306"/>
      <c r="THB3" s="306"/>
      <c r="THC3" s="306"/>
      <c r="THD3" s="306"/>
      <c r="THE3" s="306"/>
      <c r="THF3" s="306"/>
      <c r="THG3" s="306"/>
      <c r="THH3" s="306"/>
      <c r="THI3" s="306"/>
      <c r="THJ3" s="306"/>
      <c r="THK3" s="306"/>
      <c r="THL3" s="306"/>
      <c r="THM3" s="306"/>
      <c r="THN3" s="306"/>
      <c r="THO3" s="306"/>
      <c r="THP3" s="306"/>
      <c r="THQ3" s="306"/>
      <c r="THR3" s="306"/>
      <c r="THS3" s="306"/>
      <c r="THT3" s="306"/>
      <c r="THU3" s="306"/>
      <c r="THV3" s="306"/>
      <c r="THW3" s="306"/>
      <c r="THX3" s="306"/>
      <c r="THY3" s="306"/>
      <c r="THZ3" s="306"/>
      <c r="TIA3" s="306"/>
      <c r="TIB3" s="306"/>
      <c r="TIC3" s="306"/>
      <c r="TID3" s="306"/>
      <c r="TIE3" s="306"/>
      <c r="TIF3" s="306"/>
      <c r="TIG3" s="306"/>
      <c r="TIH3" s="306"/>
      <c r="TII3" s="306"/>
      <c r="TIJ3" s="306"/>
      <c r="TIK3" s="306"/>
      <c r="TIL3" s="306"/>
      <c r="TIM3" s="306"/>
      <c r="TIN3" s="306"/>
      <c r="TIO3" s="306"/>
      <c r="TIP3" s="306"/>
      <c r="TIQ3" s="306"/>
      <c r="TIR3" s="306"/>
      <c r="TIS3" s="306"/>
      <c r="TIT3" s="306"/>
      <c r="TIU3" s="306"/>
      <c r="TIV3" s="306"/>
      <c r="TIW3" s="306"/>
      <c r="TIX3" s="306"/>
      <c r="TIY3" s="306"/>
      <c r="TIZ3" s="306"/>
      <c r="TJA3" s="306"/>
      <c r="TJB3" s="306"/>
      <c r="TJC3" s="306"/>
      <c r="TJD3" s="306"/>
      <c r="TJE3" s="306"/>
      <c r="TJF3" s="306"/>
      <c r="TJG3" s="306"/>
      <c r="TJH3" s="306"/>
      <c r="TJI3" s="306"/>
      <c r="TJJ3" s="306"/>
      <c r="TJK3" s="306"/>
      <c r="TJL3" s="306"/>
      <c r="TJM3" s="306"/>
      <c r="TJN3" s="306"/>
      <c r="TJO3" s="306"/>
      <c r="TJP3" s="306"/>
      <c r="TJQ3" s="306"/>
      <c r="TJR3" s="306"/>
      <c r="TJS3" s="306"/>
      <c r="TJT3" s="306"/>
      <c r="TJU3" s="306"/>
      <c r="TJV3" s="306"/>
      <c r="TJW3" s="306"/>
      <c r="TJX3" s="306"/>
      <c r="TJY3" s="306"/>
      <c r="TJZ3" s="306"/>
      <c r="TKA3" s="306"/>
      <c r="TKB3" s="306"/>
      <c r="TKC3" s="306"/>
      <c r="TKD3" s="306"/>
      <c r="TKE3" s="306"/>
      <c r="TKF3" s="306"/>
      <c r="TKG3" s="306"/>
      <c r="TKH3" s="306"/>
      <c r="TKI3" s="306"/>
      <c r="TKJ3" s="306"/>
      <c r="TKK3" s="306"/>
      <c r="TKL3" s="306"/>
      <c r="TKM3" s="306"/>
      <c r="TKN3" s="306"/>
      <c r="TKO3" s="306"/>
      <c r="TKP3" s="306"/>
      <c r="TKQ3" s="306"/>
      <c r="TKR3" s="306"/>
      <c r="TKS3" s="306"/>
      <c r="TKT3" s="306"/>
      <c r="TKU3" s="306"/>
      <c r="TKV3" s="306"/>
      <c r="TKW3" s="306"/>
      <c r="TKX3" s="306"/>
      <c r="TKY3" s="306"/>
      <c r="TKZ3" s="306"/>
      <c r="TLA3" s="306"/>
      <c r="TLB3" s="306"/>
      <c r="TLC3" s="306"/>
      <c r="TLD3" s="306"/>
      <c r="TLE3" s="306"/>
      <c r="TLF3" s="306"/>
      <c r="TLG3" s="306"/>
      <c r="TLH3" s="306"/>
      <c r="TLI3" s="306"/>
      <c r="TLJ3" s="306"/>
      <c r="TLK3" s="306"/>
      <c r="TLL3" s="306"/>
      <c r="TLM3" s="306"/>
      <c r="TLN3" s="306"/>
      <c r="TLO3" s="306"/>
      <c r="TLP3" s="306"/>
      <c r="TLQ3" s="306"/>
      <c r="TLR3" s="306"/>
      <c r="TLS3" s="306"/>
      <c r="TLT3" s="306"/>
      <c r="TLU3" s="306"/>
      <c r="TLV3" s="306"/>
      <c r="TLW3" s="306"/>
      <c r="TLX3" s="306"/>
      <c r="TLY3" s="306"/>
      <c r="TLZ3" s="306"/>
      <c r="TMA3" s="306"/>
      <c r="TMB3" s="306"/>
      <c r="TMC3" s="306"/>
      <c r="TMD3" s="306"/>
      <c r="TME3" s="306"/>
      <c r="TMF3" s="306"/>
      <c r="TMG3" s="306"/>
      <c r="TMH3" s="306"/>
      <c r="TMI3" s="306"/>
      <c r="TMJ3" s="306"/>
      <c r="TMK3" s="306"/>
      <c r="TML3" s="306"/>
      <c r="TMM3" s="306"/>
      <c r="TMN3" s="306"/>
      <c r="TMO3" s="306"/>
      <c r="TMP3" s="306"/>
      <c r="TMQ3" s="306"/>
      <c r="TMR3" s="306"/>
      <c r="TMS3" s="306"/>
      <c r="TMT3" s="306"/>
      <c r="TMU3" s="306"/>
      <c r="TMV3" s="306"/>
      <c r="TMW3" s="306"/>
      <c r="TMX3" s="306"/>
      <c r="TMY3" s="306"/>
      <c r="TMZ3" s="306"/>
      <c r="TNA3" s="306"/>
      <c r="TNB3" s="306"/>
      <c r="TNC3" s="306"/>
      <c r="TND3" s="306"/>
      <c r="TNE3" s="306"/>
      <c r="TNF3" s="306"/>
      <c r="TNG3" s="306"/>
      <c r="TNH3" s="306"/>
      <c r="TNI3" s="306"/>
      <c r="TNJ3" s="306"/>
      <c r="TNK3" s="306"/>
      <c r="TNL3" s="306"/>
      <c r="TNM3" s="306"/>
      <c r="TNN3" s="306"/>
      <c r="TNO3" s="306"/>
      <c r="TNP3" s="306"/>
      <c r="TNQ3" s="306"/>
      <c r="TNR3" s="306"/>
      <c r="TNS3" s="306"/>
      <c r="TNT3" s="306"/>
      <c r="TNU3" s="306"/>
      <c r="TNV3" s="306"/>
      <c r="TNW3" s="306"/>
      <c r="TNX3" s="306"/>
      <c r="TNY3" s="306"/>
      <c r="TNZ3" s="306"/>
      <c r="TOA3" s="306"/>
      <c r="TOB3" s="306"/>
      <c r="TOC3" s="306"/>
      <c r="TOD3" s="306"/>
      <c r="TOE3" s="306"/>
      <c r="TOF3" s="306"/>
      <c r="TOG3" s="306"/>
      <c r="TOH3" s="306"/>
      <c r="TOI3" s="306"/>
      <c r="TOJ3" s="306"/>
      <c r="TOK3" s="306"/>
      <c r="TOL3" s="306"/>
      <c r="TOM3" s="306"/>
      <c r="TON3" s="306"/>
      <c r="TOO3" s="306"/>
      <c r="TOP3" s="306"/>
      <c r="TOQ3" s="306"/>
      <c r="TOR3" s="306"/>
      <c r="TOS3" s="306"/>
      <c r="TOT3" s="306"/>
      <c r="TOU3" s="306"/>
      <c r="TOV3" s="306"/>
      <c r="TOW3" s="306"/>
      <c r="TOX3" s="306"/>
      <c r="TOY3" s="306"/>
      <c r="TOZ3" s="306"/>
      <c r="TPA3" s="306"/>
      <c r="TPB3" s="306"/>
      <c r="TPC3" s="306"/>
      <c r="TPD3" s="306"/>
      <c r="TPE3" s="306"/>
      <c r="TPF3" s="306"/>
      <c r="TPG3" s="306"/>
      <c r="TPH3" s="306"/>
      <c r="TPI3" s="306"/>
      <c r="TPJ3" s="306"/>
      <c r="TPK3" s="306"/>
      <c r="TPL3" s="306"/>
      <c r="TPM3" s="306"/>
      <c r="TPN3" s="306"/>
      <c r="TPO3" s="306"/>
      <c r="TPP3" s="306"/>
      <c r="TPQ3" s="306"/>
      <c r="TPR3" s="306"/>
      <c r="TPS3" s="306"/>
      <c r="TPT3" s="306"/>
      <c r="TPU3" s="306"/>
      <c r="TPV3" s="306"/>
      <c r="TPW3" s="306"/>
      <c r="TPX3" s="306"/>
      <c r="TPY3" s="306"/>
      <c r="TPZ3" s="306"/>
      <c r="TQA3" s="306"/>
      <c r="TQB3" s="306"/>
      <c r="TQC3" s="306"/>
      <c r="TQD3" s="306"/>
      <c r="TQE3" s="306"/>
      <c r="TQF3" s="306"/>
      <c r="TQG3" s="306"/>
      <c r="TQH3" s="306"/>
      <c r="TQI3" s="306"/>
      <c r="TQJ3" s="306"/>
      <c r="TQK3" s="306"/>
      <c r="TQL3" s="306"/>
      <c r="TQM3" s="306"/>
      <c r="TQN3" s="306"/>
      <c r="TQO3" s="306"/>
      <c r="TQP3" s="306"/>
      <c r="TQQ3" s="306"/>
      <c r="TQR3" s="306"/>
      <c r="TQS3" s="306"/>
      <c r="TQT3" s="306"/>
      <c r="TQU3" s="306"/>
      <c r="TQV3" s="306"/>
      <c r="TQW3" s="306"/>
      <c r="TQX3" s="306"/>
      <c r="TQY3" s="306"/>
      <c r="TQZ3" s="306"/>
      <c r="TRA3" s="306"/>
      <c r="TRB3" s="306"/>
      <c r="TRC3" s="306"/>
      <c r="TRD3" s="306"/>
      <c r="TRE3" s="306"/>
      <c r="TRF3" s="306"/>
      <c r="TRG3" s="306"/>
      <c r="TRH3" s="306"/>
      <c r="TRI3" s="306"/>
      <c r="TRJ3" s="306"/>
      <c r="TRK3" s="306"/>
      <c r="TRL3" s="306"/>
      <c r="TRM3" s="306"/>
      <c r="TRN3" s="306"/>
      <c r="TRO3" s="306"/>
      <c r="TRP3" s="306"/>
      <c r="TRQ3" s="306"/>
      <c r="TRR3" s="306"/>
      <c r="TRS3" s="306"/>
      <c r="TRT3" s="306"/>
      <c r="TRU3" s="306"/>
      <c r="TRV3" s="306"/>
      <c r="TRW3" s="306"/>
      <c r="TRX3" s="306"/>
      <c r="TRY3" s="306"/>
      <c r="TRZ3" s="306"/>
      <c r="TSA3" s="306"/>
      <c r="TSB3" s="306"/>
      <c r="TSC3" s="306"/>
      <c r="TSD3" s="306"/>
      <c r="TSE3" s="306"/>
      <c r="TSF3" s="306"/>
      <c r="TSG3" s="306"/>
      <c r="TSH3" s="306"/>
      <c r="TSI3" s="306"/>
      <c r="TSJ3" s="306"/>
      <c r="TSK3" s="306"/>
      <c r="TSL3" s="306"/>
      <c r="TSM3" s="306"/>
      <c r="TSN3" s="306"/>
      <c r="TSO3" s="306"/>
      <c r="TSP3" s="306"/>
      <c r="TSQ3" s="306"/>
      <c r="TSR3" s="306"/>
      <c r="TSS3" s="306"/>
      <c r="TST3" s="306"/>
      <c r="TSU3" s="306"/>
      <c r="TSV3" s="306"/>
      <c r="TSW3" s="306"/>
      <c r="TSX3" s="306"/>
      <c r="TSY3" s="306"/>
      <c r="TSZ3" s="306"/>
      <c r="TTA3" s="306"/>
      <c r="TTB3" s="306"/>
      <c r="TTC3" s="306"/>
      <c r="TTD3" s="306"/>
      <c r="TTE3" s="306"/>
      <c r="TTF3" s="306"/>
      <c r="TTG3" s="306"/>
      <c r="TTH3" s="306"/>
      <c r="TTI3" s="306"/>
      <c r="TTJ3" s="306"/>
      <c r="TTK3" s="306"/>
      <c r="TTL3" s="306"/>
      <c r="TTM3" s="306"/>
      <c r="TTN3" s="306"/>
      <c r="TTO3" s="306"/>
      <c r="TTP3" s="306"/>
      <c r="TTQ3" s="306"/>
      <c r="TTR3" s="306"/>
      <c r="TTS3" s="306"/>
      <c r="TTT3" s="306"/>
      <c r="TTU3" s="306"/>
      <c r="TTV3" s="306"/>
      <c r="TTW3" s="306"/>
      <c r="TTX3" s="306"/>
      <c r="TTY3" s="306"/>
      <c r="TTZ3" s="306"/>
      <c r="TUA3" s="306"/>
      <c r="TUB3" s="306"/>
      <c r="TUC3" s="306"/>
      <c r="TUD3" s="306"/>
      <c r="TUE3" s="306"/>
      <c r="TUF3" s="306"/>
      <c r="TUG3" s="306"/>
      <c r="TUH3" s="306"/>
      <c r="TUI3" s="306"/>
      <c r="TUJ3" s="306"/>
      <c r="TUK3" s="306"/>
      <c r="TUL3" s="306"/>
      <c r="TUM3" s="306"/>
      <c r="TUN3" s="306"/>
      <c r="TUO3" s="306"/>
      <c r="TUP3" s="306"/>
      <c r="TUQ3" s="306"/>
      <c r="TUR3" s="306"/>
      <c r="TUS3" s="306"/>
      <c r="TUT3" s="306"/>
      <c r="TUU3" s="306"/>
      <c r="TUV3" s="306"/>
      <c r="TUW3" s="306"/>
      <c r="TUX3" s="306"/>
      <c r="TUY3" s="306"/>
      <c r="TUZ3" s="306"/>
      <c r="TVA3" s="306"/>
      <c r="TVB3" s="306"/>
      <c r="TVC3" s="306"/>
      <c r="TVD3" s="306"/>
      <c r="TVE3" s="306"/>
      <c r="TVF3" s="306"/>
      <c r="TVG3" s="306"/>
      <c r="TVH3" s="306"/>
      <c r="TVI3" s="306"/>
      <c r="TVJ3" s="306"/>
      <c r="TVK3" s="306"/>
      <c r="TVL3" s="306"/>
      <c r="TVM3" s="306"/>
      <c r="TVN3" s="306"/>
      <c r="TVO3" s="306"/>
      <c r="TVP3" s="306"/>
      <c r="TVQ3" s="306"/>
      <c r="TVR3" s="306"/>
      <c r="TVS3" s="306"/>
      <c r="TVT3" s="306"/>
      <c r="TVU3" s="306"/>
      <c r="TVV3" s="306"/>
      <c r="TVW3" s="306"/>
      <c r="TVX3" s="306"/>
      <c r="TVY3" s="306"/>
      <c r="TVZ3" s="306"/>
      <c r="TWA3" s="306"/>
      <c r="TWB3" s="306"/>
      <c r="TWC3" s="306"/>
      <c r="TWD3" s="306"/>
      <c r="TWE3" s="306"/>
      <c r="TWF3" s="306"/>
      <c r="TWG3" s="306"/>
      <c r="TWH3" s="306"/>
      <c r="TWI3" s="306"/>
      <c r="TWJ3" s="306"/>
      <c r="TWK3" s="306"/>
      <c r="TWL3" s="306"/>
      <c r="TWM3" s="306"/>
      <c r="TWN3" s="306"/>
      <c r="TWO3" s="306"/>
      <c r="TWP3" s="306"/>
      <c r="TWQ3" s="306"/>
      <c r="TWR3" s="306"/>
      <c r="TWS3" s="306"/>
      <c r="TWT3" s="306"/>
      <c r="TWU3" s="306"/>
      <c r="TWV3" s="306"/>
      <c r="TWW3" s="306"/>
      <c r="TWX3" s="306"/>
      <c r="TWY3" s="306"/>
      <c r="TWZ3" s="306"/>
      <c r="TXA3" s="306"/>
      <c r="TXB3" s="306"/>
      <c r="TXC3" s="306"/>
      <c r="TXD3" s="306"/>
      <c r="TXE3" s="306"/>
      <c r="TXF3" s="306"/>
      <c r="TXG3" s="306"/>
      <c r="TXH3" s="306"/>
      <c r="TXI3" s="306"/>
      <c r="TXJ3" s="306"/>
      <c r="TXK3" s="306"/>
      <c r="TXL3" s="306"/>
      <c r="TXM3" s="306"/>
      <c r="TXN3" s="306"/>
      <c r="TXO3" s="306"/>
      <c r="TXP3" s="306"/>
      <c r="TXQ3" s="306"/>
      <c r="TXR3" s="306"/>
      <c r="TXS3" s="306"/>
      <c r="TXT3" s="306"/>
      <c r="TXU3" s="306"/>
      <c r="TXV3" s="306"/>
      <c r="TXW3" s="306"/>
      <c r="TXX3" s="306"/>
      <c r="TXY3" s="306"/>
      <c r="TXZ3" s="306"/>
      <c r="TYA3" s="306"/>
      <c r="TYB3" s="306"/>
      <c r="TYC3" s="306"/>
      <c r="TYD3" s="306"/>
      <c r="TYE3" s="306"/>
      <c r="TYF3" s="306"/>
      <c r="TYG3" s="306"/>
      <c r="TYH3" s="306"/>
      <c r="TYI3" s="306"/>
      <c r="TYJ3" s="306"/>
      <c r="TYK3" s="306"/>
      <c r="TYL3" s="306"/>
      <c r="TYM3" s="306"/>
      <c r="TYN3" s="306"/>
      <c r="TYO3" s="306"/>
      <c r="TYP3" s="306"/>
      <c r="TYQ3" s="306"/>
      <c r="TYR3" s="306"/>
      <c r="TYS3" s="306"/>
      <c r="TYT3" s="306"/>
      <c r="TYU3" s="306"/>
      <c r="TYV3" s="306"/>
      <c r="TYW3" s="306"/>
      <c r="TYX3" s="306"/>
      <c r="TYY3" s="306"/>
      <c r="TYZ3" s="306"/>
      <c r="TZA3" s="306"/>
      <c r="TZB3" s="306"/>
      <c r="TZC3" s="306"/>
      <c r="TZD3" s="306"/>
      <c r="TZE3" s="306"/>
      <c r="TZF3" s="306"/>
      <c r="TZG3" s="306"/>
      <c r="TZH3" s="306"/>
      <c r="TZI3" s="306"/>
      <c r="TZJ3" s="306"/>
      <c r="TZK3" s="306"/>
      <c r="TZL3" s="306"/>
      <c r="TZM3" s="306"/>
      <c r="TZN3" s="306"/>
      <c r="TZO3" s="306"/>
      <c r="TZP3" s="306"/>
      <c r="TZQ3" s="306"/>
      <c r="TZR3" s="306"/>
      <c r="TZS3" s="306"/>
      <c r="TZT3" s="306"/>
      <c r="TZU3" s="306"/>
      <c r="TZV3" s="306"/>
      <c r="TZW3" s="306"/>
      <c r="TZX3" s="306"/>
      <c r="TZY3" s="306"/>
      <c r="TZZ3" s="306"/>
      <c r="UAA3" s="306"/>
      <c r="UAB3" s="306"/>
      <c r="UAC3" s="306"/>
      <c r="UAD3" s="306"/>
      <c r="UAE3" s="306"/>
      <c r="UAF3" s="306"/>
      <c r="UAG3" s="306"/>
      <c r="UAH3" s="306"/>
      <c r="UAI3" s="306"/>
      <c r="UAJ3" s="306"/>
      <c r="UAK3" s="306"/>
      <c r="UAL3" s="306"/>
      <c r="UAM3" s="306"/>
      <c r="UAN3" s="306"/>
      <c r="UAO3" s="306"/>
      <c r="UAP3" s="306"/>
      <c r="UAQ3" s="306"/>
      <c r="UAR3" s="306"/>
      <c r="UAS3" s="306"/>
      <c r="UAT3" s="306"/>
      <c r="UAU3" s="306"/>
      <c r="UAV3" s="306"/>
      <c r="UAW3" s="306"/>
      <c r="UAX3" s="306"/>
      <c r="UAY3" s="306"/>
      <c r="UAZ3" s="306"/>
      <c r="UBA3" s="306"/>
      <c r="UBB3" s="306"/>
      <c r="UBC3" s="306"/>
      <c r="UBD3" s="306"/>
      <c r="UBE3" s="306"/>
      <c r="UBF3" s="306"/>
      <c r="UBG3" s="306"/>
      <c r="UBH3" s="306"/>
      <c r="UBI3" s="306"/>
      <c r="UBJ3" s="306"/>
      <c r="UBK3" s="306"/>
      <c r="UBL3" s="306"/>
      <c r="UBM3" s="306"/>
      <c r="UBN3" s="306"/>
      <c r="UBO3" s="306"/>
      <c r="UBP3" s="306"/>
      <c r="UBQ3" s="306"/>
      <c r="UBR3" s="306"/>
      <c r="UBS3" s="306"/>
      <c r="UBT3" s="306"/>
      <c r="UBU3" s="306"/>
      <c r="UBV3" s="306"/>
      <c r="UBW3" s="306"/>
      <c r="UBX3" s="306"/>
      <c r="UBY3" s="306"/>
      <c r="UBZ3" s="306"/>
      <c r="UCA3" s="306"/>
      <c r="UCB3" s="306"/>
      <c r="UCC3" s="306"/>
      <c r="UCD3" s="306"/>
      <c r="UCE3" s="306"/>
      <c r="UCF3" s="306"/>
      <c r="UCG3" s="306"/>
      <c r="UCH3" s="306"/>
      <c r="UCI3" s="306"/>
      <c r="UCJ3" s="306"/>
      <c r="UCK3" s="306"/>
      <c r="UCL3" s="306"/>
      <c r="UCM3" s="306"/>
      <c r="UCN3" s="306"/>
      <c r="UCO3" s="306"/>
      <c r="UCP3" s="306"/>
      <c r="UCQ3" s="306"/>
      <c r="UCR3" s="306"/>
      <c r="UCS3" s="306"/>
      <c r="UCT3" s="306"/>
      <c r="UCU3" s="306"/>
      <c r="UCV3" s="306"/>
      <c r="UCW3" s="306"/>
      <c r="UCX3" s="306"/>
      <c r="UCY3" s="306"/>
      <c r="UCZ3" s="306"/>
      <c r="UDA3" s="306"/>
      <c r="UDB3" s="306"/>
      <c r="UDC3" s="306"/>
      <c r="UDD3" s="306"/>
      <c r="UDE3" s="306"/>
      <c r="UDF3" s="306"/>
      <c r="UDG3" s="306"/>
      <c r="UDH3" s="306"/>
      <c r="UDI3" s="306"/>
      <c r="UDJ3" s="306"/>
      <c r="UDK3" s="306"/>
      <c r="UDL3" s="306"/>
      <c r="UDM3" s="306"/>
      <c r="UDN3" s="306"/>
      <c r="UDO3" s="306"/>
      <c r="UDP3" s="306"/>
      <c r="UDQ3" s="306"/>
      <c r="UDR3" s="306"/>
      <c r="UDS3" s="306"/>
      <c r="UDT3" s="306"/>
      <c r="UDU3" s="306"/>
      <c r="UDV3" s="306"/>
      <c r="UDW3" s="306"/>
      <c r="UDX3" s="306"/>
      <c r="UDY3" s="306"/>
      <c r="UDZ3" s="306"/>
      <c r="UEA3" s="306"/>
      <c r="UEB3" s="306"/>
      <c r="UEC3" s="306"/>
      <c r="UED3" s="306"/>
      <c r="UEE3" s="306"/>
      <c r="UEF3" s="306"/>
      <c r="UEG3" s="306"/>
      <c r="UEH3" s="306"/>
      <c r="UEI3" s="306"/>
      <c r="UEJ3" s="306"/>
      <c r="UEK3" s="306"/>
      <c r="UEL3" s="306"/>
      <c r="UEM3" s="306"/>
      <c r="UEN3" s="306"/>
      <c r="UEO3" s="306"/>
      <c r="UEP3" s="306"/>
      <c r="UEQ3" s="306"/>
      <c r="UER3" s="306"/>
      <c r="UES3" s="306"/>
      <c r="UET3" s="306"/>
      <c r="UEU3" s="306"/>
      <c r="UEV3" s="306"/>
      <c r="UEW3" s="306"/>
      <c r="UEX3" s="306"/>
      <c r="UEY3" s="306"/>
      <c r="UEZ3" s="306"/>
      <c r="UFA3" s="306"/>
      <c r="UFB3" s="306"/>
      <c r="UFC3" s="306"/>
      <c r="UFD3" s="306"/>
      <c r="UFE3" s="306"/>
      <c r="UFF3" s="306"/>
      <c r="UFG3" s="306"/>
      <c r="UFH3" s="306"/>
      <c r="UFI3" s="306"/>
      <c r="UFJ3" s="306"/>
      <c r="UFK3" s="306"/>
      <c r="UFL3" s="306"/>
      <c r="UFM3" s="306"/>
      <c r="UFN3" s="306"/>
      <c r="UFO3" s="306"/>
      <c r="UFP3" s="306"/>
      <c r="UFQ3" s="306"/>
      <c r="UFR3" s="306"/>
      <c r="UFS3" s="306"/>
      <c r="UFT3" s="306"/>
      <c r="UFU3" s="306"/>
      <c r="UFV3" s="306"/>
      <c r="UFW3" s="306"/>
      <c r="UFX3" s="306"/>
      <c r="UFY3" s="306"/>
      <c r="UFZ3" s="306"/>
      <c r="UGA3" s="306"/>
      <c r="UGB3" s="306"/>
      <c r="UGC3" s="306"/>
      <c r="UGD3" s="306"/>
      <c r="UGE3" s="306"/>
      <c r="UGF3" s="306"/>
      <c r="UGG3" s="306"/>
      <c r="UGH3" s="306"/>
      <c r="UGI3" s="306"/>
      <c r="UGJ3" s="306"/>
      <c r="UGK3" s="306"/>
      <c r="UGL3" s="306"/>
      <c r="UGM3" s="306"/>
      <c r="UGN3" s="306"/>
      <c r="UGO3" s="306"/>
      <c r="UGP3" s="306"/>
      <c r="UGQ3" s="306"/>
      <c r="UGR3" s="306"/>
      <c r="UGS3" s="306"/>
      <c r="UGT3" s="306"/>
      <c r="UGU3" s="306"/>
      <c r="UGV3" s="306"/>
      <c r="UGW3" s="306"/>
      <c r="UGX3" s="306"/>
      <c r="UGY3" s="306"/>
      <c r="UGZ3" s="306"/>
      <c r="UHA3" s="306"/>
      <c r="UHB3" s="306"/>
      <c r="UHC3" s="306"/>
      <c r="UHD3" s="306"/>
      <c r="UHE3" s="306"/>
      <c r="UHF3" s="306"/>
      <c r="UHG3" s="306"/>
      <c r="UHH3" s="306"/>
      <c r="UHI3" s="306"/>
      <c r="UHJ3" s="306"/>
      <c r="UHK3" s="306"/>
      <c r="UHL3" s="306"/>
      <c r="UHM3" s="306"/>
      <c r="UHN3" s="306"/>
      <c r="UHO3" s="306"/>
      <c r="UHP3" s="306"/>
      <c r="UHQ3" s="306"/>
      <c r="UHR3" s="306"/>
      <c r="UHS3" s="306"/>
      <c r="UHT3" s="306"/>
      <c r="UHU3" s="306"/>
      <c r="UHV3" s="306"/>
      <c r="UHW3" s="306"/>
      <c r="UHX3" s="306"/>
      <c r="UHY3" s="306"/>
      <c r="UHZ3" s="306"/>
      <c r="UIA3" s="306"/>
      <c r="UIB3" s="306"/>
      <c r="UIC3" s="306"/>
      <c r="UID3" s="306"/>
      <c r="UIE3" s="306"/>
      <c r="UIF3" s="306"/>
      <c r="UIG3" s="306"/>
      <c r="UIH3" s="306"/>
      <c r="UII3" s="306"/>
      <c r="UIJ3" s="306"/>
      <c r="UIK3" s="306"/>
      <c r="UIL3" s="306"/>
      <c r="UIM3" s="306"/>
      <c r="UIN3" s="306"/>
      <c r="UIO3" s="306"/>
      <c r="UIP3" s="306"/>
      <c r="UIQ3" s="306"/>
      <c r="UIR3" s="306"/>
      <c r="UIS3" s="306"/>
      <c r="UIT3" s="306"/>
      <c r="UIU3" s="306"/>
      <c r="UIV3" s="306"/>
      <c r="UIW3" s="306"/>
      <c r="UIX3" s="306"/>
      <c r="UIY3" s="306"/>
      <c r="UIZ3" s="306"/>
      <c r="UJA3" s="306"/>
      <c r="UJB3" s="306"/>
      <c r="UJC3" s="306"/>
      <c r="UJD3" s="306"/>
      <c r="UJE3" s="306"/>
      <c r="UJF3" s="306"/>
      <c r="UJG3" s="306"/>
      <c r="UJH3" s="306"/>
      <c r="UJI3" s="306"/>
      <c r="UJJ3" s="306"/>
      <c r="UJK3" s="306"/>
      <c r="UJL3" s="306"/>
      <c r="UJM3" s="306"/>
      <c r="UJN3" s="306"/>
      <c r="UJO3" s="306"/>
      <c r="UJP3" s="306"/>
      <c r="UJQ3" s="306"/>
      <c r="UJR3" s="306"/>
      <c r="UJS3" s="306"/>
      <c r="UJT3" s="306"/>
      <c r="UJU3" s="306"/>
      <c r="UJV3" s="306"/>
      <c r="UJW3" s="306"/>
      <c r="UJX3" s="306"/>
      <c r="UJY3" s="306"/>
      <c r="UJZ3" s="306"/>
      <c r="UKA3" s="306"/>
      <c r="UKB3" s="306"/>
      <c r="UKC3" s="306"/>
      <c r="UKD3" s="306"/>
      <c r="UKE3" s="306"/>
      <c r="UKF3" s="306"/>
      <c r="UKG3" s="306"/>
      <c r="UKH3" s="306"/>
      <c r="UKI3" s="306"/>
      <c r="UKJ3" s="306"/>
      <c r="UKK3" s="306"/>
      <c r="UKL3" s="306"/>
      <c r="UKM3" s="306"/>
      <c r="UKN3" s="306"/>
      <c r="UKO3" s="306"/>
      <c r="UKP3" s="306"/>
      <c r="UKQ3" s="306"/>
      <c r="UKR3" s="306"/>
      <c r="UKS3" s="306"/>
      <c r="UKT3" s="306"/>
      <c r="UKU3" s="306"/>
      <c r="UKV3" s="306"/>
      <c r="UKW3" s="306"/>
      <c r="UKX3" s="306"/>
      <c r="UKY3" s="306"/>
      <c r="UKZ3" s="306"/>
      <c r="ULA3" s="306"/>
      <c r="ULB3" s="306"/>
      <c r="ULC3" s="306"/>
      <c r="ULD3" s="306"/>
      <c r="ULE3" s="306"/>
      <c r="ULF3" s="306"/>
      <c r="ULG3" s="306"/>
      <c r="ULH3" s="306"/>
      <c r="ULI3" s="306"/>
      <c r="ULJ3" s="306"/>
      <c r="ULK3" s="306"/>
      <c r="ULL3" s="306"/>
      <c r="ULM3" s="306"/>
      <c r="ULN3" s="306"/>
      <c r="ULO3" s="306"/>
      <c r="ULP3" s="306"/>
      <c r="ULQ3" s="306"/>
      <c r="ULR3" s="306"/>
      <c r="ULS3" s="306"/>
      <c r="ULT3" s="306"/>
      <c r="ULU3" s="306"/>
      <c r="ULV3" s="306"/>
      <c r="ULW3" s="306"/>
      <c r="ULX3" s="306"/>
      <c r="ULY3" s="306"/>
      <c r="ULZ3" s="306"/>
      <c r="UMA3" s="306"/>
      <c r="UMB3" s="306"/>
      <c r="UMC3" s="306"/>
      <c r="UMD3" s="306"/>
      <c r="UME3" s="306"/>
      <c r="UMF3" s="306"/>
      <c r="UMG3" s="306"/>
      <c r="UMH3" s="306"/>
      <c r="UMI3" s="306"/>
      <c r="UMJ3" s="306"/>
      <c r="UMK3" s="306"/>
      <c r="UML3" s="306"/>
      <c r="UMM3" s="306"/>
      <c r="UMN3" s="306"/>
      <c r="UMO3" s="306"/>
      <c r="UMP3" s="306"/>
      <c r="UMQ3" s="306"/>
      <c r="UMR3" s="306"/>
      <c r="UMS3" s="306"/>
      <c r="UMT3" s="306"/>
      <c r="UMU3" s="306"/>
      <c r="UMV3" s="306"/>
      <c r="UMW3" s="306"/>
      <c r="UMX3" s="306"/>
      <c r="UMY3" s="306"/>
      <c r="UMZ3" s="306"/>
      <c r="UNA3" s="306"/>
      <c r="UNB3" s="306"/>
      <c r="UNC3" s="306"/>
      <c r="UND3" s="306"/>
      <c r="UNE3" s="306"/>
      <c r="UNF3" s="306"/>
      <c r="UNG3" s="306"/>
      <c r="UNH3" s="306"/>
      <c r="UNI3" s="306"/>
      <c r="UNJ3" s="306"/>
      <c r="UNK3" s="306"/>
      <c r="UNL3" s="306"/>
      <c r="UNM3" s="306"/>
      <c r="UNN3" s="306"/>
      <c r="UNO3" s="306"/>
      <c r="UNP3" s="306"/>
      <c r="UNQ3" s="306"/>
      <c r="UNR3" s="306"/>
      <c r="UNS3" s="306"/>
      <c r="UNT3" s="306"/>
      <c r="UNU3" s="306"/>
      <c r="UNV3" s="306"/>
      <c r="UNW3" s="306"/>
      <c r="UNX3" s="306"/>
      <c r="UNY3" s="306"/>
      <c r="UNZ3" s="306"/>
      <c r="UOA3" s="306"/>
      <c r="UOB3" s="306"/>
      <c r="UOC3" s="306"/>
      <c r="UOD3" s="306"/>
      <c r="UOE3" s="306"/>
      <c r="UOF3" s="306"/>
      <c r="UOG3" s="306"/>
      <c r="UOH3" s="306"/>
      <c r="UOI3" s="306"/>
      <c r="UOJ3" s="306"/>
      <c r="UOK3" s="306"/>
      <c r="UOL3" s="306"/>
      <c r="UOM3" s="306"/>
      <c r="UON3" s="306"/>
      <c r="UOO3" s="306"/>
      <c r="UOP3" s="306"/>
      <c r="UOQ3" s="306"/>
      <c r="UOR3" s="306"/>
      <c r="UOS3" s="306"/>
      <c r="UOT3" s="306"/>
      <c r="UOU3" s="306"/>
      <c r="UOV3" s="306"/>
      <c r="UOW3" s="306"/>
      <c r="UOX3" s="306"/>
      <c r="UOY3" s="306"/>
      <c r="UOZ3" s="306"/>
      <c r="UPA3" s="306"/>
      <c r="UPB3" s="306"/>
      <c r="UPC3" s="306"/>
      <c r="UPD3" s="306"/>
      <c r="UPE3" s="306"/>
      <c r="UPF3" s="306"/>
      <c r="UPG3" s="306"/>
      <c r="UPH3" s="306"/>
      <c r="UPI3" s="306"/>
      <c r="UPJ3" s="306"/>
      <c r="UPK3" s="306"/>
      <c r="UPL3" s="306"/>
      <c r="UPM3" s="306"/>
      <c r="UPN3" s="306"/>
      <c r="UPO3" s="306"/>
      <c r="UPP3" s="306"/>
      <c r="UPQ3" s="306"/>
      <c r="UPR3" s="306"/>
      <c r="UPS3" s="306"/>
      <c r="UPT3" s="306"/>
      <c r="UPU3" s="306"/>
      <c r="UPV3" s="306"/>
      <c r="UPW3" s="306"/>
      <c r="UPX3" s="306"/>
      <c r="UPY3" s="306"/>
      <c r="UPZ3" s="306"/>
      <c r="UQA3" s="306"/>
      <c r="UQB3" s="306"/>
      <c r="UQC3" s="306"/>
      <c r="UQD3" s="306"/>
      <c r="UQE3" s="306"/>
      <c r="UQF3" s="306"/>
      <c r="UQG3" s="306"/>
      <c r="UQH3" s="306"/>
      <c r="UQI3" s="306"/>
      <c r="UQJ3" s="306"/>
      <c r="UQK3" s="306"/>
      <c r="UQL3" s="306"/>
      <c r="UQM3" s="306"/>
      <c r="UQN3" s="306"/>
      <c r="UQO3" s="306"/>
      <c r="UQP3" s="306"/>
      <c r="UQQ3" s="306"/>
      <c r="UQR3" s="306"/>
      <c r="UQS3" s="306"/>
      <c r="UQT3" s="306"/>
      <c r="UQU3" s="306"/>
      <c r="UQV3" s="306"/>
      <c r="UQW3" s="306"/>
      <c r="UQX3" s="306"/>
      <c r="UQY3" s="306"/>
      <c r="UQZ3" s="306"/>
      <c r="URA3" s="306"/>
      <c r="URB3" s="306"/>
      <c r="URC3" s="306"/>
      <c r="URD3" s="306"/>
      <c r="URE3" s="306"/>
      <c r="URF3" s="306"/>
      <c r="URG3" s="306"/>
      <c r="URH3" s="306"/>
      <c r="URI3" s="306"/>
      <c r="URJ3" s="306"/>
      <c r="URK3" s="306"/>
      <c r="URL3" s="306"/>
      <c r="URM3" s="306"/>
      <c r="URN3" s="306"/>
      <c r="URO3" s="306"/>
      <c r="URP3" s="306"/>
      <c r="URQ3" s="306"/>
      <c r="URR3" s="306"/>
      <c r="URS3" s="306"/>
      <c r="URT3" s="306"/>
      <c r="URU3" s="306"/>
      <c r="URV3" s="306"/>
      <c r="URW3" s="306"/>
      <c r="URX3" s="306"/>
      <c r="URY3" s="306"/>
      <c r="URZ3" s="306"/>
      <c r="USA3" s="306"/>
      <c r="USB3" s="306"/>
      <c r="USC3" s="306"/>
      <c r="USD3" s="306"/>
      <c r="USE3" s="306"/>
      <c r="USF3" s="306"/>
      <c r="USG3" s="306"/>
      <c r="USH3" s="306"/>
      <c r="USI3" s="306"/>
      <c r="USJ3" s="306"/>
      <c r="USK3" s="306"/>
      <c r="USL3" s="306"/>
      <c r="USM3" s="306"/>
      <c r="USN3" s="306"/>
      <c r="USO3" s="306"/>
      <c r="USP3" s="306"/>
      <c r="USQ3" s="306"/>
      <c r="USR3" s="306"/>
      <c r="USS3" s="306"/>
      <c r="UST3" s="306"/>
      <c r="USU3" s="306"/>
      <c r="USV3" s="306"/>
      <c r="USW3" s="306"/>
      <c r="USX3" s="306"/>
      <c r="USY3" s="306"/>
      <c r="USZ3" s="306"/>
      <c r="UTA3" s="306"/>
      <c r="UTB3" s="306"/>
      <c r="UTC3" s="306"/>
      <c r="UTD3" s="306"/>
      <c r="UTE3" s="306"/>
      <c r="UTF3" s="306"/>
      <c r="UTG3" s="306"/>
      <c r="UTH3" s="306"/>
      <c r="UTI3" s="306"/>
      <c r="UTJ3" s="306"/>
      <c r="UTK3" s="306"/>
      <c r="UTL3" s="306"/>
      <c r="UTM3" s="306"/>
      <c r="UTN3" s="306"/>
      <c r="UTO3" s="306"/>
      <c r="UTP3" s="306"/>
      <c r="UTQ3" s="306"/>
      <c r="UTR3" s="306"/>
      <c r="UTS3" s="306"/>
      <c r="UTT3" s="306"/>
      <c r="UTU3" s="306"/>
      <c r="UTV3" s="306"/>
      <c r="UTW3" s="306"/>
      <c r="UTX3" s="306"/>
      <c r="UTY3" s="306"/>
      <c r="UTZ3" s="306"/>
      <c r="UUA3" s="306"/>
      <c r="UUB3" s="306"/>
      <c r="UUC3" s="306"/>
      <c r="UUD3" s="306"/>
      <c r="UUE3" s="306"/>
      <c r="UUF3" s="306"/>
      <c r="UUG3" s="306"/>
      <c r="UUH3" s="306"/>
      <c r="UUI3" s="306"/>
      <c r="UUJ3" s="306"/>
      <c r="UUK3" s="306"/>
      <c r="UUL3" s="306"/>
      <c r="UUM3" s="306"/>
      <c r="UUN3" s="306"/>
      <c r="UUO3" s="306"/>
      <c r="UUP3" s="306"/>
      <c r="UUQ3" s="306"/>
      <c r="UUR3" s="306"/>
      <c r="UUS3" s="306"/>
      <c r="UUT3" s="306"/>
      <c r="UUU3" s="306"/>
      <c r="UUV3" s="306"/>
      <c r="UUW3" s="306"/>
      <c r="UUX3" s="306"/>
      <c r="UUY3" s="306"/>
      <c r="UUZ3" s="306"/>
      <c r="UVA3" s="306"/>
      <c r="UVB3" s="306"/>
      <c r="UVC3" s="306"/>
      <c r="UVD3" s="306"/>
      <c r="UVE3" s="306"/>
      <c r="UVF3" s="306"/>
      <c r="UVG3" s="306"/>
      <c r="UVH3" s="306"/>
      <c r="UVI3" s="306"/>
      <c r="UVJ3" s="306"/>
      <c r="UVK3" s="306"/>
      <c r="UVL3" s="306"/>
      <c r="UVM3" s="306"/>
      <c r="UVN3" s="306"/>
      <c r="UVO3" s="306"/>
      <c r="UVP3" s="306"/>
      <c r="UVQ3" s="306"/>
      <c r="UVR3" s="306"/>
      <c r="UVS3" s="306"/>
      <c r="UVT3" s="306"/>
      <c r="UVU3" s="306"/>
      <c r="UVV3" s="306"/>
      <c r="UVW3" s="306"/>
      <c r="UVX3" s="306"/>
      <c r="UVY3" s="306"/>
      <c r="UVZ3" s="306"/>
      <c r="UWA3" s="306"/>
      <c r="UWB3" s="306"/>
      <c r="UWC3" s="306"/>
      <c r="UWD3" s="306"/>
      <c r="UWE3" s="306"/>
      <c r="UWF3" s="306"/>
      <c r="UWG3" s="306"/>
      <c r="UWH3" s="306"/>
      <c r="UWI3" s="306"/>
      <c r="UWJ3" s="306"/>
      <c r="UWK3" s="306"/>
      <c r="UWL3" s="306"/>
      <c r="UWM3" s="306"/>
      <c r="UWN3" s="306"/>
      <c r="UWO3" s="306"/>
      <c r="UWP3" s="306"/>
      <c r="UWQ3" s="306"/>
      <c r="UWR3" s="306"/>
      <c r="UWS3" s="306"/>
      <c r="UWT3" s="306"/>
      <c r="UWU3" s="306"/>
      <c r="UWV3" s="306"/>
      <c r="UWW3" s="306"/>
      <c r="UWX3" s="306"/>
      <c r="UWY3" s="306"/>
      <c r="UWZ3" s="306"/>
      <c r="UXA3" s="306"/>
      <c r="UXB3" s="306"/>
      <c r="UXC3" s="306"/>
      <c r="UXD3" s="306"/>
      <c r="UXE3" s="306"/>
      <c r="UXF3" s="306"/>
      <c r="UXG3" s="306"/>
      <c r="UXH3" s="306"/>
      <c r="UXI3" s="306"/>
      <c r="UXJ3" s="306"/>
      <c r="UXK3" s="306"/>
      <c r="UXL3" s="306"/>
      <c r="UXM3" s="306"/>
      <c r="UXN3" s="306"/>
      <c r="UXO3" s="306"/>
      <c r="UXP3" s="306"/>
      <c r="UXQ3" s="306"/>
      <c r="UXR3" s="306"/>
      <c r="UXS3" s="306"/>
      <c r="UXT3" s="306"/>
      <c r="UXU3" s="306"/>
      <c r="UXV3" s="306"/>
      <c r="UXW3" s="306"/>
      <c r="UXX3" s="306"/>
      <c r="UXY3" s="306"/>
      <c r="UXZ3" s="306"/>
      <c r="UYA3" s="306"/>
      <c r="UYB3" s="306"/>
      <c r="UYC3" s="306"/>
      <c r="UYD3" s="306"/>
      <c r="UYE3" s="306"/>
      <c r="UYF3" s="306"/>
      <c r="UYG3" s="306"/>
      <c r="UYH3" s="306"/>
      <c r="UYI3" s="306"/>
      <c r="UYJ3" s="306"/>
      <c r="UYK3" s="306"/>
      <c r="UYL3" s="306"/>
      <c r="UYM3" s="306"/>
      <c r="UYN3" s="306"/>
      <c r="UYO3" s="306"/>
      <c r="UYP3" s="306"/>
      <c r="UYQ3" s="306"/>
      <c r="UYR3" s="306"/>
      <c r="UYS3" s="306"/>
      <c r="UYT3" s="306"/>
      <c r="UYU3" s="306"/>
      <c r="UYV3" s="306"/>
      <c r="UYW3" s="306"/>
      <c r="UYX3" s="306"/>
      <c r="UYY3" s="306"/>
      <c r="UYZ3" s="306"/>
      <c r="UZA3" s="306"/>
      <c r="UZB3" s="306"/>
      <c r="UZC3" s="306"/>
      <c r="UZD3" s="306"/>
      <c r="UZE3" s="306"/>
      <c r="UZF3" s="306"/>
      <c r="UZG3" s="306"/>
      <c r="UZH3" s="306"/>
      <c r="UZI3" s="306"/>
      <c r="UZJ3" s="306"/>
      <c r="UZK3" s="306"/>
      <c r="UZL3" s="306"/>
      <c r="UZM3" s="306"/>
      <c r="UZN3" s="306"/>
      <c r="UZO3" s="306"/>
      <c r="UZP3" s="306"/>
      <c r="UZQ3" s="306"/>
      <c r="UZR3" s="306"/>
      <c r="UZS3" s="306"/>
      <c r="UZT3" s="306"/>
      <c r="UZU3" s="306"/>
      <c r="UZV3" s="306"/>
      <c r="UZW3" s="306"/>
      <c r="UZX3" s="306"/>
      <c r="UZY3" s="306"/>
      <c r="UZZ3" s="306"/>
      <c r="VAA3" s="306"/>
      <c r="VAB3" s="306"/>
      <c r="VAC3" s="306"/>
      <c r="VAD3" s="306"/>
      <c r="VAE3" s="306"/>
      <c r="VAF3" s="306"/>
      <c r="VAG3" s="306"/>
      <c r="VAH3" s="306"/>
      <c r="VAI3" s="306"/>
      <c r="VAJ3" s="306"/>
      <c r="VAK3" s="306"/>
      <c r="VAL3" s="306"/>
      <c r="VAM3" s="306"/>
      <c r="VAN3" s="306"/>
      <c r="VAO3" s="306"/>
      <c r="VAP3" s="306"/>
      <c r="VAQ3" s="306"/>
      <c r="VAR3" s="306"/>
      <c r="VAS3" s="306"/>
      <c r="VAT3" s="306"/>
      <c r="VAU3" s="306"/>
      <c r="VAV3" s="306"/>
      <c r="VAW3" s="306"/>
      <c r="VAX3" s="306"/>
      <c r="VAY3" s="306"/>
      <c r="VAZ3" s="306"/>
      <c r="VBA3" s="306"/>
      <c r="VBB3" s="306"/>
      <c r="VBC3" s="306"/>
      <c r="VBD3" s="306"/>
      <c r="VBE3" s="306"/>
      <c r="VBF3" s="306"/>
      <c r="VBG3" s="306"/>
      <c r="VBH3" s="306"/>
      <c r="VBI3" s="306"/>
      <c r="VBJ3" s="306"/>
      <c r="VBK3" s="306"/>
      <c r="VBL3" s="306"/>
      <c r="VBM3" s="306"/>
      <c r="VBN3" s="306"/>
      <c r="VBO3" s="306"/>
      <c r="VBP3" s="306"/>
      <c r="VBQ3" s="306"/>
      <c r="VBR3" s="306"/>
      <c r="VBS3" s="306"/>
      <c r="VBT3" s="306"/>
      <c r="VBU3" s="306"/>
      <c r="VBV3" s="306"/>
      <c r="VBW3" s="306"/>
      <c r="VBX3" s="306"/>
      <c r="VBY3" s="306"/>
      <c r="VBZ3" s="306"/>
      <c r="VCA3" s="306"/>
      <c r="VCB3" s="306"/>
      <c r="VCC3" s="306"/>
      <c r="VCD3" s="306"/>
      <c r="VCE3" s="306"/>
      <c r="VCF3" s="306"/>
      <c r="VCG3" s="306"/>
      <c r="VCH3" s="306"/>
      <c r="VCI3" s="306"/>
      <c r="VCJ3" s="306"/>
      <c r="VCK3" s="306"/>
      <c r="VCL3" s="306"/>
      <c r="VCM3" s="306"/>
      <c r="VCN3" s="306"/>
      <c r="VCO3" s="306"/>
      <c r="VCP3" s="306"/>
      <c r="VCQ3" s="306"/>
      <c r="VCR3" s="306"/>
      <c r="VCS3" s="306"/>
      <c r="VCT3" s="306"/>
      <c r="VCU3" s="306"/>
      <c r="VCV3" s="306"/>
      <c r="VCW3" s="306"/>
      <c r="VCX3" s="306"/>
      <c r="VCY3" s="306"/>
      <c r="VCZ3" s="306"/>
      <c r="VDA3" s="306"/>
      <c r="VDB3" s="306"/>
      <c r="VDC3" s="306"/>
      <c r="VDD3" s="306"/>
      <c r="VDE3" s="306"/>
      <c r="VDF3" s="306"/>
      <c r="VDG3" s="306"/>
      <c r="VDH3" s="306"/>
      <c r="VDI3" s="306"/>
      <c r="VDJ3" s="306"/>
      <c r="VDK3" s="306"/>
      <c r="VDL3" s="306"/>
      <c r="VDM3" s="306"/>
      <c r="VDN3" s="306"/>
      <c r="VDO3" s="306"/>
      <c r="VDP3" s="306"/>
      <c r="VDQ3" s="306"/>
      <c r="VDR3" s="306"/>
      <c r="VDS3" s="306"/>
      <c r="VDT3" s="306"/>
      <c r="VDU3" s="306"/>
      <c r="VDV3" s="306"/>
      <c r="VDW3" s="306"/>
      <c r="VDX3" s="306"/>
      <c r="VDY3" s="306"/>
      <c r="VDZ3" s="306"/>
      <c r="VEA3" s="306"/>
      <c r="VEB3" s="306"/>
      <c r="VEC3" s="306"/>
      <c r="VED3" s="306"/>
      <c r="VEE3" s="306"/>
      <c r="VEF3" s="306"/>
      <c r="VEG3" s="306"/>
      <c r="VEH3" s="306"/>
      <c r="VEI3" s="306"/>
      <c r="VEJ3" s="306"/>
      <c r="VEK3" s="306"/>
      <c r="VEL3" s="306"/>
      <c r="VEM3" s="306"/>
      <c r="VEN3" s="306"/>
      <c r="VEO3" s="306"/>
      <c r="VEP3" s="306"/>
      <c r="VEQ3" s="306"/>
      <c r="VER3" s="306"/>
      <c r="VES3" s="306"/>
      <c r="VET3" s="306"/>
      <c r="VEU3" s="306"/>
      <c r="VEV3" s="306"/>
      <c r="VEW3" s="306"/>
      <c r="VEX3" s="306"/>
      <c r="VEY3" s="306"/>
      <c r="VEZ3" s="306"/>
      <c r="VFA3" s="306"/>
      <c r="VFB3" s="306"/>
      <c r="VFC3" s="306"/>
      <c r="VFD3" s="306"/>
      <c r="VFE3" s="306"/>
      <c r="VFF3" s="306"/>
      <c r="VFG3" s="306"/>
      <c r="VFH3" s="306"/>
      <c r="VFI3" s="306"/>
      <c r="VFJ3" s="306"/>
      <c r="VFK3" s="306"/>
      <c r="VFL3" s="306"/>
      <c r="VFM3" s="306"/>
      <c r="VFN3" s="306"/>
      <c r="VFO3" s="306"/>
      <c r="VFP3" s="306"/>
      <c r="VFQ3" s="306"/>
      <c r="VFR3" s="306"/>
      <c r="VFS3" s="306"/>
      <c r="VFT3" s="306"/>
      <c r="VFU3" s="306"/>
      <c r="VFV3" s="306"/>
      <c r="VFW3" s="306"/>
      <c r="VFX3" s="306"/>
      <c r="VFY3" s="306"/>
      <c r="VFZ3" s="306"/>
      <c r="VGA3" s="306"/>
      <c r="VGB3" s="306"/>
      <c r="VGC3" s="306"/>
      <c r="VGD3" s="306"/>
      <c r="VGE3" s="306"/>
      <c r="VGF3" s="306"/>
      <c r="VGG3" s="306"/>
      <c r="VGH3" s="306"/>
      <c r="VGI3" s="306"/>
      <c r="VGJ3" s="306"/>
      <c r="VGK3" s="306"/>
      <c r="VGL3" s="306"/>
      <c r="VGM3" s="306"/>
      <c r="VGN3" s="306"/>
      <c r="VGO3" s="306"/>
      <c r="VGP3" s="306"/>
      <c r="VGQ3" s="306"/>
      <c r="VGR3" s="306"/>
      <c r="VGS3" s="306"/>
      <c r="VGT3" s="306"/>
      <c r="VGU3" s="306"/>
      <c r="VGV3" s="306"/>
      <c r="VGW3" s="306"/>
      <c r="VGX3" s="306"/>
      <c r="VGY3" s="306"/>
      <c r="VGZ3" s="306"/>
      <c r="VHA3" s="306"/>
      <c r="VHB3" s="306"/>
      <c r="VHC3" s="306"/>
      <c r="VHD3" s="306"/>
      <c r="VHE3" s="306"/>
      <c r="VHF3" s="306"/>
      <c r="VHG3" s="306"/>
      <c r="VHH3" s="306"/>
      <c r="VHI3" s="306"/>
      <c r="VHJ3" s="306"/>
      <c r="VHK3" s="306"/>
      <c r="VHL3" s="306"/>
      <c r="VHM3" s="306"/>
      <c r="VHN3" s="306"/>
      <c r="VHO3" s="306"/>
      <c r="VHP3" s="306"/>
      <c r="VHQ3" s="306"/>
      <c r="VHR3" s="306"/>
      <c r="VHS3" s="306"/>
      <c r="VHT3" s="306"/>
      <c r="VHU3" s="306"/>
      <c r="VHV3" s="306"/>
      <c r="VHW3" s="306"/>
      <c r="VHX3" s="306"/>
      <c r="VHY3" s="306"/>
      <c r="VHZ3" s="306"/>
      <c r="VIA3" s="306"/>
      <c r="VIB3" s="306"/>
      <c r="VIC3" s="306"/>
      <c r="VID3" s="306"/>
      <c r="VIE3" s="306"/>
      <c r="VIF3" s="306"/>
      <c r="VIG3" s="306"/>
      <c r="VIH3" s="306"/>
      <c r="VII3" s="306"/>
      <c r="VIJ3" s="306"/>
      <c r="VIK3" s="306"/>
      <c r="VIL3" s="306"/>
      <c r="VIM3" s="306"/>
      <c r="VIN3" s="306"/>
      <c r="VIO3" s="306"/>
      <c r="VIP3" s="306"/>
      <c r="VIQ3" s="306"/>
      <c r="VIR3" s="306"/>
      <c r="VIS3" s="306"/>
      <c r="VIT3" s="306"/>
      <c r="VIU3" s="306"/>
      <c r="VIV3" s="306"/>
      <c r="VIW3" s="306"/>
      <c r="VIX3" s="306"/>
      <c r="VIY3" s="306"/>
      <c r="VIZ3" s="306"/>
      <c r="VJA3" s="306"/>
      <c r="VJB3" s="306"/>
      <c r="VJC3" s="306"/>
      <c r="VJD3" s="306"/>
      <c r="VJE3" s="306"/>
      <c r="VJF3" s="306"/>
      <c r="VJG3" s="306"/>
      <c r="VJH3" s="306"/>
      <c r="VJI3" s="306"/>
      <c r="VJJ3" s="306"/>
      <c r="VJK3" s="306"/>
      <c r="VJL3" s="306"/>
      <c r="VJM3" s="306"/>
      <c r="VJN3" s="306"/>
      <c r="VJO3" s="306"/>
      <c r="VJP3" s="306"/>
      <c r="VJQ3" s="306"/>
      <c r="VJR3" s="306"/>
      <c r="VJS3" s="306"/>
      <c r="VJT3" s="306"/>
      <c r="VJU3" s="306"/>
      <c r="VJV3" s="306"/>
      <c r="VJW3" s="306"/>
      <c r="VJX3" s="306"/>
      <c r="VJY3" s="306"/>
      <c r="VJZ3" s="306"/>
      <c r="VKA3" s="306"/>
      <c r="VKB3" s="306"/>
      <c r="VKC3" s="306"/>
      <c r="VKD3" s="306"/>
      <c r="VKE3" s="306"/>
      <c r="VKF3" s="306"/>
      <c r="VKG3" s="306"/>
      <c r="VKH3" s="306"/>
      <c r="VKI3" s="306"/>
      <c r="VKJ3" s="306"/>
      <c r="VKK3" s="306"/>
      <c r="VKL3" s="306"/>
      <c r="VKM3" s="306"/>
      <c r="VKN3" s="306"/>
      <c r="VKO3" s="306"/>
      <c r="VKP3" s="306"/>
      <c r="VKQ3" s="306"/>
      <c r="VKR3" s="306"/>
      <c r="VKS3" s="306"/>
      <c r="VKT3" s="306"/>
      <c r="VKU3" s="306"/>
      <c r="VKV3" s="306"/>
      <c r="VKW3" s="306"/>
      <c r="VKX3" s="306"/>
      <c r="VKY3" s="306"/>
      <c r="VKZ3" s="306"/>
      <c r="VLA3" s="306"/>
      <c r="VLB3" s="306"/>
      <c r="VLC3" s="306"/>
      <c r="VLD3" s="306"/>
      <c r="VLE3" s="306"/>
      <c r="VLF3" s="306"/>
      <c r="VLG3" s="306"/>
      <c r="VLH3" s="306"/>
      <c r="VLI3" s="306"/>
      <c r="VLJ3" s="306"/>
      <c r="VLK3" s="306"/>
      <c r="VLL3" s="306"/>
      <c r="VLM3" s="306"/>
      <c r="VLN3" s="306"/>
      <c r="VLO3" s="306"/>
      <c r="VLP3" s="306"/>
      <c r="VLQ3" s="306"/>
      <c r="VLR3" s="306"/>
      <c r="VLS3" s="306"/>
      <c r="VLT3" s="306"/>
      <c r="VLU3" s="306"/>
      <c r="VLV3" s="306"/>
      <c r="VLW3" s="306"/>
      <c r="VLX3" s="306"/>
      <c r="VLY3" s="306"/>
      <c r="VLZ3" s="306"/>
      <c r="VMA3" s="306"/>
      <c r="VMB3" s="306"/>
      <c r="VMC3" s="306"/>
      <c r="VMD3" s="306"/>
      <c r="VME3" s="306"/>
      <c r="VMF3" s="306"/>
      <c r="VMG3" s="306"/>
      <c r="VMH3" s="306"/>
      <c r="VMI3" s="306"/>
      <c r="VMJ3" s="306"/>
      <c r="VMK3" s="306"/>
      <c r="VML3" s="306"/>
      <c r="VMM3" s="306"/>
      <c r="VMN3" s="306"/>
      <c r="VMO3" s="306"/>
      <c r="VMP3" s="306"/>
      <c r="VMQ3" s="306"/>
      <c r="VMR3" s="306"/>
      <c r="VMS3" s="306"/>
      <c r="VMT3" s="306"/>
      <c r="VMU3" s="306"/>
      <c r="VMV3" s="306"/>
      <c r="VMW3" s="306"/>
      <c r="VMX3" s="306"/>
      <c r="VMY3" s="306"/>
      <c r="VMZ3" s="306"/>
      <c r="VNA3" s="306"/>
      <c r="VNB3" s="306"/>
      <c r="VNC3" s="306"/>
      <c r="VND3" s="306"/>
      <c r="VNE3" s="306"/>
      <c r="VNF3" s="306"/>
      <c r="VNG3" s="306"/>
      <c r="VNH3" s="306"/>
      <c r="VNI3" s="306"/>
      <c r="VNJ3" s="306"/>
      <c r="VNK3" s="306"/>
      <c r="VNL3" s="306"/>
      <c r="VNM3" s="306"/>
      <c r="VNN3" s="306"/>
      <c r="VNO3" s="306"/>
      <c r="VNP3" s="306"/>
      <c r="VNQ3" s="306"/>
      <c r="VNR3" s="306"/>
      <c r="VNS3" s="306"/>
      <c r="VNT3" s="306"/>
      <c r="VNU3" s="306"/>
      <c r="VNV3" s="306"/>
      <c r="VNW3" s="306"/>
      <c r="VNX3" s="306"/>
      <c r="VNY3" s="306"/>
      <c r="VNZ3" s="306"/>
      <c r="VOA3" s="306"/>
      <c r="VOB3" s="306"/>
      <c r="VOC3" s="306"/>
      <c r="VOD3" s="306"/>
      <c r="VOE3" s="306"/>
      <c r="VOF3" s="306"/>
      <c r="VOG3" s="306"/>
      <c r="VOH3" s="306"/>
      <c r="VOI3" s="306"/>
      <c r="VOJ3" s="306"/>
      <c r="VOK3" s="306"/>
      <c r="VOL3" s="306"/>
      <c r="VOM3" s="306"/>
      <c r="VON3" s="306"/>
      <c r="VOO3" s="306"/>
      <c r="VOP3" s="306"/>
      <c r="VOQ3" s="306"/>
      <c r="VOR3" s="306"/>
      <c r="VOS3" s="306"/>
      <c r="VOT3" s="306"/>
      <c r="VOU3" s="306"/>
      <c r="VOV3" s="306"/>
      <c r="VOW3" s="306"/>
      <c r="VOX3" s="306"/>
      <c r="VOY3" s="306"/>
      <c r="VOZ3" s="306"/>
      <c r="VPA3" s="306"/>
      <c r="VPB3" s="306"/>
      <c r="VPC3" s="306"/>
      <c r="VPD3" s="306"/>
      <c r="VPE3" s="306"/>
      <c r="VPF3" s="306"/>
      <c r="VPG3" s="306"/>
      <c r="VPH3" s="306"/>
      <c r="VPI3" s="306"/>
      <c r="VPJ3" s="306"/>
      <c r="VPK3" s="306"/>
      <c r="VPL3" s="306"/>
      <c r="VPM3" s="306"/>
      <c r="VPN3" s="306"/>
      <c r="VPO3" s="306"/>
      <c r="VPP3" s="306"/>
      <c r="VPQ3" s="306"/>
      <c r="VPR3" s="306"/>
      <c r="VPS3" s="306"/>
      <c r="VPT3" s="306"/>
      <c r="VPU3" s="306"/>
      <c r="VPV3" s="306"/>
      <c r="VPW3" s="306"/>
      <c r="VPX3" s="306"/>
      <c r="VPY3" s="306"/>
      <c r="VPZ3" s="306"/>
      <c r="VQA3" s="306"/>
      <c r="VQB3" s="306"/>
      <c r="VQC3" s="306"/>
      <c r="VQD3" s="306"/>
      <c r="VQE3" s="306"/>
      <c r="VQF3" s="306"/>
      <c r="VQG3" s="306"/>
      <c r="VQH3" s="306"/>
      <c r="VQI3" s="306"/>
      <c r="VQJ3" s="306"/>
      <c r="VQK3" s="306"/>
      <c r="VQL3" s="306"/>
      <c r="VQM3" s="306"/>
      <c r="VQN3" s="306"/>
      <c r="VQO3" s="306"/>
      <c r="VQP3" s="306"/>
      <c r="VQQ3" s="306"/>
      <c r="VQR3" s="306"/>
      <c r="VQS3" s="306"/>
      <c r="VQT3" s="306"/>
      <c r="VQU3" s="306"/>
      <c r="VQV3" s="306"/>
      <c r="VQW3" s="306"/>
      <c r="VQX3" s="306"/>
      <c r="VQY3" s="306"/>
      <c r="VQZ3" s="306"/>
      <c r="VRA3" s="306"/>
      <c r="VRB3" s="306"/>
      <c r="VRC3" s="306"/>
      <c r="VRD3" s="306"/>
      <c r="VRE3" s="306"/>
      <c r="VRF3" s="306"/>
      <c r="VRG3" s="306"/>
      <c r="VRH3" s="306"/>
      <c r="VRI3" s="306"/>
      <c r="VRJ3" s="306"/>
      <c r="VRK3" s="306"/>
      <c r="VRL3" s="306"/>
      <c r="VRM3" s="306"/>
      <c r="VRN3" s="306"/>
      <c r="VRO3" s="306"/>
      <c r="VRP3" s="306"/>
      <c r="VRQ3" s="306"/>
      <c r="VRR3" s="306"/>
      <c r="VRS3" s="306"/>
      <c r="VRT3" s="306"/>
      <c r="VRU3" s="306"/>
      <c r="VRV3" s="306"/>
      <c r="VRW3" s="306"/>
      <c r="VRX3" s="306"/>
      <c r="VRY3" s="306"/>
      <c r="VRZ3" s="306"/>
      <c r="VSA3" s="306"/>
      <c r="VSB3" s="306"/>
      <c r="VSC3" s="306"/>
      <c r="VSD3" s="306"/>
      <c r="VSE3" s="306"/>
      <c r="VSF3" s="306"/>
      <c r="VSG3" s="306"/>
      <c r="VSH3" s="306"/>
      <c r="VSI3" s="306"/>
      <c r="VSJ3" s="306"/>
      <c r="VSK3" s="306"/>
      <c r="VSL3" s="306"/>
      <c r="VSM3" s="306"/>
      <c r="VSN3" s="306"/>
      <c r="VSO3" s="306"/>
      <c r="VSP3" s="306"/>
      <c r="VSQ3" s="306"/>
      <c r="VSR3" s="306"/>
      <c r="VSS3" s="306"/>
      <c r="VST3" s="306"/>
      <c r="VSU3" s="306"/>
      <c r="VSV3" s="306"/>
      <c r="VSW3" s="306"/>
      <c r="VSX3" s="306"/>
      <c r="VSY3" s="306"/>
      <c r="VSZ3" s="306"/>
      <c r="VTA3" s="306"/>
      <c r="VTB3" s="306"/>
      <c r="VTC3" s="306"/>
      <c r="VTD3" s="306"/>
      <c r="VTE3" s="306"/>
      <c r="VTF3" s="306"/>
      <c r="VTG3" s="306"/>
      <c r="VTH3" s="306"/>
      <c r="VTI3" s="306"/>
      <c r="VTJ3" s="306"/>
      <c r="VTK3" s="306"/>
      <c r="VTL3" s="306"/>
      <c r="VTM3" s="306"/>
      <c r="VTN3" s="306"/>
      <c r="VTO3" s="306"/>
      <c r="VTP3" s="306"/>
      <c r="VTQ3" s="306"/>
      <c r="VTR3" s="306"/>
      <c r="VTS3" s="306"/>
      <c r="VTT3" s="306"/>
      <c r="VTU3" s="306"/>
      <c r="VTV3" s="306"/>
      <c r="VTW3" s="306"/>
      <c r="VTX3" s="306"/>
      <c r="VTY3" s="306"/>
      <c r="VTZ3" s="306"/>
      <c r="VUA3" s="306"/>
      <c r="VUB3" s="306"/>
      <c r="VUC3" s="306"/>
      <c r="VUD3" s="306"/>
      <c r="VUE3" s="306"/>
      <c r="VUF3" s="306"/>
      <c r="VUG3" s="306"/>
      <c r="VUH3" s="306"/>
      <c r="VUI3" s="306"/>
      <c r="VUJ3" s="306"/>
      <c r="VUK3" s="306"/>
      <c r="VUL3" s="306"/>
      <c r="VUM3" s="306"/>
      <c r="VUN3" s="306"/>
      <c r="VUO3" s="306"/>
      <c r="VUP3" s="306"/>
      <c r="VUQ3" s="306"/>
      <c r="VUR3" s="306"/>
      <c r="VUS3" s="306"/>
      <c r="VUT3" s="306"/>
      <c r="VUU3" s="306"/>
      <c r="VUV3" s="306"/>
      <c r="VUW3" s="306"/>
      <c r="VUX3" s="306"/>
      <c r="VUY3" s="306"/>
      <c r="VUZ3" s="306"/>
      <c r="VVA3" s="306"/>
      <c r="VVB3" s="306"/>
      <c r="VVC3" s="306"/>
      <c r="VVD3" s="306"/>
      <c r="VVE3" s="306"/>
      <c r="VVF3" s="306"/>
      <c r="VVG3" s="306"/>
      <c r="VVH3" s="306"/>
      <c r="VVI3" s="306"/>
      <c r="VVJ3" s="306"/>
      <c r="VVK3" s="306"/>
      <c r="VVL3" s="306"/>
      <c r="VVM3" s="306"/>
      <c r="VVN3" s="306"/>
      <c r="VVO3" s="306"/>
      <c r="VVP3" s="306"/>
      <c r="VVQ3" s="306"/>
      <c r="VVR3" s="306"/>
      <c r="VVS3" s="306"/>
      <c r="VVT3" s="306"/>
      <c r="VVU3" s="306"/>
      <c r="VVV3" s="306"/>
      <c r="VVW3" s="306"/>
      <c r="VVX3" s="306"/>
      <c r="VVY3" s="306"/>
      <c r="VVZ3" s="306"/>
      <c r="VWA3" s="306"/>
      <c r="VWB3" s="306"/>
      <c r="VWC3" s="306"/>
      <c r="VWD3" s="306"/>
      <c r="VWE3" s="306"/>
      <c r="VWF3" s="306"/>
      <c r="VWG3" s="306"/>
      <c r="VWH3" s="306"/>
      <c r="VWI3" s="306"/>
      <c r="VWJ3" s="306"/>
      <c r="VWK3" s="306"/>
      <c r="VWL3" s="306"/>
      <c r="VWM3" s="306"/>
      <c r="VWN3" s="306"/>
      <c r="VWO3" s="306"/>
      <c r="VWP3" s="306"/>
      <c r="VWQ3" s="306"/>
      <c r="VWR3" s="306"/>
      <c r="VWS3" s="306"/>
      <c r="VWT3" s="306"/>
      <c r="VWU3" s="306"/>
      <c r="VWV3" s="306"/>
      <c r="VWW3" s="306"/>
      <c r="VWX3" s="306"/>
      <c r="VWY3" s="306"/>
      <c r="VWZ3" s="306"/>
      <c r="VXA3" s="306"/>
      <c r="VXB3" s="306"/>
      <c r="VXC3" s="306"/>
      <c r="VXD3" s="306"/>
      <c r="VXE3" s="306"/>
      <c r="VXF3" s="306"/>
      <c r="VXG3" s="306"/>
      <c r="VXH3" s="306"/>
      <c r="VXI3" s="306"/>
      <c r="VXJ3" s="306"/>
      <c r="VXK3" s="306"/>
      <c r="VXL3" s="306"/>
      <c r="VXM3" s="306"/>
      <c r="VXN3" s="306"/>
      <c r="VXO3" s="306"/>
      <c r="VXP3" s="306"/>
      <c r="VXQ3" s="306"/>
      <c r="VXR3" s="306"/>
      <c r="VXS3" s="306"/>
      <c r="VXT3" s="306"/>
      <c r="VXU3" s="306"/>
      <c r="VXV3" s="306"/>
      <c r="VXW3" s="306"/>
      <c r="VXX3" s="306"/>
      <c r="VXY3" s="306"/>
      <c r="VXZ3" s="306"/>
      <c r="VYA3" s="306"/>
      <c r="VYB3" s="306"/>
      <c r="VYC3" s="306"/>
      <c r="VYD3" s="306"/>
      <c r="VYE3" s="306"/>
      <c r="VYF3" s="306"/>
      <c r="VYG3" s="306"/>
      <c r="VYH3" s="306"/>
      <c r="VYI3" s="306"/>
      <c r="VYJ3" s="306"/>
      <c r="VYK3" s="306"/>
      <c r="VYL3" s="306"/>
      <c r="VYM3" s="306"/>
      <c r="VYN3" s="306"/>
      <c r="VYO3" s="306"/>
      <c r="VYP3" s="306"/>
      <c r="VYQ3" s="306"/>
      <c r="VYR3" s="306"/>
      <c r="VYS3" s="306"/>
      <c r="VYT3" s="306"/>
      <c r="VYU3" s="306"/>
      <c r="VYV3" s="306"/>
      <c r="VYW3" s="306"/>
      <c r="VYX3" s="306"/>
      <c r="VYY3" s="306"/>
      <c r="VYZ3" s="306"/>
      <c r="VZA3" s="306"/>
      <c r="VZB3" s="306"/>
      <c r="VZC3" s="306"/>
      <c r="VZD3" s="306"/>
      <c r="VZE3" s="306"/>
      <c r="VZF3" s="306"/>
      <c r="VZG3" s="306"/>
      <c r="VZH3" s="306"/>
      <c r="VZI3" s="306"/>
      <c r="VZJ3" s="306"/>
      <c r="VZK3" s="306"/>
      <c r="VZL3" s="306"/>
      <c r="VZM3" s="306"/>
      <c r="VZN3" s="306"/>
      <c r="VZO3" s="306"/>
      <c r="VZP3" s="306"/>
      <c r="VZQ3" s="306"/>
      <c r="VZR3" s="306"/>
      <c r="VZS3" s="306"/>
      <c r="VZT3" s="306"/>
      <c r="VZU3" s="306"/>
      <c r="VZV3" s="306"/>
      <c r="VZW3" s="306"/>
      <c r="VZX3" s="306"/>
      <c r="VZY3" s="306"/>
      <c r="VZZ3" s="306"/>
      <c r="WAA3" s="306"/>
      <c r="WAB3" s="306"/>
      <c r="WAC3" s="306"/>
      <c r="WAD3" s="306"/>
      <c r="WAE3" s="306"/>
      <c r="WAF3" s="306"/>
      <c r="WAG3" s="306"/>
      <c r="WAH3" s="306"/>
      <c r="WAI3" s="306"/>
      <c r="WAJ3" s="306"/>
      <c r="WAK3" s="306"/>
      <c r="WAL3" s="306"/>
      <c r="WAM3" s="306"/>
      <c r="WAN3" s="306"/>
      <c r="WAO3" s="306"/>
      <c r="WAP3" s="306"/>
      <c r="WAQ3" s="306"/>
      <c r="WAR3" s="306"/>
      <c r="WAS3" s="306"/>
      <c r="WAT3" s="306"/>
      <c r="WAU3" s="306"/>
      <c r="WAV3" s="306"/>
      <c r="WAW3" s="306"/>
      <c r="WAX3" s="306"/>
      <c r="WAY3" s="306"/>
      <c r="WAZ3" s="306"/>
      <c r="WBA3" s="306"/>
      <c r="WBB3" s="306"/>
      <c r="WBC3" s="306"/>
      <c r="WBD3" s="306"/>
      <c r="WBE3" s="306"/>
      <c r="WBF3" s="306"/>
      <c r="WBG3" s="306"/>
      <c r="WBH3" s="306"/>
      <c r="WBI3" s="306"/>
      <c r="WBJ3" s="306"/>
      <c r="WBK3" s="306"/>
      <c r="WBL3" s="306"/>
      <c r="WBM3" s="306"/>
      <c r="WBN3" s="306"/>
      <c r="WBO3" s="306"/>
      <c r="WBP3" s="306"/>
      <c r="WBQ3" s="306"/>
      <c r="WBR3" s="306"/>
      <c r="WBS3" s="306"/>
      <c r="WBT3" s="306"/>
      <c r="WBU3" s="306"/>
      <c r="WBV3" s="306"/>
      <c r="WBW3" s="306"/>
      <c r="WBX3" s="306"/>
      <c r="WBY3" s="306"/>
      <c r="WBZ3" s="306"/>
      <c r="WCA3" s="306"/>
      <c r="WCB3" s="306"/>
      <c r="WCC3" s="306"/>
      <c r="WCD3" s="306"/>
      <c r="WCE3" s="306"/>
      <c r="WCF3" s="306"/>
      <c r="WCG3" s="306"/>
      <c r="WCH3" s="306"/>
      <c r="WCI3" s="306"/>
      <c r="WCJ3" s="306"/>
      <c r="WCK3" s="306"/>
      <c r="WCL3" s="306"/>
      <c r="WCM3" s="306"/>
      <c r="WCN3" s="306"/>
      <c r="WCO3" s="306"/>
      <c r="WCP3" s="306"/>
      <c r="WCQ3" s="306"/>
      <c r="WCR3" s="306"/>
      <c r="WCS3" s="306"/>
      <c r="WCT3" s="306"/>
      <c r="WCU3" s="306"/>
      <c r="WCV3" s="306"/>
      <c r="WCW3" s="306"/>
      <c r="WCX3" s="306"/>
      <c r="WCY3" s="306"/>
      <c r="WCZ3" s="306"/>
      <c r="WDA3" s="306"/>
      <c r="WDB3" s="306"/>
      <c r="WDC3" s="306"/>
      <c r="WDD3" s="306"/>
      <c r="WDE3" s="306"/>
      <c r="WDF3" s="306"/>
      <c r="WDG3" s="306"/>
      <c r="WDH3" s="306"/>
      <c r="WDI3" s="306"/>
      <c r="WDJ3" s="306"/>
      <c r="WDK3" s="306"/>
      <c r="WDL3" s="306"/>
      <c r="WDM3" s="306"/>
      <c r="WDN3" s="306"/>
      <c r="WDO3" s="306"/>
      <c r="WDP3" s="306"/>
      <c r="WDQ3" s="306"/>
      <c r="WDR3" s="306"/>
      <c r="WDS3" s="306"/>
      <c r="WDT3" s="306"/>
      <c r="WDU3" s="306"/>
      <c r="WDV3" s="306"/>
      <c r="WDW3" s="306"/>
      <c r="WDX3" s="306"/>
      <c r="WDY3" s="306"/>
      <c r="WDZ3" s="306"/>
      <c r="WEA3" s="306"/>
      <c r="WEB3" s="306"/>
      <c r="WEC3" s="306"/>
      <c r="WED3" s="306"/>
      <c r="WEE3" s="306"/>
      <c r="WEF3" s="306"/>
      <c r="WEG3" s="306"/>
      <c r="WEH3" s="306"/>
      <c r="WEI3" s="306"/>
      <c r="WEJ3" s="306"/>
      <c r="WEK3" s="306"/>
      <c r="WEL3" s="306"/>
      <c r="WEM3" s="306"/>
      <c r="WEN3" s="306"/>
      <c r="WEO3" s="306"/>
      <c r="WEP3" s="306"/>
      <c r="WEQ3" s="306"/>
      <c r="WER3" s="306"/>
      <c r="WES3" s="306"/>
      <c r="WET3" s="306"/>
      <c r="WEU3" s="306"/>
      <c r="WEV3" s="306"/>
      <c r="WEW3" s="306"/>
      <c r="WEX3" s="306"/>
      <c r="WEY3" s="306"/>
      <c r="WEZ3" s="306"/>
      <c r="WFA3" s="306"/>
      <c r="WFB3" s="306"/>
      <c r="WFC3" s="306"/>
      <c r="WFD3" s="306"/>
      <c r="WFE3" s="306"/>
      <c r="WFF3" s="306"/>
      <c r="WFG3" s="306"/>
      <c r="WFH3" s="306"/>
      <c r="WFI3" s="306"/>
      <c r="WFJ3" s="306"/>
      <c r="WFK3" s="306"/>
      <c r="WFL3" s="306"/>
      <c r="WFM3" s="306"/>
      <c r="WFN3" s="306"/>
      <c r="WFO3" s="306"/>
      <c r="WFP3" s="306"/>
      <c r="WFQ3" s="306"/>
      <c r="WFR3" s="306"/>
      <c r="WFS3" s="306"/>
      <c r="WFT3" s="306"/>
      <c r="WFU3" s="306"/>
      <c r="WFV3" s="306"/>
      <c r="WFW3" s="306"/>
      <c r="WFX3" s="306"/>
      <c r="WFY3" s="306"/>
      <c r="WFZ3" s="306"/>
      <c r="WGA3" s="306"/>
      <c r="WGB3" s="306"/>
      <c r="WGC3" s="306"/>
      <c r="WGD3" s="306"/>
      <c r="WGE3" s="306"/>
      <c r="WGF3" s="306"/>
      <c r="WGG3" s="306"/>
      <c r="WGH3" s="306"/>
      <c r="WGI3" s="306"/>
      <c r="WGJ3" s="306"/>
      <c r="WGK3" s="306"/>
      <c r="WGL3" s="306"/>
      <c r="WGM3" s="306"/>
      <c r="WGN3" s="306"/>
      <c r="WGO3" s="306"/>
      <c r="WGP3" s="306"/>
      <c r="WGQ3" s="306"/>
      <c r="WGR3" s="306"/>
      <c r="WGS3" s="306"/>
      <c r="WGT3" s="306"/>
      <c r="WGU3" s="306"/>
      <c r="WGV3" s="306"/>
      <c r="WGW3" s="306"/>
      <c r="WGX3" s="306"/>
      <c r="WGY3" s="306"/>
      <c r="WGZ3" s="306"/>
      <c r="WHA3" s="306"/>
      <c r="WHB3" s="306"/>
      <c r="WHC3" s="306"/>
      <c r="WHD3" s="306"/>
      <c r="WHE3" s="306"/>
      <c r="WHF3" s="306"/>
      <c r="WHG3" s="306"/>
      <c r="WHH3" s="306"/>
      <c r="WHI3" s="306"/>
      <c r="WHJ3" s="306"/>
      <c r="WHK3" s="306"/>
      <c r="WHL3" s="306"/>
      <c r="WHM3" s="306"/>
      <c r="WHN3" s="306"/>
      <c r="WHO3" s="306"/>
      <c r="WHP3" s="306"/>
      <c r="WHQ3" s="306"/>
      <c r="WHR3" s="306"/>
      <c r="WHS3" s="306"/>
      <c r="WHT3" s="306"/>
      <c r="WHU3" s="306"/>
      <c r="WHV3" s="306"/>
      <c r="WHW3" s="306"/>
      <c r="WHX3" s="306"/>
      <c r="WHY3" s="306"/>
      <c r="WHZ3" s="306"/>
      <c r="WIA3" s="306"/>
      <c r="WIB3" s="306"/>
      <c r="WIC3" s="306"/>
      <c r="WID3" s="306"/>
      <c r="WIE3" s="306"/>
      <c r="WIF3" s="306"/>
      <c r="WIG3" s="306"/>
      <c r="WIH3" s="306"/>
      <c r="WII3" s="306"/>
      <c r="WIJ3" s="306"/>
      <c r="WIK3" s="306"/>
      <c r="WIL3" s="306"/>
      <c r="WIM3" s="306"/>
      <c r="WIN3" s="306"/>
      <c r="WIO3" s="306"/>
      <c r="WIP3" s="306"/>
      <c r="WIQ3" s="306"/>
      <c r="WIR3" s="306"/>
      <c r="WIS3" s="306"/>
      <c r="WIT3" s="306"/>
      <c r="WIU3" s="306"/>
      <c r="WIV3" s="306"/>
      <c r="WIW3" s="306"/>
      <c r="WIX3" s="306"/>
      <c r="WIY3" s="306"/>
      <c r="WIZ3" s="306"/>
      <c r="WJA3" s="306"/>
      <c r="WJB3" s="306"/>
      <c r="WJC3" s="306"/>
      <c r="WJD3" s="306"/>
      <c r="WJE3" s="306"/>
      <c r="WJF3" s="306"/>
      <c r="WJG3" s="306"/>
      <c r="WJH3" s="306"/>
      <c r="WJI3" s="306"/>
      <c r="WJJ3" s="306"/>
      <c r="WJK3" s="306"/>
      <c r="WJL3" s="306"/>
      <c r="WJM3" s="306"/>
      <c r="WJN3" s="306"/>
      <c r="WJO3" s="306"/>
      <c r="WJP3" s="306"/>
      <c r="WJQ3" s="306"/>
      <c r="WJR3" s="306"/>
      <c r="WJS3" s="306"/>
      <c r="WJT3" s="306"/>
      <c r="WJU3" s="306"/>
      <c r="WJV3" s="306"/>
      <c r="WJW3" s="306"/>
      <c r="WJX3" s="306"/>
      <c r="WJY3" s="306"/>
      <c r="WJZ3" s="306"/>
      <c r="WKA3" s="306"/>
      <c r="WKB3" s="306"/>
      <c r="WKC3" s="306"/>
      <c r="WKD3" s="306"/>
      <c r="WKE3" s="306"/>
      <c r="WKF3" s="306"/>
      <c r="WKG3" s="306"/>
      <c r="WKH3" s="306"/>
      <c r="WKI3" s="306"/>
      <c r="WKJ3" s="306"/>
      <c r="WKK3" s="306"/>
      <c r="WKL3" s="306"/>
      <c r="WKM3" s="306"/>
      <c r="WKN3" s="306"/>
      <c r="WKO3" s="306"/>
      <c r="WKP3" s="306"/>
      <c r="WKQ3" s="306"/>
      <c r="WKR3" s="306"/>
      <c r="WKS3" s="306"/>
      <c r="WKT3" s="306"/>
      <c r="WKU3" s="306"/>
      <c r="WKV3" s="306"/>
      <c r="WKW3" s="306"/>
      <c r="WKX3" s="306"/>
      <c r="WKY3" s="306"/>
      <c r="WKZ3" s="306"/>
      <c r="WLA3" s="306"/>
      <c r="WLB3" s="306"/>
      <c r="WLC3" s="306"/>
      <c r="WLD3" s="306"/>
      <c r="WLE3" s="306"/>
      <c r="WLF3" s="306"/>
      <c r="WLG3" s="306"/>
      <c r="WLH3" s="306"/>
      <c r="WLI3" s="306"/>
      <c r="WLJ3" s="306"/>
      <c r="WLK3" s="306"/>
      <c r="WLL3" s="306"/>
      <c r="WLM3" s="306"/>
      <c r="WLN3" s="306"/>
      <c r="WLO3" s="306"/>
      <c r="WLP3" s="306"/>
      <c r="WLQ3" s="306"/>
      <c r="WLR3" s="306"/>
      <c r="WLS3" s="306"/>
      <c r="WLT3" s="306"/>
      <c r="WLU3" s="306"/>
      <c r="WLV3" s="306"/>
      <c r="WLW3" s="306"/>
      <c r="WLX3" s="306"/>
      <c r="WLY3" s="306"/>
      <c r="WLZ3" s="306"/>
      <c r="WMA3" s="306"/>
      <c r="WMB3" s="306"/>
      <c r="WMC3" s="306"/>
      <c r="WMD3" s="306"/>
      <c r="WME3" s="306"/>
      <c r="WMF3" s="306"/>
      <c r="WMG3" s="306"/>
      <c r="WMH3" s="306"/>
      <c r="WMI3" s="306"/>
      <c r="WMJ3" s="306"/>
      <c r="WMK3" s="306"/>
      <c r="WML3" s="306"/>
      <c r="WMM3" s="306"/>
      <c r="WMN3" s="306"/>
      <c r="WMO3" s="306"/>
      <c r="WMP3" s="306"/>
      <c r="WMQ3" s="306"/>
      <c r="WMR3" s="306"/>
      <c r="WMS3" s="306"/>
      <c r="WMT3" s="306"/>
      <c r="WMU3" s="306"/>
      <c r="WMV3" s="306"/>
      <c r="WMW3" s="306"/>
      <c r="WMX3" s="306"/>
      <c r="WMY3" s="306"/>
      <c r="WMZ3" s="306"/>
      <c r="WNA3" s="306"/>
      <c r="WNB3" s="306"/>
      <c r="WNC3" s="306"/>
      <c r="WND3" s="306"/>
      <c r="WNE3" s="306"/>
      <c r="WNF3" s="306"/>
      <c r="WNG3" s="306"/>
      <c r="WNH3" s="306"/>
      <c r="WNI3" s="306"/>
      <c r="WNJ3" s="306"/>
      <c r="WNK3" s="306"/>
      <c r="WNL3" s="306"/>
      <c r="WNM3" s="306"/>
      <c r="WNN3" s="306"/>
      <c r="WNO3" s="306"/>
      <c r="WNP3" s="306"/>
      <c r="WNQ3" s="306"/>
      <c r="WNR3" s="306"/>
      <c r="WNS3" s="306"/>
      <c r="WNT3" s="306"/>
      <c r="WNU3" s="306"/>
      <c r="WNV3" s="306"/>
      <c r="WNW3" s="306"/>
      <c r="WNX3" s="306"/>
      <c r="WNY3" s="306"/>
      <c r="WNZ3" s="306"/>
      <c r="WOA3" s="306"/>
      <c r="WOB3" s="306"/>
      <c r="WOC3" s="306"/>
      <c r="WOD3" s="306"/>
      <c r="WOE3" s="306"/>
      <c r="WOF3" s="306"/>
      <c r="WOG3" s="306"/>
      <c r="WOH3" s="306"/>
      <c r="WOI3" s="306"/>
      <c r="WOJ3" s="306"/>
      <c r="WOK3" s="306"/>
      <c r="WOL3" s="306"/>
      <c r="WOM3" s="306"/>
      <c r="WON3" s="306"/>
      <c r="WOO3" s="306"/>
      <c r="WOP3" s="306"/>
      <c r="WOQ3" s="306"/>
      <c r="WOR3" s="306"/>
      <c r="WOS3" s="306"/>
      <c r="WOT3" s="306"/>
      <c r="WOU3" s="306"/>
      <c r="WOV3" s="306"/>
      <c r="WOW3" s="306"/>
      <c r="WOX3" s="306"/>
      <c r="WOY3" s="306"/>
      <c r="WOZ3" s="306"/>
      <c r="WPA3" s="306"/>
      <c r="WPB3" s="306"/>
      <c r="WPC3" s="306"/>
      <c r="WPD3" s="306"/>
      <c r="WPE3" s="306"/>
      <c r="WPF3" s="306"/>
      <c r="WPG3" s="306"/>
      <c r="WPH3" s="306"/>
      <c r="WPI3" s="306"/>
      <c r="WPJ3" s="306"/>
      <c r="WPK3" s="306"/>
      <c r="WPL3" s="306"/>
      <c r="WPM3" s="306"/>
      <c r="WPN3" s="306"/>
      <c r="WPO3" s="306"/>
      <c r="WPP3" s="306"/>
      <c r="WPQ3" s="306"/>
      <c r="WPR3" s="306"/>
      <c r="WPS3" s="306"/>
      <c r="WPT3" s="306"/>
      <c r="WPU3" s="306"/>
      <c r="WPV3" s="306"/>
      <c r="WPW3" s="306"/>
      <c r="WPX3" s="306"/>
      <c r="WPY3" s="306"/>
      <c r="WPZ3" s="306"/>
      <c r="WQA3" s="306"/>
      <c r="WQB3" s="306"/>
      <c r="WQC3" s="306"/>
      <c r="WQD3" s="306"/>
      <c r="WQE3" s="306"/>
      <c r="WQF3" s="306"/>
      <c r="WQG3" s="306"/>
      <c r="WQH3" s="306"/>
      <c r="WQI3" s="306"/>
      <c r="WQJ3" s="306"/>
      <c r="WQK3" s="306"/>
      <c r="WQL3" s="306"/>
      <c r="WQM3" s="306"/>
      <c r="WQN3" s="306"/>
      <c r="WQO3" s="306"/>
      <c r="WQP3" s="306"/>
      <c r="WQQ3" s="306"/>
      <c r="WQR3" s="306"/>
      <c r="WQS3" s="306"/>
      <c r="WQT3" s="306"/>
      <c r="WQU3" s="306"/>
      <c r="WQV3" s="306"/>
      <c r="WQW3" s="306"/>
      <c r="WQX3" s="306"/>
      <c r="WQY3" s="306"/>
      <c r="WQZ3" s="306"/>
      <c r="WRA3" s="306"/>
      <c r="WRB3" s="306"/>
      <c r="WRC3" s="306"/>
      <c r="WRD3" s="306"/>
      <c r="WRE3" s="306"/>
      <c r="WRF3" s="306"/>
      <c r="WRG3" s="306"/>
      <c r="WRH3" s="306"/>
      <c r="WRI3" s="306"/>
      <c r="WRJ3" s="306"/>
      <c r="WRK3" s="306"/>
      <c r="WRL3" s="306"/>
      <c r="WRM3" s="306"/>
      <c r="WRN3" s="306"/>
      <c r="WRO3" s="306"/>
      <c r="WRP3" s="306"/>
      <c r="WRQ3" s="306"/>
      <c r="WRR3" s="306"/>
      <c r="WRS3" s="306"/>
      <c r="WRT3" s="306"/>
      <c r="WRU3" s="306"/>
      <c r="WRV3" s="306"/>
      <c r="WRW3" s="306"/>
      <c r="WRX3" s="306"/>
      <c r="WRY3" s="306"/>
      <c r="WRZ3" s="306"/>
      <c r="WSA3" s="306"/>
      <c r="WSB3" s="306"/>
      <c r="WSC3" s="306"/>
      <c r="WSD3" s="306"/>
      <c r="WSE3" s="306"/>
      <c r="WSF3" s="306"/>
      <c r="WSG3" s="306"/>
      <c r="WSH3" s="306"/>
      <c r="WSI3" s="306"/>
      <c r="WSJ3" s="306"/>
      <c r="WSK3" s="306"/>
      <c r="WSL3" s="306"/>
      <c r="WSM3" s="306"/>
      <c r="WSN3" s="306"/>
      <c r="WSO3" s="306"/>
      <c r="WSP3" s="306"/>
      <c r="WSQ3" s="306"/>
      <c r="WSR3" s="306"/>
      <c r="WSS3" s="306"/>
      <c r="WST3" s="306"/>
      <c r="WSU3" s="306"/>
      <c r="WSV3" s="306"/>
      <c r="WSW3" s="306"/>
      <c r="WSX3" s="306"/>
      <c r="WSY3" s="306"/>
      <c r="WSZ3" s="306"/>
      <c r="WTA3" s="306"/>
      <c r="WTB3" s="306"/>
      <c r="WTC3" s="306"/>
      <c r="WTD3" s="306"/>
      <c r="WTE3" s="306"/>
      <c r="WTF3" s="306"/>
      <c r="WTG3" s="306"/>
      <c r="WTH3" s="306"/>
      <c r="WTI3" s="306"/>
      <c r="WTJ3" s="306"/>
      <c r="WTK3" s="306"/>
      <c r="WTL3" s="306"/>
      <c r="WTM3" s="306"/>
      <c r="WTN3" s="306"/>
      <c r="WTO3" s="306"/>
      <c r="WTP3" s="306"/>
      <c r="WTQ3" s="306"/>
      <c r="WTR3" s="306"/>
      <c r="WTS3" s="306"/>
      <c r="WTT3" s="306"/>
      <c r="WTU3" s="306"/>
      <c r="WTV3" s="306"/>
      <c r="WTW3" s="306"/>
      <c r="WTX3" s="306"/>
      <c r="WTY3" s="306"/>
      <c r="WTZ3" s="306"/>
      <c r="WUA3" s="306"/>
      <c r="WUB3" s="306"/>
      <c r="WUC3" s="306"/>
      <c r="WUD3" s="306"/>
      <c r="WUE3" s="306"/>
      <c r="WUF3" s="306"/>
      <c r="WUG3" s="306"/>
      <c r="WUH3" s="306"/>
      <c r="WUI3" s="306"/>
      <c r="WUJ3" s="306"/>
      <c r="WUK3" s="306"/>
      <c r="WUL3" s="306"/>
      <c r="WUM3" s="306"/>
      <c r="WUN3" s="306"/>
      <c r="WUO3" s="306"/>
      <c r="WUP3" s="306"/>
      <c r="WUQ3" s="306"/>
      <c r="WUR3" s="306"/>
      <c r="WUS3" s="306"/>
      <c r="WUT3" s="306"/>
      <c r="WUU3" s="306"/>
      <c r="WUV3" s="306"/>
      <c r="WUW3" s="306"/>
      <c r="WUX3" s="306"/>
      <c r="WUY3" s="306"/>
      <c r="WUZ3" s="306"/>
      <c r="WVA3" s="306"/>
      <c r="WVB3" s="306"/>
      <c r="WVC3" s="306"/>
      <c r="WVD3" s="306"/>
      <c r="WVE3" s="306"/>
      <c r="WVF3" s="306"/>
      <c r="WVG3" s="306"/>
      <c r="WVH3" s="306"/>
      <c r="WVI3" s="306"/>
      <c r="WVJ3" s="306"/>
      <c r="WVK3" s="306"/>
      <c r="WVL3" s="306"/>
      <c r="WVM3" s="306"/>
      <c r="WVN3" s="306"/>
      <c r="WVO3" s="306"/>
      <c r="WVP3" s="306"/>
      <c r="WVQ3" s="306"/>
      <c r="WVR3" s="306"/>
      <c r="WVS3" s="306"/>
      <c r="WVT3" s="306"/>
      <c r="WVU3" s="306"/>
      <c r="WVV3" s="306"/>
      <c r="WVW3" s="306"/>
      <c r="WVX3" s="306"/>
      <c r="WVY3" s="306"/>
      <c r="WVZ3" s="306"/>
      <c r="WWA3" s="306"/>
      <c r="WWB3" s="306"/>
      <c r="WWC3" s="306"/>
      <c r="WWD3" s="306"/>
      <c r="WWE3" s="306"/>
      <c r="WWF3" s="306"/>
      <c r="WWG3" s="306"/>
      <c r="WWH3" s="306"/>
      <c r="WWI3" s="306"/>
      <c r="WWJ3" s="306"/>
      <c r="WWK3" s="306"/>
      <c r="WWL3" s="306"/>
      <c r="WWM3" s="306"/>
      <c r="WWN3" s="306"/>
      <c r="WWO3" s="306"/>
      <c r="WWP3" s="306"/>
      <c r="WWQ3" s="306"/>
      <c r="WWR3" s="306"/>
      <c r="WWS3" s="306"/>
      <c r="WWT3" s="306"/>
      <c r="WWU3" s="306"/>
      <c r="WWV3" s="306"/>
      <c r="WWW3" s="306"/>
      <c r="WWX3" s="306"/>
      <c r="WWY3" s="306"/>
      <c r="WWZ3" s="306"/>
      <c r="WXA3" s="306"/>
      <c r="WXB3" s="306"/>
      <c r="WXC3" s="306"/>
      <c r="WXD3" s="306"/>
      <c r="WXE3" s="306"/>
      <c r="WXF3" s="306"/>
      <c r="WXG3" s="306"/>
      <c r="WXH3" s="306"/>
      <c r="WXI3" s="306"/>
      <c r="WXJ3" s="306"/>
      <c r="WXK3" s="306"/>
      <c r="WXL3" s="306"/>
      <c r="WXM3" s="306"/>
      <c r="WXN3" s="306"/>
      <c r="WXO3" s="306"/>
      <c r="WXP3" s="306"/>
      <c r="WXQ3" s="306"/>
      <c r="WXR3" s="306"/>
      <c r="WXS3" s="306"/>
      <c r="WXT3" s="306"/>
      <c r="WXU3" s="306"/>
      <c r="WXV3" s="306"/>
      <c r="WXW3" s="306"/>
      <c r="WXX3" s="306"/>
      <c r="WXY3" s="306"/>
      <c r="WXZ3" s="306"/>
      <c r="WYA3" s="306"/>
      <c r="WYB3" s="306"/>
      <c r="WYC3" s="306"/>
      <c r="WYD3" s="306"/>
      <c r="WYE3" s="306"/>
      <c r="WYF3" s="306"/>
      <c r="WYG3" s="306"/>
      <c r="WYH3" s="306"/>
      <c r="WYI3" s="306"/>
      <c r="WYJ3" s="306"/>
      <c r="WYK3" s="306"/>
      <c r="WYL3" s="306"/>
      <c r="WYM3" s="306"/>
      <c r="WYN3" s="306"/>
      <c r="WYO3" s="306"/>
      <c r="WYP3" s="306"/>
      <c r="WYQ3" s="306"/>
      <c r="WYR3" s="306"/>
      <c r="WYS3" s="306"/>
      <c r="WYT3" s="306"/>
      <c r="WYU3" s="306"/>
      <c r="WYV3" s="306"/>
      <c r="WYW3" s="306"/>
      <c r="WYX3" s="306"/>
      <c r="WYY3" s="306"/>
      <c r="WYZ3" s="306"/>
      <c r="WZA3" s="306"/>
      <c r="WZB3" s="306"/>
      <c r="WZC3" s="306"/>
      <c r="WZD3" s="306"/>
      <c r="WZE3" s="306"/>
      <c r="WZF3" s="306"/>
      <c r="WZG3" s="306"/>
      <c r="WZH3" s="306"/>
      <c r="WZI3" s="306"/>
      <c r="WZJ3" s="306"/>
      <c r="WZK3" s="306"/>
      <c r="WZL3" s="306"/>
      <c r="WZM3" s="306"/>
      <c r="WZN3" s="306"/>
      <c r="WZO3" s="306"/>
      <c r="WZP3" s="306"/>
      <c r="WZQ3" s="306"/>
      <c r="WZR3" s="306"/>
      <c r="WZS3" s="306"/>
      <c r="WZT3" s="306"/>
      <c r="WZU3" s="306"/>
      <c r="WZV3" s="306"/>
      <c r="WZW3" s="306"/>
      <c r="WZX3" s="306"/>
      <c r="WZY3" s="306"/>
      <c r="WZZ3" s="306"/>
      <c r="XAA3" s="306"/>
      <c r="XAB3" s="306"/>
      <c r="XAC3" s="306"/>
      <c r="XAD3" s="306"/>
      <c r="XAE3" s="306"/>
      <c r="XAF3" s="306"/>
      <c r="XAG3" s="306"/>
      <c r="XAH3" s="306"/>
      <c r="XAI3" s="306"/>
      <c r="XAJ3" s="306"/>
      <c r="XAK3" s="306"/>
      <c r="XAL3" s="306"/>
      <c r="XAM3" s="306"/>
      <c r="XAN3" s="306"/>
      <c r="XAO3" s="306"/>
      <c r="XAP3" s="306"/>
      <c r="XAQ3" s="306"/>
      <c r="XAR3" s="306"/>
      <c r="XAS3" s="306"/>
      <c r="XAT3" s="306"/>
      <c r="XAU3" s="306"/>
      <c r="XAV3" s="306"/>
      <c r="XAW3" s="306"/>
      <c r="XAX3" s="306"/>
      <c r="XAY3" s="306"/>
      <c r="XAZ3" s="306"/>
      <c r="XBA3" s="306"/>
      <c r="XBB3" s="306"/>
      <c r="XBC3" s="306"/>
      <c r="XBD3" s="306"/>
      <c r="XBE3" s="306"/>
      <c r="XBF3" s="306"/>
      <c r="XBG3" s="306"/>
      <c r="XBH3" s="306"/>
      <c r="XBI3" s="306"/>
      <c r="XBJ3" s="306"/>
      <c r="XBK3" s="306"/>
      <c r="XBL3" s="306"/>
      <c r="XBM3" s="306"/>
      <c r="XBN3" s="306"/>
      <c r="XBO3" s="306"/>
      <c r="XBP3" s="306"/>
      <c r="XBQ3" s="306"/>
      <c r="XBR3" s="306"/>
      <c r="XBS3" s="306"/>
      <c r="XBT3" s="306"/>
      <c r="XBU3" s="306"/>
      <c r="XBV3" s="306"/>
      <c r="XBW3" s="306"/>
      <c r="XBX3" s="306"/>
      <c r="XBY3" s="306"/>
      <c r="XBZ3" s="306"/>
      <c r="XCA3" s="306"/>
      <c r="XCB3" s="306"/>
      <c r="XCC3" s="306"/>
      <c r="XCD3" s="306"/>
      <c r="XCE3" s="306"/>
      <c r="XCF3" s="306"/>
      <c r="XCG3" s="306"/>
      <c r="XCH3" s="306"/>
      <c r="XCI3" s="306"/>
      <c r="XCJ3" s="306"/>
      <c r="XCK3" s="306"/>
      <c r="XCL3" s="306"/>
      <c r="XCM3" s="306"/>
      <c r="XCN3" s="306"/>
      <c r="XCO3" s="306"/>
      <c r="XCP3" s="306"/>
      <c r="XCQ3" s="306"/>
      <c r="XCR3" s="306"/>
      <c r="XCS3" s="306"/>
      <c r="XCT3" s="306"/>
      <c r="XCU3" s="306"/>
      <c r="XCV3" s="306"/>
      <c r="XCW3" s="306"/>
      <c r="XCX3" s="306"/>
      <c r="XCY3" s="306"/>
      <c r="XCZ3" s="306"/>
      <c r="XDA3" s="306"/>
      <c r="XDB3" s="306"/>
      <c r="XDC3" s="306"/>
      <c r="XDD3" s="306"/>
      <c r="XDE3" s="306"/>
      <c r="XDF3" s="306"/>
      <c r="XDG3" s="306"/>
      <c r="XDH3" s="306"/>
      <c r="XDI3" s="306"/>
      <c r="XDJ3" s="306"/>
      <c r="XDK3" s="306"/>
      <c r="XDL3" s="306"/>
      <c r="XDM3" s="306"/>
      <c r="XDN3" s="306"/>
      <c r="XDO3" s="306"/>
      <c r="XDP3" s="306"/>
      <c r="XDQ3" s="306"/>
      <c r="XDR3" s="306"/>
      <c r="XDS3" s="306"/>
      <c r="XDT3" s="306"/>
      <c r="XDU3" s="306"/>
      <c r="XDV3" s="306"/>
      <c r="XDW3" s="306"/>
      <c r="XDX3" s="306"/>
      <c r="XDY3" s="306"/>
      <c r="XDZ3" s="306"/>
      <c r="XEA3" s="306"/>
      <c r="XEB3" s="306"/>
      <c r="XEC3" s="306"/>
      <c r="XED3" s="306"/>
      <c r="XEE3" s="306"/>
      <c r="XEF3" s="306"/>
      <c r="XEG3" s="306"/>
      <c r="XEH3" s="306"/>
      <c r="XEI3" s="306"/>
      <c r="XEJ3" s="306"/>
      <c r="XEK3" s="306"/>
      <c r="XEL3" s="306"/>
      <c r="XEM3" s="306"/>
      <c r="XEN3" s="306"/>
      <c r="XEO3" s="306"/>
      <c r="XEP3" s="306"/>
      <c r="XEQ3" s="306"/>
      <c r="XER3" s="306"/>
      <c r="XES3" s="306"/>
      <c r="XET3" s="306"/>
      <c r="XEU3" s="306"/>
    </row>
    <row r="4" spans="1:16375" s="38" customFormat="1" x14ac:dyDescent="0.4">
      <c r="A4" s="253" t="s">
        <v>122</v>
      </c>
      <c r="B4" s="28"/>
      <c r="C4" s="39"/>
      <c r="D4" s="39"/>
      <c r="E4" s="28"/>
      <c r="F4" s="39"/>
      <c r="G4" s="28"/>
    </row>
    <row r="5" spans="1:16375" ht="15" customHeight="1" x14ac:dyDescent="0.4">
      <c r="A5" s="113" t="s">
        <v>237</v>
      </c>
      <c r="B5" s="113"/>
      <c r="C5" s="113"/>
      <c r="D5" s="113"/>
      <c r="E5" s="115"/>
      <c r="F5" s="116"/>
      <c r="G5" s="115"/>
      <c r="H5" s="41"/>
      <c r="I5" s="41"/>
      <c r="J5" s="41"/>
    </row>
    <row r="6" spans="1:16375" ht="15" customHeight="1" x14ac:dyDescent="0.4">
      <c r="A6" s="616" t="s">
        <v>238</v>
      </c>
      <c r="B6" s="616"/>
      <c r="C6" s="616"/>
      <c r="D6" s="616"/>
      <c r="E6" s="616"/>
      <c r="F6" s="616"/>
      <c r="G6" s="616"/>
    </row>
    <row r="7" spans="1:16375" x14ac:dyDescent="0.4">
      <c r="A7" s="25" t="s">
        <v>139</v>
      </c>
      <c r="B7" s="271"/>
      <c r="C7" s="269"/>
      <c r="D7" s="269"/>
      <c r="E7" s="271"/>
      <c r="F7" s="269"/>
      <c r="G7" s="271"/>
    </row>
    <row r="8" spans="1:16375" s="311" customFormat="1" ht="30" customHeight="1" x14ac:dyDescent="0.4">
      <c r="A8" s="611" t="s">
        <v>140</v>
      </c>
      <c r="B8" s="611"/>
      <c r="C8" s="611"/>
      <c r="D8" s="611"/>
      <c r="E8" s="611"/>
      <c r="F8" s="611"/>
      <c r="G8" s="611"/>
    </row>
    <row r="9" spans="1:16375" x14ac:dyDescent="0.4">
      <c r="A9" s="27"/>
      <c r="B9" s="1"/>
      <c r="C9" s="260"/>
      <c r="D9" s="260"/>
      <c r="E9" s="1"/>
      <c r="F9" s="260"/>
      <c r="G9" s="1"/>
    </row>
    <row r="10" spans="1:16375" s="38" customFormat="1" x14ac:dyDescent="0.4">
      <c r="A10" s="28" t="s">
        <v>239</v>
      </c>
      <c r="B10" s="28" t="s">
        <v>240</v>
      </c>
      <c r="C10" s="28" t="s">
        <v>241</v>
      </c>
      <c r="D10" s="28" t="s">
        <v>242</v>
      </c>
      <c r="E10" s="28" t="s">
        <v>243</v>
      </c>
      <c r="F10" s="28" t="s">
        <v>244</v>
      </c>
      <c r="G10" s="28" t="s">
        <v>245</v>
      </c>
    </row>
    <row r="11" spans="1:16375" ht="33.6" x14ac:dyDescent="0.4">
      <c r="A11" s="111" t="s">
        <v>48</v>
      </c>
      <c r="B11" s="112" t="s">
        <v>170</v>
      </c>
      <c r="C11" s="112" t="s">
        <v>56</v>
      </c>
      <c r="D11" s="40" t="s">
        <v>246</v>
      </c>
      <c r="E11" s="40" t="s">
        <v>247</v>
      </c>
      <c r="F11" s="40" t="s">
        <v>248</v>
      </c>
      <c r="G11" s="127" t="s">
        <v>249</v>
      </c>
      <c r="I11" s="300" t="s">
        <v>196</v>
      </c>
    </row>
    <row r="12" spans="1:16375" x14ac:dyDescent="0.4">
      <c r="A12" s="291"/>
      <c r="B12" s="292"/>
      <c r="C12" s="312"/>
      <c r="D12" s="295"/>
      <c r="E12" s="295"/>
      <c r="F12" s="296"/>
      <c r="G12" s="237">
        <f>IF(RX[[#This Row],[Total Pharmacy Rebate Amount]]=0,SUM(RX[[#This Row],[Medical Pharmacy Rebate Amount]:[Retail Pharmacy Rebate Amount]]),RX[[#This Row],[Total Pharmacy Rebate Amount]])</f>
        <v>0</v>
      </c>
      <c r="I12" s="38" t="str">
        <f>J12&amp;RX[[#This Row],[Insurer Code]]&amp;"; "&amp;K12&amp;RX[[#This Row],[Reporting Year]]&amp;"; "&amp;L12&amp;RX[[#This Row],[Insurance Category Code]]</f>
        <v xml:space="preserve">Insurer Code ; Reporting Year ; Insurance Category Code </v>
      </c>
      <c r="J12" s="297" t="s">
        <v>197</v>
      </c>
      <c r="K12" s="297" t="s">
        <v>198</v>
      </c>
      <c r="L12" s="297" t="s">
        <v>199</v>
      </c>
      <c r="M12" s="297"/>
      <c r="N12" s="297"/>
      <c r="O12" s="297"/>
    </row>
    <row r="13" spans="1:16375" x14ac:dyDescent="0.4">
      <c r="A13" s="291"/>
      <c r="B13" s="292"/>
      <c r="C13" s="312"/>
      <c r="D13" s="295"/>
      <c r="E13" s="295"/>
      <c r="F13" s="296"/>
      <c r="G13" s="237">
        <f>IF(RX[[#This Row],[Total Pharmacy Rebate Amount]]=0,SUM(RX[[#This Row],[Medical Pharmacy Rebate Amount]:[Retail Pharmacy Rebate Amount]]),RX[[#This Row],[Total Pharmacy Rebate Amount]])</f>
        <v>0</v>
      </c>
      <c r="I13" s="38" t="str">
        <f>J13&amp;RX[[#This Row],[Insurer Code]]&amp;"; "&amp;K13&amp;RX[[#This Row],[Reporting Year]]&amp;"; "&amp;L13&amp;RX[[#This Row],[Insurance Category Code]]</f>
        <v xml:space="preserve">Insurer Code ; Reporting Year ; Insurance Category Code </v>
      </c>
      <c r="J13" s="297" t="s">
        <v>197</v>
      </c>
      <c r="K13" s="297" t="s">
        <v>198</v>
      </c>
      <c r="L13" s="297" t="s">
        <v>199</v>
      </c>
      <c r="M13" s="297"/>
      <c r="N13" s="299"/>
      <c r="O13" s="299"/>
    </row>
    <row r="14" spans="1:16375" x14ac:dyDescent="0.4">
      <c r="A14" s="291"/>
      <c r="B14" s="292"/>
      <c r="C14" s="312"/>
      <c r="D14" s="295"/>
      <c r="E14" s="295"/>
      <c r="F14" s="296"/>
      <c r="G14" s="237">
        <f>IF(RX[[#This Row],[Total Pharmacy Rebate Amount]]=0,SUM(RX[[#This Row],[Medical Pharmacy Rebate Amount]:[Retail Pharmacy Rebate Amount]]),RX[[#This Row],[Total Pharmacy Rebate Amount]])</f>
        <v>0</v>
      </c>
      <c r="I14" s="38" t="str">
        <f>J14&amp;RX[[#This Row],[Insurer Code]]&amp;"; "&amp;K14&amp;RX[[#This Row],[Reporting Year]]&amp;"; "&amp;L14&amp;RX[[#This Row],[Insurance Category Code]]</f>
        <v xml:space="preserve">Insurer Code ; Reporting Year ; Insurance Category Code </v>
      </c>
      <c r="J14" s="297" t="s">
        <v>197</v>
      </c>
      <c r="K14" s="297" t="s">
        <v>198</v>
      </c>
      <c r="L14" s="297" t="s">
        <v>199</v>
      </c>
      <c r="M14" s="297"/>
      <c r="N14" s="299"/>
      <c r="O14" s="299"/>
    </row>
    <row r="15" spans="1:16375" x14ac:dyDescent="0.4">
      <c r="A15" s="291"/>
      <c r="B15" s="292"/>
      <c r="C15" s="312"/>
      <c r="D15" s="295"/>
      <c r="E15" s="295"/>
      <c r="F15" s="296"/>
      <c r="G15" s="237">
        <f>IF(RX[[#This Row],[Total Pharmacy Rebate Amount]]=0,SUM(RX[[#This Row],[Medical Pharmacy Rebate Amount]:[Retail Pharmacy Rebate Amount]]),RX[[#This Row],[Total Pharmacy Rebate Amount]])</f>
        <v>0</v>
      </c>
      <c r="I15" s="38" t="str">
        <f>J15&amp;RX[[#This Row],[Insurer Code]]&amp;"; "&amp;K15&amp;RX[[#This Row],[Reporting Year]]&amp;"; "&amp;L15&amp;RX[[#This Row],[Insurance Category Code]]</f>
        <v xml:space="preserve">Insurer Code ; Reporting Year ; Insurance Category Code </v>
      </c>
      <c r="J15" s="297" t="s">
        <v>197</v>
      </c>
      <c r="K15" s="297" t="s">
        <v>198</v>
      </c>
      <c r="L15" s="297" t="s">
        <v>199</v>
      </c>
      <c r="M15" s="297"/>
      <c r="N15" s="299"/>
      <c r="O15" s="299"/>
    </row>
    <row r="16" spans="1:16375" x14ac:dyDescent="0.4">
      <c r="A16" s="291"/>
      <c r="B16" s="292"/>
      <c r="C16" s="312"/>
      <c r="D16" s="295"/>
      <c r="E16" s="295"/>
      <c r="F16" s="296"/>
      <c r="G16" s="237">
        <f>IF(RX[[#This Row],[Total Pharmacy Rebate Amount]]=0,SUM(RX[[#This Row],[Medical Pharmacy Rebate Amount]:[Retail Pharmacy Rebate Amount]]),RX[[#This Row],[Total Pharmacy Rebate Amount]])</f>
        <v>0</v>
      </c>
      <c r="I16" s="38" t="str">
        <f>J16&amp;RX[[#This Row],[Insurer Code]]&amp;"; "&amp;K16&amp;RX[[#This Row],[Reporting Year]]&amp;"; "&amp;L16&amp;RX[[#This Row],[Insurance Category Code]]</f>
        <v xml:space="preserve">Insurer Code ; Reporting Year ; Insurance Category Code </v>
      </c>
      <c r="J16" s="297" t="s">
        <v>197</v>
      </c>
      <c r="K16" s="297" t="s">
        <v>198</v>
      </c>
      <c r="L16" s="297" t="s">
        <v>199</v>
      </c>
      <c r="M16" s="297"/>
      <c r="N16" s="299"/>
      <c r="O16" s="299"/>
    </row>
    <row r="17" spans="1:15" x14ac:dyDescent="0.4">
      <c r="A17" s="291"/>
      <c r="B17" s="292"/>
      <c r="C17" s="312"/>
      <c r="D17" s="295"/>
      <c r="E17" s="295"/>
      <c r="F17" s="296"/>
      <c r="G17" s="237">
        <f>IF(RX[[#This Row],[Total Pharmacy Rebate Amount]]=0,SUM(RX[[#This Row],[Medical Pharmacy Rebate Amount]:[Retail Pharmacy Rebate Amount]]),RX[[#This Row],[Total Pharmacy Rebate Amount]])</f>
        <v>0</v>
      </c>
      <c r="I17" s="38" t="str">
        <f>J17&amp;RX[[#This Row],[Insurer Code]]&amp;"; "&amp;K17&amp;RX[[#This Row],[Reporting Year]]&amp;"; "&amp;L17&amp;RX[[#This Row],[Insurance Category Code]]</f>
        <v xml:space="preserve">Insurer Code ; Reporting Year ; Insurance Category Code </v>
      </c>
      <c r="J17" s="297" t="s">
        <v>197</v>
      </c>
      <c r="K17" s="297" t="s">
        <v>198</v>
      </c>
      <c r="L17" s="297" t="s">
        <v>199</v>
      </c>
      <c r="M17" s="297"/>
      <c r="N17" s="299"/>
      <c r="O17" s="299"/>
    </row>
    <row r="18" spans="1:15" x14ac:dyDescent="0.4">
      <c r="A18" s="291"/>
      <c r="B18" s="292"/>
      <c r="C18" s="312"/>
      <c r="D18" s="295"/>
      <c r="E18" s="295"/>
      <c r="F18" s="296"/>
      <c r="G18" s="237">
        <f>IF(RX[[#This Row],[Total Pharmacy Rebate Amount]]=0,SUM(RX[[#This Row],[Medical Pharmacy Rebate Amount]:[Retail Pharmacy Rebate Amount]]),RX[[#This Row],[Total Pharmacy Rebate Amount]])</f>
        <v>0</v>
      </c>
      <c r="I18" s="38" t="str">
        <f>J18&amp;RX[[#This Row],[Insurer Code]]&amp;"; "&amp;K18&amp;RX[[#This Row],[Reporting Year]]&amp;"; "&amp;L18&amp;RX[[#This Row],[Insurance Category Code]]</f>
        <v xml:space="preserve">Insurer Code ; Reporting Year ; Insurance Category Code </v>
      </c>
      <c r="J18" s="297" t="s">
        <v>197</v>
      </c>
      <c r="K18" s="297" t="s">
        <v>198</v>
      </c>
      <c r="L18" s="297" t="s">
        <v>199</v>
      </c>
      <c r="M18" s="297"/>
      <c r="N18" s="299"/>
      <c r="O18" s="299"/>
    </row>
    <row r="19" spans="1:15" x14ac:dyDescent="0.4">
      <c r="A19" s="291"/>
      <c r="B19" s="292"/>
      <c r="C19" s="312"/>
      <c r="D19" s="295"/>
      <c r="E19" s="295"/>
      <c r="F19" s="296"/>
      <c r="G19" s="237">
        <f>IF(RX[[#This Row],[Total Pharmacy Rebate Amount]]=0,SUM(RX[[#This Row],[Medical Pharmacy Rebate Amount]:[Retail Pharmacy Rebate Amount]]),RX[[#This Row],[Total Pharmacy Rebate Amount]])</f>
        <v>0</v>
      </c>
      <c r="I19" s="38" t="str">
        <f>J19&amp;RX[[#This Row],[Insurer Code]]&amp;"; "&amp;K19&amp;RX[[#This Row],[Reporting Year]]&amp;"; "&amp;L19&amp;RX[[#This Row],[Insurance Category Code]]</f>
        <v xml:space="preserve">Insurer Code ; Reporting Year ; Insurance Category Code </v>
      </c>
      <c r="J19" s="297" t="s">
        <v>197</v>
      </c>
      <c r="K19" s="297" t="s">
        <v>198</v>
      </c>
      <c r="L19" s="297" t="s">
        <v>199</v>
      </c>
      <c r="M19" s="297"/>
      <c r="N19" s="299"/>
      <c r="O19" s="299"/>
    </row>
    <row r="20" spans="1:15" x14ac:dyDescent="0.4">
      <c r="A20" s="291"/>
      <c r="B20" s="292"/>
      <c r="C20" s="312"/>
      <c r="D20" s="295"/>
      <c r="E20" s="295"/>
      <c r="F20" s="296"/>
      <c r="G20" s="237">
        <f>IF(RX[[#This Row],[Total Pharmacy Rebate Amount]]=0,SUM(RX[[#This Row],[Medical Pharmacy Rebate Amount]:[Retail Pharmacy Rebate Amount]]),RX[[#This Row],[Total Pharmacy Rebate Amount]])</f>
        <v>0</v>
      </c>
      <c r="I20" s="38" t="str">
        <f>J20&amp;RX[[#This Row],[Insurer Code]]&amp;"; "&amp;K20&amp;RX[[#This Row],[Reporting Year]]&amp;"; "&amp;L20&amp;RX[[#This Row],[Insurance Category Code]]</f>
        <v xml:space="preserve">Insurer Code ; Reporting Year ; Insurance Category Code </v>
      </c>
      <c r="J20" s="297" t="s">
        <v>197</v>
      </c>
      <c r="K20" s="297" t="s">
        <v>198</v>
      </c>
      <c r="L20" s="297" t="s">
        <v>199</v>
      </c>
      <c r="M20" s="297"/>
      <c r="N20" s="299"/>
      <c r="O20" s="299"/>
    </row>
    <row r="21" spans="1:15" x14ac:dyDescent="0.4">
      <c r="A21" s="291"/>
      <c r="B21" s="292"/>
      <c r="C21" s="312"/>
      <c r="D21" s="295"/>
      <c r="E21" s="295"/>
      <c r="F21" s="296"/>
      <c r="G21" s="237">
        <f>IF(RX[[#This Row],[Total Pharmacy Rebate Amount]]=0,SUM(RX[[#This Row],[Medical Pharmacy Rebate Amount]:[Retail Pharmacy Rebate Amount]]),RX[[#This Row],[Total Pharmacy Rebate Amount]])</f>
        <v>0</v>
      </c>
      <c r="I21" s="38" t="str">
        <f>J21&amp;RX[[#This Row],[Insurer Code]]&amp;"; "&amp;K21&amp;RX[[#This Row],[Reporting Year]]&amp;"; "&amp;L21&amp;RX[[#This Row],[Insurance Category Code]]</f>
        <v xml:space="preserve">Insurer Code ; Reporting Year ; Insurance Category Code </v>
      </c>
      <c r="J21" s="297" t="s">
        <v>197</v>
      </c>
      <c r="K21" s="297" t="s">
        <v>198</v>
      </c>
      <c r="L21" s="297" t="s">
        <v>199</v>
      </c>
      <c r="M21" s="297"/>
      <c r="N21" s="299"/>
      <c r="O21" s="299"/>
    </row>
    <row r="22" spans="1:15" x14ac:dyDescent="0.4">
      <c r="A22" s="291"/>
      <c r="B22" s="292"/>
      <c r="C22" s="312"/>
      <c r="D22" s="295"/>
      <c r="E22" s="295"/>
      <c r="F22" s="296"/>
      <c r="G22" s="237">
        <f>IF(RX[[#This Row],[Total Pharmacy Rebate Amount]]=0,SUM(RX[[#This Row],[Medical Pharmacy Rebate Amount]:[Retail Pharmacy Rebate Amount]]),RX[[#This Row],[Total Pharmacy Rebate Amount]])</f>
        <v>0</v>
      </c>
      <c r="I22" s="38" t="str">
        <f>J22&amp;RX[[#This Row],[Insurer Code]]&amp;"; "&amp;K22&amp;RX[[#This Row],[Reporting Year]]&amp;"; "&amp;L22&amp;RX[[#This Row],[Insurance Category Code]]</f>
        <v xml:space="preserve">Insurer Code ; Reporting Year ; Insurance Category Code </v>
      </c>
      <c r="J22" s="297" t="s">
        <v>197</v>
      </c>
      <c r="K22" s="297" t="s">
        <v>198</v>
      </c>
      <c r="L22" s="297" t="s">
        <v>199</v>
      </c>
      <c r="M22" s="297"/>
      <c r="N22" s="299"/>
      <c r="O22" s="299"/>
    </row>
    <row r="23" spans="1:15" x14ac:dyDescent="0.4">
      <c r="A23" s="291"/>
      <c r="B23" s="292"/>
      <c r="C23" s="312"/>
      <c r="D23" s="295"/>
      <c r="E23" s="295"/>
      <c r="F23" s="296"/>
      <c r="G23" s="237">
        <f>IF(RX[[#This Row],[Total Pharmacy Rebate Amount]]=0,SUM(RX[[#This Row],[Medical Pharmacy Rebate Amount]:[Retail Pharmacy Rebate Amount]]),RX[[#This Row],[Total Pharmacy Rebate Amount]])</f>
        <v>0</v>
      </c>
      <c r="I23" s="38" t="str">
        <f>J23&amp;RX[[#This Row],[Insurer Code]]&amp;"; "&amp;K23&amp;RX[[#This Row],[Reporting Year]]&amp;"; "&amp;L23&amp;RX[[#This Row],[Insurance Category Code]]</f>
        <v xml:space="preserve">Insurer Code ; Reporting Year ; Insurance Category Code </v>
      </c>
      <c r="J23" s="297" t="s">
        <v>197</v>
      </c>
      <c r="K23" s="297" t="s">
        <v>198</v>
      </c>
      <c r="L23" s="297" t="s">
        <v>199</v>
      </c>
      <c r="M23" s="297"/>
      <c r="N23" s="299"/>
      <c r="O23" s="299"/>
    </row>
    <row r="24" spans="1:15" x14ac:dyDescent="0.4">
      <c r="A24" s="291"/>
      <c r="B24" s="292"/>
      <c r="C24" s="312"/>
      <c r="D24" s="295"/>
      <c r="E24" s="295"/>
      <c r="F24" s="296"/>
      <c r="G24" s="237">
        <f>IF(RX[[#This Row],[Total Pharmacy Rebate Amount]]=0,SUM(RX[[#This Row],[Medical Pharmacy Rebate Amount]:[Retail Pharmacy Rebate Amount]]),RX[[#This Row],[Total Pharmacy Rebate Amount]])</f>
        <v>0</v>
      </c>
      <c r="I24" s="38" t="str">
        <f>J24&amp;RX[[#This Row],[Insurer Code]]&amp;"; "&amp;K24&amp;RX[[#This Row],[Reporting Year]]&amp;"; "&amp;L24&amp;RX[[#This Row],[Insurance Category Code]]</f>
        <v xml:space="preserve">Insurer Code ; Reporting Year ; Insurance Category Code </v>
      </c>
      <c r="J24" s="297" t="s">
        <v>197</v>
      </c>
      <c r="K24" s="297" t="s">
        <v>198</v>
      </c>
      <c r="L24" s="297" t="s">
        <v>199</v>
      </c>
      <c r="M24" s="297"/>
      <c r="N24" s="299"/>
      <c r="O24" s="299"/>
    </row>
    <row r="25" spans="1:15" x14ac:dyDescent="0.4">
      <c r="A25" s="291"/>
      <c r="B25" s="292"/>
      <c r="C25" s="312"/>
      <c r="D25" s="295"/>
      <c r="E25" s="295"/>
      <c r="F25" s="296"/>
      <c r="G25" s="237">
        <f>IF(RX[[#This Row],[Total Pharmacy Rebate Amount]]=0,SUM(RX[[#This Row],[Medical Pharmacy Rebate Amount]:[Retail Pharmacy Rebate Amount]]),RX[[#This Row],[Total Pharmacy Rebate Amount]])</f>
        <v>0</v>
      </c>
      <c r="I25" s="38" t="str">
        <f>J25&amp;RX[[#This Row],[Insurer Code]]&amp;"; "&amp;K25&amp;RX[[#This Row],[Reporting Year]]&amp;"; "&amp;L25&amp;RX[[#This Row],[Insurance Category Code]]</f>
        <v xml:space="preserve">Insurer Code ; Reporting Year ; Insurance Category Code </v>
      </c>
      <c r="J25" s="297" t="s">
        <v>197</v>
      </c>
      <c r="K25" s="297" t="s">
        <v>198</v>
      </c>
      <c r="L25" s="297" t="s">
        <v>199</v>
      </c>
      <c r="M25" s="297"/>
      <c r="N25" s="299"/>
      <c r="O25" s="299"/>
    </row>
    <row r="26" spans="1:15" x14ac:dyDescent="0.4">
      <c r="A26" s="291"/>
      <c r="B26" s="292"/>
      <c r="C26" s="312"/>
      <c r="D26" s="295"/>
      <c r="E26" s="295"/>
      <c r="F26" s="296"/>
      <c r="G26" s="237">
        <f>IF(RX[[#This Row],[Total Pharmacy Rebate Amount]]=0,SUM(RX[[#This Row],[Medical Pharmacy Rebate Amount]:[Retail Pharmacy Rebate Amount]]),RX[[#This Row],[Total Pharmacy Rebate Amount]])</f>
        <v>0</v>
      </c>
      <c r="I26" s="38" t="str">
        <f>J26&amp;RX[[#This Row],[Insurer Code]]&amp;"; "&amp;K26&amp;RX[[#This Row],[Reporting Year]]&amp;"; "&amp;L26&amp;RX[[#This Row],[Insurance Category Code]]</f>
        <v xml:space="preserve">Insurer Code ; Reporting Year ; Insurance Category Code </v>
      </c>
      <c r="J26" s="297" t="s">
        <v>197</v>
      </c>
      <c r="K26" s="297" t="s">
        <v>198</v>
      </c>
      <c r="L26" s="297" t="s">
        <v>199</v>
      </c>
      <c r="M26" s="297"/>
      <c r="N26" s="299"/>
      <c r="O26" s="299"/>
    </row>
    <row r="27" spans="1:15" x14ac:dyDescent="0.4">
      <c r="A27" s="291"/>
      <c r="B27" s="292"/>
      <c r="C27" s="312"/>
      <c r="D27" s="295"/>
      <c r="E27" s="295"/>
      <c r="F27" s="296"/>
      <c r="G27" s="237">
        <f>IF(RX[[#This Row],[Total Pharmacy Rebate Amount]]=0,SUM(RX[[#This Row],[Medical Pharmacy Rebate Amount]:[Retail Pharmacy Rebate Amount]]),RX[[#This Row],[Total Pharmacy Rebate Amount]])</f>
        <v>0</v>
      </c>
      <c r="I27" s="38" t="str">
        <f>J27&amp;RX[[#This Row],[Insurer Code]]&amp;"; "&amp;K27&amp;RX[[#This Row],[Reporting Year]]&amp;"; "&amp;L27&amp;RX[[#This Row],[Insurance Category Code]]</f>
        <v xml:space="preserve">Insurer Code ; Reporting Year ; Insurance Category Code </v>
      </c>
      <c r="J27" s="297" t="s">
        <v>197</v>
      </c>
      <c r="K27" s="297" t="s">
        <v>198</v>
      </c>
      <c r="L27" s="297" t="s">
        <v>199</v>
      </c>
      <c r="M27" s="297"/>
      <c r="N27" s="299"/>
      <c r="O27" s="299"/>
    </row>
    <row r="34" spans="6:6" x14ac:dyDescent="0.4">
      <c r="F34" s="428"/>
    </row>
  </sheetData>
  <sheetProtection selectLockedCells="1"/>
  <mergeCells count="912">
    <mergeCell ref="XCP1:XDG1"/>
    <mergeCell ref="XDH1:XDY1"/>
    <mergeCell ref="XDZ1:XEQ1"/>
    <mergeCell ref="XER1:XEU1"/>
    <mergeCell ref="WYL1:WZC1"/>
    <mergeCell ref="WZD1:WZU1"/>
    <mergeCell ref="WZV1:XAM1"/>
    <mergeCell ref="XAN1:XBE1"/>
    <mergeCell ref="XBF1:XBW1"/>
    <mergeCell ref="XBX1:XCO1"/>
    <mergeCell ref="WUH1:WUY1"/>
    <mergeCell ref="WUZ1:WVQ1"/>
    <mergeCell ref="WVR1:WWI1"/>
    <mergeCell ref="WWJ1:WXA1"/>
    <mergeCell ref="WXB1:WXS1"/>
    <mergeCell ref="WXT1:WYK1"/>
    <mergeCell ref="WQD1:WQU1"/>
    <mergeCell ref="WQV1:WRM1"/>
    <mergeCell ref="WRN1:WSE1"/>
    <mergeCell ref="WSF1:WSW1"/>
    <mergeCell ref="WSX1:WTO1"/>
    <mergeCell ref="WTP1:WUG1"/>
    <mergeCell ref="WLZ1:WMQ1"/>
    <mergeCell ref="WMR1:WNI1"/>
    <mergeCell ref="WNJ1:WOA1"/>
    <mergeCell ref="WOB1:WOS1"/>
    <mergeCell ref="WOT1:WPK1"/>
    <mergeCell ref="WPL1:WQC1"/>
    <mergeCell ref="WHV1:WIM1"/>
    <mergeCell ref="WIN1:WJE1"/>
    <mergeCell ref="WJF1:WJW1"/>
    <mergeCell ref="WJX1:WKO1"/>
    <mergeCell ref="WKP1:WLG1"/>
    <mergeCell ref="WLH1:WLY1"/>
    <mergeCell ref="WDR1:WEI1"/>
    <mergeCell ref="WEJ1:WFA1"/>
    <mergeCell ref="WFB1:WFS1"/>
    <mergeCell ref="WFT1:WGK1"/>
    <mergeCell ref="WGL1:WHC1"/>
    <mergeCell ref="WHD1:WHU1"/>
    <mergeCell ref="VZN1:WAE1"/>
    <mergeCell ref="WAF1:WAW1"/>
    <mergeCell ref="WAX1:WBO1"/>
    <mergeCell ref="WBP1:WCG1"/>
    <mergeCell ref="WCH1:WCY1"/>
    <mergeCell ref="WCZ1:WDQ1"/>
    <mergeCell ref="VVJ1:VWA1"/>
    <mergeCell ref="VWB1:VWS1"/>
    <mergeCell ref="VWT1:VXK1"/>
    <mergeCell ref="VXL1:VYC1"/>
    <mergeCell ref="VYD1:VYU1"/>
    <mergeCell ref="VYV1:VZM1"/>
    <mergeCell ref="VRF1:VRW1"/>
    <mergeCell ref="VRX1:VSO1"/>
    <mergeCell ref="VSP1:VTG1"/>
    <mergeCell ref="VTH1:VTY1"/>
    <mergeCell ref="VTZ1:VUQ1"/>
    <mergeCell ref="VUR1:VVI1"/>
    <mergeCell ref="VNB1:VNS1"/>
    <mergeCell ref="VNT1:VOK1"/>
    <mergeCell ref="VOL1:VPC1"/>
    <mergeCell ref="VPD1:VPU1"/>
    <mergeCell ref="VPV1:VQM1"/>
    <mergeCell ref="VQN1:VRE1"/>
    <mergeCell ref="VIX1:VJO1"/>
    <mergeCell ref="VJP1:VKG1"/>
    <mergeCell ref="VKH1:VKY1"/>
    <mergeCell ref="VKZ1:VLQ1"/>
    <mergeCell ref="VLR1:VMI1"/>
    <mergeCell ref="VMJ1:VNA1"/>
    <mergeCell ref="VET1:VFK1"/>
    <mergeCell ref="VFL1:VGC1"/>
    <mergeCell ref="VGD1:VGU1"/>
    <mergeCell ref="VGV1:VHM1"/>
    <mergeCell ref="VHN1:VIE1"/>
    <mergeCell ref="VIF1:VIW1"/>
    <mergeCell ref="VAP1:VBG1"/>
    <mergeCell ref="VBH1:VBY1"/>
    <mergeCell ref="VBZ1:VCQ1"/>
    <mergeCell ref="VCR1:VDI1"/>
    <mergeCell ref="VDJ1:VEA1"/>
    <mergeCell ref="VEB1:VES1"/>
    <mergeCell ref="UWL1:UXC1"/>
    <mergeCell ref="UXD1:UXU1"/>
    <mergeCell ref="UXV1:UYM1"/>
    <mergeCell ref="UYN1:UZE1"/>
    <mergeCell ref="UZF1:UZW1"/>
    <mergeCell ref="UZX1:VAO1"/>
    <mergeCell ref="USH1:USY1"/>
    <mergeCell ref="USZ1:UTQ1"/>
    <mergeCell ref="UTR1:UUI1"/>
    <mergeCell ref="UUJ1:UVA1"/>
    <mergeCell ref="UVB1:UVS1"/>
    <mergeCell ref="UVT1:UWK1"/>
    <mergeCell ref="UOD1:UOU1"/>
    <mergeCell ref="UOV1:UPM1"/>
    <mergeCell ref="UPN1:UQE1"/>
    <mergeCell ref="UQF1:UQW1"/>
    <mergeCell ref="UQX1:URO1"/>
    <mergeCell ref="URP1:USG1"/>
    <mergeCell ref="UJZ1:UKQ1"/>
    <mergeCell ref="UKR1:ULI1"/>
    <mergeCell ref="ULJ1:UMA1"/>
    <mergeCell ref="UMB1:UMS1"/>
    <mergeCell ref="UMT1:UNK1"/>
    <mergeCell ref="UNL1:UOC1"/>
    <mergeCell ref="UFV1:UGM1"/>
    <mergeCell ref="UGN1:UHE1"/>
    <mergeCell ref="UHF1:UHW1"/>
    <mergeCell ref="UHX1:UIO1"/>
    <mergeCell ref="UIP1:UJG1"/>
    <mergeCell ref="UJH1:UJY1"/>
    <mergeCell ref="UBR1:UCI1"/>
    <mergeCell ref="UCJ1:UDA1"/>
    <mergeCell ref="UDB1:UDS1"/>
    <mergeCell ref="UDT1:UEK1"/>
    <mergeCell ref="UEL1:UFC1"/>
    <mergeCell ref="UFD1:UFU1"/>
    <mergeCell ref="TXN1:TYE1"/>
    <mergeCell ref="TYF1:TYW1"/>
    <mergeCell ref="TYX1:TZO1"/>
    <mergeCell ref="TZP1:UAG1"/>
    <mergeCell ref="UAH1:UAY1"/>
    <mergeCell ref="UAZ1:UBQ1"/>
    <mergeCell ref="TTJ1:TUA1"/>
    <mergeCell ref="TUB1:TUS1"/>
    <mergeCell ref="TUT1:TVK1"/>
    <mergeCell ref="TVL1:TWC1"/>
    <mergeCell ref="TWD1:TWU1"/>
    <mergeCell ref="TWV1:TXM1"/>
    <mergeCell ref="TPF1:TPW1"/>
    <mergeCell ref="TPX1:TQO1"/>
    <mergeCell ref="TQP1:TRG1"/>
    <mergeCell ref="TRH1:TRY1"/>
    <mergeCell ref="TRZ1:TSQ1"/>
    <mergeCell ref="TSR1:TTI1"/>
    <mergeCell ref="TLB1:TLS1"/>
    <mergeCell ref="TLT1:TMK1"/>
    <mergeCell ref="TML1:TNC1"/>
    <mergeCell ref="TND1:TNU1"/>
    <mergeCell ref="TNV1:TOM1"/>
    <mergeCell ref="TON1:TPE1"/>
    <mergeCell ref="TGX1:THO1"/>
    <mergeCell ref="THP1:TIG1"/>
    <mergeCell ref="TIH1:TIY1"/>
    <mergeCell ref="TIZ1:TJQ1"/>
    <mergeCell ref="TJR1:TKI1"/>
    <mergeCell ref="TKJ1:TLA1"/>
    <mergeCell ref="TCT1:TDK1"/>
    <mergeCell ref="TDL1:TEC1"/>
    <mergeCell ref="TED1:TEU1"/>
    <mergeCell ref="TEV1:TFM1"/>
    <mergeCell ref="TFN1:TGE1"/>
    <mergeCell ref="TGF1:TGW1"/>
    <mergeCell ref="SYP1:SZG1"/>
    <mergeCell ref="SZH1:SZY1"/>
    <mergeCell ref="SZZ1:TAQ1"/>
    <mergeCell ref="TAR1:TBI1"/>
    <mergeCell ref="TBJ1:TCA1"/>
    <mergeCell ref="TCB1:TCS1"/>
    <mergeCell ref="SUL1:SVC1"/>
    <mergeCell ref="SVD1:SVU1"/>
    <mergeCell ref="SVV1:SWM1"/>
    <mergeCell ref="SWN1:SXE1"/>
    <mergeCell ref="SXF1:SXW1"/>
    <mergeCell ref="SXX1:SYO1"/>
    <mergeCell ref="SQH1:SQY1"/>
    <mergeCell ref="SQZ1:SRQ1"/>
    <mergeCell ref="SRR1:SSI1"/>
    <mergeCell ref="SSJ1:STA1"/>
    <mergeCell ref="STB1:STS1"/>
    <mergeCell ref="STT1:SUK1"/>
    <mergeCell ref="SMD1:SMU1"/>
    <mergeCell ref="SMV1:SNM1"/>
    <mergeCell ref="SNN1:SOE1"/>
    <mergeCell ref="SOF1:SOW1"/>
    <mergeCell ref="SOX1:SPO1"/>
    <mergeCell ref="SPP1:SQG1"/>
    <mergeCell ref="SHZ1:SIQ1"/>
    <mergeCell ref="SIR1:SJI1"/>
    <mergeCell ref="SJJ1:SKA1"/>
    <mergeCell ref="SKB1:SKS1"/>
    <mergeCell ref="SKT1:SLK1"/>
    <mergeCell ref="SLL1:SMC1"/>
    <mergeCell ref="SDV1:SEM1"/>
    <mergeCell ref="SEN1:SFE1"/>
    <mergeCell ref="SFF1:SFW1"/>
    <mergeCell ref="SFX1:SGO1"/>
    <mergeCell ref="SGP1:SHG1"/>
    <mergeCell ref="SHH1:SHY1"/>
    <mergeCell ref="RZR1:SAI1"/>
    <mergeCell ref="SAJ1:SBA1"/>
    <mergeCell ref="SBB1:SBS1"/>
    <mergeCell ref="SBT1:SCK1"/>
    <mergeCell ref="SCL1:SDC1"/>
    <mergeCell ref="SDD1:SDU1"/>
    <mergeCell ref="RVN1:RWE1"/>
    <mergeCell ref="RWF1:RWW1"/>
    <mergeCell ref="RWX1:RXO1"/>
    <mergeCell ref="RXP1:RYG1"/>
    <mergeCell ref="RYH1:RYY1"/>
    <mergeCell ref="RYZ1:RZQ1"/>
    <mergeCell ref="RRJ1:RSA1"/>
    <mergeCell ref="RSB1:RSS1"/>
    <mergeCell ref="RST1:RTK1"/>
    <mergeCell ref="RTL1:RUC1"/>
    <mergeCell ref="RUD1:RUU1"/>
    <mergeCell ref="RUV1:RVM1"/>
    <mergeCell ref="RNF1:RNW1"/>
    <mergeCell ref="RNX1:ROO1"/>
    <mergeCell ref="ROP1:RPG1"/>
    <mergeCell ref="RPH1:RPY1"/>
    <mergeCell ref="RPZ1:RQQ1"/>
    <mergeCell ref="RQR1:RRI1"/>
    <mergeCell ref="RJB1:RJS1"/>
    <mergeCell ref="RJT1:RKK1"/>
    <mergeCell ref="RKL1:RLC1"/>
    <mergeCell ref="RLD1:RLU1"/>
    <mergeCell ref="RLV1:RMM1"/>
    <mergeCell ref="RMN1:RNE1"/>
    <mergeCell ref="REX1:RFO1"/>
    <mergeCell ref="RFP1:RGG1"/>
    <mergeCell ref="RGH1:RGY1"/>
    <mergeCell ref="RGZ1:RHQ1"/>
    <mergeCell ref="RHR1:RII1"/>
    <mergeCell ref="RIJ1:RJA1"/>
    <mergeCell ref="RAT1:RBK1"/>
    <mergeCell ref="RBL1:RCC1"/>
    <mergeCell ref="RCD1:RCU1"/>
    <mergeCell ref="RCV1:RDM1"/>
    <mergeCell ref="RDN1:REE1"/>
    <mergeCell ref="REF1:REW1"/>
    <mergeCell ref="QWP1:QXG1"/>
    <mergeCell ref="QXH1:QXY1"/>
    <mergeCell ref="QXZ1:QYQ1"/>
    <mergeCell ref="QYR1:QZI1"/>
    <mergeCell ref="QZJ1:RAA1"/>
    <mergeCell ref="RAB1:RAS1"/>
    <mergeCell ref="QSL1:QTC1"/>
    <mergeCell ref="QTD1:QTU1"/>
    <mergeCell ref="QTV1:QUM1"/>
    <mergeCell ref="QUN1:QVE1"/>
    <mergeCell ref="QVF1:QVW1"/>
    <mergeCell ref="QVX1:QWO1"/>
    <mergeCell ref="QOH1:QOY1"/>
    <mergeCell ref="QOZ1:QPQ1"/>
    <mergeCell ref="QPR1:QQI1"/>
    <mergeCell ref="QQJ1:QRA1"/>
    <mergeCell ref="QRB1:QRS1"/>
    <mergeCell ref="QRT1:QSK1"/>
    <mergeCell ref="QKD1:QKU1"/>
    <mergeCell ref="QKV1:QLM1"/>
    <mergeCell ref="QLN1:QME1"/>
    <mergeCell ref="QMF1:QMW1"/>
    <mergeCell ref="QMX1:QNO1"/>
    <mergeCell ref="QNP1:QOG1"/>
    <mergeCell ref="QFZ1:QGQ1"/>
    <mergeCell ref="QGR1:QHI1"/>
    <mergeCell ref="QHJ1:QIA1"/>
    <mergeCell ref="QIB1:QIS1"/>
    <mergeCell ref="QIT1:QJK1"/>
    <mergeCell ref="QJL1:QKC1"/>
    <mergeCell ref="QBV1:QCM1"/>
    <mergeCell ref="QCN1:QDE1"/>
    <mergeCell ref="QDF1:QDW1"/>
    <mergeCell ref="QDX1:QEO1"/>
    <mergeCell ref="QEP1:QFG1"/>
    <mergeCell ref="QFH1:QFY1"/>
    <mergeCell ref="PXR1:PYI1"/>
    <mergeCell ref="PYJ1:PZA1"/>
    <mergeCell ref="PZB1:PZS1"/>
    <mergeCell ref="PZT1:QAK1"/>
    <mergeCell ref="QAL1:QBC1"/>
    <mergeCell ref="QBD1:QBU1"/>
    <mergeCell ref="PTN1:PUE1"/>
    <mergeCell ref="PUF1:PUW1"/>
    <mergeCell ref="PUX1:PVO1"/>
    <mergeCell ref="PVP1:PWG1"/>
    <mergeCell ref="PWH1:PWY1"/>
    <mergeCell ref="PWZ1:PXQ1"/>
    <mergeCell ref="PPJ1:PQA1"/>
    <mergeCell ref="PQB1:PQS1"/>
    <mergeCell ref="PQT1:PRK1"/>
    <mergeCell ref="PRL1:PSC1"/>
    <mergeCell ref="PSD1:PSU1"/>
    <mergeCell ref="PSV1:PTM1"/>
    <mergeCell ref="PLF1:PLW1"/>
    <mergeCell ref="PLX1:PMO1"/>
    <mergeCell ref="PMP1:PNG1"/>
    <mergeCell ref="PNH1:PNY1"/>
    <mergeCell ref="PNZ1:POQ1"/>
    <mergeCell ref="POR1:PPI1"/>
    <mergeCell ref="PHB1:PHS1"/>
    <mergeCell ref="PHT1:PIK1"/>
    <mergeCell ref="PIL1:PJC1"/>
    <mergeCell ref="PJD1:PJU1"/>
    <mergeCell ref="PJV1:PKM1"/>
    <mergeCell ref="PKN1:PLE1"/>
    <mergeCell ref="PCX1:PDO1"/>
    <mergeCell ref="PDP1:PEG1"/>
    <mergeCell ref="PEH1:PEY1"/>
    <mergeCell ref="PEZ1:PFQ1"/>
    <mergeCell ref="PFR1:PGI1"/>
    <mergeCell ref="PGJ1:PHA1"/>
    <mergeCell ref="OYT1:OZK1"/>
    <mergeCell ref="OZL1:PAC1"/>
    <mergeCell ref="PAD1:PAU1"/>
    <mergeCell ref="PAV1:PBM1"/>
    <mergeCell ref="PBN1:PCE1"/>
    <mergeCell ref="PCF1:PCW1"/>
    <mergeCell ref="OUP1:OVG1"/>
    <mergeCell ref="OVH1:OVY1"/>
    <mergeCell ref="OVZ1:OWQ1"/>
    <mergeCell ref="OWR1:OXI1"/>
    <mergeCell ref="OXJ1:OYA1"/>
    <mergeCell ref="OYB1:OYS1"/>
    <mergeCell ref="OQL1:ORC1"/>
    <mergeCell ref="ORD1:ORU1"/>
    <mergeCell ref="ORV1:OSM1"/>
    <mergeCell ref="OSN1:OTE1"/>
    <mergeCell ref="OTF1:OTW1"/>
    <mergeCell ref="OTX1:OUO1"/>
    <mergeCell ref="OMH1:OMY1"/>
    <mergeCell ref="OMZ1:ONQ1"/>
    <mergeCell ref="ONR1:OOI1"/>
    <mergeCell ref="OOJ1:OPA1"/>
    <mergeCell ref="OPB1:OPS1"/>
    <mergeCell ref="OPT1:OQK1"/>
    <mergeCell ref="OID1:OIU1"/>
    <mergeCell ref="OIV1:OJM1"/>
    <mergeCell ref="OJN1:OKE1"/>
    <mergeCell ref="OKF1:OKW1"/>
    <mergeCell ref="OKX1:OLO1"/>
    <mergeCell ref="OLP1:OMG1"/>
    <mergeCell ref="ODZ1:OEQ1"/>
    <mergeCell ref="OER1:OFI1"/>
    <mergeCell ref="OFJ1:OGA1"/>
    <mergeCell ref="OGB1:OGS1"/>
    <mergeCell ref="OGT1:OHK1"/>
    <mergeCell ref="OHL1:OIC1"/>
    <mergeCell ref="NZV1:OAM1"/>
    <mergeCell ref="OAN1:OBE1"/>
    <mergeCell ref="OBF1:OBW1"/>
    <mergeCell ref="OBX1:OCO1"/>
    <mergeCell ref="OCP1:ODG1"/>
    <mergeCell ref="ODH1:ODY1"/>
    <mergeCell ref="NVR1:NWI1"/>
    <mergeCell ref="NWJ1:NXA1"/>
    <mergeCell ref="NXB1:NXS1"/>
    <mergeCell ref="NXT1:NYK1"/>
    <mergeCell ref="NYL1:NZC1"/>
    <mergeCell ref="NZD1:NZU1"/>
    <mergeCell ref="NRN1:NSE1"/>
    <mergeCell ref="NSF1:NSW1"/>
    <mergeCell ref="NSX1:NTO1"/>
    <mergeCell ref="NTP1:NUG1"/>
    <mergeCell ref="NUH1:NUY1"/>
    <mergeCell ref="NUZ1:NVQ1"/>
    <mergeCell ref="NNJ1:NOA1"/>
    <mergeCell ref="NOB1:NOS1"/>
    <mergeCell ref="NOT1:NPK1"/>
    <mergeCell ref="NPL1:NQC1"/>
    <mergeCell ref="NQD1:NQU1"/>
    <mergeCell ref="NQV1:NRM1"/>
    <mergeCell ref="NJF1:NJW1"/>
    <mergeCell ref="NJX1:NKO1"/>
    <mergeCell ref="NKP1:NLG1"/>
    <mergeCell ref="NLH1:NLY1"/>
    <mergeCell ref="NLZ1:NMQ1"/>
    <mergeCell ref="NMR1:NNI1"/>
    <mergeCell ref="NFB1:NFS1"/>
    <mergeCell ref="NFT1:NGK1"/>
    <mergeCell ref="NGL1:NHC1"/>
    <mergeCell ref="NHD1:NHU1"/>
    <mergeCell ref="NHV1:NIM1"/>
    <mergeCell ref="NIN1:NJE1"/>
    <mergeCell ref="NAX1:NBO1"/>
    <mergeCell ref="NBP1:NCG1"/>
    <mergeCell ref="NCH1:NCY1"/>
    <mergeCell ref="NCZ1:NDQ1"/>
    <mergeCell ref="NDR1:NEI1"/>
    <mergeCell ref="NEJ1:NFA1"/>
    <mergeCell ref="MWT1:MXK1"/>
    <mergeCell ref="MXL1:MYC1"/>
    <mergeCell ref="MYD1:MYU1"/>
    <mergeCell ref="MYV1:MZM1"/>
    <mergeCell ref="MZN1:NAE1"/>
    <mergeCell ref="NAF1:NAW1"/>
    <mergeCell ref="MSP1:MTG1"/>
    <mergeCell ref="MTH1:MTY1"/>
    <mergeCell ref="MTZ1:MUQ1"/>
    <mergeCell ref="MUR1:MVI1"/>
    <mergeCell ref="MVJ1:MWA1"/>
    <mergeCell ref="MWB1:MWS1"/>
    <mergeCell ref="MOL1:MPC1"/>
    <mergeCell ref="MPD1:MPU1"/>
    <mergeCell ref="MPV1:MQM1"/>
    <mergeCell ref="MQN1:MRE1"/>
    <mergeCell ref="MRF1:MRW1"/>
    <mergeCell ref="MRX1:MSO1"/>
    <mergeCell ref="MKH1:MKY1"/>
    <mergeCell ref="MKZ1:MLQ1"/>
    <mergeCell ref="MLR1:MMI1"/>
    <mergeCell ref="MMJ1:MNA1"/>
    <mergeCell ref="MNB1:MNS1"/>
    <mergeCell ref="MNT1:MOK1"/>
    <mergeCell ref="MGD1:MGU1"/>
    <mergeCell ref="MGV1:MHM1"/>
    <mergeCell ref="MHN1:MIE1"/>
    <mergeCell ref="MIF1:MIW1"/>
    <mergeCell ref="MIX1:MJO1"/>
    <mergeCell ref="MJP1:MKG1"/>
    <mergeCell ref="MBZ1:MCQ1"/>
    <mergeCell ref="MCR1:MDI1"/>
    <mergeCell ref="MDJ1:MEA1"/>
    <mergeCell ref="MEB1:MES1"/>
    <mergeCell ref="MET1:MFK1"/>
    <mergeCell ref="MFL1:MGC1"/>
    <mergeCell ref="LXV1:LYM1"/>
    <mergeCell ref="LYN1:LZE1"/>
    <mergeCell ref="LZF1:LZW1"/>
    <mergeCell ref="LZX1:MAO1"/>
    <mergeCell ref="MAP1:MBG1"/>
    <mergeCell ref="MBH1:MBY1"/>
    <mergeCell ref="LTR1:LUI1"/>
    <mergeCell ref="LUJ1:LVA1"/>
    <mergeCell ref="LVB1:LVS1"/>
    <mergeCell ref="LVT1:LWK1"/>
    <mergeCell ref="LWL1:LXC1"/>
    <mergeCell ref="LXD1:LXU1"/>
    <mergeCell ref="LPN1:LQE1"/>
    <mergeCell ref="LQF1:LQW1"/>
    <mergeCell ref="LQX1:LRO1"/>
    <mergeCell ref="LRP1:LSG1"/>
    <mergeCell ref="LSH1:LSY1"/>
    <mergeCell ref="LSZ1:LTQ1"/>
    <mergeCell ref="LLJ1:LMA1"/>
    <mergeCell ref="LMB1:LMS1"/>
    <mergeCell ref="LMT1:LNK1"/>
    <mergeCell ref="LNL1:LOC1"/>
    <mergeCell ref="LOD1:LOU1"/>
    <mergeCell ref="LOV1:LPM1"/>
    <mergeCell ref="LHF1:LHW1"/>
    <mergeCell ref="LHX1:LIO1"/>
    <mergeCell ref="LIP1:LJG1"/>
    <mergeCell ref="LJH1:LJY1"/>
    <mergeCell ref="LJZ1:LKQ1"/>
    <mergeCell ref="LKR1:LLI1"/>
    <mergeCell ref="LDB1:LDS1"/>
    <mergeCell ref="LDT1:LEK1"/>
    <mergeCell ref="LEL1:LFC1"/>
    <mergeCell ref="LFD1:LFU1"/>
    <mergeCell ref="LFV1:LGM1"/>
    <mergeCell ref="LGN1:LHE1"/>
    <mergeCell ref="KYX1:KZO1"/>
    <mergeCell ref="KZP1:LAG1"/>
    <mergeCell ref="LAH1:LAY1"/>
    <mergeCell ref="LAZ1:LBQ1"/>
    <mergeCell ref="LBR1:LCI1"/>
    <mergeCell ref="LCJ1:LDA1"/>
    <mergeCell ref="KUT1:KVK1"/>
    <mergeCell ref="KVL1:KWC1"/>
    <mergeCell ref="KWD1:KWU1"/>
    <mergeCell ref="KWV1:KXM1"/>
    <mergeCell ref="KXN1:KYE1"/>
    <mergeCell ref="KYF1:KYW1"/>
    <mergeCell ref="KQP1:KRG1"/>
    <mergeCell ref="KRH1:KRY1"/>
    <mergeCell ref="KRZ1:KSQ1"/>
    <mergeCell ref="KSR1:KTI1"/>
    <mergeCell ref="KTJ1:KUA1"/>
    <mergeCell ref="KUB1:KUS1"/>
    <mergeCell ref="KML1:KNC1"/>
    <mergeCell ref="KND1:KNU1"/>
    <mergeCell ref="KNV1:KOM1"/>
    <mergeCell ref="KON1:KPE1"/>
    <mergeCell ref="KPF1:KPW1"/>
    <mergeCell ref="KPX1:KQO1"/>
    <mergeCell ref="KIH1:KIY1"/>
    <mergeCell ref="KIZ1:KJQ1"/>
    <mergeCell ref="KJR1:KKI1"/>
    <mergeCell ref="KKJ1:KLA1"/>
    <mergeCell ref="KLB1:KLS1"/>
    <mergeCell ref="KLT1:KMK1"/>
    <mergeCell ref="KED1:KEU1"/>
    <mergeCell ref="KEV1:KFM1"/>
    <mergeCell ref="KFN1:KGE1"/>
    <mergeCell ref="KGF1:KGW1"/>
    <mergeCell ref="KGX1:KHO1"/>
    <mergeCell ref="KHP1:KIG1"/>
    <mergeCell ref="JZZ1:KAQ1"/>
    <mergeCell ref="KAR1:KBI1"/>
    <mergeCell ref="KBJ1:KCA1"/>
    <mergeCell ref="KCB1:KCS1"/>
    <mergeCell ref="KCT1:KDK1"/>
    <mergeCell ref="KDL1:KEC1"/>
    <mergeCell ref="JVV1:JWM1"/>
    <mergeCell ref="JWN1:JXE1"/>
    <mergeCell ref="JXF1:JXW1"/>
    <mergeCell ref="JXX1:JYO1"/>
    <mergeCell ref="JYP1:JZG1"/>
    <mergeCell ref="JZH1:JZY1"/>
    <mergeCell ref="JRR1:JSI1"/>
    <mergeCell ref="JSJ1:JTA1"/>
    <mergeCell ref="JTB1:JTS1"/>
    <mergeCell ref="JTT1:JUK1"/>
    <mergeCell ref="JUL1:JVC1"/>
    <mergeCell ref="JVD1:JVU1"/>
    <mergeCell ref="JNN1:JOE1"/>
    <mergeCell ref="JOF1:JOW1"/>
    <mergeCell ref="JOX1:JPO1"/>
    <mergeCell ref="JPP1:JQG1"/>
    <mergeCell ref="JQH1:JQY1"/>
    <mergeCell ref="JQZ1:JRQ1"/>
    <mergeCell ref="JJJ1:JKA1"/>
    <mergeCell ref="JKB1:JKS1"/>
    <mergeCell ref="JKT1:JLK1"/>
    <mergeCell ref="JLL1:JMC1"/>
    <mergeCell ref="JMD1:JMU1"/>
    <mergeCell ref="JMV1:JNM1"/>
    <mergeCell ref="JFF1:JFW1"/>
    <mergeCell ref="JFX1:JGO1"/>
    <mergeCell ref="JGP1:JHG1"/>
    <mergeCell ref="JHH1:JHY1"/>
    <mergeCell ref="JHZ1:JIQ1"/>
    <mergeCell ref="JIR1:JJI1"/>
    <mergeCell ref="JBB1:JBS1"/>
    <mergeCell ref="JBT1:JCK1"/>
    <mergeCell ref="JCL1:JDC1"/>
    <mergeCell ref="JDD1:JDU1"/>
    <mergeCell ref="JDV1:JEM1"/>
    <mergeCell ref="JEN1:JFE1"/>
    <mergeCell ref="IWX1:IXO1"/>
    <mergeCell ref="IXP1:IYG1"/>
    <mergeCell ref="IYH1:IYY1"/>
    <mergeCell ref="IYZ1:IZQ1"/>
    <mergeCell ref="IZR1:JAI1"/>
    <mergeCell ref="JAJ1:JBA1"/>
    <mergeCell ref="IST1:ITK1"/>
    <mergeCell ref="ITL1:IUC1"/>
    <mergeCell ref="IUD1:IUU1"/>
    <mergeCell ref="IUV1:IVM1"/>
    <mergeCell ref="IVN1:IWE1"/>
    <mergeCell ref="IWF1:IWW1"/>
    <mergeCell ref="IOP1:IPG1"/>
    <mergeCell ref="IPH1:IPY1"/>
    <mergeCell ref="IPZ1:IQQ1"/>
    <mergeCell ref="IQR1:IRI1"/>
    <mergeCell ref="IRJ1:ISA1"/>
    <mergeCell ref="ISB1:ISS1"/>
    <mergeCell ref="IKL1:ILC1"/>
    <mergeCell ref="ILD1:ILU1"/>
    <mergeCell ref="ILV1:IMM1"/>
    <mergeCell ref="IMN1:INE1"/>
    <mergeCell ref="INF1:INW1"/>
    <mergeCell ref="INX1:IOO1"/>
    <mergeCell ref="IGH1:IGY1"/>
    <mergeCell ref="IGZ1:IHQ1"/>
    <mergeCell ref="IHR1:III1"/>
    <mergeCell ref="IIJ1:IJA1"/>
    <mergeCell ref="IJB1:IJS1"/>
    <mergeCell ref="IJT1:IKK1"/>
    <mergeCell ref="ICD1:ICU1"/>
    <mergeCell ref="ICV1:IDM1"/>
    <mergeCell ref="IDN1:IEE1"/>
    <mergeCell ref="IEF1:IEW1"/>
    <mergeCell ref="IEX1:IFO1"/>
    <mergeCell ref="IFP1:IGG1"/>
    <mergeCell ref="HXZ1:HYQ1"/>
    <mergeCell ref="HYR1:HZI1"/>
    <mergeCell ref="HZJ1:IAA1"/>
    <mergeCell ref="IAB1:IAS1"/>
    <mergeCell ref="IAT1:IBK1"/>
    <mergeCell ref="IBL1:ICC1"/>
    <mergeCell ref="HTV1:HUM1"/>
    <mergeCell ref="HUN1:HVE1"/>
    <mergeCell ref="HVF1:HVW1"/>
    <mergeCell ref="HVX1:HWO1"/>
    <mergeCell ref="HWP1:HXG1"/>
    <mergeCell ref="HXH1:HXY1"/>
    <mergeCell ref="HPR1:HQI1"/>
    <mergeCell ref="HQJ1:HRA1"/>
    <mergeCell ref="HRB1:HRS1"/>
    <mergeCell ref="HRT1:HSK1"/>
    <mergeCell ref="HSL1:HTC1"/>
    <mergeCell ref="HTD1:HTU1"/>
    <mergeCell ref="HLN1:HME1"/>
    <mergeCell ref="HMF1:HMW1"/>
    <mergeCell ref="HMX1:HNO1"/>
    <mergeCell ref="HNP1:HOG1"/>
    <mergeCell ref="HOH1:HOY1"/>
    <mergeCell ref="HOZ1:HPQ1"/>
    <mergeCell ref="HHJ1:HIA1"/>
    <mergeCell ref="HIB1:HIS1"/>
    <mergeCell ref="HIT1:HJK1"/>
    <mergeCell ref="HJL1:HKC1"/>
    <mergeCell ref="HKD1:HKU1"/>
    <mergeCell ref="HKV1:HLM1"/>
    <mergeCell ref="HDF1:HDW1"/>
    <mergeCell ref="HDX1:HEO1"/>
    <mergeCell ref="HEP1:HFG1"/>
    <mergeCell ref="HFH1:HFY1"/>
    <mergeCell ref="HFZ1:HGQ1"/>
    <mergeCell ref="HGR1:HHI1"/>
    <mergeCell ref="GZB1:GZS1"/>
    <mergeCell ref="GZT1:HAK1"/>
    <mergeCell ref="HAL1:HBC1"/>
    <mergeCell ref="HBD1:HBU1"/>
    <mergeCell ref="HBV1:HCM1"/>
    <mergeCell ref="HCN1:HDE1"/>
    <mergeCell ref="GUX1:GVO1"/>
    <mergeCell ref="GVP1:GWG1"/>
    <mergeCell ref="GWH1:GWY1"/>
    <mergeCell ref="GWZ1:GXQ1"/>
    <mergeCell ref="GXR1:GYI1"/>
    <mergeCell ref="GYJ1:GZA1"/>
    <mergeCell ref="GQT1:GRK1"/>
    <mergeCell ref="GRL1:GSC1"/>
    <mergeCell ref="GSD1:GSU1"/>
    <mergeCell ref="GSV1:GTM1"/>
    <mergeCell ref="GTN1:GUE1"/>
    <mergeCell ref="GUF1:GUW1"/>
    <mergeCell ref="GMP1:GNG1"/>
    <mergeCell ref="GNH1:GNY1"/>
    <mergeCell ref="GNZ1:GOQ1"/>
    <mergeCell ref="GOR1:GPI1"/>
    <mergeCell ref="GPJ1:GQA1"/>
    <mergeCell ref="GQB1:GQS1"/>
    <mergeCell ref="GIL1:GJC1"/>
    <mergeCell ref="GJD1:GJU1"/>
    <mergeCell ref="GJV1:GKM1"/>
    <mergeCell ref="GKN1:GLE1"/>
    <mergeCell ref="GLF1:GLW1"/>
    <mergeCell ref="GLX1:GMO1"/>
    <mergeCell ref="GEH1:GEY1"/>
    <mergeCell ref="GEZ1:GFQ1"/>
    <mergeCell ref="GFR1:GGI1"/>
    <mergeCell ref="GGJ1:GHA1"/>
    <mergeCell ref="GHB1:GHS1"/>
    <mergeCell ref="GHT1:GIK1"/>
    <mergeCell ref="GAD1:GAU1"/>
    <mergeCell ref="GAV1:GBM1"/>
    <mergeCell ref="GBN1:GCE1"/>
    <mergeCell ref="GCF1:GCW1"/>
    <mergeCell ref="GCX1:GDO1"/>
    <mergeCell ref="GDP1:GEG1"/>
    <mergeCell ref="FVZ1:FWQ1"/>
    <mergeCell ref="FWR1:FXI1"/>
    <mergeCell ref="FXJ1:FYA1"/>
    <mergeCell ref="FYB1:FYS1"/>
    <mergeCell ref="FYT1:FZK1"/>
    <mergeCell ref="FZL1:GAC1"/>
    <mergeCell ref="FRV1:FSM1"/>
    <mergeCell ref="FSN1:FTE1"/>
    <mergeCell ref="FTF1:FTW1"/>
    <mergeCell ref="FTX1:FUO1"/>
    <mergeCell ref="FUP1:FVG1"/>
    <mergeCell ref="FVH1:FVY1"/>
    <mergeCell ref="FNR1:FOI1"/>
    <mergeCell ref="FOJ1:FPA1"/>
    <mergeCell ref="FPB1:FPS1"/>
    <mergeCell ref="FPT1:FQK1"/>
    <mergeCell ref="FQL1:FRC1"/>
    <mergeCell ref="FRD1:FRU1"/>
    <mergeCell ref="FJN1:FKE1"/>
    <mergeCell ref="FKF1:FKW1"/>
    <mergeCell ref="FKX1:FLO1"/>
    <mergeCell ref="FLP1:FMG1"/>
    <mergeCell ref="FMH1:FMY1"/>
    <mergeCell ref="FMZ1:FNQ1"/>
    <mergeCell ref="FFJ1:FGA1"/>
    <mergeCell ref="FGB1:FGS1"/>
    <mergeCell ref="FGT1:FHK1"/>
    <mergeCell ref="FHL1:FIC1"/>
    <mergeCell ref="FID1:FIU1"/>
    <mergeCell ref="FIV1:FJM1"/>
    <mergeCell ref="FBF1:FBW1"/>
    <mergeCell ref="FBX1:FCO1"/>
    <mergeCell ref="FCP1:FDG1"/>
    <mergeCell ref="FDH1:FDY1"/>
    <mergeCell ref="FDZ1:FEQ1"/>
    <mergeCell ref="FER1:FFI1"/>
    <mergeCell ref="EXB1:EXS1"/>
    <mergeCell ref="EXT1:EYK1"/>
    <mergeCell ref="EYL1:EZC1"/>
    <mergeCell ref="EZD1:EZU1"/>
    <mergeCell ref="EZV1:FAM1"/>
    <mergeCell ref="FAN1:FBE1"/>
    <mergeCell ref="ESX1:ETO1"/>
    <mergeCell ref="ETP1:EUG1"/>
    <mergeCell ref="EUH1:EUY1"/>
    <mergeCell ref="EUZ1:EVQ1"/>
    <mergeCell ref="EVR1:EWI1"/>
    <mergeCell ref="EWJ1:EXA1"/>
    <mergeCell ref="EOT1:EPK1"/>
    <mergeCell ref="EPL1:EQC1"/>
    <mergeCell ref="EQD1:EQU1"/>
    <mergeCell ref="EQV1:ERM1"/>
    <mergeCell ref="ERN1:ESE1"/>
    <mergeCell ref="ESF1:ESW1"/>
    <mergeCell ref="EKP1:ELG1"/>
    <mergeCell ref="ELH1:ELY1"/>
    <mergeCell ref="ELZ1:EMQ1"/>
    <mergeCell ref="EMR1:ENI1"/>
    <mergeCell ref="ENJ1:EOA1"/>
    <mergeCell ref="EOB1:EOS1"/>
    <mergeCell ref="EGL1:EHC1"/>
    <mergeCell ref="EHD1:EHU1"/>
    <mergeCell ref="EHV1:EIM1"/>
    <mergeCell ref="EIN1:EJE1"/>
    <mergeCell ref="EJF1:EJW1"/>
    <mergeCell ref="EJX1:EKO1"/>
    <mergeCell ref="ECH1:ECY1"/>
    <mergeCell ref="ECZ1:EDQ1"/>
    <mergeCell ref="EDR1:EEI1"/>
    <mergeCell ref="EEJ1:EFA1"/>
    <mergeCell ref="EFB1:EFS1"/>
    <mergeCell ref="EFT1:EGK1"/>
    <mergeCell ref="DYD1:DYU1"/>
    <mergeCell ref="DYV1:DZM1"/>
    <mergeCell ref="DZN1:EAE1"/>
    <mergeCell ref="EAF1:EAW1"/>
    <mergeCell ref="EAX1:EBO1"/>
    <mergeCell ref="EBP1:ECG1"/>
    <mergeCell ref="DTZ1:DUQ1"/>
    <mergeCell ref="DUR1:DVI1"/>
    <mergeCell ref="DVJ1:DWA1"/>
    <mergeCell ref="DWB1:DWS1"/>
    <mergeCell ref="DWT1:DXK1"/>
    <mergeCell ref="DXL1:DYC1"/>
    <mergeCell ref="DPV1:DQM1"/>
    <mergeCell ref="DQN1:DRE1"/>
    <mergeCell ref="DRF1:DRW1"/>
    <mergeCell ref="DRX1:DSO1"/>
    <mergeCell ref="DSP1:DTG1"/>
    <mergeCell ref="DTH1:DTY1"/>
    <mergeCell ref="DLR1:DMI1"/>
    <mergeCell ref="DMJ1:DNA1"/>
    <mergeCell ref="DNB1:DNS1"/>
    <mergeCell ref="DNT1:DOK1"/>
    <mergeCell ref="DOL1:DPC1"/>
    <mergeCell ref="DPD1:DPU1"/>
    <mergeCell ref="DHN1:DIE1"/>
    <mergeCell ref="DIF1:DIW1"/>
    <mergeCell ref="DIX1:DJO1"/>
    <mergeCell ref="DJP1:DKG1"/>
    <mergeCell ref="DKH1:DKY1"/>
    <mergeCell ref="DKZ1:DLQ1"/>
    <mergeCell ref="DDJ1:DEA1"/>
    <mergeCell ref="DEB1:DES1"/>
    <mergeCell ref="DET1:DFK1"/>
    <mergeCell ref="DFL1:DGC1"/>
    <mergeCell ref="DGD1:DGU1"/>
    <mergeCell ref="DGV1:DHM1"/>
    <mergeCell ref="CZF1:CZW1"/>
    <mergeCell ref="CZX1:DAO1"/>
    <mergeCell ref="DAP1:DBG1"/>
    <mergeCell ref="DBH1:DBY1"/>
    <mergeCell ref="DBZ1:DCQ1"/>
    <mergeCell ref="DCR1:DDI1"/>
    <mergeCell ref="CVB1:CVS1"/>
    <mergeCell ref="CVT1:CWK1"/>
    <mergeCell ref="CWL1:CXC1"/>
    <mergeCell ref="CXD1:CXU1"/>
    <mergeCell ref="CXV1:CYM1"/>
    <mergeCell ref="CYN1:CZE1"/>
    <mergeCell ref="CQX1:CRO1"/>
    <mergeCell ref="CRP1:CSG1"/>
    <mergeCell ref="CSH1:CSY1"/>
    <mergeCell ref="CSZ1:CTQ1"/>
    <mergeCell ref="CTR1:CUI1"/>
    <mergeCell ref="CUJ1:CVA1"/>
    <mergeCell ref="CMT1:CNK1"/>
    <mergeCell ref="CNL1:COC1"/>
    <mergeCell ref="COD1:COU1"/>
    <mergeCell ref="COV1:CPM1"/>
    <mergeCell ref="CPN1:CQE1"/>
    <mergeCell ref="CQF1:CQW1"/>
    <mergeCell ref="CIP1:CJG1"/>
    <mergeCell ref="CJH1:CJY1"/>
    <mergeCell ref="CJZ1:CKQ1"/>
    <mergeCell ref="CKR1:CLI1"/>
    <mergeCell ref="CLJ1:CMA1"/>
    <mergeCell ref="CMB1:CMS1"/>
    <mergeCell ref="CEL1:CFC1"/>
    <mergeCell ref="CFD1:CFU1"/>
    <mergeCell ref="CFV1:CGM1"/>
    <mergeCell ref="CGN1:CHE1"/>
    <mergeCell ref="CHF1:CHW1"/>
    <mergeCell ref="CHX1:CIO1"/>
    <mergeCell ref="CAH1:CAY1"/>
    <mergeCell ref="CAZ1:CBQ1"/>
    <mergeCell ref="CBR1:CCI1"/>
    <mergeCell ref="CCJ1:CDA1"/>
    <mergeCell ref="CDB1:CDS1"/>
    <mergeCell ref="CDT1:CEK1"/>
    <mergeCell ref="BWD1:BWU1"/>
    <mergeCell ref="BWV1:BXM1"/>
    <mergeCell ref="BXN1:BYE1"/>
    <mergeCell ref="BYF1:BYW1"/>
    <mergeCell ref="BYX1:BZO1"/>
    <mergeCell ref="BZP1:CAG1"/>
    <mergeCell ref="BRZ1:BSQ1"/>
    <mergeCell ref="BSR1:BTI1"/>
    <mergeCell ref="BTJ1:BUA1"/>
    <mergeCell ref="BUB1:BUS1"/>
    <mergeCell ref="BUT1:BVK1"/>
    <mergeCell ref="BVL1:BWC1"/>
    <mergeCell ref="BNV1:BOM1"/>
    <mergeCell ref="BON1:BPE1"/>
    <mergeCell ref="BPF1:BPW1"/>
    <mergeCell ref="BPX1:BQO1"/>
    <mergeCell ref="BQP1:BRG1"/>
    <mergeCell ref="BRH1:BRY1"/>
    <mergeCell ref="BJR1:BKI1"/>
    <mergeCell ref="BKJ1:BLA1"/>
    <mergeCell ref="BLB1:BLS1"/>
    <mergeCell ref="BLT1:BMK1"/>
    <mergeCell ref="BML1:BNC1"/>
    <mergeCell ref="BND1:BNU1"/>
    <mergeCell ref="BFN1:BGE1"/>
    <mergeCell ref="BGF1:BGW1"/>
    <mergeCell ref="BGX1:BHO1"/>
    <mergeCell ref="BHP1:BIG1"/>
    <mergeCell ref="BIH1:BIY1"/>
    <mergeCell ref="BIZ1:BJQ1"/>
    <mergeCell ref="BBJ1:BCA1"/>
    <mergeCell ref="BCB1:BCS1"/>
    <mergeCell ref="BCT1:BDK1"/>
    <mergeCell ref="BDL1:BEC1"/>
    <mergeCell ref="BED1:BEU1"/>
    <mergeCell ref="BEV1:BFM1"/>
    <mergeCell ref="AXF1:AXW1"/>
    <mergeCell ref="AXX1:AYO1"/>
    <mergeCell ref="AYP1:AZG1"/>
    <mergeCell ref="AZH1:AZY1"/>
    <mergeCell ref="AZZ1:BAQ1"/>
    <mergeCell ref="BAR1:BBI1"/>
    <mergeCell ref="ATB1:ATS1"/>
    <mergeCell ref="ATT1:AUK1"/>
    <mergeCell ref="AUL1:AVC1"/>
    <mergeCell ref="AVD1:AVU1"/>
    <mergeCell ref="AVV1:AWM1"/>
    <mergeCell ref="AWN1:AXE1"/>
    <mergeCell ref="AOX1:APO1"/>
    <mergeCell ref="APP1:AQG1"/>
    <mergeCell ref="AQH1:AQY1"/>
    <mergeCell ref="AQZ1:ARQ1"/>
    <mergeCell ref="ARR1:ASI1"/>
    <mergeCell ref="ASJ1:ATA1"/>
    <mergeCell ref="AKT1:ALK1"/>
    <mergeCell ref="ALL1:AMC1"/>
    <mergeCell ref="AMD1:AMU1"/>
    <mergeCell ref="AMV1:ANM1"/>
    <mergeCell ref="ANN1:AOE1"/>
    <mergeCell ref="AOF1:AOW1"/>
    <mergeCell ref="AGP1:AHG1"/>
    <mergeCell ref="AHH1:AHY1"/>
    <mergeCell ref="AHZ1:AIQ1"/>
    <mergeCell ref="AIR1:AJI1"/>
    <mergeCell ref="AJJ1:AKA1"/>
    <mergeCell ref="AKB1:AKS1"/>
    <mergeCell ref="ACL1:ADC1"/>
    <mergeCell ref="ADD1:ADU1"/>
    <mergeCell ref="ADV1:AEM1"/>
    <mergeCell ref="AEN1:AFE1"/>
    <mergeCell ref="AFF1:AFW1"/>
    <mergeCell ref="AFX1:AGO1"/>
    <mergeCell ref="YH1:YY1"/>
    <mergeCell ref="YZ1:ZQ1"/>
    <mergeCell ref="ZR1:AAI1"/>
    <mergeCell ref="AAJ1:ABA1"/>
    <mergeCell ref="ABB1:ABS1"/>
    <mergeCell ref="ABT1:ACK1"/>
    <mergeCell ref="UD1:UU1"/>
    <mergeCell ref="UV1:VM1"/>
    <mergeCell ref="VN1:WE1"/>
    <mergeCell ref="WF1:WW1"/>
    <mergeCell ref="WX1:XO1"/>
    <mergeCell ref="XP1:YG1"/>
    <mergeCell ref="PZ1:QQ1"/>
    <mergeCell ref="QR1:RI1"/>
    <mergeCell ref="RJ1:SA1"/>
    <mergeCell ref="SB1:SS1"/>
    <mergeCell ref="ST1:TK1"/>
    <mergeCell ref="TL1:UC1"/>
    <mergeCell ref="LV1:MM1"/>
    <mergeCell ref="MN1:NE1"/>
    <mergeCell ref="NF1:NW1"/>
    <mergeCell ref="NX1:OO1"/>
    <mergeCell ref="OP1:PG1"/>
    <mergeCell ref="PH1:PY1"/>
    <mergeCell ref="HR1:II1"/>
    <mergeCell ref="IJ1:JA1"/>
    <mergeCell ref="JB1:JS1"/>
    <mergeCell ref="JT1:KK1"/>
    <mergeCell ref="KL1:LC1"/>
    <mergeCell ref="LD1:LU1"/>
    <mergeCell ref="A8:G8"/>
    <mergeCell ref="DN1:EE1"/>
    <mergeCell ref="EF1:EW1"/>
    <mergeCell ref="EX1:FO1"/>
    <mergeCell ref="FP1:GG1"/>
    <mergeCell ref="GH1:GY1"/>
    <mergeCell ref="GZ1:HQ1"/>
    <mergeCell ref="J1:AA1"/>
    <mergeCell ref="AB1:AS1"/>
    <mergeCell ref="AT1:BK1"/>
    <mergeCell ref="BL1:CC1"/>
    <mergeCell ref="CD1:CU1"/>
    <mergeCell ref="CV1:DM1"/>
    <mergeCell ref="A6:G6"/>
  </mergeCells>
  <conditionalFormatting sqref="A12:A27">
    <cfRule type="containsBlanks" dxfId="125" priority="1" stopIfTrue="1">
      <formula>LEN(TRIM(A12))=0</formula>
    </cfRule>
    <cfRule type="expression" dxfId="124" priority="2">
      <formula>AND(A12&lt;&gt;201, A12&lt;&gt;202, A12&lt;&gt;203, A12&lt;&gt;204, A12&lt;&gt;205, A12&lt;&gt;206, A12&lt;&gt;207)</formula>
    </cfRule>
  </conditionalFormatting>
  <conditionalFormatting sqref="B12:B27">
    <cfRule type="containsBlanks" priority="3" stopIfTrue="1">
      <formula>LEN(TRIM(B12))=0</formula>
    </cfRule>
    <cfRule type="expression" dxfId="123" priority="4" stopIfTrue="1">
      <formula>ISNUMBER(B12)=FALSE</formula>
    </cfRule>
    <cfRule type="expression" dxfId="122" priority="5">
      <formula>AND(B12&lt;&gt;2024, B12&lt;&gt;2025)</formula>
    </cfRule>
  </conditionalFormatting>
  <conditionalFormatting sqref="C12:C27">
    <cfRule type="containsBlanks" dxfId="121" priority="6" stopIfTrue="1">
      <formula>LEN(TRIM(C12))=0</formula>
    </cfRule>
    <cfRule type="expression" dxfId="120" priority="7">
      <formula>AND(C12&lt;&gt;1, C12&lt;&gt;2, C12&lt;&gt;3, C12&lt;&gt;4, C12&lt;&gt;5, C12&lt;&gt;6, C12&lt;&gt;7, C12&lt;&gt;8)</formula>
    </cfRule>
  </conditionalFormatting>
  <conditionalFormatting sqref="D12:F27">
    <cfRule type="containsBlanks" priority="8" stopIfTrue="1">
      <formula>LEN(TRIM(D12))=0</formula>
    </cfRule>
    <cfRule type="expression" dxfId="119" priority="9" stopIfTrue="1">
      <formula>ISNUMBER(D12)=FALSE</formula>
    </cfRule>
    <cfRule type="cellIs" dxfId="118" priority="10" stopIfTrue="1" operator="greaterThan">
      <formula>0</formula>
    </cfRule>
  </conditionalFormatting>
  <dataValidations count="2">
    <dataValidation type="decimal" operator="lessThanOrEqual" allowBlank="1" showInputMessage="1" showErrorMessage="1" error="Input must be a negative number" promptTitle="Input optional" prompt="Enter negative number if RX04 and RX05 are blank; if RX04 and RX05 have values leave this field blank" sqref="F12:F27" xr:uid="{B3A9327F-F09B-4C57-B88A-5BED88E80062}">
      <formula1>0</formula1>
    </dataValidation>
    <dataValidation type="decimal" operator="lessThanOrEqual" allowBlank="1" showInputMessage="1" showErrorMessage="1" error="Input must be a negative number" promptTitle="Input optional" prompt="Enter negative number if separate medical and retail pharmacy rebates are available" sqref="D12:E27" xr:uid="{46388BF9-F3B3-46BA-9F59-156B824E1713}">
      <formula1>0</formula1>
    </dataValidation>
  </dataValidations>
  <pageMargins left="0.7" right="0.7" top="0.75" bottom="0.75" header="0.3" footer="0.3"/>
  <pageSetup scale="59" orientation="landscape" r:id="rId1"/>
  <headerFooter>
    <oddFooter>&amp;L&amp;"-,Bold"Carrier Benchmark Data Submission Template&amp;"-,Regular" | NJ Hart Program&amp;RPage &amp;P</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promptTitle="Input required" prompt="Input must be an option from the drop down list." xr:uid="{A5C93976-8680-40F9-BC82-8E8635A88CD6}">
          <x14:formula1>
            <xm:f>'Reference Tables'!$A$21:$A$28</xm:f>
          </x14:formula1>
          <xm:sqref>C12:C27</xm:sqref>
        </x14:dataValidation>
        <x14:dataValidation type="list" allowBlank="1" showInputMessage="1" showErrorMessage="1" errorTitle="Invalid input" error="Select option from the drop down list" promptTitle="Input required" prompt="Input must be an option from the drop down list" xr:uid="{33A61143-1146-4510-BA55-47E5D6DEDD8B}">
          <x14:formula1>
            <xm:f>'Reference Tables'!$A$16:$A$17</xm:f>
          </x14:formula1>
          <xm:sqref>B12:B27</xm:sqref>
        </x14:dataValidation>
        <x14:dataValidation type="list" allowBlank="1" showInputMessage="1" showErrorMessage="1" promptTitle="Input required" prompt="Input must align with the Insurer Code in the file name and the Insurer Name on the Cover Page tab" xr:uid="{B46B8B77-1037-4B38-87C6-4E83E9FE6FAF}">
          <x14:formula1>
            <xm:f>'Reference Tables'!$A$6:$A$12</xm:f>
          </x14:formula1>
          <xm:sqref>A12:A27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1906A-ED88-454F-8E1C-3E250F25F233}">
  <sheetPr>
    <tabColor theme="9" tint="0.39997558519241921"/>
    <pageSetUpPr fitToPage="1"/>
  </sheetPr>
  <dimension ref="A1:G65"/>
  <sheetViews>
    <sheetView showGridLines="0" zoomScale="70" zoomScaleNormal="70" workbookViewId="0">
      <selection activeCell="C17" sqref="C17:C24"/>
    </sheetView>
  </sheetViews>
  <sheetFormatPr defaultColWidth="28.69921875" defaultRowHeight="16.8" x14ac:dyDescent="0.4"/>
  <cols>
    <col min="1" max="1" width="9.59765625" style="11" customWidth="1"/>
    <col min="2" max="2" width="71.69921875" style="11" customWidth="1"/>
    <col min="3" max="3" width="87.59765625" style="11" customWidth="1"/>
    <col min="4" max="4" width="56.5" style="11" customWidth="1"/>
    <col min="5" max="5" width="6.8984375" style="11" customWidth="1"/>
    <col min="6" max="6" width="77.19921875" style="11" customWidth="1"/>
    <col min="7" max="16384" width="28.69921875" style="11"/>
  </cols>
  <sheetData>
    <row r="1" spans="1:7" s="10" customFormat="1" ht="20.399999999999999" x14ac:dyDescent="0.45">
      <c r="A1" s="9" t="s">
        <v>38</v>
      </c>
      <c r="B1" s="9"/>
      <c r="C1" s="9"/>
      <c r="D1" s="1"/>
      <c r="E1" s="1"/>
    </row>
    <row r="2" spans="1:7" s="10" customFormat="1" ht="20.399999999999999" x14ac:dyDescent="0.45">
      <c r="A2" s="44" t="s">
        <v>250</v>
      </c>
      <c r="B2" s="9"/>
      <c r="C2" s="9"/>
      <c r="D2" s="1"/>
      <c r="E2" s="1"/>
    </row>
    <row r="3" spans="1:7" s="10" customFormat="1" ht="20.399999999999999" x14ac:dyDescent="0.45">
      <c r="A3" s="44"/>
      <c r="B3" s="9"/>
      <c r="C3" s="9"/>
      <c r="D3" s="1"/>
      <c r="E3" s="1"/>
    </row>
    <row r="4" spans="1:7" s="10" customFormat="1" x14ac:dyDescent="0.4">
      <c r="A4" s="28" t="s">
        <v>122</v>
      </c>
      <c r="B4" s="27"/>
      <c r="C4" s="260"/>
      <c r="D4" s="260"/>
      <c r="E4" s="260"/>
      <c r="F4" s="313"/>
    </row>
    <row r="5" spans="1:7" s="10" customFormat="1" x14ac:dyDescent="0.4">
      <c r="A5" s="45" t="s">
        <v>123</v>
      </c>
      <c r="B5" s="30"/>
      <c r="C5" s="30"/>
      <c r="D5" s="265"/>
      <c r="E5" s="1"/>
    </row>
    <row r="6" spans="1:7" s="10" customFormat="1" x14ac:dyDescent="0.4">
      <c r="A6" s="617" t="s">
        <v>251</v>
      </c>
      <c r="B6" s="617"/>
      <c r="C6" s="617"/>
      <c r="D6" s="617"/>
      <c r="E6" s="1"/>
    </row>
    <row r="7" spans="1:7" s="10" customFormat="1" ht="15" customHeight="1" x14ac:dyDescent="0.4">
      <c r="A7" s="32" t="s">
        <v>252</v>
      </c>
      <c r="B7" s="305"/>
      <c r="C7" s="305"/>
      <c r="D7" s="305"/>
      <c r="E7" s="26"/>
      <c r="F7" s="46"/>
      <c r="G7" s="46"/>
    </row>
    <row r="8" spans="1:7" s="10" customFormat="1" x14ac:dyDescent="0.4">
      <c r="A8" s="29"/>
      <c r="B8" s="27"/>
      <c r="C8" s="27"/>
      <c r="D8" s="1"/>
      <c r="E8" s="1"/>
    </row>
    <row r="9" spans="1:7" s="10" customFormat="1" x14ac:dyDescent="0.4">
      <c r="A9" s="1"/>
      <c r="B9" s="1"/>
      <c r="C9" s="1"/>
      <c r="D9" s="1"/>
      <c r="E9" s="1"/>
    </row>
    <row r="10" spans="1:7" s="10" customFormat="1" x14ac:dyDescent="0.4">
      <c r="A10" s="63"/>
      <c r="B10" s="4" t="s">
        <v>253</v>
      </c>
      <c r="C10" s="1"/>
      <c r="D10" s="1"/>
      <c r="E10" s="1"/>
    </row>
    <row r="11" spans="1:7" s="10" customFormat="1" x14ac:dyDescent="0.4">
      <c r="A11" s="28"/>
      <c r="B11" s="1" t="s">
        <v>254</v>
      </c>
      <c r="C11" s="1"/>
      <c r="D11" s="1"/>
      <c r="E11" s="1"/>
    </row>
    <row r="12" spans="1:7" s="10" customFormat="1" x14ac:dyDescent="0.4">
      <c r="A12" s="63" t="s">
        <v>255</v>
      </c>
      <c r="B12" s="314" t="s">
        <v>256</v>
      </c>
      <c r="C12"/>
      <c r="D12" s="1"/>
      <c r="E12" s="1"/>
    </row>
    <row r="13" spans="1:7" s="10" customFormat="1" x14ac:dyDescent="0.4">
      <c r="A13" s="63" t="s">
        <v>257</v>
      </c>
      <c r="B13" s="315" t="s">
        <v>258</v>
      </c>
      <c r="C13" s="369"/>
      <c r="D13" s="1"/>
      <c r="E13" s="1"/>
    </row>
    <row r="14" spans="1:7" s="10" customFormat="1" x14ac:dyDescent="0.4">
      <c r="A14" s="4"/>
      <c r="B14" s="4"/>
      <c r="C14" s="4"/>
      <c r="D14" s="1"/>
      <c r="E14" s="1"/>
    </row>
    <row r="15" spans="1:7" s="10" customFormat="1" x14ac:dyDescent="0.4">
      <c r="A15" s="1"/>
      <c r="B15" s="4" t="s">
        <v>259</v>
      </c>
      <c r="C15" s="1"/>
      <c r="D15" s="1"/>
      <c r="E15" s="1"/>
    </row>
    <row r="16" spans="1:7" s="10" customFormat="1" x14ac:dyDescent="0.4">
      <c r="A16" s="1"/>
      <c r="B16" s="57" t="s">
        <v>260</v>
      </c>
      <c r="C16" s="58" t="s">
        <v>261</v>
      </c>
      <c r="D16" s="59" t="s">
        <v>262</v>
      </c>
      <c r="E16" s="28"/>
    </row>
    <row r="17" spans="1:5" s="10" customFormat="1" ht="27.9" customHeight="1" x14ac:dyDescent="0.4">
      <c r="A17" s="63" t="s">
        <v>263</v>
      </c>
      <c r="B17" s="53" t="s">
        <v>620</v>
      </c>
      <c r="C17" s="52"/>
      <c r="D17" s="48"/>
      <c r="E17" s="28" t="str">
        <f>CONCATENATE(A17,"C")</f>
        <v>MQ03C</v>
      </c>
    </row>
    <row r="18" spans="1:5" s="10" customFormat="1" x14ac:dyDescent="0.4">
      <c r="A18" s="63" t="s">
        <v>264</v>
      </c>
      <c r="B18" s="53" t="s">
        <v>621</v>
      </c>
      <c r="C18" s="316"/>
      <c r="D18" s="48"/>
      <c r="E18" s="28" t="str">
        <f t="shared" ref="E18:E24" si="0">CONCATENATE(A18,"C")</f>
        <v>MQ04C</v>
      </c>
    </row>
    <row r="19" spans="1:5" s="10" customFormat="1" x14ac:dyDescent="0.4">
      <c r="A19" s="63" t="s">
        <v>265</v>
      </c>
      <c r="B19" s="53" t="s">
        <v>636</v>
      </c>
      <c r="C19" s="316"/>
      <c r="D19" s="48"/>
      <c r="E19" s="28" t="str">
        <f t="shared" si="0"/>
        <v>MQ05C</v>
      </c>
    </row>
    <row r="20" spans="1:5" s="10" customFormat="1" x14ac:dyDescent="0.4">
      <c r="A20" s="63" t="s">
        <v>266</v>
      </c>
      <c r="B20" s="53" t="s">
        <v>267</v>
      </c>
      <c r="C20" s="316"/>
      <c r="D20" s="48"/>
      <c r="E20" s="28" t="str">
        <f t="shared" si="0"/>
        <v>MQ06C</v>
      </c>
    </row>
    <row r="21" spans="1:5" s="10" customFormat="1" x14ac:dyDescent="0.4">
      <c r="A21" s="63" t="s">
        <v>268</v>
      </c>
      <c r="B21" s="53" t="s">
        <v>269</v>
      </c>
      <c r="C21" s="316"/>
      <c r="D21" s="48"/>
      <c r="E21" s="28" t="str">
        <f t="shared" si="0"/>
        <v>MQ07C</v>
      </c>
    </row>
    <row r="22" spans="1:5" s="10" customFormat="1" x14ac:dyDescent="0.4">
      <c r="A22" s="28" t="s">
        <v>270</v>
      </c>
      <c r="B22" s="54" t="s">
        <v>622</v>
      </c>
      <c r="C22" s="316"/>
      <c r="D22" s="367"/>
      <c r="E22" s="28" t="str">
        <f t="shared" si="0"/>
        <v>MQ08C</v>
      </c>
    </row>
    <row r="23" spans="1:5" s="10" customFormat="1" x14ac:dyDescent="0.4">
      <c r="A23" s="28" t="s">
        <v>271</v>
      </c>
      <c r="B23" s="55" t="s">
        <v>272</v>
      </c>
      <c r="C23" s="316"/>
      <c r="D23" s="368"/>
      <c r="E23" s="28" t="str">
        <f t="shared" si="0"/>
        <v>MQ09C</v>
      </c>
    </row>
    <row r="24" spans="1:5" s="10" customFormat="1" ht="33.6" x14ac:dyDescent="0.4">
      <c r="A24" s="28" t="s">
        <v>273</v>
      </c>
      <c r="B24" s="60" t="s">
        <v>623</v>
      </c>
      <c r="C24" s="317"/>
      <c r="D24" s="49"/>
      <c r="E24" s="28" t="str">
        <f t="shared" si="0"/>
        <v>MQ10C</v>
      </c>
    </row>
    <row r="25" spans="1:5" s="10" customFormat="1" x14ac:dyDescent="0.4">
      <c r="A25" s="1"/>
      <c r="B25" s="1"/>
      <c r="C25" s="1"/>
      <c r="D25" s="1"/>
      <c r="E25" s="28"/>
    </row>
    <row r="26" spans="1:5" s="10" customFormat="1" x14ac:dyDescent="0.4">
      <c r="A26" s="1"/>
      <c r="B26" s="29" t="s">
        <v>274</v>
      </c>
      <c r="C26" s="1"/>
      <c r="D26" s="1"/>
      <c r="E26" s="35"/>
    </row>
    <row r="27" spans="1:5" s="10" customFormat="1" x14ac:dyDescent="0.4">
      <c r="A27" s="1"/>
      <c r="B27" s="57" t="s">
        <v>260</v>
      </c>
      <c r="C27" s="58" t="s">
        <v>261</v>
      </c>
      <c r="D27" s="59" t="s">
        <v>262</v>
      </c>
      <c r="E27" s="35"/>
    </row>
    <row r="28" spans="1:5" s="10" customFormat="1" ht="33.6" x14ac:dyDescent="0.4">
      <c r="A28" s="28" t="s">
        <v>275</v>
      </c>
      <c r="B28" s="53" t="s">
        <v>276</v>
      </c>
      <c r="C28" s="316"/>
      <c r="D28" s="48"/>
      <c r="E28" s="28" t="str">
        <f>CONCATENATE(A28,"C")</f>
        <v>MQ11C</v>
      </c>
    </row>
    <row r="29" spans="1:5" s="10" customFormat="1" ht="33.6" x14ac:dyDescent="0.4">
      <c r="A29" s="28" t="s">
        <v>277</v>
      </c>
      <c r="B29" s="53" t="s">
        <v>278</v>
      </c>
      <c r="C29" s="316"/>
      <c r="D29" s="48"/>
      <c r="E29" s="28" t="str">
        <f t="shared" ref="E29:E38" si="1">CONCATENATE(A29,"C")</f>
        <v>MQ12C</v>
      </c>
    </row>
    <row r="30" spans="1:5" s="10" customFormat="1" x14ac:dyDescent="0.4">
      <c r="A30" s="28" t="s">
        <v>279</v>
      </c>
      <c r="B30" s="53" t="s">
        <v>280</v>
      </c>
      <c r="C30" s="316"/>
      <c r="D30" s="48"/>
      <c r="E30" s="28" t="str">
        <f t="shared" si="1"/>
        <v>MQ13C</v>
      </c>
    </row>
    <row r="31" spans="1:5" s="10" customFormat="1" ht="33.6" x14ac:dyDescent="0.4">
      <c r="A31" s="28" t="s">
        <v>281</v>
      </c>
      <c r="B31" s="53" t="s">
        <v>282</v>
      </c>
      <c r="C31" s="316"/>
      <c r="D31" s="48"/>
      <c r="E31" s="28" t="str">
        <f t="shared" si="1"/>
        <v>MQ14C</v>
      </c>
    </row>
    <row r="32" spans="1:5" s="10" customFormat="1" ht="33.6" x14ac:dyDescent="0.4">
      <c r="A32" s="28" t="s">
        <v>283</v>
      </c>
      <c r="B32" s="53" t="s">
        <v>284</v>
      </c>
      <c r="C32" s="316"/>
      <c r="D32" s="48"/>
      <c r="E32" s="28" t="str">
        <f t="shared" si="1"/>
        <v>MQ15C</v>
      </c>
    </row>
    <row r="33" spans="1:5" s="10" customFormat="1" x14ac:dyDescent="0.4">
      <c r="A33" s="28" t="s">
        <v>285</v>
      </c>
      <c r="B33" s="53" t="s">
        <v>286</v>
      </c>
      <c r="C33" s="316"/>
      <c r="D33" s="48"/>
      <c r="E33" s="28" t="str">
        <f t="shared" si="1"/>
        <v>MQ16C</v>
      </c>
    </row>
    <row r="34" spans="1:5" s="10" customFormat="1" ht="33.6" x14ac:dyDescent="0.4">
      <c r="A34" s="28" t="s">
        <v>287</v>
      </c>
      <c r="B34" s="53" t="s">
        <v>560</v>
      </c>
      <c r="C34" s="316"/>
      <c r="D34" s="48"/>
      <c r="E34" s="28" t="str">
        <f t="shared" si="1"/>
        <v>MQ17C</v>
      </c>
    </row>
    <row r="35" spans="1:5" s="10" customFormat="1" x14ac:dyDescent="0.4">
      <c r="A35" s="28" t="s">
        <v>288</v>
      </c>
      <c r="B35" s="53" t="s">
        <v>289</v>
      </c>
      <c r="C35" s="316"/>
      <c r="D35" s="48"/>
      <c r="E35" s="28" t="str">
        <f t="shared" si="1"/>
        <v>MQ18C</v>
      </c>
    </row>
    <row r="36" spans="1:5" s="10" customFormat="1" x14ac:dyDescent="0.4">
      <c r="A36" s="28" t="s">
        <v>290</v>
      </c>
      <c r="B36" s="53" t="s">
        <v>291</v>
      </c>
      <c r="C36" s="316"/>
      <c r="D36" s="48"/>
      <c r="E36" s="28" t="str">
        <f t="shared" si="1"/>
        <v>MQ19C</v>
      </c>
    </row>
    <row r="37" spans="1:5" s="10" customFormat="1" x14ac:dyDescent="0.4">
      <c r="A37" s="28" t="s">
        <v>292</v>
      </c>
      <c r="B37" s="53" t="s">
        <v>293</v>
      </c>
      <c r="C37" s="316"/>
      <c r="D37" s="48"/>
      <c r="E37" s="28" t="str">
        <f t="shared" si="1"/>
        <v>MQ20C</v>
      </c>
    </row>
    <row r="38" spans="1:5" s="10" customFormat="1" ht="33" customHeight="1" x14ac:dyDescent="0.4">
      <c r="A38" s="28" t="s">
        <v>294</v>
      </c>
      <c r="B38" s="55" t="s">
        <v>295</v>
      </c>
      <c r="C38" s="316"/>
      <c r="D38" s="49"/>
      <c r="E38" s="28" t="str">
        <f t="shared" si="1"/>
        <v>MQ21C</v>
      </c>
    </row>
    <row r="39" spans="1:5" s="10" customFormat="1" x14ac:dyDescent="0.4">
      <c r="A39" s="1"/>
      <c r="B39" s="1"/>
      <c r="C39" s="1"/>
      <c r="D39" s="1"/>
      <c r="E39" s="28"/>
    </row>
    <row r="40" spans="1:5" s="10" customFormat="1" x14ac:dyDescent="0.4">
      <c r="A40" s="1"/>
      <c r="B40" s="4" t="s">
        <v>296</v>
      </c>
      <c r="C40" s="1"/>
      <c r="D40" s="26"/>
      <c r="E40" s="35"/>
    </row>
    <row r="41" spans="1:5" s="10" customFormat="1" x14ac:dyDescent="0.4">
      <c r="A41" s="1"/>
      <c r="B41" s="57" t="s">
        <v>260</v>
      </c>
      <c r="C41" s="58" t="s">
        <v>261</v>
      </c>
      <c r="D41" s="59" t="s">
        <v>262</v>
      </c>
      <c r="E41" s="35"/>
    </row>
    <row r="42" spans="1:5" s="10" customFormat="1" ht="16.5" customHeight="1" x14ac:dyDescent="0.4">
      <c r="A42" s="28" t="s">
        <v>297</v>
      </c>
      <c r="B42" s="53" t="s">
        <v>298</v>
      </c>
      <c r="C42" s="316"/>
      <c r="D42" s="48"/>
      <c r="E42" s="28" t="str">
        <f t="shared" ref="E42:E47" si="2">CONCATENATE(A42,"C")</f>
        <v>MQ22C</v>
      </c>
    </row>
    <row r="43" spans="1:5" s="10" customFormat="1" x14ac:dyDescent="0.4">
      <c r="A43" s="28" t="s">
        <v>299</v>
      </c>
      <c r="B43" s="53" t="s">
        <v>300</v>
      </c>
      <c r="C43" s="316"/>
      <c r="D43" s="48"/>
      <c r="E43" s="28" t="str">
        <f t="shared" si="2"/>
        <v>MQ23C</v>
      </c>
    </row>
    <row r="44" spans="1:5" s="10" customFormat="1" ht="33.6" x14ac:dyDescent="0.4">
      <c r="A44" s="28" t="s">
        <v>301</v>
      </c>
      <c r="B44" s="53" t="s">
        <v>302</v>
      </c>
      <c r="C44" s="316"/>
      <c r="D44" s="48"/>
      <c r="E44" s="28" t="str">
        <f t="shared" si="2"/>
        <v>MQ24C</v>
      </c>
    </row>
    <row r="45" spans="1:5" s="10" customFormat="1" ht="33.6" x14ac:dyDescent="0.4">
      <c r="A45" s="28" t="s">
        <v>303</v>
      </c>
      <c r="B45" s="53" t="s">
        <v>304</v>
      </c>
      <c r="C45" s="316"/>
      <c r="D45" s="48"/>
      <c r="E45" s="28" t="str">
        <f t="shared" si="2"/>
        <v>MQ25C</v>
      </c>
    </row>
    <row r="46" spans="1:5" s="10" customFormat="1" ht="50.4" x14ac:dyDescent="0.4">
      <c r="A46" s="28" t="s">
        <v>305</v>
      </c>
      <c r="B46" s="53" t="s">
        <v>306</v>
      </c>
      <c r="C46" s="316"/>
      <c r="D46" s="48"/>
      <c r="E46" s="28" t="str">
        <f t="shared" si="2"/>
        <v>MQ26C</v>
      </c>
    </row>
    <row r="47" spans="1:5" s="10" customFormat="1" ht="33.6" x14ac:dyDescent="0.4">
      <c r="A47" s="28" t="s">
        <v>307</v>
      </c>
      <c r="B47" s="55" t="s">
        <v>308</v>
      </c>
      <c r="C47" s="317"/>
      <c r="D47" s="49"/>
      <c r="E47" s="28" t="str">
        <f t="shared" si="2"/>
        <v>MQ27C</v>
      </c>
    </row>
    <row r="48" spans="1:5" s="10" customFormat="1" x14ac:dyDescent="0.4">
      <c r="A48" s="1"/>
      <c r="B48" s="1"/>
      <c r="C48" s="1"/>
      <c r="D48" s="1"/>
      <c r="E48" s="28"/>
    </row>
    <row r="49" spans="1:5" s="10" customFormat="1" x14ac:dyDescent="0.4">
      <c r="A49" s="1"/>
      <c r="B49" s="29" t="s">
        <v>309</v>
      </c>
      <c r="C49" s="1"/>
      <c r="D49" s="1"/>
      <c r="E49" s="28"/>
    </row>
    <row r="50" spans="1:5" s="10" customFormat="1" x14ac:dyDescent="0.4">
      <c r="A50" s="1"/>
      <c r="B50" s="57" t="s">
        <v>260</v>
      </c>
      <c r="C50" s="58" t="s">
        <v>261</v>
      </c>
      <c r="D50" s="59" t="s">
        <v>262</v>
      </c>
      <c r="E50" s="28"/>
    </row>
    <row r="51" spans="1:5" s="10" customFormat="1" x14ac:dyDescent="0.4">
      <c r="A51" s="28" t="s">
        <v>310</v>
      </c>
      <c r="B51" s="318" t="s">
        <v>598</v>
      </c>
      <c r="C51" s="316"/>
      <c r="D51" s="61"/>
      <c r="E51" s="28" t="str">
        <f t="shared" ref="E51:E54" si="3">CONCATENATE(A51,"C")</f>
        <v>MQ28C</v>
      </c>
    </row>
    <row r="52" spans="1:5" s="10" customFormat="1" x14ac:dyDescent="0.4">
      <c r="A52" s="28" t="s">
        <v>311</v>
      </c>
      <c r="B52" s="54" t="s">
        <v>624</v>
      </c>
      <c r="C52" s="370"/>
      <c r="D52" s="62"/>
      <c r="E52" s="28" t="str">
        <f t="shared" si="3"/>
        <v>MQ29C</v>
      </c>
    </row>
    <row r="53" spans="1:5" s="10" customFormat="1" x14ac:dyDescent="0.4">
      <c r="A53" s="28" t="s">
        <v>312</v>
      </c>
      <c r="B53" s="318" t="s">
        <v>645</v>
      </c>
      <c r="C53" s="316"/>
      <c r="D53" s="62"/>
      <c r="E53" s="28" t="str">
        <f t="shared" si="3"/>
        <v>MQ30C</v>
      </c>
    </row>
    <row r="54" spans="1:5" s="10" customFormat="1" x14ac:dyDescent="0.4">
      <c r="A54" s="28" t="s">
        <v>313</v>
      </c>
      <c r="B54" s="60" t="s">
        <v>646</v>
      </c>
      <c r="C54" s="371"/>
      <c r="D54" s="56"/>
      <c r="E54" s="28" t="str">
        <f t="shared" si="3"/>
        <v>MQ31C</v>
      </c>
    </row>
    <row r="55" spans="1:5" s="10" customFormat="1" x14ac:dyDescent="0.4">
      <c r="A55" s="28"/>
      <c r="B55" s="1"/>
      <c r="C55" s="1"/>
      <c r="D55" s="1"/>
      <c r="E55" s="28"/>
    </row>
    <row r="56" spans="1:5" s="10" customFormat="1" x14ac:dyDescent="0.4">
      <c r="A56" s="36"/>
      <c r="B56" s="4" t="s">
        <v>604</v>
      </c>
      <c r="C56" s="1"/>
      <c r="D56" s="1"/>
      <c r="E56" s="28"/>
    </row>
    <row r="57" spans="1:5" s="10" customFormat="1" x14ac:dyDescent="0.4">
      <c r="A57" s="1"/>
      <c r="B57" s="57" t="s">
        <v>260</v>
      </c>
      <c r="C57" s="58" t="s">
        <v>261</v>
      </c>
      <c r="D57" s="59" t="s">
        <v>262</v>
      </c>
      <c r="E57" s="28"/>
    </row>
    <row r="58" spans="1:5" s="10" customFormat="1" ht="33.6" x14ac:dyDescent="0.4">
      <c r="A58" s="28" t="s">
        <v>314</v>
      </c>
      <c r="B58" s="55" t="s">
        <v>315</v>
      </c>
      <c r="C58" s="317"/>
      <c r="D58" s="395"/>
      <c r="E58" s="28" t="str">
        <f>CONCATENATE(A58,"C")</f>
        <v>MQ32C</v>
      </c>
    </row>
    <row r="59" spans="1:5" s="10" customFormat="1" ht="33.6" x14ac:dyDescent="0.4">
      <c r="A59" s="28" t="s">
        <v>316</v>
      </c>
      <c r="B59" s="55" t="s">
        <v>317</v>
      </c>
      <c r="C59" s="557"/>
      <c r="D59" s="49"/>
      <c r="E59" s="28" t="str">
        <f>CONCATENATE(A59,"C")</f>
        <v>MQ35C</v>
      </c>
    </row>
    <row r="60" spans="1:5" s="10" customFormat="1" x14ac:dyDescent="0.4">
      <c r="A60" s="28"/>
      <c r="B60" s="1"/>
      <c r="C60" s="1"/>
      <c r="D60" s="1"/>
      <c r="E60" s="28"/>
    </row>
    <row r="61" spans="1:5" s="10" customFormat="1" x14ac:dyDescent="0.4">
      <c r="A61" s="36"/>
      <c r="B61" s="4" t="s">
        <v>603</v>
      </c>
      <c r="C61" s="1"/>
      <c r="D61" s="1"/>
      <c r="E61" s="28"/>
    </row>
    <row r="62" spans="1:5" s="10" customFormat="1" x14ac:dyDescent="0.4">
      <c r="A62" s="1"/>
      <c r="B62" s="57" t="s">
        <v>260</v>
      </c>
      <c r="C62" s="58" t="s">
        <v>261</v>
      </c>
      <c r="D62" s="59" t="s">
        <v>262</v>
      </c>
      <c r="E62" s="28"/>
    </row>
    <row r="63" spans="1:5" s="10" customFormat="1" x14ac:dyDescent="0.4">
      <c r="A63" s="28" t="s">
        <v>605</v>
      </c>
      <c r="B63" s="55" t="s">
        <v>616</v>
      </c>
      <c r="C63" s="316"/>
      <c r="D63" s="395"/>
      <c r="E63" s="28" t="str">
        <f>CONCATENATE(A63,"C")</f>
        <v>MQ36C</v>
      </c>
    </row>
    <row r="64" spans="1:5" s="10" customFormat="1" ht="33.6" x14ac:dyDescent="0.4">
      <c r="A64" s="28" t="s">
        <v>606</v>
      </c>
      <c r="B64" s="55" t="s">
        <v>617</v>
      </c>
      <c r="C64" s="317"/>
      <c r="D64" s="395"/>
      <c r="E64" s="28" t="str">
        <f>CONCATENATE(A64,"C")</f>
        <v>MQ37C</v>
      </c>
    </row>
    <row r="65" spans="1:5" s="10" customFormat="1" x14ac:dyDescent="0.4">
      <c r="A65" s="28" t="s">
        <v>618</v>
      </c>
      <c r="B65" s="60" t="s">
        <v>619</v>
      </c>
      <c r="C65" s="371"/>
      <c r="D65" s="49"/>
      <c r="E65" s="28" t="str">
        <f>CONCATENATE(A65,"C")</f>
        <v>MQ38C</v>
      </c>
    </row>
  </sheetData>
  <mergeCells count="1">
    <mergeCell ref="A6:D6"/>
  </mergeCells>
  <conditionalFormatting sqref="C17:C21 C23">
    <cfRule type="containsBlanks" dxfId="117" priority="10">
      <formula>LEN(TRIM(C17))=0</formula>
    </cfRule>
  </conditionalFormatting>
  <conditionalFormatting sqref="C18:C19">
    <cfRule type="expression" dxfId="116" priority="9">
      <formula>MOD(C18,1)&lt;&gt;0</formula>
    </cfRule>
  </conditionalFormatting>
  <conditionalFormatting sqref="C22">
    <cfRule type="expression" dxfId="115" priority="11">
      <formula>AND(C21="Yes",C22="")</formula>
    </cfRule>
  </conditionalFormatting>
  <conditionalFormatting sqref="C24">
    <cfRule type="expression" dxfId="114" priority="12">
      <formula>AND(C23="Yes",C24="")</formula>
    </cfRule>
  </conditionalFormatting>
  <conditionalFormatting sqref="C28:C38">
    <cfRule type="containsBlanks" dxfId="113" priority="13">
      <formula>LEN(TRIM(C28))=0</formula>
    </cfRule>
  </conditionalFormatting>
  <conditionalFormatting sqref="C42:C47">
    <cfRule type="containsBlanks" dxfId="112" priority="14">
      <formula>LEN(TRIM(C42))=0</formula>
    </cfRule>
  </conditionalFormatting>
  <conditionalFormatting sqref="C51 C53">
    <cfRule type="containsBlanks" dxfId="111" priority="15">
      <formula>LEN(TRIM(C51))=0</formula>
    </cfRule>
  </conditionalFormatting>
  <conditionalFormatting sqref="C52">
    <cfRule type="expression" dxfId="110" priority="16">
      <formula>AND(C51="Yes",C52="")</formula>
    </cfRule>
    <cfRule type="cellIs" dxfId="109" priority="17" operator="lessThan">
      <formula>0</formula>
    </cfRule>
  </conditionalFormatting>
  <conditionalFormatting sqref="C54">
    <cfRule type="expression" dxfId="108" priority="18">
      <formula>AND(C53="Yes",C54="")</formula>
    </cfRule>
    <cfRule type="cellIs" dxfId="107" priority="19" operator="lessThan">
      <formula>0</formula>
    </cfRule>
  </conditionalFormatting>
  <conditionalFormatting sqref="C63:C64">
    <cfRule type="containsBlanks" dxfId="106" priority="1">
      <formula>LEN(TRIM(C63))=0</formula>
    </cfRule>
  </conditionalFormatting>
  <conditionalFormatting sqref="C65">
    <cfRule type="expression" dxfId="105" priority="2">
      <formula>AND(C63="Yes",C65="")</formula>
    </cfRule>
    <cfRule type="cellIs" dxfId="104" priority="3" operator="lessThan">
      <formula>0</formula>
    </cfRule>
  </conditionalFormatting>
  <dataValidations count="18">
    <dataValidation allowBlank="1" showInputMessage="1" showErrorMessage="1" prompt="Enter NAIC codes" sqref="C59" xr:uid="{C93F3F6E-9798-47A0-A6FE-B146D218362D}"/>
    <dataValidation type="decimal" operator="greaterThan" allowBlank="1" showInputMessage="1" showErrorMessage="1" error="Input must be non-negative number" promptTitle="Input conditionally required" prompt="Input Income from Fees of Uninsured Plans, NAIC SHCE Part 1, Line 12 (non-negative number) if response to MQ30 is &quot;Yes&quot;." sqref="C54" xr:uid="{89E0E7A2-1383-408E-AAE6-276710C1C401}">
      <formula1>0</formula1>
    </dataValidation>
    <dataValidation type="decimal" allowBlank="1" showInputMessage="1" showErrorMessage="1" error="Input must be a percentage between 0 and 100%. " promptTitle="Input required" prompt="Enter percentage. If percentage is less than 98% and MQ06 is “No,” state will request resubmission to apply appropriate IBNR and IBNP completion factors, or correct response (if you entered the wrong percentage). " sqref="C17" xr:uid="{11251682-EE79-4E1E-8529-C275A7F5DA19}">
      <formula1>0</formula1>
      <formula2>1</formula2>
    </dataValidation>
    <dataValidation type="whole" operator="greaterThan" allowBlank="1" showInputMessage="1" showErrorMessage="1" error="Input must be an integer" promptTitle="Input required" prompt="Enter integer. If less than 180 days, state will request resubmission to update data or correct response (if you entered the wrong number of days). " sqref="C19" xr:uid="{7F0A6E85-1B33-4964-B114-0E4629C5A0C6}">
      <formula1>0</formula1>
    </dataValidation>
    <dataValidation type="list" allowBlank="1" showInputMessage="1" showErrorMessage="1" error="Input must be an option from the drop down list." promptTitle="Input required" prompt="Input must be an option from the drop down list." sqref="C20:C21" xr:uid="{2E755CBA-DCAC-415B-AE60-5C90A918B7B1}">
      <formula1>"Yes, No"</formula1>
    </dataValidation>
    <dataValidation allowBlank="1" showInputMessage="1" showErrorMessage="1" promptTitle="Input conditionally required" prompt="Enter carve-out estimate description if MQ09 is &quot;Yes&quot;. If insurer populates field and MQ09 is “No,” state will request resubmission to update response to “Yes” or remove text from this field and enter in Comments field, if applicable. " sqref="C24" xr:uid="{73C7277C-0244-47EB-B994-05C0000AAFBD}"/>
    <dataValidation type="decimal" operator="greaterThan" allowBlank="1" showInputMessage="1" showErrorMessage="1" error="Input must be non-negative number" promptTitle="Input conditionally required" prompt="Input Income from Fees of Uninsured Plans, NAIC SHCE Part 1, Line 12 (non-negative number) if response to MQ28 is &quot;Yes&quot;." sqref="C52" xr:uid="{EDE4E346-9F33-4048-B854-9E34BCBE2046}">
      <formula1>0</formula1>
    </dataValidation>
    <dataValidation showInputMessage="1" showErrorMessage="1" promptTitle="Input conditionally required" prompt="Enter pharmacy rebate amount if MQ07 is &quot;Yes&quot;. If you populate field and MQ07 is “No,” state will request resubmission to update response to “Yes” or remove text from this field and enter in Comments field, if applicable. " sqref="C22" xr:uid="{3DFDA372-4459-4E79-99F2-45D92AEFD736}"/>
    <dataValidation type="whole" operator="greaterThan" allowBlank="1" showInputMessage="1" showErrorMessage="1" error="Input must be an integer" promptTitle="Input required" prompt="Enter integer. If less than 180 days and MQ06 is “No,” state will request resubmission to apply reasonable and appropriate IBNR and IBNP completion factors, or correct response (if you entered the wrong number of days)." sqref="C18" xr:uid="{19A50C07-09FA-43D1-8547-9A869D01BA83}">
      <formula1>0</formula1>
    </dataValidation>
    <dataValidation type="list" allowBlank="1" showInputMessage="1" showErrorMessage="1" error="Input must be an option from the drop down list." promptTitle="Input required" prompt="Input must be an option from the drop down list. If response is “Not applicable” and insurer reported data using Insurance Category Code 4, state will request resubmission to update data or correct response (if you selected “Not applicable” in error). " sqref="C23" xr:uid="{3596219D-5364-46D0-851F-D1A4E5B0BAF0}">
      <formula1>"Yes, No, Not applicable"</formula1>
    </dataValidation>
    <dataValidation type="list" allowBlank="1" showInputMessage="1" showErrorMessage="1" error="Input must be an option from the drop down list." promptTitle="Input required" prompt="Input must be an option from the drop down list. If response is “No,” state will request resubmission to update data or correct response (if you selected “No” in error)." sqref="C45:C47 C42:C43 C28:C37" xr:uid="{385EDD66-BE5D-46F9-A333-E6AE392A4021}">
      <formula1>"Yes, No"</formula1>
    </dataValidation>
    <dataValidation type="list" allowBlank="1" showInputMessage="1" showErrorMessage="1" error="Input must be an option from the drop down list." promptTitle="Input required" prompt="Select option from drop-down list. If “No,” state will request resubmission to update data or correct response. If “Not applicable,” insurer must report data using Insurance Category Code 4 or state will request resubmission to fix." sqref="C44" xr:uid="{218CC7C8-17C9-4464-BC62-5FB3DBCF9A93}">
      <formula1>"Yes, No, Not applicable"</formula1>
    </dataValidation>
    <dataValidation type="list" allowBlank="1" showInputMessage="1" showErrorMessage="1" error="Input must be an option from the drop down list." promptTitle="Input required" prompt="Input must be &quot;Yes&quot; if there are member months reported in the LOB Enrollment tab for the associated reporting year and LOB Category Code 3." sqref="C53 C51" xr:uid="{4F9701E1-8379-4BCC-BB13-0E519F292988}">
      <formula1>"Yes, No"</formula1>
    </dataValidation>
    <dataValidation type="list" allowBlank="1" showInputMessage="1" showErrorMessage="1" error="Input must be an option from the drop down list." promptTitle="Input required" prompt="Input must be an option from the drop down list. If response is “No,” state will request resubmission to update data or correct response (if you selected “No” in error)." sqref="C38" xr:uid="{757BD830-B65A-4CFA-B426-C35FE0D740BB}">
      <formula1>"Yes, No, Not applicable"</formula1>
    </dataValidation>
    <dataValidation allowBlank="1" showInputMessage="1" showErrorMessage="1" promptTitle="Input required" prompt="Enter date in yyyy-mm-dd format." sqref="C13" xr:uid="{28AA54B7-9565-40E9-BE87-34DFDE65D6E3}"/>
    <dataValidation allowBlank="1" showInputMessage="1" showErrorMessage="1" prompt="If insurer has members enrolled in MA plans, enter any names insurer is &quot;doing business as&quot; in the state of NJ" sqref="C58" xr:uid="{333C0A21-66BB-4806-A9AD-907651DA5003}"/>
    <dataValidation type="list" allowBlank="1" showInputMessage="1" showErrorMessage="1" error="Input must be an option from the drop down list." promptTitle="Input required" sqref="C63:C64" xr:uid="{E25F9021-4973-4CFE-881A-4BD7AE9441D9}">
      <formula1>"Yes, No"</formula1>
    </dataValidation>
    <dataValidation operator="greaterThan" allowBlank="1" showInputMessage="1" showErrorMessage="1" error="Input must be non-negative number" promptTitle="Input required" sqref="C65" xr:uid="{7A88C802-4382-4DC0-A0FE-FC09563A48EE}"/>
  </dataValidations>
  <pageMargins left="0.7" right="0.7" top="0.75" bottom="0.75" header="0.3" footer="0.3"/>
  <pageSetup scale="37" orientation="landscape" r:id="rId1"/>
  <headerFooter>
    <oddFooter>&amp;L&amp;"-,Bold"Carrier Benchmark Data Submission Template&amp;"-,Regular" | NJ Hart Program&amp;RPage &amp;P</oddFooter>
  </headerFooter>
  <tableParts count="7">
    <tablePart r:id="rId2"/>
    <tablePart r:id="rId3"/>
    <tablePart r:id="rId4"/>
    <tablePart r:id="rId5"/>
    <tablePart r:id="rId6"/>
    <tablePart r:id="rId7"/>
    <tablePart r:id="rId8"/>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EDA9A-38A2-4D00-8F75-6392DA17FA2F}">
  <sheetPr>
    <tabColor theme="8" tint="0.39997558519241921"/>
    <pageSetUpPr fitToPage="1"/>
  </sheetPr>
  <dimension ref="A1:BG245"/>
  <sheetViews>
    <sheetView showGridLines="0" topLeftCell="A11" zoomScale="50" zoomScaleNormal="50" zoomScaleSheetLayoutView="50" workbookViewId="0">
      <selection activeCell="C34" sqref="C34"/>
    </sheetView>
  </sheetViews>
  <sheetFormatPr defaultColWidth="8.69921875" defaultRowHeight="16.8" x14ac:dyDescent="0.4"/>
  <cols>
    <col min="1" max="1" width="57.5" style="11" customWidth="1"/>
    <col min="2" max="23" width="40.59765625" style="11" customWidth="1"/>
    <col min="24" max="33" width="30.59765625" style="11" customWidth="1"/>
    <col min="34" max="35" width="20.59765625" style="11" customWidth="1"/>
    <col min="36" max="48" width="19.3984375" style="11" customWidth="1"/>
    <col min="49" max="58" width="21.3984375" style="11" customWidth="1"/>
    <col min="59" max="16384" width="8.69921875" style="11"/>
  </cols>
  <sheetData>
    <row r="1" spans="1:29" ht="20.399999999999999" x14ac:dyDescent="0.45">
      <c r="A1" s="5" t="s">
        <v>40</v>
      </c>
      <c r="B1"/>
      <c r="C1"/>
      <c r="D1"/>
      <c r="E1"/>
      <c r="F1"/>
      <c r="G1"/>
      <c r="H1"/>
      <c r="I1"/>
      <c r="J1"/>
      <c r="K1"/>
      <c r="L1"/>
      <c r="M1"/>
      <c r="N1"/>
      <c r="O1"/>
      <c r="P1"/>
      <c r="Q1"/>
      <c r="R1"/>
      <c r="S1"/>
      <c r="T1"/>
      <c r="U1"/>
      <c r="V1"/>
      <c r="W1"/>
      <c r="X1"/>
      <c r="Y1"/>
      <c r="Z1"/>
      <c r="AA1"/>
      <c r="AB1"/>
      <c r="AC1"/>
    </row>
    <row r="2" spans="1:29" x14ac:dyDescent="0.4">
      <c r="A2" t="s">
        <v>318</v>
      </c>
      <c r="B2"/>
      <c r="C2"/>
      <c r="D2"/>
      <c r="E2"/>
      <c r="F2"/>
      <c r="G2"/>
      <c r="H2"/>
      <c r="I2"/>
      <c r="J2"/>
      <c r="K2"/>
      <c r="L2"/>
      <c r="M2"/>
      <c r="N2"/>
      <c r="O2"/>
      <c r="P2"/>
      <c r="Q2"/>
      <c r="R2"/>
      <c r="S2"/>
      <c r="T2"/>
      <c r="U2"/>
      <c r="V2"/>
      <c r="W2"/>
      <c r="X2"/>
      <c r="Y2"/>
      <c r="Z2"/>
      <c r="AA2"/>
      <c r="AB2"/>
      <c r="AC2"/>
    </row>
    <row r="3" spans="1:29" x14ac:dyDescent="0.4">
      <c r="A3"/>
      <c r="B3"/>
      <c r="C3"/>
      <c r="D3"/>
      <c r="E3"/>
      <c r="F3"/>
      <c r="G3"/>
      <c r="H3"/>
      <c r="I3"/>
      <c r="J3"/>
      <c r="K3"/>
      <c r="L3"/>
      <c r="M3"/>
      <c r="N3"/>
      <c r="O3"/>
      <c r="P3"/>
      <c r="Q3"/>
      <c r="R3"/>
      <c r="S3"/>
      <c r="T3"/>
      <c r="U3"/>
      <c r="V3"/>
      <c r="W3"/>
      <c r="X3"/>
      <c r="Y3"/>
      <c r="Z3"/>
      <c r="AA3"/>
      <c r="AB3"/>
      <c r="AC3"/>
    </row>
    <row r="4" spans="1:29" x14ac:dyDescent="0.4">
      <c r="A4"/>
      <c r="B4"/>
      <c r="C4"/>
      <c r="D4"/>
      <c r="E4"/>
      <c r="F4"/>
      <c r="G4"/>
      <c r="H4"/>
      <c r="I4"/>
      <c r="J4"/>
      <c r="K4"/>
      <c r="L4"/>
      <c r="M4"/>
      <c r="N4"/>
      <c r="O4"/>
      <c r="P4"/>
      <c r="Q4"/>
      <c r="R4"/>
      <c r="S4"/>
      <c r="T4"/>
      <c r="U4"/>
      <c r="V4"/>
      <c r="W4"/>
      <c r="X4"/>
      <c r="Y4"/>
      <c r="Z4"/>
      <c r="AA4"/>
      <c r="AB4"/>
      <c r="AC4"/>
    </row>
    <row r="5" spans="1:29" x14ac:dyDescent="0.4">
      <c r="A5" s="3" t="s">
        <v>319</v>
      </c>
      <c r="B5"/>
      <c r="C5"/>
      <c r="D5"/>
      <c r="E5"/>
      <c r="F5"/>
      <c r="G5"/>
      <c r="H5"/>
      <c r="I5"/>
      <c r="J5"/>
      <c r="K5"/>
      <c r="L5"/>
      <c r="M5"/>
      <c r="N5"/>
      <c r="O5"/>
      <c r="P5"/>
      <c r="Q5"/>
      <c r="R5"/>
      <c r="S5"/>
      <c r="T5"/>
      <c r="U5"/>
      <c r="V5"/>
      <c r="W5"/>
      <c r="X5"/>
      <c r="Y5"/>
      <c r="Z5"/>
      <c r="AA5"/>
      <c r="AB5"/>
      <c r="AC5"/>
    </row>
    <row r="6" spans="1:29" ht="30" customHeight="1" x14ac:dyDescent="0.4">
      <c r="A6" s="658" t="s">
        <v>320</v>
      </c>
      <c r="B6" s="658"/>
      <c r="C6" s="658"/>
      <c r="D6" s="658"/>
      <c r="E6"/>
      <c r="F6"/>
      <c r="G6"/>
      <c r="H6"/>
      <c r="I6"/>
      <c r="J6"/>
      <c r="K6"/>
      <c r="L6"/>
      <c r="M6"/>
      <c r="N6"/>
      <c r="O6"/>
      <c r="P6"/>
      <c r="Q6"/>
      <c r="R6"/>
      <c r="S6"/>
      <c r="T6"/>
      <c r="U6"/>
      <c r="V6"/>
      <c r="W6"/>
      <c r="X6"/>
      <c r="Y6"/>
      <c r="Z6"/>
      <c r="AA6"/>
      <c r="AB6"/>
      <c r="AC6"/>
    </row>
    <row r="7" spans="1:29" ht="78" customHeight="1" x14ac:dyDescent="0.4">
      <c r="A7" s="103" t="s">
        <v>321</v>
      </c>
      <c r="B7" s="214" t="s">
        <v>322</v>
      </c>
      <c r="C7" s="214" t="s">
        <v>323</v>
      </c>
      <c r="D7" s="215" t="s">
        <v>324</v>
      </c>
      <c r="E7"/>
      <c r="F7"/>
      <c r="G7"/>
      <c r="H7"/>
      <c r="I7"/>
      <c r="J7"/>
      <c r="K7"/>
      <c r="L7"/>
      <c r="M7"/>
      <c r="N7"/>
      <c r="O7"/>
      <c r="P7"/>
      <c r="Q7"/>
      <c r="R7"/>
      <c r="S7"/>
      <c r="T7"/>
      <c r="U7"/>
      <c r="V7"/>
      <c r="W7"/>
      <c r="X7"/>
      <c r="Y7"/>
      <c r="Z7"/>
      <c r="AA7"/>
      <c r="AB7"/>
      <c r="AC7"/>
    </row>
    <row r="8" spans="1:29" x14ac:dyDescent="0.4">
      <c r="A8" s="216">
        <f>'2. Total Medical Expenses'!A12</f>
        <v>0</v>
      </c>
      <c r="B8" s="275">
        <f>'1. Cover Page'!C17</f>
        <v>0</v>
      </c>
      <c r="C8" s="275" t="e" cm="1">
        <f t="array" ref="C8">INDEX(INS_Code[Description],MATCH(INS_CD39[Carrier Inputted Insurer Name (Field ID CP01)],INS_Code[Description],0))</f>
        <v>#N/A</v>
      </c>
      <c r="D8" s="190" t="e">
        <f>IF(AND(B8=C8),"Yes", "No")</f>
        <v>#N/A</v>
      </c>
      <c r="E8"/>
      <c r="F8"/>
      <c r="G8"/>
      <c r="H8"/>
      <c r="I8"/>
      <c r="J8"/>
      <c r="K8"/>
      <c r="L8"/>
      <c r="M8"/>
      <c r="N8"/>
      <c r="O8"/>
      <c r="P8"/>
      <c r="Q8"/>
      <c r="R8"/>
      <c r="S8"/>
      <c r="T8"/>
      <c r="U8"/>
      <c r="V8"/>
      <c r="W8"/>
      <c r="X8"/>
      <c r="Y8"/>
      <c r="Z8"/>
      <c r="AA8"/>
      <c r="AB8"/>
      <c r="AC8"/>
    </row>
    <row r="9" spans="1:29" x14ac:dyDescent="0.4">
      <c r="A9"/>
      <c r="B9"/>
      <c r="C9"/>
      <c r="D9"/>
      <c r="E9"/>
      <c r="F9"/>
      <c r="G9"/>
      <c r="H9"/>
      <c r="I9"/>
      <c r="J9"/>
      <c r="K9"/>
      <c r="L9"/>
      <c r="M9"/>
      <c r="N9"/>
      <c r="O9"/>
      <c r="P9"/>
      <c r="Q9"/>
      <c r="R9"/>
      <c r="S9"/>
      <c r="T9"/>
      <c r="U9"/>
      <c r="V9"/>
      <c r="W9"/>
      <c r="X9"/>
      <c r="Y9"/>
      <c r="Z9"/>
      <c r="AA9"/>
      <c r="AB9"/>
      <c r="AC9"/>
    </row>
    <row r="10" spans="1:29" x14ac:dyDescent="0.4">
      <c r="A10"/>
      <c r="B10"/>
      <c r="C10"/>
      <c r="D10"/>
      <c r="E10"/>
      <c r="F10"/>
      <c r="G10"/>
      <c r="H10"/>
      <c r="I10"/>
      <c r="J10"/>
      <c r="K10"/>
      <c r="L10"/>
      <c r="M10"/>
      <c r="N10"/>
      <c r="O10"/>
      <c r="P10"/>
      <c r="Q10"/>
      <c r="R10"/>
      <c r="S10"/>
      <c r="T10"/>
      <c r="U10"/>
      <c r="V10"/>
      <c r="W10"/>
      <c r="X10"/>
      <c r="Y10"/>
      <c r="Z10"/>
      <c r="AA10"/>
      <c r="AB10"/>
      <c r="AC10"/>
    </row>
    <row r="11" spans="1:29" x14ac:dyDescent="0.4">
      <c r="A11" s="3" t="s">
        <v>325</v>
      </c>
      <c r="B11"/>
      <c r="C11"/>
      <c r="D11"/>
      <c r="E11"/>
      <c r="F11"/>
      <c r="G11"/>
      <c r="H11"/>
      <c r="I11"/>
      <c r="J11"/>
      <c r="K11"/>
      <c r="L11"/>
      <c r="M11"/>
      <c r="N11"/>
      <c r="O11"/>
      <c r="P11"/>
      <c r="Q11"/>
      <c r="R11"/>
      <c r="S11"/>
      <c r="T11"/>
      <c r="U11"/>
      <c r="V11"/>
      <c r="W11"/>
      <c r="X11"/>
      <c r="Y11"/>
      <c r="Z11"/>
      <c r="AA11"/>
      <c r="AB11"/>
      <c r="AC11"/>
    </row>
    <row r="12" spans="1:29" x14ac:dyDescent="0.4">
      <c r="A12" s="657" t="s">
        <v>326</v>
      </c>
      <c r="B12" s="657"/>
      <c r="C12" s="657"/>
      <c r="D12" s="657"/>
      <c r="E12" s="657"/>
      <c r="F12" s="657"/>
      <c r="G12" s="657"/>
      <c r="H12" s="657"/>
      <c r="I12" s="657"/>
      <c r="J12" s="657"/>
      <c r="K12" s="657"/>
      <c r="L12" s="657"/>
      <c r="M12" s="657"/>
      <c r="N12" s="657"/>
      <c r="O12" s="657"/>
      <c r="P12"/>
      <c r="Q12"/>
      <c r="R12"/>
      <c r="S12"/>
      <c r="T12"/>
      <c r="U12"/>
      <c r="V12"/>
      <c r="W12"/>
      <c r="X12"/>
      <c r="Y12"/>
      <c r="Z12"/>
      <c r="AA12"/>
      <c r="AB12"/>
      <c r="AC12"/>
    </row>
    <row r="13" spans="1:29" ht="17.399999999999999" thickBot="1" x14ac:dyDescent="0.45">
      <c r="A13" s="592" t="s">
        <v>327</v>
      </c>
      <c r="B13" s="623">
        <v>2024</v>
      </c>
      <c r="C13" s="623"/>
      <c r="D13" s="623"/>
      <c r="E13" s="623"/>
      <c r="F13" s="623"/>
      <c r="G13" s="623"/>
      <c r="H13" s="623"/>
      <c r="I13" s="659">
        <v>2025</v>
      </c>
      <c r="J13" s="659"/>
      <c r="K13" s="659"/>
      <c r="L13" s="659"/>
      <c r="M13" s="659"/>
      <c r="N13" s="659"/>
      <c r="O13" s="660"/>
      <c r="P13"/>
      <c r="Q13"/>
      <c r="R13"/>
      <c r="S13"/>
      <c r="T13"/>
      <c r="U13"/>
      <c r="V13"/>
      <c r="W13"/>
      <c r="X13"/>
      <c r="Y13"/>
      <c r="Z13"/>
      <c r="AA13"/>
      <c r="AB13"/>
      <c r="AC13"/>
    </row>
    <row r="14" spans="1:29" ht="57.75" customHeight="1" x14ac:dyDescent="0.4">
      <c r="A14" s="622"/>
      <c r="B14" s="74" t="s">
        <v>328</v>
      </c>
      <c r="C14" s="75" t="s">
        <v>329</v>
      </c>
      <c r="D14" s="72" t="s">
        <v>354</v>
      </c>
      <c r="E14" s="72" t="s">
        <v>355</v>
      </c>
      <c r="F14" s="75" t="s">
        <v>332</v>
      </c>
      <c r="G14" s="72" t="s">
        <v>588</v>
      </c>
      <c r="H14" s="73" t="s">
        <v>355</v>
      </c>
      <c r="I14" s="77" t="s">
        <v>328</v>
      </c>
      <c r="J14" s="78" t="s">
        <v>329</v>
      </c>
      <c r="K14" s="79" t="s">
        <v>354</v>
      </c>
      <c r="L14" s="79" t="s">
        <v>355</v>
      </c>
      <c r="M14" s="78" t="s">
        <v>332</v>
      </c>
      <c r="N14" s="79" t="s">
        <v>588</v>
      </c>
      <c r="O14" s="79" t="s">
        <v>355</v>
      </c>
      <c r="P14"/>
      <c r="Q14"/>
      <c r="R14"/>
      <c r="S14"/>
      <c r="T14"/>
      <c r="U14"/>
      <c r="V14"/>
      <c r="W14"/>
      <c r="X14"/>
      <c r="Y14"/>
      <c r="Z14"/>
      <c r="AA14"/>
      <c r="AB14"/>
      <c r="AC14"/>
    </row>
    <row r="15" spans="1:29" s="148" customFormat="1" x14ac:dyDescent="0.4">
      <c r="A15" s="183" t="s">
        <v>333</v>
      </c>
      <c r="B15" s="144">
        <f>SUM(B16:B17)</f>
        <v>0</v>
      </c>
      <c r="C15" s="145">
        <f>SUM(C16:C17)</f>
        <v>0</v>
      </c>
      <c r="D15" s="146" t="str">
        <f>IF(AND(B15=C15),"Yes", "No")</f>
        <v>Yes</v>
      </c>
      <c r="E15" s="147">
        <f>ABS(B15-C15)</f>
        <v>0</v>
      </c>
      <c r="F15" s="145">
        <f>SUM(F16:F17)</f>
        <v>0</v>
      </c>
      <c r="G15" s="146" t="str">
        <f>IF(AND(B15=F15),"Yes", "No")</f>
        <v>Yes</v>
      </c>
      <c r="H15" s="164">
        <f>ABS(B15-F15)</f>
        <v>0</v>
      </c>
      <c r="I15" s="144">
        <f>SUM(I16:I17)</f>
        <v>0</v>
      </c>
      <c r="J15" s="145">
        <f>SUM(J16:J17)</f>
        <v>0</v>
      </c>
      <c r="K15" s="146" t="str">
        <f>IF(AND(I15=J15),"Yes", "No")</f>
        <v>Yes</v>
      </c>
      <c r="L15" s="147">
        <f>ABS(I15-J15)</f>
        <v>0</v>
      </c>
      <c r="M15" s="145">
        <f>SUM(M16:M17)</f>
        <v>0</v>
      </c>
      <c r="N15" s="146" t="str">
        <f t="shared" ref="N15:N24" si="0">IF(AND(I15=M15),"Yes", "No")</f>
        <v>Yes</v>
      </c>
      <c r="O15" s="187">
        <f t="shared" ref="O15:O24" si="1">ABS(I15-M15)</f>
        <v>0</v>
      </c>
      <c r="P15" s="3"/>
      <c r="Q15" s="3"/>
      <c r="R15" s="3"/>
      <c r="S15" s="3"/>
      <c r="T15" s="3"/>
      <c r="U15" s="3"/>
      <c r="V15" s="3"/>
      <c r="W15" s="3"/>
      <c r="X15" s="3"/>
      <c r="Y15" s="3"/>
      <c r="Z15" s="3"/>
      <c r="AA15" s="3"/>
      <c r="AB15" s="3"/>
      <c r="AC15" s="3"/>
    </row>
    <row r="16" spans="1:29" ht="33.6" x14ac:dyDescent="0.4">
      <c r="A16" s="276" t="s">
        <v>334</v>
      </c>
      <c r="B16" s="277">
        <f>SUM(B113:B114)</f>
        <v>0</v>
      </c>
      <c r="C16" s="278">
        <f>SUM(B126:B127)</f>
        <v>0</v>
      </c>
      <c r="D16" s="279" t="str">
        <f t="shared" ref="D16:D24" si="2">IF(AND(B16=C16),"Yes", "No")</f>
        <v>Yes</v>
      </c>
      <c r="E16" s="278">
        <f>ABS(B16-C16)</f>
        <v>0</v>
      </c>
      <c r="F16" s="278">
        <f>SUM(B171:B175)</f>
        <v>0</v>
      </c>
      <c r="G16" s="280" t="str">
        <f>IF(AND(B16=F16),"Yes", "No")</f>
        <v>Yes</v>
      </c>
      <c r="H16" s="165">
        <f t="shared" ref="H16:H23" si="3">ABS(B16-F16)</f>
        <v>0</v>
      </c>
      <c r="I16" s="277">
        <f>SUM(C113:C114)</f>
        <v>0</v>
      </c>
      <c r="J16" s="278">
        <f>SUM(C126:C127)</f>
        <v>0</v>
      </c>
      <c r="K16" s="279" t="str">
        <f t="shared" ref="K16:K24" si="4">IF(AND(I16=J16),"Yes", "No")</f>
        <v>Yes</v>
      </c>
      <c r="L16" s="278">
        <f t="shared" ref="L16:L24" si="5">ABS(I16-J16)</f>
        <v>0</v>
      </c>
      <c r="M16" s="278">
        <f>SUM(C171:C175)</f>
        <v>0</v>
      </c>
      <c r="N16" s="280" t="str">
        <f t="shared" si="0"/>
        <v>Yes</v>
      </c>
      <c r="O16" s="188">
        <f>ABS(I16-M16)</f>
        <v>0</v>
      </c>
      <c r="P16"/>
      <c r="Q16"/>
      <c r="R16"/>
      <c r="S16"/>
      <c r="T16"/>
      <c r="U16"/>
      <c r="V16"/>
      <c r="W16"/>
      <c r="X16"/>
      <c r="Y16"/>
      <c r="Z16"/>
      <c r="AA16"/>
      <c r="AB16"/>
      <c r="AC16"/>
    </row>
    <row r="17" spans="1:33" ht="33.6" x14ac:dyDescent="0.4">
      <c r="A17" s="276" t="s">
        <v>335</v>
      </c>
      <c r="B17" s="277">
        <f>B117</f>
        <v>0</v>
      </c>
      <c r="C17" s="278">
        <f>B130</f>
        <v>0</v>
      </c>
      <c r="D17" s="279" t="str">
        <f t="shared" si="2"/>
        <v>Yes</v>
      </c>
      <c r="E17" s="278">
        <f t="shared" ref="E17:E24" si="6">ABS(B17-C17)</f>
        <v>0</v>
      </c>
      <c r="F17" s="278">
        <f>B180</f>
        <v>0</v>
      </c>
      <c r="G17" s="280" t="str">
        <f>IF(AND(B17=F17),"Yes", "No")</f>
        <v>Yes</v>
      </c>
      <c r="H17" s="165">
        <f t="shared" si="3"/>
        <v>0</v>
      </c>
      <c r="I17" s="277">
        <f>C117</f>
        <v>0</v>
      </c>
      <c r="J17" s="278">
        <f>C130</f>
        <v>0</v>
      </c>
      <c r="K17" s="279" t="str">
        <f t="shared" si="4"/>
        <v>Yes</v>
      </c>
      <c r="L17" s="278">
        <f t="shared" si="5"/>
        <v>0</v>
      </c>
      <c r="M17" s="278">
        <f>C180</f>
        <v>0</v>
      </c>
      <c r="N17" s="280" t="str">
        <f t="shared" si="0"/>
        <v>Yes</v>
      </c>
      <c r="O17" s="188">
        <f t="shared" si="1"/>
        <v>0</v>
      </c>
      <c r="P17"/>
      <c r="Q17"/>
      <c r="R17"/>
      <c r="S17"/>
      <c r="T17"/>
      <c r="U17"/>
      <c r="V17"/>
      <c r="W17"/>
      <c r="X17"/>
      <c r="Y17"/>
      <c r="Z17"/>
      <c r="AA17"/>
      <c r="AB17"/>
      <c r="AC17"/>
    </row>
    <row r="18" spans="1:33" s="148" customFormat="1" x14ac:dyDescent="0.4">
      <c r="A18" s="189" t="s">
        <v>336</v>
      </c>
      <c r="B18" s="149">
        <f>SUM(B19:B21)</f>
        <v>0</v>
      </c>
      <c r="C18" s="147">
        <f>SUM(C19:C21)</f>
        <v>0</v>
      </c>
      <c r="D18" s="146" t="str">
        <f t="shared" si="2"/>
        <v>Yes</v>
      </c>
      <c r="E18" s="147">
        <f t="shared" si="6"/>
        <v>0</v>
      </c>
      <c r="F18" s="147">
        <f>SUM(F19:F21)</f>
        <v>0</v>
      </c>
      <c r="G18" s="146" t="str">
        <f t="shared" ref="G18:G23" si="7">IF(AND(B18=F18),"Yes", "No")</f>
        <v>Yes</v>
      </c>
      <c r="H18" s="164">
        <f t="shared" si="3"/>
        <v>0</v>
      </c>
      <c r="I18" s="149">
        <f>SUM(I19:I21)</f>
        <v>0</v>
      </c>
      <c r="J18" s="147">
        <f>SUM(J19:J21)</f>
        <v>0</v>
      </c>
      <c r="K18" s="146" t="str">
        <f t="shared" si="4"/>
        <v>Yes</v>
      </c>
      <c r="L18" s="147">
        <f t="shared" si="5"/>
        <v>0</v>
      </c>
      <c r="M18" s="147">
        <f>SUM(M19:M21)</f>
        <v>0</v>
      </c>
      <c r="N18" s="146" t="str">
        <f t="shared" si="0"/>
        <v>Yes</v>
      </c>
      <c r="O18" s="187">
        <f t="shared" si="1"/>
        <v>0</v>
      </c>
      <c r="P18" s="3"/>
      <c r="Q18" s="3"/>
      <c r="R18" s="3"/>
      <c r="S18" s="3"/>
      <c r="T18" s="3"/>
      <c r="U18" s="3"/>
      <c r="V18" s="3"/>
      <c r="W18" s="3"/>
      <c r="X18" s="3"/>
      <c r="Y18" s="3"/>
      <c r="Z18" s="3"/>
      <c r="AA18" s="3"/>
      <c r="AB18" s="3"/>
      <c r="AC18" s="3"/>
    </row>
    <row r="19" spans="1:33" ht="59.25" customHeight="1" x14ac:dyDescent="0.4">
      <c r="A19" s="276" t="s">
        <v>337</v>
      </c>
      <c r="B19" s="277">
        <f>B111</f>
        <v>0</v>
      </c>
      <c r="C19" s="278">
        <f>B124</f>
        <v>0</v>
      </c>
      <c r="D19" s="279" t="str">
        <f t="shared" si="2"/>
        <v>Yes</v>
      </c>
      <c r="E19" s="278">
        <f t="shared" si="6"/>
        <v>0</v>
      </c>
      <c r="F19" s="278">
        <f>B176</f>
        <v>0</v>
      </c>
      <c r="G19" s="280" t="str">
        <f t="shared" si="7"/>
        <v>Yes</v>
      </c>
      <c r="H19" s="165">
        <f t="shared" si="3"/>
        <v>0</v>
      </c>
      <c r="I19" s="277">
        <f>C111</f>
        <v>0</v>
      </c>
      <c r="J19" s="278">
        <f>C124</f>
        <v>0</v>
      </c>
      <c r="K19" s="279" t="str">
        <f t="shared" si="4"/>
        <v>Yes</v>
      </c>
      <c r="L19" s="278">
        <f t="shared" si="5"/>
        <v>0</v>
      </c>
      <c r="M19" s="278">
        <f>C176</f>
        <v>0</v>
      </c>
      <c r="N19" s="280" t="str">
        <f t="shared" si="0"/>
        <v>Yes</v>
      </c>
      <c r="O19" s="188">
        <f t="shared" si="1"/>
        <v>0</v>
      </c>
      <c r="P19"/>
      <c r="Q19"/>
      <c r="R19"/>
      <c r="S19"/>
      <c r="T19"/>
      <c r="U19"/>
      <c r="V19"/>
      <c r="W19"/>
      <c r="X19"/>
      <c r="Y19"/>
      <c r="Z19"/>
      <c r="AA19"/>
      <c r="AB19"/>
      <c r="AC19"/>
    </row>
    <row r="20" spans="1:33" ht="33.6" x14ac:dyDescent="0.4">
      <c r="A20" s="276" t="s">
        <v>338</v>
      </c>
      <c r="B20" s="277">
        <f>B115</f>
        <v>0</v>
      </c>
      <c r="C20" s="278">
        <f>B128</f>
        <v>0</v>
      </c>
      <c r="D20" s="279" t="str">
        <f t="shared" si="2"/>
        <v>Yes</v>
      </c>
      <c r="E20" s="278">
        <f t="shared" si="6"/>
        <v>0</v>
      </c>
      <c r="F20" s="278">
        <f>B178</f>
        <v>0</v>
      </c>
      <c r="G20" s="280" t="str">
        <f t="shared" si="7"/>
        <v>Yes</v>
      </c>
      <c r="H20" s="165">
        <f t="shared" si="3"/>
        <v>0</v>
      </c>
      <c r="I20" s="277">
        <f>C115</f>
        <v>0</v>
      </c>
      <c r="J20" s="278">
        <f>C128</f>
        <v>0</v>
      </c>
      <c r="K20" s="279" t="str">
        <f t="shared" si="4"/>
        <v>Yes</v>
      </c>
      <c r="L20" s="278">
        <f t="shared" si="5"/>
        <v>0</v>
      </c>
      <c r="M20" s="278">
        <f>C178</f>
        <v>0</v>
      </c>
      <c r="N20" s="280" t="str">
        <f t="shared" si="0"/>
        <v>Yes</v>
      </c>
      <c r="O20" s="188">
        <f t="shared" si="1"/>
        <v>0</v>
      </c>
      <c r="P20"/>
      <c r="Q20"/>
      <c r="R20"/>
      <c r="S20"/>
      <c r="T20"/>
      <c r="U20"/>
      <c r="V20"/>
      <c r="W20"/>
      <c r="X20"/>
      <c r="Y20"/>
      <c r="Z20"/>
      <c r="AA20"/>
      <c r="AB20"/>
      <c r="AC20"/>
    </row>
    <row r="21" spans="1:33" ht="33.6" x14ac:dyDescent="0.4">
      <c r="A21" s="276" t="s">
        <v>339</v>
      </c>
      <c r="B21" s="277">
        <f>B118</f>
        <v>0</v>
      </c>
      <c r="C21" s="278">
        <f>B131</f>
        <v>0</v>
      </c>
      <c r="D21" s="279" t="str">
        <f t="shared" si="2"/>
        <v>Yes</v>
      </c>
      <c r="E21" s="278">
        <f t="shared" si="6"/>
        <v>0</v>
      </c>
      <c r="F21" s="278">
        <f>B181</f>
        <v>0</v>
      </c>
      <c r="G21" s="280" t="str">
        <f t="shared" si="7"/>
        <v>Yes</v>
      </c>
      <c r="H21" s="165">
        <f t="shared" si="3"/>
        <v>0</v>
      </c>
      <c r="I21" s="277">
        <f>C118</f>
        <v>0</v>
      </c>
      <c r="J21" s="278">
        <f>C131</f>
        <v>0</v>
      </c>
      <c r="K21" s="279" t="str">
        <f t="shared" si="4"/>
        <v>Yes</v>
      </c>
      <c r="L21" s="278">
        <f t="shared" si="5"/>
        <v>0</v>
      </c>
      <c r="M21" s="278">
        <f>C181</f>
        <v>0</v>
      </c>
      <c r="N21" s="280" t="str">
        <f t="shared" si="0"/>
        <v>Yes</v>
      </c>
      <c r="O21" s="188">
        <f t="shared" si="1"/>
        <v>0</v>
      </c>
      <c r="P21"/>
      <c r="Q21"/>
      <c r="R21"/>
      <c r="S21"/>
      <c r="T21"/>
      <c r="U21"/>
      <c r="V21"/>
      <c r="W21"/>
      <c r="X21"/>
      <c r="Y21"/>
      <c r="Z21"/>
      <c r="AA21"/>
      <c r="AB21"/>
      <c r="AC21"/>
    </row>
    <row r="22" spans="1:33" s="148" customFormat="1" x14ac:dyDescent="0.4">
      <c r="A22" s="183" t="s">
        <v>340</v>
      </c>
      <c r="B22" s="149">
        <f>SUM(B23:B24)</f>
        <v>0</v>
      </c>
      <c r="C22" s="147">
        <f>SUM(C23:C24)</f>
        <v>0</v>
      </c>
      <c r="D22" s="146" t="str">
        <f t="shared" si="2"/>
        <v>Yes</v>
      </c>
      <c r="E22" s="147">
        <f t="shared" si="6"/>
        <v>0</v>
      </c>
      <c r="F22" s="147">
        <f>SUM(F23:F24)</f>
        <v>0</v>
      </c>
      <c r="G22" s="146" t="str">
        <f t="shared" si="7"/>
        <v>Yes</v>
      </c>
      <c r="H22" s="164">
        <f t="shared" si="3"/>
        <v>0</v>
      </c>
      <c r="I22" s="149">
        <f>SUM(I23:I24)</f>
        <v>0</v>
      </c>
      <c r="J22" s="147">
        <f>SUM(J23:J24)</f>
        <v>0</v>
      </c>
      <c r="K22" s="146" t="str">
        <f t="shared" si="4"/>
        <v>Yes</v>
      </c>
      <c r="L22" s="147">
        <f t="shared" si="5"/>
        <v>0</v>
      </c>
      <c r="M22" s="147">
        <f>SUM(M23:M24)</f>
        <v>0</v>
      </c>
      <c r="N22" s="146" t="str">
        <f t="shared" si="0"/>
        <v>Yes</v>
      </c>
      <c r="O22" s="187">
        <f t="shared" si="1"/>
        <v>0</v>
      </c>
      <c r="P22" s="3"/>
      <c r="Q22" s="3"/>
      <c r="R22" s="3"/>
      <c r="S22" s="3"/>
      <c r="T22" s="3"/>
      <c r="U22" s="3"/>
      <c r="V22" s="3"/>
      <c r="W22" s="3"/>
      <c r="X22" s="3"/>
      <c r="Y22" s="3"/>
      <c r="Z22" s="3"/>
      <c r="AA22" s="3"/>
      <c r="AB22" s="3"/>
      <c r="AC22" s="3"/>
    </row>
    <row r="23" spans="1:33" ht="33.6" x14ac:dyDescent="0.4">
      <c r="A23" s="276" t="s">
        <v>341</v>
      </c>
      <c r="B23" s="277">
        <f>B112</f>
        <v>0</v>
      </c>
      <c r="C23" s="278">
        <f>B125</f>
        <v>0</v>
      </c>
      <c r="D23" s="279" t="str">
        <f t="shared" si="2"/>
        <v>Yes</v>
      </c>
      <c r="E23" s="278">
        <f t="shared" si="6"/>
        <v>0</v>
      </c>
      <c r="F23" s="278">
        <f>B177</f>
        <v>0</v>
      </c>
      <c r="G23" s="280" t="str">
        <f t="shared" si="7"/>
        <v>Yes</v>
      </c>
      <c r="H23" s="165">
        <f t="shared" si="3"/>
        <v>0</v>
      </c>
      <c r="I23" s="277">
        <f>C112</f>
        <v>0</v>
      </c>
      <c r="J23" s="278">
        <f>C125</f>
        <v>0</v>
      </c>
      <c r="K23" s="279" t="str">
        <f t="shared" si="4"/>
        <v>Yes</v>
      </c>
      <c r="L23" s="278">
        <f t="shared" si="5"/>
        <v>0</v>
      </c>
      <c r="M23" s="278">
        <f>C177</f>
        <v>0</v>
      </c>
      <c r="N23" s="280" t="str">
        <f>IF(AND(I23=M23),"Yes", "No")</f>
        <v>Yes</v>
      </c>
      <c r="O23" s="188">
        <f t="shared" si="1"/>
        <v>0</v>
      </c>
      <c r="P23"/>
      <c r="Q23"/>
      <c r="R23"/>
      <c r="S23"/>
      <c r="T23"/>
      <c r="U23"/>
      <c r="V23"/>
      <c r="W23"/>
      <c r="X23"/>
      <c r="Y23"/>
      <c r="Z23"/>
      <c r="AA23"/>
      <c r="AB23"/>
      <c r="AC23"/>
    </row>
    <row r="24" spans="1:33" ht="33.6" x14ac:dyDescent="0.4">
      <c r="A24" s="276" t="s">
        <v>342</v>
      </c>
      <c r="B24" s="277">
        <f>B116</f>
        <v>0</v>
      </c>
      <c r="C24" s="278">
        <f>B129</f>
        <v>0</v>
      </c>
      <c r="D24" s="279" t="str">
        <f t="shared" si="2"/>
        <v>Yes</v>
      </c>
      <c r="E24" s="278">
        <f t="shared" si="6"/>
        <v>0</v>
      </c>
      <c r="F24" s="278">
        <f>B179</f>
        <v>0</v>
      </c>
      <c r="G24" s="280" t="str">
        <f>IF(AND(B24=F24),"Yes", "No")</f>
        <v>Yes</v>
      </c>
      <c r="H24" s="165">
        <f>ABS(B24-F24)</f>
        <v>0</v>
      </c>
      <c r="I24" s="277">
        <f>C116</f>
        <v>0</v>
      </c>
      <c r="J24" s="278">
        <f>C129</f>
        <v>0</v>
      </c>
      <c r="K24" s="279" t="str">
        <f t="shared" si="4"/>
        <v>Yes</v>
      </c>
      <c r="L24" s="278">
        <f t="shared" si="5"/>
        <v>0</v>
      </c>
      <c r="M24" s="278">
        <f>C179</f>
        <v>0</v>
      </c>
      <c r="N24" s="280" t="str">
        <f t="shared" si="0"/>
        <v>Yes</v>
      </c>
      <c r="O24" s="188">
        <f t="shared" si="1"/>
        <v>0</v>
      </c>
      <c r="P24"/>
      <c r="Q24"/>
      <c r="R24"/>
      <c r="S24"/>
      <c r="T24"/>
      <c r="U24"/>
      <c r="V24"/>
      <c r="W24"/>
      <c r="X24"/>
      <c r="Y24"/>
      <c r="Z24"/>
      <c r="AA24"/>
      <c r="AB24"/>
      <c r="AC24"/>
    </row>
    <row r="25" spans="1:33" x14ac:dyDescent="0.4">
      <c r="A25"/>
      <c r="B25"/>
      <c r="C25"/>
      <c r="D25"/>
      <c r="E25"/>
      <c r="F25"/>
      <c r="G25"/>
      <c r="H25"/>
      <c r="I25"/>
      <c r="J25"/>
      <c r="K25"/>
      <c r="L25"/>
      <c r="M25"/>
      <c r="N25"/>
      <c r="O25"/>
      <c r="P25"/>
      <c r="Q25"/>
      <c r="R25"/>
      <c r="S25"/>
      <c r="T25"/>
      <c r="U25"/>
      <c r="V25"/>
      <c r="W25"/>
      <c r="X25"/>
      <c r="Y25"/>
      <c r="Z25"/>
      <c r="AA25"/>
      <c r="AB25"/>
      <c r="AC25"/>
    </row>
    <row r="26" spans="1:33" x14ac:dyDescent="0.4">
      <c r="A26"/>
      <c r="B26"/>
      <c r="C26"/>
      <c r="D26"/>
      <c r="E26"/>
      <c r="F26"/>
      <c r="G26"/>
      <c r="H26"/>
      <c r="I26"/>
      <c r="J26"/>
      <c r="K26"/>
      <c r="L26"/>
      <c r="M26"/>
      <c r="N26"/>
      <c r="O26"/>
      <c r="P26"/>
      <c r="Q26"/>
      <c r="R26"/>
      <c r="S26"/>
      <c r="T26"/>
      <c r="U26"/>
      <c r="V26"/>
      <c r="W26"/>
      <c r="X26"/>
      <c r="Y26"/>
      <c r="Z26"/>
      <c r="AA26"/>
      <c r="AB26"/>
      <c r="AC26"/>
    </row>
    <row r="27" spans="1:33" x14ac:dyDescent="0.4">
      <c r="A27" s="3" t="s">
        <v>343</v>
      </c>
      <c r="B27"/>
      <c r="C27"/>
      <c r="D27"/>
      <c r="E27"/>
      <c r="F27"/>
      <c r="G27"/>
      <c r="H27"/>
      <c r="I27"/>
      <c r="J27"/>
      <c r="K27"/>
      <c r="L27"/>
      <c r="M27"/>
      <c r="N27"/>
      <c r="O27"/>
      <c r="P27"/>
      <c r="Q27"/>
      <c r="R27"/>
      <c r="S27"/>
      <c r="T27"/>
      <c r="U27"/>
      <c r="V27"/>
      <c r="W27"/>
      <c r="X27"/>
      <c r="Y27"/>
      <c r="Z27"/>
      <c r="AA27"/>
      <c r="AB27"/>
      <c r="AC27"/>
      <c r="AG27" s="11" t="s">
        <v>344</v>
      </c>
    </row>
    <row r="28" spans="1:33" x14ac:dyDescent="0.4">
      <c r="A28" s="657" t="s">
        <v>345</v>
      </c>
      <c r="B28" s="657"/>
      <c r="C28" s="657"/>
      <c r="D28" s="657"/>
      <c r="E28" s="657"/>
      <c r="F28" s="657"/>
      <c r="G28" s="657"/>
      <c r="H28" s="657"/>
      <c r="I28" s="657"/>
      <c r="J28" s="657"/>
      <c r="K28" s="657"/>
      <c r="L28" s="657"/>
      <c r="M28" s="657"/>
      <c r="N28" s="657"/>
      <c r="O28" s="657"/>
      <c r="P28" s="657"/>
      <c r="Q28" s="657"/>
      <c r="R28" s="657"/>
      <c r="S28" s="657"/>
      <c r="T28" s="657"/>
      <c r="U28" s="657"/>
      <c r="V28" s="657"/>
      <c r="W28" s="657"/>
      <c r="X28" s="657"/>
      <c r="Y28" s="657"/>
      <c r="Z28" s="657"/>
      <c r="AA28" s="657"/>
      <c r="AB28" s="657"/>
      <c r="AC28" s="657"/>
    </row>
    <row r="29" spans="1:33" x14ac:dyDescent="0.4">
      <c r="A29" s="592" t="s">
        <v>346</v>
      </c>
      <c r="B29" s="644">
        <v>2024</v>
      </c>
      <c r="C29" s="645"/>
      <c r="D29" s="645"/>
      <c r="E29" s="645"/>
      <c r="F29" s="645"/>
      <c r="G29" s="645"/>
      <c r="H29" s="645"/>
      <c r="I29" s="645"/>
      <c r="J29" s="645"/>
      <c r="K29" s="645"/>
      <c r="L29" s="645"/>
      <c r="M29" s="645"/>
      <c r="N29" s="645"/>
      <c r="O29" s="646"/>
      <c r="P29" s="641">
        <v>2025</v>
      </c>
      <c r="Q29" s="652"/>
      <c r="R29" s="652"/>
      <c r="S29" s="652"/>
      <c r="T29" s="652"/>
      <c r="U29" s="652"/>
      <c r="V29" s="652"/>
      <c r="W29" s="652"/>
      <c r="X29" s="652"/>
      <c r="Y29" s="652"/>
      <c r="Z29" s="652"/>
      <c r="AA29" s="652"/>
      <c r="AB29" s="652"/>
      <c r="AC29" s="642"/>
      <c r="AG29" s="122"/>
    </row>
    <row r="30" spans="1:33" ht="65.25" customHeight="1" x14ac:dyDescent="0.4">
      <c r="A30" s="592"/>
      <c r="B30" s="74" t="s">
        <v>347</v>
      </c>
      <c r="C30" s="75" t="s">
        <v>348</v>
      </c>
      <c r="D30" s="72" t="s">
        <v>349</v>
      </c>
      <c r="E30" s="72" t="s">
        <v>350</v>
      </c>
      <c r="F30" s="75" t="s">
        <v>351</v>
      </c>
      <c r="G30" s="72" t="s">
        <v>352</v>
      </c>
      <c r="H30" s="72" t="s">
        <v>353</v>
      </c>
      <c r="I30" s="75" t="s">
        <v>328</v>
      </c>
      <c r="J30" s="75" t="s">
        <v>329</v>
      </c>
      <c r="K30" s="72" t="s">
        <v>354</v>
      </c>
      <c r="L30" s="72" t="s">
        <v>355</v>
      </c>
      <c r="M30" s="75" t="s">
        <v>356</v>
      </c>
      <c r="N30" s="72" t="s">
        <v>357</v>
      </c>
      <c r="O30" s="73" t="s">
        <v>355</v>
      </c>
      <c r="P30" s="77" t="s">
        <v>347</v>
      </c>
      <c r="Q30" s="78" t="s">
        <v>348</v>
      </c>
      <c r="R30" s="79" t="s">
        <v>330</v>
      </c>
      <c r="S30" s="79" t="s">
        <v>331</v>
      </c>
      <c r="T30" s="78" t="s">
        <v>351</v>
      </c>
      <c r="U30" s="79" t="s">
        <v>358</v>
      </c>
      <c r="V30" s="79" t="s">
        <v>359</v>
      </c>
      <c r="W30" s="78" t="s">
        <v>328</v>
      </c>
      <c r="X30" s="78" t="s">
        <v>329</v>
      </c>
      <c r="Y30" s="79" t="s">
        <v>330</v>
      </c>
      <c r="Z30" s="79" t="s">
        <v>331</v>
      </c>
      <c r="AA30" s="78" t="s">
        <v>356</v>
      </c>
      <c r="AB30" s="79" t="s">
        <v>358</v>
      </c>
      <c r="AC30" s="79" t="s">
        <v>359</v>
      </c>
    </row>
    <row r="31" spans="1:33" ht="30" customHeight="1" x14ac:dyDescent="0.4">
      <c r="A31" s="48" t="s">
        <v>360</v>
      </c>
      <c r="B31" s="161">
        <f>SUM(L111,L115,L118)</f>
        <v>0</v>
      </c>
      <c r="C31" s="162">
        <f>SUM(H124,H128,H131)</f>
        <v>0</v>
      </c>
      <c r="D31" s="281" t="str">
        <f>IFERROR(IF(AND(E31&lt;10),"Yes","No"),"NA")</f>
        <v>Yes</v>
      </c>
      <c r="E31" s="163">
        <f>IFERROR(ABS(B31-C31),"NA")</f>
        <v>0</v>
      </c>
      <c r="F31" s="163">
        <f>D163</f>
        <v>0</v>
      </c>
      <c r="G31" s="281" t="str">
        <f>IFERROR(IF(AND(H31&lt;10),"Yes","No"),"NA")</f>
        <v>Yes</v>
      </c>
      <c r="H31" s="163">
        <f>IFERROR(ABS(B31-F31),"NA")</f>
        <v>0</v>
      </c>
      <c r="I31" s="8">
        <f>SUM(B111,B115,B118)</f>
        <v>0</v>
      </c>
      <c r="J31" s="8">
        <f>SUM(B124,B128,B131)</f>
        <v>0</v>
      </c>
      <c r="K31" s="281" t="str">
        <f>IFERROR(IF(AND(L31&lt;10),"Yes","No"),"NA")</f>
        <v>Yes</v>
      </c>
      <c r="L31" s="281">
        <f>IFERROR(ABS(I31-J31),"NA")</f>
        <v>0</v>
      </c>
      <c r="M31" s="8">
        <f>B163</f>
        <v>0</v>
      </c>
      <c r="N31" s="281" t="str">
        <f>IFERROR(IF(AND(O31&lt;10),"Yes","No"),"NA")</f>
        <v>Yes</v>
      </c>
      <c r="O31" s="391">
        <f>IFERROR(ABS(I31-M31),"NA")</f>
        <v>0</v>
      </c>
      <c r="P31" s="161">
        <f>SUM(M111,M115,M118)</f>
        <v>0</v>
      </c>
      <c r="Q31" s="88">
        <f>SUM(I124,I128,I131)</f>
        <v>0</v>
      </c>
      <c r="R31" s="281" t="str">
        <f>IFERROR(IF(AND(S31&lt;10),"Yes","No"),"NA")</f>
        <v>Yes</v>
      </c>
      <c r="S31" s="163">
        <f>IFERROR(ABS(P31-Q31),"NA")</f>
        <v>0</v>
      </c>
      <c r="T31" s="163">
        <f>E163</f>
        <v>0</v>
      </c>
      <c r="U31" s="281" t="str">
        <f>IFERROR(IF(AND(V31&lt;10),"Yes","No"),"NA")</f>
        <v>Yes</v>
      </c>
      <c r="V31" s="163">
        <f>IFERROR(ABS(P31-T31),"NA")</f>
        <v>0</v>
      </c>
      <c r="W31" s="8">
        <f>SUM(C111,C115,C118)</f>
        <v>0</v>
      </c>
      <c r="X31" s="8">
        <f>SUM(C124,C128,C131)</f>
        <v>0</v>
      </c>
      <c r="Y31" s="281" t="str">
        <f>IFERROR(IF(AND(Z31&lt;10),"Yes","No"),"NA")</f>
        <v>Yes</v>
      </c>
      <c r="Z31" s="281">
        <f>IFERROR(ABS(W31-X31),"NA")</f>
        <v>0</v>
      </c>
      <c r="AA31" s="8">
        <f>C163</f>
        <v>0</v>
      </c>
      <c r="AB31" s="281" t="str">
        <f>IFERROR(IF(AND(AC31&lt;10),"Yes","No"),"NA")</f>
        <v>Yes</v>
      </c>
      <c r="AC31" s="8">
        <f>IFERROR(ABS(W31-AA31),"NA")</f>
        <v>0</v>
      </c>
    </row>
    <row r="32" spans="1:33" ht="30" customHeight="1" x14ac:dyDescent="0.4">
      <c r="A32" s="48" t="s">
        <v>361</v>
      </c>
      <c r="B32" s="161">
        <f>SUM(L112,L116)</f>
        <v>0</v>
      </c>
      <c r="C32" s="162">
        <f>SUM(H125,H129)</f>
        <v>0</v>
      </c>
      <c r="D32" s="281" t="str">
        <f>IFERROR(IF(AND(E32&lt;10),"Yes","No"),"NA")</f>
        <v>Yes</v>
      </c>
      <c r="E32" s="163">
        <f>IFERROR(ABS(B32-C32),"NA")</f>
        <v>0</v>
      </c>
      <c r="F32" s="163">
        <f>D164</f>
        <v>0</v>
      </c>
      <c r="G32" s="281" t="str">
        <f>IFERROR(IF(AND(H32&lt;10),"Yes","No"),"NA")</f>
        <v>Yes</v>
      </c>
      <c r="H32" s="163">
        <f>IFERROR(ABS(B32-F32),"NA")</f>
        <v>0</v>
      </c>
      <c r="I32" s="8">
        <f>SUM(B112,B116)</f>
        <v>0</v>
      </c>
      <c r="J32" s="8">
        <f>SUM(B125,B129)</f>
        <v>0</v>
      </c>
      <c r="K32" s="281" t="str">
        <f>IFERROR(IF(AND(L32&lt;10),"Yes","No"),"NA")</f>
        <v>Yes</v>
      </c>
      <c r="L32" s="281">
        <f>IFERROR(ABS(I32-J32),"NA")</f>
        <v>0</v>
      </c>
      <c r="M32" s="8">
        <f>B164</f>
        <v>0</v>
      </c>
      <c r="N32" s="281" t="str">
        <f>IFERROR(IF(AND(O32&lt;10),"Yes","No"),"NA")</f>
        <v>Yes</v>
      </c>
      <c r="O32" s="391">
        <f>IFERROR(ABS(I32-M32),"NA")</f>
        <v>0</v>
      </c>
      <c r="P32" s="161">
        <f>SUM(M112,M116)</f>
        <v>0</v>
      </c>
      <c r="Q32" s="162">
        <f>SUM(I125,I129)</f>
        <v>0</v>
      </c>
      <c r="R32" s="281" t="str">
        <f>IFERROR(IF(AND(S32&lt;10),"Yes","No"),"NA")</f>
        <v>Yes</v>
      </c>
      <c r="S32" s="163">
        <f>IFERROR(ABS(P32-Q32),"NA")</f>
        <v>0</v>
      </c>
      <c r="T32" s="163">
        <f>E164</f>
        <v>0</v>
      </c>
      <c r="U32" s="281" t="str">
        <f>IFERROR(IF(AND(V32&lt;10),"Yes","No"),"NA")</f>
        <v>Yes</v>
      </c>
      <c r="V32" s="163">
        <f>IFERROR(ABS(P32-T32),"NA")</f>
        <v>0</v>
      </c>
      <c r="W32" s="8">
        <f>SUM(C112,C116)</f>
        <v>0</v>
      </c>
      <c r="X32" s="8">
        <f>SUM(C125,C129)</f>
        <v>0</v>
      </c>
      <c r="Y32" s="281" t="str">
        <f>IFERROR(IF(AND(Z32&lt;10),"Yes","No"),"NA")</f>
        <v>Yes</v>
      </c>
      <c r="Z32" s="281">
        <f>IFERROR(ABS(W32-X32),"NA")</f>
        <v>0</v>
      </c>
      <c r="AA32" s="8">
        <f>C164</f>
        <v>0</v>
      </c>
      <c r="AB32" s="281" t="str">
        <f>IFERROR(IF(AND(AC32&lt;10),"Yes","No"),"NA")</f>
        <v>Yes</v>
      </c>
      <c r="AC32" s="8">
        <f>IFERROR(ABS(W32-AA32),"NA")</f>
        <v>0</v>
      </c>
    </row>
    <row r="33" spans="1:30" ht="30" customHeight="1" x14ac:dyDescent="0.4">
      <c r="A33" s="48" t="s">
        <v>362</v>
      </c>
      <c r="B33" s="161">
        <f>SUM(L113,L114,L117)</f>
        <v>0</v>
      </c>
      <c r="C33" s="162">
        <f>SUM(H126,H127,H130)</f>
        <v>0</v>
      </c>
      <c r="D33" s="281" t="str">
        <f>IFERROR(IF(AND(E33&lt;10),"Yes","No"),"NA")</f>
        <v>Yes</v>
      </c>
      <c r="E33" s="163">
        <f>IFERROR(ABS(B33-C33),"NA")</f>
        <v>0</v>
      </c>
      <c r="F33" s="163">
        <f>D165</f>
        <v>0</v>
      </c>
      <c r="G33" s="281" t="str">
        <f>IFERROR(IF(AND(H33&lt;10),"Yes","No"),"NA")</f>
        <v>Yes</v>
      </c>
      <c r="H33" s="163">
        <f>IFERROR(ABS(B33-F33),"NA")</f>
        <v>0</v>
      </c>
      <c r="I33" s="8">
        <f>SUM(B113, B114,B117)</f>
        <v>0</v>
      </c>
      <c r="J33" s="8">
        <f>SUM(B126,B127,B130)</f>
        <v>0</v>
      </c>
      <c r="K33" s="281" t="str">
        <f>IFERROR(IF(AND(L33&lt;10),"Yes","No"),"NA")</f>
        <v>Yes</v>
      </c>
      <c r="L33" s="281">
        <f>IFERROR(ABS(I33-J33),"NA")</f>
        <v>0</v>
      </c>
      <c r="M33" s="8">
        <f>B165</f>
        <v>0</v>
      </c>
      <c r="N33" s="281" t="str">
        <f>IFERROR(IF(AND(O33&lt;10),"Yes","No"),"NA")</f>
        <v>Yes</v>
      </c>
      <c r="O33" s="391">
        <f>IFERROR(ABS(I33-M33),"NA")</f>
        <v>0</v>
      </c>
      <c r="P33" s="161">
        <f>SUM(M113,M114,M117)</f>
        <v>0</v>
      </c>
      <c r="Q33" s="162">
        <f>SUM(I126,I127,I130)</f>
        <v>0</v>
      </c>
      <c r="R33" s="281" t="str">
        <f>IFERROR(IF(AND(S33&lt;10),"Yes","No"),"NA")</f>
        <v>Yes</v>
      </c>
      <c r="S33" s="163">
        <f>IFERROR(ABS(P33-Q33),"NA")</f>
        <v>0</v>
      </c>
      <c r="T33" s="163">
        <f>E165</f>
        <v>0</v>
      </c>
      <c r="U33" s="281" t="str">
        <f>IFERROR(IF(AND(V33&lt;10),"Yes","No"),"NA")</f>
        <v>Yes</v>
      </c>
      <c r="V33" s="163">
        <f>IFERROR(ABS(P33-T33),"NA")</f>
        <v>0</v>
      </c>
      <c r="W33" s="8">
        <f>SUM(C113,C114,C117)</f>
        <v>0</v>
      </c>
      <c r="X33" s="8">
        <f>SUM(C126,C127,C130)</f>
        <v>0</v>
      </c>
      <c r="Y33" s="281" t="str">
        <f>IFERROR(IF(AND(Z33&lt;10),"Yes","No"),"NA")</f>
        <v>Yes</v>
      </c>
      <c r="Z33" s="281">
        <f>IFERROR(ABS(W33-X33),"NA")</f>
        <v>0</v>
      </c>
      <c r="AA33" s="8">
        <f>C165</f>
        <v>0</v>
      </c>
      <c r="AB33" s="281" t="str">
        <f>IFERROR(IF(AND(AC33&lt;10),"Yes","No"),"NA")</f>
        <v>Yes</v>
      </c>
      <c r="AC33" s="8">
        <f>IFERROR(ABS(W33-AA33),"NA")</f>
        <v>0</v>
      </c>
    </row>
    <row r="34" spans="1:30" x14ac:dyDescent="0.4">
      <c r="A34"/>
      <c r="B34" s="125"/>
      <c r="C34"/>
      <c r="D34" s="2"/>
      <c r="E34"/>
      <c r="F34"/>
      <c r="G34"/>
      <c r="H34"/>
      <c r="I34"/>
      <c r="J34"/>
      <c r="K34"/>
      <c r="L34"/>
      <c r="M34"/>
      <c r="N34"/>
      <c r="O34"/>
      <c r="P34"/>
      <c r="Q34"/>
      <c r="R34"/>
      <c r="S34"/>
      <c r="T34"/>
      <c r="U34"/>
      <c r="V34"/>
      <c r="W34"/>
      <c r="X34"/>
      <c r="Y34"/>
      <c r="Z34"/>
      <c r="AA34"/>
      <c r="AB34"/>
      <c r="AC34"/>
    </row>
    <row r="35" spans="1:30" x14ac:dyDescent="0.4">
      <c r="A35"/>
      <c r="B35"/>
      <c r="C35" s="143"/>
      <c r="D35" s="2"/>
      <c r="E35"/>
      <c r="F35"/>
      <c r="G35"/>
      <c r="H35"/>
      <c r="I35"/>
      <c r="J35"/>
      <c r="K35"/>
      <c r="L35"/>
      <c r="M35"/>
      <c r="N35"/>
      <c r="O35"/>
      <c r="P35"/>
      <c r="Q35"/>
      <c r="R35"/>
      <c r="S35"/>
      <c r="T35"/>
      <c r="U35"/>
      <c r="V35"/>
      <c r="W35"/>
      <c r="X35"/>
      <c r="Y35"/>
      <c r="Z35"/>
      <c r="AA35"/>
      <c r="AB35"/>
      <c r="AC35"/>
    </row>
    <row r="36" spans="1:30" x14ac:dyDescent="0.4">
      <c r="A36" s="4" t="s">
        <v>363</v>
      </c>
      <c r="B36"/>
      <c r="C36"/>
      <c r="D36"/>
      <c r="E36"/>
      <c r="F36"/>
      <c r="G36"/>
      <c r="H36"/>
      <c r="I36"/>
      <c r="J36"/>
      <c r="K36"/>
      <c r="L36"/>
      <c r="M36"/>
      <c r="N36"/>
      <c r="O36"/>
      <c r="P36"/>
      <c r="Q36"/>
      <c r="R36"/>
      <c r="S36" s="392"/>
      <c r="T36"/>
      <c r="U36"/>
      <c r="V36"/>
      <c r="W36"/>
      <c r="X36"/>
      <c r="Y36"/>
      <c r="Z36"/>
      <c r="AA36"/>
      <c r="AB36"/>
      <c r="AC36"/>
    </row>
    <row r="37" spans="1:30" x14ac:dyDescent="0.4">
      <c r="A37" s="182" t="s">
        <v>364</v>
      </c>
      <c r="B37" s="274"/>
      <c r="C37" s="274"/>
      <c r="D37" s="274"/>
      <c r="E37" s="274"/>
      <c r="F37" s="274"/>
      <c r="G37" s="274"/>
      <c r="H37" s="274"/>
      <c r="I37" s="274"/>
      <c r="J37" s="274"/>
      <c r="K37" s="274"/>
      <c r="L37" s="274"/>
      <c r="M37" s="274"/>
      <c r="N37" s="274"/>
      <c r="O37" s="274"/>
      <c r="P37" s="274"/>
      <c r="Q37" s="274"/>
      <c r="R37" s="274"/>
      <c r="S37" s="429"/>
      <c r="T37" s="274"/>
      <c r="U37" s="274"/>
      <c r="V37"/>
      <c r="W37"/>
      <c r="X37"/>
      <c r="Y37"/>
      <c r="Z37"/>
      <c r="AA37"/>
      <c r="AB37"/>
      <c r="AC37"/>
    </row>
    <row r="38" spans="1:30" s="283" customFormat="1" ht="60" customHeight="1" x14ac:dyDescent="0.4">
      <c r="A38" s="643" t="s">
        <v>365</v>
      </c>
      <c r="B38" s="643"/>
      <c r="C38" s="643"/>
      <c r="D38" s="643"/>
      <c r="E38" s="643"/>
      <c r="F38" s="643"/>
      <c r="G38" s="643"/>
      <c r="H38" s="643"/>
      <c r="I38" s="643"/>
      <c r="J38" s="643"/>
      <c r="K38" s="643"/>
      <c r="L38" s="643"/>
      <c r="M38" s="643"/>
      <c r="N38" s="643"/>
      <c r="O38" s="643"/>
      <c r="P38" s="643"/>
      <c r="Q38" s="643"/>
      <c r="R38" s="430"/>
      <c r="S38" s="431"/>
      <c r="T38" s="430"/>
      <c r="U38" s="430"/>
      <c r="V38" s="282"/>
      <c r="W38" s="282"/>
      <c r="X38" s="282"/>
      <c r="Y38" s="282"/>
      <c r="Z38" s="282"/>
      <c r="AA38" s="282"/>
      <c r="AB38" s="282"/>
      <c r="AC38" s="282"/>
    </row>
    <row r="39" spans="1:30" x14ac:dyDescent="0.4">
      <c r="A39" s="653" t="s">
        <v>56</v>
      </c>
      <c r="B39" s="654">
        <v>2024</v>
      </c>
      <c r="C39" s="651"/>
      <c r="D39" s="651"/>
      <c r="E39" s="651"/>
      <c r="F39" s="651"/>
      <c r="G39" s="651"/>
      <c r="H39" s="651"/>
      <c r="I39" s="651"/>
      <c r="J39" s="651"/>
      <c r="K39" s="655"/>
      <c r="L39" s="656">
        <v>2025</v>
      </c>
      <c r="M39" s="621"/>
      <c r="N39" s="621"/>
      <c r="O39" s="621"/>
      <c r="P39" s="621"/>
      <c r="Q39" s="621"/>
      <c r="R39" s="621"/>
      <c r="S39" s="621"/>
      <c r="T39" s="621"/>
      <c r="U39" s="621"/>
      <c r="V39"/>
      <c r="W39"/>
      <c r="X39"/>
      <c r="Y39"/>
      <c r="Z39"/>
      <c r="AA39"/>
      <c r="AB39"/>
      <c r="AC39"/>
    </row>
    <row r="40" spans="1:30" ht="142.5" customHeight="1" x14ac:dyDescent="0.4">
      <c r="A40" s="653"/>
      <c r="B40" s="85" t="s">
        <v>366</v>
      </c>
      <c r="C40" s="85" t="s">
        <v>188</v>
      </c>
      <c r="D40" s="87" t="s">
        <v>367</v>
      </c>
      <c r="E40" s="87" t="s">
        <v>368</v>
      </c>
      <c r="F40" s="85" t="s">
        <v>369</v>
      </c>
      <c r="G40" s="85" t="s">
        <v>370</v>
      </c>
      <c r="H40" s="85" t="s">
        <v>347</v>
      </c>
      <c r="I40" s="87" t="s">
        <v>371</v>
      </c>
      <c r="J40" s="87" t="s">
        <v>372</v>
      </c>
      <c r="K40" s="87" t="s">
        <v>587</v>
      </c>
      <c r="L40" s="82" t="s">
        <v>366</v>
      </c>
      <c r="M40" s="82" t="s">
        <v>188</v>
      </c>
      <c r="N40" s="80" t="s">
        <v>367</v>
      </c>
      <c r="O40" s="80" t="s">
        <v>368</v>
      </c>
      <c r="P40" s="82" t="s">
        <v>369</v>
      </c>
      <c r="Q40" s="82" t="s">
        <v>370</v>
      </c>
      <c r="R40" s="82" t="s">
        <v>347</v>
      </c>
      <c r="S40" s="80" t="s">
        <v>371</v>
      </c>
      <c r="T40" s="80" t="s">
        <v>372</v>
      </c>
      <c r="U40" s="80" t="s">
        <v>587</v>
      </c>
      <c r="V40"/>
      <c r="W40"/>
      <c r="X40"/>
      <c r="Y40"/>
      <c r="Z40"/>
      <c r="AA40"/>
      <c r="AB40"/>
      <c r="AC40"/>
      <c r="AD40"/>
    </row>
    <row r="41" spans="1:30" x14ac:dyDescent="0.4">
      <c r="A41" s="6">
        <v>1</v>
      </c>
      <c r="B41" s="304">
        <f t="shared" ref="B41:B48" si="8">B111/12</f>
        <v>0</v>
      </c>
      <c r="C41" s="284">
        <f t="shared" ref="C41:C48" si="9">D111</f>
        <v>0</v>
      </c>
      <c r="D41" s="281" t="str" cm="1">
        <f t="array" ref="D41">_xlfn.IFS(B41&gt;C41,"Yes",B41&lt;C41,"No", B41=0,"NA")</f>
        <v>NA</v>
      </c>
      <c r="E41" s="166" t="str">
        <f>IFERROR(C41/B41,"NA")</f>
        <v>NA</v>
      </c>
      <c r="F41" s="163">
        <f>F111</f>
        <v>0</v>
      </c>
      <c r="G41" s="163">
        <f>F124</f>
        <v>0</v>
      </c>
      <c r="H41" s="163">
        <f t="shared" ref="H41:H48" si="10">L111</f>
        <v>0</v>
      </c>
      <c r="I41" s="281" t="str" cm="1">
        <f t="array" ref="I41">_xlfn.IFS(F41&gt;H41,"Yes",F41&lt;H41,"No",F41=0,"NA",F41=H41,"Equal")</f>
        <v>NA</v>
      </c>
      <c r="J41" s="281" t="str">
        <f>IFERROR(IF(AND((ABS(F41-G41)&lt;1)),"Yes","No"),"NA")</f>
        <v>Yes</v>
      </c>
      <c r="K41" s="281">
        <f>IFERROR(ABS(F41-G41),"NA")</f>
        <v>0</v>
      </c>
      <c r="L41" s="8">
        <f t="shared" ref="L41:L48" si="11">C111/12</f>
        <v>0</v>
      </c>
      <c r="M41" s="8">
        <f t="shared" ref="M41:M48" si="12">E111</f>
        <v>0</v>
      </c>
      <c r="N41" s="281" t="str" cm="1">
        <f t="array" ref="N41">_xlfn.IFS(L41&gt;M41,"Yes",L41&lt;M41,"No",L41=0,"NA")</f>
        <v>NA</v>
      </c>
      <c r="O41" s="166" t="str">
        <f>IFERROR(M41/L41,"NA")</f>
        <v>NA</v>
      </c>
      <c r="P41" s="163">
        <f>G111</f>
        <v>0</v>
      </c>
      <c r="Q41" s="163">
        <f>G124</f>
        <v>0</v>
      </c>
      <c r="R41" s="163">
        <f t="shared" ref="R41:R48" si="13">M111</f>
        <v>0</v>
      </c>
      <c r="S41" s="281" t="str" cm="1">
        <f t="array" ref="S41">_xlfn.IFS(P41&gt;R41,"Yes",P41&lt;R41,"No",P41=0,"NA",P41=R41,"Equal")</f>
        <v>NA</v>
      </c>
      <c r="T41" s="281" t="str">
        <f>IFERROR(IF(AND((ABS(P41-Q41)&lt;1)),"Yes","No"),"NA")</f>
        <v>Yes</v>
      </c>
      <c r="U41" s="281">
        <f>IFERROR(ABS(P41-Q41),"NA")</f>
        <v>0</v>
      </c>
      <c r="V41"/>
      <c r="W41"/>
      <c r="X41"/>
      <c r="Y41"/>
      <c r="Z41"/>
      <c r="AA41"/>
      <c r="AB41"/>
      <c r="AC41"/>
      <c r="AD41"/>
    </row>
    <row r="42" spans="1:30" x14ac:dyDescent="0.4">
      <c r="A42" s="6">
        <v>2</v>
      </c>
      <c r="B42" s="304">
        <f t="shared" si="8"/>
        <v>0</v>
      </c>
      <c r="C42" s="284">
        <f t="shared" si="9"/>
        <v>0</v>
      </c>
      <c r="D42" s="281" t="str" cm="1">
        <f t="array" ref="D42">_xlfn.IFS(B42&gt;C42,"Yes",B42&lt;C42,"No", B42=0,"NA")</f>
        <v>NA</v>
      </c>
      <c r="E42" s="166" t="str">
        <f t="shared" ref="E42:E48" si="14">IFERROR(C42/B42,"NA")</f>
        <v>NA</v>
      </c>
      <c r="F42" s="163">
        <f t="shared" ref="F42:F47" si="15">F112</f>
        <v>0</v>
      </c>
      <c r="G42" s="163">
        <f t="shared" ref="G42:G47" si="16">F125</f>
        <v>0</v>
      </c>
      <c r="H42" s="163">
        <f t="shared" si="10"/>
        <v>0</v>
      </c>
      <c r="I42" s="281" t="str" cm="1">
        <f t="array" ref="I42">_xlfn.IFS(F42&gt;H42,"Yes",F42&lt;H42,"No",F42=0,"NA",F42=H42,"Equal")</f>
        <v>NA</v>
      </c>
      <c r="J42" s="281" t="str">
        <f t="shared" ref="J42:J48" si="17">IFERROR(IF(AND((ABS(F42-G42)&lt;1)),"Yes","No"),"NA")</f>
        <v>Yes</v>
      </c>
      <c r="K42" s="281">
        <f t="shared" ref="K42:K48" si="18">IFERROR(ABS(F42-G42),"NA")</f>
        <v>0</v>
      </c>
      <c r="L42" s="8">
        <f t="shared" si="11"/>
        <v>0</v>
      </c>
      <c r="M42" s="8">
        <f t="shared" si="12"/>
        <v>0</v>
      </c>
      <c r="N42" s="281" t="str" cm="1">
        <f t="array" ref="N42">_xlfn.IFS(L42&gt;M42,"Yes",L42&lt;M42,"No",L42=0,"NA")</f>
        <v>NA</v>
      </c>
      <c r="O42" s="166" t="str">
        <f t="shared" ref="O42:O48" si="19">IFERROR(M42/L42,"NA")</f>
        <v>NA</v>
      </c>
      <c r="P42" s="163">
        <f t="shared" ref="P42:P48" si="20">G112</f>
        <v>0</v>
      </c>
      <c r="Q42" s="163">
        <f t="shared" ref="Q42:Q43" si="21">G125</f>
        <v>0</v>
      </c>
      <c r="R42" s="163">
        <f t="shared" si="13"/>
        <v>0</v>
      </c>
      <c r="S42" s="281" t="str" cm="1">
        <f t="array" ref="S42">_xlfn.IFS(P42&gt;R42,"Yes",P42&lt;R42,"No",P42=0,"NA",P42=R42,"Equal")</f>
        <v>NA</v>
      </c>
      <c r="T42" s="281" t="str">
        <f t="shared" ref="T42:T48" si="22">IFERROR(IF(AND((ABS(P42-Q42)&lt;1)),"Yes","No"),"NA")</f>
        <v>Yes</v>
      </c>
      <c r="U42" s="281">
        <f t="shared" ref="U42:U48" si="23">IFERROR(ABS(P42-Q42),"NA")</f>
        <v>0</v>
      </c>
      <c r="V42"/>
      <c r="W42"/>
      <c r="X42"/>
      <c r="Y42"/>
      <c r="Z42"/>
      <c r="AA42"/>
      <c r="AB42"/>
      <c r="AC42"/>
      <c r="AD42"/>
    </row>
    <row r="43" spans="1:30" x14ac:dyDescent="0.4">
      <c r="A43" s="6">
        <v>3</v>
      </c>
      <c r="B43" s="304">
        <f t="shared" si="8"/>
        <v>0</v>
      </c>
      <c r="C43" s="284">
        <f t="shared" si="9"/>
        <v>0</v>
      </c>
      <c r="D43" s="281" t="str" cm="1">
        <f t="array" ref="D43">_xlfn.IFS(B43&gt;C43,"Yes",B43&lt;C43,"No", B43=0,"NA")</f>
        <v>NA</v>
      </c>
      <c r="E43" s="166" t="str">
        <f t="shared" si="14"/>
        <v>NA</v>
      </c>
      <c r="F43" s="163">
        <f t="shared" si="15"/>
        <v>0</v>
      </c>
      <c r="G43" s="163">
        <f t="shared" si="16"/>
        <v>0</v>
      </c>
      <c r="H43" s="163">
        <f t="shared" si="10"/>
        <v>0</v>
      </c>
      <c r="I43" s="281" t="str" cm="1">
        <f t="array" ref="I43">_xlfn.IFS(F43&gt;H43,"Yes",F43&lt;H43,"No",F43=0,"NA",F43=H43,"Equal")</f>
        <v>NA</v>
      </c>
      <c r="J43" s="281" t="str">
        <f t="shared" si="17"/>
        <v>Yes</v>
      </c>
      <c r="K43" s="281">
        <f t="shared" si="18"/>
        <v>0</v>
      </c>
      <c r="L43" s="8">
        <f t="shared" si="11"/>
        <v>0</v>
      </c>
      <c r="M43" s="8">
        <f t="shared" si="12"/>
        <v>0</v>
      </c>
      <c r="N43" s="281" t="str" cm="1">
        <f t="array" ref="N43">_xlfn.IFS(L43&gt;M43,"Yes",L43&lt;M43,"No",L43=0,"NA")</f>
        <v>NA</v>
      </c>
      <c r="O43" s="166" t="str">
        <f t="shared" si="19"/>
        <v>NA</v>
      </c>
      <c r="P43" s="163">
        <f t="shared" si="20"/>
        <v>0</v>
      </c>
      <c r="Q43" s="163">
        <f t="shared" si="21"/>
        <v>0</v>
      </c>
      <c r="R43" s="163">
        <f t="shared" si="13"/>
        <v>0</v>
      </c>
      <c r="S43" s="281" t="str" cm="1">
        <f t="array" ref="S43">_xlfn.IFS(P43&gt;R43,"Yes",P43&lt;R43,"No",P43=0,"NA",P43=R43,"Equal")</f>
        <v>NA</v>
      </c>
      <c r="T43" s="281" t="str">
        <f t="shared" si="22"/>
        <v>Yes</v>
      </c>
      <c r="U43" s="281">
        <f t="shared" si="23"/>
        <v>0</v>
      </c>
      <c r="V43"/>
      <c r="W43"/>
      <c r="X43"/>
      <c r="Y43"/>
      <c r="Z43"/>
      <c r="AA43"/>
      <c r="AB43"/>
      <c r="AC43"/>
      <c r="AD43"/>
    </row>
    <row r="44" spans="1:30" x14ac:dyDescent="0.4">
      <c r="A44" s="6">
        <v>4</v>
      </c>
      <c r="B44" s="304">
        <f t="shared" si="8"/>
        <v>0</v>
      </c>
      <c r="C44" s="284">
        <f t="shared" si="9"/>
        <v>0</v>
      </c>
      <c r="D44" s="281" t="str" cm="1">
        <f t="array" ref="D44">_xlfn.IFS(B44&gt;C44,"Yes",B44&lt;C44,"No", B44=0,"NA")</f>
        <v>NA</v>
      </c>
      <c r="E44" s="166" t="str">
        <f t="shared" si="14"/>
        <v>NA</v>
      </c>
      <c r="F44" s="163">
        <f t="shared" si="15"/>
        <v>0</v>
      </c>
      <c r="G44" s="163">
        <f t="shared" si="16"/>
        <v>0</v>
      </c>
      <c r="H44" s="163">
        <f t="shared" si="10"/>
        <v>0</v>
      </c>
      <c r="I44" s="281" t="str" cm="1">
        <f t="array" ref="I44">_xlfn.IFS(F44&gt;H44,"Yes",F44&lt;H44,"No",F44=0,"NA",F44=H44,"Equal")</f>
        <v>NA</v>
      </c>
      <c r="J44" s="281" t="str">
        <f t="shared" si="17"/>
        <v>Yes</v>
      </c>
      <c r="K44" s="281">
        <f t="shared" si="18"/>
        <v>0</v>
      </c>
      <c r="L44" s="8">
        <f t="shared" si="11"/>
        <v>0</v>
      </c>
      <c r="M44" s="8">
        <f t="shared" si="12"/>
        <v>0</v>
      </c>
      <c r="N44" s="281" t="str" cm="1">
        <f t="array" ref="N44">_xlfn.IFS(L44&gt;M44,"Yes",L44&lt;M44,"No",L44=0,"NA")</f>
        <v>NA</v>
      </c>
      <c r="O44" s="166" t="str">
        <f t="shared" si="19"/>
        <v>NA</v>
      </c>
      <c r="P44" s="163">
        <f t="shared" si="20"/>
        <v>0</v>
      </c>
      <c r="Q44" s="163">
        <f>G127</f>
        <v>0</v>
      </c>
      <c r="R44" s="163">
        <f t="shared" si="13"/>
        <v>0</v>
      </c>
      <c r="S44" s="281" t="str" cm="1">
        <f t="array" ref="S44">_xlfn.IFS(P44&gt;R44,"Yes",P44&lt;R44,"No",P44=0,"NA",P44=R44,"Equal")</f>
        <v>NA</v>
      </c>
      <c r="T44" s="281" t="str">
        <f t="shared" si="22"/>
        <v>Yes</v>
      </c>
      <c r="U44" s="281">
        <f t="shared" si="23"/>
        <v>0</v>
      </c>
      <c r="V44"/>
      <c r="W44"/>
      <c r="X44"/>
      <c r="Y44"/>
      <c r="Z44"/>
      <c r="AA44"/>
      <c r="AB44"/>
      <c r="AC44"/>
      <c r="AD44"/>
    </row>
    <row r="45" spans="1:30" x14ac:dyDescent="0.4">
      <c r="A45" s="6">
        <v>5</v>
      </c>
      <c r="B45" s="304">
        <f t="shared" si="8"/>
        <v>0</v>
      </c>
      <c r="C45" s="284">
        <f t="shared" si="9"/>
        <v>0</v>
      </c>
      <c r="D45" s="281" t="str" cm="1">
        <f t="array" ref="D45">_xlfn.IFS(B45&gt;C45,"Yes",B45&lt;C45,"No", B45=0,"NA")</f>
        <v>NA</v>
      </c>
      <c r="E45" s="166" t="str">
        <f t="shared" si="14"/>
        <v>NA</v>
      </c>
      <c r="F45" s="163">
        <f t="shared" si="15"/>
        <v>0</v>
      </c>
      <c r="G45" s="163">
        <f t="shared" si="16"/>
        <v>0</v>
      </c>
      <c r="H45" s="163">
        <f t="shared" si="10"/>
        <v>0</v>
      </c>
      <c r="I45" s="281" t="str" cm="1">
        <f t="array" ref="I45">_xlfn.IFS(F45&gt;H45,"Yes",F45&lt;H45,"No",F45=0,"NA",F45=H45,"Equal")</f>
        <v>NA</v>
      </c>
      <c r="J45" s="281" t="str">
        <f t="shared" si="17"/>
        <v>Yes</v>
      </c>
      <c r="K45" s="281">
        <f t="shared" si="18"/>
        <v>0</v>
      </c>
      <c r="L45" s="8">
        <f t="shared" si="11"/>
        <v>0</v>
      </c>
      <c r="M45" s="8">
        <f t="shared" si="12"/>
        <v>0</v>
      </c>
      <c r="N45" s="281" t="str" cm="1">
        <f t="array" ref="N45">_xlfn.IFS(L45&gt;M45,"Yes",L45&lt;M45,"No",L45=0,"NA")</f>
        <v>NA</v>
      </c>
      <c r="O45" s="166" t="str">
        <f t="shared" si="19"/>
        <v>NA</v>
      </c>
      <c r="P45" s="163">
        <f t="shared" si="20"/>
        <v>0</v>
      </c>
      <c r="Q45" s="163">
        <f t="shared" ref="Q45:Q48" si="24">G128</f>
        <v>0</v>
      </c>
      <c r="R45" s="163">
        <f t="shared" si="13"/>
        <v>0</v>
      </c>
      <c r="S45" s="281" t="str" cm="1">
        <f t="array" ref="S45">_xlfn.IFS(P45&gt;R45,"Yes",P45&lt;R45,"No",P45=0,"NA",P45=R45,"Equal")</f>
        <v>NA</v>
      </c>
      <c r="T45" s="281" t="str">
        <f t="shared" si="22"/>
        <v>Yes</v>
      </c>
      <c r="U45" s="281">
        <f t="shared" si="23"/>
        <v>0</v>
      </c>
      <c r="V45"/>
      <c r="W45"/>
      <c r="X45"/>
      <c r="Y45"/>
      <c r="Z45"/>
      <c r="AA45"/>
      <c r="AB45"/>
      <c r="AC45"/>
      <c r="AD45"/>
    </row>
    <row r="46" spans="1:30" x14ac:dyDescent="0.4">
      <c r="A46" s="6">
        <v>6</v>
      </c>
      <c r="B46" s="304">
        <f t="shared" si="8"/>
        <v>0</v>
      </c>
      <c r="C46" s="284">
        <f t="shared" si="9"/>
        <v>0</v>
      </c>
      <c r="D46" s="281" t="str" cm="1">
        <f t="array" ref="D46">_xlfn.IFS(B46&gt;C46,"Yes",B46&lt;C46,"No", B46=0,"NA")</f>
        <v>NA</v>
      </c>
      <c r="E46" s="166" t="str">
        <f t="shared" si="14"/>
        <v>NA</v>
      </c>
      <c r="F46" s="163">
        <f t="shared" si="15"/>
        <v>0</v>
      </c>
      <c r="G46" s="163">
        <f t="shared" si="16"/>
        <v>0</v>
      </c>
      <c r="H46" s="163">
        <f t="shared" si="10"/>
        <v>0</v>
      </c>
      <c r="I46" s="281" t="str" cm="1">
        <f t="array" ref="I46">_xlfn.IFS(F46&gt;H46,"Yes",F46&lt;H46,"No",F46=0,"NA",F46=H46,"Equal")</f>
        <v>NA</v>
      </c>
      <c r="J46" s="281" t="str">
        <f t="shared" si="17"/>
        <v>Yes</v>
      </c>
      <c r="K46" s="281">
        <f t="shared" si="18"/>
        <v>0</v>
      </c>
      <c r="L46" s="8">
        <f t="shared" si="11"/>
        <v>0</v>
      </c>
      <c r="M46" s="8">
        <f t="shared" si="12"/>
        <v>0</v>
      </c>
      <c r="N46" s="281" t="str" cm="1">
        <f t="array" ref="N46">_xlfn.IFS(L46&gt;M46,"Yes",L46&lt;M46,"No",L46=0,"NA")</f>
        <v>NA</v>
      </c>
      <c r="O46" s="166" t="str">
        <f t="shared" si="19"/>
        <v>NA</v>
      </c>
      <c r="P46" s="163">
        <f t="shared" si="20"/>
        <v>0</v>
      </c>
      <c r="Q46" s="163">
        <f t="shared" si="24"/>
        <v>0</v>
      </c>
      <c r="R46" s="163">
        <f t="shared" si="13"/>
        <v>0</v>
      </c>
      <c r="S46" s="281" t="str" cm="1">
        <f t="array" ref="S46">_xlfn.IFS(P46&gt;R46,"Yes",P46&lt;R46,"No",P46=0,"NA",P46=R46,"Equal")</f>
        <v>NA</v>
      </c>
      <c r="T46" s="281" t="str">
        <f t="shared" si="22"/>
        <v>Yes</v>
      </c>
      <c r="U46" s="281">
        <f t="shared" si="23"/>
        <v>0</v>
      </c>
      <c r="V46"/>
      <c r="W46"/>
      <c r="X46"/>
      <c r="Y46"/>
      <c r="Z46"/>
      <c r="AA46"/>
      <c r="AB46"/>
      <c r="AC46"/>
      <c r="AD46"/>
    </row>
    <row r="47" spans="1:30" x14ac:dyDescent="0.4">
      <c r="A47" s="6">
        <v>7</v>
      </c>
      <c r="B47" s="304">
        <f t="shared" si="8"/>
        <v>0</v>
      </c>
      <c r="C47" s="284">
        <f t="shared" si="9"/>
        <v>0</v>
      </c>
      <c r="D47" s="281" t="str" cm="1">
        <f t="array" ref="D47">_xlfn.IFS(B47&gt;C47,"Yes",B47&lt;C47,"No", B47=0,"NA")</f>
        <v>NA</v>
      </c>
      <c r="E47" s="166" t="str">
        <f t="shared" si="14"/>
        <v>NA</v>
      </c>
      <c r="F47" s="163">
        <f t="shared" si="15"/>
        <v>0</v>
      </c>
      <c r="G47" s="163">
        <f t="shared" si="16"/>
        <v>0</v>
      </c>
      <c r="H47" s="163">
        <f t="shared" si="10"/>
        <v>0</v>
      </c>
      <c r="I47" s="281" t="str" cm="1">
        <f t="array" ref="I47">_xlfn.IFS(F47&gt;H47,"Yes",F47&lt;H47,"No",F47=0,"NA",F47=H47,"Equal")</f>
        <v>NA</v>
      </c>
      <c r="J47" s="281" t="str">
        <f t="shared" si="17"/>
        <v>Yes</v>
      </c>
      <c r="K47" s="281">
        <f t="shared" si="18"/>
        <v>0</v>
      </c>
      <c r="L47" s="8">
        <f t="shared" si="11"/>
        <v>0</v>
      </c>
      <c r="M47" s="8">
        <f t="shared" si="12"/>
        <v>0</v>
      </c>
      <c r="N47" s="281" t="str" cm="1">
        <f t="array" ref="N47">_xlfn.IFS(L47&gt;M47,"Yes",L47&lt;M47,"No",L47=0,"NA")</f>
        <v>NA</v>
      </c>
      <c r="O47" s="166" t="str">
        <f t="shared" si="19"/>
        <v>NA</v>
      </c>
      <c r="P47" s="163">
        <f t="shared" si="20"/>
        <v>0</v>
      </c>
      <c r="Q47" s="163">
        <f t="shared" si="24"/>
        <v>0</v>
      </c>
      <c r="R47" s="163">
        <f t="shared" si="13"/>
        <v>0</v>
      </c>
      <c r="S47" s="281" t="str" cm="1">
        <f t="array" ref="S47">_xlfn.IFS(P47&gt;R47,"Yes",P47&lt;R47,"No",P47=0,"NA",P47=R47,"Equal")</f>
        <v>NA</v>
      </c>
      <c r="T47" s="281" t="str">
        <f t="shared" si="22"/>
        <v>Yes</v>
      </c>
      <c r="U47" s="281">
        <f t="shared" si="23"/>
        <v>0</v>
      </c>
      <c r="V47"/>
      <c r="W47"/>
      <c r="X47"/>
      <c r="Y47"/>
      <c r="Z47"/>
      <c r="AA47"/>
      <c r="AB47"/>
      <c r="AC47"/>
      <c r="AD47"/>
    </row>
    <row r="48" spans="1:30" x14ac:dyDescent="0.4">
      <c r="A48" s="6">
        <v>8</v>
      </c>
      <c r="B48" s="304">
        <f t="shared" si="8"/>
        <v>0</v>
      </c>
      <c r="C48" s="284">
        <f t="shared" si="9"/>
        <v>0</v>
      </c>
      <c r="D48" s="281" t="str" cm="1">
        <f t="array" ref="D48">_xlfn.IFS(B48&gt;C48,"Yes",B48&lt;C48,"No", B48=0,"NA")</f>
        <v>NA</v>
      </c>
      <c r="E48" s="166" t="str">
        <f t="shared" si="14"/>
        <v>NA</v>
      </c>
      <c r="F48" s="163">
        <f>F118</f>
        <v>0</v>
      </c>
      <c r="G48" s="163">
        <f>F131</f>
        <v>0</v>
      </c>
      <c r="H48" s="163">
        <f t="shared" si="10"/>
        <v>0</v>
      </c>
      <c r="I48" s="281" t="str" cm="1">
        <f t="array" ref="I48">_xlfn.IFS(F48&gt;H48,"Yes",F48&lt;H48,"No",F48=0,"NA",F48=H48,"Equal")</f>
        <v>NA</v>
      </c>
      <c r="J48" s="281" t="str">
        <f t="shared" si="17"/>
        <v>Yes</v>
      </c>
      <c r="K48" s="281">
        <f t="shared" si="18"/>
        <v>0</v>
      </c>
      <c r="L48" s="8">
        <f t="shared" si="11"/>
        <v>0</v>
      </c>
      <c r="M48" s="8">
        <f t="shared" si="12"/>
        <v>0</v>
      </c>
      <c r="N48" s="281" t="str" cm="1">
        <f t="array" ref="N48">_xlfn.IFS(L48&gt;M48,"Yes",L48&lt;M48,"No",L48=0,"NA")</f>
        <v>NA</v>
      </c>
      <c r="O48" s="166" t="str">
        <f t="shared" si="19"/>
        <v>NA</v>
      </c>
      <c r="P48" s="163">
        <f t="shared" si="20"/>
        <v>0</v>
      </c>
      <c r="Q48" s="163">
        <f t="shared" si="24"/>
        <v>0</v>
      </c>
      <c r="R48" s="163">
        <f t="shared" si="13"/>
        <v>0</v>
      </c>
      <c r="S48" s="281" t="str" cm="1">
        <f t="array" ref="S48">_xlfn.IFS(P48&gt;R48,"Yes",P48&lt;R48,"No",P48=0,"NA",P48=R48,"Equal")</f>
        <v>NA</v>
      </c>
      <c r="T48" s="281" t="str">
        <f t="shared" si="22"/>
        <v>Yes</v>
      </c>
      <c r="U48" s="281">
        <f t="shared" si="23"/>
        <v>0</v>
      </c>
      <c r="V48"/>
      <c r="W48"/>
      <c r="X48"/>
      <c r="Y48"/>
      <c r="Z48"/>
      <c r="AA48"/>
      <c r="AB48"/>
      <c r="AC48"/>
      <c r="AD48"/>
    </row>
    <row r="49" spans="1:29" x14ac:dyDescent="0.4">
      <c r="A49"/>
      <c r="B49"/>
      <c r="C49"/>
      <c r="D49"/>
      <c r="E49"/>
      <c r="F49"/>
      <c r="G49"/>
      <c r="H49"/>
      <c r="I49"/>
      <c r="J49"/>
      <c r="K49"/>
      <c r="L49"/>
      <c r="M49"/>
      <c r="N49"/>
      <c r="O49"/>
      <c r="P49"/>
      <c r="Q49"/>
      <c r="R49"/>
      <c r="S49"/>
      <c r="T49"/>
      <c r="U49"/>
      <c r="V49"/>
      <c r="W49"/>
      <c r="X49"/>
      <c r="Y49"/>
      <c r="Z49"/>
      <c r="AA49"/>
      <c r="AB49"/>
      <c r="AC49"/>
    </row>
    <row r="50" spans="1:29" x14ac:dyDescent="0.4">
      <c r="A50"/>
      <c r="B50"/>
      <c r="C50"/>
      <c r="D50"/>
      <c r="E50"/>
      <c r="F50"/>
      <c r="G50"/>
      <c r="H50"/>
      <c r="I50"/>
      <c r="J50"/>
      <c r="K50"/>
      <c r="L50"/>
      <c r="M50"/>
      <c r="N50"/>
      <c r="O50"/>
      <c r="P50"/>
      <c r="Q50"/>
      <c r="R50"/>
      <c r="S50"/>
      <c r="T50"/>
      <c r="U50"/>
      <c r="V50"/>
      <c r="W50"/>
      <c r="X50"/>
      <c r="Y50"/>
      <c r="Z50"/>
      <c r="AA50"/>
      <c r="AB50"/>
      <c r="AC50"/>
    </row>
    <row r="51" spans="1:29" x14ac:dyDescent="0.4">
      <c r="A51" s="3" t="s">
        <v>373</v>
      </c>
      <c r="B51"/>
      <c r="C51"/>
      <c r="D51"/>
      <c r="E51"/>
      <c r="F51"/>
      <c r="G51"/>
      <c r="H51"/>
      <c r="I51"/>
      <c r="J51"/>
      <c r="K51"/>
      <c r="L51"/>
      <c r="M51"/>
      <c r="N51"/>
      <c r="O51"/>
      <c r="P51"/>
      <c r="Q51"/>
      <c r="R51"/>
      <c r="S51"/>
      <c r="T51"/>
      <c r="U51"/>
      <c r="V51"/>
      <c r="W51"/>
      <c r="X51"/>
      <c r="Y51"/>
      <c r="Z51"/>
      <c r="AA51"/>
      <c r="AB51"/>
      <c r="AC51"/>
    </row>
    <row r="52" spans="1:29" x14ac:dyDescent="0.4">
      <c r="A52" s="586" t="s">
        <v>374</v>
      </c>
      <c r="B52" s="586"/>
      <c r="C52" s="586"/>
      <c r="D52" s="586"/>
      <c r="E52" s="586"/>
      <c r="F52" s="586"/>
      <c r="G52" s="586"/>
      <c r="H52" s="586"/>
      <c r="I52" s="586"/>
      <c r="J52" s="586"/>
      <c r="K52" s="586"/>
      <c r="L52" s="586"/>
      <c r="M52" s="586"/>
      <c r="N52" s="586"/>
      <c r="O52" s="586"/>
      <c r="P52" s="586"/>
      <c r="Q52" s="586"/>
      <c r="R52" s="586"/>
      <c r="S52" s="586"/>
      <c r="T52" s="586"/>
      <c r="U52" s="586"/>
      <c r="V52"/>
      <c r="W52"/>
      <c r="X52"/>
      <c r="Y52"/>
      <c r="Z52"/>
      <c r="AA52"/>
      <c r="AB52"/>
      <c r="AC52"/>
    </row>
    <row r="53" spans="1:29" s="283" customFormat="1" ht="30" customHeight="1" x14ac:dyDescent="0.4">
      <c r="A53" s="587" t="s">
        <v>466</v>
      </c>
      <c r="B53" s="587"/>
      <c r="C53" s="587"/>
      <c r="D53" s="587"/>
      <c r="E53" s="587"/>
      <c r="F53" s="587"/>
      <c r="G53" s="587"/>
      <c r="H53" s="587"/>
      <c r="I53" s="587"/>
      <c r="J53" s="587"/>
      <c r="K53" s="587"/>
      <c r="L53" s="587"/>
      <c r="M53" s="587"/>
      <c r="N53" s="587"/>
      <c r="O53" s="587"/>
      <c r="P53" s="587"/>
      <c r="Q53" s="587"/>
      <c r="R53" s="587"/>
      <c r="S53" s="587"/>
      <c r="T53" s="587"/>
      <c r="U53" s="587"/>
      <c r="V53" s="282"/>
      <c r="W53" s="282"/>
      <c r="X53" s="282"/>
      <c r="Y53" s="282"/>
      <c r="Z53" s="282"/>
      <c r="AA53" s="282"/>
      <c r="AB53" s="282"/>
      <c r="AC53" s="282"/>
    </row>
    <row r="54" spans="1:29" x14ac:dyDescent="0.4">
      <c r="A54" s="618" t="s">
        <v>56</v>
      </c>
      <c r="B54" s="644">
        <v>2024</v>
      </c>
      <c r="C54" s="645"/>
      <c r="D54" s="645"/>
      <c r="E54" s="645"/>
      <c r="F54" s="645"/>
      <c r="G54" s="645"/>
      <c r="H54" s="645"/>
      <c r="I54" s="645"/>
      <c r="J54" s="645"/>
      <c r="K54" s="646"/>
      <c r="L54" s="647">
        <v>2025</v>
      </c>
      <c r="M54" s="648"/>
      <c r="N54" s="648"/>
      <c r="O54" s="648"/>
      <c r="P54" s="648"/>
      <c r="Q54" s="648"/>
      <c r="R54" s="648"/>
      <c r="S54" s="648"/>
      <c r="T54" s="648"/>
      <c r="U54" s="648"/>
      <c r="V54"/>
      <c r="W54"/>
      <c r="X54"/>
      <c r="Y54"/>
      <c r="Z54"/>
      <c r="AA54"/>
      <c r="AB54"/>
      <c r="AC54"/>
    </row>
    <row r="55" spans="1:29" ht="73.5" customHeight="1" x14ac:dyDescent="0.4">
      <c r="A55" s="618"/>
      <c r="B55" s="84" t="s">
        <v>375</v>
      </c>
      <c r="C55" s="85" t="s">
        <v>376</v>
      </c>
      <c r="D55" s="85" t="s">
        <v>377</v>
      </c>
      <c r="E55" s="85" t="s">
        <v>378</v>
      </c>
      <c r="F55" s="85" t="s">
        <v>379</v>
      </c>
      <c r="G55" s="85" t="s">
        <v>380</v>
      </c>
      <c r="H55" s="85" t="s">
        <v>381</v>
      </c>
      <c r="I55" s="85" t="s">
        <v>382</v>
      </c>
      <c r="J55" s="85" t="s">
        <v>383</v>
      </c>
      <c r="K55" s="86" t="s">
        <v>384</v>
      </c>
      <c r="L55" s="81" t="s">
        <v>375</v>
      </c>
      <c r="M55" s="82" t="s">
        <v>376</v>
      </c>
      <c r="N55" s="82" t="s">
        <v>377</v>
      </c>
      <c r="O55" s="82" t="s">
        <v>378</v>
      </c>
      <c r="P55" s="82" t="s">
        <v>379</v>
      </c>
      <c r="Q55" s="82" t="s">
        <v>380</v>
      </c>
      <c r="R55" s="82" t="s">
        <v>381</v>
      </c>
      <c r="S55" s="82" t="s">
        <v>382</v>
      </c>
      <c r="T55" s="82" t="s">
        <v>383</v>
      </c>
      <c r="U55" s="82" t="s">
        <v>384</v>
      </c>
      <c r="V55"/>
      <c r="W55"/>
      <c r="X55"/>
      <c r="Y55"/>
      <c r="Z55"/>
      <c r="AA55"/>
      <c r="AB55"/>
      <c r="AC55"/>
    </row>
    <row r="56" spans="1:29" x14ac:dyDescent="0.4">
      <c r="A56" s="47">
        <v>1</v>
      </c>
      <c r="B56" s="424" t="str">
        <f>IF(B111&lt;&gt;0,((SUMIFS(TM[[#All],[Claims: Hospital Inpatient]],TM[[#All],[Reporting Year]],2024,TM[[#All],[Insurance Category Code]],A56,TM[[#All],[Large Provider Entity Code]],100))/'Data Validation Checks'!B111),"NA")</f>
        <v>NA</v>
      </c>
      <c r="C56" s="425" t="str">
        <f>IF(B111&lt;&gt;0,((SUMIFS(TM[[#All],[Claims: Hospital Outpatient]],TM[[#All],[Reporting Year]],2024,TM[[#All],[Insurance Category Code]],'Data Validation Checks'!A56,TM[[#All],[Large Provider Entity Code]],100))/'Data Validation Checks'!B111),"NA")</f>
        <v>NA</v>
      </c>
      <c r="D56" s="425" t="str">
        <f>IF(B111&lt;&gt;0,((SUMIFS(TM[[#All],[Claims: Professional, Primary Care Providers]],TM[[#All],[Reporting Year]],2024,TM[[#All],[Insurance Category Code]],'Data Validation Checks'!A56,TM[[#All],[Large Provider Entity Code]],100))/'Data Validation Checks'!B111),"NA")</f>
        <v>NA</v>
      </c>
      <c r="E56" s="425" t="str">
        <f>IF(B111&lt;&gt;0,((SUMIFS(TM[[#All],[Claims: Professional, Specialty Providers]],TM[[#All],[Reporting Year]],2024,TM[[#All],[Insurance Category Code]],'Data Validation Checks'!A56,TM[[#All],[Large Provider Entity Code]],100))/'Data Validation Checks'!B111),"NA")</f>
        <v>NA</v>
      </c>
      <c r="F56" s="425" t="str">
        <f>IF(B111&lt;&gt;0,((SUMIFS(TM[[#All],[Claims: Professional, Other Providers]],TM[[#All],[Reporting Year]],2024,TM[[#All],[Insurance Category Code]],'Data Validation Checks'!A56,TM[[#All],[Large Provider Entity Code]],100))/'Data Validation Checks'!B111),"NA")</f>
        <v>NA</v>
      </c>
      <c r="G56" s="7" t="str">
        <f>IF(B111&lt;&gt;0,((SUMIFS(TM[[#All],[Claims: Long-Term Care]],TM[[#All],[Reporting Year]],2024,TM[[#All],[Insurance Category Code]],'Data Validation Checks'!A56,TM[[#All],[Large Provider Entity Code]],100))/'Data Validation Checks'!B111),"NA")</f>
        <v>NA</v>
      </c>
      <c r="H56" s="7" t="str">
        <f>IF(B111&lt;&gt;0,((SUMIFS(TM[[#All],[Claims: Retail Pharmacy]],TM[[#All],[Reporting Year]],2024,TM[[#All],[Insurance Category Code]],'Data Validation Checks'!A56,TM[[#All],[Large Provider Entity Code]],100))/'Data Validation Checks'!B111),"NA")</f>
        <v>NA</v>
      </c>
      <c r="I56" s="7" t="str">
        <f>IF(B111&lt;&gt;0,((SUMIFS(TM[[#All],[Claims: Other]],TM[[#All],[Reporting Year]],2024,TM[[#All],[Insurance Category Code]],'Data Validation Checks'!A56,TM[[#All],[Large Provider Entity Code]],100))/'Data Validation Checks'!B111),"NA")</f>
        <v>NA</v>
      </c>
      <c r="J56" s="7" t="str">
        <f>IF(B111&lt;&gt;0,((SUMIFS(TM[[#All],[Total Non-Claims Spending]],TM[[#All],[Reporting Year]],2024,TM[[#All],[Insurance Category Code]],'Data Validation Checks'!A56,TM[[#All],[Large Provider Entity Code]],100))/'Data Validation Checks'!B111),"NA")</f>
        <v>NA</v>
      </c>
      <c r="K56" s="90" t="str">
        <f>IF(B111&lt;&gt;0,((SUMIFS(TM[[#All],[Total Non-Truncated Claims and Non-Claims Spending]],TM[[#All],[Reporting Year]],2024,TM[[#All],[Insurance Category Code]],'Data Validation Checks'!A56,TM[[#All],[Large Provider Entity Code]],100))/'Data Validation Checks'!B111),"NA")</f>
        <v>NA</v>
      </c>
      <c r="L56" s="178" t="str">
        <f>IF(C111&lt;&gt;0,((SUMIFS(TM[[#All],[Claims: Hospital Inpatient]],TM[[#All],[Reporting Year]],2025,TM[[#All],[Insurance Category Code]],'Data Validation Checks'!A56,TM[[#All],[Large Provider Entity Code]],100))/'Data Validation Checks'!C111),"NA")</f>
        <v>NA</v>
      </c>
      <c r="M56" s="7" t="str">
        <f>IF(C111&lt;&gt;0,((SUMIFS(TM[[#All],[Claims: Hospital Outpatient]],TM[[#All],[Reporting Year]],2025,TM[[#All],[Insurance Category Code]],'Data Validation Checks'!A56,TM[[#All],[Large Provider Entity Code]],100))/'Data Validation Checks'!C111),"NA")</f>
        <v>NA</v>
      </c>
      <c r="N56" s="7" t="str">
        <f>IF(C111&lt;&gt;0,((SUMIFS(TM[[#All],[Claims: Professional, Primary Care Providers]],TM[[#All],[Reporting Year]],2025,TM[[#All],[Insurance Category Code]],'Data Validation Checks'!A56,TM[[#All],[Large Provider Entity Code]],100))/'Data Validation Checks'!C111),"NA")</f>
        <v>NA</v>
      </c>
      <c r="O56" s="7" t="str">
        <f>IF(C111&lt;&gt;0,((SUMIFS(TM[[#All],[Claims: Professional, Specialty Providers]],TM[[#All],[Reporting Year]],2025,TM[[#All],[Insurance Category Code]],'Data Validation Checks'!A56,TM[[#All],[Large Provider Entity Code]],100))/'Data Validation Checks'!C111),"NA")</f>
        <v>NA</v>
      </c>
      <c r="P56" s="7" t="str">
        <f>IF(C111&lt;&gt;0,((SUMIFS(TM[[#All],[Claims: Professional, Other Providers]],TM[[#All],[Reporting Year]],2025,TM[[#All],[Insurance Category Code]],'Data Validation Checks'!A56,TM[[#All],[Large Provider Entity Code]],100))/'Data Validation Checks'!C111),"NA")</f>
        <v>NA</v>
      </c>
      <c r="Q56" s="7" t="str">
        <f>IF(C111&lt;&gt;0,((SUMIFS(TM[[#All],[Claims: Long-Term Care]],TM[[#All],[Reporting Year]],2025,TM[[#All],[Insurance Category Code]],'Data Validation Checks'!A56,TM[[#All],[Large Provider Entity Code]],100))/'Data Validation Checks'!C111),"NA")</f>
        <v>NA</v>
      </c>
      <c r="R56" s="7" t="str">
        <f>IF(C111&lt;&gt;0,((SUMIFS(TM[[#All],[Claims: Retail Pharmacy]],TM[[#All],[Reporting Year]],2025,TM[[#All],[Insurance Category Code]],'Data Validation Checks'!A56,TM[[#All],[Large Provider Entity Code]],100))/'Data Validation Checks'!C111),"NA")</f>
        <v>NA</v>
      </c>
      <c r="S56" s="7" t="str">
        <f>IF(C111&lt;&gt;0,((SUMIFS(TM[[#All],[Claims: Other]],TM[[#All],[Reporting Year]],2025,TM[[#All],[Insurance Category Code]],'Data Validation Checks'!A56,TM[[#All],[Large Provider Entity Code]],100))/'Data Validation Checks'!C111),"NA")</f>
        <v>NA</v>
      </c>
      <c r="T56" s="7" t="str">
        <f>IF(C111&lt;&gt;0,((SUMIFS(TM[[#All],[Total Non-Claims Spending]],TM[[#All],[Reporting Year]],2025,TM[[#All],[Insurance Category Code]],'Data Validation Checks'!A56,TM[[#All],[Large Provider Entity Code]],100))/'Data Validation Checks'!C111),"NA")</f>
        <v>NA</v>
      </c>
      <c r="U56" s="7" t="str">
        <f>IF(C111&lt;&gt;0,((SUMIFS(TM[[#All],[Total Non-Truncated Claims and Non-Claims Spending]],TM[[#All],[Reporting Year]],2025,TM[[#All],[Insurance Category Code]],'Data Validation Checks'!A56,TM[[#All],[Large Provider Entity Code]],100))/'Data Validation Checks'!C111),"NA")</f>
        <v>NA</v>
      </c>
      <c r="V56"/>
      <c r="W56"/>
      <c r="X56"/>
      <c r="Y56"/>
      <c r="Z56"/>
      <c r="AA56"/>
      <c r="AB56"/>
      <c r="AC56"/>
    </row>
    <row r="57" spans="1:29" x14ac:dyDescent="0.4">
      <c r="A57" s="47">
        <v>2</v>
      </c>
      <c r="B57" s="424" t="str">
        <f>IF(B112&lt;&gt;0,((SUMIFS(TM[[#All],[Claims: Hospital Inpatient]],TM[[#All],[Reporting Year]],2024,TM[[#All],[Insurance Category Code]],'Data Validation Checks'!A57,TM[[#All],[Large Provider Entity Code]],100))/'Data Validation Checks'!B112),"NA")</f>
        <v>NA</v>
      </c>
      <c r="C57" s="425" t="str">
        <f>IF(B112&lt;&gt;0,((SUMIFS(TM[[#All],[Claims: Hospital Outpatient]],TM[[#All],[Reporting Year]],2024,TM[[#All],[Insurance Category Code]],'Data Validation Checks'!A57,TM[[#All],[Large Provider Entity Code]],100))/'Data Validation Checks'!B112),"NA")</f>
        <v>NA</v>
      </c>
      <c r="D57" s="425" t="str">
        <f>IF(B112&lt;&gt;0,((SUMIFS(TM[[#All],[Claims: Professional, Primary Care Providers]],TM[[#All],[Reporting Year]],2024,TM[[#All],[Insurance Category Code]],'Data Validation Checks'!A57,TM[[#All],[Large Provider Entity Code]],100))/'Data Validation Checks'!B112),"NA")</f>
        <v>NA</v>
      </c>
      <c r="E57" s="425" t="str">
        <f>IF(B112&lt;&gt;0,((SUMIFS(TM[[#All],[Claims: Professional, Specialty Providers]],TM[[#All],[Reporting Year]],2024,TM[[#All],[Insurance Category Code]],'Data Validation Checks'!A57,TM[[#All],[Large Provider Entity Code]],100))/'Data Validation Checks'!B112),"NA")</f>
        <v>NA</v>
      </c>
      <c r="F57" s="425" t="str">
        <f>IF(B112&lt;&gt;0,((SUMIFS(TM[[#All],[Claims: Professional, Other Providers]],TM[[#All],[Reporting Year]],2024,TM[[#All],[Insurance Category Code]],'Data Validation Checks'!A57,TM[[#All],[Large Provider Entity Code]],100))/'Data Validation Checks'!B112),"NA")</f>
        <v>NA</v>
      </c>
      <c r="G57" s="7" t="str">
        <f>IF(B112&lt;&gt;0,((SUMIFS(TM[[#All],[Claims: Long-Term Care]],TM[[#All],[Reporting Year]],2024,TM[[#All],[Insurance Category Code]],'Data Validation Checks'!A57,TM[[#All],[Large Provider Entity Code]],100))/'Data Validation Checks'!B112),"NA")</f>
        <v>NA</v>
      </c>
      <c r="H57" s="7" t="str">
        <f>IF(B112&lt;&gt;0,((SUMIFS(TM[[#All],[Claims: Retail Pharmacy]],TM[[#All],[Reporting Year]],2024,TM[[#All],[Insurance Category Code]],'Data Validation Checks'!A57,TM[[#All],[Large Provider Entity Code]],100))/'Data Validation Checks'!B112),"NA")</f>
        <v>NA</v>
      </c>
      <c r="I57" s="7" t="str">
        <f>IF(B112&lt;&gt;0,((SUMIFS(TM[[#All],[Claims: Other]],TM[[#All],[Reporting Year]],2024,TM[[#All],[Insurance Category Code]],'Data Validation Checks'!A57,TM[[#All],[Large Provider Entity Code]],100))/'Data Validation Checks'!B112),"NA")</f>
        <v>NA</v>
      </c>
      <c r="J57" s="7" t="str">
        <f>IF(B112&lt;&gt;0,((SUMIFS(TM[[#All],[Total Non-Claims Spending]],TM[[#All],[Reporting Year]],2024,TM[[#All],[Insurance Category Code]],'Data Validation Checks'!A57,TM[[#All],[Large Provider Entity Code]],100))/'Data Validation Checks'!B112),"NA")</f>
        <v>NA</v>
      </c>
      <c r="K57" s="90" t="str">
        <f>IF(B112&lt;&gt;0,((SUMIFS(TM[[#All],[Total Non-Truncated Claims and Non-Claims Spending]],TM[[#All],[Reporting Year]],2024,TM[[#All],[Insurance Category Code]],'Data Validation Checks'!A57,TM[[#All],[Large Provider Entity Code]],100))/'Data Validation Checks'!B112),"NA")</f>
        <v>NA</v>
      </c>
      <c r="L57" s="178" t="str">
        <f>IF(C112&lt;&gt;0,((SUMIFS(TM[[#All],[Claims: Hospital Inpatient]],TM[[#All],[Reporting Year]],2025,TM[[#All],[Insurance Category Code]],'Data Validation Checks'!A57,TM[[#All],[Large Provider Entity Code]],100))/'Data Validation Checks'!C112),"NA")</f>
        <v>NA</v>
      </c>
      <c r="M57" s="7" t="str">
        <f>IF(C112&lt;&gt;0,((SUMIFS(TM[[#All],[Claims: Hospital Outpatient]],TM[[#All],[Reporting Year]],2025,TM[[#All],[Insurance Category Code]],'Data Validation Checks'!A57,TM[[#All],[Large Provider Entity Code]],100))/'Data Validation Checks'!C112),"NA")</f>
        <v>NA</v>
      </c>
      <c r="N57" s="7" t="str">
        <f>IF(C112&lt;&gt;0,((SUMIFS(TM[[#All],[Claims: Professional, Primary Care Providers]],TM[[#All],[Reporting Year]],2025,TM[[#All],[Insurance Category Code]],'Data Validation Checks'!A57,TM[[#All],[Large Provider Entity Code]],100))/'Data Validation Checks'!C112),"NA")</f>
        <v>NA</v>
      </c>
      <c r="O57" s="7" t="str">
        <f>IF(C112&lt;&gt;0,((SUMIFS(TM[[#All],[Claims: Professional, Specialty Providers]],TM[[#All],[Reporting Year]],2025,TM[[#All],[Insurance Category Code]],'Data Validation Checks'!A57,TM[[#All],[Large Provider Entity Code]],100))/'Data Validation Checks'!C112),"NA")</f>
        <v>NA</v>
      </c>
      <c r="P57" s="7" t="str">
        <f>IF(C112&lt;&gt;0,((SUMIFS(TM[[#All],[Claims: Professional, Other Providers]],TM[[#All],[Reporting Year]],2025,TM[[#All],[Insurance Category Code]],'Data Validation Checks'!A57,TM[[#All],[Large Provider Entity Code]],100))/'Data Validation Checks'!C112),"NA")</f>
        <v>NA</v>
      </c>
      <c r="Q57" s="7" t="str">
        <f>IF(C112&lt;&gt;0,((SUMIFS(TM[[#All],[Claims: Long-Term Care]],TM[[#All],[Reporting Year]],2025,TM[[#All],[Insurance Category Code]],'Data Validation Checks'!A57,TM[[#All],[Large Provider Entity Code]],100))/'Data Validation Checks'!C112),"NA")</f>
        <v>NA</v>
      </c>
      <c r="R57" s="7" t="str">
        <f>IF(C112&lt;&gt;0,((SUMIFS(TM[[#All],[Claims: Retail Pharmacy]],TM[[#All],[Reporting Year]],2025,TM[[#All],[Insurance Category Code]],'Data Validation Checks'!A57,TM[[#All],[Large Provider Entity Code]],100))/'Data Validation Checks'!C112),"NA")</f>
        <v>NA</v>
      </c>
      <c r="S57" s="7" t="str">
        <f>IF(C112&lt;&gt;0,((SUMIFS(TM[[#All],[Claims: Other]],TM[[#All],[Reporting Year]],2025,TM[[#All],[Insurance Category Code]],'Data Validation Checks'!A57,TM[[#All],[Large Provider Entity Code]],100))/'Data Validation Checks'!C112),"NA")</f>
        <v>NA</v>
      </c>
      <c r="T57" s="7" t="str">
        <f>IF(C112&lt;&gt;0,((SUMIFS(TM[[#All],[Total Non-Claims Spending]],TM[[#All],[Reporting Year]],2025,TM[[#All],[Insurance Category Code]],'Data Validation Checks'!A57,TM[[#All],[Large Provider Entity Code]],100))/'Data Validation Checks'!C112),"NA")</f>
        <v>NA</v>
      </c>
      <c r="U57" s="7" t="str">
        <f>IF(C112&lt;&gt;0,((SUMIFS(TM[[#All],[Total Non-Truncated Claims and Non-Claims Spending]],TM[[#All],[Reporting Year]],2025,TM[[#All],[Insurance Category Code]],'Data Validation Checks'!A57,TM[[#All],[Large Provider Entity Code]],100))/'Data Validation Checks'!C112),"NA")</f>
        <v>NA</v>
      </c>
      <c r="V57"/>
      <c r="W57"/>
      <c r="X57"/>
      <c r="Y57"/>
      <c r="Z57"/>
      <c r="AA57"/>
      <c r="AB57"/>
      <c r="AC57"/>
    </row>
    <row r="58" spans="1:29" x14ac:dyDescent="0.4">
      <c r="A58" s="47">
        <v>3</v>
      </c>
      <c r="B58" s="424" t="str">
        <f>IF(B113&lt;&gt;0,((SUMIFS(TM[[#All],[Claims: Hospital Inpatient]],TM[[#All],[Reporting Year]],2024,TM[[#All],[Insurance Category Code]],'Data Validation Checks'!A58,TM[[#All],[Large Provider Entity Code]],100))/'Data Validation Checks'!B113),"NA")</f>
        <v>NA</v>
      </c>
      <c r="C58" s="425" t="str">
        <f>IF(B113&lt;&gt;0,((SUMIFS(TM[[#All],[Claims: Hospital Outpatient]],TM[[#All],[Reporting Year]],2024,TM[[#All],[Insurance Category Code]],'Data Validation Checks'!A58,TM[[#All],[Large Provider Entity Code]],100))/'Data Validation Checks'!B113),"NA")</f>
        <v>NA</v>
      </c>
      <c r="D58" s="425" t="str">
        <f>IF(B113&lt;&gt;0,((SUMIFS(TM[[#All],[Claims: Professional, Primary Care Providers]],TM[[#All],[Reporting Year]],2024,TM[[#All],[Insurance Category Code]],'Data Validation Checks'!A58,TM[[#All],[Large Provider Entity Code]],100))/'Data Validation Checks'!B113),"NA")</f>
        <v>NA</v>
      </c>
      <c r="E58" s="425" t="str">
        <f>IF(B113&lt;&gt;0,((SUMIFS(TM[[#All],[Claims: Professional, Specialty Providers]],TM[[#All],[Reporting Year]],2024,TM[[#All],[Insurance Category Code]],'Data Validation Checks'!A58,TM[[#All],[Large Provider Entity Code]],100))/'Data Validation Checks'!B113),"NA")</f>
        <v>NA</v>
      </c>
      <c r="F58" s="425" t="str">
        <f>IF(B113&lt;&gt;0,((SUMIFS(TM[[#All],[Claims: Professional, Other Providers]],TM[[#All],[Reporting Year]],2024,TM[[#All],[Insurance Category Code]],'Data Validation Checks'!A58,TM[[#All],[Large Provider Entity Code]],100))/'Data Validation Checks'!B113),"NA")</f>
        <v>NA</v>
      </c>
      <c r="G58" s="7" t="str">
        <f>IF(B113&lt;&gt;0,((SUMIFS(TM[[#All],[Claims: Long-Term Care]],TM[[#All],[Reporting Year]],2024,TM[[#All],[Insurance Category Code]],'Data Validation Checks'!A58,TM[[#All],[Large Provider Entity Code]],100))/'Data Validation Checks'!B113),"NA")</f>
        <v>NA</v>
      </c>
      <c r="H58" s="7" t="str">
        <f>IF(B113&lt;&gt;0,((SUMIFS(TM[[#All],[Claims: Retail Pharmacy]],TM[[#All],[Reporting Year]],2024,TM[[#All],[Insurance Category Code]],'Data Validation Checks'!A58,TM[[#All],[Large Provider Entity Code]],100))/'Data Validation Checks'!B113),"NA")</f>
        <v>NA</v>
      </c>
      <c r="I58" s="7" t="str">
        <f>IF(B113&lt;&gt;0,((SUMIFS(TM[[#All],[Claims: Other]],TM[[#All],[Reporting Year]],2024,TM[[#All],[Insurance Category Code]],'Data Validation Checks'!A58,TM[[#All],[Large Provider Entity Code]],100))/'Data Validation Checks'!B113),"NA")</f>
        <v>NA</v>
      </c>
      <c r="J58" s="7" t="str">
        <f>IF(B113&lt;&gt;0,((SUMIFS(TM[[#All],[Total Non-Claims Spending]],TM[[#All],[Reporting Year]],2024,TM[[#All],[Insurance Category Code]],'Data Validation Checks'!A58,TM[[#All],[Large Provider Entity Code]],100))/'Data Validation Checks'!B113),"NA")</f>
        <v>NA</v>
      </c>
      <c r="K58" s="90" t="str">
        <f>IF(B113&lt;&gt;0,((SUMIFS(TM[[#All],[Total Non-Truncated Claims and Non-Claims Spending]],TM[[#All],[Reporting Year]],2024,TM[[#All],[Insurance Category Code]],'Data Validation Checks'!A58,TM[[#All],[Large Provider Entity Code]],100))/'Data Validation Checks'!B113),"NA")</f>
        <v>NA</v>
      </c>
      <c r="L58" s="178" t="str">
        <f>IF(C113&lt;&gt;0,((SUMIFS(TM[[#All],[Claims: Hospital Inpatient]],TM[[#All],[Reporting Year]],2025,TM[[#All],[Insurance Category Code]],'Data Validation Checks'!A58,TM[[#All],[Large Provider Entity Code]],100))/'Data Validation Checks'!C113),"NA")</f>
        <v>NA</v>
      </c>
      <c r="M58" s="7" t="str">
        <f>IF(C113&lt;&gt;0,((SUMIFS(TM[[#All],[Claims: Hospital Outpatient]],TM[[#All],[Reporting Year]],2025,TM[[#All],[Insurance Category Code]],'Data Validation Checks'!A58,TM[[#All],[Large Provider Entity Code]],100))/'Data Validation Checks'!C113),"NA")</f>
        <v>NA</v>
      </c>
      <c r="N58" s="7" t="str">
        <f>IF(C113&lt;&gt;0,((SUMIFS(TM[[#All],[Claims: Professional, Primary Care Providers]],TM[[#All],[Reporting Year]],2025,TM[[#All],[Insurance Category Code]],'Data Validation Checks'!A58,TM[[#All],[Large Provider Entity Code]],100))/'Data Validation Checks'!C113),"NA")</f>
        <v>NA</v>
      </c>
      <c r="O58" s="7" t="str">
        <f>IF(C113&lt;&gt;0,((SUMIFS(TM[[#All],[Claims: Professional, Specialty Providers]],TM[[#All],[Reporting Year]],2025,TM[[#All],[Insurance Category Code]],'Data Validation Checks'!A58,TM[[#All],[Large Provider Entity Code]],100))/'Data Validation Checks'!C113),"NA")</f>
        <v>NA</v>
      </c>
      <c r="P58" s="7" t="str">
        <f>IF(C113&lt;&gt;0,((SUMIFS(TM[[#All],[Claims: Professional, Other Providers]],TM[[#All],[Reporting Year]],2025,TM[[#All],[Insurance Category Code]],'Data Validation Checks'!A58,TM[[#All],[Large Provider Entity Code]],100))/'Data Validation Checks'!C113),"NA")</f>
        <v>NA</v>
      </c>
      <c r="Q58" s="7" t="str">
        <f>IF(C113&lt;&gt;0,((SUMIFS(TM[[#All],[Claims: Long-Term Care]],TM[[#All],[Reporting Year]],2025,TM[[#All],[Insurance Category Code]],'Data Validation Checks'!A58,TM[[#All],[Large Provider Entity Code]],100))/'Data Validation Checks'!C113),"NA")</f>
        <v>NA</v>
      </c>
      <c r="R58" s="7" t="str">
        <f>IF(C113&lt;&gt;0,((SUMIFS(TM[[#All],[Claims: Retail Pharmacy]],TM[[#All],[Reporting Year]],2025,TM[[#All],[Insurance Category Code]],'Data Validation Checks'!A58,TM[[#All],[Large Provider Entity Code]],100))/'Data Validation Checks'!C113),"NA")</f>
        <v>NA</v>
      </c>
      <c r="S58" s="7" t="str">
        <f>IF(C113&lt;&gt;0,((SUMIFS(TM[[#All],[Claims: Other]],TM[[#All],[Reporting Year]],2025,TM[[#All],[Insurance Category Code]],'Data Validation Checks'!A58,TM[[#All],[Large Provider Entity Code]],100))/'Data Validation Checks'!C113),"NA")</f>
        <v>NA</v>
      </c>
      <c r="T58" s="7" t="str">
        <f>IF(C113&lt;&gt;0,((SUMIFS(TM[[#All],[Total Non-Claims Spending]],TM[[#All],[Reporting Year]],2025,TM[[#All],[Insurance Category Code]],'Data Validation Checks'!A58,TM[[#All],[Large Provider Entity Code]],100))/'Data Validation Checks'!C113),"NA")</f>
        <v>NA</v>
      </c>
      <c r="U58" s="7" t="str">
        <f>IF(C113&lt;&gt;0,((SUMIFS(TM[[#All],[Total Non-Truncated Claims and Non-Claims Spending]],TM[[#All],[Reporting Year]],2025,TM[[#All],[Insurance Category Code]],'Data Validation Checks'!A58,TM[[#All],[Large Provider Entity Code]],100))/'Data Validation Checks'!C113),"NA")</f>
        <v>NA</v>
      </c>
      <c r="V58"/>
      <c r="W58"/>
      <c r="X58"/>
      <c r="Y58"/>
      <c r="Z58"/>
      <c r="AA58"/>
      <c r="AB58"/>
      <c r="AC58"/>
    </row>
    <row r="59" spans="1:29" x14ac:dyDescent="0.4">
      <c r="A59" s="47">
        <v>4</v>
      </c>
      <c r="B59" s="424" t="str">
        <f>IF(B114&lt;&gt;0,((SUMIFS(TM[[#All],[Claims: Hospital Inpatient]],TM[[#All],[Reporting Year]],2024,TM[[#All],[Insurance Category Code]],'Data Validation Checks'!A59,TM[[#All],[Large Provider Entity Code]],100))/'Data Validation Checks'!B114),"NA")</f>
        <v>NA</v>
      </c>
      <c r="C59" s="425" t="str">
        <f>IF(B114&lt;&gt;0,((SUMIFS(TM[[#All],[Claims: Hospital Outpatient]],TM[[#All],[Reporting Year]],2024,TM[[#All],[Insurance Category Code]],'Data Validation Checks'!A59,TM[[#All],[Large Provider Entity Code]],100))/'Data Validation Checks'!B114),"NA")</f>
        <v>NA</v>
      </c>
      <c r="D59" s="425" t="str">
        <f>IF(B114&lt;&gt;0,((SUMIFS(TM[[#All],[Claims: Professional, Primary Care Providers]],TM[[#All],[Reporting Year]],2024,TM[[#All],[Insurance Category Code]],'Data Validation Checks'!A59,TM[[#All],[Large Provider Entity Code]],100))/'Data Validation Checks'!B114),"NA")</f>
        <v>NA</v>
      </c>
      <c r="E59" s="425" t="str">
        <f>IF(B114&lt;&gt;0,((SUMIFS(TM[[#All],[Claims: Professional, Specialty Providers]],TM[[#All],[Reporting Year]],2024,TM[[#All],[Insurance Category Code]],'Data Validation Checks'!A59,TM[[#All],[Large Provider Entity Code]],100))/'Data Validation Checks'!B114),"NA")</f>
        <v>NA</v>
      </c>
      <c r="F59" s="425" t="str">
        <f>IF(B114&lt;&gt;0,((SUMIFS(TM[[#All],[Claims: Professional, Other Providers]],TM[[#All],[Reporting Year]],2024,TM[[#All],[Insurance Category Code]],'Data Validation Checks'!A59,TM[[#All],[Large Provider Entity Code]],100))/'Data Validation Checks'!B114),"NA")</f>
        <v>NA</v>
      </c>
      <c r="G59" s="7" t="str">
        <f>IF(B114&lt;&gt;0,((SUMIFS(TM[[#All],[Claims: Long-Term Care]],TM[[#All],[Reporting Year]],2024,TM[[#All],[Insurance Category Code]],'Data Validation Checks'!A59,TM[[#All],[Large Provider Entity Code]],100))/'Data Validation Checks'!B114),"NA")</f>
        <v>NA</v>
      </c>
      <c r="H59" s="7" t="str">
        <f>IF(B114&lt;&gt;0,((SUMIFS(TM[[#All],[Claims: Retail Pharmacy]],TM[[#All],[Reporting Year]],2024,TM[[#All],[Insurance Category Code]],'Data Validation Checks'!A59,TM[[#All],[Large Provider Entity Code]],100))/'Data Validation Checks'!B114),"NA")</f>
        <v>NA</v>
      </c>
      <c r="I59" s="7" t="str">
        <f>IF(B114&lt;&gt;0,((SUMIFS(TM[[#All],[Claims: Other]],TM[[#All],[Reporting Year]],2024,TM[[#All],[Insurance Category Code]],'Data Validation Checks'!A59,TM[[#All],[Large Provider Entity Code]],100))/'Data Validation Checks'!B114),"NA")</f>
        <v>NA</v>
      </c>
      <c r="J59" s="7" t="str">
        <f>IF(B114&lt;&gt;0,((SUMIFS(TM[[#All],[Total Non-Claims Spending]],TM[[#All],[Reporting Year]],2024,TM[[#All],[Insurance Category Code]],'Data Validation Checks'!A59,TM[[#All],[Large Provider Entity Code]],100))/'Data Validation Checks'!B114),"NA")</f>
        <v>NA</v>
      </c>
      <c r="K59" s="90" t="str">
        <f>IF(B114&lt;&gt;0,((SUMIFS(TM[[#All],[Total Non-Truncated Claims and Non-Claims Spending]],TM[[#All],[Reporting Year]],2024,TM[[#All],[Insurance Category Code]],'Data Validation Checks'!A59,TM[[#All],[Large Provider Entity Code]],100))/'Data Validation Checks'!B114),"NA")</f>
        <v>NA</v>
      </c>
      <c r="L59" s="178" t="str">
        <f>IF(C114&lt;&gt;0,((SUMIFS(TM[[#All],[Claims: Hospital Inpatient]],TM[[#All],[Reporting Year]],2025,TM[[#All],[Insurance Category Code]],'Data Validation Checks'!A59,TM[[#All],[Large Provider Entity Code]],100))/'Data Validation Checks'!C114),"NA")</f>
        <v>NA</v>
      </c>
      <c r="M59" s="7" t="str">
        <f>IF(C114&lt;&gt;0,((SUMIFS(TM[[#All],[Claims: Hospital Outpatient]],TM[[#All],[Reporting Year]],2025,TM[[#All],[Insurance Category Code]],'Data Validation Checks'!A59,TM[[#All],[Large Provider Entity Code]],100))/'Data Validation Checks'!C114),"NA")</f>
        <v>NA</v>
      </c>
      <c r="N59" s="7" t="str">
        <f>IF(C114&lt;&gt;0,((SUMIFS(TM[[#All],[Claims: Professional, Primary Care Providers]],TM[[#All],[Reporting Year]],2025,TM[[#All],[Insurance Category Code]],'Data Validation Checks'!A59,TM[[#All],[Large Provider Entity Code]],100))/'Data Validation Checks'!C114),"NA")</f>
        <v>NA</v>
      </c>
      <c r="O59" s="7" t="str">
        <f>IF(C114&lt;&gt;0,((SUMIFS(TM[[#All],[Claims: Professional, Specialty Providers]],TM[[#All],[Reporting Year]],2025,TM[[#All],[Insurance Category Code]],'Data Validation Checks'!A59,TM[[#All],[Large Provider Entity Code]],100))/'Data Validation Checks'!C114),"NA")</f>
        <v>NA</v>
      </c>
      <c r="P59" s="7" t="str">
        <f>IF(C114&lt;&gt;0,((SUMIFS(TM[[#All],[Claims: Professional, Other Providers]],TM[[#All],[Reporting Year]],2025,TM[[#All],[Insurance Category Code]],'Data Validation Checks'!A59,TM[[#All],[Large Provider Entity Code]],100))/'Data Validation Checks'!C114),"NA")</f>
        <v>NA</v>
      </c>
      <c r="Q59" s="7" t="str">
        <f>IF(C114&lt;&gt;0,((SUMIFS(TM[[#All],[Claims: Long-Term Care]],TM[[#All],[Reporting Year]],2025,TM[[#All],[Insurance Category Code]],'Data Validation Checks'!A59,TM[[#All],[Large Provider Entity Code]],100))/'Data Validation Checks'!C114),"NA")</f>
        <v>NA</v>
      </c>
      <c r="R59" s="7" t="str">
        <f>IF(C114&lt;&gt;0,((SUMIFS(TM[[#All],[Claims: Retail Pharmacy]],TM[[#All],[Reporting Year]],2025,TM[[#All],[Insurance Category Code]],'Data Validation Checks'!A59,TM[[#All],[Large Provider Entity Code]],100))/'Data Validation Checks'!C114),"NA")</f>
        <v>NA</v>
      </c>
      <c r="S59" s="7" t="str">
        <f>IF(C114&lt;&gt;0,((SUMIFS(TM[[#All],[Claims: Other]],TM[[#All],[Reporting Year]],2025,TM[[#All],[Insurance Category Code]],'Data Validation Checks'!A59,TM[[#All],[Large Provider Entity Code]],100))/'Data Validation Checks'!C114),"NA")</f>
        <v>NA</v>
      </c>
      <c r="T59" s="7" t="str">
        <f>IF(C114&lt;&gt;0,((SUMIFS(TM[[#All],[Total Non-Claims Spending]],TM[[#All],[Reporting Year]],2025,TM[[#All],[Insurance Category Code]],'Data Validation Checks'!A59,TM[[#All],[Large Provider Entity Code]],100))/'Data Validation Checks'!C114),"NA")</f>
        <v>NA</v>
      </c>
      <c r="U59" s="7" t="str">
        <f>IF(C114&lt;&gt;0,((SUMIFS(TM[[#All],[Total Non-Truncated Claims and Non-Claims Spending]],TM[[#All],[Reporting Year]],2025,TM[[#All],[Insurance Category Code]],'Data Validation Checks'!A59,TM[[#All],[Large Provider Entity Code]],100))/'Data Validation Checks'!C114),"NA")</f>
        <v>NA</v>
      </c>
      <c r="V59"/>
      <c r="W59"/>
      <c r="X59"/>
      <c r="Y59"/>
      <c r="Z59"/>
      <c r="AA59"/>
      <c r="AB59"/>
      <c r="AC59"/>
    </row>
    <row r="60" spans="1:29" x14ac:dyDescent="0.4">
      <c r="A60" s="47">
        <v>5</v>
      </c>
      <c r="B60" s="424" t="str">
        <f>IF(B115&lt;&gt;0,((SUMIFS(TM[[#All],[Claims: Hospital Inpatient]],TM[[#All],[Reporting Year]],2024,TM[[#All],[Insurance Category Code]],'Data Validation Checks'!A60,TM[[#All],[Large Provider Entity Code]],100))/'Data Validation Checks'!B115),"NA")</f>
        <v>NA</v>
      </c>
      <c r="C60" s="425" t="str">
        <f>IF(B115&lt;&gt;0,((SUMIFS(TM[[#All],[Claims: Hospital Outpatient]],TM[[#All],[Reporting Year]],2024,TM[[#All],[Insurance Category Code]],'Data Validation Checks'!A60,TM[[#All],[Large Provider Entity Code]],100))/'Data Validation Checks'!B115),"NA")</f>
        <v>NA</v>
      </c>
      <c r="D60" s="425" t="str">
        <f>IF(B115&lt;&gt;0,((SUMIFS(TM[[#All],[Claims: Professional, Primary Care Providers]],TM[[#All],[Reporting Year]],2024,TM[[#All],[Insurance Category Code]],'Data Validation Checks'!A60,TM[[#All],[Large Provider Entity Code]],100))/'Data Validation Checks'!B115),"NA")</f>
        <v>NA</v>
      </c>
      <c r="E60" s="425" t="str">
        <f>IF(B115&lt;&gt;0,((SUMIFS(TM[[#All],[Claims: Professional, Specialty Providers]],TM[[#All],[Reporting Year]],2024,TM[[#All],[Insurance Category Code]],'Data Validation Checks'!A60,TM[[#All],[Large Provider Entity Code]],100))/'Data Validation Checks'!B115),"NA")</f>
        <v>NA</v>
      </c>
      <c r="F60" s="425" t="str">
        <f>IF(B115&lt;&gt;0,((SUMIFS(TM[[#All],[Claims: Professional, Other Providers]],TM[[#All],[Reporting Year]],2024,TM[[#All],[Insurance Category Code]],'Data Validation Checks'!A60,TM[[#All],[Large Provider Entity Code]],100))/'Data Validation Checks'!B115),"NA")</f>
        <v>NA</v>
      </c>
      <c r="G60" s="7" t="str">
        <f>IF(B115&lt;&gt;0,((SUMIFS(TM[[#All],[Claims: Long-Term Care]],TM[[#All],[Reporting Year]],2024,TM[[#All],[Insurance Category Code]],'Data Validation Checks'!A60,TM[[#All],[Large Provider Entity Code]],100))/'Data Validation Checks'!B115),"NA")</f>
        <v>NA</v>
      </c>
      <c r="H60" s="7" t="str">
        <f>IF(B115&lt;&gt;0,((SUMIFS(TM[[#All],[Claims: Retail Pharmacy]],TM[[#All],[Reporting Year]],2024,TM[[#All],[Insurance Category Code]],'Data Validation Checks'!A60,TM[[#All],[Large Provider Entity Code]],100))/'Data Validation Checks'!B115),"NA")</f>
        <v>NA</v>
      </c>
      <c r="I60" s="7" t="str">
        <f>IF(B115&lt;&gt;0,((SUMIFS(TM[[#All],[Claims: Other]],TM[[#All],[Reporting Year]],2024,TM[[#All],[Insurance Category Code]],'Data Validation Checks'!A60,TM[[#All],[Large Provider Entity Code]],100))/'Data Validation Checks'!B115),"NA")</f>
        <v>NA</v>
      </c>
      <c r="J60" s="7" t="str">
        <f>IF(B115&lt;&gt;0,((SUMIFS(TM[[#All],[Total Non-Claims Spending]],TM[[#All],[Reporting Year]],2024,TM[[#All],[Insurance Category Code]],'Data Validation Checks'!A60,TM[[#All],[Large Provider Entity Code]],100))/'Data Validation Checks'!B115),"NA")</f>
        <v>NA</v>
      </c>
      <c r="K60" s="90" t="str">
        <f>IF(B115&lt;&gt;0,((SUMIFS(TM[[#All],[Total Non-Truncated Claims and Non-Claims Spending]],TM[[#All],[Reporting Year]],2024,TM[[#All],[Insurance Category Code]],'Data Validation Checks'!A60,TM[[#All],[Large Provider Entity Code]],100))/'Data Validation Checks'!B115),"NA")</f>
        <v>NA</v>
      </c>
      <c r="L60" s="178" t="str">
        <f>IF(C115&lt;&gt;0,((SUMIFS(TM[[#All],[Claims: Hospital Inpatient]],TM[[#All],[Reporting Year]],2025,TM[[#All],[Insurance Category Code]],'Data Validation Checks'!A60,TM[[#All],[Large Provider Entity Code]],100))/'Data Validation Checks'!C115),"NA")</f>
        <v>NA</v>
      </c>
      <c r="M60" s="7" t="str">
        <f>IF(C115&lt;&gt;0,((SUMIFS(TM[[#All],[Claims: Hospital Outpatient]],TM[[#All],[Reporting Year]],2025,TM[[#All],[Insurance Category Code]],'Data Validation Checks'!A60,TM[[#All],[Large Provider Entity Code]],100))/'Data Validation Checks'!C115),"NA")</f>
        <v>NA</v>
      </c>
      <c r="N60" s="7" t="str">
        <f>IF(C115&lt;&gt;0,((SUMIFS(TM[[#All],[Claims: Professional, Primary Care Providers]],TM[[#All],[Reporting Year]],2025,TM[[#All],[Insurance Category Code]],'Data Validation Checks'!A60,TM[[#All],[Large Provider Entity Code]],100))/'Data Validation Checks'!C115),"NA")</f>
        <v>NA</v>
      </c>
      <c r="O60" s="7" t="str">
        <f>IF(C115&lt;&gt;0,((SUMIFS(TM[[#All],[Claims: Professional, Specialty Providers]],TM[[#All],[Reporting Year]],2025,TM[[#All],[Insurance Category Code]],'Data Validation Checks'!A60,TM[[#All],[Large Provider Entity Code]],100))/'Data Validation Checks'!C115),"NA")</f>
        <v>NA</v>
      </c>
      <c r="P60" s="7" t="str">
        <f>IF(C115&lt;&gt;0,((SUMIFS(TM[[#All],[Claims: Professional, Other Providers]],TM[[#All],[Reporting Year]],2025,TM[[#All],[Insurance Category Code]],'Data Validation Checks'!A60,TM[[#All],[Large Provider Entity Code]],100))/'Data Validation Checks'!C115),"NA")</f>
        <v>NA</v>
      </c>
      <c r="Q60" s="7" t="str">
        <f>IF(C115&lt;&gt;0,((SUMIFS(TM[[#All],[Claims: Long-Term Care]],TM[[#All],[Reporting Year]],2025,TM[[#All],[Insurance Category Code]],'Data Validation Checks'!A60,TM[[#All],[Large Provider Entity Code]],100))/'Data Validation Checks'!C115),"NA")</f>
        <v>NA</v>
      </c>
      <c r="R60" s="7" t="str">
        <f>IF(C115&lt;&gt;0,((SUMIFS(TM[[#All],[Claims: Retail Pharmacy]],TM[[#All],[Reporting Year]],2025,TM[[#All],[Insurance Category Code]],'Data Validation Checks'!A60,TM[[#All],[Large Provider Entity Code]],100))/'Data Validation Checks'!C115),"NA")</f>
        <v>NA</v>
      </c>
      <c r="S60" s="7" t="str">
        <f>IF(C115&lt;&gt;0,((SUMIFS(TM[[#All],[Claims: Other]],TM[[#All],[Reporting Year]],2025,TM[[#All],[Insurance Category Code]],'Data Validation Checks'!A60,TM[[#All],[Large Provider Entity Code]],100))/'Data Validation Checks'!C115),"NA")</f>
        <v>NA</v>
      </c>
      <c r="T60" s="7" t="str">
        <f>IF(C115&lt;&gt;0,((SUMIFS(TM[[#All],[Total Non-Claims Spending]],TM[[#All],[Reporting Year]],2025,TM[[#All],[Insurance Category Code]],'Data Validation Checks'!A60,TM[[#All],[Large Provider Entity Code]],100))/'Data Validation Checks'!C115),"NA")</f>
        <v>NA</v>
      </c>
      <c r="U60" s="7" t="str">
        <f>IF(C115&lt;&gt;0,((SUMIFS(TM[[#All],[Total Non-Truncated Claims and Non-Claims Spending]],TM[[#All],[Reporting Year]],2025,TM[[#All],[Insurance Category Code]],'Data Validation Checks'!A60,TM[[#All],[Large Provider Entity Code]],100))/'Data Validation Checks'!C115),"NA")</f>
        <v>NA</v>
      </c>
      <c r="V60"/>
      <c r="W60"/>
      <c r="X60"/>
      <c r="Y60"/>
      <c r="Z60"/>
      <c r="AA60"/>
      <c r="AB60"/>
      <c r="AC60"/>
    </row>
    <row r="61" spans="1:29" x14ac:dyDescent="0.4">
      <c r="A61" s="47">
        <v>6</v>
      </c>
      <c r="B61" s="424" t="str">
        <f>IF(B116&lt;&gt;0,((SUMIFS(TM[[#All],[Claims: Hospital Inpatient]],TM[[#All],[Reporting Year]],2024,TM[[#All],[Insurance Category Code]],'Data Validation Checks'!A61,TM[[#All],[Large Provider Entity Code]],100))/'Data Validation Checks'!B116),"NA")</f>
        <v>NA</v>
      </c>
      <c r="C61" s="425" t="str">
        <f>IF(B116&lt;&gt;0,((SUMIFS(TM[[#All],[Claims: Hospital Outpatient]],TM[[#All],[Reporting Year]],2024,TM[[#All],[Insurance Category Code]],'Data Validation Checks'!A61,TM[[#All],[Large Provider Entity Code]],100))/'Data Validation Checks'!B116),"NA")</f>
        <v>NA</v>
      </c>
      <c r="D61" s="425" t="str">
        <f>IF(B116&lt;&gt;0,((SUMIFS(TM[[#All],[Claims: Professional, Primary Care Providers]],TM[[#All],[Reporting Year]],2024,TM[[#All],[Insurance Category Code]],'Data Validation Checks'!A61,TM[[#All],[Large Provider Entity Code]],100))/'Data Validation Checks'!B116),"NA")</f>
        <v>NA</v>
      </c>
      <c r="E61" s="425" t="str">
        <f>IF(B116&lt;&gt;0,((SUMIFS(TM[[#All],[Claims: Professional, Specialty Providers]],TM[[#All],[Reporting Year]],2024,TM[[#All],[Insurance Category Code]],'Data Validation Checks'!A61,TM[[#All],[Large Provider Entity Code]],100))/'Data Validation Checks'!B116),"NA")</f>
        <v>NA</v>
      </c>
      <c r="F61" s="425" t="str">
        <f>IF(B116&lt;&gt;0,((SUMIFS(TM[[#All],[Claims: Professional, Other Providers]],TM[[#All],[Reporting Year]],2024,TM[[#All],[Insurance Category Code]],'Data Validation Checks'!A61,TM[[#All],[Large Provider Entity Code]],100))/'Data Validation Checks'!B116),"NA")</f>
        <v>NA</v>
      </c>
      <c r="G61" s="7" t="str">
        <f>IF(B116&lt;&gt;0,((SUMIFS(TM[[#All],[Claims: Long-Term Care]],TM[[#All],[Reporting Year]],2024,TM[[#All],[Insurance Category Code]],'Data Validation Checks'!A61,TM[[#All],[Large Provider Entity Code]],100))/'Data Validation Checks'!B116),"NA")</f>
        <v>NA</v>
      </c>
      <c r="H61" s="7" t="str">
        <f>IF(B116&lt;&gt;0,((SUMIFS(TM[[#All],[Claims: Retail Pharmacy]],TM[[#All],[Reporting Year]],2024,TM[[#All],[Insurance Category Code]],'Data Validation Checks'!A61,TM[[#All],[Large Provider Entity Code]],100))/'Data Validation Checks'!B116),"NA")</f>
        <v>NA</v>
      </c>
      <c r="I61" s="7" t="str">
        <f>IF(B116&lt;&gt;0,((SUMIFS(TM[[#All],[Claims: Other]],TM[[#All],[Reporting Year]],2024,TM[[#All],[Insurance Category Code]],'Data Validation Checks'!A61,TM[[#All],[Large Provider Entity Code]],100))/'Data Validation Checks'!B116),"NA")</f>
        <v>NA</v>
      </c>
      <c r="J61" s="7" t="str">
        <f>IF(B116&lt;&gt;0,((SUMIFS(TM[[#All],[Total Non-Claims Spending]],TM[[#All],[Reporting Year]],2024,TM[[#All],[Insurance Category Code]],'Data Validation Checks'!A61,TM[[#All],[Large Provider Entity Code]],100))/'Data Validation Checks'!B116),"NA")</f>
        <v>NA</v>
      </c>
      <c r="K61" s="90" t="str">
        <f>IF(B116&lt;&gt;0,((SUMIFS(TM[[#All],[Total Non-Truncated Claims and Non-Claims Spending]],TM[[#All],[Reporting Year]],2024,TM[[#All],[Insurance Category Code]],'Data Validation Checks'!A61,TM[[#All],[Large Provider Entity Code]],100))/'Data Validation Checks'!B116),"NA")</f>
        <v>NA</v>
      </c>
      <c r="L61" s="178" t="str">
        <f>IF(C116&lt;&gt;0,((SUMIFS(TM[[#All],[Claims: Hospital Inpatient]],TM[[#All],[Reporting Year]],2025,TM[[#All],[Insurance Category Code]],'Data Validation Checks'!A61,TM[[#All],[Large Provider Entity Code]],100))/'Data Validation Checks'!C116),"NA")</f>
        <v>NA</v>
      </c>
      <c r="M61" s="7" t="str">
        <f>IF(C116&lt;&gt;0,((SUMIFS(TM[[#All],[Claims: Hospital Outpatient]],TM[[#All],[Reporting Year]],2025,TM[[#All],[Insurance Category Code]],'Data Validation Checks'!A61,TM[[#All],[Large Provider Entity Code]],100))/'Data Validation Checks'!C116),"NA")</f>
        <v>NA</v>
      </c>
      <c r="N61" s="7" t="str">
        <f>IF(C116&lt;&gt;0,((SUMIFS(TM[[#All],[Claims: Professional, Primary Care Providers]],TM[[#All],[Reporting Year]],2025,TM[[#All],[Insurance Category Code]],'Data Validation Checks'!A61,TM[[#All],[Large Provider Entity Code]],100))/'Data Validation Checks'!C116),"NA")</f>
        <v>NA</v>
      </c>
      <c r="O61" s="7" t="str">
        <f>IF(C116&lt;&gt;0,((SUMIFS(TM[[#All],[Claims: Professional, Specialty Providers]],TM[[#All],[Reporting Year]],2025,TM[[#All],[Insurance Category Code]],'Data Validation Checks'!A61,TM[[#All],[Large Provider Entity Code]],100))/'Data Validation Checks'!C116),"NA")</f>
        <v>NA</v>
      </c>
      <c r="P61" s="7" t="str">
        <f>IF(C116&lt;&gt;0,((SUMIFS(TM[[#All],[Claims: Professional, Other Providers]],TM[[#All],[Reporting Year]],2025,TM[[#All],[Insurance Category Code]],'Data Validation Checks'!A61,TM[[#All],[Large Provider Entity Code]],100))/'Data Validation Checks'!C116),"NA")</f>
        <v>NA</v>
      </c>
      <c r="Q61" s="7" t="str">
        <f>IF(C116&lt;&gt;0,((SUMIFS(TM[[#All],[Claims: Long-Term Care]],TM[[#All],[Reporting Year]],2025,TM[[#All],[Insurance Category Code]],'Data Validation Checks'!A61,TM[[#All],[Large Provider Entity Code]],100))/'Data Validation Checks'!C116),"NA")</f>
        <v>NA</v>
      </c>
      <c r="R61" s="7" t="str">
        <f>IF(C116&lt;&gt;0,((SUMIFS(TM[[#All],[Claims: Retail Pharmacy]],TM[[#All],[Reporting Year]],2025,TM[[#All],[Insurance Category Code]],'Data Validation Checks'!A61,TM[[#All],[Large Provider Entity Code]],100))/'Data Validation Checks'!C116),"NA")</f>
        <v>NA</v>
      </c>
      <c r="S61" s="7" t="str">
        <f>IF(C116&lt;&gt;0,((SUMIFS(TM[[#All],[Claims: Other]],TM[[#All],[Reporting Year]],2025,TM[[#All],[Insurance Category Code]],'Data Validation Checks'!A61,TM[[#All],[Large Provider Entity Code]],100))/'Data Validation Checks'!C116),"NA")</f>
        <v>NA</v>
      </c>
      <c r="T61" s="7" t="str">
        <f>IF(C116&lt;&gt;0,((SUMIFS(TM[[#All],[Total Non-Claims Spending]],TM[[#All],[Reporting Year]],2025,TM[[#All],[Insurance Category Code]],'Data Validation Checks'!A61,TM[[#All],[Large Provider Entity Code]],100))/'Data Validation Checks'!C116),"NA")</f>
        <v>NA</v>
      </c>
      <c r="U61" s="7" t="str">
        <f>IF(C116&lt;&gt;0,((SUMIFS(TM[[#All],[Total Non-Truncated Claims and Non-Claims Spending]],TM[[#All],[Reporting Year]],2025,TM[[#All],[Insurance Category Code]],'Data Validation Checks'!A61,TM[[#All],[Large Provider Entity Code]],100))/'Data Validation Checks'!C116),"NA")</f>
        <v>NA</v>
      </c>
      <c r="V61"/>
      <c r="W61"/>
      <c r="X61"/>
      <c r="Y61"/>
      <c r="Z61"/>
      <c r="AA61"/>
      <c r="AB61"/>
      <c r="AC61"/>
    </row>
    <row r="62" spans="1:29" x14ac:dyDescent="0.4">
      <c r="A62" s="47">
        <v>7</v>
      </c>
      <c r="B62" s="424" t="str">
        <f>IF(B117&lt;&gt;0,((SUMIFS(TM[[#All],[Claims: Hospital Inpatient]],TM[[#All],[Reporting Year]],2024,TM[[#All],[Insurance Category Code]],'Data Validation Checks'!A62,TM[[#All],[Large Provider Entity Code]],100))/'Data Validation Checks'!B117),"NA")</f>
        <v>NA</v>
      </c>
      <c r="C62" s="425" t="str">
        <f>IF(B117&lt;&gt;0,((SUMIFS(TM[[#All],[Claims: Hospital Outpatient]],TM[[#All],[Reporting Year]],2024,TM[[#All],[Insurance Category Code]],'Data Validation Checks'!A62,TM[[#All],[Large Provider Entity Code]],100))/'Data Validation Checks'!B117),"NA")</f>
        <v>NA</v>
      </c>
      <c r="D62" s="425" t="str">
        <f>IF(B117&lt;&gt;0,((SUMIFS(TM[[#All],[Claims: Professional, Primary Care Providers]],TM[[#All],[Reporting Year]],2024,TM[[#All],[Insurance Category Code]],'Data Validation Checks'!A62,TM[[#All],[Large Provider Entity Code]],100))/'Data Validation Checks'!B117),"NA")</f>
        <v>NA</v>
      </c>
      <c r="E62" s="425" t="str">
        <f>IF(B117&lt;&gt;0,((SUMIFS(TM[[#All],[Claims: Professional, Specialty Providers]],TM[[#All],[Reporting Year]],2024,TM[[#All],[Insurance Category Code]],'Data Validation Checks'!A62,TM[[#All],[Large Provider Entity Code]],100))/'Data Validation Checks'!B117),"NA")</f>
        <v>NA</v>
      </c>
      <c r="F62" s="425" t="str">
        <f>IF(B117&lt;&gt;0,((SUMIFS(TM[[#All],[Claims: Professional, Other Providers]],TM[[#All],[Reporting Year]],2024,TM[[#All],[Insurance Category Code]],'Data Validation Checks'!A62,TM[[#All],[Large Provider Entity Code]],100))/'Data Validation Checks'!B117),"NA")</f>
        <v>NA</v>
      </c>
      <c r="G62" s="7" t="str">
        <f>IF(B117&lt;&gt;0,((SUMIFS(TM[[#All],[Claims: Long-Term Care]],TM[[#All],[Reporting Year]],2024,TM[[#All],[Insurance Category Code]],'Data Validation Checks'!A62,TM[[#All],[Large Provider Entity Code]],100))/'Data Validation Checks'!B117),"NA")</f>
        <v>NA</v>
      </c>
      <c r="H62" s="7" t="str">
        <f>IF(B117&lt;&gt;0,((SUMIFS(TM[[#All],[Claims: Retail Pharmacy]],TM[[#All],[Reporting Year]],2024,TM[[#All],[Insurance Category Code]],'Data Validation Checks'!A62,TM[[#All],[Large Provider Entity Code]],100))/'Data Validation Checks'!B117),"NA")</f>
        <v>NA</v>
      </c>
      <c r="I62" s="7" t="str">
        <f>IF(B117&lt;&gt;0,((SUMIFS(TM[[#All],[Claims: Other]],TM[[#All],[Reporting Year]],2024,TM[[#All],[Insurance Category Code]],'Data Validation Checks'!A62,TM[[#All],[Large Provider Entity Code]],100))/'Data Validation Checks'!B117),"NA")</f>
        <v>NA</v>
      </c>
      <c r="J62" s="7" t="str">
        <f>IF(B117&lt;&gt;0,((SUMIFS(TM[[#All],[Total Non-Claims Spending]],TM[[#All],[Reporting Year]],2024,TM[[#All],[Insurance Category Code]],'Data Validation Checks'!A62,TM[[#All],[Large Provider Entity Code]],100))/'Data Validation Checks'!B117),"NA")</f>
        <v>NA</v>
      </c>
      <c r="K62" s="90" t="str">
        <f>IF(B117&lt;&gt;0,((SUMIFS(TM[[#All],[Total Non-Truncated Claims and Non-Claims Spending]],TM[[#All],[Reporting Year]],2024,TM[[#All],[Insurance Category Code]],'Data Validation Checks'!A62,TM[[#All],[Large Provider Entity Code]],100))/'Data Validation Checks'!B117),"NA")</f>
        <v>NA</v>
      </c>
      <c r="L62" s="178" t="str">
        <f>IF(C117&lt;&gt;0,((SUMIFS(TM[[#All],[Claims: Hospital Inpatient]],TM[[#All],[Reporting Year]],2025,TM[[#All],[Insurance Category Code]],'Data Validation Checks'!A62,TM[[#All],[Large Provider Entity Code]],100))/'Data Validation Checks'!C117),"NA")</f>
        <v>NA</v>
      </c>
      <c r="M62" s="7" t="str">
        <f>IF(C117&lt;&gt;0,((SUMIFS(TM[[#All],[Claims: Hospital Outpatient]],TM[[#All],[Reporting Year]],2025,TM[[#All],[Insurance Category Code]],'Data Validation Checks'!A62,TM[[#All],[Large Provider Entity Code]],100))/'Data Validation Checks'!C117),"NA")</f>
        <v>NA</v>
      </c>
      <c r="N62" s="7" t="str">
        <f>IF(C117&lt;&gt;0,((SUMIFS(TM[[#All],[Claims: Professional, Primary Care Providers]],TM[[#All],[Reporting Year]],2025,TM[[#All],[Insurance Category Code]],'Data Validation Checks'!A62,TM[[#All],[Large Provider Entity Code]],100))/'Data Validation Checks'!C117),"NA")</f>
        <v>NA</v>
      </c>
      <c r="O62" s="7" t="str">
        <f>IF(C117&lt;&gt;0,((SUMIFS(TM[[#All],[Claims: Professional, Specialty Providers]],TM[[#All],[Reporting Year]],2025,TM[[#All],[Insurance Category Code]],'Data Validation Checks'!A62,TM[[#All],[Large Provider Entity Code]],100))/'Data Validation Checks'!C117),"NA")</f>
        <v>NA</v>
      </c>
      <c r="P62" s="7" t="str">
        <f>IF(C117&lt;&gt;0,((SUMIFS(TM[[#All],[Claims: Professional, Other Providers]],TM[[#All],[Reporting Year]],2025,TM[[#All],[Insurance Category Code]],'Data Validation Checks'!A62,TM[[#All],[Large Provider Entity Code]],100))/'Data Validation Checks'!C117),"NA")</f>
        <v>NA</v>
      </c>
      <c r="Q62" s="7" t="str">
        <f>IF(C117&lt;&gt;0,((SUMIFS(TM[[#All],[Claims: Long-Term Care]],TM[[#All],[Reporting Year]],2025,TM[[#All],[Insurance Category Code]],'Data Validation Checks'!A62,TM[[#All],[Large Provider Entity Code]],100))/'Data Validation Checks'!C117),"NA")</f>
        <v>NA</v>
      </c>
      <c r="R62" s="7" t="str">
        <f>IF(C117&lt;&gt;0,((SUMIFS(TM[[#All],[Claims: Retail Pharmacy]],TM[[#All],[Reporting Year]],2025,TM[[#All],[Insurance Category Code]],'Data Validation Checks'!A62,TM[[#All],[Large Provider Entity Code]],100))/'Data Validation Checks'!C117),"NA")</f>
        <v>NA</v>
      </c>
      <c r="S62" s="7" t="str">
        <f>IF(C117&lt;&gt;0,((SUMIFS(TM[[#All],[Claims: Other]],TM[[#All],[Reporting Year]],2025,TM[[#All],[Insurance Category Code]],'Data Validation Checks'!A62,TM[[#All],[Large Provider Entity Code]],100))/'Data Validation Checks'!C117),"NA")</f>
        <v>NA</v>
      </c>
      <c r="T62" s="7" t="str">
        <f>IF(C117&lt;&gt;0,((SUMIFS(TM[[#All],[Total Non-Claims Spending]],TM[[#All],[Reporting Year]],2025,TM[[#All],[Insurance Category Code]],'Data Validation Checks'!A62,TM[[#All],[Large Provider Entity Code]],100))/'Data Validation Checks'!C117),"NA")</f>
        <v>NA</v>
      </c>
      <c r="U62" s="7" t="str">
        <f>IF(C117&lt;&gt;0,((SUMIFS(TM[[#All],[Total Non-Truncated Claims and Non-Claims Spending]],TM[[#All],[Reporting Year]],2025,TM[[#All],[Insurance Category Code]],'Data Validation Checks'!A62,TM[[#All],[Large Provider Entity Code]],100))/'Data Validation Checks'!C117),"NA")</f>
        <v>NA</v>
      </c>
      <c r="V62"/>
      <c r="W62"/>
      <c r="X62"/>
      <c r="Y62"/>
      <c r="Z62"/>
      <c r="AA62"/>
      <c r="AB62"/>
      <c r="AC62"/>
    </row>
    <row r="63" spans="1:29" x14ac:dyDescent="0.4">
      <c r="A63" s="47">
        <v>8</v>
      </c>
      <c r="B63" s="178" t="str">
        <f>IF(B118&lt;&gt;0,((SUMIFS(TM[[#All],[Claims: Hospital Inpatient]],TM[[#All],[Reporting Year]],2024,TM[[#All],[Insurance Category Code]],'Data Validation Checks'!A63,TM[[#All],[Large Provider Entity Code]],100))/'Data Validation Checks'!B118),"NA")</f>
        <v>NA</v>
      </c>
      <c r="C63" s="7" t="str">
        <f>IF(B118&lt;&gt;0,((SUMIFS(TM[[#All],[Claims: Hospital Outpatient]],TM[[#All],[Reporting Year]],2024,TM[[#All],[Insurance Category Code]],'Data Validation Checks'!A63,TM[[#All],[Large Provider Entity Code]],100))/'Data Validation Checks'!B118),"NA")</f>
        <v>NA</v>
      </c>
      <c r="D63" s="7" t="str">
        <f>IF(B118&lt;&gt;0,((SUMIFS(TM[[#All],[Claims: Professional, Primary Care Providers]],TM[[#All],[Reporting Year]],2024,TM[[#All],[Insurance Category Code]],'Data Validation Checks'!A63,TM[[#All],[Large Provider Entity Code]],100))/'Data Validation Checks'!B118),"NA")</f>
        <v>NA</v>
      </c>
      <c r="E63" s="7" t="str">
        <f>IF(B118&lt;&gt;0,((SUMIFS(TM[[#All],[Claims: Professional, Specialty Providers]],TM[[#All],[Reporting Year]],2024,TM[[#All],[Insurance Category Code]],'Data Validation Checks'!A63,TM[[#All],[Large Provider Entity Code]],100))/'Data Validation Checks'!B118),"NA")</f>
        <v>NA</v>
      </c>
      <c r="F63" s="7" t="str">
        <f>IF(B118&lt;&gt;0,((SUMIFS(TM[[#All],[Claims: Professional, Other Providers]],TM[[#All],[Reporting Year]],2024,TM[[#All],[Insurance Category Code]],'Data Validation Checks'!A63,TM[[#All],[Large Provider Entity Code]],100))/'Data Validation Checks'!B118),"NA")</f>
        <v>NA</v>
      </c>
      <c r="G63" s="7" t="str">
        <f>IF(B118&lt;&gt;0,((SUMIFS(TM[[#All],[Claims: Long-Term Care]],TM[[#All],[Reporting Year]],2024,TM[[#All],[Insurance Category Code]],'Data Validation Checks'!A63,TM[[#All],[Large Provider Entity Code]],100))/'Data Validation Checks'!B118),"NA")</f>
        <v>NA</v>
      </c>
      <c r="H63" s="7" t="str">
        <f>IF(B118&lt;&gt;0,((SUMIFS(TM[[#All],[Claims: Retail Pharmacy]],TM[[#All],[Reporting Year]],2024,TM[[#All],[Insurance Category Code]],'Data Validation Checks'!A63,TM[[#All],[Large Provider Entity Code]],100))/'Data Validation Checks'!B118),"NA")</f>
        <v>NA</v>
      </c>
      <c r="I63" s="7" t="str">
        <f>IF(B118&lt;&gt;0,((SUMIFS(TM[[#All],[Claims: Other]],TM[[#All],[Reporting Year]],2024,TM[[#All],[Insurance Category Code]],'Data Validation Checks'!A63,TM[[#All],[Large Provider Entity Code]],100))/'Data Validation Checks'!B118),"NA")</f>
        <v>NA</v>
      </c>
      <c r="J63" s="7" t="str">
        <f>IF(B118&lt;&gt;0,((SUMIFS(TM[[#All],[Total Non-Claims Spending]],TM[[#All],[Reporting Year]],2024,TM[[#All],[Insurance Category Code]],'Data Validation Checks'!A63,TM[[#All],[Large Provider Entity Code]],100))/'Data Validation Checks'!B118),"NA")</f>
        <v>NA</v>
      </c>
      <c r="K63" s="90" t="str">
        <f>IF(B118&lt;&gt;0,((SUMIFS(TM[[#All],[Total Non-Truncated Claims and Non-Claims Spending]],TM[[#All],[Reporting Year]],2024,TM[[#All],[Insurance Category Code]],'Data Validation Checks'!A63,TM[[#All],[Large Provider Entity Code]],100))/'Data Validation Checks'!B118),"NA")</f>
        <v>NA</v>
      </c>
      <c r="L63" s="178" t="str">
        <f>IF(C118&lt;&gt;0,((SUMIFS(TM[[#All],[Claims: Hospital Inpatient]],TM[[#All],[Reporting Year]],2025,TM[[#All],[Insurance Category Code]],'Data Validation Checks'!A63,TM[[#All],[Large Provider Entity Code]],100))/'Data Validation Checks'!C118),"NA")</f>
        <v>NA</v>
      </c>
      <c r="M63" s="7" t="str">
        <f>IF(C118&lt;&gt;0,((SUMIFS(TM[[#All],[Claims: Hospital Outpatient]],TM[[#All],[Reporting Year]],2025,TM[[#All],[Insurance Category Code]],'Data Validation Checks'!A63,TM[[#All],[Large Provider Entity Code]],100))/'Data Validation Checks'!C118),"NA")</f>
        <v>NA</v>
      </c>
      <c r="N63" s="7" t="str">
        <f>IF(C118&lt;&gt;0,((SUMIFS(TM[[#All],[Claims: Professional, Primary Care Providers]],TM[[#All],[Reporting Year]],2025,TM[[#All],[Insurance Category Code]],'Data Validation Checks'!A63,TM[[#All],[Large Provider Entity Code]],100))/'Data Validation Checks'!C118),"NA")</f>
        <v>NA</v>
      </c>
      <c r="O63" s="7" t="str">
        <f>IF(C118&lt;&gt;0,((SUMIFS(TM[[#All],[Claims: Professional, Specialty Providers]],TM[[#All],[Reporting Year]],2025,TM[[#All],[Insurance Category Code]],'Data Validation Checks'!A63,TM[[#All],[Large Provider Entity Code]],100))/'Data Validation Checks'!C118),"NA")</f>
        <v>NA</v>
      </c>
      <c r="P63" s="7" t="str">
        <f>IF(C118&lt;&gt;0,((SUMIFS(TM[[#All],[Claims: Professional, Other Providers]],TM[[#All],[Reporting Year]],2025,TM[[#All],[Insurance Category Code]],'Data Validation Checks'!A63,TM[[#All],[Large Provider Entity Code]],100))/'Data Validation Checks'!C118),"NA")</f>
        <v>NA</v>
      </c>
      <c r="Q63" s="7" t="str">
        <f>IF(C118&lt;&gt;0,((SUMIFS(TM[[#All],[Claims: Long-Term Care]],TM[[#All],[Reporting Year]],2025,TM[[#All],[Insurance Category Code]],'Data Validation Checks'!A63,TM[[#All],[Large Provider Entity Code]],100))/'Data Validation Checks'!C118),"NA")</f>
        <v>NA</v>
      </c>
      <c r="R63" s="7" t="str">
        <f>IF(C118&lt;&gt;0,((SUMIFS(TM[[#All],[Claims: Retail Pharmacy]],TM[[#All],[Reporting Year]],2025,TM[[#All],[Insurance Category Code]],'Data Validation Checks'!A63,TM[[#All],[Large Provider Entity Code]],100))/'Data Validation Checks'!C118),"NA")</f>
        <v>NA</v>
      </c>
      <c r="S63" s="7" t="str">
        <f>IF(C118&lt;&gt;0,((SUMIFS(TM[[#All],[Claims: Other]],TM[[#All],[Reporting Year]],2025,TM[[#All],[Insurance Category Code]],'Data Validation Checks'!A63,TM[[#All],[Large Provider Entity Code]],100))/'Data Validation Checks'!C118),"NA")</f>
        <v>NA</v>
      </c>
      <c r="T63" s="7" t="str">
        <f>IF(C118&lt;&gt;0,((SUMIFS(TM[[#All],[Total Non-Claims Spending]],TM[[#All],[Reporting Year]],2025,TM[[#All],[Insurance Category Code]],'Data Validation Checks'!A63,TM[[#All],[Large Provider Entity Code]],100))/'Data Validation Checks'!C118),"NA")</f>
        <v>NA</v>
      </c>
      <c r="U63" s="7" t="str">
        <f>IF(C118&lt;&gt;0,((SUMIFS(TM[[#All],[Total Non-Truncated Claims and Non-Claims Spending]],TM[[#All],[Reporting Year]],2025,TM[[#All],[Insurance Category Code]],'Data Validation Checks'!A63,TM[[#All],[Large Provider Entity Code]],100))/'Data Validation Checks'!C118),"NA")</f>
        <v>NA</v>
      </c>
      <c r="V63"/>
      <c r="W63"/>
      <c r="X63"/>
      <c r="Y63"/>
      <c r="Z63"/>
      <c r="AA63"/>
      <c r="AB63"/>
      <c r="AC63"/>
    </row>
    <row r="64" spans="1:29" x14ac:dyDescent="0.4">
      <c r="A64" s="189" t="s">
        <v>385</v>
      </c>
      <c r="B64" s="184" t="str">
        <f>IFERROR(ABS(B59/B58-1),"NA")</f>
        <v>NA</v>
      </c>
      <c r="C64" s="185" t="str">
        <f t="shared" ref="C64:U64" si="25">IFERROR(ABS(C59/C58-1),"NA")</f>
        <v>NA</v>
      </c>
      <c r="D64" s="185" t="str">
        <f>IFERROR(ABS(D59/D58-1),"NA")</f>
        <v>NA</v>
      </c>
      <c r="E64" s="185" t="str">
        <f t="shared" si="25"/>
        <v>NA</v>
      </c>
      <c r="F64" s="185" t="str">
        <f t="shared" si="25"/>
        <v>NA</v>
      </c>
      <c r="G64" s="185" t="str">
        <f t="shared" si="25"/>
        <v>NA</v>
      </c>
      <c r="H64" s="185" t="str">
        <f t="shared" si="25"/>
        <v>NA</v>
      </c>
      <c r="I64" s="185" t="str">
        <f t="shared" si="25"/>
        <v>NA</v>
      </c>
      <c r="J64" s="185" t="str">
        <f t="shared" si="25"/>
        <v>NA</v>
      </c>
      <c r="K64" s="186" t="str">
        <f t="shared" si="25"/>
        <v>NA</v>
      </c>
      <c r="L64" s="184" t="str">
        <f t="shared" si="25"/>
        <v>NA</v>
      </c>
      <c r="M64" s="185" t="str">
        <f t="shared" si="25"/>
        <v>NA</v>
      </c>
      <c r="N64" s="185" t="str">
        <f t="shared" si="25"/>
        <v>NA</v>
      </c>
      <c r="O64" s="185" t="str">
        <f t="shared" si="25"/>
        <v>NA</v>
      </c>
      <c r="P64" s="185" t="str">
        <f t="shared" si="25"/>
        <v>NA</v>
      </c>
      <c r="Q64" s="185" t="str">
        <f t="shared" si="25"/>
        <v>NA</v>
      </c>
      <c r="R64" s="185" t="str">
        <f t="shared" si="25"/>
        <v>NA</v>
      </c>
      <c r="S64" s="185" t="str">
        <f t="shared" si="25"/>
        <v>NA</v>
      </c>
      <c r="T64" s="185" t="str">
        <f t="shared" si="25"/>
        <v>NA</v>
      </c>
      <c r="U64" s="185" t="str">
        <f t="shared" si="25"/>
        <v>NA</v>
      </c>
      <c r="V64"/>
      <c r="W64"/>
      <c r="X64"/>
      <c r="Y64"/>
      <c r="Z64"/>
      <c r="AA64"/>
      <c r="AB64"/>
      <c r="AC64"/>
    </row>
    <row r="65" spans="1:29" x14ac:dyDescent="0.4">
      <c r="A65" s="183" t="s">
        <v>386</v>
      </c>
      <c r="B65" s="184" t="str">
        <f t="shared" ref="B65:U65" si="26">IFERROR(IF(ABS(B59/B58-1)&lt;50%,"Yes","No"),"NA")</f>
        <v>NA</v>
      </c>
      <c r="C65" s="185" t="str">
        <f t="shared" si="26"/>
        <v>NA</v>
      </c>
      <c r="D65" s="185" t="str">
        <f t="shared" si="26"/>
        <v>NA</v>
      </c>
      <c r="E65" s="185" t="str">
        <f t="shared" si="26"/>
        <v>NA</v>
      </c>
      <c r="F65" s="185" t="str">
        <f t="shared" si="26"/>
        <v>NA</v>
      </c>
      <c r="G65" s="185" t="str">
        <f t="shared" si="26"/>
        <v>NA</v>
      </c>
      <c r="H65" s="185" t="str">
        <f t="shared" si="26"/>
        <v>NA</v>
      </c>
      <c r="I65" s="185" t="str">
        <f t="shared" si="26"/>
        <v>NA</v>
      </c>
      <c r="J65" s="185" t="str">
        <f t="shared" si="26"/>
        <v>NA</v>
      </c>
      <c r="K65" s="186" t="str">
        <f t="shared" si="26"/>
        <v>NA</v>
      </c>
      <c r="L65" s="184" t="str">
        <f t="shared" si="26"/>
        <v>NA</v>
      </c>
      <c r="M65" s="185" t="str">
        <f t="shared" si="26"/>
        <v>NA</v>
      </c>
      <c r="N65" s="185" t="str">
        <f t="shared" si="26"/>
        <v>NA</v>
      </c>
      <c r="O65" s="185" t="str">
        <f t="shared" si="26"/>
        <v>NA</v>
      </c>
      <c r="P65" s="185" t="str">
        <f t="shared" si="26"/>
        <v>NA</v>
      </c>
      <c r="Q65" s="185" t="str">
        <f t="shared" si="26"/>
        <v>NA</v>
      </c>
      <c r="R65" s="185" t="str">
        <f t="shared" si="26"/>
        <v>NA</v>
      </c>
      <c r="S65" s="185" t="str">
        <f t="shared" si="26"/>
        <v>NA</v>
      </c>
      <c r="T65" s="185" t="str">
        <f t="shared" si="26"/>
        <v>NA</v>
      </c>
      <c r="U65" s="185" t="str">
        <f t="shared" si="26"/>
        <v>NA</v>
      </c>
      <c r="V65"/>
      <c r="W65"/>
      <c r="X65"/>
      <c r="Y65"/>
      <c r="Z65"/>
      <c r="AA65"/>
      <c r="AB65"/>
      <c r="AC65"/>
    </row>
    <row r="66" spans="1:29" x14ac:dyDescent="0.4">
      <c r="A66"/>
      <c r="B66" s="229"/>
      <c r="C66" s="229"/>
      <c r="D66" s="229"/>
      <c r="E66" s="229"/>
      <c r="F66" s="229"/>
      <c r="G66"/>
      <c r="H66"/>
      <c r="I66"/>
      <c r="J66"/>
      <c r="K66"/>
      <c r="L66"/>
      <c r="M66"/>
      <c r="N66"/>
      <c r="O66"/>
      <c r="P66"/>
      <c r="Q66"/>
      <c r="R66"/>
      <c r="S66"/>
      <c r="T66"/>
      <c r="U66"/>
      <c r="V66"/>
      <c r="W66"/>
      <c r="X66"/>
      <c r="Y66"/>
      <c r="Z66"/>
      <c r="AA66"/>
      <c r="AB66"/>
      <c r="AC66"/>
    </row>
    <row r="67" spans="1:29" x14ac:dyDescent="0.4">
      <c r="A67"/>
      <c r="B67"/>
      <c r="C67"/>
      <c r="D67"/>
      <c r="E67"/>
      <c r="F67"/>
      <c r="G67"/>
      <c r="H67"/>
      <c r="I67"/>
      <c r="J67"/>
      <c r="K67"/>
      <c r="L67"/>
      <c r="M67"/>
      <c r="N67"/>
      <c r="O67"/>
      <c r="P67"/>
      <c r="Q67"/>
      <c r="R67"/>
      <c r="S67"/>
      <c r="T67"/>
      <c r="U67"/>
      <c r="V67"/>
      <c r="W67"/>
      <c r="X67"/>
      <c r="Y67"/>
      <c r="Z67"/>
      <c r="AA67"/>
      <c r="AB67"/>
      <c r="AC67"/>
    </row>
    <row r="68" spans="1:29" ht="14.25" customHeight="1" x14ac:dyDescent="0.4">
      <c r="A68" s="4" t="s">
        <v>387</v>
      </c>
      <c r="B68"/>
      <c r="C68"/>
      <c r="D68"/>
      <c r="E68"/>
      <c r="F68"/>
      <c r="G68"/>
      <c r="H68"/>
      <c r="I68"/>
      <c r="J68"/>
      <c r="K68"/>
      <c r="L68"/>
      <c r="M68"/>
      <c r="N68"/>
      <c r="O68"/>
      <c r="P68"/>
      <c r="Q68"/>
      <c r="R68"/>
      <c r="S68"/>
      <c r="T68"/>
      <c r="U68"/>
      <c r="V68"/>
      <c r="W68"/>
      <c r="X68"/>
      <c r="Y68"/>
      <c r="Z68"/>
      <c r="AA68"/>
      <c r="AB68"/>
      <c r="AC68"/>
    </row>
    <row r="69" spans="1:29" ht="14.25" customHeight="1" x14ac:dyDescent="0.4">
      <c r="A69" s="649" t="s">
        <v>388</v>
      </c>
      <c r="B69" s="649"/>
      <c r="C69" s="649"/>
      <c r="D69" s="649"/>
      <c r="E69" s="649"/>
      <c r="F69" s="649"/>
      <c r="G69" s="649"/>
      <c r="H69"/>
      <c r="I69"/>
      <c r="J69"/>
      <c r="K69"/>
      <c r="L69"/>
      <c r="M69"/>
      <c r="N69"/>
      <c r="O69"/>
      <c r="P69"/>
      <c r="Q69"/>
      <c r="R69"/>
      <c r="S69"/>
      <c r="T69"/>
      <c r="U69"/>
      <c r="V69"/>
      <c r="W69"/>
      <c r="X69"/>
      <c r="Y69"/>
      <c r="Z69"/>
      <c r="AA69"/>
      <c r="AB69"/>
      <c r="AC69"/>
    </row>
    <row r="70" spans="1:29" ht="30" customHeight="1" x14ac:dyDescent="0.4">
      <c r="A70" s="650" t="s">
        <v>389</v>
      </c>
      <c r="B70" s="650"/>
      <c r="C70" s="650"/>
      <c r="D70" s="650"/>
      <c r="E70" s="650"/>
      <c r="F70" s="650"/>
      <c r="G70" s="650"/>
      <c r="H70"/>
      <c r="I70"/>
      <c r="J70"/>
      <c r="K70"/>
      <c r="L70"/>
      <c r="M70"/>
      <c r="N70"/>
      <c r="O70"/>
      <c r="P70"/>
      <c r="Q70"/>
      <c r="R70"/>
      <c r="S70"/>
      <c r="T70"/>
      <c r="U70"/>
      <c r="V70"/>
      <c r="W70"/>
      <c r="X70"/>
      <c r="Y70"/>
      <c r="Z70"/>
      <c r="AA70"/>
      <c r="AB70"/>
      <c r="AC70"/>
    </row>
    <row r="71" spans="1:29" ht="15.75" customHeight="1" x14ac:dyDescent="0.4">
      <c r="A71" s="592" t="s">
        <v>390</v>
      </c>
      <c r="B71" s="639">
        <v>2024</v>
      </c>
      <c r="C71" s="651"/>
      <c r="D71" s="651"/>
      <c r="E71" s="641">
        <v>2025</v>
      </c>
      <c r="F71" s="652"/>
      <c r="G71" s="642"/>
      <c r="H71"/>
      <c r="I71"/>
      <c r="J71"/>
      <c r="K71"/>
      <c r="L71"/>
      <c r="M71"/>
      <c r="N71"/>
      <c r="O71"/>
      <c r="P71"/>
      <c r="Q71"/>
      <c r="R71"/>
      <c r="S71"/>
      <c r="T71"/>
      <c r="U71"/>
      <c r="V71"/>
      <c r="W71"/>
      <c r="X71"/>
      <c r="Y71"/>
      <c r="Z71"/>
      <c r="AA71"/>
      <c r="AB71"/>
      <c r="AC71"/>
    </row>
    <row r="72" spans="1:29" x14ac:dyDescent="0.4">
      <c r="A72" s="592"/>
      <c r="B72" s="84" t="s">
        <v>366</v>
      </c>
      <c r="C72" s="85" t="s">
        <v>391</v>
      </c>
      <c r="D72" s="85" t="s">
        <v>392</v>
      </c>
      <c r="E72" s="81" t="s">
        <v>366</v>
      </c>
      <c r="F72" s="82" t="s">
        <v>391</v>
      </c>
      <c r="G72" s="82" t="s">
        <v>392</v>
      </c>
      <c r="H72"/>
      <c r="I72"/>
      <c r="J72"/>
      <c r="K72"/>
      <c r="L72"/>
      <c r="M72"/>
      <c r="N72"/>
      <c r="O72"/>
      <c r="P72"/>
      <c r="Q72"/>
      <c r="R72"/>
      <c r="S72"/>
      <c r="T72"/>
      <c r="U72"/>
      <c r="V72"/>
      <c r="W72"/>
      <c r="X72"/>
      <c r="Y72"/>
      <c r="Z72"/>
      <c r="AA72"/>
      <c r="AB72"/>
      <c r="AC72"/>
    </row>
    <row r="73" spans="1:29" x14ac:dyDescent="0.4">
      <c r="A73" s="48" t="s">
        <v>393</v>
      </c>
      <c r="B73" s="171">
        <f>(B124+B131)/12</f>
        <v>0</v>
      </c>
      <c r="C73" s="166" t="str">
        <f>IFERROR((J124+J131)/12/B73,"NA")</f>
        <v>NA</v>
      </c>
      <c r="D73" s="166" t="str">
        <f>IFERROR((L124+L131)/12/B73,"NA")</f>
        <v>NA</v>
      </c>
      <c r="E73" s="169">
        <f>(C124+C131)/12</f>
        <v>0</v>
      </c>
      <c r="F73" s="166" t="str">
        <f>IFERROR((K124+K131)/12/E73,"NA")</f>
        <v>NA</v>
      </c>
      <c r="G73" s="166" t="str">
        <f>IFERROR((M124+M131)/12/E73,"NA")</f>
        <v>NA</v>
      </c>
      <c r="H73"/>
      <c r="I73"/>
      <c r="J73"/>
      <c r="K73"/>
      <c r="L73"/>
      <c r="M73"/>
      <c r="N73"/>
      <c r="O73"/>
      <c r="P73"/>
      <c r="Q73"/>
      <c r="R73"/>
      <c r="S73"/>
      <c r="T73"/>
      <c r="U73"/>
      <c r="V73"/>
      <c r="W73"/>
      <c r="X73"/>
      <c r="Y73"/>
      <c r="Z73"/>
      <c r="AA73"/>
      <c r="AB73"/>
      <c r="AC73"/>
    </row>
    <row r="74" spans="1:29" ht="45" customHeight="1" x14ac:dyDescent="0.4">
      <c r="A74" s="49" t="s">
        <v>394</v>
      </c>
      <c r="B74" s="172">
        <f>(B128+B129)/12</f>
        <v>0</v>
      </c>
      <c r="C74" s="168" t="str">
        <f>IFERROR((J128+J129)/12/B74,"NA")</f>
        <v>NA</v>
      </c>
      <c r="D74" s="168" t="str">
        <f>IFERROR((L128+L129)/12/B74,"NA")</f>
        <v>NA</v>
      </c>
      <c r="E74" s="170">
        <f>(C128+C129)/12</f>
        <v>0</v>
      </c>
      <c r="F74" s="168" t="str">
        <f>IFERROR((K128+K129)/12/E74,"NA")</f>
        <v>NA</v>
      </c>
      <c r="G74" s="168" t="str">
        <f>IFERROR((M128+M129)/12/E74,"NA")</f>
        <v>NA</v>
      </c>
      <c r="H74"/>
      <c r="I74"/>
      <c r="J74"/>
      <c r="K74"/>
      <c r="L74"/>
      <c r="M74"/>
      <c r="N74"/>
      <c r="O74"/>
      <c r="P74"/>
      <c r="Q74"/>
      <c r="R74"/>
      <c r="S74"/>
      <c r="T74"/>
      <c r="U74"/>
      <c r="V74"/>
      <c r="W74"/>
      <c r="X74"/>
      <c r="Y74"/>
      <c r="Z74"/>
      <c r="AA74"/>
      <c r="AB74"/>
      <c r="AC74"/>
    </row>
    <row r="75" spans="1:29" ht="33.6" x14ac:dyDescent="0.4">
      <c r="A75" s="48" t="s">
        <v>395</v>
      </c>
      <c r="B75" s="171">
        <f>B125/12</f>
        <v>0</v>
      </c>
      <c r="C75" s="166" t="str">
        <f>IFERROR((J125/12)/B75,"NA")</f>
        <v>NA</v>
      </c>
      <c r="D75" s="166" t="str">
        <f>IFERROR((L125/12)/B75,"NA")</f>
        <v>NA</v>
      </c>
      <c r="E75" s="169">
        <f>C125/12</f>
        <v>0</v>
      </c>
      <c r="F75" s="166" t="str">
        <f>IFERROR((K125/12)/E75,"NA")</f>
        <v>NA</v>
      </c>
      <c r="G75" s="166" t="str">
        <f>IFERROR((M125/12)/E75,"NA")</f>
        <v>NA</v>
      </c>
      <c r="H75"/>
      <c r="I75"/>
      <c r="J75"/>
      <c r="K75"/>
      <c r="L75"/>
      <c r="M75"/>
      <c r="N75"/>
      <c r="O75"/>
      <c r="P75"/>
      <c r="Q75"/>
      <c r="R75"/>
      <c r="S75"/>
      <c r="T75"/>
      <c r="U75"/>
      <c r="V75"/>
      <c r="W75"/>
      <c r="X75"/>
      <c r="Y75"/>
      <c r="Z75"/>
      <c r="AA75"/>
      <c r="AB75"/>
      <c r="AC75"/>
    </row>
    <row r="76" spans="1:29" ht="45" customHeight="1" x14ac:dyDescent="0.4">
      <c r="A76" s="48" t="s">
        <v>396</v>
      </c>
      <c r="B76" s="171">
        <f>(B126+B127+B130)/12</f>
        <v>0</v>
      </c>
      <c r="C76" s="166" t="str">
        <f>IFERROR((J126+J127+J130)/12/B76,"NA")</f>
        <v>NA</v>
      </c>
      <c r="D76" s="166" t="str">
        <f>IFERROR((L126+L127+L130)/12/B76,"NA")</f>
        <v>NA</v>
      </c>
      <c r="E76" s="169">
        <f>(C126+C127+C130)/12</f>
        <v>0</v>
      </c>
      <c r="F76" s="166" t="str">
        <f>IFERROR((K126+K127+K130)/12/E76,"NA")</f>
        <v>NA</v>
      </c>
      <c r="G76" s="166" t="str">
        <f>IFERROR((M126+M127+M130)/12/E76,"NA")</f>
        <v>NA</v>
      </c>
      <c r="H76"/>
      <c r="I76"/>
      <c r="J76"/>
      <c r="K76"/>
      <c r="L76"/>
      <c r="M76"/>
      <c r="N76"/>
      <c r="O76"/>
      <c r="P76"/>
      <c r="Q76"/>
      <c r="R76"/>
      <c r="S76"/>
      <c r="T76"/>
      <c r="U76"/>
      <c r="V76"/>
      <c r="W76"/>
      <c r="X76"/>
      <c r="Y76"/>
      <c r="Z76"/>
      <c r="AA76"/>
      <c r="AB76"/>
      <c r="AC76"/>
    </row>
    <row r="77" spans="1:29" x14ac:dyDescent="0.4">
      <c r="A77" s="180"/>
      <c r="B77"/>
      <c r="C77"/>
      <c r="D77"/>
      <c r="E77"/>
      <c r="F77"/>
      <c r="G77"/>
      <c r="H77"/>
      <c r="I77"/>
      <c r="J77"/>
      <c r="K77"/>
      <c r="L77"/>
      <c r="M77"/>
      <c r="N77"/>
      <c r="O77"/>
      <c r="P77"/>
      <c r="Q77"/>
      <c r="R77"/>
      <c r="S77"/>
      <c r="T77"/>
      <c r="U77"/>
      <c r="V77"/>
      <c r="W77"/>
      <c r="X77"/>
      <c r="Y77"/>
      <c r="Z77"/>
      <c r="AA77"/>
      <c r="AB77"/>
      <c r="AC77"/>
    </row>
    <row r="78" spans="1:29" x14ac:dyDescent="0.4">
      <c r="A78" s="181"/>
      <c r="B78"/>
      <c r="C78"/>
      <c r="D78"/>
      <c r="E78"/>
      <c r="F78"/>
      <c r="G78"/>
      <c r="H78"/>
      <c r="I78"/>
      <c r="J78"/>
      <c r="K78"/>
      <c r="L78"/>
      <c r="M78"/>
      <c r="N78"/>
      <c r="O78"/>
      <c r="P78"/>
      <c r="Q78"/>
      <c r="R78"/>
      <c r="S78"/>
      <c r="T78"/>
      <c r="U78"/>
      <c r="V78"/>
      <c r="W78"/>
      <c r="X78"/>
      <c r="Y78"/>
      <c r="Z78"/>
      <c r="AA78"/>
      <c r="AB78"/>
      <c r="AC78"/>
    </row>
    <row r="79" spans="1:29" ht="14.25" customHeight="1" x14ac:dyDescent="0.4">
      <c r="A79" s="4" t="s">
        <v>397</v>
      </c>
      <c r="B79"/>
      <c r="C79"/>
      <c r="D79"/>
      <c r="E79"/>
      <c r="F79"/>
      <c r="G79"/>
      <c r="H79"/>
      <c r="I79"/>
      <c r="J79"/>
      <c r="K79"/>
      <c r="L79"/>
      <c r="M79"/>
      <c r="N79"/>
      <c r="O79"/>
      <c r="P79"/>
      <c r="Q79"/>
      <c r="R79"/>
      <c r="S79"/>
      <c r="T79"/>
      <c r="U79"/>
      <c r="V79"/>
      <c r="W79"/>
      <c r="X79"/>
      <c r="Y79"/>
      <c r="Z79"/>
      <c r="AA79"/>
      <c r="AB79"/>
      <c r="AC79"/>
    </row>
    <row r="80" spans="1:29" ht="14.25" customHeight="1" x14ac:dyDescent="0.4">
      <c r="A80" s="586" t="s">
        <v>388</v>
      </c>
      <c r="B80" s="586"/>
      <c r="C80" s="586"/>
      <c r="D80" s="586"/>
      <c r="E80" s="586"/>
      <c r="F80" s="42"/>
      <c r="G80" s="42"/>
      <c r="H80"/>
      <c r="I80"/>
      <c r="J80"/>
      <c r="K80"/>
      <c r="L80"/>
      <c r="M80"/>
      <c r="N80"/>
      <c r="O80"/>
      <c r="P80"/>
      <c r="Q80"/>
      <c r="R80"/>
      <c r="S80"/>
      <c r="T80"/>
      <c r="U80"/>
      <c r="V80"/>
      <c r="W80"/>
      <c r="X80"/>
      <c r="Y80"/>
      <c r="Z80"/>
      <c r="AA80"/>
      <c r="AB80"/>
      <c r="AC80"/>
    </row>
    <row r="81" spans="1:29" ht="45" customHeight="1" x14ac:dyDescent="0.4">
      <c r="A81" s="643" t="s">
        <v>398</v>
      </c>
      <c r="B81" s="643"/>
      <c r="C81" s="643"/>
      <c r="D81" s="643"/>
      <c r="E81" s="643"/>
      <c r="F81" s="42"/>
      <c r="G81" s="42"/>
      <c r="H81"/>
      <c r="I81"/>
      <c r="J81"/>
      <c r="K81"/>
      <c r="L81"/>
      <c r="M81"/>
      <c r="N81"/>
      <c r="O81"/>
      <c r="P81"/>
      <c r="Q81"/>
      <c r="R81"/>
      <c r="S81"/>
      <c r="T81"/>
      <c r="U81"/>
      <c r="V81"/>
      <c r="W81"/>
      <c r="X81"/>
      <c r="Y81"/>
      <c r="Z81"/>
      <c r="AA81"/>
      <c r="AB81"/>
      <c r="AC81"/>
    </row>
    <row r="82" spans="1:29" ht="15.75" customHeight="1" x14ac:dyDescent="0.4">
      <c r="A82" s="592" t="s">
        <v>390</v>
      </c>
      <c r="B82" s="639">
        <v>2024</v>
      </c>
      <c r="C82" s="640"/>
      <c r="D82" s="641">
        <v>2025</v>
      </c>
      <c r="E82" s="642"/>
      <c r="F82"/>
      <c r="G82"/>
      <c r="H82"/>
      <c r="I82"/>
      <c r="J82"/>
      <c r="K82"/>
      <c r="L82"/>
      <c r="M82"/>
      <c r="N82"/>
      <c r="O82"/>
      <c r="P82"/>
      <c r="Q82"/>
      <c r="R82"/>
      <c r="S82"/>
      <c r="T82"/>
      <c r="U82"/>
      <c r="V82"/>
      <c r="W82"/>
      <c r="X82"/>
      <c r="Y82"/>
      <c r="Z82"/>
      <c r="AA82"/>
      <c r="AB82"/>
      <c r="AC82"/>
    </row>
    <row r="83" spans="1:29" ht="33.6" x14ac:dyDescent="0.4">
      <c r="A83" s="592"/>
      <c r="B83" s="84" t="s">
        <v>366</v>
      </c>
      <c r="C83" s="86" t="s">
        <v>399</v>
      </c>
      <c r="D83" s="81" t="s">
        <v>366</v>
      </c>
      <c r="E83" s="82" t="s">
        <v>399</v>
      </c>
      <c r="F83"/>
      <c r="G83"/>
      <c r="H83"/>
      <c r="I83"/>
      <c r="J83"/>
      <c r="K83"/>
      <c r="L83"/>
      <c r="M83"/>
      <c r="N83"/>
      <c r="O83"/>
      <c r="P83"/>
      <c r="Q83"/>
      <c r="R83"/>
      <c r="S83"/>
      <c r="T83"/>
      <c r="U83"/>
      <c r="V83"/>
      <c r="W83"/>
      <c r="X83"/>
      <c r="Y83"/>
      <c r="Z83"/>
      <c r="AA83"/>
      <c r="AB83"/>
      <c r="AC83"/>
    </row>
    <row r="84" spans="1:29" x14ac:dyDescent="0.4">
      <c r="A84" s="48" t="s">
        <v>393</v>
      </c>
      <c r="B84" s="171">
        <f>(B124+B131)/12</f>
        <v>0</v>
      </c>
      <c r="C84" s="167" t="str">
        <f>IFERROR((V137+V144)/12/B84,"NA")</f>
        <v>NA</v>
      </c>
      <c r="D84" s="169">
        <f>(C124+C131)/12</f>
        <v>0</v>
      </c>
      <c r="E84" s="166" t="str">
        <f>IFERROR((W137+W144)/12/D84,"NA")</f>
        <v>NA</v>
      </c>
      <c r="F84"/>
      <c r="G84"/>
      <c r="H84"/>
      <c r="I84"/>
      <c r="J84"/>
      <c r="K84"/>
      <c r="L84"/>
      <c r="M84"/>
      <c r="N84"/>
      <c r="O84"/>
      <c r="P84"/>
      <c r="Q84"/>
      <c r="R84"/>
      <c r="S84"/>
      <c r="T84"/>
      <c r="U84"/>
      <c r="V84"/>
      <c r="W84"/>
      <c r="X84"/>
      <c r="Y84"/>
      <c r="Z84"/>
      <c r="AA84"/>
      <c r="AB84"/>
      <c r="AC84"/>
    </row>
    <row r="85" spans="1:29" ht="45" customHeight="1" x14ac:dyDescent="0.4">
      <c r="A85" s="49" t="s">
        <v>394</v>
      </c>
      <c r="B85" s="172">
        <f>(B128+B129)/12</f>
        <v>0</v>
      </c>
      <c r="C85" s="167" t="str">
        <f>IFERROR((V141+V142)/12/B85,"NA")</f>
        <v>NA</v>
      </c>
      <c r="D85" s="170">
        <f>(C128+C129)/12</f>
        <v>0</v>
      </c>
      <c r="E85" s="168" t="str">
        <f>IFERROR((W141+W142)/12/D85,"NA")</f>
        <v>NA</v>
      </c>
      <c r="F85"/>
      <c r="G85"/>
      <c r="H85"/>
      <c r="I85"/>
      <c r="J85"/>
      <c r="K85"/>
      <c r="L85"/>
      <c r="M85"/>
      <c r="N85"/>
      <c r="O85"/>
      <c r="P85"/>
      <c r="Q85"/>
      <c r="R85"/>
      <c r="S85"/>
      <c r="T85"/>
      <c r="U85"/>
      <c r="V85"/>
      <c r="W85"/>
      <c r="X85"/>
      <c r="Y85"/>
      <c r="Z85"/>
      <c r="AA85"/>
      <c r="AB85"/>
      <c r="AC85"/>
    </row>
    <row r="86" spans="1:29" ht="33.6" x14ac:dyDescent="0.4">
      <c r="A86" s="48" t="s">
        <v>395</v>
      </c>
      <c r="B86" s="171">
        <f>B125/12</f>
        <v>0</v>
      </c>
      <c r="C86" s="167" t="str">
        <f>IFERROR((V138/12)/B86,"NA")</f>
        <v>NA</v>
      </c>
      <c r="D86" s="169">
        <f>C125/12</f>
        <v>0</v>
      </c>
      <c r="E86" s="166" t="str">
        <f>IFERROR((W138/12)/D86,"NA")</f>
        <v>NA</v>
      </c>
      <c r="F86"/>
      <c r="G86"/>
      <c r="H86"/>
      <c r="I86"/>
      <c r="J86"/>
      <c r="K86"/>
      <c r="L86"/>
      <c r="M86"/>
      <c r="N86"/>
      <c r="O86"/>
      <c r="P86"/>
      <c r="Q86"/>
      <c r="R86"/>
      <c r="S86"/>
      <c r="T86"/>
      <c r="U86"/>
      <c r="V86"/>
      <c r="W86"/>
      <c r="X86"/>
      <c r="Y86"/>
      <c r="Z86"/>
      <c r="AA86"/>
      <c r="AB86"/>
      <c r="AC86"/>
    </row>
    <row r="87" spans="1:29" ht="45" customHeight="1" x14ac:dyDescent="0.4">
      <c r="A87" s="48" t="s">
        <v>396</v>
      </c>
      <c r="B87" s="171">
        <f>(B126+B127+B130)/12</f>
        <v>0</v>
      </c>
      <c r="C87" s="167" t="str">
        <f>IFERROR((V139+V140+V143)/12/B87,"NA")</f>
        <v>NA</v>
      </c>
      <c r="D87" s="169">
        <f>(C126+C127+C130)/12</f>
        <v>0</v>
      </c>
      <c r="E87" s="166" t="str">
        <f>IFERROR((W139+W140+W143)/12/D87,"NA")</f>
        <v>NA</v>
      </c>
      <c r="F87"/>
      <c r="G87"/>
      <c r="H87"/>
      <c r="I87"/>
      <c r="J87"/>
      <c r="K87"/>
      <c r="L87"/>
      <c r="M87"/>
      <c r="N87"/>
      <c r="O87"/>
      <c r="P87"/>
      <c r="Q87"/>
      <c r="R87"/>
      <c r="S87"/>
      <c r="T87"/>
      <c r="U87"/>
      <c r="V87"/>
      <c r="W87"/>
      <c r="X87"/>
      <c r="Y87"/>
      <c r="Z87"/>
      <c r="AA87"/>
      <c r="AB87"/>
      <c r="AC87"/>
    </row>
    <row r="88" spans="1:29" ht="45" customHeight="1" x14ac:dyDescent="0.4">
      <c r="A88" s="630" t="s">
        <v>400</v>
      </c>
      <c r="B88" s="630"/>
      <c r="C88" s="630"/>
      <c r="D88" s="630"/>
      <c r="E88" s="630"/>
      <c r="F88"/>
      <c r="G88"/>
      <c r="H88"/>
      <c r="I88"/>
      <c r="J88"/>
      <c r="K88"/>
      <c r="L88"/>
      <c r="M88"/>
      <c r="N88"/>
      <c r="O88"/>
      <c r="P88"/>
      <c r="Q88"/>
      <c r="R88"/>
      <c r="S88"/>
      <c r="T88"/>
      <c r="U88"/>
      <c r="V88"/>
      <c r="W88"/>
      <c r="X88"/>
      <c r="Y88"/>
      <c r="Z88"/>
      <c r="AA88"/>
      <c r="AB88"/>
      <c r="AC88"/>
    </row>
    <row r="89" spans="1:29" x14ac:dyDescent="0.4">
      <c r="A89" s="181"/>
      <c r="B89"/>
      <c r="C89"/>
      <c r="D89"/>
      <c r="E89"/>
      <c r="F89"/>
      <c r="G89"/>
      <c r="H89"/>
      <c r="I89"/>
      <c r="J89"/>
      <c r="K89"/>
      <c r="L89"/>
      <c r="M89"/>
      <c r="N89"/>
      <c r="O89"/>
      <c r="P89"/>
      <c r="Q89"/>
      <c r="R89"/>
      <c r="S89"/>
      <c r="T89"/>
      <c r="U89"/>
      <c r="V89"/>
      <c r="W89"/>
      <c r="X89"/>
      <c r="Y89"/>
      <c r="Z89"/>
      <c r="AA89"/>
      <c r="AB89"/>
      <c r="AC89"/>
    </row>
    <row r="90" spans="1:29" x14ac:dyDescent="0.4">
      <c r="A90"/>
      <c r="B90"/>
      <c r="C90"/>
      <c r="D90"/>
      <c r="E90"/>
      <c r="F90"/>
      <c r="G90"/>
      <c r="H90"/>
      <c r="I90"/>
      <c r="J90"/>
      <c r="K90"/>
      <c r="L90"/>
      <c r="M90"/>
      <c r="N90"/>
      <c r="O90"/>
      <c r="P90"/>
      <c r="Q90"/>
      <c r="R90"/>
      <c r="S90"/>
      <c r="T90"/>
      <c r="U90"/>
      <c r="V90"/>
      <c r="W90"/>
      <c r="X90"/>
      <c r="Y90"/>
      <c r="Z90"/>
      <c r="AA90"/>
      <c r="AB90"/>
      <c r="AC90"/>
    </row>
    <row r="91" spans="1:29" x14ac:dyDescent="0.4">
      <c r="A91" s="3" t="s">
        <v>401</v>
      </c>
      <c r="B91"/>
      <c r="C91"/>
      <c r="D91"/>
      <c r="E91"/>
      <c r="F91"/>
      <c r="G91"/>
      <c r="H91"/>
      <c r="I91"/>
      <c r="J91"/>
      <c r="K91"/>
      <c r="L91"/>
      <c r="M91"/>
      <c r="N91"/>
      <c r="O91"/>
      <c r="P91"/>
      <c r="Q91"/>
      <c r="R91"/>
      <c r="S91"/>
      <c r="T91"/>
      <c r="U91"/>
      <c r="V91"/>
      <c r="W91"/>
      <c r="X91"/>
      <c r="Y91"/>
      <c r="Z91"/>
      <c r="AA91"/>
      <c r="AB91"/>
      <c r="AC91"/>
    </row>
    <row r="92" spans="1:29" x14ac:dyDescent="0.4">
      <c r="A92" s="618" t="s">
        <v>56</v>
      </c>
      <c r="B92" s="619">
        <v>2024</v>
      </c>
      <c r="C92" s="620"/>
      <c r="D92" s="620"/>
      <c r="E92" s="620"/>
      <c r="F92" s="620"/>
      <c r="G92" s="620"/>
      <c r="H92" s="620"/>
      <c r="I92" s="620"/>
      <c r="J92" s="620"/>
      <c r="K92" s="620"/>
      <c r="L92" s="621">
        <v>2025</v>
      </c>
      <c r="M92" s="621"/>
      <c r="N92" s="621"/>
      <c r="O92" s="621"/>
      <c r="P92" s="621"/>
      <c r="Q92" s="621"/>
      <c r="R92" s="621"/>
      <c r="S92" s="621"/>
      <c r="T92" s="621"/>
      <c r="U92" s="621"/>
      <c r="V92"/>
      <c r="W92"/>
      <c r="X92"/>
      <c r="Y92"/>
      <c r="Z92"/>
      <c r="AA92"/>
      <c r="AB92"/>
      <c r="AC92"/>
    </row>
    <row r="93" spans="1:29" ht="73.5" customHeight="1" x14ac:dyDescent="0.4">
      <c r="A93" s="618"/>
      <c r="B93" s="84" t="s">
        <v>402</v>
      </c>
      <c r="C93" s="85" t="s">
        <v>403</v>
      </c>
      <c r="D93" s="85" t="s">
        <v>404</v>
      </c>
      <c r="E93" s="85" t="s">
        <v>405</v>
      </c>
      <c r="F93" s="85" t="s">
        <v>406</v>
      </c>
      <c r="G93" s="85" t="s">
        <v>407</v>
      </c>
      <c r="H93" s="85" t="s">
        <v>408</v>
      </c>
      <c r="I93" s="85" t="s">
        <v>409</v>
      </c>
      <c r="J93" s="85" t="s">
        <v>410</v>
      </c>
      <c r="K93" s="86" t="s">
        <v>411</v>
      </c>
      <c r="L93" s="81" t="s">
        <v>402</v>
      </c>
      <c r="M93" s="82" t="s">
        <v>403</v>
      </c>
      <c r="N93" s="82" t="s">
        <v>404</v>
      </c>
      <c r="O93" s="82" t="s">
        <v>405</v>
      </c>
      <c r="P93" s="82" t="s">
        <v>406</v>
      </c>
      <c r="Q93" s="82" t="s">
        <v>407</v>
      </c>
      <c r="R93" s="82" t="s">
        <v>408</v>
      </c>
      <c r="S93" s="82" t="s">
        <v>409</v>
      </c>
      <c r="T93" s="82" t="s">
        <v>410</v>
      </c>
      <c r="U93" s="82" t="s">
        <v>411</v>
      </c>
      <c r="V93"/>
      <c r="W93"/>
      <c r="X93"/>
      <c r="Y93"/>
      <c r="Z93"/>
      <c r="AA93"/>
      <c r="AB93"/>
      <c r="AC93"/>
    </row>
    <row r="94" spans="1:29" x14ac:dyDescent="0.4">
      <c r="A94" s="47">
        <v>1</v>
      </c>
      <c r="B94" s="178" t="str">
        <f>IFERROR((B150/B137),"NA")</f>
        <v>NA</v>
      </c>
      <c r="C94" s="7" t="str">
        <f>IFERROR((D150/D137),"NA")</f>
        <v>NA</v>
      </c>
      <c r="D94" s="7" t="str">
        <f>IFERROR((F150/F137),"NA")</f>
        <v>NA</v>
      </c>
      <c r="E94" s="7" t="str">
        <f t="shared" ref="E94:E101" si="27">IFERROR((H150/H137),"NA")</f>
        <v>NA</v>
      </c>
      <c r="F94" s="7" t="str">
        <f>IFERROR((J150/J137),"NA")</f>
        <v>NA</v>
      </c>
      <c r="G94" s="7" t="str">
        <f t="shared" ref="G94:G101" si="28">IFERROR((L150/L137),"NA")</f>
        <v>NA</v>
      </c>
      <c r="H94" s="7" t="str">
        <f t="shared" ref="H94:H101" si="29">IFERROR((N150/N137),"NA")</f>
        <v>NA</v>
      </c>
      <c r="I94" s="7" t="str">
        <f t="shared" ref="I94:I101" si="30">IFERROR((P150/P137),"NA")</f>
        <v>NA</v>
      </c>
      <c r="J94" s="7" t="str">
        <f t="shared" ref="J94:J101" si="31">IFERROR((R150/R137),"NA")</f>
        <v>NA</v>
      </c>
      <c r="K94" s="90" t="str">
        <f>IFERROR((T150/T137),"NA")</f>
        <v>NA</v>
      </c>
      <c r="L94" s="178" t="str">
        <f>IFERROR((C150/C137),"NA")</f>
        <v>NA</v>
      </c>
      <c r="M94" s="7" t="str">
        <f>IFERROR((E150/E137),"NA")</f>
        <v>NA</v>
      </c>
      <c r="N94" s="7" t="str">
        <f>IFERROR((G150/G137),"NA")</f>
        <v>NA</v>
      </c>
      <c r="O94" s="7" t="str">
        <f>IFERROR((I150/I137),"NA")</f>
        <v>NA</v>
      </c>
      <c r="P94" s="7" t="str">
        <f>IFERROR((K150/K137),"NA")</f>
        <v>NA</v>
      </c>
      <c r="Q94" s="7" t="str">
        <f t="shared" ref="Q94:Q101" si="32">IFERROR((M150/M137),"NA")</f>
        <v>NA</v>
      </c>
      <c r="R94" s="7" t="str">
        <f t="shared" ref="R94:R101" si="33">IFERROR((O150/O137),"NA")</f>
        <v>NA</v>
      </c>
      <c r="S94" s="7" t="str">
        <f t="shared" ref="S94:S101" si="34">IFERROR((Q150/Q137),"NA")</f>
        <v>NA</v>
      </c>
      <c r="T94" s="7" t="str">
        <f>IFERROR((S150/S137),"NA")</f>
        <v>NA</v>
      </c>
      <c r="U94" s="7" t="str">
        <f>IFERROR((U150/U137),"NA")</f>
        <v>NA</v>
      </c>
      <c r="V94"/>
      <c r="W94"/>
      <c r="X94"/>
      <c r="Y94"/>
      <c r="Z94"/>
      <c r="AA94"/>
      <c r="AB94"/>
      <c r="AC94"/>
    </row>
    <row r="95" spans="1:29" x14ac:dyDescent="0.4">
      <c r="A95" s="47">
        <v>2</v>
      </c>
      <c r="B95" s="178" t="str">
        <f>IFERROR((B151/B138),"NA")</f>
        <v>NA</v>
      </c>
      <c r="C95" s="7" t="str">
        <f>IFERROR((D151/D138),"NA")</f>
        <v>NA</v>
      </c>
      <c r="D95" s="7" t="str">
        <f>IFERROR((F151/F138),"NA")</f>
        <v>NA</v>
      </c>
      <c r="E95" s="7" t="str">
        <f t="shared" si="27"/>
        <v>NA</v>
      </c>
      <c r="F95" s="7" t="str">
        <f t="shared" ref="F95:F101" si="35">IFERROR((J151/J138),"NA")</f>
        <v>NA</v>
      </c>
      <c r="G95" s="7" t="str">
        <f t="shared" si="28"/>
        <v>NA</v>
      </c>
      <c r="H95" s="7" t="str">
        <f t="shared" si="29"/>
        <v>NA</v>
      </c>
      <c r="I95" s="7" t="str">
        <f t="shared" si="30"/>
        <v>NA</v>
      </c>
      <c r="J95" s="7" t="str">
        <f t="shared" si="31"/>
        <v>NA</v>
      </c>
      <c r="K95" s="90" t="str">
        <f t="shared" ref="K95:K101" si="36">IFERROR((T151/T138),"NA")</f>
        <v>NA</v>
      </c>
      <c r="L95" s="178" t="str">
        <f>IFERROR((C151/C138),"NA")</f>
        <v>NA</v>
      </c>
      <c r="M95" s="7" t="str">
        <f>IFERROR((E151/E138),"NA")</f>
        <v>NA</v>
      </c>
      <c r="N95" s="7" t="str">
        <f>IFERROR((G151/G138),"NA")</f>
        <v>NA</v>
      </c>
      <c r="O95" s="7" t="str">
        <f>IFERROR((I151/I138),"NA")</f>
        <v>NA</v>
      </c>
      <c r="P95" s="7" t="str">
        <f t="shared" ref="P95:P101" si="37">IFERROR((K151/K138),"NA")</f>
        <v>NA</v>
      </c>
      <c r="Q95" s="7" t="str">
        <f t="shared" si="32"/>
        <v>NA</v>
      </c>
      <c r="R95" s="7" t="str">
        <f t="shared" si="33"/>
        <v>NA</v>
      </c>
      <c r="S95" s="7" t="str">
        <f t="shared" si="34"/>
        <v>NA</v>
      </c>
      <c r="T95" s="7" t="str">
        <f t="shared" ref="T95:T101" si="38">IFERROR((S151/S138),"NA")</f>
        <v>NA</v>
      </c>
      <c r="U95" s="7" t="str">
        <f t="shared" ref="U95:U101" si="39">IFERROR((U151/U138),"NA")</f>
        <v>NA</v>
      </c>
      <c r="V95"/>
      <c r="W95"/>
      <c r="X95"/>
      <c r="Y95"/>
      <c r="Z95"/>
      <c r="AA95"/>
      <c r="AB95"/>
      <c r="AC95"/>
    </row>
    <row r="96" spans="1:29" x14ac:dyDescent="0.4">
      <c r="A96" s="47">
        <v>3</v>
      </c>
      <c r="B96" s="178" t="str">
        <f>IFERROR((B152/B139),"NA")</f>
        <v>NA</v>
      </c>
      <c r="C96" s="7" t="str">
        <f>IFERROR((D152/D139),"NA")</f>
        <v>NA</v>
      </c>
      <c r="D96" s="7" t="str">
        <f>IFERROR((F152/F139),"NA")</f>
        <v>NA</v>
      </c>
      <c r="E96" s="7" t="str">
        <f t="shared" si="27"/>
        <v>NA</v>
      </c>
      <c r="F96" s="7" t="str">
        <f t="shared" si="35"/>
        <v>NA</v>
      </c>
      <c r="G96" s="7" t="str">
        <f t="shared" si="28"/>
        <v>NA</v>
      </c>
      <c r="H96" s="7" t="str">
        <f t="shared" si="29"/>
        <v>NA</v>
      </c>
      <c r="I96" s="7" t="str">
        <f t="shared" si="30"/>
        <v>NA</v>
      </c>
      <c r="J96" s="7" t="str">
        <f t="shared" si="31"/>
        <v>NA</v>
      </c>
      <c r="K96" s="90" t="str">
        <f t="shared" si="36"/>
        <v>NA</v>
      </c>
      <c r="L96" s="178" t="str">
        <f>IFERROR((C152/C139),"NA")</f>
        <v>NA</v>
      </c>
      <c r="M96" s="7" t="str">
        <f>IFERROR((E152/E139),"NA")</f>
        <v>NA</v>
      </c>
      <c r="N96" s="7" t="str">
        <f>IFERROR((G152/G139),"NA")</f>
        <v>NA</v>
      </c>
      <c r="O96" s="7" t="str">
        <f>IFERROR((I152/I139),"NA")</f>
        <v>NA</v>
      </c>
      <c r="P96" s="7" t="str">
        <f t="shared" si="37"/>
        <v>NA</v>
      </c>
      <c r="Q96" s="7" t="str">
        <f t="shared" si="32"/>
        <v>NA</v>
      </c>
      <c r="R96" s="7" t="str">
        <f t="shared" si="33"/>
        <v>NA</v>
      </c>
      <c r="S96" s="7" t="str">
        <f t="shared" si="34"/>
        <v>NA</v>
      </c>
      <c r="T96" s="7" t="str">
        <f t="shared" si="38"/>
        <v>NA</v>
      </c>
      <c r="U96" s="7" t="str">
        <f t="shared" si="39"/>
        <v>NA</v>
      </c>
      <c r="V96"/>
      <c r="W96"/>
      <c r="X96"/>
      <c r="Y96"/>
      <c r="Z96"/>
      <c r="AA96"/>
      <c r="AB96"/>
      <c r="AC96"/>
    </row>
    <row r="97" spans="1:29" x14ac:dyDescent="0.4">
      <c r="A97" s="47">
        <v>4</v>
      </c>
      <c r="B97" s="178" t="str">
        <f>IFERROR((B153/B140),"NA")</f>
        <v>NA</v>
      </c>
      <c r="C97" s="7" t="str">
        <f>IFERROR((D153/D140),"NA")</f>
        <v>NA</v>
      </c>
      <c r="D97" s="7" t="str">
        <f>IFERROR((F153/F140),"NA")</f>
        <v>NA</v>
      </c>
      <c r="E97" s="7" t="str">
        <f t="shared" si="27"/>
        <v>NA</v>
      </c>
      <c r="F97" s="7" t="str">
        <f t="shared" si="35"/>
        <v>NA</v>
      </c>
      <c r="G97" s="7" t="str">
        <f t="shared" si="28"/>
        <v>NA</v>
      </c>
      <c r="H97" s="7" t="str">
        <f t="shared" si="29"/>
        <v>NA</v>
      </c>
      <c r="I97" s="7" t="str">
        <f t="shared" si="30"/>
        <v>NA</v>
      </c>
      <c r="J97" s="7" t="str">
        <f t="shared" si="31"/>
        <v>NA</v>
      </c>
      <c r="K97" s="90" t="str">
        <f t="shared" si="36"/>
        <v>NA</v>
      </c>
      <c r="L97" s="178" t="str">
        <f>IFERROR((C153/C140),"NA")</f>
        <v>NA</v>
      </c>
      <c r="M97" s="7" t="str">
        <f>IFERROR((E153/E140),"NA")</f>
        <v>NA</v>
      </c>
      <c r="N97" s="7" t="str">
        <f>IFERROR((G153/G140),"NA")</f>
        <v>NA</v>
      </c>
      <c r="O97" s="7" t="str">
        <f>IFERROR((I153/I140),"NA")</f>
        <v>NA</v>
      </c>
      <c r="P97" s="7" t="str">
        <f t="shared" si="37"/>
        <v>NA</v>
      </c>
      <c r="Q97" s="7" t="str">
        <f t="shared" si="32"/>
        <v>NA</v>
      </c>
      <c r="R97" s="7" t="str">
        <f t="shared" si="33"/>
        <v>NA</v>
      </c>
      <c r="S97" s="7" t="str">
        <f t="shared" si="34"/>
        <v>NA</v>
      </c>
      <c r="T97" s="7" t="str">
        <f t="shared" si="38"/>
        <v>NA</v>
      </c>
      <c r="U97" s="7" t="str">
        <f t="shared" si="39"/>
        <v>NA</v>
      </c>
      <c r="V97"/>
      <c r="W97"/>
      <c r="X97"/>
      <c r="Y97"/>
      <c r="Z97"/>
      <c r="AA97"/>
      <c r="AB97"/>
      <c r="AC97"/>
    </row>
    <row r="98" spans="1:29" x14ac:dyDescent="0.4">
      <c r="A98" s="47">
        <v>5</v>
      </c>
      <c r="B98" s="178" t="str">
        <f>IFERROR((B154/B141),"NA")</f>
        <v>NA</v>
      </c>
      <c r="C98" s="7" t="str">
        <f>IFERROR((D154/D141),"NA")</f>
        <v>NA</v>
      </c>
      <c r="D98" s="7" t="str">
        <f>IFERROR((F154/F141),"NA")</f>
        <v>NA</v>
      </c>
      <c r="E98" s="7" t="str">
        <f t="shared" si="27"/>
        <v>NA</v>
      </c>
      <c r="F98" s="7" t="str">
        <f t="shared" si="35"/>
        <v>NA</v>
      </c>
      <c r="G98" s="7" t="str">
        <f t="shared" si="28"/>
        <v>NA</v>
      </c>
      <c r="H98" s="7" t="str">
        <f t="shared" si="29"/>
        <v>NA</v>
      </c>
      <c r="I98" s="7" t="str">
        <f t="shared" si="30"/>
        <v>NA</v>
      </c>
      <c r="J98" s="7" t="str">
        <f t="shared" si="31"/>
        <v>NA</v>
      </c>
      <c r="K98" s="90" t="str">
        <f t="shared" si="36"/>
        <v>NA</v>
      </c>
      <c r="L98" s="178" t="str">
        <f>IFERROR((C154/C141),"NA")</f>
        <v>NA</v>
      </c>
      <c r="M98" s="7" t="str">
        <f>IFERROR((E154/E141),"NA")</f>
        <v>NA</v>
      </c>
      <c r="N98" s="7" t="str">
        <f>IFERROR((G154/G141),"NA")</f>
        <v>NA</v>
      </c>
      <c r="O98" s="7" t="str">
        <f>IFERROR((I154/I141),"NA")</f>
        <v>NA</v>
      </c>
      <c r="P98" s="7" t="str">
        <f t="shared" si="37"/>
        <v>NA</v>
      </c>
      <c r="Q98" s="7" t="str">
        <f t="shared" si="32"/>
        <v>NA</v>
      </c>
      <c r="R98" s="7" t="str">
        <f t="shared" si="33"/>
        <v>NA</v>
      </c>
      <c r="S98" s="7" t="str">
        <f t="shared" si="34"/>
        <v>NA</v>
      </c>
      <c r="T98" s="7" t="str">
        <f t="shared" si="38"/>
        <v>NA</v>
      </c>
      <c r="U98" s="7" t="str">
        <f t="shared" si="39"/>
        <v>NA</v>
      </c>
      <c r="V98"/>
      <c r="W98"/>
      <c r="X98"/>
      <c r="Y98"/>
      <c r="Z98"/>
      <c r="AA98"/>
      <c r="AB98"/>
      <c r="AC98"/>
    </row>
    <row r="99" spans="1:29" x14ac:dyDescent="0.4">
      <c r="A99" s="47">
        <v>6</v>
      </c>
      <c r="B99" s="178" t="str">
        <f t="shared" ref="B99:B101" si="40">IFERROR((B155/B142),"NA")</f>
        <v>NA</v>
      </c>
      <c r="C99" s="7" t="str">
        <f t="shared" ref="C99:C101" si="41">IFERROR((D155/D142),"NA")</f>
        <v>NA</v>
      </c>
      <c r="D99" s="7" t="str">
        <f t="shared" ref="D99:D101" si="42">IFERROR((F155/F142),"NA")</f>
        <v>NA</v>
      </c>
      <c r="E99" s="7" t="str">
        <f t="shared" si="27"/>
        <v>NA</v>
      </c>
      <c r="F99" s="7" t="str">
        <f t="shared" si="35"/>
        <v>NA</v>
      </c>
      <c r="G99" s="7" t="str">
        <f t="shared" si="28"/>
        <v>NA</v>
      </c>
      <c r="H99" s="7" t="str">
        <f t="shared" si="29"/>
        <v>NA</v>
      </c>
      <c r="I99" s="7" t="str">
        <f t="shared" si="30"/>
        <v>NA</v>
      </c>
      <c r="J99" s="7" t="str">
        <f t="shared" si="31"/>
        <v>NA</v>
      </c>
      <c r="K99" s="90" t="str">
        <f t="shared" si="36"/>
        <v>NA</v>
      </c>
      <c r="L99" s="178" t="str">
        <f t="shared" ref="L99:L101" si="43">IFERROR((C155/C142),"NA")</f>
        <v>NA</v>
      </c>
      <c r="M99" s="7" t="str">
        <f t="shared" ref="M99:M100" si="44">IFERROR((E155/E142),"NA")</f>
        <v>NA</v>
      </c>
      <c r="N99" s="7" t="str">
        <f t="shared" ref="N99:N101" si="45">IFERROR((G155/G142),"NA")</f>
        <v>NA</v>
      </c>
      <c r="O99" s="7" t="str">
        <f t="shared" ref="O99:O101" si="46">IFERROR((I155/I142),"NA")</f>
        <v>NA</v>
      </c>
      <c r="P99" s="7" t="str">
        <f t="shared" si="37"/>
        <v>NA</v>
      </c>
      <c r="Q99" s="7" t="str">
        <f t="shared" si="32"/>
        <v>NA</v>
      </c>
      <c r="R99" s="7" t="str">
        <f t="shared" si="33"/>
        <v>NA</v>
      </c>
      <c r="S99" s="7" t="str">
        <f t="shared" si="34"/>
        <v>NA</v>
      </c>
      <c r="T99" s="7" t="str">
        <f t="shared" si="38"/>
        <v>NA</v>
      </c>
      <c r="U99" s="7" t="str">
        <f t="shared" si="39"/>
        <v>NA</v>
      </c>
      <c r="V99"/>
      <c r="W99"/>
      <c r="X99"/>
      <c r="Y99"/>
      <c r="Z99"/>
      <c r="AA99"/>
      <c r="AB99"/>
      <c r="AC99"/>
    </row>
    <row r="100" spans="1:29" x14ac:dyDescent="0.4">
      <c r="A100" s="47">
        <v>7</v>
      </c>
      <c r="B100" s="178" t="str">
        <f t="shared" si="40"/>
        <v>NA</v>
      </c>
      <c r="C100" s="7" t="str">
        <f t="shared" si="41"/>
        <v>NA</v>
      </c>
      <c r="D100" s="7" t="str">
        <f t="shared" si="42"/>
        <v>NA</v>
      </c>
      <c r="E100" s="7" t="str">
        <f t="shared" si="27"/>
        <v>NA</v>
      </c>
      <c r="F100" s="7" t="str">
        <f>IFERROR((J156/J143),"NA")</f>
        <v>NA</v>
      </c>
      <c r="G100" s="7" t="str">
        <f t="shared" si="28"/>
        <v>NA</v>
      </c>
      <c r="H100" s="7" t="str">
        <f t="shared" si="29"/>
        <v>NA</v>
      </c>
      <c r="I100" s="7" t="str">
        <f t="shared" si="30"/>
        <v>NA</v>
      </c>
      <c r="J100" s="7" t="str">
        <f t="shared" si="31"/>
        <v>NA</v>
      </c>
      <c r="K100" s="90" t="str">
        <f t="shared" si="36"/>
        <v>NA</v>
      </c>
      <c r="L100" s="178" t="str">
        <f t="shared" si="43"/>
        <v>NA</v>
      </c>
      <c r="M100" s="7" t="str">
        <f t="shared" si="44"/>
        <v>NA</v>
      </c>
      <c r="N100" s="7" t="str">
        <f t="shared" si="45"/>
        <v>NA</v>
      </c>
      <c r="O100" s="7" t="str">
        <f t="shared" si="46"/>
        <v>NA</v>
      </c>
      <c r="P100" s="7" t="str">
        <f t="shared" si="37"/>
        <v>NA</v>
      </c>
      <c r="Q100" s="7" t="str">
        <f t="shared" si="32"/>
        <v>NA</v>
      </c>
      <c r="R100" s="7" t="str">
        <f t="shared" si="33"/>
        <v>NA</v>
      </c>
      <c r="S100" s="7" t="str">
        <f t="shared" si="34"/>
        <v>NA</v>
      </c>
      <c r="T100" s="7" t="str">
        <f t="shared" si="38"/>
        <v>NA</v>
      </c>
      <c r="U100" s="7" t="str">
        <f t="shared" si="39"/>
        <v>NA</v>
      </c>
      <c r="V100"/>
      <c r="W100"/>
      <c r="X100"/>
      <c r="Y100"/>
      <c r="Z100"/>
      <c r="AA100"/>
      <c r="AB100"/>
      <c r="AC100"/>
    </row>
    <row r="101" spans="1:29" x14ac:dyDescent="0.4">
      <c r="A101" s="47">
        <v>8</v>
      </c>
      <c r="B101" s="178" t="str">
        <f t="shared" si="40"/>
        <v>NA</v>
      </c>
      <c r="C101" s="7" t="str">
        <f t="shared" si="41"/>
        <v>NA</v>
      </c>
      <c r="D101" s="7" t="str">
        <f t="shared" si="42"/>
        <v>NA</v>
      </c>
      <c r="E101" s="7" t="str">
        <f t="shared" si="27"/>
        <v>NA</v>
      </c>
      <c r="F101" s="7" t="str">
        <f t="shared" si="35"/>
        <v>NA</v>
      </c>
      <c r="G101" s="7" t="str">
        <f t="shared" si="28"/>
        <v>NA</v>
      </c>
      <c r="H101" s="7" t="str">
        <f t="shared" si="29"/>
        <v>NA</v>
      </c>
      <c r="I101" s="7" t="str">
        <f t="shared" si="30"/>
        <v>NA</v>
      </c>
      <c r="J101" s="7" t="str">
        <f t="shared" si="31"/>
        <v>NA</v>
      </c>
      <c r="K101" s="90" t="str">
        <f t="shared" si="36"/>
        <v>NA</v>
      </c>
      <c r="L101" s="178" t="str">
        <f t="shared" si="43"/>
        <v>NA</v>
      </c>
      <c r="M101" s="7" t="str">
        <f>IFERROR((E157/E144),"NA")</f>
        <v>NA</v>
      </c>
      <c r="N101" s="7" t="str">
        <f t="shared" si="45"/>
        <v>NA</v>
      </c>
      <c r="O101" s="7" t="str">
        <f t="shared" si="46"/>
        <v>NA</v>
      </c>
      <c r="P101" s="7" t="str">
        <f t="shared" si="37"/>
        <v>NA</v>
      </c>
      <c r="Q101" s="7" t="str">
        <f t="shared" si="32"/>
        <v>NA</v>
      </c>
      <c r="R101" s="7" t="str">
        <f t="shared" si="33"/>
        <v>NA</v>
      </c>
      <c r="S101" s="7" t="str">
        <f t="shared" si="34"/>
        <v>NA</v>
      </c>
      <c r="T101" s="7" t="str">
        <f t="shared" si="38"/>
        <v>NA</v>
      </c>
      <c r="U101" s="7" t="str">
        <f t="shared" si="39"/>
        <v>NA</v>
      </c>
      <c r="V101"/>
      <c r="W101"/>
      <c r="X101"/>
      <c r="Y101"/>
      <c r="Z101"/>
      <c r="AA101"/>
      <c r="AB101"/>
      <c r="AC101"/>
    </row>
    <row r="102" spans="1:29" x14ac:dyDescent="0.4">
      <c r="A102" s="248" t="s">
        <v>412</v>
      </c>
      <c r="B102" s="481" t="str">
        <f>IFERROR((B150+B154+B157)/(B137+B141+B144),"NA")</f>
        <v>NA</v>
      </c>
      <c r="C102" s="227" t="s">
        <v>470</v>
      </c>
      <c r="D102" s="227" t="s">
        <v>470</v>
      </c>
      <c r="E102" s="227" t="s">
        <v>470</v>
      </c>
      <c r="F102" s="227" t="s">
        <v>470</v>
      </c>
      <c r="G102" s="227" t="s">
        <v>470</v>
      </c>
      <c r="H102" s="227" t="s">
        <v>470</v>
      </c>
      <c r="I102" s="227" t="s">
        <v>470</v>
      </c>
      <c r="J102" s="227" t="s">
        <v>470</v>
      </c>
      <c r="K102" s="484" t="s">
        <v>470</v>
      </c>
      <c r="L102" s="481" t="str">
        <f>IFERROR((C150+C154+C157)/(C137+C141+C144),"NA")</f>
        <v>NA</v>
      </c>
      <c r="M102" s="227" t="s">
        <v>470</v>
      </c>
      <c r="N102" s="227" t="s">
        <v>470</v>
      </c>
      <c r="O102" s="227" t="s">
        <v>470</v>
      </c>
      <c r="P102" s="227" t="s">
        <v>470</v>
      </c>
      <c r="Q102" s="227" t="s">
        <v>470</v>
      </c>
      <c r="R102" s="227" t="s">
        <v>470</v>
      </c>
      <c r="S102" s="227" t="s">
        <v>470</v>
      </c>
      <c r="T102" s="227" t="s">
        <v>470</v>
      </c>
      <c r="U102" s="227" t="s">
        <v>470</v>
      </c>
      <c r="V102"/>
      <c r="W102"/>
      <c r="X102"/>
      <c r="Y102"/>
      <c r="Z102"/>
      <c r="AA102"/>
      <c r="AB102"/>
      <c r="AC102"/>
    </row>
    <row r="103" spans="1:29" x14ac:dyDescent="0.4">
      <c r="A103" s="249" t="s">
        <v>413</v>
      </c>
      <c r="B103" s="482" t="str">
        <f>IFERROR(((B151+B155)/(B138+B142)),"NA")</f>
        <v>NA</v>
      </c>
      <c r="C103" s="227" t="s">
        <v>470</v>
      </c>
      <c r="D103" s="227" t="s">
        <v>470</v>
      </c>
      <c r="E103" s="227" t="s">
        <v>470</v>
      </c>
      <c r="F103" s="227" t="s">
        <v>470</v>
      </c>
      <c r="G103" s="227" t="s">
        <v>470</v>
      </c>
      <c r="H103" s="227" t="s">
        <v>470</v>
      </c>
      <c r="I103" s="227" t="s">
        <v>470</v>
      </c>
      <c r="J103" s="227" t="s">
        <v>470</v>
      </c>
      <c r="K103" s="484" t="s">
        <v>470</v>
      </c>
      <c r="L103" s="482" t="str">
        <f>IFERROR(((C151+C155)/(C138+C142)),"NA")</f>
        <v>NA</v>
      </c>
      <c r="M103" s="227" t="s">
        <v>470</v>
      </c>
      <c r="N103" s="227" t="s">
        <v>470</v>
      </c>
      <c r="O103" s="227" t="s">
        <v>470</v>
      </c>
      <c r="P103" s="227" t="s">
        <v>470</v>
      </c>
      <c r="Q103" s="227" t="s">
        <v>470</v>
      </c>
      <c r="R103" s="227" t="s">
        <v>470</v>
      </c>
      <c r="S103" s="227" t="s">
        <v>470</v>
      </c>
      <c r="T103" s="227" t="s">
        <v>470</v>
      </c>
      <c r="U103" s="227" t="s">
        <v>470</v>
      </c>
      <c r="V103"/>
      <c r="W103"/>
      <c r="X103"/>
      <c r="Y103"/>
      <c r="Z103"/>
      <c r="AA103"/>
      <c r="AB103"/>
      <c r="AC103"/>
    </row>
    <row r="104" spans="1:29" x14ac:dyDescent="0.4">
      <c r="A104" s="289" t="s">
        <v>414</v>
      </c>
      <c r="B104" s="482" t="str">
        <f>IFERROR(((B152+B153+B156)/(B139+B140+B143)),"NA")</f>
        <v>NA</v>
      </c>
      <c r="C104" s="227" t="s">
        <v>470</v>
      </c>
      <c r="D104" s="227" t="s">
        <v>470</v>
      </c>
      <c r="E104" s="227" t="s">
        <v>470</v>
      </c>
      <c r="F104" s="227" t="s">
        <v>470</v>
      </c>
      <c r="G104" s="227" t="s">
        <v>470</v>
      </c>
      <c r="H104" s="227" t="s">
        <v>470</v>
      </c>
      <c r="I104" s="227" t="s">
        <v>470</v>
      </c>
      <c r="J104" s="227" t="s">
        <v>470</v>
      </c>
      <c r="K104" s="484" t="s">
        <v>470</v>
      </c>
      <c r="L104" s="482" t="str">
        <f>IFERROR(((C152+C153+C156)/(C139+C140+C143)),"NA")</f>
        <v>NA</v>
      </c>
      <c r="M104" s="227" t="s">
        <v>470</v>
      </c>
      <c r="N104" s="227" t="s">
        <v>470</v>
      </c>
      <c r="O104" s="227" t="s">
        <v>470</v>
      </c>
      <c r="P104" s="227" t="s">
        <v>470</v>
      </c>
      <c r="Q104" s="227" t="s">
        <v>470</v>
      </c>
      <c r="R104" s="227" t="s">
        <v>470</v>
      </c>
      <c r="S104" s="227" t="s">
        <v>470</v>
      </c>
      <c r="T104" s="227" t="s">
        <v>470</v>
      </c>
      <c r="U104" s="227" t="s">
        <v>470</v>
      </c>
      <c r="V104"/>
      <c r="W104"/>
      <c r="X104"/>
      <c r="Y104"/>
      <c r="Z104"/>
      <c r="AA104"/>
      <c r="AB104"/>
      <c r="AC104"/>
    </row>
    <row r="105" spans="1:29" x14ac:dyDescent="0.4">
      <c r="A105" s="290" t="s">
        <v>577</v>
      </c>
      <c r="B105" s="483" t="str">
        <f>IFERROR(((B154+B155)/(B141+B142)),"NA")</f>
        <v>NA</v>
      </c>
      <c r="C105" s="227" t="s">
        <v>470</v>
      </c>
      <c r="D105" s="227" t="s">
        <v>470</v>
      </c>
      <c r="E105" s="227" t="s">
        <v>470</v>
      </c>
      <c r="F105" s="227" t="s">
        <v>470</v>
      </c>
      <c r="G105" s="227" t="s">
        <v>470</v>
      </c>
      <c r="H105" s="227" t="s">
        <v>470</v>
      </c>
      <c r="I105" s="227" t="s">
        <v>470</v>
      </c>
      <c r="J105" s="227" t="s">
        <v>470</v>
      </c>
      <c r="K105" s="228" t="s">
        <v>470</v>
      </c>
      <c r="L105" s="483" t="str">
        <f>IFERROR(((C154+C155)/(C141+C142)),"NA")</f>
        <v>NA</v>
      </c>
      <c r="M105" s="227" t="s">
        <v>470</v>
      </c>
      <c r="N105" s="227" t="s">
        <v>470</v>
      </c>
      <c r="O105" s="227" t="s">
        <v>470</v>
      </c>
      <c r="P105" s="227" t="s">
        <v>470</v>
      </c>
      <c r="Q105" s="227" t="s">
        <v>470</v>
      </c>
      <c r="R105" s="227" t="s">
        <v>470</v>
      </c>
      <c r="S105" s="227" t="s">
        <v>470</v>
      </c>
      <c r="T105" s="227" t="s">
        <v>470</v>
      </c>
      <c r="U105" s="227" t="s">
        <v>470</v>
      </c>
      <c r="V105"/>
      <c r="W105"/>
      <c r="X105"/>
      <c r="Y105"/>
      <c r="Z105"/>
      <c r="AA105"/>
      <c r="AB105"/>
      <c r="AC105"/>
    </row>
    <row r="106" spans="1:29" x14ac:dyDescent="0.4">
      <c r="A106"/>
      <c r="B106"/>
      <c r="C106" s="42"/>
      <c r="D106" s="42"/>
      <c r="E106" s="42"/>
      <c r="F106" s="42"/>
      <c r="G106" s="42"/>
      <c r="H106" s="42"/>
      <c r="I106" s="42"/>
      <c r="J106" s="42"/>
      <c r="K106"/>
      <c r="L106"/>
      <c r="M106"/>
      <c r="N106"/>
      <c r="O106"/>
      <c r="P106"/>
      <c r="Q106"/>
      <c r="R106"/>
      <c r="S106"/>
      <c r="T106"/>
      <c r="U106"/>
      <c r="V106"/>
      <c r="W106"/>
      <c r="X106"/>
      <c r="Y106"/>
      <c r="Z106"/>
      <c r="AA106"/>
      <c r="AB106"/>
      <c r="AC106"/>
    </row>
    <row r="107" spans="1:29" x14ac:dyDescent="0.4">
      <c r="A107" s="2"/>
      <c r="B107"/>
      <c r="C107"/>
      <c r="D107"/>
      <c r="E107"/>
      <c r="F107"/>
      <c r="G107"/>
      <c r="H107"/>
      <c r="I107"/>
      <c r="J107"/>
      <c r="K107"/>
      <c r="L107"/>
      <c r="M107"/>
      <c r="N107"/>
      <c r="O107"/>
      <c r="P107"/>
      <c r="Q107"/>
      <c r="R107"/>
      <c r="S107"/>
      <c r="T107"/>
      <c r="U107"/>
      <c r="V107"/>
      <c r="W107"/>
      <c r="X107"/>
      <c r="Y107"/>
      <c r="Z107"/>
      <c r="AA107"/>
      <c r="AB107"/>
      <c r="AC107"/>
    </row>
    <row r="108" spans="1:29" x14ac:dyDescent="0.4">
      <c r="A108" s="4" t="s">
        <v>415</v>
      </c>
      <c r="B108"/>
      <c r="C108"/>
      <c r="D108"/>
      <c r="E108"/>
      <c r="F108"/>
      <c r="G108"/>
      <c r="H108"/>
      <c r="I108"/>
      <c r="J108"/>
      <c r="K108"/>
      <c r="L108"/>
      <c r="M108"/>
      <c r="N108"/>
      <c r="O108"/>
      <c r="P108"/>
      <c r="Q108"/>
      <c r="R108"/>
      <c r="S108"/>
      <c r="T108"/>
      <c r="U108"/>
      <c r="V108"/>
      <c r="W108"/>
      <c r="X108"/>
      <c r="Y108"/>
      <c r="Z108"/>
      <c r="AA108"/>
      <c r="AB108"/>
      <c r="AC108"/>
    </row>
    <row r="109" spans="1:29" x14ac:dyDescent="0.4">
      <c r="A109" s="638" t="s">
        <v>56</v>
      </c>
      <c r="B109" s="191">
        <v>2024</v>
      </c>
      <c r="C109" s="192">
        <v>2025</v>
      </c>
      <c r="D109" s="191">
        <v>2024</v>
      </c>
      <c r="E109" s="192">
        <v>2025</v>
      </c>
      <c r="F109" s="191">
        <v>2024</v>
      </c>
      <c r="G109" s="192">
        <v>2025</v>
      </c>
      <c r="H109" s="191">
        <v>2024</v>
      </c>
      <c r="I109" s="192">
        <v>2025</v>
      </c>
      <c r="J109" s="191">
        <v>2024</v>
      </c>
      <c r="K109" s="192">
        <v>2025</v>
      </c>
      <c r="L109" s="191">
        <v>2024</v>
      </c>
      <c r="M109" s="192">
        <v>2025</v>
      </c>
      <c r="N109" s="191">
        <v>2024</v>
      </c>
      <c r="O109" s="193">
        <v>2025</v>
      </c>
      <c r="P109" s="191">
        <v>2024</v>
      </c>
      <c r="Q109" s="193">
        <v>2025</v>
      </c>
      <c r="R109"/>
      <c r="S109"/>
      <c r="T109"/>
      <c r="U109"/>
      <c r="V109"/>
      <c r="W109"/>
      <c r="X109"/>
      <c r="Y109"/>
      <c r="Z109"/>
      <c r="AA109"/>
      <c r="AB109"/>
      <c r="AC109"/>
    </row>
    <row r="110" spans="1:29" ht="15" customHeight="1" x14ac:dyDescent="0.4">
      <c r="A110" s="638"/>
      <c r="B110" s="635" t="s">
        <v>171</v>
      </c>
      <c r="C110" s="634"/>
      <c r="D110" s="635" t="s">
        <v>188</v>
      </c>
      <c r="E110" s="634"/>
      <c r="F110" s="635" t="s">
        <v>189</v>
      </c>
      <c r="G110" s="634"/>
      <c r="H110" s="635" t="s">
        <v>190</v>
      </c>
      <c r="I110" s="634"/>
      <c r="J110" s="635" t="s">
        <v>191</v>
      </c>
      <c r="K110" s="634"/>
      <c r="L110" s="635" t="s">
        <v>192</v>
      </c>
      <c r="M110" s="634"/>
      <c r="N110" s="635" t="s">
        <v>193</v>
      </c>
      <c r="O110" s="632"/>
      <c r="P110" s="635" t="s">
        <v>187</v>
      </c>
      <c r="Q110" s="632"/>
      <c r="R110"/>
      <c r="S110"/>
      <c r="T110"/>
      <c r="U110"/>
      <c r="V110"/>
      <c r="W110"/>
      <c r="X110"/>
      <c r="Y110"/>
      <c r="Z110"/>
      <c r="AA110"/>
      <c r="AB110"/>
      <c r="AC110"/>
    </row>
    <row r="111" spans="1:29" x14ac:dyDescent="0.4">
      <c r="A111" s="47">
        <v>1</v>
      </c>
      <c r="B111" s="89">
        <f>SUMIFS(TM[[#All],[Member Months]],TM[[#All],[Reporting Year]],2024,TM[[#All],[Insurance Category Code]],A111,TM[[#All],[Large Provider Entity Code]],100)</f>
        <v>0</v>
      </c>
      <c r="C111" s="285">
        <f>SUMIFS(TM[[#All],[Member Months]],TM[[#All],[Reporting Year]],2025,TM[[#All],[Insurance Category Code]],A111,TM[[#All],[Large Provider Entity Code]],100)</f>
        <v>0</v>
      </c>
      <c r="D111" s="89">
        <f>SUMIFS(TM[[#All],[Member Count with Truncated Claims]],TM[[#All],[Reporting Year]],2024,TM[[#All],[Insurance Category Code]],A111,TM[[#All],[Large Provider Entity Code]],100)</f>
        <v>0</v>
      </c>
      <c r="E111" s="285">
        <f>SUMIFS(TM[[#All],[Member Count with Truncated Claims]],TM[[#All],[Reporting Year]],2025,TM[[#All],[Insurance Category Code]],A111,TM[[#All],[Large Provider Entity Code]],100)</f>
        <v>0</v>
      </c>
      <c r="F111" s="159">
        <f>SUMIFS(TM[[#All],[Total Non-Truncated Claims Spending]],TM[[#All],[Reporting Year]],2024,TM[[#All],[Insurance Category Code]],A111,TM[[#All],[Large Provider Entity Code]],100)</f>
        <v>0</v>
      </c>
      <c r="G111" s="160">
        <f>SUMIFS(TM[[#All],[Total Non-Truncated Claims Spending]],TM[[#All],[Reporting Year]],2025,TM[[#All],[Insurance Category Code]],A111,TM[[#All],[Large Provider Entity Code]],100)</f>
        <v>0</v>
      </c>
      <c r="H111" s="159">
        <f>SUMIFS(TM[[#All],[Total Non-Claims Spending]],TM[[#All],[Reporting Year]],2024,TM[[#All],[Insurance Category Code]],A111,TM[[#All],[Large Provider Entity Code]],100)</f>
        <v>0</v>
      </c>
      <c r="I111" s="160">
        <f>SUMIFS(TM[[#All],[Total Non-Claims Spending]],TM[[#All],[Reporting Year]],2025,TM[[#All],[Insurance Category Code]],A111,TM[[#All],[Large Provider Entity Code]],100)</f>
        <v>0</v>
      </c>
      <c r="J111" s="159">
        <f>SUMIFS(TM[[#All],[Total Non-Truncated Claims and Non-Claims Spending]],TM[[#All],[Reporting Year]],2024,TM[[#All],[Insurance Category Code]],A111,TM[[#All],[Large Provider Entity Code]],100)</f>
        <v>0</v>
      </c>
      <c r="K111" s="160">
        <f>SUMIFS(TM[[#All],[Total Non-Truncated Claims and Non-Claims Spending]],TM[[#All],[Reporting Year]],2025,TM[[#All],[Insurance Category Code]],A111,TM[[#All],[Large Provider Entity Code]],100)</f>
        <v>0</v>
      </c>
      <c r="L111" s="159">
        <f>SUMIFS(TM[[#All],[Total Truncated Claims Spending]],TM[[#All],[Reporting Year]],2024,TM[[#All],[Insurance Category Code]],A111,TM[[#All],[Large Provider Entity Code]],100)</f>
        <v>0</v>
      </c>
      <c r="M111" s="160">
        <f>SUMIFS(TM[[#All],[Total Truncated Claims Spending]],TM[[#All],[Reporting Year]],2025,TM[[#All],[Insurance Category Code]],A111,TM[[#All],[Large Provider Entity Code]],100)</f>
        <v>0</v>
      </c>
      <c r="N111" s="159">
        <f>SUMIFS(TM[[#All],[Total Truncated Expenses]],TM[[#All],[Reporting Year]],2024,TM[[#All],[Insurance Category Code]],A111,TM[[#All],[Large Provider Entity Code]],100)</f>
        <v>0</v>
      </c>
      <c r="O111" s="163">
        <f>SUMIFS(TM[[#All],[Total Truncated Expenses]],TM[[#All],[Reporting Year]],2025,TM[[#All],[Insurance Category Code]],A111,TM[[#All],[Large Provider Entity Code]],100)</f>
        <v>0</v>
      </c>
      <c r="P111" s="159">
        <f>SUMIFS(TM[[#All],[Claims Amount Excluded Due to Truncation]],TM[[#All],[Reporting Year]],2024,TM[[#All],[Insurance Category Code]],A111,TM[[#All],[Large Provider Entity Code]],100)</f>
        <v>0</v>
      </c>
      <c r="Q111" s="163">
        <f>SUMIFS(TM[[#All],[Claims Amount Excluded Due to Truncation]],TM[[#All],[Reporting Year]],2025,TM[[#All],[Insurance Category Code]],A111,TM[[#All],[Large Provider Entity Code]],100)</f>
        <v>0</v>
      </c>
      <c r="R111"/>
      <c r="S111"/>
      <c r="T111"/>
      <c r="U111"/>
      <c r="V111"/>
      <c r="W111"/>
      <c r="X111"/>
      <c r="Y111"/>
      <c r="Z111"/>
      <c r="AA111"/>
      <c r="AB111"/>
      <c r="AC111"/>
    </row>
    <row r="112" spans="1:29" x14ac:dyDescent="0.4">
      <c r="A112" s="47">
        <v>2</v>
      </c>
      <c r="B112" s="89">
        <f>SUMIFS(TM[[#All],[Member Months]],TM[[#All],[Reporting Year]],2024,TM[[#All],[Insurance Category Code]],A112,TM[[#All],[Large Provider Entity Code]],100)</f>
        <v>0</v>
      </c>
      <c r="C112" s="285">
        <f>SUMIFS(TM[[#All],[Member Months]],TM[[#All],[Reporting Year]],2025,TM[[#All],[Insurance Category Code]],A112,TM[[#All],[Large Provider Entity Code]],100)</f>
        <v>0</v>
      </c>
      <c r="D112" s="89">
        <f>SUMIFS(TM[[#All],[Member Count with Truncated Claims]],TM[[#All],[Reporting Year]],2024,TM[[#All],[Insurance Category Code]],A112,TM[[#All],[Large Provider Entity Code]],100)</f>
        <v>0</v>
      </c>
      <c r="E112" s="285">
        <f>SUMIFS(TM[[#All],[Member Count with Truncated Claims]],TM[[#All],[Reporting Year]],2025,TM[[#All],[Insurance Category Code]],A112,TM[[#All],[Large Provider Entity Code]],100)</f>
        <v>0</v>
      </c>
      <c r="F112" s="159">
        <f>SUMIFS(TM[[#All],[Total Non-Truncated Claims Spending]],TM[[#All],[Reporting Year]],2024,TM[[#All],[Insurance Category Code]],A112,TM[[#All],[Large Provider Entity Code]],100)</f>
        <v>0</v>
      </c>
      <c r="G112" s="160">
        <f>SUMIFS(TM[[#All],[Total Non-Truncated Claims Spending]],TM[[#All],[Reporting Year]],2025,TM[[#All],[Insurance Category Code]],A112,TM[[#All],[Large Provider Entity Code]],100)</f>
        <v>0</v>
      </c>
      <c r="H112" s="159">
        <f>SUMIFS(TM[[#All],[Total Non-Claims Spending]],TM[[#All],[Reporting Year]],2024,TM[[#All],[Insurance Category Code]],A112,TM[[#All],[Large Provider Entity Code]],100)</f>
        <v>0</v>
      </c>
      <c r="I112" s="160">
        <f>SUMIFS(TM[[#All],[Total Non-Claims Spending]],TM[[#All],[Reporting Year]],2025,TM[[#All],[Insurance Category Code]],A112,TM[[#All],[Large Provider Entity Code]],100)</f>
        <v>0</v>
      </c>
      <c r="J112" s="159">
        <f>SUMIFS(TM[[#All],[Total Non-Truncated Claims and Non-Claims Spending]],TM[[#All],[Reporting Year]],2024,TM[[#All],[Insurance Category Code]],A112,TM[[#All],[Large Provider Entity Code]],100)</f>
        <v>0</v>
      </c>
      <c r="K112" s="160">
        <f>SUMIFS(TM[[#All],[Total Non-Truncated Claims and Non-Claims Spending]],TM[[#All],[Reporting Year]],2025,TM[[#All],[Insurance Category Code]],A112,TM[[#All],[Large Provider Entity Code]],100)</f>
        <v>0</v>
      </c>
      <c r="L112" s="159">
        <f>SUMIFS(TM[[#All],[Total Truncated Claims Spending]],TM[[#All],[Reporting Year]],2024,TM[[#All],[Insurance Category Code]],A112,TM[[#All],[Large Provider Entity Code]],100)</f>
        <v>0</v>
      </c>
      <c r="M112" s="160">
        <f>SUMIFS(TM[[#All],[Total Truncated Claims Spending]],TM[[#All],[Reporting Year]],2025,TM[[#All],[Insurance Category Code]],A112,TM[[#All],[Large Provider Entity Code]],100)</f>
        <v>0</v>
      </c>
      <c r="N112" s="159">
        <f>SUMIFS(TM[[#All],[Total Truncated Expenses]],TM[[#All],[Reporting Year]],2024,TM[[#All],[Insurance Category Code]],A112,TM[[#All],[Large Provider Entity Code]],100)</f>
        <v>0</v>
      </c>
      <c r="O112" s="163">
        <f>SUMIFS(TM[[#All],[Total Truncated Expenses]],TM[[#All],[Reporting Year]],2025,TM[[#All],[Insurance Category Code]],A112,TM[[#All],[Large Provider Entity Code]],100)</f>
        <v>0</v>
      </c>
      <c r="P112" s="159">
        <f>SUMIFS(TM[[#All],[Claims Amount Excluded Due to Truncation]],TM[[#All],[Reporting Year]],2024,TM[[#All],[Insurance Category Code]],A112,TM[[#All],[Large Provider Entity Code]],100)</f>
        <v>0</v>
      </c>
      <c r="Q112" s="163">
        <f>SUMIFS(TM[[#All],[Claims Amount Excluded Due to Truncation]],TM[[#All],[Reporting Year]],2025,TM[[#All],[Insurance Category Code]],A112,TM[[#All],[Large Provider Entity Code]],100)</f>
        <v>0</v>
      </c>
      <c r="R112"/>
      <c r="S112"/>
      <c r="T112"/>
      <c r="U112"/>
      <c r="V112"/>
      <c r="W112"/>
      <c r="X112"/>
      <c r="Y112"/>
      <c r="Z112"/>
      <c r="AA112"/>
      <c r="AB112"/>
      <c r="AC112"/>
    </row>
    <row r="113" spans="1:29" x14ac:dyDescent="0.4">
      <c r="A113" s="47">
        <v>3</v>
      </c>
      <c r="B113" s="89">
        <f>SUMIFS(TM[[#All],[Member Months]],TM[[#All],[Reporting Year]],2024,TM[[#All],[Insurance Category Code]],A113,TM[[#All],[Large Provider Entity Code]],100)</f>
        <v>0</v>
      </c>
      <c r="C113" s="285">
        <f>SUMIFS(TM[[#All],[Member Months]],TM[[#All],[Reporting Year]],2025,TM[[#All],[Insurance Category Code]],A113,TM[[#All],[Large Provider Entity Code]],100)</f>
        <v>0</v>
      </c>
      <c r="D113" s="89">
        <f>SUMIFS(TM[[#All],[Member Count with Truncated Claims]],TM[[#All],[Reporting Year]],2024,TM[[#All],[Insurance Category Code]],A113,TM[[#All],[Large Provider Entity Code]],100)</f>
        <v>0</v>
      </c>
      <c r="E113" s="285">
        <f>SUMIFS(TM[[#All],[Member Count with Truncated Claims]],TM[[#All],[Reporting Year]],2025,TM[[#All],[Insurance Category Code]],A113,TM[[#All],[Large Provider Entity Code]],100)</f>
        <v>0</v>
      </c>
      <c r="F113" s="159">
        <f>SUMIFS(TM[[#All],[Total Non-Truncated Claims Spending]],TM[[#All],[Reporting Year]],2024,TM[[#All],[Insurance Category Code]],A113,TM[[#All],[Large Provider Entity Code]],100)</f>
        <v>0</v>
      </c>
      <c r="G113" s="160">
        <f>SUMIFS(TM[[#All],[Total Non-Truncated Claims Spending]],TM[[#All],[Reporting Year]],2025,TM[[#All],[Insurance Category Code]],A113,TM[[#All],[Large Provider Entity Code]],100)</f>
        <v>0</v>
      </c>
      <c r="H113" s="159">
        <f>SUMIFS(TM[[#All],[Total Non-Claims Spending]],TM[[#All],[Reporting Year]],2024,TM[[#All],[Insurance Category Code]],A113,TM[[#All],[Large Provider Entity Code]],100)</f>
        <v>0</v>
      </c>
      <c r="I113" s="160">
        <f>SUMIFS(TM[[#All],[Total Non-Claims Spending]],TM[[#All],[Reporting Year]],2025,TM[[#All],[Insurance Category Code]],A113,TM[[#All],[Large Provider Entity Code]],100)</f>
        <v>0</v>
      </c>
      <c r="J113" s="159">
        <f>SUMIFS(TM[[#All],[Total Non-Truncated Claims and Non-Claims Spending]],TM[[#All],[Reporting Year]],2024,TM[[#All],[Insurance Category Code]],A113,TM[[#All],[Large Provider Entity Code]],100)</f>
        <v>0</v>
      </c>
      <c r="K113" s="160">
        <f>SUMIFS(TM[[#All],[Total Non-Truncated Claims and Non-Claims Spending]],TM[[#All],[Reporting Year]],2025,TM[[#All],[Insurance Category Code]],A113,TM[[#All],[Large Provider Entity Code]],100)</f>
        <v>0</v>
      </c>
      <c r="L113" s="159">
        <f>SUMIFS(TM[[#All],[Total Truncated Claims Spending]],TM[[#All],[Reporting Year]],2024,TM[[#All],[Insurance Category Code]],A113,TM[[#All],[Large Provider Entity Code]],100)</f>
        <v>0</v>
      </c>
      <c r="M113" s="160">
        <f>SUMIFS(TM[[#All],[Total Truncated Claims Spending]],TM[[#All],[Reporting Year]],2025,TM[[#All],[Insurance Category Code]],A113,TM[[#All],[Large Provider Entity Code]],100)</f>
        <v>0</v>
      </c>
      <c r="N113" s="159">
        <f>SUMIFS(TM[[#All],[Total Truncated Expenses]],TM[[#All],[Reporting Year]],2024,TM[[#All],[Insurance Category Code]],A113,TM[[#All],[Large Provider Entity Code]],100)</f>
        <v>0</v>
      </c>
      <c r="O113" s="163">
        <f>SUMIFS(TM[[#All],[Total Truncated Expenses]],TM[[#All],[Reporting Year]],2025,TM[[#All],[Insurance Category Code]],A113,TM[[#All],[Large Provider Entity Code]],100)</f>
        <v>0</v>
      </c>
      <c r="P113" s="159">
        <f>SUMIFS(TM[[#All],[Claims Amount Excluded Due to Truncation]],TM[[#All],[Reporting Year]],2024,TM[[#All],[Insurance Category Code]],A113,TM[[#All],[Large Provider Entity Code]],100)</f>
        <v>0</v>
      </c>
      <c r="Q113" s="163">
        <f>SUMIFS(TM[[#All],[Claims Amount Excluded Due to Truncation]],TM[[#All],[Reporting Year]],2025,TM[[#All],[Insurance Category Code]],A113,TM[[#All],[Large Provider Entity Code]],100)</f>
        <v>0</v>
      </c>
      <c r="R113"/>
      <c r="S113"/>
      <c r="T113"/>
      <c r="U113"/>
      <c r="V113"/>
      <c r="W113"/>
      <c r="X113"/>
      <c r="Y113"/>
      <c r="Z113"/>
      <c r="AA113"/>
      <c r="AB113"/>
      <c r="AC113"/>
    </row>
    <row r="114" spans="1:29" x14ac:dyDescent="0.4">
      <c r="A114" s="47">
        <v>4</v>
      </c>
      <c r="B114" s="89">
        <f>SUMIFS(TM[[#All],[Member Months]],TM[[#All],[Reporting Year]],2024,TM[[#All],[Insurance Category Code]],A114,TM[[#All],[Large Provider Entity Code]],100)</f>
        <v>0</v>
      </c>
      <c r="C114" s="285">
        <f>SUMIFS(TM[[#All],[Member Months]],TM[[#All],[Reporting Year]],2025,TM[[#All],[Insurance Category Code]],A114,TM[[#All],[Large Provider Entity Code]],100)</f>
        <v>0</v>
      </c>
      <c r="D114" s="89">
        <f>SUMIFS(TM[[#All],[Member Count with Truncated Claims]],TM[[#All],[Reporting Year]],2024,TM[[#All],[Insurance Category Code]],A114,TM[[#All],[Large Provider Entity Code]],100)</f>
        <v>0</v>
      </c>
      <c r="E114" s="285">
        <f>SUMIFS(TM[[#All],[Member Count with Truncated Claims]],TM[[#All],[Reporting Year]],2025,TM[[#All],[Insurance Category Code]],A114,TM[[#All],[Large Provider Entity Code]],100)</f>
        <v>0</v>
      </c>
      <c r="F114" s="159">
        <f>SUMIFS(TM[[#All],[Total Non-Truncated Claims Spending]],TM[[#All],[Reporting Year]],2024,TM[[#All],[Insurance Category Code]],A114,TM[[#All],[Large Provider Entity Code]],100)</f>
        <v>0</v>
      </c>
      <c r="G114" s="160">
        <f>SUMIFS(TM[[#All],[Total Non-Truncated Claims Spending]],TM[[#All],[Reporting Year]],2025,TM[[#All],[Insurance Category Code]],A114,TM[[#All],[Large Provider Entity Code]],100)</f>
        <v>0</v>
      </c>
      <c r="H114" s="159">
        <f>SUMIFS(TM[[#All],[Total Non-Claims Spending]],TM[[#All],[Reporting Year]],2024,TM[[#All],[Insurance Category Code]],A114,TM[[#All],[Large Provider Entity Code]],100)</f>
        <v>0</v>
      </c>
      <c r="I114" s="160">
        <f>SUMIFS(TM[[#All],[Total Non-Claims Spending]],TM[[#All],[Reporting Year]],2025,TM[[#All],[Insurance Category Code]],A114,TM[[#All],[Large Provider Entity Code]],100)</f>
        <v>0</v>
      </c>
      <c r="J114" s="159">
        <f>SUMIFS(TM[[#All],[Total Non-Truncated Claims and Non-Claims Spending]],TM[[#All],[Reporting Year]],2024,TM[[#All],[Insurance Category Code]],A114,TM[[#All],[Large Provider Entity Code]],100)</f>
        <v>0</v>
      </c>
      <c r="K114" s="160">
        <f>SUMIFS(TM[[#All],[Total Non-Truncated Claims and Non-Claims Spending]],TM[[#All],[Reporting Year]],2025,TM[[#All],[Insurance Category Code]],A114,TM[[#All],[Large Provider Entity Code]],100)</f>
        <v>0</v>
      </c>
      <c r="L114" s="159">
        <f>SUMIFS(TM[[#All],[Total Truncated Claims Spending]],TM[[#All],[Reporting Year]],2024,TM[[#All],[Insurance Category Code]],A114,TM[[#All],[Large Provider Entity Code]],100)</f>
        <v>0</v>
      </c>
      <c r="M114" s="160">
        <f>SUMIFS(TM[[#All],[Total Truncated Claims Spending]],TM[[#All],[Reporting Year]],2025,TM[[#All],[Insurance Category Code]],A114,TM[[#All],[Large Provider Entity Code]],100)</f>
        <v>0</v>
      </c>
      <c r="N114" s="159">
        <f>SUMIFS(TM[[#All],[Total Truncated Expenses]],TM[[#All],[Reporting Year]],2024,TM[[#All],[Insurance Category Code]],A114,TM[[#All],[Large Provider Entity Code]],100)</f>
        <v>0</v>
      </c>
      <c r="O114" s="163">
        <f>SUMIFS(TM[[#All],[Total Truncated Expenses]],TM[[#All],[Reporting Year]],2025,TM[[#All],[Insurance Category Code]],A114,TM[[#All],[Large Provider Entity Code]],100)</f>
        <v>0</v>
      </c>
      <c r="P114" s="159">
        <f>SUMIFS(TM[[#All],[Claims Amount Excluded Due to Truncation]],TM[[#All],[Reporting Year]],2024,TM[[#All],[Insurance Category Code]],A114,TM[[#All],[Large Provider Entity Code]],100)</f>
        <v>0</v>
      </c>
      <c r="Q114" s="163">
        <f>SUMIFS(TM[[#All],[Claims Amount Excluded Due to Truncation]],TM[[#All],[Reporting Year]],2025,TM[[#All],[Insurance Category Code]],A114,TM[[#All],[Large Provider Entity Code]],100)</f>
        <v>0</v>
      </c>
      <c r="R114"/>
      <c r="S114"/>
      <c r="T114"/>
      <c r="U114"/>
      <c r="V114"/>
      <c r="W114"/>
      <c r="X114"/>
      <c r="Y114"/>
      <c r="Z114"/>
      <c r="AA114"/>
      <c r="AB114"/>
      <c r="AC114"/>
    </row>
    <row r="115" spans="1:29" x14ac:dyDescent="0.4">
      <c r="A115" s="47">
        <v>5</v>
      </c>
      <c r="B115" s="89">
        <f>SUMIFS(TM[[#All],[Member Months]],TM[[#All],[Reporting Year]],2024,TM[[#All],[Insurance Category Code]],A115,TM[[#All],[Large Provider Entity Code]],100)</f>
        <v>0</v>
      </c>
      <c r="C115" s="285">
        <f>SUMIFS(TM[[#All],[Member Months]],TM[[#All],[Reporting Year]],2025,TM[[#All],[Insurance Category Code]],A115,TM[[#All],[Large Provider Entity Code]],100)</f>
        <v>0</v>
      </c>
      <c r="D115" s="89">
        <f>SUMIFS(TM[[#All],[Member Count with Truncated Claims]],TM[[#All],[Reporting Year]],2024,TM[[#All],[Insurance Category Code]],A115,TM[[#All],[Large Provider Entity Code]],100)</f>
        <v>0</v>
      </c>
      <c r="E115" s="285">
        <f>SUMIFS(TM[[#All],[Member Count with Truncated Claims]],TM[[#All],[Reporting Year]],2025,TM[[#All],[Insurance Category Code]],A115,TM[[#All],[Large Provider Entity Code]],100)</f>
        <v>0</v>
      </c>
      <c r="F115" s="159">
        <f>SUMIFS(TM[[#All],[Total Non-Truncated Claims Spending]],TM[[#All],[Reporting Year]],2024,TM[[#All],[Insurance Category Code]],A115,TM[[#All],[Large Provider Entity Code]],100)</f>
        <v>0</v>
      </c>
      <c r="G115" s="160">
        <f>SUMIFS(TM[[#All],[Total Non-Truncated Claims Spending]],TM[[#All],[Reporting Year]],2025,TM[[#All],[Insurance Category Code]],A115,TM[[#All],[Large Provider Entity Code]],100)</f>
        <v>0</v>
      </c>
      <c r="H115" s="159">
        <f>SUMIFS(TM[[#All],[Total Non-Claims Spending]],TM[[#All],[Reporting Year]],2024,TM[[#All],[Insurance Category Code]],A115,TM[[#All],[Large Provider Entity Code]],100)</f>
        <v>0</v>
      </c>
      <c r="I115" s="160">
        <f>SUMIFS(TM[[#All],[Total Non-Claims Spending]],TM[[#All],[Reporting Year]],2025,TM[[#All],[Insurance Category Code]],A115,TM[[#All],[Large Provider Entity Code]],100)</f>
        <v>0</v>
      </c>
      <c r="J115" s="159">
        <f>SUMIFS(TM[[#All],[Total Non-Truncated Claims and Non-Claims Spending]],TM[[#All],[Reporting Year]],2024,TM[[#All],[Insurance Category Code]],A115,TM[[#All],[Large Provider Entity Code]],100)</f>
        <v>0</v>
      </c>
      <c r="K115" s="160">
        <f>SUMIFS(TM[[#All],[Total Non-Truncated Claims and Non-Claims Spending]],TM[[#All],[Reporting Year]],2025,TM[[#All],[Insurance Category Code]],A115,TM[[#All],[Large Provider Entity Code]],100)</f>
        <v>0</v>
      </c>
      <c r="L115" s="159">
        <f>SUMIFS(TM[[#All],[Total Truncated Claims Spending]],TM[[#All],[Reporting Year]],2024,TM[[#All],[Insurance Category Code]],A115,TM[[#All],[Large Provider Entity Code]],100)</f>
        <v>0</v>
      </c>
      <c r="M115" s="160">
        <f>SUMIFS(TM[[#All],[Total Truncated Claims Spending]],TM[[#All],[Reporting Year]],2025,TM[[#All],[Insurance Category Code]],A115,TM[[#All],[Large Provider Entity Code]],100)</f>
        <v>0</v>
      </c>
      <c r="N115" s="159">
        <f>SUMIFS(TM[[#All],[Total Truncated Expenses]],TM[[#All],[Reporting Year]],2024,TM[[#All],[Insurance Category Code]],A115,TM[[#All],[Large Provider Entity Code]],100)</f>
        <v>0</v>
      </c>
      <c r="O115" s="163">
        <f>SUMIFS(TM[[#All],[Total Truncated Expenses]],TM[[#All],[Reporting Year]],2025,TM[[#All],[Insurance Category Code]],A115,TM[[#All],[Large Provider Entity Code]],100)</f>
        <v>0</v>
      </c>
      <c r="P115" s="159">
        <f>SUMIFS(TM[[#All],[Claims Amount Excluded Due to Truncation]],TM[[#All],[Reporting Year]],2024,TM[[#All],[Insurance Category Code]],A115,TM[[#All],[Large Provider Entity Code]],100)</f>
        <v>0</v>
      </c>
      <c r="Q115" s="163">
        <f>SUMIFS(TM[[#All],[Claims Amount Excluded Due to Truncation]],TM[[#All],[Reporting Year]],2025,TM[[#All],[Insurance Category Code]],A115,TM[[#All],[Large Provider Entity Code]],100)</f>
        <v>0</v>
      </c>
      <c r="R115"/>
      <c r="S115"/>
      <c r="T115"/>
      <c r="U115"/>
      <c r="V115"/>
      <c r="W115"/>
      <c r="X115"/>
      <c r="Y115"/>
      <c r="Z115"/>
      <c r="AA115"/>
      <c r="AB115"/>
      <c r="AC115"/>
    </row>
    <row r="116" spans="1:29" x14ac:dyDescent="0.4">
      <c r="A116" s="47">
        <v>6</v>
      </c>
      <c r="B116" s="89">
        <f>SUMIFS(TM[[#All],[Member Months]],TM[[#All],[Reporting Year]],2024,TM[[#All],[Insurance Category Code]],A116,TM[[#All],[Large Provider Entity Code]],100)</f>
        <v>0</v>
      </c>
      <c r="C116" s="285">
        <f>SUMIFS(TM[[#All],[Member Months]],TM[[#All],[Reporting Year]],2025,TM[[#All],[Insurance Category Code]],A116,TM[[#All],[Large Provider Entity Code]],100)</f>
        <v>0</v>
      </c>
      <c r="D116" s="89">
        <f>SUMIFS(TM[[#All],[Member Count with Truncated Claims]],TM[[#All],[Reporting Year]],2024,TM[[#All],[Insurance Category Code]],A116,TM[[#All],[Large Provider Entity Code]],100)</f>
        <v>0</v>
      </c>
      <c r="E116" s="285">
        <f>SUMIFS(TM[[#All],[Member Count with Truncated Claims]],TM[[#All],[Reporting Year]],2025,TM[[#All],[Insurance Category Code]],A116,TM[[#All],[Large Provider Entity Code]],100)</f>
        <v>0</v>
      </c>
      <c r="F116" s="159">
        <f>SUMIFS(TM[[#All],[Total Non-Truncated Claims Spending]],TM[[#All],[Reporting Year]],2024,TM[[#All],[Insurance Category Code]],A116,TM[[#All],[Large Provider Entity Code]],100)</f>
        <v>0</v>
      </c>
      <c r="G116" s="160">
        <f>SUMIFS(TM[[#All],[Total Non-Truncated Claims Spending]],TM[[#All],[Reporting Year]],2025,TM[[#All],[Insurance Category Code]],A116,TM[[#All],[Large Provider Entity Code]],100)</f>
        <v>0</v>
      </c>
      <c r="H116" s="159">
        <f>SUMIFS(TM[[#All],[Total Non-Claims Spending]],TM[[#All],[Reporting Year]],2024,TM[[#All],[Insurance Category Code]],A116,TM[[#All],[Large Provider Entity Code]],100)</f>
        <v>0</v>
      </c>
      <c r="I116" s="160">
        <f>SUMIFS(TM[[#All],[Total Non-Claims Spending]],TM[[#All],[Reporting Year]],2025,TM[[#All],[Insurance Category Code]],A116,TM[[#All],[Large Provider Entity Code]],100)</f>
        <v>0</v>
      </c>
      <c r="J116" s="159">
        <f>SUMIFS(TM[[#All],[Total Non-Truncated Claims and Non-Claims Spending]],TM[[#All],[Reporting Year]],2024,TM[[#All],[Insurance Category Code]],A116,TM[[#All],[Large Provider Entity Code]],100)</f>
        <v>0</v>
      </c>
      <c r="K116" s="160">
        <f>SUMIFS(TM[[#All],[Total Non-Truncated Claims and Non-Claims Spending]],TM[[#All],[Reporting Year]],2025,TM[[#All],[Insurance Category Code]],A116,TM[[#All],[Large Provider Entity Code]],100)</f>
        <v>0</v>
      </c>
      <c r="L116" s="159">
        <f>SUMIFS(TM[[#All],[Total Truncated Claims Spending]],TM[[#All],[Reporting Year]],2024,TM[[#All],[Insurance Category Code]],A116,TM[[#All],[Large Provider Entity Code]],100)</f>
        <v>0</v>
      </c>
      <c r="M116" s="160">
        <f>SUMIFS(TM[[#All],[Total Truncated Claims Spending]],TM[[#All],[Reporting Year]],2025,TM[[#All],[Insurance Category Code]],A116,TM[[#All],[Large Provider Entity Code]],100)</f>
        <v>0</v>
      </c>
      <c r="N116" s="159">
        <f>SUMIFS(TM[[#All],[Total Truncated Expenses]],TM[[#All],[Reporting Year]],2024,TM[[#All],[Insurance Category Code]],A116,TM[[#All],[Large Provider Entity Code]],100)</f>
        <v>0</v>
      </c>
      <c r="O116" s="163">
        <f>SUMIFS(TM[[#All],[Total Truncated Expenses]],TM[[#All],[Reporting Year]],2025,TM[[#All],[Insurance Category Code]],A116,TM[[#All],[Large Provider Entity Code]],100)</f>
        <v>0</v>
      </c>
      <c r="P116" s="159">
        <f>SUMIFS(TM[[#All],[Claims Amount Excluded Due to Truncation]],TM[[#All],[Reporting Year]],2024,TM[[#All],[Insurance Category Code]],A116,TM[[#All],[Large Provider Entity Code]],100)</f>
        <v>0</v>
      </c>
      <c r="Q116" s="163">
        <f>SUMIFS(TM[[#All],[Claims Amount Excluded Due to Truncation]],TM[[#All],[Reporting Year]],2025,TM[[#All],[Insurance Category Code]],A116,TM[[#All],[Large Provider Entity Code]],100)</f>
        <v>0</v>
      </c>
      <c r="R116"/>
      <c r="S116"/>
      <c r="T116"/>
      <c r="U116"/>
      <c r="V116"/>
      <c r="W116"/>
      <c r="X116"/>
      <c r="Y116"/>
      <c r="Z116"/>
      <c r="AA116"/>
      <c r="AB116"/>
      <c r="AC116"/>
    </row>
    <row r="117" spans="1:29" x14ac:dyDescent="0.4">
      <c r="A117" s="47">
        <v>7</v>
      </c>
      <c r="B117" s="89">
        <f>SUMIFS(TM[[#All],[Member Months]],TM[[#All],[Reporting Year]],2024,TM[[#All],[Insurance Category Code]],A117,TM[[#All],[Large Provider Entity Code]],100)</f>
        <v>0</v>
      </c>
      <c r="C117" s="285">
        <f>SUMIFS(TM[[#All],[Member Months]],TM[[#All],[Reporting Year]],2025,TM[[#All],[Insurance Category Code]],A117,TM[[#All],[Large Provider Entity Code]],100)</f>
        <v>0</v>
      </c>
      <c r="D117" s="89">
        <f>SUMIFS(TM[[#All],[Member Count with Truncated Claims]],TM[[#All],[Reporting Year]],2024,TM[[#All],[Insurance Category Code]],A117,TM[[#All],[Large Provider Entity Code]],100)</f>
        <v>0</v>
      </c>
      <c r="E117" s="285">
        <f>SUMIFS(TM[[#All],[Member Count with Truncated Claims]],TM[[#All],[Reporting Year]],2025,TM[[#All],[Insurance Category Code]],A117,TM[[#All],[Large Provider Entity Code]],100)</f>
        <v>0</v>
      </c>
      <c r="F117" s="159">
        <f>SUMIFS(TM[[#All],[Total Non-Truncated Claims Spending]],TM[[#All],[Reporting Year]],2024,TM[[#All],[Insurance Category Code]],A117,TM[[#All],[Large Provider Entity Code]],100)</f>
        <v>0</v>
      </c>
      <c r="G117" s="160">
        <f>SUMIFS(TM[[#All],[Total Non-Truncated Claims Spending]],TM[[#All],[Reporting Year]],2025,TM[[#All],[Insurance Category Code]],A117,TM[[#All],[Large Provider Entity Code]],100)</f>
        <v>0</v>
      </c>
      <c r="H117" s="159">
        <f>SUMIFS(TM[[#All],[Total Non-Claims Spending]],TM[[#All],[Reporting Year]],2024,TM[[#All],[Insurance Category Code]],A117,TM[[#All],[Large Provider Entity Code]],100)</f>
        <v>0</v>
      </c>
      <c r="I117" s="160">
        <f>SUMIFS(TM[[#All],[Total Non-Claims Spending]],TM[[#All],[Reporting Year]],2025,TM[[#All],[Insurance Category Code]],A117,TM[[#All],[Large Provider Entity Code]],100)</f>
        <v>0</v>
      </c>
      <c r="J117" s="159">
        <f>SUMIFS(TM[[#All],[Total Non-Truncated Claims and Non-Claims Spending]],TM[[#All],[Reporting Year]],2024,TM[[#All],[Insurance Category Code]],A117,TM[[#All],[Large Provider Entity Code]],100)</f>
        <v>0</v>
      </c>
      <c r="K117" s="160">
        <f>SUMIFS(TM[[#All],[Total Non-Truncated Claims and Non-Claims Spending]],TM[[#All],[Reporting Year]],2025,TM[[#All],[Insurance Category Code]],A117,TM[[#All],[Large Provider Entity Code]],100)</f>
        <v>0</v>
      </c>
      <c r="L117" s="159">
        <f>SUMIFS(TM[[#All],[Total Truncated Claims Spending]],TM[[#All],[Reporting Year]],2024,TM[[#All],[Insurance Category Code]],A117,TM[[#All],[Large Provider Entity Code]],100)</f>
        <v>0</v>
      </c>
      <c r="M117" s="160">
        <f>SUMIFS(TM[[#All],[Total Truncated Claims Spending]],TM[[#All],[Reporting Year]],2025,TM[[#All],[Insurance Category Code]],A117,TM[[#All],[Large Provider Entity Code]],100)</f>
        <v>0</v>
      </c>
      <c r="N117" s="159">
        <f>SUMIFS(TM[[#All],[Total Truncated Expenses]],TM[[#All],[Reporting Year]],2024,TM[[#All],[Insurance Category Code]],A117,TM[[#All],[Large Provider Entity Code]],100)</f>
        <v>0</v>
      </c>
      <c r="O117" s="163">
        <f>SUMIFS(TM[[#All],[Total Truncated Expenses]],TM[[#All],[Reporting Year]],2025,TM[[#All],[Insurance Category Code]],A117,TM[[#All],[Large Provider Entity Code]],100)</f>
        <v>0</v>
      </c>
      <c r="P117" s="159">
        <f>SUMIFS(TM[[#All],[Claims Amount Excluded Due to Truncation]],TM[[#All],[Reporting Year]],2024,TM[[#All],[Insurance Category Code]],A117,TM[[#All],[Large Provider Entity Code]],100)</f>
        <v>0</v>
      </c>
      <c r="Q117" s="163">
        <f>SUMIFS(TM[[#All],[Claims Amount Excluded Due to Truncation]],TM[[#All],[Reporting Year]],2025,TM[[#All],[Insurance Category Code]],A117,TM[[#All],[Large Provider Entity Code]],100)</f>
        <v>0</v>
      </c>
      <c r="R117"/>
      <c r="S117"/>
      <c r="T117"/>
      <c r="U117"/>
      <c r="V117"/>
      <c r="W117"/>
      <c r="X117"/>
      <c r="Y117"/>
      <c r="Z117"/>
      <c r="AA117"/>
      <c r="AB117"/>
      <c r="AC117"/>
    </row>
    <row r="118" spans="1:29" x14ac:dyDescent="0.4">
      <c r="A118" s="47">
        <v>8</v>
      </c>
      <c r="B118" s="89">
        <f>SUMIFS(TM[[#All],[Member Months]],TM[[#All],[Reporting Year]],2024,TM[[#All],[Insurance Category Code]],A118,TM[[#All],[Large Provider Entity Code]],100)</f>
        <v>0</v>
      </c>
      <c r="C118" s="285">
        <f>SUMIFS(TM[[#All],[Member Months]],TM[[#All],[Reporting Year]],2025,TM[[#All],[Insurance Category Code]],A118,TM[[#All],[Large Provider Entity Code]],100)</f>
        <v>0</v>
      </c>
      <c r="D118" s="89">
        <f>SUMIFS(TM[[#All],[Member Count with Truncated Claims]],TM[[#All],[Reporting Year]],2024,TM[[#All],[Insurance Category Code]],A118,TM[[#All],[Large Provider Entity Code]],100)</f>
        <v>0</v>
      </c>
      <c r="E118" s="285">
        <f>SUMIFS(TM[[#All],[Member Count with Truncated Claims]],TM[[#All],[Reporting Year]],2025,TM[[#All],[Insurance Category Code]],A118,TM[[#All],[Large Provider Entity Code]],100)</f>
        <v>0</v>
      </c>
      <c r="F118" s="159">
        <f>SUMIFS(TM[[#All],[Total Non-Truncated Claims Spending]],TM[[#All],[Reporting Year]],2024,TM[[#All],[Insurance Category Code]],A118,TM[[#All],[Large Provider Entity Code]],100)</f>
        <v>0</v>
      </c>
      <c r="G118" s="160">
        <f>SUMIFS(TM[[#All],[Total Non-Truncated Claims Spending]],TM[[#All],[Reporting Year]],2025,TM[[#All],[Insurance Category Code]],A118,TM[[#All],[Large Provider Entity Code]],100)</f>
        <v>0</v>
      </c>
      <c r="H118" s="159">
        <f>SUMIFS(TM[[#All],[Total Non-Claims Spending]],TM[[#All],[Reporting Year]],2024,TM[[#All],[Insurance Category Code]],A118,TM[[#All],[Large Provider Entity Code]],100)</f>
        <v>0</v>
      </c>
      <c r="I118" s="160">
        <f>SUMIFS(TM[[#All],[Total Non-Claims Spending]],TM[[#All],[Reporting Year]],2025,TM[[#All],[Insurance Category Code]],A118,TM[[#All],[Large Provider Entity Code]],100)</f>
        <v>0</v>
      </c>
      <c r="J118" s="159">
        <f>SUMIFS(TM[[#All],[Total Non-Truncated Claims and Non-Claims Spending]],TM[[#All],[Reporting Year]],2024,TM[[#All],[Insurance Category Code]],A118,TM[[#All],[Large Provider Entity Code]],100)</f>
        <v>0</v>
      </c>
      <c r="K118" s="160">
        <f>SUMIFS(TM[[#All],[Total Non-Truncated Claims and Non-Claims Spending]],TM[[#All],[Reporting Year]],2025,TM[[#All],[Insurance Category Code]],A118,TM[[#All],[Large Provider Entity Code]],100)</f>
        <v>0</v>
      </c>
      <c r="L118" s="159">
        <f>SUMIFS(TM[[#All],[Total Truncated Claims Spending]],TM[[#All],[Reporting Year]],2024,TM[[#All],[Insurance Category Code]],A118,TM[[#All],[Large Provider Entity Code]],100)</f>
        <v>0</v>
      </c>
      <c r="M118" s="160">
        <f>SUMIFS(TM[[#All],[Total Truncated Claims Spending]],TM[[#All],[Reporting Year]],2025,TM[[#All],[Insurance Category Code]],A118,TM[[#All],[Large Provider Entity Code]],100)</f>
        <v>0</v>
      </c>
      <c r="N118" s="159">
        <f>SUMIFS(TM[[#All],[Total Truncated Expenses]],TM[[#All],[Reporting Year]],2024,TM[[#All],[Insurance Category Code]],A118,TM[[#All],[Large Provider Entity Code]],100)</f>
        <v>0</v>
      </c>
      <c r="O118" s="163">
        <f>SUMIFS(TM[[#All],[Total Truncated Expenses]],TM[[#All],[Reporting Year]],2025,TM[[#All],[Insurance Category Code]],A118,TM[[#All],[Large Provider Entity Code]],100)</f>
        <v>0</v>
      </c>
      <c r="P118" s="159">
        <f>SUMIFS(TM[[#All],[Claims Amount Excluded Due to Truncation]],TM[[#All],[Reporting Year]],2024,TM[[#All],[Insurance Category Code]],A118,TM[[#All],[Large Provider Entity Code]],100)</f>
        <v>0</v>
      </c>
      <c r="Q118" s="163">
        <f>SUMIFS(TM[[#All],[Claims Amount Excluded Due to Truncation]],TM[[#All],[Reporting Year]],2025,TM[[#All],[Insurance Category Code]],A118,TM[[#All],[Large Provider Entity Code]],100)</f>
        <v>0</v>
      </c>
      <c r="R118"/>
      <c r="S118"/>
      <c r="T118"/>
      <c r="U118"/>
      <c r="V118"/>
      <c r="W118"/>
      <c r="X118"/>
      <c r="Y118"/>
      <c r="Z118"/>
      <c r="AA118"/>
      <c r="AB118"/>
      <c r="AC118"/>
    </row>
    <row r="119" spans="1:29" x14ac:dyDescent="0.4">
      <c r="A119" s="1"/>
      <c r="B119" s="108"/>
      <c r="C119" s="108"/>
      <c r="D119" s="108"/>
      <c r="E119" s="108"/>
      <c r="F119" s="176"/>
      <c r="G119" s="176"/>
      <c r="H119" s="176"/>
      <c r="I119" s="176"/>
      <c r="J119" s="176"/>
      <c r="K119" s="176"/>
      <c r="L119" s="176"/>
      <c r="M119" s="176"/>
      <c r="N119" s="176"/>
      <c r="O119" s="176"/>
      <c r="P119"/>
      <c r="Q119"/>
      <c r="R119"/>
      <c r="S119"/>
      <c r="T119"/>
      <c r="U119"/>
      <c r="V119"/>
      <c r="W119"/>
      <c r="X119"/>
      <c r="Y119"/>
      <c r="Z119"/>
      <c r="AA119"/>
      <c r="AB119"/>
      <c r="AC119"/>
    </row>
    <row r="120" spans="1:29" x14ac:dyDescent="0.4">
      <c r="A120" s="2"/>
      <c r="B120" s="286"/>
      <c r="C120" s="286"/>
      <c r="D120"/>
      <c r="E120"/>
      <c r="F120"/>
      <c r="G120"/>
      <c r="H120"/>
      <c r="I120"/>
      <c r="J120"/>
      <c r="K120"/>
      <c r="L120"/>
      <c r="M120"/>
      <c r="N120"/>
      <c r="O120"/>
      <c r="P120"/>
      <c r="Q120"/>
      <c r="R120"/>
      <c r="S120"/>
      <c r="T120"/>
      <c r="U120"/>
      <c r="V120"/>
      <c r="W120"/>
      <c r="X120"/>
      <c r="Y120"/>
      <c r="Z120"/>
      <c r="AA120"/>
      <c r="AB120"/>
      <c r="AC120"/>
    </row>
    <row r="121" spans="1:29" x14ac:dyDescent="0.4">
      <c r="A121" s="4" t="s">
        <v>416</v>
      </c>
      <c r="B121"/>
      <c r="C121"/>
      <c r="D121"/>
      <c r="E121"/>
      <c r="F121"/>
      <c r="G121"/>
      <c r="H121"/>
      <c r="I121"/>
      <c r="J121"/>
      <c r="K121"/>
      <c r="L121" s="143"/>
      <c r="M121" s="143"/>
      <c r="N121"/>
      <c r="O121"/>
      <c r="P121"/>
      <c r="Q121"/>
      <c r="R121"/>
      <c r="S121"/>
      <c r="T121"/>
      <c r="U121"/>
      <c r="V121"/>
      <c r="W121"/>
      <c r="X121"/>
      <c r="Y121"/>
      <c r="Z121"/>
      <c r="AA121"/>
      <c r="AB121"/>
      <c r="AC121"/>
    </row>
    <row r="122" spans="1:29" ht="17.399999999999999" thickBot="1" x14ac:dyDescent="0.45">
      <c r="A122" s="618" t="s">
        <v>56</v>
      </c>
      <c r="B122" s="191">
        <v>2024</v>
      </c>
      <c r="C122" s="192">
        <v>2025</v>
      </c>
      <c r="D122" s="191">
        <v>2024</v>
      </c>
      <c r="E122" s="192">
        <v>2025</v>
      </c>
      <c r="F122" s="191">
        <v>2024</v>
      </c>
      <c r="G122" s="192">
        <v>2025</v>
      </c>
      <c r="H122" s="191">
        <v>2024</v>
      </c>
      <c r="I122" s="192">
        <v>2025</v>
      </c>
      <c r="J122" s="191">
        <v>2024</v>
      </c>
      <c r="K122" s="192">
        <v>2025</v>
      </c>
      <c r="L122" s="191">
        <v>2024</v>
      </c>
      <c r="M122" s="193">
        <v>2025</v>
      </c>
      <c r="N122" s="191">
        <v>2024</v>
      </c>
      <c r="O122" s="192">
        <v>2025</v>
      </c>
      <c r="P122"/>
      <c r="Q122"/>
      <c r="R122"/>
      <c r="S122"/>
      <c r="T122"/>
      <c r="U122"/>
      <c r="V122"/>
      <c r="W122"/>
      <c r="X122"/>
      <c r="Y122"/>
      <c r="Z122"/>
      <c r="AA122"/>
      <c r="AB122"/>
      <c r="AC122"/>
    </row>
    <row r="123" spans="1:29" x14ac:dyDescent="0.4">
      <c r="A123" s="633"/>
      <c r="B123" s="631" t="s">
        <v>171</v>
      </c>
      <c r="C123" s="634"/>
      <c r="D123" s="635" t="s">
        <v>188</v>
      </c>
      <c r="E123" s="634"/>
      <c r="F123" s="635" t="s">
        <v>189</v>
      </c>
      <c r="G123" s="634"/>
      <c r="H123" s="635" t="s">
        <v>192</v>
      </c>
      <c r="I123" s="634"/>
      <c r="J123" s="631" t="s">
        <v>417</v>
      </c>
      <c r="K123" s="634"/>
      <c r="L123" s="631" t="s">
        <v>418</v>
      </c>
      <c r="M123" s="632"/>
      <c r="N123" s="635" t="s">
        <v>187</v>
      </c>
      <c r="O123" s="632"/>
      <c r="P123"/>
      <c r="Q123"/>
      <c r="R123"/>
      <c r="S123"/>
      <c r="T123"/>
      <c r="U123"/>
      <c r="V123"/>
      <c r="W123"/>
      <c r="X123"/>
      <c r="Y123"/>
      <c r="Z123"/>
      <c r="AA123"/>
      <c r="AB123"/>
      <c r="AC123"/>
    </row>
    <row r="124" spans="1:29" x14ac:dyDescent="0.4">
      <c r="A124" s="47">
        <v>1</v>
      </c>
      <c r="B124" s="89">
        <f>SUMIFS(AS[[#All],[Member Months]],AS[[#All],[Reporting Year]],2024,AS[[#All],[Insurance Category Code]],A124,AS[[#All],[Large Provider Entity Code]],100)</f>
        <v>0</v>
      </c>
      <c r="C124" s="285">
        <f>SUMIFS(AS[[#All],[Member Months]],AS[[#All],[Reporting Year]],2025,AS[[#All],[Insurance Category Code]],A124,AS[[#All],[Large Provider Entity Code]],100)</f>
        <v>0</v>
      </c>
      <c r="D124" s="89">
        <f>SUMIFS(AS[[#All],[Member Count with Truncated Claims]],AS[[#All],[Reporting Year]],2024,AS[[#All],[Insurance Category Code]],A124,AS[[#All],[Large Provider Entity Code]],100)</f>
        <v>0</v>
      </c>
      <c r="E124" s="285">
        <f>SUMIFS(AS[[#All],[Member Count with Truncated Claims]],AS[[#All],[Reporting Year]],2025,AS[[#All],[Insurance Category Code]],A124,AS[[#All],[Large Provider Entity Code]],100)</f>
        <v>0</v>
      </c>
      <c r="F124" s="178">
        <f>SUMIFS(AS[[#All],[Total Non-Truncated Claims Spending]],AS[[#All],[Reporting Year]],2024,AS[[#All],[Insurance Category Code]],A124,AS[[#All],[Large Provider Entity Code]],100)</f>
        <v>0</v>
      </c>
      <c r="G124" s="90">
        <f>SUMIFS(AS[[#All],[Total Non-Truncated Claims Spending]],AS[[#All],[Reporting Year]],2025,AS[[#All],[Insurance Category Code]],A124,AS[[#All],[Large Provider Entity Code]],100)</f>
        <v>0</v>
      </c>
      <c r="H124" s="178">
        <f>SUMIFS(AS[[#All],[Total Truncated Claims Spending]],AS[[#All],[Reporting Year]],2024,AS[[#All],[Insurance Category Code]],A124,AS[[#All],[Large Provider Entity Code]],100)</f>
        <v>0</v>
      </c>
      <c r="I124" s="90">
        <f>SUMIFS(AS[[#All],[Total Truncated Claims Spending]],AS[[#All],[Reporting Year]],2025,AS[[#All],[Insurance Category Code]],A124,AS[[#All],[Large Provider Entity Code]],100)</f>
        <v>0</v>
      </c>
      <c r="J124" s="89">
        <f>SUMIFS(AS[[#All],[Member Months]],AS[[#All],[Reporting Year]],2024,AS[[#All],[Insurance Category Code]],A124,AS[[#All],[Large Provider Entity Code]],100,AS[[#All],[Sex Code]],1)</f>
        <v>0</v>
      </c>
      <c r="K124" s="285">
        <f>SUMIFS(AS[[#All],[Member Months]],AS[[#All],[Reporting Year]],2025,AS[[#All],[Insurance Category Code]],A124,AS[[#All],[Large Provider Entity Code]],100,AS[[#All],[Sex Code]],1)</f>
        <v>0</v>
      </c>
      <c r="L124" s="89">
        <f>SUMIFS(AS[[#All],[Member Months]],AS[[#All],[Reporting Year]],2024,AS[[#All],[Insurance Category Code]],A124,AS[[#All],[Large Provider Entity Code]],100,AS[[#All],[Sex Code]],2)</f>
        <v>0</v>
      </c>
      <c r="M124" s="8">
        <f>SUMIFS(AS[[#All],[Member Months]],AS[[#All],[Reporting Year]],2025,AS[[#All],[Insurance Category Code]],A124,AS[[#All],[Large Provider Entity Code]],100,AS[[#All],[Sex Code]],2)</f>
        <v>0</v>
      </c>
      <c r="N124" s="178">
        <f>SUMIFS(AS[[#All],[Claims Amount Excluded Due to Truncation]],AS[[#All],[Reporting Year]],2024,AS[[#All],[Insurance Category Code]],A124,AS[[#All],[Large Provider Entity Code]],100)</f>
        <v>0</v>
      </c>
      <c r="O124" s="90">
        <f>SUMIFS(AS[[#All],[Claims Amount Excluded Due to Truncation]],AS[[#All],[Reporting Year]],2025,AS[[#All],[Insurance Category Code]],A124,AS[[#All],[Large Provider Entity Code]],100)</f>
        <v>0</v>
      </c>
      <c r="P124"/>
      <c r="Q124"/>
      <c r="R124"/>
      <c r="S124"/>
      <c r="T124"/>
      <c r="U124"/>
      <c r="V124"/>
      <c r="W124"/>
      <c r="X124"/>
      <c r="Y124"/>
      <c r="Z124"/>
      <c r="AA124"/>
      <c r="AB124"/>
      <c r="AC124"/>
    </row>
    <row r="125" spans="1:29" x14ac:dyDescent="0.4">
      <c r="A125" s="47">
        <v>2</v>
      </c>
      <c r="B125" s="89">
        <f>SUMIFS(AS[[#All],[Member Months]],AS[[#All],[Reporting Year]],2024,AS[[#All],[Insurance Category Code]],A125,AS[[#All],[Large Provider Entity Code]],100)</f>
        <v>0</v>
      </c>
      <c r="C125" s="285">
        <f>SUMIFS(AS[[#All],[Member Months]],AS[[#All],[Reporting Year]],2025,AS[[#All],[Insurance Category Code]],A125,AS[[#All],[Large Provider Entity Code]],100)</f>
        <v>0</v>
      </c>
      <c r="D125" s="89">
        <f>SUMIFS(AS[[#All],[Member Count with Truncated Claims]],AS[[#All],[Reporting Year]],2024,AS[[#All],[Insurance Category Code]],A125,AS[[#All],[Large Provider Entity Code]],100)</f>
        <v>0</v>
      </c>
      <c r="E125" s="285">
        <f>SUMIFS(AS[[#All],[Member Count with Truncated Claims]],AS[[#All],[Reporting Year]],2025,AS[[#All],[Insurance Category Code]],A125,AS[[#All],[Large Provider Entity Code]],100)</f>
        <v>0</v>
      </c>
      <c r="F125" s="178">
        <f>SUMIFS(AS[[#All],[Total Non-Truncated Claims Spending]],AS[[#All],[Reporting Year]],2024,AS[[#All],[Insurance Category Code]],A125,AS[[#All],[Large Provider Entity Code]],100)</f>
        <v>0</v>
      </c>
      <c r="G125" s="90">
        <f>SUMIFS(AS[[#All],[Total Non-Truncated Claims Spending]],AS[[#All],[Reporting Year]],2025,AS[[#All],[Insurance Category Code]],A125,AS[[#All],[Large Provider Entity Code]],100)</f>
        <v>0</v>
      </c>
      <c r="H125" s="178">
        <f>SUMIFS(AS[[#All],[Total Truncated Claims Spending]],AS[[#All],[Reporting Year]],2024,AS[[#All],[Insurance Category Code]],A125,AS[[#All],[Large Provider Entity Code]],100)</f>
        <v>0</v>
      </c>
      <c r="I125" s="90">
        <f>SUMIFS(AS[[#All],[Total Truncated Claims Spending]],AS[[#All],[Reporting Year]],2025,AS[[#All],[Insurance Category Code]],A125,AS[[#All],[Large Provider Entity Code]],100)</f>
        <v>0</v>
      </c>
      <c r="J125" s="89">
        <f>SUMIFS(AS[[#All],[Member Months]],AS[[#All],[Reporting Year]],2024,AS[[#All],[Insurance Category Code]],A125,AS[[#All],[Large Provider Entity Code]],100,AS[[#All],[Sex Code]],1)</f>
        <v>0</v>
      </c>
      <c r="K125" s="285">
        <f>SUMIFS(AS[[#All],[Member Months]],AS[[#All],[Reporting Year]],2025,AS[[#All],[Insurance Category Code]],A125,AS[[#All],[Large Provider Entity Code]],100,AS[[#All],[Sex Code]],1)</f>
        <v>0</v>
      </c>
      <c r="L125" s="89">
        <f>SUMIFS(AS[[#All],[Member Months]],AS[[#All],[Reporting Year]],2024,AS[[#All],[Insurance Category Code]],A125,AS[[#All],[Large Provider Entity Code]],100,AS[[#All],[Sex Code]],2)</f>
        <v>0</v>
      </c>
      <c r="M125" s="8">
        <f>SUMIFS(AS[[#All],[Member Months]],AS[[#All],[Reporting Year]],2025,AS[[#All],[Insurance Category Code]],A125,AS[[#All],[Large Provider Entity Code]],100,AS[[#All],[Sex Code]],2)</f>
        <v>0</v>
      </c>
      <c r="N125" s="178">
        <f>SUMIFS(AS[[#All],[Claims Amount Excluded Due to Truncation]],AS[[#All],[Reporting Year]],2024,AS[[#All],[Insurance Category Code]],A125,AS[[#All],[Large Provider Entity Code]],100)</f>
        <v>0</v>
      </c>
      <c r="O125" s="90">
        <f>SUMIFS(AS[[#All],[Claims Amount Excluded Due to Truncation]],AS[[#All],[Reporting Year]],2025,AS[[#All],[Insurance Category Code]],A125,AS[[#All],[Large Provider Entity Code]],100)</f>
        <v>0</v>
      </c>
      <c r="P125"/>
      <c r="Q125"/>
      <c r="R125"/>
      <c r="S125"/>
      <c r="T125"/>
      <c r="U125"/>
      <c r="V125"/>
      <c r="W125"/>
      <c r="X125"/>
      <c r="Y125"/>
      <c r="Z125"/>
      <c r="AA125"/>
      <c r="AB125"/>
      <c r="AC125"/>
    </row>
    <row r="126" spans="1:29" x14ac:dyDescent="0.4">
      <c r="A126" s="47">
        <v>3</v>
      </c>
      <c r="B126" s="89">
        <f>SUMIFS(AS[[#All],[Member Months]],AS[[#All],[Reporting Year]],2024,AS[[#All],[Insurance Category Code]],A126,AS[[#All],[Large Provider Entity Code]],100)</f>
        <v>0</v>
      </c>
      <c r="C126" s="285">
        <f>SUMIFS(AS[[#All],[Member Months]],AS[[#All],[Reporting Year]],2025,AS[[#All],[Insurance Category Code]],A126,AS[[#All],[Large Provider Entity Code]],100)</f>
        <v>0</v>
      </c>
      <c r="D126" s="89">
        <f>SUMIFS(AS[[#All],[Member Count with Truncated Claims]],AS[[#All],[Reporting Year]],2024,AS[[#All],[Insurance Category Code]],A126,AS[[#All],[Large Provider Entity Code]],100)</f>
        <v>0</v>
      </c>
      <c r="E126" s="285">
        <f>SUMIFS(AS[[#All],[Member Count with Truncated Claims]],AS[[#All],[Reporting Year]],2025,AS[[#All],[Insurance Category Code]],A126,AS[[#All],[Large Provider Entity Code]],100)</f>
        <v>0</v>
      </c>
      <c r="F126" s="178">
        <f>SUMIFS(AS[[#All],[Total Non-Truncated Claims Spending]],AS[[#All],[Reporting Year]],2024,AS[[#All],[Insurance Category Code]],A126,AS[[#All],[Large Provider Entity Code]],100)</f>
        <v>0</v>
      </c>
      <c r="G126" s="90">
        <f>SUMIFS(AS[[#All],[Total Non-Truncated Claims Spending]],AS[[#All],[Reporting Year]],2025,AS[[#All],[Insurance Category Code]],A126,AS[[#All],[Large Provider Entity Code]],100)</f>
        <v>0</v>
      </c>
      <c r="H126" s="178">
        <f>SUMIFS(AS[[#All],[Total Truncated Claims Spending]],AS[[#All],[Reporting Year]],2024,AS[[#All],[Insurance Category Code]],A126,AS[[#All],[Large Provider Entity Code]],100)</f>
        <v>0</v>
      </c>
      <c r="I126" s="90">
        <f>SUMIFS(AS[[#All],[Total Truncated Claims Spending]],AS[[#All],[Reporting Year]],2025,AS[[#All],[Insurance Category Code]],A126,AS[[#All],[Large Provider Entity Code]],100)</f>
        <v>0</v>
      </c>
      <c r="J126" s="89">
        <f>SUMIFS(AS[[#All],[Member Months]],AS[[#All],[Reporting Year]],2024,AS[[#All],[Insurance Category Code]],A126,AS[[#All],[Large Provider Entity Code]],100,AS[[#All],[Sex Code]],1)</f>
        <v>0</v>
      </c>
      <c r="K126" s="285">
        <f>SUMIFS(AS[[#All],[Member Months]],AS[[#All],[Reporting Year]],2025,AS[[#All],[Insurance Category Code]],A126,AS[[#All],[Large Provider Entity Code]],100,AS[[#All],[Sex Code]],1)</f>
        <v>0</v>
      </c>
      <c r="L126" s="89">
        <f>SUMIFS(AS[[#All],[Member Months]],AS[[#All],[Reporting Year]],2024,AS[[#All],[Insurance Category Code]],A126,AS[[#All],[Large Provider Entity Code]],100,AS[[#All],[Sex Code]],2)</f>
        <v>0</v>
      </c>
      <c r="M126" s="8">
        <f>SUMIFS(AS[[#All],[Member Months]],AS[[#All],[Reporting Year]],2025,AS[[#All],[Insurance Category Code]],A126,AS[[#All],[Large Provider Entity Code]],100,AS[[#All],[Sex Code]],2)</f>
        <v>0</v>
      </c>
      <c r="N126" s="178">
        <f>SUMIFS(AS[[#All],[Claims Amount Excluded Due to Truncation]],AS[[#All],[Reporting Year]],2024,AS[[#All],[Insurance Category Code]],A126,AS[[#All],[Large Provider Entity Code]],100)</f>
        <v>0</v>
      </c>
      <c r="O126" s="90">
        <f>SUMIFS(AS[[#All],[Claims Amount Excluded Due to Truncation]],AS[[#All],[Reporting Year]],2025,AS[[#All],[Insurance Category Code]],A126,AS[[#All],[Large Provider Entity Code]],100)</f>
        <v>0</v>
      </c>
      <c r="P126"/>
      <c r="Q126"/>
      <c r="R126"/>
      <c r="S126"/>
      <c r="T126"/>
      <c r="U126"/>
      <c r="V126"/>
      <c r="W126"/>
      <c r="X126"/>
      <c r="Y126"/>
      <c r="Z126"/>
      <c r="AA126"/>
      <c r="AB126"/>
      <c r="AC126"/>
    </row>
    <row r="127" spans="1:29" x14ac:dyDescent="0.4">
      <c r="A127" s="47">
        <v>4</v>
      </c>
      <c r="B127" s="89">
        <f>SUMIFS(AS[[#All],[Member Months]],AS[[#All],[Reporting Year]],2024,AS[[#All],[Insurance Category Code]],A127,AS[[#All],[Large Provider Entity Code]],100)</f>
        <v>0</v>
      </c>
      <c r="C127" s="285">
        <f>SUMIFS(AS[[#All],[Member Months]],AS[[#All],[Reporting Year]],2025,AS[[#All],[Insurance Category Code]],A127,AS[[#All],[Large Provider Entity Code]],100)</f>
        <v>0</v>
      </c>
      <c r="D127" s="89">
        <f>SUMIFS(AS[[#All],[Member Count with Truncated Claims]],AS[[#All],[Reporting Year]],2024,AS[[#All],[Insurance Category Code]],A127,AS[[#All],[Large Provider Entity Code]],100)</f>
        <v>0</v>
      </c>
      <c r="E127" s="285">
        <f>SUMIFS(AS[[#All],[Member Count with Truncated Claims]],AS[[#All],[Reporting Year]],2025,AS[[#All],[Insurance Category Code]],A127,AS[[#All],[Large Provider Entity Code]],100)</f>
        <v>0</v>
      </c>
      <c r="F127" s="178">
        <f>SUMIFS(AS[[#All],[Total Non-Truncated Claims Spending]],AS[[#All],[Reporting Year]],2024,AS[[#All],[Insurance Category Code]],A127,AS[[#All],[Large Provider Entity Code]],100)</f>
        <v>0</v>
      </c>
      <c r="G127" s="90">
        <f>SUMIFS(AS[[#All],[Total Non-Truncated Claims Spending]],AS[[#All],[Reporting Year]],2025,AS[[#All],[Insurance Category Code]],A127,AS[[#All],[Large Provider Entity Code]],100)</f>
        <v>0</v>
      </c>
      <c r="H127" s="178">
        <f>SUMIFS(AS[[#All],[Total Truncated Claims Spending]],AS[[#All],[Reporting Year]],2024,AS[[#All],[Insurance Category Code]],A127,AS[[#All],[Large Provider Entity Code]],100)</f>
        <v>0</v>
      </c>
      <c r="I127" s="90">
        <f>SUMIFS(AS[[#All],[Total Truncated Claims Spending]],AS[[#All],[Reporting Year]],2025,AS[[#All],[Insurance Category Code]],A127,AS[[#All],[Large Provider Entity Code]],100)</f>
        <v>0</v>
      </c>
      <c r="J127" s="89">
        <f>SUMIFS(AS[[#All],[Member Months]],AS[[#All],[Reporting Year]],2024,AS[[#All],[Insurance Category Code]],A127,AS[[#All],[Large Provider Entity Code]],100,AS[[#All],[Sex Code]],1)</f>
        <v>0</v>
      </c>
      <c r="K127" s="285">
        <f>SUMIFS(AS[[#All],[Member Months]],AS[[#All],[Reporting Year]],2025,AS[[#All],[Insurance Category Code]],A127,AS[[#All],[Large Provider Entity Code]],100,AS[[#All],[Sex Code]],1)</f>
        <v>0</v>
      </c>
      <c r="L127" s="89">
        <f>SUMIFS(AS[[#All],[Member Months]],AS[[#All],[Reporting Year]],2024,AS[[#All],[Insurance Category Code]],A127,AS[[#All],[Large Provider Entity Code]],100,AS[[#All],[Sex Code]],2)</f>
        <v>0</v>
      </c>
      <c r="M127" s="8">
        <f>SUMIFS(AS[[#All],[Member Months]],AS[[#All],[Reporting Year]],2025,AS[[#All],[Insurance Category Code]],A127,AS[[#All],[Large Provider Entity Code]],100,AS[[#All],[Sex Code]],2)</f>
        <v>0</v>
      </c>
      <c r="N127" s="178">
        <f>SUMIFS(AS[[#All],[Claims Amount Excluded Due to Truncation]],AS[[#All],[Reporting Year]],2024,AS[[#All],[Insurance Category Code]],A127,AS[[#All],[Large Provider Entity Code]],100)</f>
        <v>0</v>
      </c>
      <c r="O127" s="90">
        <f>SUMIFS(AS[[#All],[Claims Amount Excluded Due to Truncation]],AS[[#All],[Reporting Year]],2025,AS[[#All],[Insurance Category Code]],A127,AS[[#All],[Large Provider Entity Code]],100)</f>
        <v>0</v>
      </c>
      <c r="P127"/>
      <c r="Q127"/>
      <c r="R127"/>
      <c r="S127"/>
      <c r="T127"/>
      <c r="U127"/>
      <c r="V127"/>
      <c r="W127"/>
      <c r="X127"/>
      <c r="Y127"/>
      <c r="Z127"/>
      <c r="AA127"/>
      <c r="AB127"/>
      <c r="AC127"/>
    </row>
    <row r="128" spans="1:29" x14ac:dyDescent="0.4">
      <c r="A128" s="47">
        <v>5</v>
      </c>
      <c r="B128" s="89">
        <f>SUMIFS(AS[[#All],[Member Months]],AS[[#All],[Reporting Year]],2024,AS[[#All],[Insurance Category Code]],A128,AS[[#All],[Large Provider Entity Code]],100)</f>
        <v>0</v>
      </c>
      <c r="C128" s="285">
        <f>SUMIFS(AS[[#All],[Member Months]],AS[[#All],[Reporting Year]],2025,AS[[#All],[Insurance Category Code]],A128,AS[[#All],[Large Provider Entity Code]],100)</f>
        <v>0</v>
      </c>
      <c r="D128" s="89">
        <f>SUMIFS(AS[[#All],[Member Count with Truncated Claims]],AS[[#All],[Reporting Year]],2024,AS[[#All],[Insurance Category Code]],A128,AS[[#All],[Large Provider Entity Code]],100)</f>
        <v>0</v>
      </c>
      <c r="E128" s="285">
        <f>SUMIFS(AS[[#All],[Member Count with Truncated Claims]],AS[[#All],[Reporting Year]],2025,AS[[#All],[Insurance Category Code]],A128,AS[[#All],[Large Provider Entity Code]],100)</f>
        <v>0</v>
      </c>
      <c r="F128" s="178">
        <f>SUMIFS(AS[[#All],[Total Non-Truncated Claims Spending]],AS[[#All],[Reporting Year]],2024,AS[[#All],[Insurance Category Code]],A128,AS[[#All],[Large Provider Entity Code]],100)</f>
        <v>0</v>
      </c>
      <c r="G128" s="90">
        <f>SUMIFS(AS[[#All],[Total Non-Truncated Claims Spending]],AS[[#All],[Reporting Year]],2025,AS[[#All],[Insurance Category Code]],A128,AS[[#All],[Large Provider Entity Code]],100)</f>
        <v>0</v>
      </c>
      <c r="H128" s="178">
        <f>SUMIFS(AS[[#All],[Total Truncated Claims Spending]],AS[[#All],[Reporting Year]],2024,AS[[#All],[Insurance Category Code]],A128,AS[[#All],[Large Provider Entity Code]],100)</f>
        <v>0</v>
      </c>
      <c r="I128" s="90">
        <f>SUMIFS(AS[[#All],[Total Truncated Claims Spending]],AS[[#All],[Reporting Year]],2025,AS[[#All],[Insurance Category Code]],A128,AS[[#All],[Large Provider Entity Code]],100)</f>
        <v>0</v>
      </c>
      <c r="J128" s="89">
        <f>SUMIFS(AS[[#All],[Member Months]],AS[[#All],[Reporting Year]],2024,AS[[#All],[Insurance Category Code]],A128,AS[[#All],[Large Provider Entity Code]],100,AS[[#All],[Sex Code]],1)</f>
        <v>0</v>
      </c>
      <c r="K128" s="285">
        <f>SUMIFS(AS[[#All],[Member Months]],AS[[#All],[Reporting Year]],2025,AS[[#All],[Insurance Category Code]],A128,AS[[#All],[Large Provider Entity Code]],100,AS[[#All],[Sex Code]],1)</f>
        <v>0</v>
      </c>
      <c r="L128" s="89">
        <f>SUMIFS(AS[[#All],[Member Months]],AS[[#All],[Reporting Year]],2024,AS[[#All],[Insurance Category Code]],A128,AS[[#All],[Large Provider Entity Code]],100,AS[[#All],[Sex Code]],2)</f>
        <v>0</v>
      </c>
      <c r="M128" s="8">
        <f>SUMIFS(AS[[#All],[Member Months]],AS[[#All],[Reporting Year]],2025,AS[[#All],[Insurance Category Code]],A128,AS[[#All],[Large Provider Entity Code]],100,AS[[#All],[Sex Code]],2)</f>
        <v>0</v>
      </c>
      <c r="N128" s="178">
        <f>SUMIFS(AS[[#All],[Claims Amount Excluded Due to Truncation]],AS[[#All],[Reporting Year]],2024,AS[[#All],[Insurance Category Code]],A128,AS[[#All],[Large Provider Entity Code]],100)</f>
        <v>0</v>
      </c>
      <c r="O128" s="90">
        <f>SUMIFS(AS[[#All],[Claims Amount Excluded Due to Truncation]],AS[[#All],[Reporting Year]],2025,AS[[#All],[Insurance Category Code]],A128,AS[[#All],[Large Provider Entity Code]],100)</f>
        <v>0</v>
      </c>
      <c r="P128"/>
      <c r="Q128"/>
      <c r="R128"/>
      <c r="S128"/>
      <c r="T128"/>
      <c r="U128"/>
      <c r="V128"/>
      <c r="W128"/>
      <c r="X128"/>
      <c r="Y128"/>
      <c r="Z128"/>
      <c r="AA128"/>
      <c r="AB128"/>
      <c r="AC128"/>
    </row>
    <row r="129" spans="1:51" x14ac:dyDescent="0.4">
      <c r="A129" s="47">
        <v>6</v>
      </c>
      <c r="B129" s="89">
        <f>SUMIFS(AS[[#All],[Member Months]],AS[[#All],[Reporting Year]],2024,AS[[#All],[Insurance Category Code]],A129,AS[[#All],[Large Provider Entity Code]],100)</f>
        <v>0</v>
      </c>
      <c r="C129" s="285">
        <f>SUMIFS(AS[[#All],[Member Months]],AS[[#All],[Reporting Year]],2025,AS[[#All],[Insurance Category Code]],A129,AS[[#All],[Large Provider Entity Code]],100)</f>
        <v>0</v>
      </c>
      <c r="D129" s="89">
        <f>SUMIFS(AS[[#All],[Member Count with Truncated Claims]],AS[[#All],[Reporting Year]],2024,AS[[#All],[Insurance Category Code]],A129,AS[[#All],[Large Provider Entity Code]],100)</f>
        <v>0</v>
      </c>
      <c r="E129" s="285">
        <f>SUMIFS(AS[[#All],[Member Count with Truncated Claims]],AS[[#All],[Reporting Year]],2025,AS[[#All],[Insurance Category Code]],A129,AS[[#All],[Large Provider Entity Code]],100)</f>
        <v>0</v>
      </c>
      <c r="F129" s="178">
        <f>SUMIFS(AS[[#All],[Total Non-Truncated Claims Spending]],AS[[#All],[Reporting Year]],2024,AS[[#All],[Insurance Category Code]],A129,AS[[#All],[Large Provider Entity Code]],100)</f>
        <v>0</v>
      </c>
      <c r="G129" s="90">
        <f>SUMIFS(AS[[#All],[Total Non-Truncated Claims Spending]],AS[[#All],[Reporting Year]],2025,AS[[#All],[Insurance Category Code]],A129,AS[[#All],[Large Provider Entity Code]],100)</f>
        <v>0</v>
      </c>
      <c r="H129" s="178">
        <f>SUMIFS(AS[[#All],[Total Truncated Claims Spending]],AS[[#All],[Reporting Year]],2024,AS[[#All],[Insurance Category Code]],A129,AS[[#All],[Large Provider Entity Code]],100)</f>
        <v>0</v>
      </c>
      <c r="I129" s="90">
        <f>SUMIFS(AS[[#All],[Total Truncated Claims Spending]],AS[[#All],[Reporting Year]],2025,AS[[#All],[Insurance Category Code]],A129,AS[[#All],[Large Provider Entity Code]],100)</f>
        <v>0</v>
      </c>
      <c r="J129" s="89">
        <f>SUMIFS(AS[[#All],[Member Months]],AS[[#All],[Reporting Year]],2024,AS[[#All],[Insurance Category Code]],A129,AS[[#All],[Large Provider Entity Code]],100,AS[[#All],[Sex Code]],1)</f>
        <v>0</v>
      </c>
      <c r="K129" s="285">
        <f>SUMIFS(AS[[#All],[Member Months]],AS[[#All],[Reporting Year]],2025,AS[[#All],[Insurance Category Code]],A129,AS[[#All],[Large Provider Entity Code]],100,AS[[#All],[Sex Code]],1)</f>
        <v>0</v>
      </c>
      <c r="L129" s="89">
        <f>SUMIFS(AS[[#All],[Member Months]],AS[[#All],[Reporting Year]],2024,AS[[#All],[Insurance Category Code]],A129,AS[[#All],[Large Provider Entity Code]],100,AS[[#All],[Sex Code]],2)</f>
        <v>0</v>
      </c>
      <c r="M129" s="8">
        <f>SUMIFS(AS[[#All],[Member Months]],AS[[#All],[Reporting Year]],2025,AS[[#All],[Insurance Category Code]],A129,AS[[#All],[Large Provider Entity Code]],100,AS[[#All],[Sex Code]],2)</f>
        <v>0</v>
      </c>
      <c r="N129" s="178">
        <f>SUMIFS(AS[[#All],[Claims Amount Excluded Due to Truncation]],AS[[#All],[Reporting Year]],2024,AS[[#All],[Insurance Category Code]],A129,AS[[#All],[Large Provider Entity Code]],100)</f>
        <v>0</v>
      </c>
      <c r="O129" s="90">
        <f>SUMIFS(AS[[#All],[Claims Amount Excluded Due to Truncation]],AS[[#All],[Reporting Year]],2025,AS[[#All],[Insurance Category Code]],A129,AS[[#All],[Large Provider Entity Code]],100)</f>
        <v>0</v>
      </c>
      <c r="P129"/>
      <c r="Q129"/>
      <c r="R129"/>
      <c r="S129"/>
      <c r="T129"/>
      <c r="U129"/>
      <c r="V129"/>
      <c r="W129"/>
      <c r="X129"/>
      <c r="Y129"/>
      <c r="Z129"/>
      <c r="AA129"/>
      <c r="AB129"/>
      <c r="AC129"/>
    </row>
    <row r="130" spans="1:51" x14ac:dyDescent="0.4">
      <c r="A130" s="47">
        <v>7</v>
      </c>
      <c r="B130" s="89">
        <f>SUMIFS(AS[[#All],[Member Months]],AS[[#All],[Reporting Year]],2024,AS[[#All],[Insurance Category Code]],A130,AS[[#All],[Large Provider Entity Code]],100)</f>
        <v>0</v>
      </c>
      <c r="C130" s="285">
        <f>SUMIFS(AS[[#All],[Member Months]],AS[[#All],[Reporting Year]],2025,AS[[#All],[Insurance Category Code]],A130,AS[[#All],[Large Provider Entity Code]],100)</f>
        <v>0</v>
      </c>
      <c r="D130" s="89">
        <f>SUMIFS(AS[[#All],[Member Count with Truncated Claims]],AS[[#All],[Reporting Year]],2024,AS[[#All],[Insurance Category Code]],A130,AS[[#All],[Large Provider Entity Code]],100)</f>
        <v>0</v>
      </c>
      <c r="E130" s="285">
        <f>SUMIFS(AS[[#All],[Member Count with Truncated Claims]],AS[[#All],[Reporting Year]],2025,AS[[#All],[Insurance Category Code]],A130,AS[[#All],[Large Provider Entity Code]],100)</f>
        <v>0</v>
      </c>
      <c r="F130" s="178">
        <f>SUMIFS(AS[[#All],[Total Non-Truncated Claims Spending]],AS[[#All],[Reporting Year]],2024,AS[[#All],[Insurance Category Code]],A130,AS[[#All],[Large Provider Entity Code]],100)</f>
        <v>0</v>
      </c>
      <c r="G130" s="90">
        <f>SUMIFS(AS[[#All],[Total Non-Truncated Claims Spending]],AS[[#All],[Reporting Year]],2025,AS[[#All],[Insurance Category Code]],A130,AS[[#All],[Large Provider Entity Code]],100)</f>
        <v>0</v>
      </c>
      <c r="H130" s="178">
        <f>SUMIFS(AS[[#All],[Total Truncated Claims Spending]],AS[[#All],[Reporting Year]],2024,AS[[#All],[Insurance Category Code]],A130,AS[[#All],[Large Provider Entity Code]],100)</f>
        <v>0</v>
      </c>
      <c r="I130" s="90">
        <f>SUMIFS(AS[[#All],[Total Truncated Claims Spending]],AS[[#All],[Reporting Year]],2025,AS[[#All],[Insurance Category Code]],A130,AS[[#All],[Large Provider Entity Code]],100)</f>
        <v>0</v>
      </c>
      <c r="J130" s="89">
        <f>SUMIFS(AS[[#All],[Member Months]],AS[[#All],[Reporting Year]],2024,AS[[#All],[Insurance Category Code]],A130,AS[[#All],[Large Provider Entity Code]],100,AS[[#All],[Sex Code]],1)</f>
        <v>0</v>
      </c>
      <c r="K130" s="285">
        <f>SUMIFS(AS[[#All],[Member Months]],AS[[#All],[Reporting Year]],2025,AS[[#All],[Insurance Category Code]],A130,AS[[#All],[Large Provider Entity Code]],100,AS[[#All],[Sex Code]],1)</f>
        <v>0</v>
      </c>
      <c r="L130" s="89">
        <f>SUMIFS(AS[[#All],[Member Months]],AS[[#All],[Reporting Year]],2024,AS[[#All],[Insurance Category Code]],A130,AS[[#All],[Large Provider Entity Code]],100,AS[[#All],[Sex Code]],2)</f>
        <v>0</v>
      </c>
      <c r="M130" s="8">
        <f>SUMIFS(AS[[#All],[Member Months]],AS[[#All],[Reporting Year]],2025,AS[[#All],[Insurance Category Code]],A130,AS[[#All],[Large Provider Entity Code]],100,AS[[#All],[Sex Code]],2)</f>
        <v>0</v>
      </c>
      <c r="N130" s="178">
        <f>SUMIFS(AS[[#All],[Claims Amount Excluded Due to Truncation]],AS[[#All],[Reporting Year]],2024,AS[[#All],[Insurance Category Code]],A130,AS[[#All],[Large Provider Entity Code]],100)</f>
        <v>0</v>
      </c>
      <c r="O130" s="90">
        <f>SUMIFS(AS[[#All],[Claims Amount Excluded Due to Truncation]],AS[[#All],[Reporting Year]],2025,AS[[#All],[Insurance Category Code]],A130,AS[[#All],[Large Provider Entity Code]],100)</f>
        <v>0</v>
      </c>
      <c r="P130"/>
      <c r="Q130"/>
      <c r="R130"/>
      <c r="S130"/>
      <c r="T130"/>
      <c r="U130"/>
      <c r="V130"/>
      <c r="W130"/>
      <c r="X130"/>
      <c r="Y130"/>
      <c r="Z130"/>
      <c r="AA130"/>
      <c r="AB130"/>
      <c r="AC130"/>
    </row>
    <row r="131" spans="1:51" x14ac:dyDescent="0.4">
      <c r="A131" s="287">
        <v>8</v>
      </c>
      <c r="B131" s="89">
        <f>SUMIFS(AS[[#All],[Member Months]],AS[[#All],[Reporting Year]],2024,AS[[#All],[Insurance Category Code]],A131,AS[[#All],[Large Provider Entity Code]],100)</f>
        <v>0</v>
      </c>
      <c r="C131" s="285">
        <f>SUMIFS(AS[[#All],[Member Months]],AS[[#All],[Reporting Year]],2025,AS[[#All],[Insurance Category Code]],A131,AS[[#All],[Large Provider Entity Code]],100)</f>
        <v>0</v>
      </c>
      <c r="D131" s="89">
        <f>SUMIFS(AS[[#All],[Member Count with Truncated Claims]],AS[[#All],[Reporting Year]],2024,AS[[#All],[Insurance Category Code]],A131,AS[[#All],[Large Provider Entity Code]],100)</f>
        <v>0</v>
      </c>
      <c r="E131" s="285">
        <f>SUMIFS(AS[[#All],[Member Count with Truncated Claims]],AS[[#All],[Reporting Year]],2025,AS[[#All],[Insurance Category Code]],A131,AS[[#All],[Large Provider Entity Code]],100)</f>
        <v>0</v>
      </c>
      <c r="F131" s="178">
        <f>SUMIFS(AS[[#All],[Total Non-Truncated Claims Spending]],AS[[#All],[Reporting Year]],2024,AS[[#All],[Insurance Category Code]],A131,AS[[#All],[Large Provider Entity Code]],100)</f>
        <v>0</v>
      </c>
      <c r="G131" s="90">
        <f>SUMIFS(AS[[#All],[Total Non-Truncated Claims Spending]],AS[[#All],[Reporting Year]],2025,AS[[#All],[Insurance Category Code]],A131,AS[[#All],[Large Provider Entity Code]],100)</f>
        <v>0</v>
      </c>
      <c r="H131" s="178">
        <f>SUMIFS(AS[[#All],[Total Truncated Claims Spending]],AS[[#All],[Reporting Year]],2024,AS[[#All],[Insurance Category Code]],A131,AS[[#All],[Large Provider Entity Code]],100)</f>
        <v>0</v>
      </c>
      <c r="I131" s="90">
        <f>SUMIFS(AS[[#All],[Total Truncated Claims Spending]],AS[[#All],[Reporting Year]],2025,AS[[#All],[Insurance Category Code]],A131,AS[[#All],[Large Provider Entity Code]],100)</f>
        <v>0</v>
      </c>
      <c r="J131" s="89">
        <f>SUMIFS(AS[[#All],[Member Months]],AS[[#All],[Reporting Year]],2024,AS[[#All],[Insurance Category Code]],A131,AS[[#All],[Large Provider Entity Code]],100,AS[[#All],[Sex Code]],1)</f>
        <v>0</v>
      </c>
      <c r="K131" s="285">
        <f>SUMIFS(AS[[#All],[Member Months]],AS[[#All],[Reporting Year]],2025,AS[[#All],[Insurance Category Code]],A131,AS[[#All],[Large Provider Entity Code]],100,AS[[#All],[Sex Code]],1)</f>
        <v>0</v>
      </c>
      <c r="L131" s="89">
        <f>SUMIFS(AS[[#All],[Member Months]],AS[[#All],[Reporting Year]],2024,AS[[#All],[Insurance Category Code]],A131,AS[[#All],[Large Provider Entity Code]],100,AS[[#All],[Sex Code]],2)</f>
        <v>0</v>
      </c>
      <c r="M131" s="8">
        <f>SUMIFS(AS[[#All],[Member Months]],AS[[#All],[Reporting Year]],2025,AS[[#All],[Insurance Category Code]],A131,AS[[#All],[Large Provider Entity Code]],100,AS[[#All],[Sex Code]],2)</f>
        <v>0</v>
      </c>
      <c r="N131" s="178">
        <f>SUMIFS(AS[[#All],[Claims Amount Excluded Due to Truncation]],AS[[#All],[Reporting Year]],2024,AS[[#All],[Insurance Category Code]],A131,AS[[#All],[Large Provider Entity Code]],100)</f>
        <v>0</v>
      </c>
      <c r="O131" s="90">
        <f>SUMIFS(AS[[#All],[Claims Amount Excluded Due to Truncation]],AS[[#All],[Reporting Year]],2025,AS[[#All],[Insurance Category Code]],A131,AS[[#All],[Large Provider Entity Code]],100)</f>
        <v>0</v>
      </c>
      <c r="P131"/>
      <c r="Q131"/>
      <c r="R131"/>
      <c r="S131"/>
      <c r="T131"/>
      <c r="U131"/>
      <c r="V131"/>
      <c r="W131"/>
      <c r="X131"/>
      <c r="Y131"/>
      <c r="Z131"/>
      <c r="AA131"/>
      <c r="AB131"/>
      <c r="AC131"/>
    </row>
    <row r="132" spans="1:51" x14ac:dyDescent="0.4">
      <c r="A132" s="1"/>
      <c r="B132" s="108"/>
      <c r="C132" s="108"/>
      <c r="D132" s="108"/>
      <c r="E132" s="108"/>
      <c r="F132" s="109"/>
      <c r="G132" s="109"/>
      <c r="H132" s="109"/>
      <c r="I132" s="109"/>
      <c r="J132" s="108"/>
      <c r="K132" s="108"/>
      <c r="L132" s="108"/>
      <c r="M132" s="108"/>
      <c r="N132" s="108"/>
      <c r="O132" s="108"/>
      <c r="P132" s="108"/>
      <c r="Q132" s="108"/>
      <c r="R132" s="108"/>
      <c r="S132" s="108"/>
      <c r="T132" s="108"/>
      <c r="U132" s="108"/>
      <c r="V132" s="108"/>
      <c r="W132" s="108"/>
      <c r="X132" s="108"/>
      <c r="Y132" s="108"/>
      <c r="Z132" s="108"/>
      <c r="AA132" s="108"/>
      <c r="AB132" s="108"/>
      <c r="AC132" s="108"/>
      <c r="AD132" s="177"/>
      <c r="AE132" s="177"/>
      <c r="AF132" s="177"/>
      <c r="AG132" s="177"/>
      <c r="AH132" s="288"/>
      <c r="AI132" s="288"/>
      <c r="AJ132" s="288"/>
      <c r="AK132" s="288"/>
      <c r="AL132" s="177"/>
      <c r="AM132" s="177"/>
      <c r="AN132" s="177"/>
      <c r="AO132" s="177"/>
      <c r="AP132" s="177"/>
      <c r="AQ132" s="177"/>
      <c r="AR132" s="177"/>
      <c r="AS132" s="177"/>
      <c r="AT132" s="177"/>
      <c r="AU132" s="177"/>
      <c r="AV132" s="177"/>
      <c r="AW132" s="177"/>
      <c r="AX132" s="177"/>
      <c r="AY132" s="177"/>
    </row>
    <row r="133" spans="1:51" x14ac:dyDescent="0.4">
      <c r="A133"/>
      <c r="B133"/>
      <c r="C133"/>
      <c r="D133"/>
      <c r="E133"/>
      <c r="F133"/>
      <c r="G133"/>
      <c r="H133"/>
      <c r="I133"/>
      <c r="J133"/>
      <c r="K133"/>
      <c r="L133"/>
      <c r="M133"/>
      <c r="N133"/>
      <c r="O133"/>
      <c r="P133"/>
      <c r="Q133"/>
      <c r="R133"/>
      <c r="S133"/>
      <c r="T133"/>
      <c r="U133"/>
      <c r="V133"/>
      <c r="W133"/>
      <c r="X133"/>
      <c r="Y133"/>
      <c r="Z133"/>
      <c r="AA133"/>
      <c r="AB133"/>
      <c r="AC133"/>
    </row>
    <row r="134" spans="1:51" x14ac:dyDescent="0.4">
      <c r="A134" s="4" t="s">
        <v>419</v>
      </c>
      <c r="B134"/>
      <c r="C134"/>
      <c r="D134"/>
      <c r="E134"/>
      <c r="F134"/>
      <c r="G134"/>
      <c r="H134"/>
      <c r="I134"/>
      <c r="J134"/>
      <c r="K134"/>
      <c r="L134" s="143"/>
      <c r="M134" s="143"/>
      <c r="N134"/>
      <c r="O134"/>
      <c r="P134"/>
      <c r="Q134"/>
      <c r="R134"/>
      <c r="S134"/>
      <c r="T134"/>
      <c r="U134"/>
      <c r="V134"/>
      <c r="W134"/>
      <c r="X134"/>
      <c r="Y134"/>
      <c r="Z134"/>
      <c r="AA134"/>
      <c r="AB134"/>
      <c r="AC134"/>
    </row>
    <row r="135" spans="1:51" ht="17.399999999999999" thickBot="1" x14ac:dyDescent="0.45">
      <c r="A135" s="618" t="s">
        <v>56</v>
      </c>
      <c r="B135" s="191">
        <v>2024</v>
      </c>
      <c r="C135" s="192">
        <v>2025</v>
      </c>
      <c r="D135" s="191">
        <v>2024</v>
      </c>
      <c r="E135" s="192">
        <v>2025</v>
      </c>
      <c r="F135" s="191">
        <v>2024</v>
      </c>
      <c r="G135" s="192">
        <v>2025</v>
      </c>
      <c r="H135" s="191">
        <v>2024</v>
      </c>
      <c r="I135" s="192">
        <v>2025</v>
      </c>
      <c r="J135" s="191">
        <v>2024</v>
      </c>
      <c r="K135" s="192">
        <v>2025</v>
      </c>
      <c r="L135" s="191">
        <v>2024</v>
      </c>
      <c r="M135" s="192">
        <v>2025</v>
      </c>
      <c r="N135" s="191">
        <v>2024</v>
      </c>
      <c r="O135" s="192">
        <v>2025</v>
      </c>
      <c r="P135" s="191">
        <v>2024</v>
      </c>
      <c r="Q135" s="192">
        <v>2025</v>
      </c>
      <c r="R135" s="191">
        <v>2024</v>
      </c>
      <c r="S135" s="192">
        <v>2025</v>
      </c>
      <c r="T135" s="191">
        <v>2024</v>
      </c>
      <c r="U135" s="192">
        <v>2025</v>
      </c>
      <c r="V135" s="191">
        <v>2024</v>
      </c>
      <c r="W135" s="192">
        <v>2025</v>
      </c>
      <c r="X135" s="191">
        <v>2024</v>
      </c>
      <c r="Y135" s="193">
        <v>2025</v>
      </c>
      <c r="Z135"/>
      <c r="AA135"/>
      <c r="AB135"/>
      <c r="AC135"/>
    </row>
    <row r="136" spans="1:51" s="43" customFormat="1" ht="30" customHeight="1" x14ac:dyDescent="0.4">
      <c r="A136" s="633"/>
      <c r="B136" s="631" t="s">
        <v>420</v>
      </c>
      <c r="C136" s="634"/>
      <c r="D136" s="631" t="s">
        <v>421</v>
      </c>
      <c r="E136" s="634"/>
      <c r="F136" s="631" t="s">
        <v>422</v>
      </c>
      <c r="G136" s="634"/>
      <c r="H136" s="631" t="s">
        <v>423</v>
      </c>
      <c r="I136" s="634"/>
      <c r="J136" s="631" t="s">
        <v>424</v>
      </c>
      <c r="K136" s="634"/>
      <c r="L136" s="631" t="s">
        <v>425</v>
      </c>
      <c r="M136" s="634"/>
      <c r="N136" s="631" t="s">
        <v>426</v>
      </c>
      <c r="O136" s="634"/>
      <c r="P136" s="631" t="s">
        <v>427</v>
      </c>
      <c r="Q136" s="634"/>
      <c r="R136" s="631" t="s">
        <v>428</v>
      </c>
      <c r="S136" s="634"/>
      <c r="T136" s="631" t="s">
        <v>429</v>
      </c>
      <c r="U136" s="634"/>
      <c r="V136" s="631" t="s">
        <v>430</v>
      </c>
      <c r="W136" s="634"/>
      <c r="X136" s="631" t="s">
        <v>431</v>
      </c>
      <c r="Y136" s="632"/>
      <c r="Z136" s="42"/>
      <c r="AA136" s="42"/>
      <c r="AB136" s="42"/>
      <c r="AC136" s="42"/>
    </row>
    <row r="137" spans="1:51" x14ac:dyDescent="0.4">
      <c r="A137" s="47">
        <v>1</v>
      </c>
      <c r="B137" s="89">
        <f>SUMIFS(AS[[#All],[Member Months]],AS[[#All],[Reporting Year]],2024,AS[[#All],[Insurance Category Code]],A137,AS[[#All],[Large Provider Entity Code]],100,AS[[#All],[Age Band Code]],1)</f>
        <v>0</v>
      </c>
      <c r="C137" s="285">
        <f>SUMIFS(AS[[#All],[Member Months]],AS[[#All],[Reporting Year]],2025,AS[[#All],[Insurance Category Code]],A137,AS[[#All],[Large Provider Entity Code]],100,AS[[#All],[Age Band Code]],1)</f>
        <v>0</v>
      </c>
      <c r="D137" s="89">
        <f>SUMIFS(AS[[#All],[Member Months]],AS[[#All],[Reporting Year]],2024,AS[[#All],[Insurance Category Code]],A137,AS[[#All],[Large Provider Entity Code]],100,AS[[#All],[Age Band Code]],2)</f>
        <v>0</v>
      </c>
      <c r="E137" s="285">
        <f>SUMIFS(AS[[#All],[Member Months]],AS[[#All],[Reporting Year]],2025,AS[[#All],[Insurance Category Code]],A137,AS[[#All],[Large Provider Entity Code]],100,AS[[#All],[Age Band Code]],2)</f>
        <v>0</v>
      </c>
      <c r="F137" s="89">
        <f>SUMIFS(AS[[#All],[Member Months]],AS[[#All],[Reporting Year]],2024,AS[[#All],[Insurance Category Code]],A137,AS[[#All],[Large Provider Entity Code]],100,AS[[#All],[Age Band Code]],3)</f>
        <v>0</v>
      </c>
      <c r="G137" s="285">
        <f>SUMIFS(AS[[#All],[Member Months]],AS[[#All],[Reporting Year]],2025,AS[[#All],[Insurance Category Code]],A137,AS[[#All],[Large Provider Entity Code]],100,AS[[#All],[Age Band Code]],3)</f>
        <v>0</v>
      </c>
      <c r="H137" s="89">
        <f>SUMIFS(AS[[#All],[Member Months]],AS[[#All],[Reporting Year]],2024,AS[[#All],[Insurance Category Code]],A137,AS[[#All],[Large Provider Entity Code]],100,AS[[#All],[Age Band Code]],3,AS[[#All],[Sex Code]],1)</f>
        <v>0</v>
      </c>
      <c r="I137" s="285">
        <f>SUMIFS(AS[[#All],[Member Months]],AS[[#All],[Reporting Year]],2025,AS[[#All],[Insurance Category Code]],A137,AS[[#All],[Large Provider Entity Code]],100,AS[[#All],[Age Band Code]],3,AS[[#All],[Sex Code]],1)</f>
        <v>0</v>
      </c>
      <c r="J137" s="89">
        <f>SUMIFS(AS[[#All],[Member Months]],AS[[#All],[Reporting Year]],2024,AS[[#All],[Insurance Category Code]],A137,AS[[#All],[Large Provider Entity Code]],100,AS[[#All],[Age Band Code]],3,AS[[#All],[Sex Code]],2)</f>
        <v>0</v>
      </c>
      <c r="K137" s="285">
        <f>SUMIFS(AS[[#All],[Member Months]],AS[[#All],[Reporting Year]],2025,AS[[#All],[Insurance Category Code]],A137,AS[[#All],[Large Provider Entity Code]],100,AS[[#All],[Age Band Code]],3,AS[[#All],[Sex Code]],2)</f>
        <v>0</v>
      </c>
      <c r="L137" s="89">
        <f>SUMIFS(AS[[#All],[Member Months]],AS[[#All],[Reporting Year]],2024,AS[[#All],[Insurance Category Code]],A137,AS[[#All],[Large Provider Entity Code]],100,AS[[#All],[Age Band Code]],4)</f>
        <v>0</v>
      </c>
      <c r="M137" s="285">
        <f>SUMIFS(AS[[#All],[Member Months]],AS[[#All],[Reporting Year]],2025,AS[[#All],[Insurance Category Code]],A137,AS[[#All],[Large Provider Entity Code]],100,AS[[#All],[Age Band Code]],4)</f>
        <v>0</v>
      </c>
      <c r="N137" s="89">
        <f>SUMIFS(AS[[#All],[Member Months]],AS[[#All],[Reporting Year]],2024,AS[[#All],[Insurance Category Code]],A137,AS[[#All],[Large Provider Entity Code]],100,AS[[#All],[Age Band Code]],5)</f>
        <v>0</v>
      </c>
      <c r="O137" s="285">
        <f>SUMIFS(AS[[#All],[Member Months]],AS[[#All],[Reporting Year]],2025,AS[[#All],[Insurance Category Code]],A137,AS[[#All],[Large Provider Entity Code]],100,AS[[#All],[Age Band Code]],5)</f>
        <v>0</v>
      </c>
      <c r="P137" s="89">
        <f>SUMIFS(AS[[#All],[Member Months]],AS[[#All],[Reporting Year]],2024,AS[[#All],[Insurance Category Code]],A137,AS[[#All],[Large Provider Entity Code]],100,AS[[#All],[Age Band Code]],6)</f>
        <v>0</v>
      </c>
      <c r="Q137" s="285">
        <f>SUMIFS(AS[[#All],[Member Months]],AS[[#All],[Reporting Year]],2025,AS[[#All],[Insurance Category Code]],A137,AS[[#All],[Large Provider Entity Code]],100,AS[[#All],[Age Band Code]],6)</f>
        <v>0</v>
      </c>
      <c r="R137" s="89">
        <f>SUMIFS(AS[[#All],[Member Months]],AS[[#All],[Reporting Year]],2024,AS[[#All],[Insurance Category Code]],A137,AS[[#All],[Large Provider Entity Code]],100,AS[[#All],[Age Band Code]],7)</f>
        <v>0</v>
      </c>
      <c r="S137" s="285">
        <f>SUMIFS(AS[[#All],[Member Months]],AS[[#All],[Reporting Year]],2025,AS[[#All],[Insurance Category Code]],A137,AS[[#All],[Large Provider Entity Code]],100,AS[[#All],[Age Band Code]],7)</f>
        <v>0</v>
      </c>
      <c r="T137" s="89">
        <f>SUMIFS(AS[[#All],[Member Months]],AS[[#All],[Reporting Year]],2024,AS[[#All],[Insurance Category Code]],A137,AS[[#All],[Large Provider Entity Code]],100,AS[[#All],[Age Band Code]],8)</f>
        <v>0</v>
      </c>
      <c r="U137" s="285">
        <f>SUMIFS(AS[[#All],[Member Months]],AS[[#All],[Reporting Year]],2025,AS[[#All],[Insurance Category Code]],A137,AS[[#All],[Large Provider Entity Code]],100,AS[[#All],[Age Band Code]],8)</f>
        <v>0</v>
      </c>
      <c r="V137" s="89">
        <f t="shared" ref="V137:V144" si="47">(B137+D137+F137+L137+N137)</f>
        <v>0</v>
      </c>
      <c r="W137" s="285">
        <f t="shared" ref="W137:W144" si="48">C137+E137+G137+M137+O137</f>
        <v>0</v>
      </c>
      <c r="X137" s="89">
        <f>(P137+R137+T137)</f>
        <v>0</v>
      </c>
      <c r="Y137" s="8">
        <f>(Q137+S137+U137)</f>
        <v>0</v>
      </c>
      <c r="Z137"/>
      <c r="AA137"/>
      <c r="AB137"/>
      <c r="AC137"/>
    </row>
    <row r="138" spans="1:51" x14ac:dyDescent="0.4">
      <c r="A138" s="47">
        <v>2</v>
      </c>
      <c r="B138" s="89">
        <f>SUMIFS(AS[[#All],[Member Months]],AS[[#All],[Reporting Year]],2024,AS[[#All],[Insurance Category Code]],A138,AS[[#All],[Large Provider Entity Code]],100,AS[[#All],[Age Band Code]],1)</f>
        <v>0</v>
      </c>
      <c r="C138" s="285">
        <f>SUMIFS(AS[[#All],[Member Months]],AS[[#All],[Reporting Year]],2025,AS[[#All],[Insurance Category Code]],A138,AS[[#All],[Large Provider Entity Code]],100,AS[[#All],[Age Band Code]],1)</f>
        <v>0</v>
      </c>
      <c r="D138" s="89">
        <f>SUMIFS(AS[[#All],[Member Months]],AS[[#All],[Reporting Year]],2024,AS[[#All],[Insurance Category Code]],A138,AS[[#All],[Large Provider Entity Code]],100,AS[[#All],[Age Band Code]],2)</f>
        <v>0</v>
      </c>
      <c r="E138" s="285">
        <f>SUMIFS(AS[[#All],[Member Months]],AS[[#All],[Reporting Year]],2025,AS[[#All],[Insurance Category Code]],A138,AS[[#All],[Large Provider Entity Code]],100,AS[[#All],[Age Band Code]],2)</f>
        <v>0</v>
      </c>
      <c r="F138" s="89">
        <f>SUMIFS(AS[[#All],[Member Months]],AS[[#All],[Reporting Year]],2024,AS[[#All],[Insurance Category Code]],A138,AS[[#All],[Large Provider Entity Code]],100,AS[[#All],[Age Band Code]],3)</f>
        <v>0</v>
      </c>
      <c r="G138" s="285">
        <f>SUMIFS(AS[[#All],[Member Months]],AS[[#All],[Reporting Year]],2025,AS[[#All],[Insurance Category Code]],A138,AS[[#All],[Large Provider Entity Code]],100,AS[[#All],[Age Band Code]],3)</f>
        <v>0</v>
      </c>
      <c r="H138" s="89">
        <f>SUMIFS(AS[[#All],[Member Months]],AS[[#All],[Reporting Year]],2024,AS[[#All],[Insurance Category Code]],A138,AS[[#All],[Large Provider Entity Code]],100,AS[[#All],[Age Band Code]],3,AS[[#All],[Sex Code]],1)</f>
        <v>0</v>
      </c>
      <c r="I138" s="285">
        <f>SUMIFS(AS[[#All],[Member Months]],AS[[#All],[Reporting Year]],2025,AS[[#All],[Insurance Category Code]],A138,AS[[#All],[Large Provider Entity Code]],100,AS[[#All],[Age Band Code]],3,AS[[#All],[Sex Code]],1)</f>
        <v>0</v>
      </c>
      <c r="J138" s="89">
        <f>SUMIFS(AS[[#All],[Member Months]],AS[[#All],[Reporting Year]],2024,AS[[#All],[Insurance Category Code]],A138,AS[[#All],[Large Provider Entity Code]],100,AS[[#All],[Age Band Code]],3,AS[[#All],[Sex Code]],2)</f>
        <v>0</v>
      </c>
      <c r="K138" s="285">
        <f>SUMIFS(AS[[#All],[Member Months]],AS[[#All],[Reporting Year]],2025,AS[[#All],[Insurance Category Code]],A138,AS[[#All],[Large Provider Entity Code]],100,AS[[#All],[Age Band Code]],3,AS[[#All],[Sex Code]],2)</f>
        <v>0</v>
      </c>
      <c r="L138" s="89">
        <f>SUMIFS(AS[[#All],[Member Months]],AS[[#All],[Reporting Year]],2024,AS[[#All],[Insurance Category Code]],A138,AS[[#All],[Large Provider Entity Code]],100,AS[[#All],[Age Band Code]],4)</f>
        <v>0</v>
      </c>
      <c r="M138" s="285">
        <f>SUMIFS(AS[[#All],[Member Months]],AS[[#All],[Reporting Year]],2025,AS[[#All],[Insurance Category Code]],A138,AS[[#All],[Large Provider Entity Code]],100,AS[[#All],[Age Band Code]],4)</f>
        <v>0</v>
      </c>
      <c r="N138" s="89">
        <f>SUMIFS(AS[[#All],[Member Months]],AS[[#All],[Reporting Year]],2024,AS[[#All],[Insurance Category Code]],A138,AS[[#All],[Large Provider Entity Code]],100,AS[[#All],[Age Band Code]],5)</f>
        <v>0</v>
      </c>
      <c r="O138" s="285">
        <f>SUMIFS(AS[[#All],[Member Months]],AS[[#All],[Reporting Year]],2025,AS[[#All],[Insurance Category Code]],A138,AS[[#All],[Large Provider Entity Code]],100,AS[[#All],[Age Band Code]],5)</f>
        <v>0</v>
      </c>
      <c r="P138" s="89">
        <f>SUMIFS(AS[[#All],[Member Months]],AS[[#All],[Reporting Year]],2024,AS[[#All],[Insurance Category Code]],A138,AS[[#All],[Large Provider Entity Code]],100,AS[[#All],[Age Band Code]],6)</f>
        <v>0</v>
      </c>
      <c r="Q138" s="285">
        <f>SUMIFS(AS[[#All],[Member Months]],AS[[#All],[Reporting Year]],2025,AS[[#All],[Insurance Category Code]],A138,AS[[#All],[Large Provider Entity Code]],100,AS[[#All],[Age Band Code]],6)</f>
        <v>0</v>
      </c>
      <c r="R138" s="89">
        <f>SUMIFS(AS[[#All],[Member Months]],AS[[#All],[Reporting Year]],2024,AS[[#All],[Insurance Category Code]],A138,AS[[#All],[Large Provider Entity Code]],100,AS[[#All],[Age Band Code]],7)</f>
        <v>0</v>
      </c>
      <c r="S138" s="285">
        <f>SUMIFS(AS[[#All],[Member Months]],AS[[#All],[Reporting Year]],2025,AS[[#All],[Insurance Category Code]],A138,AS[[#All],[Large Provider Entity Code]],100,AS[[#All],[Age Band Code]],7)</f>
        <v>0</v>
      </c>
      <c r="T138" s="89">
        <f>SUMIFS(AS[[#All],[Member Months]],AS[[#All],[Reporting Year]],2024,AS[[#All],[Insurance Category Code]],A138,AS[[#All],[Large Provider Entity Code]],100,AS[[#All],[Age Band Code]],8)</f>
        <v>0</v>
      </c>
      <c r="U138" s="285">
        <f>SUMIFS(AS[[#All],[Member Months]],AS[[#All],[Reporting Year]],2025,AS[[#All],[Insurance Category Code]],A138,AS[[#All],[Large Provider Entity Code]],100,AS[[#All],[Age Band Code]],8)</f>
        <v>0</v>
      </c>
      <c r="V138" s="89">
        <f t="shared" si="47"/>
        <v>0</v>
      </c>
      <c r="W138" s="285">
        <f t="shared" si="48"/>
        <v>0</v>
      </c>
      <c r="X138" s="89">
        <f t="shared" ref="X138:Y144" si="49">(P138+R138+T138)</f>
        <v>0</v>
      </c>
      <c r="Y138" s="8">
        <f t="shared" si="49"/>
        <v>0</v>
      </c>
      <c r="Z138"/>
      <c r="AA138"/>
      <c r="AB138"/>
      <c r="AC138"/>
    </row>
    <row r="139" spans="1:51" x14ac:dyDescent="0.4">
      <c r="A139" s="47">
        <v>3</v>
      </c>
      <c r="B139" s="89">
        <f>SUMIFS(AS[[#All],[Member Months]],AS[[#All],[Reporting Year]],2024,AS[[#All],[Insurance Category Code]],A139,AS[[#All],[Large Provider Entity Code]],100,AS[[#All],[Age Band Code]],1)</f>
        <v>0</v>
      </c>
      <c r="C139" s="285">
        <f>SUMIFS(AS[[#All],[Member Months]],AS[[#All],[Reporting Year]],2025,AS[[#All],[Insurance Category Code]],A139,AS[[#All],[Large Provider Entity Code]],100,AS[[#All],[Age Band Code]],1)</f>
        <v>0</v>
      </c>
      <c r="D139" s="89">
        <f>SUMIFS(AS[[#All],[Member Months]],AS[[#All],[Reporting Year]],2024,AS[[#All],[Insurance Category Code]],A139,AS[[#All],[Large Provider Entity Code]],100,AS[[#All],[Age Band Code]],2)</f>
        <v>0</v>
      </c>
      <c r="E139" s="285">
        <f>SUMIFS(AS[[#All],[Member Months]],AS[[#All],[Reporting Year]],2025,AS[[#All],[Insurance Category Code]],A139,AS[[#All],[Large Provider Entity Code]],100,AS[[#All],[Age Band Code]],2)</f>
        <v>0</v>
      </c>
      <c r="F139" s="89">
        <f>SUMIFS(AS[[#All],[Member Months]],AS[[#All],[Reporting Year]],2024,AS[[#All],[Insurance Category Code]],A139,AS[[#All],[Large Provider Entity Code]],100,AS[[#All],[Age Band Code]],3)</f>
        <v>0</v>
      </c>
      <c r="G139" s="285">
        <f>SUMIFS(AS[[#All],[Member Months]],AS[[#All],[Reporting Year]],2025,AS[[#All],[Insurance Category Code]],A139,AS[[#All],[Large Provider Entity Code]],100,AS[[#All],[Age Band Code]],3)</f>
        <v>0</v>
      </c>
      <c r="H139" s="89">
        <f>SUMIFS(AS[[#All],[Member Months]],AS[[#All],[Reporting Year]],2024,AS[[#All],[Insurance Category Code]],A139,AS[[#All],[Large Provider Entity Code]],100,AS[[#All],[Age Band Code]],3,AS[[#All],[Sex Code]],1)</f>
        <v>0</v>
      </c>
      <c r="I139" s="285">
        <f>SUMIFS(AS[[#All],[Member Months]],AS[[#All],[Reporting Year]],2025,AS[[#All],[Insurance Category Code]],A139,AS[[#All],[Large Provider Entity Code]],100,AS[[#All],[Age Band Code]],3,AS[[#All],[Sex Code]],1)</f>
        <v>0</v>
      </c>
      <c r="J139" s="89">
        <f>SUMIFS(AS[[#All],[Member Months]],AS[[#All],[Reporting Year]],2024,AS[[#All],[Insurance Category Code]],A139,AS[[#All],[Large Provider Entity Code]],100,AS[[#All],[Age Band Code]],3,AS[[#All],[Sex Code]],2)</f>
        <v>0</v>
      </c>
      <c r="K139" s="285">
        <f>SUMIFS(AS[[#All],[Member Months]],AS[[#All],[Reporting Year]],2025,AS[[#All],[Insurance Category Code]],A139,AS[[#All],[Large Provider Entity Code]],100,AS[[#All],[Age Band Code]],3,AS[[#All],[Sex Code]],2)</f>
        <v>0</v>
      </c>
      <c r="L139" s="89">
        <f>SUMIFS(AS[[#All],[Member Months]],AS[[#All],[Reporting Year]],2024,AS[[#All],[Insurance Category Code]],A139,AS[[#All],[Large Provider Entity Code]],100,AS[[#All],[Age Band Code]],4)</f>
        <v>0</v>
      </c>
      <c r="M139" s="285">
        <f>SUMIFS(AS[[#All],[Member Months]],AS[[#All],[Reporting Year]],2025,AS[[#All],[Insurance Category Code]],A139,AS[[#All],[Large Provider Entity Code]],100,AS[[#All],[Age Band Code]],4)</f>
        <v>0</v>
      </c>
      <c r="N139" s="89">
        <f>SUMIFS(AS[[#All],[Member Months]],AS[[#All],[Reporting Year]],2024,AS[[#All],[Insurance Category Code]],A139,AS[[#All],[Large Provider Entity Code]],100,AS[[#All],[Age Band Code]],5)</f>
        <v>0</v>
      </c>
      <c r="O139" s="285">
        <f>SUMIFS(AS[[#All],[Member Months]],AS[[#All],[Reporting Year]],2025,AS[[#All],[Insurance Category Code]],A139,AS[[#All],[Large Provider Entity Code]],100,AS[[#All],[Age Band Code]],5)</f>
        <v>0</v>
      </c>
      <c r="P139" s="89">
        <f>SUMIFS(AS[[#All],[Member Months]],AS[[#All],[Reporting Year]],2024,AS[[#All],[Insurance Category Code]],A139,AS[[#All],[Large Provider Entity Code]],100,AS[[#All],[Age Band Code]],6)</f>
        <v>0</v>
      </c>
      <c r="Q139" s="285">
        <f>SUMIFS(AS[[#All],[Member Months]],AS[[#All],[Reporting Year]],2025,AS[[#All],[Insurance Category Code]],A139,AS[[#All],[Large Provider Entity Code]],100,AS[[#All],[Age Band Code]],6)</f>
        <v>0</v>
      </c>
      <c r="R139" s="89">
        <f>SUMIFS(AS[[#All],[Member Months]],AS[[#All],[Reporting Year]],2024,AS[[#All],[Insurance Category Code]],A139,AS[[#All],[Large Provider Entity Code]],100,AS[[#All],[Age Band Code]],7)</f>
        <v>0</v>
      </c>
      <c r="S139" s="285">
        <f>SUMIFS(AS[[#All],[Member Months]],AS[[#All],[Reporting Year]],2025,AS[[#All],[Insurance Category Code]],A139,AS[[#All],[Large Provider Entity Code]],100,AS[[#All],[Age Band Code]],7)</f>
        <v>0</v>
      </c>
      <c r="T139" s="89">
        <f>SUMIFS(AS[[#All],[Member Months]],AS[[#All],[Reporting Year]],2024,AS[[#All],[Insurance Category Code]],A139,AS[[#All],[Large Provider Entity Code]],100,AS[[#All],[Age Band Code]],8)</f>
        <v>0</v>
      </c>
      <c r="U139" s="285">
        <f>SUMIFS(AS[[#All],[Member Months]],AS[[#All],[Reporting Year]],2025,AS[[#All],[Insurance Category Code]],A139,AS[[#All],[Large Provider Entity Code]],100,AS[[#All],[Age Band Code]],8)</f>
        <v>0</v>
      </c>
      <c r="V139" s="89">
        <f t="shared" si="47"/>
        <v>0</v>
      </c>
      <c r="W139" s="285">
        <f t="shared" si="48"/>
        <v>0</v>
      </c>
      <c r="X139" s="89">
        <f t="shared" si="49"/>
        <v>0</v>
      </c>
      <c r="Y139" s="8">
        <f t="shared" si="49"/>
        <v>0</v>
      </c>
      <c r="Z139"/>
      <c r="AA139"/>
      <c r="AB139"/>
      <c r="AC139"/>
    </row>
    <row r="140" spans="1:51" x14ac:dyDescent="0.4">
      <c r="A140" s="47">
        <v>4</v>
      </c>
      <c r="B140" s="89">
        <f>SUMIFS(AS[[#All],[Member Months]],AS[[#All],[Reporting Year]],2024,AS[[#All],[Insurance Category Code]],A140,AS[[#All],[Large Provider Entity Code]],100,AS[[#All],[Age Band Code]],1)</f>
        <v>0</v>
      </c>
      <c r="C140" s="285">
        <f>SUMIFS(AS[[#All],[Member Months]],AS[[#All],[Reporting Year]],2025,AS[[#All],[Insurance Category Code]],A140,AS[[#All],[Large Provider Entity Code]],100,AS[[#All],[Age Band Code]],1)</f>
        <v>0</v>
      </c>
      <c r="D140" s="89">
        <f>SUMIFS(AS[[#All],[Member Months]],AS[[#All],[Reporting Year]],2024,AS[[#All],[Insurance Category Code]],A140,AS[[#All],[Large Provider Entity Code]],100,AS[[#All],[Age Band Code]],2)</f>
        <v>0</v>
      </c>
      <c r="E140" s="285">
        <f>SUMIFS(AS[[#All],[Member Months]],AS[[#All],[Reporting Year]],2025,AS[[#All],[Insurance Category Code]],A140,AS[[#All],[Large Provider Entity Code]],100,AS[[#All],[Age Band Code]],2)</f>
        <v>0</v>
      </c>
      <c r="F140" s="89">
        <f>SUMIFS(AS[[#All],[Member Months]],AS[[#All],[Reporting Year]],2024,AS[[#All],[Insurance Category Code]],A140,AS[[#All],[Large Provider Entity Code]],100,AS[[#All],[Age Band Code]],3)</f>
        <v>0</v>
      </c>
      <c r="G140" s="285">
        <f>SUMIFS(AS[[#All],[Member Months]],AS[[#All],[Reporting Year]],2025,AS[[#All],[Insurance Category Code]],A140,AS[[#All],[Large Provider Entity Code]],100,AS[[#All],[Age Band Code]],3)</f>
        <v>0</v>
      </c>
      <c r="H140" s="89">
        <f>SUMIFS(AS[[#All],[Member Months]],AS[[#All],[Reporting Year]],2024,AS[[#All],[Insurance Category Code]],A140,AS[[#All],[Large Provider Entity Code]],100,AS[[#All],[Age Band Code]],3,AS[[#All],[Sex Code]],1)</f>
        <v>0</v>
      </c>
      <c r="I140" s="285">
        <f>SUMIFS(AS[[#All],[Member Months]],AS[[#All],[Reporting Year]],2025,AS[[#All],[Insurance Category Code]],A140,AS[[#All],[Large Provider Entity Code]],100,AS[[#All],[Age Band Code]],3,AS[[#All],[Sex Code]],1)</f>
        <v>0</v>
      </c>
      <c r="J140" s="89">
        <f>SUMIFS(AS[[#All],[Member Months]],AS[[#All],[Reporting Year]],2024,AS[[#All],[Insurance Category Code]],A140,AS[[#All],[Large Provider Entity Code]],100,AS[[#All],[Age Band Code]],3,AS[[#All],[Sex Code]],2)</f>
        <v>0</v>
      </c>
      <c r="K140" s="285">
        <f>SUMIFS(AS[[#All],[Member Months]],AS[[#All],[Reporting Year]],2025,AS[[#All],[Insurance Category Code]],A140,AS[[#All],[Large Provider Entity Code]],100,AS[[#All],[Age Band Code]],3,AS[[#All],[Sex Code]],2)</f>
        <v>0</v>
      </c>
      <c r="L140" s="89">
        <f>SUMIFS(AS[[#All],[Member Months]],AS[[#All],[Reporting Year]],2024,AS[[#All],[Insurance Category Code]],A140,AS[[#All],[Large Provider Entity Code]],100,AS[[#All],[Age Band Code]],4)</f>
        <v>0</v>
      </c>
      <c r="M140" s="285">
        <f>SUMIFS(AS[[#All],[Member Months]],AS[[#All],[Reporting Year]],2025,AS[[#All],[Insurance Category Code]],A140,AS[[#All],[Large Provider Entity Code]],100,AS[[#All],[Age Band Code]],4)</f>
        <v>0</v>
      </c>
      <c r="N140" s="89">
        <f>SUMIFS(AS[[#All],[Member Months]],AS[[#All],[Reporting Year]],2024,AS[[#All],[Insurance Category Code]],A140,AS[[#All],[Large Provider Entity Code]],100,AS[[#All],[Age Band Code]],5)</f>
        <v>0</v>
      </c>
      <c r="O140" s="285">
        <f>SUMIFS(AS[[#All],[Member Months]],AS[[#All],[Reporting Year]],2025,AS[[#All],[Insurance Category Code]],A140,AS[[#All],[Large Provider Entity Code]],100,AS[[#All],[Age Band Code]],5)</f>
        <v>0</v>
      </c>
      <c r="P140" s="89">
        <f>SUMIFS(AS[[#All],[Member Months]],AS[[#All],[Reporting Year]],2024,AS[[#All],[Insurance Category Code]],A140,AS[[#All],[Large Provider Entity Code]],100,AS[[#All],[Age Band Code]],6)</f>
        <v>0</v>
      </c>
      <c r="Q140" s="285">
        <f>SUMIFS(AS[[#All],[Member Months]],AS[[#All],[Reporting Year]],2025,AS[[#All],[Insurance Category Code]],A140,AS[[#All],[Large Provider Entity Code]],100,AS[[#All],[Age Band Code]],6)</f>
        <v>0</v>
      </c>
      <c r="R140" s="89">
        <f>SUMIFS(AS[[#All],[Member Months]],AS[[#All],[Reporting Year]],2024,AS[[#All],[Insurance Category Code]],A140,AS[[#All],[Large Provider Entity Code]],100,AS[[#All],[Age Band Code]],7)</f>
        <v>0</v>
      </c>
      <c r="S140" s="285">
        <f>SUMIFS(AS[[#All],[Member Months]],AS[[#All],[Reporting Year]],2025,AS[[#All],[Insurance Category Code]],A140,AS[[#All],[Large Provider Entity Code]],100,AS[[#All],[Age Band Code]],7)</f>
        <v>0</v>
      </c>
      <c r="T140" s="89">
        <f>SUMIFS(AS[[#All],[Member Months]],AS[[#All],[Reporting Year]],2024,AS[[#All],[Insurance Category Code]],A140,AS[[#All],[Large Provider Entity Code]],100,AS[[#All],[Age Band Code]],8)</f>
        <v>0</v>
      </c>
      <c r="U140" s="285">
        <f>SUMIFS(AS[[#All],[Member Months]],AS[[#All],[Reporting Year]],2025,AS[[#All],[Insurance Category Code]],A140,AS[[#All],[Large Provider Entity Code]],100,AS[[#All],[Age Band Code]],8)</f>
        <v>0</v>
      </c>
      <c r="V140" s="89">
        <f t="shared" si="47"/>
        <v>0</v>
      </c>
      <c r="W140" s="285">
        <f t="shared" si="48"/>
        <v>0</v>
      </c>
      <c r="X140" s="89">
        <f t="shared" si="49"/>
        <v>0</v>
      </c>
      <c r="Y140" s="8">
        <f t="shared" si="49"/>
        <v>0</v>
      </c>
      <c r="Z140"/>
      <c r="AA140"/>
      <c r="AB140"/>
      <c r="AC140"/>
    </row>
    <row r="141" spans="1:51" x14ac:dyDescent="0.4">
      <c r="A141" s="47">
        <v>5</v>
      </c>
      <c r="B141" s="89">
        <f>SUMIFS(AS[[#All],[Member Months]],AS[[#All],[Reporting Year]],2024,AS[[#All],[Insurance Category Code]],A141,AS[[#All],[Large Provider Entity Code]],100,AS[[#All],[Age Band Code]],1)</f>
        <v>0</v>
      </c>
      <c r="C141" s="285">
        <f>SUMIFS(AS[[#All],[Member Months]],AS[[#All],[Reporting Year]],2025,AS[[#All],[Insurance Category Code]],A141,AS[[#All],[Large Provider Entity Code]],100,AS[[#All],[Age Band Code]],1)</f>
        <v>0</v>
      </c>
      <c r="D141" s="89">
        <f>SUMIFS(AS[[#All],[Member Months]],AS[[#All],[Reporting Year]],2024,AS[[#All],[Insurance Category Code]],A141,AS[[#All],[Large Provider Entity Code]],100,AS[[#All],[Age Band Code]],2)</f>
        <v>0</v>
      </c>
      <c r="E141" s="285">
        <f>SUMIFS(AS[[#All],[Member Months]],AS[[#All],[Reporting Year]],2025,AS[[#All],[Insurance Category Code]],A141,AS[[#All],[Large Provider Entity Code]],100,AS[[#All],[Age Band Code]],2)</f>
        <v>0</v>
      </c>
      <c r="F141" s="89">
        <f>SUMIFS(AS[[#All],[Member Months]],AS[[#All],[Reporting Year]],2024,AS[[#All],[Insurance Category Code]],A141,AS[[#All],[Large Provider Entity Code]],100,AS[[#All],[Age Band Code]],3)</f>
        <v>0</v>
      </c>
      <c r="G141" s="285">
        <f>SUMIFS(AS[[#All],[Member Months]],AS[[#All],[Reporting Year]],2025,AS[[#All],[Insurance Category Code]],A141,AS[[#All],[Large Provider Entity Code]],100,AS[[#All],[Age Band Code]],3)</f>
        <v>0</v>
      </c>
      <c r="H141" s="89">
        <f>SUMIFS(AS[[#All],[Member Months]],AS[[#All],[Reporting Year]],2024,AS[[#All],[Insurance Category Code]],A141,AS[[#All],[Large Provider Entity Code]],100,AS[[#All],[Age Band Code]],3,AS[[#All],[Sex Code]],1)</f>
        <v>0</v>
      </c>
      <c r="I141" s="285">
        <f>SUMIFS(AS[[#All],[Member Months]],AS[[#All],[Reporting Year]],2025,AS[[#All],[Insurance Category Code]],A141,AS[[#All],[Large Provider Entity Code]],100,AS[[#All],[Age Band Code]],3,AS[[#All],[Sex Code]],1)</f>
        <v>0</v>
      </c>
      <c r="J141" s="89">
        <f>SUMIFS(AS[[#All],[Member Months]],AS[[#All],[Reporting Year]],2024,AS[[#All],[Insurance Category Code]],A141,AS[[#All],[Large Provider Entity Code]],100,AS[[#All],[Age Band Code]],3,AS[[#All],[Sex Code]],2)</f>
        <v>0</v>
      </c>
      <c r="K141" s="285">
        <f>SUMIFS(AS[[#All],[Member Months]],AS[[#All],[Reporting Year]],2025,AS[[#All],[Insurance Category Code]],A141,AS[[#All],[Large Provider Entity Code]],100,AS[[#All],[Age Band Code]],3,AS[[#All],[Sex Code]],2)</f>
        <v>0</v>
      </c>
      <c r="L141" s="89">
        <f>SUMIFS(AS[[#All],[Member Months]],AS[[#All],[Reporting Year]],2024,AS[[#All],[Insurance Category Code]],A141,AS[[#All],[Large Provider Entity Code]],100,AS[[#All],[Age Band Code]],4)</f>
        <v>0</v>
      </c>
      <c r="M141" s="285">
        <f>SUMIFS(AS[[#All],[Member Months]],AS[[#All],[Reporting Year]],2025,AS[[#All],[Insurance Category Code]],A141,AS[[#All],[Large Provider Entity Code]],100,AS[[#All],[Age Band Code]],4)</f>
        <v>0</v>
      </c>
      <c r="N141" s="89">
        <f>SUMIFS(AS[[#All],[Member Months]],AS[[#All],[Reporting Year]],2024,AS[[#All],[Insurance Category Code]],A141,AS[[#All],[Large Provider Entity Code]],100,AS[[#All],[Age Band Code]],5)</f>
        <v>0</v>
      </c>
      <c r="O141" s="285">
        <f>SUMIFS(AS[[#All],[Member Months]],AS[[#All],[Reporting Year]],2025,AS[[#All],[Insurance Category Code]],A141,AS[[#All],[Large Provider Entity Code]],100,AS[[#All],[Age Band Code]],5)</f>
        <v>0</v>
      </c>
      <c r="P141" s="89">
        <f>SUMIFS(AS[[#All],[Member Months]],AS[[#All],[Reporting Year]],2024,AS[[#All],[Insurance Category Code]],A141,AS[[#All],[Large Provider Entity Code]],100,AS[[#All],[Age Band Code]],6)</f>
        <v>0</v>
      </c>
      <c r="Q141" s="285">
        <f>SUMIFS(AS[[#All],[Member Months]],AS[[#All],[Reporting Year]],2025,AS[[#All],[Insurance Category Code]],A141,AS[[#All],[Large Provider Entity Code]],100,AS[[#All],[Age Band Code]],6)</f>
        <v>0</v>
      </c>
      <c r="R141" s="89">
        <f>SUMIFS(AS[[#All],[Member Months]],AS[[#All],[Reporting Year]],2024,AS[[#All],[Insurance Category Code]],A141,AS[[#All],[Large Provider Entity Code]],100,AS[[#All],[Age Band Code]],7)</f>
        <v>0</v>
      </c>
      <c r="S141" s="285">
        <f>SUMIFS(AS[[#All],[Member Months]],AS[[#All],[Reporting Year]],2025,AS[[#All],[Insurance Category Code]],A141,AS[[#All],[Large Provider Entity Code]],100,AS[[#All],[Age Band Code]],7)</f>
        <v>0</v>
      </c>
      <c r="T141" s="89">
        <f>SUMIFS(AS[[#All],[Member Months]],AS[[#All],[Reporting Year]],2024,AS[[#All],[Insurance Category Code]],A141,AS[[#All],[Large Provider Entity Code]],100,AS[[#All],[Age Band Code]],8)</f>
        <v>0</v>
      </c>
      <c r="U141" s="285">
        <f>SUMIFS(AS[[#All],[Member Months]],AS[[#All],[Reporting Year]],2025,AS[[#All],[Insurance Category Code]],A141,AS[[#All],[Large Provider Entity Code]],100,AS[[#All],[Age Band Code]],8)</f>
        <v>0</v>
      </c>
      <c r="V141" s="89">
        <f t="shared" si="47"/>
        <v>0</v>
      </c>
      <c r="W141" s="285">
        <f t="shared" si="48"/>
        <v>0</v>
      </c>
      <c r="X141" s="89">
        <f t="shared" si="49"/>
        <v>0</v>
      </c>
      <c r="Y141" s="8">
        <f t="shared" si="49"/>
        <v>0</v>
      </c>
      <c r="Z141"/>
      <c r="AA141"/>
      <c r="AB141"/>
      <c r="AC141"/>
    </row>
    <row r="142" spans="1:51" x14ac:dyDescent="0.4">
      <c r="A142" s="47">
        <v>6</v>
      </c>
      <c r="B142" s="89">
        <f>SUMIFS(AS[[#All],[Member Months]],AS[[#All],[Reporting Year]],2024,AS[[#All],[Insurance Category Code]],A142,AS[[#All],[Large Provider Entity Code]],100,AS[[#All],[Age Band Code]],1)</f>
        <v>0</v>
      </c>
      <c r="C142" s="285">
        <f>SUMIFS(AS[[#All],[Member Months]],AS[[#All],[Reporting Year]],2025,AS[[#All],[Insurance Category Code]],A142,AS[[#All],[Large Provider Entity Code]],100,AS[[#All],[Age Band Code]],1)</f>
        <v>0</v>
      </c>
      <c r="D142" s="89">
        <f>SUMIFS(AS[[#All],[Member Months]],AS[[#All],[Reporting Year]],2024,AS[[#All],[Insurance Category Code]],A142,AS[[#All],[Large Provider Entity Code]],100,AS[[#All],[Age Band Code]],2)</f>
        <v>0</v>
      </c>
      <c r="E142" s="285">
        <f>SUMIFS(AS[[#All],[Member Months]],AS[[#All],[Reporting Year]],2025,AS[[#All],[Insurance Category Code]],A142,AS[[#All],[Large Provider Entity Code]],100,AS[[#All],[Age Band Code]],2)</f>
        <v>0</v>
      </c>
      <c r="F142" s="89">
        <f>SUMIFS(AS[[#All],[Member Months]],AS[[#All],[Reporting Year]],2024,AS[[#All],[Insurance Category Code]],A142,AS[[#All],[Large Provider Entity Code]],100,AS[[#All],[Age Band Code]],3)</f>
        <v>0</v>
      </c>
      <c r="G142" s="285">
        <f>SUMIFS(AS[[#All],[Member Months]],AS[[#All],[Reporting Year]],2025,AS[[#All],[Insurance Category Code]],A142,AS[[#All],[Large Provider Entity Code]],100,AS[[#All],[Age Band Code]],3)</f>
        <v>0</v>
      </c>
      <c r="H142" s="89">
        <f>SUMIFS(AS[[#All],[Member Months]],AS[[#All],[Reporting Year]],2024,AS[[#All],[Insurance Category Code]],A142,AS[[#All],[Large Provider Entity Code]],100,AS[[#All],[Age Band Code]],3,AS[[#All],[Sex Code]],1)</f>
        <v>0</v>
      </c>
      <c r="I142" s="285">
        <f>SUMIFS(AS[[#All],[Member Months]],AS[[#All],[Reporting Year]],2025,AS[[#All],[Insurance Category Code]],A142,AS[[#All],[Large Provider Entity Code]],100,AS[[#All],[Age Band Code]],3,AS[[#All],[Sex Code]],1)</f>
        <v>0</v>
      </c>
      <c r="J142" s="89">
        <f>SUMIFS(AS[[#All],[Member Months]],AS[[#All],[Reporting Year]],2024,AS[[#All],[Insurance Category Code]],A142,AS[[#All],[Large Provider Entity Code]],100,AS[[#All],[Age Band Code]],3,AS[[#All],[Sex Code]],2)</f>
        <v>0</v>
      </c>
      <c r="K142" s="285">
        <f>SUMIFS(AS[[#All],[Member Months]],AS[[#All],[Reporting Year]],2025,AS[[#All],[Insurance Category Code]],A142,AS[[#All],[Large Provider Entity Code]],100,AS[[#All],[Age Band Code]],3,AS[[#All],[Sex Code]],2)</f>
        <v>0</v>
      </c>
      <c r="L142" s="89">
        <f>SUMIFS(AS[[#All],[Member Months]],AS[[#All],[Reporting Year]],2024,AS[[#All],[Insurance Category Code]],A142,AS[[#All],[Large Provider Entity Code]],100,AS[[#All],[Age Band Code]],4)</f>
        <v>0</v>
      </c>
      <c r="M142" s="285">
        <f>SUMIFS(AS[[#All],[Member Months]],AS[[#All],[Reporting Year]],2025,AS[[#All],[Insurance Category Code]],A142,AS[[#All],[Large Provider Entity Code]],100,AS[[#All],[Age Band Code]],4)</f>
        <v>0</v>
      </c>
      <c r="N142" s="89">
        <f>SUMIFS(AS[[#All],[Member Months]],AS[[#All],[Reporting Year]],2024,AS[[#All],[Insurance Category Code]],A142,AS[[#All],[Large Provider Entity Code]],100,AS[[#All],[Age Band Code]],5)</f>
        <v>0</v>
      </c>
      <c r="O142" s="285">
        <f>SUMIFS(AS[[#All],[Member Months]],AS[[#All],[Reporting Year]],2025,AS[[#All],[Insurance Category Code]],A142,AS[[#All],[Large Provider Entity Code]],100,AS[[#All],[Age Band Code]],5)</f>
        <v>0</v>
      </c>
      <c r="P142" s="89">
        <f>SUMIFS(AS[[#All],[Member Months]],AS[[#All],[Reporting Year]],2024,AS[[#All],[Insurance Category Code]],A142,AS[[#All],[Large Provider Entity Code]],100,AS[[#All],[Age Band Code]],6)</f>
        <v>0</v>
      </c>
      <c r="Q142" s="285">
        <f>SUMIFS(AS[[#All],[Member Months]],AS[[#All],[Reporting Year]],2025,AS[[#All],[Insurance Category Code]],A142,AS[[#All],[Large Provider Entity Code]],100,AS[[#All],[Age Band Code]],6)</f>
        <v>0</v>
      </c>
      <c r="R142" s="89">
        <f>SUMIFS(AS[[#All],[Member Months]],AS[[#All],[Reporting Year]],2024,AS[[#All],[Insurance Category Code]],A142,AS[[#All],[Large Provider Entity Code]],100,AS[[#All],[Age Band Code]],7)</f>
        <v>0</v>
      </c>
      <c r="S142" s="285">
        <f>SUMIFS(AS[[#All],[Member Months]],AS[[#All],[Reporting Year]],2025,AS[[#All],[Insurance Category Code]],A142,AS[[#All],[Large Provider Entity Code]],100,AS[[#All],[Age Band Code]],7)</f>
        <v>0</v>
      </c>
      <c r="T142" s="89">
        <f>SUMIFS(AS[[#All],[Member Months]],AS[[#All],[Reporting Year]],2024,AS[[#All],[Insurance Category Code]],A142,AS[[#All],[Large Provider Entity Code]],100,AS[[#All],[Age Band Code]],8)</f>
        <v>0</v>
      </c>
      <c r="U142" s="285">
        <f>SUMIFS(AS[[#All],[Member Months]],AS[[#All],[Reporting Year]],2025,AS[[#All],[Insurance Category Code]],A142,AS[[#All],[Large Provider Entity Code]],100,AS[[#All],[Age Band Code]],8)</f>
        <v>0</v>
      </c>
      <c r="V142" s="89">
        <f t="shared" si="47"/>
        <v>0</v>
      </c>
      <c r="W142" s="285">
        <f t="shared" si="48"/>
        <v>0</v>
      </c>
      <c r="X142" s="89">
        <f t="shared" si="49"/>
        <v>0</v>
      </c>
      <c r="Y142" s="8">
        <f t="shared" si="49"/>
        <v>0</v>
      </c>
      <c r="Z142"/>
      <c r="AA142"/>
      <c r="AB142"/>
      <c r="AC142"/>
    </row>
    <row r="143" spans="1:51" x14ac:dyDescent="0.4">
      <c r="A143" s="47">
        <v>7</v>
      </c>
      <c r="B143" s="89">
        <f>SUMIFS(AS[[#All],[Member Months]],AS[[#All],[Reporting Year]],2024,AS[[#All],[Insurance Category Code]],A143,AS[[#All],[Large Provider Entity Code]],100,AS[[#All],[Age Band Code]],1)</f>
        <v>0</v>
      </c>
      <c r="C143" s="285">
        <f>SUMIFS(AS[[#All],[Member Months]],AS[[#All],[Reporting Year]],2025,AS[[#All],[Insurance Category Code]],A143,AS[[#All],[Large Provider Entity Code]],100,AS[[#All],[Age Band Code]],1)</f>
        <v>0</v>
      </c>
      <c r="D143" s="89">
        <f>SUMIFS(AS[[#All],[Member Months]],AS[[#All],[Reporting Year]],2024,AS[[#All],[Insurance Category Code]],A143,AS[[#All],[Large Provider Entity Code]],100,AS[[#All],[Age Band Code]],2)</f>
        <v>0</v>
      </c>
      <c r="E143" s="285">
        <f>SUMIFS(AS[[#All],[Member Months]],AS[[#All],[Reporting Year]],2025,AS[[#All],[Insurance Category Code]],A143,AS[[#All],[Large Provider Entity Code]],100,AS[[#All],[Age Band Code]],2)</f>
        <v>0</v>
      </c>
      <c r="F143" s="89">
        <f>SUMIFS(AS[[#All],[Member Months]],AS[[#All],[Reporting Year]],2024,AS[[#All],[Insurance Category Code]],A143,AS[[#All],[Large Provider Entity Code]],100,AS[[#All],[Age Band Code]],3)</f>
        <v>0</v>
      </c>
      <c r="G143" s="285">
        <f>SUMIFS(AS[[#All],[Member Months]],AS[[#All],[Reporting Year]],2025,AS[[#All],[Insurance Category Code]],A143,AS[[#All],[Large Provider Entity Code]],100,AS[[#All],[Age Band Code]],3)</f>
        <v>0</v>
      </c>
      <c r="H143" s="89">
        <f>SUMIFS(AS[[#All],[Member Months]],AS[[#All],[Reporting Year]],2024,AS[[#All],[Insurance Category Code]],A143,AS[[#All],[Large Provider Entity Code]],100,AS[[#All],[Age Band Code]],3,AS[[#All],[Sex Code]],1)</f>
        <v>0</v>
      </c>
      <c r="I143" s="285">
        <f>SUMIFS(AS[[#All],[Member Months]],AS[[#All],[Reporting Year]],2025,AS[[#All],[Insurance Category Code]],A143,AS[[#All],[Large Provider Entity Code]],100,AS[[#All],[Age Band Code]],3,AS[[#All],[Sex Code]],1)</f>
        <v>0</v>
      </c>
      <c r="J143" s="89">
        <f>SUMIFS(AS[[#All],[Member Months]],AS[[#All],[Reporting Year]],2024,AS[[#All],[Insurance Category Code]],A143,AS[[#All],[Large Provider Entity Code]],100,AS[[#All],[Age Band Code]],3,AS[[#All],[Sex Code]],2)</f>
        <v>0</v>
      </c>
      <c r="K143" s="285">
        <f>SUMIFS(AS[[#All],[Member Months]],AS[[#All],[Reporting Year]],2025,AS[[#All],[Insurance Category Code]],A143,AS[[#All],[Large Provider Entity Code]],100,AS[[#All],[Age Band Code]],3,AS[[#All],[Sex Code]],2)</f>
        <v>0</v>
      </c>
      <c r="L143" s="89">
        <f>SUMIFS(AS[[#All],[Member Months]],AS[[#All],[Reporting Year]],2024,AS[[#All],[Insurance Category Code]],A143,AS[[#All],[Large Provider Entity Code]],100,AS[[#All],[Age Band Code]],4)</f>
        <v>0</v>
      </c>
      <c r="M143" s="285">
        <f>SUMIFS(AS[[#All],[Member Months]],AS[[#All],[Reporting Year]],2025,AS[[#All],[Insurance Category Code]],A143,AS[[#All],[Large Provider Entity Code]],100,AS[[#All],[Age Band Code]],4)</f>
        <v>0</v>
      </c>
      <c r="N143" s="89">
        <f>SUMIFS(AS[[#All],[Member Months]],AS[[#All],[Reporting Year]],2024,AS[[#All],[Insurance Category Code]],A143,AS[[#All],[Large Provider Entity Code]],100,AS[[#All],[Age Band Code]],5)</f>
        <v>0</v>
      </c>
      <c r="O143" s="285">
        <f>SUMIFS(AS[[#All],[Member Months]],AS[[#All],[Reporting Year]],2025,AS[[#All],[Insurance Category Code]],A143,AS[[#All],[Large Provider Entity Code]],100,AS[[#All],[Age Band Code]],5)</f>
        <v>0</v>
      </c>
      <c r="P143" s="89">
        <f>SUMIFS(AS[[#All],[Member Months]],AS[[#All],[Reporting Year]],2024,AS[[#All],[Insurance Category Code]],A143,AS[[#All],[Large Provider Entity Code]],100,AS[[#All],[Age Band Code]],6)</f>
        <v>0</v>
      </c>
      <c r="Q143" s="285">
        <f>SUMIFS(AS[[#All],[Member Months]],AS[[#All],[Reporting Year]],2025,AS[[#All],[Insurance Category Code]],A143,AS[[#All],[Large Provider Entity Code]],100,AS[[#All],[Age Band Code]],6)</f>
        <v>0</v>
      </c>
      <c r="R143" s="89">
        <f>SUMIFS(AS[[#All],[Member Months]],AS[[#All],[Reporting Year]],2024,AS[[#All],[Insurance Category Code]],A143,AS[[#All],[Large Provider Entity Code]],100,AS[[#All],[Age Band Code]],7)</f>
        <v>0</v>
      </c>
      <c r="S143" s="285">
        <f>SUMIFS(AS[[#All],[Member Months]],AS[[#All],[Reporting Year]],2025,AS[[#All],[Insurance Category Code]],A143,AS[[#All],[Large Provider Entity Code]],100,AS[[#All],[Age Band Code]],7)</f>
        <v>0</v>
      </c>
      <c r="T143" s="89">
        <f>SUMIFS(AS[[#All],[Member Months]],AS[[#All],[Reporting Year]],2024,AS[[#All],[Insurance Category Code]],A143,AS[[#All],[Large Provider Entity Code]],100,AS[[#All],[Age Band Code]],8)</f>
        <v>0</v>
      </c>
      <c r="U143" s="285">
        <f>SUMIFS(AS[[#All],[Member Months]],AS[[#All],[Reporting Year]],2025,AS[[#All],[Insurance Category Code]],A143,AS[[#All],[Large Provider Entity Code]],100,AS[[#All],[Age Band Code]],8)</f>
        <v>0</v>
      </c>
      <c r="V143" s="89">
        <f t="shared" si="47"/>
        <v>0</v>
      </c>
      <c r="W143" s="285">
        <f t="shared" si="48"/>
        <v>0</v>
      </c>
      <c r="X143" s="89">
        <f t="shared" si="49"/>
        <v>0</v>
      </c>
      <c r="Y143" s="8">
        <f t="shared" si="49"/>
        <v>0</v>
      </c>
      <c r="Z143"/>
      <c r="AA143"/>
      <c r="AB143"/>
      <c r="AC143"/>
    </row>
    <row r="144" spans="1:51" x14ac:dyDescent="0.4">
      <c r="A144" s="287">
        <v>8</v>
      </c>
      <c r="B144" s="89">
        <f>SUMIFS(AS[[#All],[Member Months]],AS[[#All],[Reporting Year]],2024,AS[[#All],[Insurance Category Code]],A144,AS[[#All],[Large Provider Entity Code]],100,AS[[#All],[Age Band Code]],1)</f>
        <v>0</v>
      </c>
      <c r="C144" s="285">
        <f>SUMIFS(AS[[#All],[Member Months]],AS[[#All],[Reporting Year]],2025,AS[[#All],[Insurance Category Code]],A144,AS[[#All],[Large Provider Entity Code]],100,AS[[#All],[Age Band Code]],1)</f>
        <v>0</v>
      </c>
      <c r="D144" s="89">
        <f>SUMIFS(AS[[#All],[Member Months]],AS[[#All],[Reporting Year]],2024,AS[[#All],[Insurance Category Code]],A144,AS[[#All],[Large Provider Entity Code]],100,AS[[#All],[Age Band Code]],2)</f>
        <v>0</v>
      </c>
      <c r="E144" s="285">
        <f>SUMIFS(AS[[#All],[Member Months]],AS[[#All],[Reporting Year]],2025,AS[[#All],[Insurance Category Code]],A144,AS[[#All],[Large Provider Entity Code]],100,AS[[#All],[Age Band Code]],2)</f>
        <v>0</v>
      </c>
      <c r="F144" s="89">
        <f>SUMIFS(AS[[#All],[Member Months]],AS[[#All],[Reporting Year]],2024,AS[[#All],[Insurance Category Code]],A144,AS[[#All],[Large Provider Entity Code]],100,AS[[#All],[Age Band Code]],3)</f>
        <v>0</v>
      </c>
      <c r="G144" s="285">
        <f>SUMIFS(AS[[#All],[Member Months]],AS[[#All],[Reporting Year]],2025,AS[[#All],[Insurance Category Code]],A144,AS[[#All],[Large Provider Entity Code]],100,AS[[#All],[Age Band Code]],3)</f>
        <v>0</v>
      </c>
      <c r="H144" s="89">
        <f>SUMIFS(AS[[#All],[Member Months]],AS[[#All],[Reporting Year]],2024,AS[[#All],[Insurance Category Code]],A144,AS[[#All],[Large Provider Entity Code]],100,AS[[#All],[Age Band Code]],3,AS[[#All],[Sex Code]],1)</f>
        <v>0</v>
      </c>
      <c r="I144" s="285">
        <f>SUMIFS(AS[[#All],[Member Months]],AS[[#All],[Reporting Year]],2025,AS[[#All],[Insurance Category Code]],A144,AS[[#All],[Large Provider Entity Code]],100,AS[[#All],[Age Band Code]],3,AS[[#All],[Sex Code]],1)</f>
        <v>0</v>
      </c>
      <c r="J144" s="89">
        <f>SUMIFS(AS[[#All],[Member Months]],AS[[#All],[Reporting Year]],2024,AS[[#All],[Insurance Category Code]],A144,AS[[#All],[Large Provider Entity Code]],100,AS[[#All],[Age Band Code]],3,AS[[#All],[Sex Code]],2)</f>
        <v>0</v>
      </c>
      <c r="K144" s="285">
        <f>SUMIFS(AS[[#All],[Member Months]],AS[[#All],[Reporting Year]],2025,AS[[#All],[Insurance Category Code]],A144,AS[[#All],[Large Provider Entity Code]],100,AS[[#All],[Age Band Code]],3,AS[[#All],[Sex Code]],2)</f>
        <v>0</v>
      </c>
      <c r="L144" s="89">
        <f>SUMIFS(AS[[#All],[Member Months]],AS[[#All],[Reporting Year]],2024,AS[[#All],[Insurance Category Code]],A144,AS[[#All],[Large Provider Entity Code]],100,AS[[#All],[Age Band Code]],4)</f>
        <v>0</v>
      </c>
      <c r="M144" s="285">
        <f>SUMIFS(AS[[#All],[Member Months]],AS[[#All],[Reporting Year]],2025,AS[[#All],[Insurance Category Code]],A144,AS[[#All],[Large Provider Entity Code]],100,AS[[#All],[Age Band Code]],4)</f>
        <v>0</v>
      </c>
      <c r="N144" s="89">
        <f>SUMIFS(AS[[#All],[Member Months]],AS[[#All],[Reporting Year]],2024,AS[[#All],[Insurance Category Code]],A144,AS[[#All],[Large Provider Entity Code]],100,AS[[#All],[Age Band Code]],5)</f>
        <v>0</v>
      </c>
      <c r="O144" s="285">
        <f>SUMIFS(AS[[#All],[Member Months]],AS[[#All],[Reporting Year]],2025,AS[[#All],[Insurance Category Code]],A144,AS[[#All],[Large Provider Entity Code]],100,AS[[#All],[Age Band Code]],5)</f>
        <v>0</v>
      </c>
      <c r="P144" s="89">
        <f>SUMIFS(AS[[#All],[Member Months]],AS[[#All],[Reporting Year]],2024,AS[[#All],[Insurance Category Code]],A144,AS[[#All],[Large Provider Entity Code]],100,AS[[#All],[Age Band Code]],6)</f>
        <v>0</v>
      </c>
      <c r="Q144" s="285">
        <f>SUMIFS(AS[[#All],[Member Months]],AS[[#All],[Reporting Year]],2025,AS[[#All],[Insurance Category Code]],A144,AS[[#All],[Large Provider Entity Code]],100,AS[[#All],[Age Band Code]],6)</f>
        <v>0</v>
      </c>
      <c r="R144" s="89">
        <f>SUMIFS(AS[[#All],[Member Months]],AS[[#All],[Reporting Year]],2024,AS[[#All],[Insurance Category Code]],A144,AS[[#All],[Large Provider Entity Code]],100,AS[[#All],[Age Band Code]],7)</f>
        <v>0</v>
      </c>
      <c r="S144" s="285">
        <f>SUMIFS(AS[[#All],[Member Months]],AS[[#All],[Reporting Year]],2025,AS[[#All],[Insurance Category Code]],A144,AS[[#All],[Large Provider Entity Code]],100,AS[[#All],[Age Band Code]],7)</f>
        <v>0</v>
      </c>
      <c r="T144" s="89">
        <f>SUMIFS(AS[[#All],[Member Months]],AS[[#All],[Reporting Year]],2024,AS[[#All],[Insurance Category Code]],A144,AS[[#All],[Large Provider Entity Code]],100,AS[[#All],[Age Band Code]],8)</f>
        <v>0</v>
      </c>
      <c r="U144" s="285">
        <f>SUMIFS(AS[[#All],[Member Months]],AS[[#All],[Reporting Year]],2025,AS[[#All],[Insurance Category Code]],A144,AS[[#All],[Large Provider Entity Code]],100,AS[[#All],[Age Band Code]],8)</f>
        <v>0</v>
      </c>
      <c r="V144" s="89">
        <f t="shared" si="47"/>
        <v>0</v>
      </c>
      <c r="W144" s="285">
        <f t="shared" si="48"/>
        <v>0</v>
      </c>
      <c r="X144" s="89">
        <f t="shared" si="49"/>
        <v>0</v>
      </c>
      <c r="Y144" s="8">
        <f t="shared" si="49"/>
        <v>0</v>
      </c>
      <c r="Z144"/>
      <c r="AA144"/>
      <c r="AB144"/>
      <c r="AC144"/>
    </row>
    <row r="145" spans="1:51" x14ac:dyDescent="0.4">
      <c r="A145" s="1"/>
      <c r="B145" s="108"/>
      <c r="C145" s="108"/>
      <c r="D145" s="108"/>
      <c r="E145" s="108"/>
      <c r="F145" s="109"/>
      <c r="G145" s="109"/>
      <c r="H145" s="109"/>
      <c r="I145" s="109"/>
      <c r="J145" s="108"/>
      <c r="K145" s="108"/>
      <c r="L145" s="108"/>
      <c r="M145" s="108"/>
      <c r="N145" s="108"/>
      <c r="O145" s="108"/>
      <c r="P145" s="108"/>
      <c r="Q145" s="108"/>
      <c r="R145" s="108"/>
      <c r="S145" s="108"/>
      <c r="T145" s="108"/>
      <c r="U145" s="108"/>
      <c r="V145" s="108"/>
      <c r="W145" s="108"/>
      <c r="X145" s="108"/>
      <c r="Y145" s="108"/>
      <c r="Z145" s="108"/>
      <c r="AA145" s="108"/>
      <c r="AB145" s="108"/>
      <c r="AC145" s="108"/>
      <c r="AD145" s="177"/>
      <c r="AE145" s="177"/>
      <c r="AF145" s="177"/>
      <c r="AG145" s="177"/>
      <c r="AH145" s="288"/>
      <c r="AI145" s="288"/>
      <c r="AJ145" s="288"/>
      <c r="AK145" s="288"/>
      <c r="AL145" s="177"/>
      <c r="AM145" s="177"/>
      <c r="AN145" s="177"/>
      <c r="AO145" s="177"/>
      <c r="AP145" s="177"/>
      <c r="AQ145" s="177"/>
      <c r="AR145" s="177"/>
      <c r="AS145" s="177"/>
      <c r="AT145" s="177"/>
      <c r="AU145" s="177"/>
      <c r="AV145" s="177"/>
      <c r="AW145" s="177"/>
      <c r="AX145" s="177"/>
      <c r="AY145" s="177"/>
    </row>
    <row r="146" spans="1:51" x14ac:dyDescent="0.4">
      <c r="A146"/>
      <c r="B146"/>
      <c r="C146"/>
      <c r="D146"/>
      <c r="E146"/>
      <c r="F146"/>
      <c r="G146"/>
      <c r="H146"/>
      <c r="I146"/>
      <c r="J146"/>
      <c r="K146"/>
      <c r="L146"/>
      <c r="M146"/>
      <c r="N146"/>
      <c r="O146"/>
      <c r="P146"/>
      <c r="Q146"/>
      <c r="R146"/>
      <c r="S146"/>
      <c r="T146"/>
      <c r="U146"/>
      <c r="V146"/>
      <c r="W146"/>
      <c r="X146"/>
      <c r="Y146"/>
      <c r="Z146"/>
      <c r="AA146"/>
      <c r="AB146"/>
      <c r="AC146"/>
    </row>
    <row r="147" spans="1:51" x14ac:dyDescent="0.4">
      <c r="A147" s="4" t="s">
        <v>432</v>
      </c>
      <c r="B147"/>
      <c r="C147"/>
      <c r="D147"/>
      <c r="E147"/>
      <c r="F147"/>
      <c r="G147"/>
      <c r="H147"/>
      <c r="I147"/>
      <c r="J147"/>
      <c r="K147"/>
      <c r="L147" s="143"/>
      <c r="M147" s="143"/>
      <c r="N147"/>
      <c r="O147"/>
      <c r="P147"/>
      <c r="Q147"/>
      <c r="R147"/>
      <c r="S147"/>
      <c r="T147"/>
      <c r="U147"/>
      <c r="V147"/>
      <c r="W147"/>
      <c r="X147"/>
      <c r="Y147"/>
      <c r="Z147"/>
      <c r="AA147"/>
      <c r="AB147"/>
      <c r="AC147"/>
    </row>
    <row r="148" spans="1:51" ht="17.399999999999999" thickBot="1" x14ac:dyDescent="0.45">
      <c r="A148" s="618" t="s">
        <v>56</v>
      </c>
      <c r="B148" s="191">
        <v>2024</v>
      </c>
      <c r="C148" s="192">
        <v>2025</v>
      </c>
      <c r="D148" s="191">
        <v>2024</v>
      </c>
      <c r="E148" s="192">
        <v>2025</v>
      </c>
      <c r="F148" s="191">
        <v>2024</v>
      </c>
      <c r="G148" s="192">
        <v>2025</v>
      </c>
      <c r="H148" s="191">
        <v>2024</v>
      </c>
      <c r="I148" s="194">
        <v>2025</v>
      </c>
      <c r="J148" s="191">
        <v>2024</v>
      </c>
      <c r="K148" s="194">
        <v>2025</v>
      </c>
      <c r="L148" s="191">
        <v>2024</v>
      </c>
      <c r="M148" s="192">
        <v>2025</v>
      </c>
      <c r="N148" s="191">
        <v>2024</v>
      </c>
      <c r="O148" s="192">
        <v>2025</v>
      </c>
      <c r="P148" s="191">
        <v>2024</v>
      </c>
      <c r="Q148" s="192">
        <v>2025</v>
      </c>
      <c r="R148" s="191">
        <v>2024</v>
      </c>
      <c r="S148" s="192">
        <v>2025</v>
      </c>
      <c r="T148" s="191">
        <v>2024</v>
      </c>
      <c r="U148" s="192">
        <v>2025</v>
      </c>
      <c r="V148" s="191">
        <v>2024</v>
      </c>
      <c r="W148" s="193">
        <v>2025</v>
      </c>
      <c r="X148" s="191">
        <v>2024</v>
      </c>
      <c r="Y148" s="193">
        <v>2025</v>
      </c>
      <c r="Z148"/>
      <c r="AA148"/>
      <c r="AB148"/>
      <c r="AC148"/>
    </row>
    <row r="149" spans="1:51" ht="30" customHeight="1" x14ac:dyDescent="0.4">
      <c r="A149" s="633"/>
      <c r="B149" s="635" t="s">
        <v>433</v>
      </c>
      <c r="C149" s="634"/>
      <c r="D149" s="635" t="s">
        <v>434</v>
      </c>
      <c r="E149" s="634"/>
      <c r="F149" s="631" t="s">
        <v>435</v>
      </c>
      <c r="G149" s="634"/>
      <c r="H149" s="631" t="s">
        <v>405</v>
      </c>
      <c r="I149" s="634"/>
      <c r="J149" s="631" t="s">
        <v>406</v>
      </c>
      <c r="K149" s="634"/>
      <c r="L149" s="631" t="s">
        <v>436</v>
      </c>
      <c r="M149" s="634"/>
      <c r="N149" s="631" t="s">
        <v>437</v>
      </c>
      <c r="O149" s="634"/>
      <c r="P149" s="631" t="s">
        <v>438</v>
      </c>
      <c r="Q149" s="634"/>
      <c r="R149" s="631" t="s">
        <v>439</v>
      </c>
      <c r="S149" s="634"/>
      <c r="T149" s="631" t="s">
        <v>440</v>
      </c>
      <c r="U149" s="634"/>
      <c r="V149" s="631" t="s">
        <v>441</v>
      </c>
      <c r="W149" s="632"/>
      <c r="X149" s="631" t="s">
        <v>442</v>
      </c>
      <c r="Y149" s="632"/>
      <c r="Z149"/>
      <c r="AA149"/>
      <c r="AB149"/>
      <c r="AC149"/>
    </row>
    <row r="150" spans="1:51" x14ac:dyDescent="0.4">
      <c r="A150" s="47">
        <v>1</v>
      </c>
      <c r="B150" s="178">
        <f>SUMIFS(AS[[#All],[Total Non-Truncated Claims Spending]],AS[[#All],[Reporting Year]],2024,AS[[#All],[Insurance Category Code]],A150,AS[[#All],[Large Provider Entity Code]],100,AS[[#All],[Age Band Code]],1)</f>
        <v>0</v>
      </c>
      <c r="C150" s="90">
        <f>SUMIFS(AS[[#All],[Total Non-Truncated Claims Spending]],AS[[#All],[Reporting Year]],2025,AS[[#All],[Insurance Category Code]],A150,AS[[#All],[Large Provider Entity Code]],100,AS[[#All],[Age Band Code]],1)</f>
        <v>0</v>
      </c>
      <c r="D150" s="178">
        <f>SUMIFS(AS[[#All],[Total Non-Truncated Claims Spending]],AS[[#All],[Reporting Year]],2024,AS[[#All],[Insurance Category Code]],A150,AS[[#All],[Large Provider Entity Code]],100,AS[[#All],[Age Band Code]],2)</f>
        <v>0</v>
      </c>
      <c r="E150" s="90">
        <f>SUMIFS(AS[[#All],[Total Non-Truncated Claims Spending]],AS[[#All],[Reporting Year]],2025,AS[[#All],[Insurance Category Code]],A150,AS[[#All],[Large Provider Entity Code]],100,AS[[#All],[Age Band Code]],2)</f>
        <v>0</v>
      </c>
      <c r="F150" s="178">
        <f>SUMIFS(AS[[#All],[Total Non-Truncated Claims Spending]],AS[[#All],[Reporting Year]],2024,AS[[#All],[Insurance Category Code]],A150,AS[[#All],[Large Provider Entity Code]],100,AS[[#All],[Age Band Code]],3)</f>
        <v>0</v>
      </c>
      <c r="G150" s="90">
        <f>SUMIFS(AS[[#All],[Total Non-Truncated Claims Spending]],AS[[#All],[Reporting Year]],2025,AS[[#All],[Insurance Category Code]],A150,AS[[#All],[Large Provider Entity Code]],100,AS[[#All],[Age Band Code]],3)</f>
        <v>0</v>
      </c>
      <c r="H150" s="178">
        <f>SUMIFS(AS[[#All],[Total Non-Truncated Claims Spending]],AS[[#All],[Reporting Year]],2024,AS[[#All],[Insurance Category Code]],A150,AS[[#All],[Large Provider Entity Code]],100,AS[[#All],[Age Band Code]],3,AS[[#All],[Sex Code]],1)</f>
        <v>0</v>
      </c>
      <c r="I150" s="90">
        <f>SUMIFS(AS[[#All],[Total Non-Truncated Claims Spending]],AS[[#All],[Reporting Year]],2025,AS[[#All],[Insurance Category Code]],A150,AS[[#All],[Large Provider Entity Code]],100,AS[[#All],[Age Band Code]],3,AS[[#All],[Sex Code]],1)</f>
        <v>0</v>
      </c>
      <c r="J150" s="178">
        <f>SUMIFS(AS[[#All],[Total Non-Truncated Claims Spending]],AS[[#All],[Reporting Year]],2024,AS[[#All],[Insurance Category Code]],A150,AS[[#All],[Large Provider Entity Code]],100,AS[[#All],[Age Band Code]],3,AS[[#All],[Sex Code]],2)</f>
        <v>0</v>
      </c>
      <c r="K150" s="90">
        <f>SUMIFS(AS[[#All],[Total Non-Truncated Claims Spending]],AS[[#All],[Reporting Year]],2025,AS[[#All],[Insurance Category Code]],A150,AS[[#All],[Large Provider Entity Code]],100,AS[[#All],[Age Band Code]],3,AS[[#All],[Sex Code]],2)</f>
        <v>0</v>
      </c>
      <c r="L150" s="178">
        <f>SUMIFS(AS[[#All],[Total Non-Truncated Claims Spending]],AS[[#All],[Reporting Year]],2024,AS[[#All],[Insurance Category Code]],A150,AS[[#All],[Large Provider Entity Code]],100,AS[[#All],[Age Band Code]],4)</f>
        <v>0</v>
      </c>
      <c r="M150" s="90">
        <f>SUMIFS(AS[[#All],[Total Non-Truncated Claims Spending]],AS[[#All],[Reporting Year]],2025,AS[[#All],[Insurance Category Code]],A150,AS[[#All],[Large Provider Entity Code]],100,AS[[#All],[Age Band Code]],4)</f>
        <v>0</v>
      </c>
      <c r="N150" s="178">
        <f>SUMIFS(AS[[#All],[Total Non-Truncated Claims Spending]],AS[[#All],[Reporting Year]],2024,AS[[#All],[Insurance Category Code]],A150,AS[[#All],[Large Provider Entity Code]],100,AS[[#All],[Age Band Code]],5)</f>
        <v>0</v>
      </c>
      <c r="O150" s="90">
        <f>SUMIFS(AS[[#All],[Total Non-Truncated Claims Spending]],AS[[#All],[Reporting Year]],2025,AS[[#All],[Insurance Category Code]],A150,AS[[#All],[Large Provider Entity Code]],100,AS[[#All],[Age Band Code]],5)</f>
        <v>0</v>
      </c>
      <c r="P150" s="178">
        <f>SUMIFS(AS[[#All],[Total Non-Truncated Claims Spending]],AS[[#All],[Reporting Year]],2024,AS[[#All],[Insurance Category Code]],A150,AS[[#All],[Large Provider Entity Code]],100,AS[[#All],[Age Band Code]],6)</f>
        <v>0</v>
      </c>
      <c r="Q150" s="90">
        <f>SUMIFS(AS[[#All],[Total Non-Truncated Claims Spending]],AS[[#All],[Reporting Year]],2025,AS[[#All],[Insurance Category Code]],A150,AS[[#All],[Large Provider Entity Code]],100,AS[[#All],[Age Band Code]],6)</f>
        <v>0</v>
      </c>
      <c r="R150" s="178">
        <f>SUMIFS(AS[[#All],[Total Non-Truncated Claims Spending]],AS[[#All],[Reporting Year]],2024,AS[[#All],[Insurance Category Code]],A150,AS[[#All],[Large Provider Entity Code]],100,AS[[#All],[Age Band Code]],7)</f>
        <v>0</v>
      </c>
      <c r="S150" s="90">
        <f>SUMIFS(AS[[#All],[Total Non-Truncated Claims Spending]],AS[[#All],[Reporting Year]],2025,AS[[#All],[Insurance Category Code]],A150,AS[[#All],[Large Provider Entity Code]],100,AS[[#All],[Age Band Code]],7)</f>
        <v>0</v>
      </c>
      <c r="T150" s="178">
        <f>SUMIFS(AS[[#All],[Total Non-Truncated Claims Spending]],AS[[#All],[Reporting Year]],2024,AS[[#All],[Insurance Category Code]],A150,AS[[#All],[Large Provider Entity Code]],100,AS[[#All],[Age Band Code]],8)</f>
        <v>0</v>
      </c>
      <c r="U150" s="90">
        <f>SUMIFS(AS[[#All],[Total Non-Truncated Claims Spending]],AS[[#All],[Reporting Year]],2025,AS[[#All],[Insurance Category Code]],A150,AS[[#All],[Large Provider Entity Code]],100,AS[[#All],[Age Band Code]],8)</f>
        <v>0</v>
      </c>
      <c r="V150" s="178">
        <f t="shared" ref="V150:V157" si="50">(B150+D150+F150+L150+N150)</f>
        <v>0</v>
      </c>
      <c r="W150" s="7">
        <f t="shared" ref="W150:W157" si="51">C150+E150+G150+M150+O150</f>
        <v>0</v>
      </c>
      <c r="X150" s="178">
        <f>(P150+R150+T150)</f>
        <v>0</v>
      </c>
      <c r="Y150" s="7">
        <f>Q150+S150+U150</f>
        <v>0</v>
      </c>
      <c r="Z150"/>
      <c r="AA150"/>
      <c r="AB150"/>
      <c r="AC150"/>
    </row>
    <row r="151" spans="1:51" x14ac:dyDescent="0.4">
      <c r="A151" s="47">
        <v>2</v>
      </c>
      <c r="B151" s="178">
        <f>SUMIFS(AS[[#All],[Total Non-Truncated Claims Spending]],AS[[#All],[Reporting Year]],2024,AS[[#All],[Insurance Category Code]],A151,AS[[#All],[Large Provider Entity Code]],100,AS[[#All],[Age Band Code]],1)</f>
        <v>0</v>
      </c>
      <c r="C151" s="90">
        <f>SUMIFS(AS[[#All],[Total Non-Truncated Claims Spending]],AS[[#All],[Reporting Year]],2025,AS[[#All],[Insurance Category Code]],A151,AS[[#All],[Large Provider Entity Code]],100,AS[[#All],[Age Band Code]],1)</f>
        <v>0</v>
      </c>
      <c r="D151" s="178">
        <f>SUMIFS(AS[[#All],[Total Non-Truncated Claims Spending]],AS[[#All],[Reporting Year]],2024,AS[[#All],[Insurance Category Code]],A151,AS[[#All],[Large Provider Entity Code]],100,AS[[#All],[Age Band Code]],2)</f>
        <v>0</v>
      </c>
      <c r="E151" s="90">
        <f>SUMIFS(AS[[#All],[Total Non-Truncated Claims Spending]],AS[[#All],[Reporting Year]],2025,AS[[#All],[Insurance Category Code]],A151,AS[[#All],[Large Provider Entity Code]],100,AS[[#All],[Age Band Code]],2)</f>
        <v>0</v>
      </c>
      <c r="F151" s="178">
        <f>SUMIFS(AS[[#All],[Total Non-Truncated Claims Spending]],AS[[#All],[Reporting Year]],2024,AS[[#All],[Insurance Category Code]],A151,AS[[#All],[Large Provider Entity Code]],100,AS[[#All],[Age Band Code]],3)</f>
        <v>0</v>
      </c>
      <c r="G151" s="90">
        <f>SUMIFS(AS[[#All],[Total Non-Truncated Claims Spending]],AS[[#All],[Reporting Year]],2025,AS[[#All],[Insurance Category Code]],A151,AS[[#All],[Large Provider Entity Code]],100,AS[[#All],[Age Band Code]],3)</f>
        <v>0</v>
      </c>
      <c r="H151" s="178">
        <f>SUMIFS(AS[[#All],[Total Non-Truncated Claims Spending]],AS[[#All],[Reporting Year]],2024,AS[[#All],[Insurance Category Code]],A151,AS[[#All],[Large Provider Entity Code]],100,AS[[#All],[Age Band Code]],3,AS[[#All],[Sex Code]],1)</f>
        <v>0</v>
      </c>
      <c r="I151" s="90">
        <f>SUMIFS(AS[[#All],[Total Non-Truncated Claims Spending]],AS[[#All],[Reporting Year]],2025,AS[[#All],[Insurance Category Code]],A151,AS[[#All],[Large Provider Entity Code]],100,AS[[#All],[Age Band Code]],3,AS[[#All],[Sex Code]],1)</f>
        <v>0</v>
      </c>
      <c r="J151" s="178">
        <f>SUMIFS(AS[[#All],[Total Non-Truncated Claims Spending]],AS[[#All],[Reporting Year]],2024,AS[[#All],[Insurance Category Code]],A151,AS[[#All],[Large Provider Entity Code]],100,AS[[#All],[Age Band Code]],3,AS[[#All],[Sex Code]],2)</f>
        <v>0</v>
      </c>
      <c r="K151" s="90">
        <f>SUMIFS(AS[[#All],[Total Non-Truncated Claims Spending]],AS[[#All],[Reporting Year]],2025,AS[[#All],[Insurance Category Code]],A151,AS[[#All],[Large Provider Entity Code]],100,AS[[#All],[Age Band Code]],3,AS[[#All],[Sex Code]],2)</f>
        <v>0</v>
      </c>
      <c r="L151" s="178">
        <f>SUMIFS(AS[[#All],[Total Non-Truncated Claims Spending]],AS[[#All],[Reporting Year]],2024,AS[[#All],[Insurance Category Code]],A151,AS[[#All],[Large Provider Entity Code]],100,AS[[#All],[Age Band Code]],4)</f>
        <v>0</v>
      </c>
      <c r="M151" s="90">
        <f>SUMIFS(AS[[#All],[Total Non-Truncated Claims Spending]],AS[[#All],[Reporting Year]],2025,AS[[#All],[Insurance Category Code]],A151,AS[[#All],[Large Provider Entity Code]],100,AS[[#All],[Age Band Code]],4)</f>
        <v>0</v>
      </c>
      <c r="N151" s="178">
        <f>SUMIFS(AS[[#All],[Total Non-Truncated Claims Spending]],AS[[#All],[Reporting Year]],2024,AS[[#All],[Insurance Category Code]],A151,AS[[#All],[Large Provider Entity Code]],100,AS[[#All],[Age Band Code]],5)</f>
        <v>0</v>
      </c>
      <c r="O151" s="90">
        <f>SUMIFS(AS[[#All],[Total Non-Truncated Claims Spending]],AS[[#All],[Reporting Year]],2025,AS[[#All],[Insurance Category Code]],A151,AS[[#All],[Large Provider Entity Code]],100,AS[[#All],[Age Band Code]],5)</f>
        <v>0</v>
      </c>
      <c r="P151" s="178">
        <f>SUMIFS(AS[[#All],[Total Non-Truncated Claims Spending]],AS[[#All],[Reporting Year]],2024,AS[[#All],[Insurance Category Code]],A151,AS[[#All],[Large Provider Entity Code]],100,AS[[#All],[Age Band Code]],6)</f>
        <v>0</v>
      </c>
      <c r="Q151" s="90">
        <f>SUMIFS(AS[[#All],[Total Non-Truncated Claims Spending]],AS[[#All],[Reporting Year]],2025,AS[[#All],[Insurance Category Code]],A151,AS[[#All],[Large Provider Entity Code]],100,AS[[#All],[Age Band Code]],6)</f>
        <v>0</v>
      </c>
      <c r="R151" s="178">
        <f>SUMIFS(AS[[#All],[Total Non-Truncated Claims Spending]],AS[[#All],[Reporting Year]],2024,AS[[#All],[Insurance Category Code]],A151,AS[[#All],[Large Provider Entity Code]],100,AS[[#All],[Age Band Code]],7)</f>
        <v>0</v>
      </c>
      <c r="S151" s="90">
        <f>SUMIFS(AS[[#All],[Total Non-Truncated Claims Spending]],AS[[#All],[Reporting Year]],2025,AS[[#All],[Insurance Category Code]],A151,AS[[#All],[Large Provider Entity Code]],100,AS[[#All],[Age Band Code]],7)</f>
        <v>0</v>
      </c>
      <c r="T151" s="178">
        <f>SUMIFS(AS[[#All],[Total Non-Truncated Claims Spending]],AS[[#All],[Reporting Year]],2024,AS[[#All],[Insurance Category Code]],A151,AS[[#All],[Large Provider Entity Code]],100,AS[[#All],[Age Band Code]],8)</f>
        <v>0</v>
      </c>
      <c r="U151" s="90">
        <f>SUMIFS(AS[[#All],[Total Non-Truncated Claims Spending]],AS[[#All],[Reporting Year]],2025,AS[[#All],[Insurance Category Code]],A151,AS[[#All],[Large Provider Entity Code]],100,AS[[#All],[Age Band Code]],8)</f>
        <v>0</v>
      </c>
      <c r="V151" s="178">
        <f t="shared" si="50"/>
        <v>0</v>
      </c>
      <c r="W151" s="7">
        <f t="shared" si="51"/>
        <v>0</v>
      </c>
      <c r="X151" s="178">
        <f>(P151+R151+T151)</f>
        <v>0</v>
      </c>
      <c r="Y151" s="7">
        <f>Q151+S151+U151</f>
        <v>0</v>
      </c>
      <c r="Z151"/>
      <c r="AA151"/>
      <c r="AB151"/>
      <c r="AC151"/>
    </row>
    <row r="152" spans="1:51" x14ac:dyDescent="0.4">
      <c r="A152" s="47">
        <v>3</v>
      </c>
      <c r="B152" s="178">
        <f>SUMIFS(AS[[#All],[Total Non-Truncated Claims Spending]],AS[[#All],[Reporting Year]],2024,AS[[#All],[Insurance Category Code]],A152,AS[[#All],[Large Provider Entity Code]],100,AS[[#All],[Age Band Code]],1)</f>
        <v>0</v>
      </c>
      <c r="C152" s="90">
        <f>SUMIFS(AS[[#All],[Total Non-Truncated Claims Spending]],AS[[#All],[Reporting Year]],2025,AS[[#All],[Insurance Category Code]],A152,AS[[#All],[Large Provider Entity Code]],100,AS[[#All],[Age Band Code]],1)</f>
        <v>0</v>
      </c>
      <c r="D152" s="178">
        <f>SUMIFS(AS[[#All],[Total Non-Truncated Claims Spending]],AS[[#All],[Reporting Year]],2024,AS[[#All],[Insurance Category Code]],A152,AS[[#All],[Large Provider Entity Code]],100,AS[[#All],[Age Band Code]],2)</f>
        <v>0</v>
      </c>
      <c r="E152" s="90">
        <f>SUMIFS(AS[[#All],[Total Non-Truncated Claims Spending]],AS[[#All],[Reporting Year]],2025,AS[[#All],[Insurance Category Code]],A152,AS[[#All],[Large Provider Entity Code]],100,AS[[#All],[Age Band Code]],2)</f>
        <v>0</v>
      </c>
      <c r="F152" s="178">
        <f>SUMIFS(AS[[#All],[Total Non-Truncated Claims Spending]],AS[[#All],[Reporting Year]],2024,AS[[#All],[Insurance Category Code]],A152,AS[[#All],[Large Provider Entity Code]],100,AS[[#All],[Age Band Code]],3)</f>
        <v>0</v>
      </c>
      <c r="G152" s="90">
        <f>SUMIFS(AS[[#All],[Total Non-Truncated Claims Spending]],AS[[#All],[Reporting Year]],2025,AS[[#All],[Insurance Category Code]],A152,AS[[#All],[Large Provider Entity Code]],100,AS[[#All],[Age Band Code]],3)</f>
        <v>0</v>
      </c>
      <c r="H152" s="178">
        <f>SUMIFS(AS[[#All],[Total Non-Truncated Claims Spending]],AS[[#All],[Reporting Year]],2024,AS[[#All],[Insurance Category Code]],A152,AS[[#All],[Large Provider Entity Code]],100,AS[[#All],[Age Band Code]],3,AS[[#All],[Sex Code]],1)</f>
        <v>0</v>
      </c>
      <c r="I152" s="90">
        <f>SUMIFS(AS[[#All],[Total Non-Truncated Claims Spending]],AS[[#All],[Reporting Year]],2025,AS[[#All],[Insurance Category Code]],A152,AS[[#All],[Large Provider Entity Code]],100,AS[[#All],[Age Band Code]],3,AS[[#All],[Sex Code]],1)</f>
        <v>0</v>
      </c>
      <c r="J152" s="178">
        <f>SUMIFS(AS[[#All],[Total Non-Truncated Claims Spending]],AS[[#All],[Reporting Year]],2024,AS[[#All],[Insurance Category Code]],A152,AS[[#All],[Large Provider Entity Code]],100,AS[[#All],[Age Band Code]],3,AS[[#All],[Sex Code]],2)</f>
        <v>0</v>
      </c>
      <c r="K152" s="90">
        <f>SUMIFS(AS[[#All],[Total Non-Truncated Claims Spending]],AS[[#All],[Reporting Year]],2025,AS[[#All],[Insurance Category Code]],A152,AS[[#All],[Large Provider Entity Code]],100,AS[[#All],[Age Band Code]],3,AS[[#All],[Sex Code]],2)</f>
        <v>0</v>
      </c>
      <c r="L152" s="178">
        <f>SUMIFS(AS[[#All],[Total Non-Truncated Claims Spending]],AS[[#All],[Reporting Year]],2024,AS[[#All],[Insurance Category Code]],A152,AS[[#All],[Large Provider Entity Code]],100,AS[[#All],[Age Band Code]],4)</f>
        <v>0</v>
      </c>
      <c r="M152" s="90">
        <f>SUMIFS(AS[[#All],[Total Non-Truncated Claims Spending]],AS[[#All],[Reporting Year]],2025,AS[[#All],[Insurance Category Code]],A152,AS[[#All],[Large Provider Entity Code]],100,AS[[#All],[Age Band Code]],4)</f>
        <v>0</v>
      </c>
      <c r="N152" s="178">
        <f>SUMIFS(AS[[#All],[Total Non-Truncated Claims Spending]],AS[[#All],[Reporting Year]],2024,AS[[#All],[Insurance Category Code]],A152,AS[[#All],[Large Provider Entity Code]],100,AS[[#All],[Age Band Code]],5)</f>
        <v>0</v>
      </c>
      <c r="O152" s="90">
        <f>SUMIFS(AS[[#All],[Total Non-Truncated Claims Spending]],AS[[#All],[Reporting Year]],2025,AS[[#All],[Insurance Category Code]],A152,AS[[#All],[Large Provider Entity Code]],100,AS[[#All],[Age Band Code]],5)</f>
        <v>0</v>
      </c>
      <c r="P152" s="178">
        <f>SUMIFS(AS[[#All],[Total Non-Truncated Claims Spending]],AS[[#All],[Reporting Year]],2024,AS[[#All],[Insurance Category Code]],A152,AS[[#All],[Large Provider Entity Code]],100,AS[[#All],[Age Band Code]],6)</f>
        <v>0</v>
      </c>
      <c r="Q152" s="90">
        <f>SUMIFS(AS[[#All],[Total Non-Truncated Claims Spending]],AS[[#All],[Reporting Year]],2025,AS[[#All],[Insurance Category Code]],A152,AS[[#All],[Large Provider Entity Code]],100,AS[[#All],[Age Band Code]],6)</f>
        <v>0</v>
      </c>
      <c r="R152" s="178">
        <f>SUMIFS(AS[[#All],[Total Non-Truncated Claims Spending]],AS[[#All],[Reporting Year]],2024,AS[[#All],[Insurance Category Code]],A152,AS[[#All],[Large Provider Entity Code]],100,AS[[#All],[Age Band Code]],7)</f>
        <v>0</v>
      </c>
      <c r="S152" s="90">
        <f>SUMIFS(AS[[#All],[Total Non-Truncated Claims Spending]],AS[[#All],[Reporting Year]],2025,AS[[#All],[Insurance Category Code]],A152,AS[[#All],[Large Provider Entity Code]],100,AS[[#All],[Age Band Code]],7)</f>
        <v>0</v>
      </c>
      <c r="T152" s="178">
        <f>SUMIFS(AS[[#All],[Total Non-Truncated Claims Spending]],AS[[#All],[Reporting Year]],2024,AS[[#All],[Insurance Category Code]],A152,AS[[#All],[Large Provider Entity Code]],100,AS[[#All],[Age Band Code]],8)</f>
        <v>0</v>
      </c>
      <c r="U152" s="90">
        <f>SUMIFS(AS[[#All],[Total Non-Truncated Claims Spending]],AS[[#All],[Reporting Year]],2025,AS[[#All],[Insurance Category Code]],A152,AS[[#All],[Large Provider Entity Code]],100,AS[[#All],[Age Band Code]],8)</f>
        <v>0</v>
      </c>
      <c r="V152" s="178">
        <f t="shared" si="50"/>
        <v>0</v>
      </c>
      <c r="W152" s="7">
        <f t="shared" si="51"/>
        <v>0</v>
      </c>
      <c r="X152" s="178">
        <f t="shared" ref="X152:X157" si="52">(P152+R152+T152)</f>
        <v>0</v>
      </c>
      <c r="Y152" s="7">
        <f t="shared" ref="Y152:Y157" si="53">Q152+S152+U152</f>
        <v>0</v>
      </c>
      <c r="Z152"/>
      <c r="AA152"/>
      <c r="AB152"/>
      <c r="AC152"/>
    </row>
    <row r="153" spans="1:51" x14ac:dyDescent="0.4">
      <c r="A153" s="47">
        <v>4</v>
      </c>
      <c r="B153" s="178">
        <f>SUMIFS(AS[[#All],[Total Non-Truncated Claims Spending]],AS[[#All],[Reporting Year]],2024,AS[[#All],[Insurance Category Code]],A153,AS[[#All],[Large Provider Entity Code]],100,AS[[#All],[Age Band Code]],1)</f>
        <v>0</v>
      </c>
      <c r="C153" s="90">
        <f>SUMIFS(AS[[#All],[Total Non-Truncated Claims Spending]],AS[[#All],[Reporting Year]],2025,AS[[#All],[Insurance Category Code]],A153,AS[[#All],[Large Provider Entity Code]],100,AS[[#All],[Age Band Code]],1)</f>
        <v>0</v>
      </c>
      <c r="D153" s="178">
        <f>SUMIFS(AS[[#All],[Total Non-Truncated Claims Spending]],AS[[#All],[Reporting Year]],2024,AS[[#All],[Insurance Category Code]],A153,AS[[#All],[Large Provider Entity Code]],100,AS[[#All],[Age Band Code]],2)</f>
        <v>0</v>
      </c>
      <c r="E153" s="90">
        <f>SUMIFS(AS[[#All],[Total Non-Truncated Claims Spending]],AS[[#All],[Reporting Year]],2025,AS[[#All],[Insurance Category Code]],A153,AS[[#All],[Large Provider Entity Code]],100,AS[[#All],[Age Band Code]],2)</f>
        <v>0</v>
      </c>
      <c r="F153" s="178">
        <f>SUMIFS(AS[[#All],[Total Non-Truncated Claims Spending]],AS[[#All],[Reporting Year]],2024,AS[[#All],[Insurance Category Code]],A153,AS[[#All],[Large Provider Entity Code]],100,AS[[#All],[Age Band Code]],3)</f>
        <v>0</v>
      </c>
      <c r="G153" s="90">
        <f>SUMIFS(AS[[#All],[Total Non-Truncated Claims Spending]],AS[[#All],[Reporting Year]],2025,AS[[#All],[Insurance Category Code]],A153,AS[[#All],[Large Provider Entity Code]],100,AS[[#All],[Age Band Code]],3)</f>
        <v>0</v>
      </c>
      <c r="H153" s="178">
        <f>SUMIFS(AS[[#All],[Total Non-Truncated Claims Spending]],AS[[#All],[Reporting Year]],2024,AS[[#All],[Insurance Category Code]],A153,AS[[#All],[Large Provider Entity Code]],100,AS[[#All],[Age Band Code]],3,AS[[#All],[Sex Code]],1)</f>
        <v>0</v>
      </c>
      <c r="I153" s="90">
        <f>SUMIFS(AS[[#All],[Total Non-Truncated Claims Spending]],AS[[#All],[Reporting Year]],2025,AS[[#All],[Insurance Category Code]],A153,AS[[#All],[Large Provider Entity Code]],100,AS[[#All],[Age Band Code]],3,AS[[#All],[Sex Code]],1)</f>
        <v>0</v>
      </c>
      <c r="J153" s="178">
        <f>SUMIFS(AS[[#All],[Total Non-Truncated Claims Spending]],AS[[#All],[Reporting Year]],2024,AS[[#All],[Insurance Category Code]],A153,AS[[#All],[Large Provider Entity Code]],100,AS[[#All],[Age Band Code]],3,AS[[#All],[Sex Code]],2)</f>
        <v>0</v>
      </c>
      <c r="K153" s="90">
        <f>SUMIFS(AS[[#All],[Total Non-Truncated Claims Spending]],AS[[#All],[Reporting Year]],2025,AS[[#All],[Insurance Category Code]],A153,AS[[#All],[Large Provider Entity Code]],100,AS[[#All],[Age Band Code]],3,AS[[#All],[Sex Code]],2)</f>
        <v>0</v>
      </c>
      <c r="L153" s="178">
        <f>SUMIFS(AS[[#All],[Total Non-Truncated Claims Spending]],AS[[#All],[Reporting Year]],2024,AS[[#All],[Insurance Category Code]],A153,AS[[#All],[Large Provider Entity Code]],100,AS[[#All],[Age Band Code]],4)</f>
        <v>0</v>
      </c>
      <c r="M153" s="90">
        <f>SUMIFS(AS[[#All],[Total Non-Truncated Claims Spending]],AS[[#All],[Reporting Year]],2025,AS[[#All],[Insurance Category Code]],A153,AS[[#All],[Large Provider Entity Code]],100,AS[[#All],[Age Band Code]],4)</f>
        <v>0</v>
      </c>
      <c r="N153" s="178">
        <f>SUMIFS(AS[[#All],[Total Non-Truncated Claims Spending]],AS[[#All],[Reporting Year]],2024,AS[[#All],[Insurance Category Code]],A153,AS[[#All],[Large Provider Entity Code]],100,AS[[#All],[Age Band Code]],5)</f>
        <v>0</v>
      </c>
      <c r="O153" s="90">
        <f>SUMIFS(AS[[#All],[Total Non-Truncated Claims Spending]],AS[[#All],[Reporting Year]],2025,AS[[#All],[Insurance Category Code]],A153,AS[[#All],[Large Provider Entity Code]],100,AS[[#All],[Age Band Code]],5)</f>
        <v>0</v>
      </c>
      <c r="P153" s="178">
        <f>SUMIFS(AS[[#All],[Total Non-Truncated Claims Spending]],AS[[#All],[Reporting Year]],2024,AS[[#All],[Insurance Category Code]],A153,AS[[#All],[Large Provider Entity Code]],100,AS[[#All],[Age Band Code]],6)</f>
        <v>0</v>
      </c>
      <c r="Q153" s="90">
        <f>SUMIFS(AS[[#All],[Total Non-Truncated Claims Spending]],AS[[#All],[Reporting Year]],2025,AS[[#All],[Insurance Category Code]],A153,AS[[#All],[Large Provider Entity Code]],100,AS[[#All],[Age Band Code]],6)</f>
        <v>0</v>
      </c>
      <c r="R153" s="178">
        <f>SUMIFS(AS[[#All],[Total Non-Truncated Claims Spending]],AS[[#All],[Reporting Year]],2024,AS[[#All],[Insurance Category Code]],A153,AS[[#All],[Large Provider Entity Code]],100,AS[[#All],[Age Band Code]],7)</f>
        <v>0</v>
      </c>
      <c r="S153" s="90">
        <f>SUMIFS(AS[[#All],[Total Non-Truncated Claims Spending]],AS[[#All],[Reporting Year]],2025,AS[[#All],[Insurance Category Code]],A153,AS[[#All],[Large Provider Entity Code]],100,AS[[#All],[Age Band Code]],7)</f>
        <v>0</v>
      </c>
      <c r="T153" s="178">
        <f>SUMIFS(AS[[#All],[Total Non-Truncated Claims Spending]],AS[[#All],[Reporting Year]],2024,AS[[#All],[Insurance Category Code]],A153,AS[[#All],[Large Provider Entity Code]],100,AS[[#All],[Age Band Code]],8)</f>
        <v>0</v>
      </c>
      <c r="U153" s="90">
        <f>SUMIFS(AS[[#All],[Total Non-Truncated Claims Spending]],AS[[#All],[Reporting Year]],2025,AS[[#All],[Insurance Category Code]],A153,AS[[#All],[Large Provider Entity Code]],100,AS[[#All],[Age Band Code]],8)</f>
        <v>0</v>
      </c>
      <c r="V153" s="178">
        <f t="shared" si="50"/>
        <v>0</v>
      </c>
      <c r="W153" s="7">
        <f t="shared" si="51"/>
        <v>0</v>
      </c>
      <c r="X153" s="178">
        <f>(P153+R153+T153)</f>
        <v>0</v>
      </c>
      <c r="Y153" s="7">
        <f t="shared" si="53"/>
        <v>0</v>
      </c>
      <c r="Z153"/>
      <c r="AA153"/>
      <c r="AB153"/>
      <c r="AC153"/>
    </row>
    <row r="154" spans="1:51" x14ac:dyDescent="0.4">
      <c r="A154" s="47">
        <v>5</v>
      </c>
      <c r="B154" s="178">
        <f>SUMIFS(AS[[#All],[Total Non-Truncated Claims Spending]],AS[[#All],[Reporting Year]],2024,AS[[#All],[Insurance Category Code]],A154,AS[[#All],[Large Provider Entity Code]],100,AS[[#All],[Age Band Code]],1)</f>
        <v>0</v>
      </c>
      <c r="C154" s="90">
        <f>SUMIFS(AS[[#All],[Total Non-Truncated Claims Spending]],AS[[#All],[Reporting Year]],2025,AS[[#All],[Insurance Category Code]],A154,AS[[#All],[Large Provider Entity Code]],100,AS[[#All],[Age Band Code]],1)</f>
        <v>0</v>
      </c>
      <c r="D154" s="178">
        <f>SUMIFS(AS[[#All],[Total Non-Truncated Claims Spending]],AS[[#All],[Reporting Year]],2024,AS[[#All],[Insurance Category Code]],A154,AS[[#All],[Large Provider Entity Code]],100,AS[[#All],[Age Band Code]],2)</f>
        <v>0</v>
      </c>
      <c r="E154" s="90">
        <f>SUMIFS(AS[[#All],[Total Non-Truncated Claims Spending]],AS[[#All],[Reporting Year]],2025,AS[[#All],[Insurance Category Code]],A154,AS[[#All],[Large Provider Entity Code]],100,AS[[#All],[Age Band Code]],2)</f>
        <v>0</v>
      </c>
      <c r="F154" s="178">
        <f>SUMIFS(AS[[#All],[Total Non-Truncated Claims Spending]],AS[[#All],[Reporting Year]],2024,AS[[#All],[Insurance Category Code]],A154,AS[[#All],[Large Provider Entity Code]],100,AS[[#All],[Age Band Code]],3)</f>
        <v>0</v>
      </c>
      <c r="G154" s="90">
        <f>SUMIFS(AS[[#All],[Total Non-Truncated Claims Spending]],AS[[#All],[Reporting Year]],2025,AS[[#All],[Insurance Category Code]],A154,AS[[#All],[Large Provider Entity Code]],100,AS[[#All],[Age Band Code]],3)</f>
        <v>0</v>
      </c>
      <c r="H154" s="178">
        <f>SUMIFS(AS[[#All],[Total Non-Truncated Claims Spending]],AS[[#All],[Reporting Year]],2024,AS[[#All],[Insurance Category Code]],A154,AS[[#All],[Large Provider Entity Code]],100,AS[[#All],[Age Band Code]],3,AS[[#All],[Sex Code]],1)</f>
        <v>0</v>
      </c>
      <c r="I154" s="90">
        <f>SUMIFS(AS[[#All],[Total Non-Truncated Claims Spending]],AS[[#All],[Reporting Year]],2025,AS[[#All],[Insurance Category Code]],A154,AS[[#All],[Large Provider Entity Code]],100,AS[[#All],[Age Band Code]],3,AS[[#All],[Sex Code]],1)</f>
        <v>0</v>
      </c>
      <c r="J154" s="178">
        <f>SUMIFS(AS[[#All],[Total Non-Truncated Claims Spending]],AS[[#All],[Reporting Year]],2024,AS[[#All],[Insurance Category Code]],A154,AS[[#All],[Large Provider Entity Code]],100,AS[[#All],[Age Band Code]],3,AS[[#All],[Sex Code]],2)</f>
        <v>0</v>
      </c>
      <c r="K154" s="90">
        <f>SUMIFS(AS[[#All],[Total Non-Truncated Claims Spending]],AS[[#All],[Reporting Year]],2025,AS[[#All],[Insurance Category Code]],A154,AS[[#All],[Large Provider Entity Code]],100,AS[[#All],[Age Band Code]],3,AS[[#All],[Sex Code]],2)</f>
        <v>0</v>
      </c>
      <c r="L154" s="178">
        <f>SUMIFS(AS[[#All],[Total Non-Truncated Claims Spending]],AS[[#All],[Reporting Year]],2024,AS[[#All],[Insurance Category Code]],A154,AS[[#All],[Large Provider Entity Code]],100,AS[[#All],[Age Band Code]],4)</f>
        <v>0</v>
      </c>
      <c r="M154" s="90">
        <f>SUMIFS(AS[[#All],[Total Non-Truncated Claims Spending]],AS[[#All],[Reporting Year]],2025,AS[[#All],[Insurance Category Code]],A154,AS[[#All],[Large Provider Entity Code]],100,AS[[#All],[Age Band Code]],4)</f>
        <v>0</v>
      </c>
      <c r="N154" s="178">
        <f>SUMIFS(AS[[#All],[Total Non-Truncated Claims Spending]],AS[[#All],[Reporting Year]],2024,AS[[#All],[Insurance Category Code]],A154,AS[[#All],[Large Provider Entity Code]],100,AS[[#All],[Age Band Code]],5)</f>
        <v>0</v>
      </c>
      <c r="O154" s="90">
        <f>SUMIFS(AS[[#All],[Total Non-Truncated Claims Spending]],AS[[#All],[Reporting Year]],2025,AS[[#All],[Insurance Category Code]],A154,AS[[#All],[Large Provider Entity Code]],100,AS[[#All],[Age Band Code]],5)</f>
        <v>0</v>
      </c>
      <c r="P154" s="178">
        <f>SUMIFS(AS[[#All],[Total Non-Truncated Claims Spending]],AS[[#All],[Reporting Year]],2024,AS[[#All],[Insurance Category Code]],A154,AS[[#All],[Large Provider Entity Code]],100,AS[[#All],[Age Band Code]],6)</f>
        <v>0</v>
      </c>
      <c r="Q154" s="90">
        <f>SUMIFS(AS[[#All],[Total Non-Truncated Claims Spending]],AS[[#All],[Reporting Year]],2025,AS[[#All],[Insurance Category Code]],A154,AS[[#All],[Large Provider Entity Code]],100,AS[[#All],[Age Band Code]],6)</f>
        <v>0</v>
      </c>
      <c r="R154" s="178">
        <f>SUMIFS(AS[[#All],[Total Non-Truncated Claims Spending]],AS[[#All],[Reporting Year]],2024,AS[[#All],[Insurance Category Code]],A154,AS[[#All],[Large Provider Entity Code]],100,AS[[#All],[Age Band Code]],7)</f>
        <v>0</v>
      </c>
      <c r="S154" s="90">
        <f>SUMIFS(AS[[#All],[Total Non-Truncated Claims Spending]],AS[[#All],[Reporting Year]],2025,AS[[#All],[Insurance Category Code]],A154,AS[[#All],[Large Provider Entity Code]],100,AS[[#All],[Age Band Code]],7)</f>
        <v>0</v>
      </c>
      <c r="T154" s="178">
        <f>SUMIFS(AS[[#All],[Total Non-Truncated Claims Spending]],AS[[#All],[Reporting Year]],2024,AS[[#All],[Insurance Category Code]],A154,AS[[#All],[Large Provider Entity Code]],100,AS[[#All],[Age Band Code]],8)</f>
        <v>0</v>
      </c>
      <c r="U154" s="90">
        <f>SUMIFS(AS[[#All],[Total Non-Truncated Claims Spending]],AS[[#All],[Reporting Year]],2025,AS[[#All],[Insurance Category Code]],A154,AS[[#All],[Large Provider Entity Code]],100,AS[[#All],[Age Band Code]],8)</f>
        <v>0</v>
      </c>
      <c r="V154" s="178">
        <f t="shared" si="50"/>
        <v>0</v>
      </c>
      <c r="W154" s="7">
        <f t="shared" si="51"/>
        <v>0</v>
      </c>
      <c r="X154" s="178">
        <f t="shared" si="52"/>
        <v>0</v>
      </c>
      <c r="Y154" s="7">
        <f t="shared" si="53"/>
        <v>0</v>
      </c>
      <c r="Z154"/>
      <c r="AA154"/>
      <c r="AB154"/>
      <c r="AC154"/>
    </row>
    <row r="155" spans="1:51" x14ac:dyDescent="0.4">
      <c r="A155" s="47">
        <v>6</v>
      </c>
      <c r="B155" s="178">
        <f>SUMIFS(AS[[#All],[Total Non-Truncated Claims Spending]],AS[[#All],[Reporting Year]],2024,AS[[#All],[Insurance Category Code]],A155,AS[[#All],[Large Provider Entity Code]],100,AS[[#All],[Age Band Code]],1)</f>
        <v>0</v>
      </c>
      <c r="C155" s="90">
        <f>SUMIFS(AS[[#All],[Total Non-Truncated Claims Spending]],AS[[#All],[Reporting Year]],2025,AS[[#All],[Insurance Category Code]],A155,AS[[#All],[Large Provider Entity Code]],100,AS[[#All],[Age Band Code]],1)</f>
        <v>0</v>
      </c>
      <c r="D155" s="178">
        <f>SUMIFS(AS[[#All],[Total Non-Truncated Claims Spending]],AS[[#All],[Reporting Year]],2024,AS[[#All],[Insurance Category Code]],A155,AS[[#All],[Large Provider Entity Code]],100,AS[[#All],[Age Band Code]],2)</f>
        <v>0</v>
      </c>
      <c r="E155" s="90">
        <f>SUMIFS(AS[[#All],[Total Non-Truncated Claims Spending]],AS[[#All],[Reporting Year]],2025,AS[[#All],[Insurance Category Code]],A155,AS[[#All],[Large Provider Entity Code]],100,AS[[#All],[Age Band Code]],2)</f>
        <v>0</v>
      </c>
      <c r="F155" s="178">
        <f>SUMIFS(AS[[#All],[Total Non-Truncated Claims Spending]],AS[[#All],[Reporting Year]],2024,AS[[#All],[Insurance Category Code]],A155,AS[[#All],[Large Provider Entity Code]],100,AS[[#All],[Age Band Code]],3)</f>
        <v>0</v>
      </c>
      <c r="G155" s="90">
        <f>SUMIFS(AS[[#All],[Total Non-Truncated Claims Spending]],AS[[#All],[Reporting Year]],2025,AS[[#All],[Insurance Category Code]],A155,AS[[#All],[Large Provider Entity Code]],100,AS[[#All],[Age Band Code]],3)</f>
        <v>0</v>
      </c>
      <c r="H155" s="178">
        <f>SUMIFS(AS[[#All],[Total Non-Truncated Claims Spending]],AS[[#All],[Reporting Year]],2024,AS[[#All],[Insurance Category Code]],A155,AS[[#All],[Large Provider Entity Code]],100,AS[[#All],[Age Band Code]],3,AS[[#All],[Sex Code]],1)</f>
        <v>0</v>
      </c>
      <c r="I155" s="90">
        <f>SUMIFS(AS[[#All],[Total Non-Truncated Claims Spending]],AS[[#All],[Reporting Year]],2025,AS[[#All],[Insurance Category Code]],A155,AS[[#All],[Large Provider Entity Code]],100,AS[[#All],[Age Band Code]],3,AS[[#All],[Sex Code]],1)</f>
        <v>0</v>
      </c>
      <c r="J155" s="178">
        <f>SUMIFS(AS[[#All],[Total Non-Truncated Claims Spending]],AS[[#All],[Reporting Year]],2024,AS[[#All],[Insurance Category Code]],A155,AS[[#All],[Large Provider Entity Code]],100,AS[[#All],[Age Band Code]],3,AS[[#All],[Sex Code]],2)</f>
        <v>0</v>
      </c>
      <c r="K155" s="90">
        <f>SUMIFS(AS[[#All],[Total Non-Truncated Claims Spending]],AS[[#All],[Reporting Year]],2025,AS[[#All],[Insurance Category Code]],A155,AS[[#All],[Large Provider Entity Code]],100,AS[[#All],[Age Band Code]],3,AS[[#All],[Sex Code]],2)</f>
        <v>0</v>
      </c>
      <c r="L155" s="178">
        <f>SUMIFS(AS[[#All],[Total Non-Truncated Claims Spending]],AS[[#All],[Reporting Year]],2024,AS[[#All],[Insurance Category Code]],A155,AS[[#All],[Large Provider Entity Code]],100,AS[[#All],[Age Band Code]],4)</f>
        <v>0</v>
      </c>
      <c r="M155" s="90">
        <f>SUMIFS(AS[[#All],[Total Non-Truncated Claims Spending]],AS[[#All],[Reporting Year]],2025,AS[[#All],[Insurance Category Code]],A155,AS[[#All],[Large Provider Entity Code]],100,AS[[#All],[Age Band Code]],4)</f>
        <v>0</v>
      </c>
      <c r="N155" s="178">
        <f>SUMIFS(AS[[#All],[Total Non-Truncated Claims Spending]],AS[[#All],[Reporting Year]],2024,AS[[#All],[Insurance Category Code]],A155,AS[[#All],[Large Provider Entity Code]],100,AS[[#All],[Age Band Code]],5)</f>
        <v>0</v>
      </c>
      <c r="O155" s="90">
        <f>SUMIFS(AS[[#All],[Total Non-Truncated Claims Spending]],AS[[#All],[Reporting Year]],2025,AS[[#All],[Insurance Category Code]],A155,AS[[#All],[Large Provider Entity Code]],100,AS[[#All],[Age Band Code]],5)</f>
        <v>0</v>
      </c>
      <c r="P155" s="178">
        <f>SUMIFS(AS[[#All],[Total Non-Truncated Claims Spending]],AS[[#All],[Reporting Year]],2024,AS[[#All],[Insurance Category Code]],A155,AS[[#All],[Large Provider Entity Code]],100,AS[[#All],[Age Band Code]],6)</f>
        <v>0</v>
      </c>
      <c r="Q155" s="90">
        <f>SUMIFS(AS[[#All],[Total Non-Truncated Claims Spending]],AS[[#All],[Reporting Year]],2025,AS[[#All],[Insurance Category Code]],A155,AS[[#All],[Large Provider Entity Code]],100,AS[[#All],[Age Band Code]],6)</f>
        <v>0</v>
      </c>
      <c r="R155" s="178">
        <f>SUMIFS(AS[[#All],[Total Non-Truncated Claims Spending]],AS[[#All],[Reporting Year]],2024,AS[[#All],[Insurance Category Code]],A155,AS[[#All],[Large Provider Entity Code]],100,AS[[#All],[Age Band Code]],7)</f>
        <v>0</v>
      </c>
      <c r="S155" s="90">
        <f>SUMIFS(AS[[#All],[Total Non-Truncated Claims Spending]],AS[[#All],[Reporting Year]],2025,AS[[#All],[Insurance Category Code]],A155,AS[[#All],[Large Provider Entity Code]],100,AS[[#All],[Age Band Code]],7)</f>
        <v>0</v>
      </c>
      <c r="T155" s="178">
        <f>SUMIFS(AS[[#All],[Total Non-Truncated Claims Spending]],AS[[#All],[Reporting Year]],2024,AS[[#All],[Insurance Category Code]],A155,AS[[#All],[Large Provider Entity Code]],100,AS[[#All],[Age Band Code]],8)</f>
        <v>0</v>
      </c>
      <c r="U155" s="90">
        <f>SUMIFS(AS[[#All],[Total Non-Truncated Claims Spending]],AS[[#All],[Reporting Year]],2025,AS[[#All],[Insurance Category Code]],A155,AS[[#All],[Large Provider Entity Code]],100,AS[[#All],[Age Band Code]],8)</f>
        <v>0</v>
      </c>
      <c r="V155" s="178">
        <f t="shared" si="50"/>
        <v>0</v>
      </c>
      <c r="W155" s="7">
        <f t="shared" si="51"/>
        <v>0</v>
      </c>
      <c r="X155" s="178">
        <f t="shared" si="52"/>
        <v>0</v>
      </c>
      <c r="Y155" s="7">
        <f t="shared" si="53"/>
        <v>0</v>
      </c>
      <c r="Z155"/>
      <c r="AA155"/>
      <c r="AB155"/>
      <c r="AC155"/>
    </row>
    <row r="156" spans="1:51" x14ac:dyDescent="0.4">
      <c r="A156" s="47">
        <v>7</v>
      </c>
      <c r="B156" s="178">
        <f>SUMIFS(AS[[#All],[Total Non-Truncated Claims Spending]],AS[[#All],[Reporting Year]],2024,AS[[#All],[Insurance Category Code]],A156,AS[[#All],[Large Provider Entity Code]],100,AS[[#All],[Age Band Code]],1)</f>
        <v>0</v>
      </c>
      <c r="C156" s="90">
        <f>SUMIFS(AS[[#All],[Total Non-Truncated Claims Spending]],AS[[#All],[Reporting Year]],2025,AS[[#All],[Insurance Category Code]],A156,AS[[#All],[Large Provider Entity Code]],100,AS[[#All],[Age Band Code]],1)</f>
        <v>0</v>
      </c>
      <c r="D156" s="178">
        <f>SUMIFS(AS[[#All],[Total Non-Truncated Claims Spending]],AS[[#All],[Reporting Year]],2024,AS[[#All],[Insurance Category Code]],A156,AS[[#All],[Large Provider Entity Code]],100,AS[[#All],[Age Band Code]],2)</f>
        <v>0</v>
      </c>
      <c r="E156" s="90">
        <f>SUMIFS(AS[[#All],[Total Non-Truncated Claims Spending]],AS[[#All],[Reporting Year]],2025,AS[[#All],[Insurance Category Code]],A156,AS[[#All],[Large Provider Entity Code]],100,AS[[#All],[Age Band Code]],2)</f>
        <v>0</v>
      </c>
      <c r="F156" s="178">
        <f>SUMIFS(AS[[#All],[Total Non-Truncated Claims Spending]],AS[[#All],[Reporting Year]],2024,AS[[#All],[Insurance Category Code]],A156,AS[[#All],[Large Provider Entity Code]],100,AS[[#All],[Age Band Code]],3)</f>
        <v>0</v>
      </c>
      <c r="G156" s="90">
        <f>SUMIFS(AS[[#All],[Total Non-Truncated Claims Spending]],AS[[#All],[Reporting Year]],2025,AS[[#All],[Insurance Category Code]],A156,AS[[#All],[Large Provider Entity Code]],100,AS[[#All],[Age Band Code]],3)</f>
        <v>0</v>
      </c>
      <c r="H156" s="178">
        <f>SUMIFS(AS[[#All],[Total Non-Truncated Claims Spending]],AS[[#All],[Reporting Year]],2024,AS[[#All],[Insurance Category Code]],A156,AS[[#All],[Large Provider Entity Code]],100,AS[[#All],[Age Band Code]],3,AS[[#All],[Sex Code]],1)</f>
        <v>0</v>
      </c>
      <c r="I156" s="90">
        <f>SUMIFS(AS[[#All],[Total Non-Truncated Claims Spending]],AS[[#All],[Reporting Year]],2025,AS[[#All],[Insurance Category Code]],A156,AS[[#All],[Large Provider Entity Code]],100,AS[[#All],[Age Band Code]],3,AS[[#All],[Sex Code]],1)</f>
        <v>0</v>
      </c>
      <c r="J156" s="178">
        <f>SUMIFS(AS[[#All],[Total Non-Truncated Claims Spending]],AS[[#All],[Reporting Year]],2024,AS[[#All],[Insurance Category Code]],A156,AS[[#All],[Large Provider Entity Code]],100,AS[[#All],[Age Band Code]],3,AS[[#All],[Sex Code]],2)</f>
        <v>0</v>
      </c>
      <c r="K156" s="90">
        <f>SUMIFS(AS[[#All],[Total Non-Truncated Claims Spending]],AS[[#All],[Reporting Year]],2025,AS[[#All],[Insurance Category Code]],A156,AS[[#All],[Large Provider Entity Code]],100,AS[[#All],[Age Band Code]],3,AS[[#All],[Sex Code]],2)</f>
        <v>0</v>
      </c>
      <c r="L156" s="178">
        <f>SUMIFS(AS[[#All],[Total Non-Truncated Claims Spending]],AS[[#All],[Reporting Year]],2024,AS[[#All],[Insurance Category Code]],A156,AS[[#All],[Large Provider Entity Code]],100,AS[[#All],[Age Band Code]],4)</f>
        <v>0</v>
      </c>
      <c r="M156" s="90">
        <f>SUMIFS(AS[[#All],[Total Non-Truncated Claims Spending]],AS[[#All],[Reporting Year]],2025,AS[[#All],[Insurance Category Code]],A156,AS[[#All],[Large Provider Entity Code]],100,AS[[#All],[Age Band Code]],4)</f>
        <v>0</v>
      </c>
      <c r="N156" s="178">
        <f>SUMIFS(AS[[#All],[Total Non-Truncated Claims Spending]],AS[[#All],[Reporting Year]],2024,AS[[#All],[Insurance Category Code]],A156,AS[[#All],[Large Provider Entity Code]],100,AS[[#All],[Age Band Code]],5)</f>
        <v>0</v>
      </c>
      <c r="O156" s="90">
        <f>SUMIFS(AS[[#All],[Total Non-Truncated Claims Spending]],AS[[#All],[Reporting Year]],2025,AS[[#All],[Insurance Category Code]],A156,AS[[#All],[Large Provider Entity Code]],100,AS[[#All],[Age Band Code]],5)</f>
        <v>0</v>
      </c>
      <c r="P156" s="178">
        <f>SUMIFS(AS[[#All],[Total Non-Truncated Claims Spending]],AS[[#All],[Reporting Year]],2024,AS[[#All],[Insurance Category Code]],A156,AS[[#All],[Large Provider Entity Code]],100,AS[[#All],[Age Band Code]],6)</f>
        <v>0</v>
      </c>
      <c r="Q156" s="90">
        <f>SUMIFS(AS[[#All],[Total Non-Truncated Claims Spending]],AS[[#All],[Reporting Year]],2025,AS[[#All],[Insurance Category Code]],A156,AS[[#All],[Large Provider Entity Code]],100,AS[[#All],[Age Band Code]],6)</f>
        <v>0</v>
      </c>
      <c r="R156" s="178">
        <f>SUMIFS(AS[[#All],[Total Non-Truncated Claims Spending]],AS[[#All],[Reporting Year]],2024,AS[[#All],[Insurance Category Code]],A156,AS[[#All],[Large Provider Entity Code]],100,AS[[#All],[Age Band Code]],7)</f>
        <v>0</v>
      </c>
      <c r="S156" s="90">
        <f>SUMIFS(AS[[#All],[Total Non-Truncated Claims Spending]],AS[[#All],[Reporting Year]],2025,AS[[#All],[Insurance Category Code]],A156,AS[[#All],[Large Provider Entity Code]],100,AS[[#All],[Age Band Code]],7)</f>
        <v>0</v>
      </c>
      <c r="T156" s="178">
        <f>SUMIFS(AS[[#All],[Total Non-Truncated Claims Spending]],AS[[#All],[Reporting Year]],2024,AS[[#All],[Insurance Category Code]],A156,AS[[#All],[Large Provider Entity Code]],100,AS[[#All],[Age Band Code]],8)</f>
        <v>0</v>
      </c>
      <c r="U156" s="90">
        <f>SUMIFS(AS[[#All],[Total Non-Truncated Claims Spending]],AS[[#All],[Reporting Year]],2025,AS[[#All],[Insurance Category Code]],A156,AS[[#All],[Large Provider Entity Code]],100,AS[[#All],[Age Band Code]],8)</f>
        <v>0</v>
      </c>
      <c r="V156" s="178">
        <f t="shared" si="50"/>
        <v>0</v>
      </c>
      <c r="W156" s="7">
        <f t="shared" si="51"/>
        <v>0</v>
      </c>
      <c r="X156" s="178">
        <f t="shared" si="52"/>
        <v>0</v>
      </c>
      <c r="Y156" s="7">
        <f t="shared" si="53"/>
        <v>0</v>
      </c>
      <c r="Z156"/>
      <c r="AA156"/>
      <c r="AB156"/>
      <c r="AC156"/>
    </row>
    <row r="157" spans="1:51" x14ac:dyDescent="0.4">
      <c r="A157" s="287">
        <v>8</v>
      </c>
      <c r="B157" s="178">
        <f>SUMIFS(AS[[#All],[Total Non-Truncated Claims Spending]],AS[[#All],[Reporting Year]],2024,AS[[#All],[Insurance Category Code]],A157,AS[[#All],[Large Provider Entity Code]],100,AS[[#All],[Age Band Code]],1)</f>
        <v>0</v>
      </c>
      <c r="C157" s="90">
        <f>SUMIFS(AS[[#All],[Total Non-Truncated Claims Spending]],AS[[#All],[Reporting Year]],2025,AS[[#All],[Insurance Category Code]],A157,AS[[#All],[Large Provider Entity Code]],100,AS[[#All],[Age Band Code]],1)</f>
        <v>0</v>
      </c>
      <c r="D157" s="178">
        <f>SUMIFS(AS[[#All],[Total Non-Truncated Claims Spending]],AS[[#All],[Reporting Year]],2024,AS[[#All],[Insurance Category Code]],A157,AS[[#All],[Large Provider Entity Code]],100,AS[[#All],[Age Band Code]],2)</f>
        <v>0</v>
      </c>
      <c r="E157" s="90">
        <f>SUMIFS(AS[[#All],[Total Non-Truncated Claims Spending]],AS[[#All],[Reporting Year]],2025,AS[[#All],[Insurance Category Code]],A157,AS[[#All],[Large Provider Entity Code]],100,AS[[#All],[Age Band Code]],2)</f>
        <v>0</v>
      </c>
      <c r="F157" s="178">
        <f>SUMIFS(AS[[#All],[Total Non-Truncated Claims Spending]],AS[[#All],[Reporting Year]],2024,AS[[#All],[Insurance Category Code]],A157,AS[[#All],[Large Provider Entity Code]],100,AS[[#All],[Age Band Code]],3)</f>
        <v>0</v>
      </c>
      <c r="G157" s="90">
        <f>SUMIFS(AS[[#All],[Total Non-Truncated Claims Spending]],AS[[#All],[Reporting Year]],2025,AS[[#All],[Insurance Category Code]],A157,AS[[#All],[Large Provider Entity Code]],100,AS[[#All],[Age Band Code]],3)</f>
        <v>0</v>
      </c>
      <c r="H157" s="178">
        <f>SUMIFS(AS[[#All],[Total Non-Truncated Claims Spending]],AS[[#All],[Reporting Year]],2024,AS[[#All],[Insurance Category Code]],A157,AS[[#All],[Large Provider Entity Code]],100,AS[[#All],[Age Band Code]],3,AS[[#All],[Sex Code]],1)</f>
        <v>0</v>
      </c>
      <c r="I157" s="90">
        <f>SUMIFS(AS[[#All],[Total Non-Truncated Claims Spending]],AS[[#All],[Reporting Year]],2025,AS[[#All],[Insurance Category Code]],A157,AS[[#All],[Large Provider Entity Code]],100,AS[[#All],[Age Band Code]],3,AS[[#All],[Sex Code]],1)</f>
        <v>0</v>
      </c>
      <c r="J157" s="178">
        <f>SUMIFS(AS[[#All],[Total Non-Truncated Claims Spending]],AS[[#All],[Reporting Year]],2024,AS[[#All],[Insurance Category Code]],A157,AS[[#All],[Large Provider Entity Code]],100,AS[[#All],[Age Band Code]],3,AS[[#All],[Sex Code]],2)</f>
        <v>0</v>
      </c>
      <c r="K157" s="90">
        <f>SUMIFS(AS[[#All],[Total Non-Truncated Claims Spending]],AS[[#All],[Reporting Year]],2025,AS[[#All],[Insurance Category Code]],A157,AS[[#All],[Large Provider Entity Code]],100,AS[[#All],[Age Band Code]],3,AS[[#All],[Sex Code]],2)</f>
        <v>0</v>
      </c>
      <c r="L157" s="178">
        <f>SUMIFS(AS[[#All],[Total Non-Truncated Claims Spending]],AS[[#All],[Reporting Year]],2024,AS[[#All],[Insurance Category Code]],A157,AS[[#All],[Large Provider Entity Code]],100,AS[[#All],[Age Band Code]],4)</f>
        <v>0</v>
      </c>
      <c r="M157" s="90">
        <f>SUMIFS(AS[[#All],[Total Non-Truncated Claims Spending]],AS[[#All],[Reporting Year]],2025,AS[[#All],[Insurance Category Code]],A157,AS[[#All],[Large Provider Entity Code]],100,AS[[#All],[Age Band Code]],4)</f>
        <v>0</v>
      </c>
      <c r="N157" s="178">
        <f>SUMIFS(AS[[#All],[Total Non-Truncated Claims Spending]],AS[[#All],[Reporting Year]],2024,AS[[#All],[Insurance Category Code]],A157,AS[[#All],[Large Provider Entity Code]],100,AS[[#All],[Age Band Code]],5)</f>
        <v>0</v>
      </c>
      <c r="O157" s="90">
        <f>SUMIFS(AS[[#All],[Total Non-Truncated Claims Spending]],AS[[#All],[Reporting Year]],2025,AS[[#All],[Insurance Category Code]],A157,AS[[#All],[Large Provider Entity Code]],100,AS[[#All],[Age Band Code]],5)</f>
        <v>0</v>
      </c>
      <c r="P157" s="178">
        <f>SUMIFS(AS[[#All],[Total Non-Truncated Claims Spending]],AS[[#All],[Reporting Year]],2024,AS[[#All],[Insurance Category Code]],A157,AS[[#All],[Large Provider Entity Code]],100,AS[[#All],[Age Band Code]],6)</f>
        <v>0</v>
      </c>
      <c r="Q157" s="90">
        <f>SUMIFS(AS[[#All],[Total Non-Truncated Claims Spending]],AS[[#All],[Reporting Year]],2025,AS[[#All],[Insurance Category Code]],A157,AS[[#All],[Large Provider Entity Code]],100,AS[[#All],[Age Band Code]],6)</f>
        <v>0</v>
      </c>
      <c r="R157" s="178">
        <f>SUMIFS(AS[[#All],[Total Non-Truncated Claims Spending]],AS[[#All],[Reporting Year]],2024,AS[[#All],[Insurance Category Code]],A157,AS[[#All],[Large Provider Entity Code]],100,AS[[#All],[Age Band Code]],7)</f>
        <v>0</v>
      </c>
      <c r="S157" s="90">
        <f>SUMIFS(AS[[#All],[Total Non-Truncated Claims Spending]],AS[[#All],[Reporting Year]],2025,AS[[#All],[Insurance Category Code]],A157,AS[[#All],[Large Provider Entity Code]],100,AS[[#All],[Age Band Code]],7)</f>
        <v>0</v>
      </c>
      <c r="T157" s="178">
        <f>SUMIFS(AS[[#All],[Total Non-Truncated Claims Spending]],AS[[#All],[Reporting Year]],2024,AS[[#All],[Insurance Category Code]],A157,AS[[#All],[Large Provider Entity Code]],100,AS[[#All],[Age Band Code]],8)</f>
        <v>0</v>
      </c>
      <c r="U157" s="90">
        <f>SUMIFS(AS[[#All],[Total Non-Truncated Claims Spending]],AS[[#All],[Reporting Year]],2025,AS[[#All],[Insurance Category Code]],A157,AS[[#All],[Large Provider Entity Code]],100,AS[[#All],[Age Band Code]],8)</f>
        <v>0</v>
      </c>
      <c r="V157" s="178">
        <f t="shared" si="50"/>
        <v>0</v>
      </c>
      <c r="W157" s="7">
        <f t="shared" si="51"/>
        <v>0</v>
      </c>
      <c r="X157" s="178">
        <f t="shared" si="52"/>
        <v>0</v>
      </c>
      <c r="Y157" s="7">
        <f t="shared" si="53"/>
        <v>0</v>
      </c>
      <c r="Z157"/>
      <c r="AA157"/>
      <c r="AB157"/>
      <c r="AC157"/>
    </row>
    <row r="158" spans="1:51" x14ac:dyDescent="0.4">
      <c r="A158" s="1"/>
      <c r="B158" s="108"/>
      <c r="C158" s="108"/>
      <c r="D158" s="108"/>
      <c r="E158" s="108"/>
      <c r="F158" s="109"/>
      <c r="G158" s="109"/>
      <c r="H158" s="109"/>
      <c r="I158" s="109"/>
      <c r="J158" s="108"/>
      <c r="K158" s="108"/>
      <c r="L158" s="108"/>
      <c r="M158" s="108"/>
      <c r="N158"/>
      <c r="O158"/>
      <c r="P158"/>
      <c r="Q158"/>
      <c r="R158"/>
      <c r="S158"/>
      <c r="T158"/>
      <c r="U158"/>
      <c r="V158"/>
      <c r="W158"/>
      <c r="X158"/>
      <c r="Y158"/>
      <c r="Z158"/>
      <c r="AA158"/>
      <c r="AB158"/>
      <c r="AC158"/>
      <c r="AD158" s="177"/>
      <c r="AE158" s="177"/>
      <c r="AF158" s="177"/>
      <c r="AG158" s="177"/>
      <c r="AH158" s="288"/>
      <c r="AI158" s="288"/>
      <c r="AJ158" s="288"/>
      <c r="AK158" s="288"/>
      <c r="AL158" s="177"/>
      <c r="AM158" s="177"/>
      <c r="AN158" s="177"/>
      <c r="AO158" s="177"/>
      <c r="AP158" s="177"/>
      <c r="AQ158" s="177"/>
      <c r="AR158" s="177"/>
      <c r="AS158" s="177"/>
      <c r="AT158" s="177"/>
      <c r="AU158" s="177"/>
      <c r="AV158" s="177"/>
      <c r="AW158" s="177"/>
      <c r="AX158" s="177"/>
      <c r="AY158" s="177"/>
    </row>
    <row r="159" spans="1:51" x14ac:dyDescent="0.4">
      <c r="A159"/>
      <c r="B159"/>
      <c r="C159"/>
      <c r="D159"/>
      <c r="E159"/>
      <c r="F159"/>
      <c r="G159"/>
      <c r="H159"/>
      <c r="I159"/>
      <c r="J159"/>
      <c r="K159"/>
      <c r="L159"/>
      <c r="M159"/>
      <c r="N159"/>
      <c r="O159"/>
      <c r="P159"/>
      <c r="Q159"/>
      <c r="R159"/>
      <c r="S159"/>
      <c r="T159"/>
      <c r="U159"/>
      <c r="V159"/>
      <c r="W159"/>
      <c r="X159"/>
      <c r="Y159"/>
      <c r="Z159"/>
      <c r="AA159"/>
      <c r="AB159"/>
      <c r="AC159"/>
    </row>
    <row r="160" spans="1:51" x14ac:dyDescent="0.4">
      <c r="A160" s="4" t="s">
        <v>443</v>
      </c>
      <c r="B160"/>
      <c r="C160"/>
      <c r="D160"/>
      <c r="E160"/>
      <c r="F160"/>
      <c r="G160"/>
      <c r="H160"/>
      <c r="I160"/>
      <c r="J160"/>
      <c r="K160"/>
      <c r="L160"/>
      <c r="M160"/>
      <c r="N160"/>
      <c r="O160"/>
      <c r="P160"/>
      <c r="Q160"/>
      <c r="R160"/>
      <c r="S160"/>
      <c r="T160"/>
      <c r="U160"/>
      <c r="V160"/>
      <c r="W160"/>
      <c r="X160"/>
      <c r="Y160"/>
      <c r="Z160"/>
      <c r="AA160"/>
      <c r="AB160"/>
      <c r="AC160"/>
    </row>
    <row r="161" spans="1:59" ht="17.399999999999999" thickBot="1" x14ac:dyDescent="0.45">
      <c r="A161" s="618" t="s">
        <v>86</v>
      </c>
      <c r="B161" s="191">
        <v>2024</v>
      </c>
      <c r="C161" s="192">
        <v>2025</v>
      </c>
      <c r="D161" s="191">
        <v>2024</v>
      </c>
      <c r="E161" s="193">
        <v>2025</v>
      </c>
      <c r="F161"/>
      <c r="G161"/>
      <c r="H161"/>
      <c r="I161"/>
      <c r="J161"/>
      <c r="K161"/>
      <c r="L161"/>
      <c r="M161"/>
      <c r="N161"/>
      <c r="O161"/>
      <c r="P161"/>
      <c r="Q161"/>
      <c r="R161"/>
      <c r="S161"/>
      <c r="T161"/>
      <c r="U161"/>
      <c r="V161"/>
      <c r="W161"/>
      <c r="X161"/>
      <c r="Y161"/>
      <c r="Z161"/>
      <c r="AA161"/>
      <c r="AB161"/>
      <c r="AC161"/>
    </row>
    <row r="162" spans="1:59" ht="15" customHeight="1" x14ac:dyDescent="0.4">
      <c r="A162" s="633"/>
      <c r="B162" s="631" t="s">
        <v>171</v>
      </c>
      <c r="C162" s="634"/>
      <c r="D162" s="635" t="s">
        <v>192</v>
      </c>
      <c r="E162" s="632"/>
      <c r="F162"/>
      <c r="G162"/>
      <c r="H162"/>
      <c r="I162"/>
      <c r="J162"/>
      <c r="K162"/>
      <c r="L162"/>
      <c r="M162"/>
      <c r="N162"/>
      <c r="O162"/>
      <c r="P162"/>
      <c r="Q162"/>
      <c r="R162"/>
      <c r="S162"/>
      <c r="T162"/>
      <c r="U162"/>
      <c r="V162"/>
      <c r="W162"/>
      <c r="X162"/>
      <c r="Y162"/>
      <c r="Z162"/>
      <c r="AA162"/>
      <c r="AB162"/>
      <c r="AC162"/>
    </row>
    <row r="163" spans="1:59" x14ac:dyDescent="0.4">
      <c r="A163" s="47">
        <v>1</v>
      </c>
      <c r="B163" s="89">
        <f>SUMIFS(SD[[#All],[Member Months]],SD[[#All],[Reporting Year]],2024,SD[[#All],[Market Code]],A163,SD[[#All],[Large Provider Entity Code]],100)</f>
        <v>0</v>
      </c>
      <c r="C163" s="285">
        <f>SUMIFS(SD[[#All],[Member Months]],SD[[#All],[Reporting Year]],2025,SD[[#All],[Market Code]],A163,SD[[#All],[Large Provider Entity Code]],100)</f>
        <v>0</v>
      </c>
      <c r="D163" s="159">
        <f>SUMIFS(SD[[#All],[Total Truncated Claims Spending]],SD[[#All],[Reporting Year]],2024,SD[[#All],[Market Code]],A163,SD[[#All],[Large Provider Entity Code]],100)</f>
        <v>0</v>
      </c>
      <c r="E163" s="163">
        <f>SUMIFS(SD[[#All],[Total Truncated Claims Spending]],SD[[#All],[Reporting Year]],2025,SD[[#All],[Market Code]],A163,SD[[#All],[Large Provider Entity Code]],100)</f>
        <v>0</v>
      </c>
      <c r="F163"/>
      <c r="G163"/>
      <c r="H163"/>
      <c r="I163"/>
      <c r="J163"/>
      <c r="K163"/>
      <c r="L163"/>
      <c r="M163"/>
      <c r="N163"/>
      <c r="O163"/>
      <c r="P163"/>
      <c r="Q163"/>
      <c r="R163"/>
      <c r="S163"/>
      <c r="T163"/>
      <c r="U163"/>
      <c r="V163"/>
      <c r="W163"/>
      <c r="X163"/>
      <c r="Y163"/>
      <c r="Z163"/>
      <c r="AA163"/>
      <c r="AB163"/>
      <c r="AC163"/>
    </row>
    <row r="164" spans="1:59" x14ac:dyDescent="0.4">
      <c r="A164" s="47">
        <v>2</v>
      </c>
      <c r="B164" s="89">
        <f>SUMIFS(SD[[#All],[Member Months]],SD[[#All],[Reporting Year]],2024,SD[[#All],[Market Code]],A164,SD[[#All],[Large Provider Entity Code]],100)</f>
        <v>0</v>
      </c>
      <c r="C164" s="285">
        <f>SUMIFS(SD[[#All],[Member Months]],SD[[#All],[Reporting Year]],2025,SD[[#All],[Market Code]],A164,SD[[#All],[Large Provider Entity Code]],100)</f>
        <v>0</v>
      </c>
      <c r="D164" s="159">
        <f>SUMIFS(SD[[#All],[Total Truncated Claims Spending]],SD[[#All],[Reporting Year]],2024,SD[[#All],[Market Code]],A164,SD[[#All],[Large Provider Entity Code]],100)</f>
        <v>0</v>
      </c>
      <c r="E164" s="163">
        <f>SUMIFS(SD[[#All],[Total Truncated Claims Spending]],SD[[#All],[Reporting Year]],2025,SD[[#All],[Market Code]],A164,SD[[#All],[Large Provider Entity Code]],100)</f>
        <v>0</v>
      </c>
      <c r="F164"/>
      <c r="G164"/>
      <c r="H164"/>
      <c r="I164"/>
      <c r="J164"/>
      <c r="K164"/>
      <c r="L164"/>
      <c r="M164"/>
      <c r="N164"/>
      <c r="O164"/>
      <c r="P164"/>
      <c r="Q164"/>
      <c r="R164"/>
      <c r="S164"/>
      <c r="T164"/>
      <c r="U164"/>
      <c r="V164"/>
      <c r="W164"/>
      <c r="X164"/>
      <c r="Y164"/>
      <c r="Z164"/>
      <c r="AA164"/>
      <c r="AB164"/>
      <c r="AC164"/>
    </row>
    <row r="165" spans="1:59" x14ac:dyDescent="0.4">
      <c r="A165" s="47">
        <v>3</v>
      </c>
      <c r="B165" s="89">
        <f>SUMIFS(SD[[#All],[Member Months]],SD[[#All],[Reporting Year]],2024,SD[[#All],[Market Code]],A165,SD[[#All],[Large Provider Entity Code]],100)</f>
        <v>0</v>
      </c>
      <c r="C165" s="285">
        <f>SUMIFS(SD[[#All],[Member Months]],SD[[#All],[Reporting Year]],2025,SD[[#All],[Market Code]],A165,SD[[#All],[Large Provider Entity Code]],100)</f>
        <v>0</v>
      </c>
      <c r="D165" s="159">
        <f>SUMIFS(SD[[#All],[Total Truncated Claims Spending]],SD[[#All],[Reporting Year]],2024,SD[[#All],[Market Code]],A165,SD[[#All],[Large Provider Entity Code]],100)</f>
        <v>0</v>
      </c>
      <c r="E165" s="163">
        <f>SUMIFS(SD[[#All],[Total Truncated Claims Spending]],SD[[#All],[Reporting Year]],2025,SD[[#All],[Market Code]],A165,SD[[#All],[Large Provider Entity Code]],100)</f>
        <v>0</v>
      </c>
      <c r="F165"/>
      <c r="G165"/>
      <c r="H165"/>
      <c r="I165"/>
      <c r="J165"/>
      <c r="K165"/>
      <c r="L165"/>
      <c r="M165"/>
      <c r="N165"/>
      <c r="O165"/>
      <c r="P165"/>
      <c r="Q165"/>
      <c r="R165"/>
      <c r="S165"/>
      <c r="T165"/>
      <c r="U165"/>
      <c r="V165"/>
      <c r="W165"/>
      <c r="X165"/>
      <c r="Y165"/>
      <c r="Z165"/>
      <c r="AA165"/>
      <c r="AB165"/>
      <c r="AC165"/>
    </row>
    <row r="166" spans="1:59" x14ac:dyDescent="0.4">
      <c r="A166" s="1"/>
      <c r="B166" s="108"/>
      <c r="C166" s="108"/>
      <c r="D166" s="176"/>
      <c r="E166" s="176"/>
      <c r="F166"/>
      <c r="G166"/>
      <c r="H166"/>
      <c r="I166"/>
      <c r="J166"/>
      <c r="K166"/>
      <c r="L166"/>
      <c r="M166"/>
      <c r="N166"/>
      <c r="O166"/>
      <c r="P166"/>
      <c r="Q166"/>
      <c r="R166"/>
      <c r="S166"/>
      <c r="T166"/>
      <c r="U166"/>
      <c r="V166"/>
      <c r="W166"/>
      <c r="X166"/>
      <c r="Y166"/>
      <c r="Z166"/>
      <c r="AA166"/>
      <c r="AB166"/>
      <c r="AC166"/>
    </row>
    <row r="167" spans="1:59" x14ac:dyDescent="0.4">
      <c r="A167" s="2"/>
      <c r="B167" s="286"/>
      <c r="C167" s="286"/>
      <c r="D167"/>
      <c r="E167"/>
      <c r="F167"/>
      <c r="G167"/>
      <c r="H167"/>
      <c r="I167"/>
      <c r="J167"/>
      <c r="K167"/>
      <c r="L167"/>
      <c r="M167"/>
      <c r="N167"/>
      <c r="O167"/>
      <c r="P167"/>
      <c r="Q167"/>
      <c r="R167"/>
      <c r="S167"/>
      <c r="T167"/>
      <c r="U167"/>
      <c r="V167"/>
      <c r="W167"/>
      <c r="X167"/>
      <c r="Y167"/>
      <c r="Z167"/>
      <c r="AA167"/>
      <c r="AB167"/>
      <c r="AC167"/>
      <c r="AY167" s="43"/>
      <c r="BA167" s="43"/>
      <c r="BC167" s="43"/>
      <c r="BE167" s="43"/>
      <c r="BG167" s="43"/>
    </row>
    <row r="168" spans="1:59" x14ac:dyDescent="0.4">
      <c r="A168" s="4" t="s">
        <v>444</v>
      </c>
      <c r="B168"/>
      <c r="C168"/>
      <c r="D168"/>
      <c r="E168"/>
      <c r="F168"/>
      <c r="G168"/>
      <c r="H168"/>
      <c r="I168"/>
      <c r="J168"/>
      <c r="K168"/>
      <c r="L168"/>
      <c r="M168"/>
      <c r="N168"/>
      <c r="O168"/>
      <c r="P168"/>
      <c r="Q168"/>
      <c r="R168"/>
      <c r="S168"/>
      <c r="T168"/>
      <c r="U168"/>
      <c r="V168"/>
      <c r="W168"/>
      <c r="X168"/>
      <c r="Y168"/>
      <c r="Z168"/>
      <c r="AA168"/>
      <c r="AB168"/>
      <c r="AC168"/>
    </row>
    <row r="169" spans="1:59" ht="17.399999999999999" thickBot="1" x14ac:dyDescent="0.45">
      <c r="A169" s="583" t="s">
        <v>445</v>
      </c>
      <c r="B169" s="195">
        <v>2024</v>
      </c>
      <c r="C169" s="193">
        <v>2025</v>
      </c>
      <c r="D169"/>
      <c r="E169"/>
      <c r="F169"/>
      <c r="G169"/>
      <c r="H169"/>
      <c r="I169"/>
      <c r="J169"/>
      <c r="K169"/>
      <c r="L169"/>
      <c r="M169"/>
      <c r="N169"/>
      <c r="O169"/>
      <c r="P169"/>
      <c r="Q169"/>
      <c r="R169"/>
      <c r="S169"/>
      <c r="T169"/>
      <c r="U169"/>
      <c r="V169"/>
      <c r="W169"/>
      <c r="X169"/>
      <c r="Y169"/>
      <c r="Z169"/>
      <c r="AA169"/>
      <c r="AB169"/>
      <c r="AC169"/>
    </row>
    <row r="170" spans="1:59" x14ac:dyDescent="0.4">
      <c r="A170" s="636"/>
      <c r="B170" s="637" t="s">
        <v>171</v>
      </c>
      <c r="C170" s="632"/>
      <c r="D170"/>
      <c r="E170"/>
      <c r="F170"/>
      <c r="G170"/>
      <c r="H170"/>
      <c r="I170"/>
      <c r="J170"/>
      <c r="K170"/>
      <c r="L170"/>
      <c r="M170"/>
      <c r="N170"/>
      <c r="O170"/>
      <c r="P170"/>
      <c r="Q170"/>
      <c r="R170"/>
      <c r="S170"/>
      <c r="T170"/>
      <c r="U170"/>
      <c r="V170"/>
      <c r="W170"/>
      <c r="X170"/>
      <c r="Y170"/>
      <c r="Z170"/>
      <c r="AA170"/>
      <c r="AB170"/>
      <c r="AC170"/>
    </row>
    <row r="171" spans="1:59" x14ac:dyDescent="0.4">
      <c r="A171" s="6">
        <v>1</v>
      </c>
      <c r="B171" s="8">
        <f>SUMIFS(LB[[#All],[Member Months]],LB[[#All],[Reporting Year]],2024,LB[[#All],[Line of Business Category Code]],A171)</f>
        <v>0</v>
      </c>
      <c r="C171" s="8">
        <f>SUMIFS(LB[[#All],[Member Months]],LB[[#All],[Reporting Year]],2025,LB[[#All],[Line of Business Category Code]],A171)</f>
        <v>0</v>
      </c>
      <c r="D171"/>
      <c r="E171"/>
      <c r="F171"/>
      <c r="G171"/>
      <c r="H171"/>
      <c r="I171"/>
      <c r="J171"/>
      <c r="K171"/>
      <c r="L171"/>
      <c r="M171"/>
      <c r="N171"/>
      <c r="O171"/>
      <c r="P171"/>
      <c r="Q171"/>
      <c r="R171"/>
      <c r="S171"/>
      <c r="T171"/>
      <c r="U171"/>
      <c r="V171"/>
      <c r="W171"/>
      <c r="X171"/>
      <c r="Y171"/>
      <c r="Z171"/>
      <c r="AA171"/>
      <c r="AB171"/>
      <c r="AC171"/>
    </row>
    <row r="172" spans="1:59" x14ac:dyDescent="0.4">
      <c r="A172" s="6">
        <v>2</v>
      </c>
      <c r="B172" s="8">
        <f>SUMIFS(LB[[#All],[Member Months]],LB[[#All],[Reporting Year]],2024,LB[[#All],[Line of Business Category Code]],A172)</f>
        <v>0</v>
      </c>
      <c r="C172" s="8">
        <f>SUMIFS(LB[[#All],[Member Months]],LB[[#All],[Reporting Year]],2025,LB[[#All],[Line of Business Category Code]],A172)</f>
        <v>0</v>
      </c>
      <c r="D172"/>
      <c r="E172"/>
      <c r="F172"/>
      <c r="G172"/>
      <c r="H172"/>
      <c r="I172"/>
      <c r="J172"/>
      <c r="K172"/>
      <c r="L172"/>
      <c r="M172"/>
      <c r="N172"/>
      <c r="O172"/>
      <c r="P172"/>
      <c r="Q172"/>
      <c r="R172"/>
      <c r="S172"/>
      <c r="T172"/>
      <c r="U172"/>
      <c r="V172"/>
      <c r="W172"/>
      <c r="X172"/>
      <c r="Y172"/>
      <c r="Z172"/>
      <c r="AA172"/>
      <c r="AB172"/>
      <c r="AC172"/>
    </row>
    <row r="173" spans="1:59" x14ac:dyDescent="0.4">
      <c r="A173" s="6">
        <v>3</v>
      </c>
      <c r="B173" s="8">
        <f>SUMIFS(LB[[#All],[Member Months]],LB[[#All],[Reporting Year]],2024,LB[[#All],[Line of Business Category Code]],A173)</f>
        <v>0</v>
      </c>
      <c r="C173" s="8">
        <f>SUMIFS(LB[[#All],[Member Months]],LB[[#All],[Reporting Year]],2025,LB[[#All],[Line of Business Category Code]],A173)</f>
        <v>0</v>
      </c>
      <c r="D173"/>
      <c r="E173"/>
      <c r="F173"/>
      <c r="G173"/>
      <c r="H173"/>
      <c r="I173"/>
      <c r="J173"/>
      <c r="K173"/>
      <c r="L173"/>
      <c r="M173"/>
      <c r="N173"/>
      <c r="O173"/>
      <c r="P173"/>
      <c r="Q173"/>
      <c r="R173"/>
      <c r="S173"/>
      <c r="T173"/>
      <c r="U173"/>
      <c r="V173"/>
      <c r="W173"/>
      <c r="X173"/>
      <c r="Y173"/>
      <c r="Z173"/>
      <c r="AA173"/>
      <c r="AB173"/>
      <c r="AC173"/>
    </row>
    <row r="174" spans="1:59" x14ac:dyDescent="0.4">
      <c r="A174" s="6">
        <v>4</v>
      </c>
      <c r="B174" s="8">
        <f>SUMIFS(LB[[#All],[Member Months]],LB[[#All],[Reporting Year]],2024,LB[[#All],[Line of Business Category Code]],A174)</f>
        <v>0</v>
      </c>
      <c r="C174" s="8">
        <f>SUMIFS(LB[[#All],[Member Months]],LB[[#All],[Reporting Year]],2025,LB[[#All],[Line of Business Category Code]],A174)</f>
        <v>0</v>
      </c>
      <c r="D174"/>
      <c r="E174"/>
      <c r="F174"/>
      <c r="G174"/>
      <c r="H174"/>
      <c r="I174"/>
      <c r="J174"/>
      <c r="K174"/>
      <c r="L174"/>
      <c r="M174"/>
      <c r="N174"/>
      <c r="O174"/>
      <c r="P174"/>
      <c r="Q174"/>
      <c r="R174"/>
      <c r="S174"/>
      <c r="T174"/>
      <c r="U174"/>
      <c r="V174"/>
      <c r="W174"/>
      <c r="X174"/>
      <c r="Y174"/>
      <c r="Z174"/>
      <c r="AA174"/>
      <c r="AB174"/>
      <c r="AC174"/>
    </row>
    <row r="175" spans="1:59" x14ac:dyDescent="0.4">
      <c r="A175" s="6">
        <v>5</v>
      </c>
      <c r="B175" s="8">
        <f>SUMIFS(LB[[#All],[Member Months]],LB[[#All],[Reporting Year]],2024,LB[[#All],[Line of Business Category Code]],A175)</f>
        <v>0</v>
      </c>
      <c r="C175" s="8">
        <f>SUMIFS(LB[[#All],[Member Months]],LB[[#All],[Reporting Year]],2025,LB[[#All],[Line of Business Category Code]],A175)</f>
        <v>0</v>
      </c>
      <c r="D175"/>
      <c r="E175"/>
      <c r="F175"/>
      <c r="G175"/>
      <c r="H175"/>
      <c r="I175"/>
      <c r="J175"/>
      <c r="K175"/>
      <c r="L175"/>
      <c r="M175"/>
      <c r="N175"/>
      <c r="O175"/>
      <c r="P175"/>
      <c r="Q175"/>
      <c r="R175"/>
      <c r="S175"/>
      <c r="T175"/>
      <c r="U175"/>
      <c r="V175"/>
      <c r="W175"/>
      <c r="X175"/>
      <c r="Y175"/>
      <c r="Z175"/>
      <c r="AA175"/>
      <c r="AB175"/>
      <c r="AC175"/>
    </row>
    <row r="176" spans="1:59" x14ac:dyDescent="0.4">
      <c r="A176" s="6">
        <v>6</v>
      </c>
      <c r="B176" s="8">
        <f>SUMIFS(LB[[#All],[Member Months]],LB[[#All],[Reporting Year]],2024,LB[[#All],[Line of Business Category Code]],A176)</f>
        <v>0</v>
      </c>
      <c r="C176" s="8">
        <f>SUMIFS(LB[[#All],[Member Months]],LB[[#All],[Reporting Year]],2025,LB[[#All],[Line of Business Category Code]],A176)</f>
        <v>0</v>
      </c>
      <c r="D176"/>
      <c r="E176"/>
      <c r="F176"/>
      <c r="G176"/>
      <c r="H176"/>
      <c r="I176"/>
      <c r="J176"/>
      <c r="K176"/>
      <c r="L176"/>
      <c r="M176"/>
      <c r="N176"/>
      <c r="O176"/>
      <c r="P176"/>
      <c r="Q176"/>
      <c r="R176"/>
      <c r="S176"/>
      <c r="T176"/>
      <c r="U176"/>
      <c r="V176"/>
      <c r="W176"/>
      <c r="X176"/>
      <c r="Y176"/>
      <c r="Z176"/>
      <c r="AA176"/>
      <c r="AB176"/>
      <c r="AC176"/>
    </row>
    <row r="177" spans="1:29" x14ac:dyDescent="0.4">
      <c r="A177" s="6">
        <v>7</v>
      </c>
      <c r="B177" s="8">
        <f>SUMIFS(LB[[#All],[Member Months]],LB[[#All],[Reporting Year]],2024,LB[[#All],[Line of Business Category Code]],A177)</f>
        <v>0</v>
      </c>
      <c r="C177" s="8">
        <f>SUMIFS(LB[[#All],[Member Months]],LB[[#All],[Reporting Year]],2025,LB[[#All],[Line of Business Category Code]],A177)</f>
        <v>0</v>
      </c>
      <c r="D177"/>
      <c r="E177"/>
      <c r="F177"/>
      <c r="G177"/>
      <c r="H177"/>
      <c r="I177"/>
      <c r="J177"/>
      <c r="K177"/>
      <c r="L177"/>
      <c r="M177"/>
      <c r="N177"/>
      <c r="O177"/>
      <c r="P177"/>
      <c r="Q177"/>
      <c r="R177"/>
      <c r="S177"/>
      <c r="T177"/>
      <c r="U177"/>
      <c r="V177"/>
      <c r="W177"/>
      <c r="X177"/>
      <c r="Y177"/>
      <c r="Z177"/>
      <c r="AA177"/>
      <c r="AB177"/>
      <c r="AC177"/>
    </row>
    <row r="178" spans="1:29" x14ac:dyDescent="0.4">
      <c r="A178" s="6">
        <v>8</v>
      </c>
      <c r="B178" s="8">
        <f>SUMIFS(LB[[#All],[Member Months]],LB[[#All],[Reporting Year]],2024,LB[[#All],[Line of Business Category Code]],A178)</f>
        <v>0</v>
      </c>
      <c r="C178" s="8">
        <f>SUMIFS(LB[[#All],[Member Months]],LB[[#All],[Reporting Year]],2025,LB[[#All],[Line of Business Category Code]],A178)</f>
        <v>0</v>
      </c>
      <c r="D178"/>
      <c r="E178"/>
      <c r="F178"/>
      <c r="G178"/>
      <c r="H178"/>
      <c r="I178"/>
      <c r="J178"/>
      <c r="K178"/>
      <c r="L178"/>
      <c r="M178"/>
      <c r="N178"/>
      <c r="O178"/>
      <c r="P178"/>
      <c r="Q178"/>
      <c r="R178"/>
      <c r="S178"/>
      <c r="T178"/>
      <c r="U178"/>
      <c r="V178"/>
      <c r="W178"/>
      <c r="X178"/>
      <c r="Y178"/>
      <c r="Z178"/>
      <c r="AA178"/>
      <c r="AB178"/>
      <c r="AC178"/>
    </row>
    <row r="179" spans="1:29" x14ac:dyDescent="0.4">
      <c r="A179" s="6">
        <v>9</v>
      </c>
      <c r="B179" s="8">
        <f>SUMIFS(LB[[#All],[Member Months]],LB[[#All],[Reporting Year]],2024,LB[[#All],[Line of Business Category Code]],A179)</f>
        <v>0</v>
      </c>
      <c r="C179" s="8">
        <f>SUMIFS(LB[[#All],[Member Months]],LB[[#All],[Reporting Year]],2025,LB[[#All],[Line of Business Category Code]],A179)</f>
        <v>0</v>
      </c>
      <c r="D179"/>
      <c r="E179"/>
      <c r="F179"/>
      <c r="G179"/>
      <c r="H179"/>
      <c r="I179"/>
      <c r="J179"/>
      <c r="K179"/>
      <c r="L179"/>
      <c r="M179"/>
      <c r="N179"/>
      <c r="O179"/>
      <c r="P179"/>
      <c r="Q179"/>
      <c r="R179"/>
      <c r="S179"/>
      <c r="T179"/>
      <c r="U179"/>
      <c r="V179"/>
      <c r="W179"/>
      <c r="X179"/>
      <c r="Y179"/>
      <c r="Z179"/>
      <c r="AA179"/>
      <c r="AB179"/>
      <c r="AC179"/>
    </row>
    <row r="180" spans="1:29" x14ac:dyDescent="0.4">
      <c r="A180" s="6">
        <v>10</v>
      </c>
      <c r="B180" s="8">
        <f>SUMIFS(LB[[#All],[Member Months]],LB[[#All],[Reporting Year]],2024,LB[[#All],[Line of Business Category Code]],A180)</f>
        <v>0</v>
      </c>
      <c r="C180" s="8">
        <f>SUMIFS(LB[[#All],[Member Months]],LB[[#All],[Reporting Year]],2025,LB[[#All],[Line of Business Category Code]],A180)</f>
        <v>0</v>
      </c>
      <c r="D180"/>
      <c r="E180"/>
      <c r="F180"/>
      <c r="G180"/>
      <c r="H180"/>
      <c r="I180"/>
      <c r="J180"/>
      <c r="K180"/>
      <c r="L180"/>
      <c r="M180"/>
      <c r="N180"/>
      <c r="O180"/>
      <c r="P180"/>
      <c r="Q180"/>
      <c r="R180"/>
      <c r="S180"/>
      <c r="T180"/>
      <c r="U180"/>
      <c r="V180"/>
      <c r="W180"/>
      <c r="X180"/>
      <c r="Y180"/>
      <c r="Z180"/>
      <c r="AA180"/>
      <c r="AB180"/>
      <c r="AC180"/>
    </row>
    <row r="181" spans="1:29" x14ac:dyDescent="0.4">
      <c r="A181" s="6">
        <v>11</v>
      </c>
      <c r="B181" s="8">
        <f>SUMIFS(LB[[#All],[Member Months]],LB[[#All],[Reporting Year]],2024,LB[[#All],[Line of Business Category Code]],A181)</f>
        <v>0</v>
      </c>
      <c r="C181" s="8">
        <f>SUMIFS(LB[[#All],[Member Months]],LB[[#All],[Reporting Year]],2025,LB[[#All],[Line of Business Category Code]],A181)</f>
        <v>0</v>
      </c>
      <c r="D181"/>
      <c r="E181"/>
      <c r="F181"/>
      <c r="G181"/>
      <c r="H181"/>
      <c r="I181"/>
      <c r="J181"/>
      <c r="K181"/>
      <c r="L181"/>
      <c r="M181"/>
      <c r="N181"/>
      <c r="O181"/>
      <c r="P181"/>
      <c r="Q181"/>
      <c r="R181"/>
      <c r="S181"/>
      <c r="T181"/>
      <c r="U181"/>
      <c r="V181"/>
      <c r="W181"/>
      <c r="X181"/>
      <c r="Y181"/>
      <c r="Z181"/>
      <c r="AA181"/>
      <c r="AB181"/>
      <c r="AC181"/>
    </row>
    <row r="182" spans="1:29" x14ac:dyDescent="0.4">
      <c r="A182" s="1"/>
      <c r="B182" s="108"/>
      <c r="C182" s="108"/>
      <c r="D182"/>
      <c r="E182"/>
      <c r="F182"/>
      <c r="G182"/>
      <c r="H182"/>
      <c r="I182"/>
      <c r="J182"/>
      <c r="K182"/>
      <c r="L182"/>
      <c r="M182"/>
      <c r="N182"/>
      <c r="O182"/>
      <c r="P182"/>
      <c r="Q182"/>
      <c r="R182"/>
      <c r="S182"/>
      <c r="T182"/>
      <c r="U182"/>
      <c r="V182"/>
      <c r="W182"/>
      <c r="X182"/>
      <c r="Y182"/>
      <c r="Z182"/>
      <c r="AA182"/>
      <c r="AB182"/>
      <c r="AC182"/>
    </row>
    <row r="183" spans="1:29" x14ac:dyDescent="0.4">
      <c r="A183"/>
      <c r="B183"/>
      <c r="C183"/>
      <c r="D183"/>
      <c r="E183"/>
      <c r="F183"/>
      <c r="G183"/>
      <c r="H183"/>
      <c r="I183"/>
      <c r="J183"/>
      <c r="K183"/>
      <c r="L183"/>
      <c r="M183"/>
      <c r="N183"/>
      <c r="O183"/>
      <c r="P183"/>
      <c r="Q183"/>
      <c r="R183"/>
      <c r="S183"/>
      <c r="T183"/>
      <c r="U183"/>
      <c r="V183"/>
      <c r="W183"/>
      <c r="X183"/>
      <c r="Y183"/>
      <c r="Z183"/>
      <c r="AA183"/>
      <c r="AB183"/>
      <c r="AC183"/>
    </row>
    <row r="184" spans="1:29" x14ac:dyDescent="0.4">
      <c r="A184" s="3" t="s">
        <v>446</v>
      </c>
      <c r="B184"/>
      <c r="C184"/>
      <c r="D184"/>
      <c r="E184"/>
      <c r="F184"/>
      <c r="G184"/>
      <c r="H184"/>
      <c r="I184"/>
      <c r="J184"/>
      <c r="K184"/>
      <c r="L184"/>
      <c r="M184"/>
      <c r="N184"/>
      <c r="O184"/>
      <c r="P184"/>
      <c r="Q184"/>
      <c r="R184"/>
      <c r="S184"/>
      <c r="T184"/>
      <c r="U184"/>
      <c r="V184"/>
      <c r="W184"/>
      <c r="X184"/>
      <c r="Y184"/>
      <c r="Z184"/>
      <c r="AA184"/>
      <c r="AB184"/>
      <c r="AC184"/>
    </row>
    <row r="185" spans="1:29" x14ac:dyDescent="0.4">
      <c r="A185" s="307" t="s">
        <v>447</v>
      </c>
      <c r="B185" s="307"/>
      <c r="C185" s="307"/>
      <c r="D185" s="307"/>
      <c r="E185" s="307"/>
      <c r="F185" s="307"/>
      <c r="G185" s="307"/>
      <c r="H185" s="307"/>
      <c r="I185" s="307"/>
      <c r="J185" s="274"/>
      <c r="K185" s="274"/>
      <c r="L185" s="274"/>
      <c r="M185" s="274"/>
      <c r="N185" s="274"/>
      <c r="O185" s="274"/>
      <c r="P185" s="274"/>
      <c r="Q185" s="274"/>
      <c r="R185" s="274"/>
      <c r="S185" s="274"/>
      <c r="T185" s="274"/>
      <c r="U185" s="274"/>
      <c r="V185" s="274"/>
      <c r="W185" s="274"/>
      <c r="X185" s="274"/>
      <c r="Y185" s="274"/>
      <c r="Z185"/>
      <c r="AA185"/>
      <c r="AB185"/>
      <c r="AC185"/>
    </row>
    <row r="186" spans="1:29" ht="17.399999999999999" thickBot="1" x14ac:dyDescent="0.45">
      <c r="A186" s="592" t="s">
        <v>56</v>
      </c>
      <c r="B186" s="623">
        <v>2024</v>
      </c>
      <c r="C186" s="624"/>
      <c r="D186" s="624"/>
      <c r="E186" s="624"/>
      <c r="F186" s="624"/>
      <c r="G186" s="624"/>
      <c r="H186" s="624"/>
      <c r="I186" s="624"/>
      <c r="J186" s="624"/>
      <c r="K186" s="624"/>
      <c r="L186" s="624"/>
      <c r="M186" s="625"/>
      <c r="N186" s="626">
        <v>2025</v>
      </c>
      <c r="O186" s="627"/>
      <c r="P186" s="627"/>
      <c r="Q186" s="627"/>
      <c r="R186" s="627"/>
      <c r="S186" s="627"/>
      <c r="T186" s="627"/>
      <c r="U186" s="627"/>
      <c r="V186" s="627"/>
      <c r="W186" s="627"/>
      <c r="X186" s="627"/>
      <c r="Y186" s="627"/>
      <c r="Z186"/>
      <c r="AA186"/>
      <c r="AB186"/>
      <c r="AC186"/>
    </row>
    <row r="187" spans="1:29" ht="57.75" customHeight="1" x14ac:dyDescent="0.4">
      <c r="A187" s="622"/>
      <c r="B187" s="74" t="s">
        <v>328</v>
      </c>
      <c r="C187" s="75" t="s">
        <v>329</v>
      </c>
      <c r="D187" s="72" t="s">
        <v>354</v>
      </c>
      <c r="E187" s="72" t="s">
        <v>355</v>
      </c>
      <c r="F187" s="75" t="s">
        <v>448</v>
      </c>
      <c r="G187" s="75" t="s">
        <v>449</v>
      </c>
      <c r="H187" s="72" t="s">
        <v>583</v>
      </c>
      <c r="I187" s="72" t="s">
        <v>584</v>
      </c>
      <c r="J187" s="75" t="s">
        <v>450</v>
      </c>
      <c r="K187" s="75" t="s">
        <v>451</v>
      </c>
      <c r="L187" s="72" t="s">
        <v>585</v>
      </c>
      <c r="M187" s="72" t="s">
        <v>586</v>
      </c>
      <c r="N187" s="77" t="s">
        <v>328</v>
      </c>
      <c r="O187" s="78" t="s">
        <v>329</v>
      </c>
      <c r="P187" s="79" t="s">
        <v>354</v>
      </c>
      <c r="Q187" s="79" t="s">
        <v>355</v>
      </c>
      <c r="R187" s="77" t="s">
        <v>448</v>
      </c>
      <c r="S187" s="78" t="s">
        <v>449</v>
      </c>
      <c r="T187" s="79" t="s">
        <v>583</v>
      </c>
      <c r="U187" s="79" t="s">
        <v>584</v>
      </c>
      <c r="V187" s="77" t="s">
        <v>450</v>
      </c>
      <c r="W187" s="78" t="s">
        <v>451</v>
      </c>
      <c r="X187" s="79" t="s">
        <v>585</v>
      </c>
      <c r="Y187" s="79" t="s">
        <v>586</v>
      </c>
      <c r="Z187"/>
      <c r="AA187"/>
      <c r="AB187"/>
      <c r="AC187"/>
    </row>
    <row r="188" spans="1:29" x14ac:dyDescent="0.4">
      <c r="A188" s="48">
        <v>1</v>
      </c>
      <c r="B188" s="277">
        <f t="shared" ref="B188:B195" si="54">B111</f>
        <v>0</v>
      </c>
      <c r="C188" s="278">
        <f t="shared" ref="C188:C195" si="55">B124</f>
        <v>0</v>
      </c>
      <c r="D188" s="279" t="str">
        <f t="shared" ref="D188:D195" si="56">IF(((ABS(B188-C188))&lt;10),"Yes", "No")</f>
        <v>Yes</v>
      </c>
      <c r="E188" s="278">
        <f t="shared" ref="E188:E195" si="57">ABS(B188-C188)</f>
        <v>0</v>
      </c>
      <c r="F188" s="365">
        <f>P111</f>
        <v>0</v>
      </c>
      <c r="G188" s="365">
        <f>N124</f>
        <v>0</v>
      </c>
      <c r="H188" s="279" t="str">
        <f t="shared" ref="H188:H195" si="58">IF(((ABS(F188-G188))&lt;10),"Yes", "No")</f>
        <v>Yes</v>
      </c>
      <c r="I188" s="278">
        <f t="shared" ref="I188:I194" si="59">ABS(F188-G188)</f>
        <v>0</v>
      </c>
      <c r="J188" s="366">
        <f>D111</f>
        <v>0</v>
      </c>
      <c r="K188" s="366">
        <f>D124</f>
        <v>0</v>
      </c>
      <c r="L188" s="279" t="str">
        <f t="shared" ref="L188:L195" si="60">IF(((ABS(J188-K188))&lt;10),"Yes", "No")</f>
        <v>Yes</v>
      </c>
      <c r="M188" s="278">
        <f t="shared" ref="M188:M195" si="61">ABS(J188-K188)</f>
        <v>0</v>
      </c>
      <c r="N188" s="277">
        <f>C111</f>
        <v>0</v>
      </c>
      <c r="O188" s="278">
        <f>C124</f>
        <v>0</v>
      </c>
      <c r="P188" s="279" t="str">
        <f t="shared" ref="P188:P195" si="62">IF(((ABS(N188-O188))&lt;10),"Yes", "No")</f>
        <v>Yes</v>
      </c>
      <c r="Q188" s="278">
        <f>ABS(N188-O188)</f>
        <v>0</v>
      </c>
      <c r="R188" s="365">
        <f>Q111</f>
        <v>0</v>
      </c>
      <c r="S188" s="365">
        <f>O124</f>
        <v>0</v>
      </c>
      <c r="T188" s="279" t="str">
        <f t="shared" ref="T188:T195" si="63">IF(((ABS(R188-S188))&lt;10),"Yes", "No")</f>
        <v>Yes</v>
      </c>
      <c r="U188" s="278">
        <f>ABS(R188-S188)</f>
        <v>0</v>
      </c>
      <c r="V188" s="366">
        <f>E111</f>
        <v>0</v>
      </c>
      <c r="W188" s="366">
        <f>E124</f>
        <v>0</v>
      </c>
      <c r="X188" s="279" t="str">
        <f t="shared" ref="X188:X195" si="64">IF(((ABS(V188-W188))&lt;10),"Yes", "No")</f>
        <v>Yes</v>
      </c>
      <c r="Y188" s="278">
        <f>ABS(V188-W188)</f>
        <v>0</v>
      </c>
      <c r="Z188"/>
      <c r="AA188"/>
      <c r="AB188"/>
      <c r="AC188"/>
    </row>
    <row r="189" spans="1:29" x14ac:dyDescent="0.4">
      <c r="A189" s="48">
        <v>2</v>
      </c>
      <c r="B189" s="277">
        <f>B112</f>
        <v>0</v>
      </c>
      <c r="C189" s="278">
        <f t="shared" si="55"/>
        <v>0</v>
      </c>
      <c r="D189" s="279" t="str">
        <f>IF(((ABS(B189-C189))&lt;10),"Yes", "No")</f>
        <v>Yes</v>
      </c>
      <c r="E189" s="278">
        <f t="shared" si="57"/>
        <v>0</v>
      </c>
      <c r="F189" s="365">
        <f>P112</f>
        <v>0</v>
      </c>
      <c r="G189" s="365">
        <f t="shared" ref="G189:G195" si="65">N125</f>
        <v>0</v>
      </c>
      <c r="H189" s="279" t="str">
        <f t="shared" si="58"/>
        <v>Yes</v>
      </c>
      <c r="I189" s="278">
        <f t="shared" si="59"/>
        <v>0</v>
      </c>
      <c r="J189" s="366">
        <f t="shared" ref="J189:J195" si="66">D112</f>
        <v>0</v>
      </c>
      <c r="K189" s="366">
        <f t="shared" ref="K189:K195" si="67">D125</f>
        <v>0</v>
      </c>
      <c r="L189" s="279" t="str">
        <f t="shared" si="60"/>
        <v>Yes</v>
      </c>
      <c r="M189" s="278">
        <f t="shared" si="61"/>
        <v>0</v>
      </c>
      <c r="N189" s="277">
        <f t="shared" ref="N189:N195" si="68">C112</f>
        <v>0</v>
      </c>
      <c r="O189" s="278">
        <f t="shared" ref="O189:O195" si="69">C125</f>
        <v>0</v>
      </c>
      <c r="P189" s="279" t="str">
        <f t="shared" si="62"/>
        <v>Yes</v>
      </c>
      <c r="Q189" s="278">
        <f>ABS(N189-O189)</f>
        <v>0</v>
      </c>
      <c r="R189" s="365">
        <f t="shared" ref="R189:R195" si="70">Q112</f>
        <v>0</v>
      </c>
      <c r="S189" s="365">
        <f t="shared" ref="S189:S195" si="71">O125</f>
        <v>0</v>
      </c>
      <c r="T189" s="279" t="str">
        <f t="shared" si="63"/>
        <v>Yes</v>
      </c>
      <c r="U189" s="278">
        <f>ABS(R189-S189)</f>
        <v>0</v>
      </c>
      <c r="V189" s="366">
        <f>E112</f>
        <v>0</v>
      </c>
      <c r="W189" s="366">
        <f t="shared" ref="W189:W195" si="72">E125</f>
        <v>0</v>
      </c>
      <c r="X189" s="279" t="str">
        <f t="shared" si="64"/>
        <v>Yes</v>
      </c>
      <c r="Y189" s="278">
        <f>ABS(V189-W189)</f>
        <v>0</v>
      </c>
      <c r="Z189"/>
      <c r="AA189"/>
      <c r="AB189"/>
      <c r="AC189"/>
    </row>
    <row r="190" spans="1:29" x14ac:dyDescent="0.4">
      <c r="A190" s="48">
        <v>3</v>
      </c>
      <c r="B190" s="277">
        <f t="shared" si="54"/>
        <v>0</v>
      </c>
      <c r="C190" s="278">
        <f t="shared" si="55"/>
        <v>0</v>
      </c>
      <c r="D190" s="279" t="str">
        <f t="shared" si="56"/>
        <v>Yes</v>
      </c>
      <c r="E190" s="278">
        <f t="shared" si="57"/>
        <v>0</v>
      </c>
      <c r="F190" s="365">
        <f t="shared" ref="F190:F195" si="73">P113</f>
        <v>0</v>
      </c>
      <c r="G190" s="365">
        <f t="shared" si="65"/>
        <v>0</v>
      </c>
      <c r="H190" s="279" t="str">
        <f t="shared" si="58"/>
        <v>Yes</v>
      </c>
      <c r="I190" s="278">
        <f t="shared" si="59"/>
        <v>0</v>
      </c>
      <c r="J190" s="366">
        <f t="shared" si="66"/>
        <v>0</v>
      </c>
      <c r="K190" s="366">
        <f t="shared" si="67"/>
        <v>0</v>
      </c>
      <c r="L190" s="279" t="str">
        <f t="shared" si="60"/>
        <v>Yes</v>
      </c>
      <c r="M190" s="278">
        <f t="shared" si="61"/>
        <v>0</v>
      </c>
      <c r="N190" s="277">
        <f t="shared" si="68"/>
        <v>0</v>
      </c>
      <c r="O190" s="278">
        <f>C126</f>
        <v>0</v>
      </c>
      <c r="P190" s="279" t="str">
        <f t="shared" si="62"/>
        <v>Yes</v>
      </c>
      <c r="Q190" s="278">
        <f t="shared" ref="Q190:Q195" si="74">ABS(N190-O190)</f>
        <v>0</v>
      </c>
      <c r="R190" s="365">
        <f t="shared" si="70"/>
        <v>0</v>
      </c>
      <c r="S190" s="365">
        <f t="shared" si="71"/>
        <v>0</v>
      </c>
      <c r="T190" s="279" t="str">
        <f t="shared" si="63"/>
        <v>Yes</v>
      </c>
      <c r="U190" s="278">
        <f t="shared" ref="U190:U191" si="75">ABS(R190-S190)</f>
        <v>0</v>
      </c>
      <c r="V190" s="366">
        <f t="shared" ref="V190:V195" si="76">E113</f>
        <v>0</v>
      </c>
      <c r="W190" s="366">
        <f t="shared" si="72"/>
        <v>0</v>
      </c>
      <c r="X190" s="279" t="str">
        <f t="shared" si="64"/>
        <v>Yes</v>
      </c>
      <c r="Y190" s="278">
        <f t="shared" ref="Y190:Y191" si="77">ABS(V190-W190)</f>
        <v>0</v>
      </c>
      <c r="Z190"/>
      <c r="AA190"/>
      <c r="AB190"/>
      <c r="AC190"/>
    </row>
    <row r="191" spans="1:29" x14ac:dyDescent="0.4">
      <c r="A191" s="48">
        <v>4</v>
      </c>
      <c r="B191" s="277">
        <f t="shared" si="54"/>
        <v>0</v>
      </c>
      <c r="C191" s="278">
        <f t="shared" si="55"/>
        <v>0</v>
      </c>
      <c r="D191" s="279" t="str">
        <f t="shared" si="56"/>
        <v>Yes</v>
      </c>
      <c r="E191" s="278">
        <f t="shared" si="57"/>
        <v>0</v>
      </c>
      <c r="F191" s="365">
        <f t="shared" si="73"/>
        <v>0</v>
      </c>
      <c r="G191" s="365">
        <f>N127</f>
        <v>0</v>
      </c>
      <c r="H191" s="279" t="str">
        <f t="shared" si="58"/>
        <v>Yes</v>
      </c>
      <c r="I191" s="278">
        <f t="shared" si="59"/>
        <v>0</v>
      </c>
      <c r="J191" s="366">
        <f t="shared" si="66"/>
        <v>0</v>
      </c>
      <c r="K191" s="366">
        <f t="shared" si="67"/>
        <v>0</v>
      </c>
      <c r="L191" s="279" t="str">
        <f t="shared" si="60"/>
        <v>Yes</v>
      </c>
      <c r="M191" s="278">
        <f>ABS(J191-K191)</f>
        <v>0</v>
      </c>
      <c r="N191" s="277">
        <f t="shared" si="68"/>
        <v>0</v>
      </c>
      <c r="O191" s="278">
        <f t="shared" si="69"/>
        <v>0</v>
      </c>
      <c r="P191" s="279" t="str">
        <f t="shared" si="62"/>
        <v>Yes</v>
      </c>
      <c r="Q191" s="278">
        <f t="shared" si="74"/>
        <v>0</v>
      </c>
      <c r="R191" s="365">
        <f t="shared" si="70"/>
        <v>0</v>
      </c>
      <c r="S191" s="365">
        <f t="shared" si="71"/>
        <v>0</v>
      </c>
      <c r="T191" s="279" t="str">
        <f t="shared" si="63"/>
        <v>Yes</v>
      </c>
      <c r="U191" s="278">
        <f t="shared" si="75"/>
        <v>0</v>
      </c>
      <c r="V191" s="366">
        <f t="shared" si="76"/>
        <v>0</v>
      </c>
      <c r="W191" s="366">
        <f t="shared" si="72"/>
        <v>0</v>
      </c>
      <c r="X191" s="279" t="str">
        <f t="shared" si="64"/>
        <v>Yes</v>
      </c>
      <c r="Y191" s="278">
        <f t="shared" si="77"/>
        <v>0</v>
      </c>
      <c r="Z191"/>
      <c r="AA191"/>
      <c r="AB191"/>
      <c r="AC191"/>
    </row>
    <row r="192" spans="1:29" x14ac:dyDescent="0.4">
      <c r="A192" s="48">
        <v>5</v>
      </c>
      <c r="B192" s="277">
        <f t="shared" si="54"/>
        <v>0</v>
      </c>
      <c r="C192" s="278">
        <f t="shared" si="55"/>
        <v>0</v>
      </c>
      <c r="D192" s="279" t="str">
        <f t="shared" si="56"/>
        <v>Yes</v>
      </c>
      <c r="E192" s="278">
        <f>ABS(B192-C192)</f>
        <v>0</v>
      </c>
      <c r="F192" s="365">
        <f>P115</f>
        <v>0</v>
      </c>
      <c r="G192" s="365">
        <f t="shared" si="65"/>
        <v>0</v>
      </c>
      <c r="H192" s="279" t="str">
        <f t="shared" si="58"/>
        <v>Yes</v>
      </c>
      <c r="I192" s="278">
        <f>ABS(F192-G192)</f>
        <v>0</v>
      </c>
      <c r="J192" s="366">
        <f t="shared" si="66"/>
        <v>0</v>
      </c>
      <c r="K192" s="366">
        <f t="shared" si="67"/>
        <v>0</v>
      </c>
      <c r="L192" s="279" t="str">
        <f t="shared" si="60"/>
        <v>Yes</v>
      </c>
      <c r="M192" s="278">
        <f t="shared" si="61"/>
        <v>0</v>
      </c>
      <c r="N192" s="277">
        <f t="shared" si="68"/>
        <v>0</v>
      </c>
      <c r="O192" s="278">
        <f t="shared" si="69"/>
        <v>0</v>
      </c>
      <c r="P192" s="279" t="str">
        <f t="shared" si="62"/>
        <v>Yes</v>
      </c>
      <c r="Q192" s="278">
        <f>ABS(N192-O192)</f>
        <v>0</v>
      </c>
      <c r="R192" s="365">
        <f t="shared" si="70"/>
        <v>0</v>
      </c>
      <c r="S192" s="365">
        <f t="shared" si="71"/>
        <v>0</v>
      </c>
      <c r="T192" s="279" t="str">
        <f t="shared" si="63"/>
        <v>Yes</v>
      </c>
      <c r="U192" s="278">
        <f>ABS(R192-S192)</f>
        <v>0</v>
      </c>
      <c r="V192" s="366">
        <f t="shared" si="76"/>
        <v>0</v>
      </c>
      <c r="W192" s="366">
        <f t="shared" si="72"/>
        <v>0</v>
      </c>
      <c r="X192" s="279" t="str">
        <f t="shared" si="64"/>
        <v>Yes</v>
      </c>
      <c r="Y192" s="278">
        <f>ABS(V192-W192)</f>
        <v>0</v>
      </c>
      <c r="Z192"/>
      <c r="AA192"/>
      <c r="AB192"/>
      <c r="AC192"/>
    </row>
    <row r="193" spans="1:33" x14ac:dyDescent="0.4">
      <c r="A193" s="48">
        <v>6</v>
      </c>
      <c r="B193" s="277">
        <f t="shared" si="54"/>
        <v>0</v>
      </c>
      <c r="C193" s="278">
        <f t="shared" si="55"/>
        <v>0</v>
      </c>
      <c r="D193" s="279" t="str">
        <f t="shared" si="56"/>
        <v>Yes</v>
      </c>
      <c r="E193" s="278">
        <f t="shared" si="57"/>
        <v>0</v>
      </c>
      <c r="F193" s="365">
        <f t="shared" si="73"/>
        <v>0</v>
      </c>
      <c r="G193" s="365">
        <f>N129</f>
        <v>0</v>
      </c>
      <c r="H193" s="279" t="str">
        <f t="shared" si="58"/>
        <v>Yes</v>
      </c>
      <c r="I193" s="278">
        <f t="shared" si="59"/>
        <v>0</v>
      </c>
      <c r="J193" s="366">
        <f t="shared" si="66"/>
        <v>0</v>
      </c>
      <c r="K193" s="366">
        <f t="shared" si="67"/>
        <v>0</v>
      </c>
      <c r="L193" s="279" t="str">
        <f t="shared" si="60"/>
        <v>Yes</v>
      </c>
      <c r="M193" s="278">
        <f t="shared" si="61"/>
        <v>0</v>
      </c>
      <c r="N193" s="277">
        <f t="shared" si="68"/>
        <v>0</v>
      </c>
      <c r="O193" s="278">
        <f t="shared" si="69"/>
        <v>0</v>
      </c>
      <c r="P193" s="279" t="str">
        <f t="shared" si="62"/>
        <v>Yes</v>
      </c>
      <c r="Q193" s="278">
        <f>ABS(N193-O193)</f>
        <v>0</v>
      </c>
      <c r="R193" s="365">
        <f t="shared" si="70"/>
        <v>0</v>
      </c>
      <c r="S193" s="365">
        <f t="shared" si="71"/>
        <v>0</v>
      </c>
      <c r="T193" s="279" t="str">
        <f t="shared" si="63"/>
        <v>Yes</v>
      </c>
      <c r="U193" s="278">
        <f>ABS(R193-S193)</f>
        <v>0</v>
      </c>
      <c r="V193" s="366">
        <f t="shared" si="76"/>
        <v>0</v>
      </c>
      <c r="W193" s="366">
        <f t="shared" si="72"/>
        <v>0</v>
      </c>
      <c r="X193" s="279" t="str">
        <f t="shared" si="64"/>
        <v>Yes</v>
      </c>
      <c r="Y193" s="278">
        <f>ABS(V193-W193)</f>
        <v>0</v>
      </c>
      <c r="Z193"/>
      <c r="AA193"/>
      <c r="AB193"/>
      <c r="AC193"/>
    </row>
    <row r="194" spans="1:33" x14ac:dyDescent="0.4">
      <c r="A194" s="48">
        <v>7</v>
      </c>
      <c r="B194" s="363">
        <f t="shared" si="54"/>
        <v>0</v>
      </c>
      <c r="C194" s="364">
        <f>B130</f>
        <v>0</v>
      </c>
      <c r="D194" s="279" t="str">
        <f t="shared" si="56"/>
        <v>Yes</v>
      </c>
      <c r="E194" s="278">
        <f t="shared" si="57"/>
        <v>0</v>
      </c>
      <c r="F194" s="365">
        <f t="shared" si="73"/>
        <v>0</v>
      </c>
      <c r="G194" s="365">
        <f t="shared" si="65"/>
        <v>0</v>
      </c>
      <c r="H194" s="279" t="str">
        <f t="shared" si="58"/>
        <v>Yes</v>
      </c>
      <c r="I194" s="278">
        <f t="shared" si="59"/>
        <v>0</v>
      </c>
      <c r="J194" s="366">
        <f t="shared" si="66"/>
        <v>0</v>
      </c>
      <c r="K194" s="366">
        <f t="shared" si="67"/>
        <v>0</v>
      </c>
      <c r="L194" s="279" t="str">
        <f t="shared" si="60"/>
        <v>Yes</v>
      </c>
      <c r="M194" s="364">
        <f t="shared" si="61"/>
        <v>0</v>
      </c>
      <c r="N194" s="277">
        <f t="shared" si="68"/>
        <v>0</v>
      </c>
      <c r="O194" s="278">
        <f t="shared" si="69"/>
        <v>0</v>
      </c>
      <c r="P194" s="279" t="str">
        <f t="shared" si="62"/>
        <v>Yes</v>
      </c>
      <c r="Q194" s="278">
        <f t="shared" si="74"/>
        <v>0</v>
      </c>
      <c r="R194" s="365">
        <f t="shared" si="70"/>
        <v>0</v>
      </c>
      <c r="S194" s="365">
        <f t="shared" si="71"/>
        <v>0</v>
      </c>
      <c r="T194" s="279" t="str">
        <f t="shared" si="63"/>
        <v>Yes</v>
      </c>
      <c r="U194" s="278">
        <f t="shared" ref="U194:U195" si="78">ABS(R194-S194)</f>
        <v>0</v>
      </c>
      <c r="V194" s="366">
        <f t="shared" si="76"/>
        <v>0</v>
      </c>
      <c r="W194" s="366">
        <f t="shared" si="72"/>
        <v>0</v>
      </c>
      <c r="X194" s="279" t="str">
        <f t="shared" si="64"/>
        <v>Yes</v>
      </c>
      <c r="Y194" s="278">
        <f t="shared" ref="Y194:Y195" si="79">ABS(V194-W194)</f>
        <v>0</v>
      </c>
      <c r="Z194"/>
      <c r="AA194"/>
      <c r="AB194"/>
      <c r="AC194"/>
    </row>
    <row r="195" spans="1:33" x14ac:dyDescent="0.4">
      <c r="A195" s="48">
        <v>8</v>
      </c>
      <c r="B195" s="277">
        <f t="shared" si="54"/>
        <v>0</v>
      </c>
      <c r="C195" s="278">
        <f t="shared" si="55"/>
        <v>0</v>
      </c>
      <c r="D195" s="279" t="str">
        <f t="shared" si="56"/>
        <v>Yes</v>
      </c>
      <c r="E195" s="278">
        <f t="shared" si="57"/>
        <v>0</v>
      </c>
      <c r="F195" s="365">
        <f t="shared" si="73"/>
        <v>0</v>
      </c>
      <c r="G195" s="365">
        <f t="shared" si="65"/>
        <v>0</v>
      </c>
      <c r="H195" s="279" t="str">
        <f t="shared" si="58"/>
        <v>Yes</v>
      </c>
      <c r="I195" s="278">
        <f>ABS(F195-G195)</f>
        <v>0</v>
      </c>
      <c r="J195" s="366">
        <f t="shared" si="66"/>
        <v>0</v>
      </c>
      <c r="K195" s="366">
        <f t="shared" si="67"/>
        <v>0</v>
      </c>
      <c r="L195" s="279" t="str">
        <f t="shared" si="60"/>
        <v>Yes</v>
      </c>
      <c r="M195" s="278">
        <f t="shared" si="61"/>
        <v>0</v>
      </c>
      <c r="N195" s="277">
        <f t="shared" si="68"/>
        <v>0</v>
      </c>
      <c r="O195" s="278">
        <f t="shared" si="69"/>
        <v>0</v>
      </c>
      <c r="P195" s="279" t="str">
        <f t="shared" si="62"/>
        <v>Yes</v>
      </c>
      <c r="Q195" s="278">
        <f t="shared" si="74"/>
        <v>0</v>
      </c>
      <c r="R195" s="365">
        <f t="shared" si="70"/>
        <v>0</v>
      </c>
      <c r="S195" s="365">
        <f t="shared" si="71"/>
        <v>0</v>
      </c>
      <c r="T195" s="279" t="str">
        <f t="shared" si="63"/>
        <v>Yes</v>
      </c>
      <c r="U195" s="278">
        <f t="shared" si="78"/>
        <v>0</v>
      </c>
      <c r="V195" s="366">
        <f t="shared" si="76"/>
        <v>0</v>
      </c>
      <c r="W195" s="366">
        <f t="shared" si="72"/>
        <v>0</v>
      </c>
      <c r="X195" s="279" t="str">
        <f t="shared" si="64"/>
        <v>Yes</v>
      </c>
      <c r="Y195" s="278">
        <f t="shared" si="79"/>
        <v>0</v>
      </c>
      <c r="Z195"/>
      <c r="AA195"/>
      <c r="AB195"/>
      <c r="AC195"/>
    </row>
    <row r="196" spans="1:33" x14ac:dyDescent="0.4">
      <c r="A196"/>
      <c r="B196"/>
      <c r="C196"/>
      <c r="D196"/>
      <c r="E196"/>
      <c r="F196"/>
      <c r="G196"/>
      <c r="H196"/>
      <c r="I196"/>
      <c r="J196"/>
      <c r="K196"/>
      <c r="L196"/>
      <c r="M196"/>
      <c r="N196"/>
      <c r="O196"/>
      <c r="P196"/>
      <c r="Q196"/>
      <c r="R196"/>
      <c r="S196"/>
      <c r="T196"/>
      <c r="U196"/>
      <c r="V196"/>
      <c r="W196"/>
      <c r="X196"/>
      <c r="Y196"/>
      <c r="Z196"/>
      <c r="AA196"/>
      <c r="AB196"/>
      <c r="AC196"/>
    </row>
    <row r="197" spans="1:33" x14ac:dyDescent="0.4">
      <c r="A197"/>
      <c r="B197"/>
      <c r="C197"/>
      <c r="D197"/>
      <c r="E197"/>
      <c r="F197"/>
      <c r="G197"/>
      <c r="H197"/>
      <c r="I197"/>
      <c r="J197"/>
      <c r="K197"/>
      <c r="L197"/>
      <c r="M197"/>
      <c r="N197"/>
      <c r="O197"/>
      <c r="P197"/>
      <c r="Q197"/>
      <c r="R197"/>
      <c r="S197"/>
      <c r="T197"/>
      <c r="U197"/>
      <c r="V197"/>
      <c r="W197"/>
      <c r="X197"/>
      <c r="Y197"/>
      <c r="Z197"/>
      <c r="AA197"/>
      <c r="AB197"/>
      <c r="AC197"/>
    </row>
    <row r="198" spans="1:33" x14ac:dyDescent="0.4">
      <c r="A198" s="3" t="s">
        <v>452</v>
      </c>
      <c r="B198"/>
      <c r="C198"/>
      <c r="D198"/>
      <c r="E198"/>
      <c r="F198"/>
      <c r="G198"/>
      <c r="H198"/>
      <c r="I198"/>
      <c r="J198"/>
      <c r="K198"/>
      <c r="L198"/>
      <c r="M198"/>
      <c r="N198"/>
      <c r="O198"/>
      <c r="P198"/>
      <c r="Q198"/>
      <c r="R198"/>
      <c r="S198"/>
      <c r="T198"/>
      <c r="U198"/>
      <c r="V198"/>
      <c r="W198"/>
      <c r="X198"/>
      <c r="Y198"/>
      <c r="Z198"/>
      <c r="AA198"/>
      <c r="AB198"/>
      <c r="AC198"/>
      <c r="AG198" s="11" t="s">
        <v>344</v>
      </c>
    </row>
    <row r="199" spans="1:33" x14ac:dyDescent="0.4">
      <c r="A199" s="384"/>
      <c r="B199" s="624">
        <v>2024</v>
      </c>
      <c r="C199" s="624"/>
      <c r="D199" s="624"/>
      <c r="E199" s="624"/>
      <c r="F199" s="624"/>
      <c r="G199" s="624"/>
      <c r="H199" s="628">
        <v>2025</v>
      </c>
      <c r="I199" s="628"/>
      <c r="J199" s="628"/>
      <c r="K199" s="628"/>
      <c r="L199" s="628"/>
      <c r="M199" s="629"/>
      <c r="N199"/>
      <c r="O199"/>
      <c r="P199"/>
      <c r="Q199"/>
      <c r="R199"/>
      <c r="S199"/>
      <c r="T199"/>
      <c r="U199"/>
      <c r="V199"/>
      <c r="W199"/>
      <c r="X199"/>
      <c r="Y199"/>
      <c r="Z199"/>
      <c r="AA199"/>
      <c r="AB199"/>
      <c r="AC199"/>
    </row>
    <row r="200" spans="1:33" ht="50.4" x14ac:dyDescent="0.4">
      <c r="A200" s="383" t="s">
        <v>321</v>
      </c>
      <c r="B200" s="381" t="s">
        <v>453</v>
      </c>
      <c r="C200" s="319" t="s">
        <v>454</v>
      </c>
      <c r="D200" s="321" t="s">
        <v>455</v>
      </c>
      <c r="E200" s="319" t="s">
        <v>456</v>
      </c>
      <c r="F200" s="319" t="s">
        <v>457</v>
      </c>
      <c r="G200" s="321" t="s">
        <v>458</v>
      </c>
      <c r="H200" s="320" t="s">
        <v>459</v>
      </c>
      <c r="I200" s="320" t="s">
        <v>460</v>
      </c>
      <c r="J200" s="322" t="s">
        <v>461</v>
      </c>
      <c r="K200" s="320" t="s">
        <v>462</v>
      </c>
      <c r="L200" s="320" t="s">
        <v>463</v>
      </c>
      <c r="M200" s="323" t="s">
        <v>464</v>
      </c>
      <c r="N200"/>
      <c r="O200"/>
      <c r="P200"/>
      <c r="Q200"/>
      <c r="R200"/>
      <c r="S200"/>
      <c r="T200"/>
      <c r="U200"/>
      <c r="V200"/>
      <c r="W200"/>
      <c r="X200"/>
      <c r="Y200"/>
      <c r="Z200"/>
      <c r="AA200"/>
      <c r="AB200"/>
      <c r="AC200"/>
    </row>
    <row r="201" spans="1:33" x14ac:dyDescent="0.4">
      <c r="A201" s="382">
        <f>'2. Total Medical Expenses'!A12</f>
        <v>0</v>
      </c>
      <c r="B201" s="324">
        <f>IFERROR(B18,"NA")</f>
        <v>0</v>
      </c>
      <c r="C201" s="324" t="str" cm="1">
        <f t="array" ref="C201">IFERROR(INDEX(MA_2024[Enrolled_Totals],MATCH(PAD_40[Carrier Inputted Insurer Code (Field ID TM01)],MA_2024[INSURER_CODE],0)),"-")</f>
        <v>-</v>
      </c>
      <c r="D201" s="372" t="str">
        <f>IFERROR(ABS(PAD_40[[#This Row],[TME Tab Member Months for MA (Insurance Category Codes 1+5+8)]]-PAD_40[[#This Row],[CMS Member Months for MA]]),"NA")</f>
        <v>NA</v>
      </c>
      <c r="E201" s="324">
        <f>IFERROR((B22/12),"NA")</f>
        <v>0</v>
      </c>
      <c r="F201" s="324" t="str" cm="1">
        <f t="array" ref="F201">IFERROR(INDEX(MC_2024[Enrolled_Totals],MATCH(PAD_40[Carrier Inputted Insurer Code (Field ID TM01)],MC_2024[INSURER_CODE],0)),"-")</f>
        <v>-</v>
      </c>
      <c r="G201" s="372" t="str">
        <f>IFERROR(ABS(PAD_40[[#This Row],[TME Tab Member Count (Member Months Divided by 12) for Medicaid MCO (Insurance Category Codes 2+6)]]-PAD_40[[#This Row],[CMS Member Count for Medicaid MCO]]),"NA")</f>
        <v>NA</v>
      </c>
      <c r="H201" s="324">
        <f>IFERROR(I18,"NA")</f>
        <v>0</v>
      </c>
      <c r="I201" s="324" t="str" cm="1">
        <f t="array" ref="I201">IFERROR(INDEX(MA_2025[Enrolled_Totals],MATCH(PAD_40[Carrier Inputted Insurer Code (Field ID TM01)],MA_2025[INSURER_CODE],0)),"-")</f>
        <v>-</v>
      </c>
      <c r="J201" s="372" t="str">
        <f>IFERROR(ABS(PAD_40[[#This Row],[TME Tab Member Months for MA (Insurance Category Codes 1+5+8) ]]-PAD_40[[#This Row],[CMS Member Months for MA ]]),"NA")</f>
        <v>NA</v>
      </c>
      <c r="K201" s="324">
        <f>IFERROR((I22/12),"NA")</f>
        <v>0</v>
      </c>
      <c r="L201" s="324" t="str" cm="1">
        <f t="array" ref="L201">IFERROR(INDEX(MC_2025[Enrolled_Totals],MATCH(PAD_40[Carrier Inputted Insurer Code (Field ID TM01)],MC_2025[INSURER_CODE],0)),"-")</f>
        <v>-</v>
      </c>
      <c r="M201" s="373" t="str">
        <f>IFERROR(ABS(PAD_40[[#This Row],[TME Tab Member Count (Member Months Divided by 12) for Medicaid MCO (Insurance Category Codes 2+6) ]]-PAD_40[[#This Row],[CMS Member Count for Medicaid MCO ]]),"NA")</f>
        <v>NA</v>
      </c>
      <c r="N201"/>
      <c r="O201"/>
      <c r="P201"/>
      <c r="Q201"/>
      <c r="R201"/>
      <c r="S201"/>
      <c r="T201"/>
      <c r="U201"/>
      <c r="V201"/>
      <c r="W201"/>
      <c r="X201"/>
      <c r="Y201"/>
      <c r="Z201"/>
      <c r="AA201"/>
      <c r="AB201"/>
      <c r="AC201"/>
    </row>
    <row r="202" spans="1:33" ht="15" customHeight="1" x14ac:dyDescent="0.4">
      <c r="A202" s="630" t="s">
        <v>465</v>
      </c>
      <c r="B202" s="630"/>
      <c r="C202" s="630"/>
      <c r="D202" s="630"/>
      <c r="E202" s="630"/>
      <c r="F202" s="630"/>
      <c r="G202" s="630"/>
      <c r="H202" s="630"/>
      <c r="I202" s="630"/>
      <c r="J202" s="630"/>
      <c r="K202" s="630"/>
      <c r="L202" s="630"/>
      <c r="M202" s="630"/>
      <c r="N202"/>
      <c r="O202"/>
      <c r="P202"/>
      <c r="Q202"/>
      <c r="R202"/>
      <c r="S202"/>
      <c r="T202"/>
      <c r="U202"/>
      <c r="V202"/>
      <c r="W202"/>
      <c r="X202"/>
      <c r="Y202"/>
      <c r="Z202"/>
      <c r="AA202"/>
      <c r="AB202"/>
      <c r="AC202"/>
    </row>
    <row r="203" spans="1:33" ht="15" customHeight="1" x14ac:dyDescent="0.4">
      <c r="A203" s="491"/>
      <c r="B203" s="491"/>
      <c r="C203" s="491"/>
      <c r="D203" s="491"/>
      <c r="E203" s="491"/>
      <c r="F203" s="491"/>
      <c r="G203" s="491"/>
      <c r="H203" s="491"/>
      <c r="I203" s="491"/>
      <c r="J203" s="491"/>
      <c r="K203" s="491"/>
      <c r="L203" s="491"/>
      <c r="M203" s="491"/>
      <c r="N203"/>
      <c r="O203"/>
      <c r="P203"/>
      <c r="Q203"/>
      <c r="R203"/>
      <c r="S203"/>
      <c r="T203"/>
      <c r="U203"/>
      <c r="V203"/>
      <c r="W203"/>
      <c r="X203"/>
      <c r="Y203"/>
      <c r="Z203"/>
      <c r="AA203"/>
      <c r="AB203"/>
      <c r="AC203"/>
    </row>
    <row r="204" spans="1:33" x14ac:dyDescent="0.4">
      <c r="A204"/>
      <c r="B204"/>
      <c r="C204"/>
      <c r="D204"/>
      <c r="E204"/>
      <c r="F204"/>
      <c r="G204"/>
      <c r="H204"/>
      <c r="I204"/>
      <c r="J204"/>
      <c r="K204"/>
      <c r="L204"/>
      <c r="M204"/>
      <c r="N204"/>
      <c r="O204"/>
      <c r="P204"/>
      <c r="Q204"/>
      <c r="R204"/>
      <c r="S204"/>
      <c r="T204"/>
      <c r="U204"/>
      <c r="V204"/>
      <c r="W204"/>
      <c r="X204"/>
      <c r="Y204"/>
      <c r="Z204"/>
      <c r="AA204"/>
      <c r="AB204"/>
      <c r="AC204"/>
    </row>
    <row r="205" spans="1:33" x14ac:dyDescent="0.4">
      <c r="A205" s="3" t="s">
        <v>594</v>
      </c>
      <c r="B205"/>
      <c r="C205"/>
      <c r="D205"/>
      <c r="E205"/>
      <c r="F205"/>
      <c r="G205"/>
      <c r="H205"/>
      <c r="I205"/>
      <c r="J205"/>
      <c r="K205"/>
      <c r="L205"/>
      <c r="M205"/>
      <c r="N205"/>
      <c r="O205"/>
      <c r="P205"/>
      <c r="Q205"/>
      <c r="R205"/>
      <c r="S205"/>
      <c r="T205"/>
      <c r="U205"/>
      <c r="V205"/>
      <c r="W205"/>
      <c r="X205"/>
      <c r="Y205"/>
      <c r="Z205"/>
      <c r="AA205"/>
      <c r="AB205"/>
      <c r="AC205"/>
    </row>
    <row r="206" spans="1:33" x14ac:dyDescent="0.4">
      <c r="A206" s="618" t="s">
        <v>56</v>
      </c>
      <c r="B206" s="619">
        <v>2024</v>
      </c>
      <c r="C206" s="620"/>
      <c r="D206" s="620"/>
      <c r="E206" s="620"/>
      <c r="F206" s="620"/>
      <c r="G206" s="620"/>
      <c r="H206" s="620"/>
      <c r="I206" s="620"/>
      <c r="J206" s="620"/>
      <c r="K206" s="620"/>
      <c r="L206" s="621">
        <v>2025</v>
      </c>
      <c r="M206" s="621"/>
      <c r="N206" s="621"/>
      <c r="O206" s="621"/>
      <c r="P206" s="621"/>
      <c r="Q206" s="621"/>
      <c r="R206" s="621"/>
      <c r="S206" s="621"/>
      <c r="T206" s="621"/>
      <c r="U206" s="621"/>
      <c r="V206"/>
      <c r="W206"/>
      <c r="X206"/>
      <c r="Y206"/>
      <c r="Z206"/>
      <c r="AA206"/>
      <c r="AB206"/>
      <c r="AC206"/>
    </row>
    <row r="207" spans="1:33" ht="73.5" customHeight="1" x14ac:dyDescent="0.4">
      <c r="A207" s="618"/>
      <c r="B207" s="85" t="s">
        <v>402</v>
      </c>
      <c r="C207" s="85" t="s">
        <v>403</v>
      </c>
      <c r="D207" s="85" t="s">
        <v>404</v>
      </c>
      <c r="E207" s="85" t="s">
        <v>405</v>
      </c>
      <c r="F207" s="85" t="s">
        <v>406</v>
      </c>
      <c r="G207" s="85" t="s">
        <v>407</v>
      </c>
      <c r="H207" s="85" t="s">
        <v>408</v>
      </c>
      <c r="I207" s="85" t="s">
        <v>409</v>
      </c>
      <c r="J207" s="85" t="s">
        <v>410</v>
      </c>
      <c r="K207" s="85" t="s">
        <v>411</v>
      </c>
      <c r="L207" s="82" t="s">
        <v>402</v>
      </c>
      <c r="M207" s="82" t="s">
        <v>403</v>
      </c>
      <c r="N207" s="82" t="s">
        <v>404</v>
      </c>
      <c r="O207" s="82" t="s">
        <v>405</v>
      </c>
      <c r="P207" s="82" t="s">
        <v>406</v>
      </c>
      <c r="Q207" s="82" t="s">
        <v>407</v>
      </c>
      <c r="R207" s="82" t="s">
        <v>408</v>
      </c>
      <c r="S207" s="82" t="s">
        <v>409</v>
      </c>
      <c r="T207" s="82" t="s">
        <v>410</v>
      </c>
      <c r="U207" s="82" t="s">
        <v>411</v>
      </c>
      <c r="V207"/>
      <c r="W207"/>
      <c r="X207"/>
      <c r="Y207"/>
      <c r="Z207"/>
      <c r="AA207"/>
      <c r="AB207"/>
      <c r="AC207"/>
    </row>
    <row r="208" spans="1:33" x14ac:dyDescent="0.4">
      <c r="A208" s="47">
        <v>1</v>
      </c>
      <c r="B208" s="163" t="str">
        <f t="shared" ref="B208:U208" si="80">IFERROR((B238/B221),"NA")</f>
        <v>NA</v>
      </c>
      <c r="C208" s="163" t="str">
        <f t="shared" si="80"/>
        <v>NA</v>
      </c>
      <c r="D208" s="163" t="str">
        <f t="shared" si="80"/>
        <v>NA</v>
      </c>
      <c r="E208" s="163" t="str">
        <f t="shared" si="80"/>
        <v>NA</v>
      </c>
      <c r="F208" s="163" t="str">
        <f t="shared" si="80"/>
        <v>NA</v>
      </c>
      <c r="G208" s="163" t="str">
        <f t="shared" si="80"/>
        <v>NA</v>
      </c>
      <c r="H208" s="163" t="str">
        <f t="shared" si="80"/>
        <v>NA</v>
      </c>
      <c r="I208" s="163" t="str">
        <f t="shared" si="80"/>
        <v>NA</v>
      </c>
      <c r="J208" s="163" t="str">
        <f t="shared" si="80"/>
        <v>NA</v>
      </c>
      <c r="K208" s="163" t="str">
        <f t="shared" si="80"/>
        <v>NA</v>
      </c>
      <c r="L208" s="163" t="str">
        <f t="shared" si="80"/>
        <v>NA</v>
      </c>
      <c r="M208" s="163" t="str">
        <f>IFERROR((M238/M221),"NA")</f>
        <v>NA</v>
      </c>
      <c r="N208" s="163" t="str">
        <f t="shared" si="80"/>
        <v>NA</v>
      </c>
      <c r="O208" s="163" t="str">
        <f t="shared" si="80"/>
        <v>NA</v>
      </c>
      <c r="P208" s="163" t="str">
        <f t="shared" si="80"/>
        <v>NA</v>
      </c>
      <c r="Q208" s="163" t="str">
        <f t="shared" si="80"/>
        <v>NA</v>
      </c>
      <c r="R208" s="163" t="str">
        <f t="shared" si="80"/>
        <v>NA</v>
      </c>
      <c r="S208" s="163" t="str">
        <f t="shared" si="80"/>
        <v>NA</v>
      </c>
      <c r="T208" s="163" t="str">
        <f t="shared" si="80"/>
        <v>NA</v>
      </c>
      <c r="U208" s="163" t="str">
        <f t="shared" si="80"/>
        <v>NA</v>
      </c>
      <c r="V208"/>
      <c r="W208"/>
      <c r="X208"/>
      <c r="Y208"/>
      <c r="Z208"/>
      <c r="AA208"/>
      <c r="AB208"/>
      <c r="AC208"/>
    </row>
    <row r="209" spans="1:29" x14ac:dyDescent="0.4">
      <c r="A209" s="47">
        <v>2</v>
      </c>
      <c r="B209" s="163" t="str">
        <f t="shared" ref="B209:C215" si="81">IFERROR((B239/B222),"NA")</f>
        <v>NA</v>
      </c>
      <c r="C209" s="163" t="str">
        <f t="shared" si="81"/>
        <v>NA</v>
      </c>
      <c r="D209" s="163" t="str">
        <f t="shared" ref="D209:Q209" si="82">IFERROR((D239/D222),"NA")</f>
        <v>NA</v>
      </c>
      <c r="E209" s="163" t="str">
        <f t="shared" si="82"/>
        <v>NA</v>
      </c>
      <c r="F209" s="163" t="str">
        <f t="shared" si="82"/>
        <v>NA</v>
      </c>
      <c r="G209" s="163" t="str">
        <f t="shared" si="82"/>
        <v>NA</v>
      </c>
      <c r="H209" s="163" t="str">
        <f t="shared" si="82"/>
        <v>NA</v>
      </c>
      <c r="I209" s="163" t="str">
        <f t="shared" si="82"/>
        <v>NA</v>
      </c>
      <c r="J209" s="163" t="str">
        <f t="shared" si="82"/>
        <v>NA</v>
      </c>
      <c r="K209" s="163" t="str">
        <f t="shared" si="82"/>
        <v>NA</v>
      </c>
      <c r="L209" s="163" t="str">
        <f t="shared" si="82"/>
        <v>NA</v>
      </c>
      <c r="M209" s="163" t="str">
        <f t="shared" si="82"/>
        <v>NA</v>
      </c>
      <c r="N209" s="163" t="str">
        <f t="shared" si="82"/>
        <v>NA</v>
      </c>
      <c r="O209" s="163" t="str">
        <f t="shared" si="82"/>
        <v>NA</v>
      </c>
      <c r="P209" s="163" t="str">
        <f t="shared" si="82"/>
        <v>NA</v>
      </c>
      <c r="Q209" s="163" t="str">
        <f t="shared" si="82"/>
        <v>NA</v>
      </c>
      <c r="R209" s="163" t="str">
        <f t="shared" ref="R209:T215" si="83">IFERROR((R239/R222),"NA")</f>
        <v>NA</v>
      </c>
      <c r="S209" s="163" t="str">
        <f t="shared" si="83"/>
        <v>NA</v>
      </c>
      <c r="T209" s="163" t="str">
        <f t="shared" si="83"/>
        <v>NA</v>
      </c>
      <c r="U209" s="163" t="str">
        <f t="shared" ref="U209" si="84">IFERROR((U239/U222),"NA")</f>
        <v>NA</v>
      </c>
      <c r="V209"/>
      <c r="W209"/>
      <c r="X209"/>
      <c r="Y209"/>
      <c r="Z209"/>
      <c r="AA209"/>
      <c r="AB209"/>
      <c r="AC209"/>
    </row>
    <row r="210" spans="1:29" x14ac:dyDescent="0.4">
      <c r="A210" s="47">
        <v>3</v>
      </c>
      <c r="B210" s="163" t="str">
        <f t="shared" si="81"/>
        <v>NA</v>
      </c>
      <c r="C210" s="163" t="str">
        <f t="shared" si="81"/>
        <v>NA</v>
      </c>
      <c r="D210" s="163" t="str">
        <f t="shared" ref="D210:Q210" si="85">IFERROR((D240/D223),"NA")</f>
        <v>NA</v>
      </c>
      <c r="E210" s="163" t="str">
        <f t="shared" si="85"/>
        <v>NA</v>
      </c>
      <c r="F210" s="163" t="str">
        <f t="shared" si="85"/>
        <v>NA</v>
      </c>
      <c r="G210" s="163" t="str">
        <f t="shared" si="85"/>
        <v>NA</v>
      </c>
      <c r="H210" s="163" t="str">
        <f t="shared" si="85"/>
        <v>NA</v>
      </c>
      <c r="I210" s="163" t="str">
        <f t="shared" si="85"/>
        <v>NA</v>
      </c>
      <c r="J210" s="163" t="str">
        <f t="shared" si="85"/>
        <v>NA</v>
      </c>
      <c r="K210" s="163" t="str">
        <f t="shared" si="85"/>
        <v>NA</v>
      </c>
      <c r="L210" s="163" t="str">
        <f t="shared" si="85"/>
        <v>NA</v>
      </c>
      <c r="M210" s="163" t="str">
        <f t="shared" si="85"/>
        <v>NA</v>
      </c>
      <c r="N210" s="163" t="str">
        <f t="shared" si="85"/>
        <v>NA</v>
      </c>
      <c r="O210" s="163" t="str">
        <f t="shared" si="85"/>
        <v>NA</v>
      </c>
      <c r="P210" s="163" t="str">
        <f t="shared" si="85"/>
        <v>NA</v>
      </c>
      <c r="Q210" s="163" t="str">
        <f t="shared" si="85"/>
        <v>NA</v>
      </c>
      <c r="R210" s="163" t="str">
        <f t="shared" si="83"/>
        <v>NA</v>
      </c>
      <c r="S210" s="163" t="str">
        <f t="shared" si="83"/>
        <v>NA</v>
      </c>
      <c r="T210" s="163" t="str">
        <f t="shared" si="83"/>
        <v>NA</v>
      </c>
      <c r="U210" s="163" t="str">
        <f t="shared" ref="U210:U215" si="86">IFERROR((U240/U223),"NA")</f>
        <v>NA</v>
      </c>
      <c r="V210"/>
      <c r="W210"/>
      <c r="X210"/>
      <c r="Y210"/>
      <c r="Z210"/>
      <c r="AA210"/>
      <c r="AB210"/>
      <c r="AC210"/>
    </row>
    <row r="211" spans="1:29" x14ac:dyDescent="0.4">
      <c r="A211" s="47">
        <v>4</v>
      </c>
      <c r="B211" s="163" t="str">
        <f t="shared" si="81"/>
        <v>NA</v>
      </c>
      <c r="C211" s="163" t="str">
        <f t="shared" si="81"/>
        <v>NA</v>
      </c>
      <c r="D211" s="163" t="str">
        <f t="shared" ref="D211:Q211" si="87">IFERROR((D241/D224),"NA")</f>
        <v>NA</v>
      </c>
      <c r="E211" s="163" t="str">
        <f t="shared" si="87"/>
        <v>NA</v>
      </c>
      <c r="F211" s="163" t="str">
        <f t="shared" si="87"/>
        <v>NA</v>
      </c>
      <c r="G211" s="163" t="str">
        <f t="shared" si="87"/>
        <v>NA</v>
      </c>
      <c r="H211" s="163" t="str">
        <f t="shared" si="87"/>
        <v>NA</v>
      </c>
      <c r="I211" s="163" t="str">
        <f t="shared" si="87"/>
        <v>NA</v>
      </c>
      <c r="J211" s="163" t="str">
        <f t="shared" si="87"/>
        <v>NA</v>
      </c>
      <c r="K211" s="163" t="str">
        <f t="shared" si="87"/>
        <v>NA</v>
      </c>
      <c r="L211" s="163" t="str">
        <f t="shared" si="87"/>
        <v>NA</v>
      </c>
      <c r="M211" s="163" t="str">
        <f t="shared" si="87"/>
        <v>NA</v>
      </c>
      <c r="N211" s="163" t="str">
        <f t="shared" si="87"/>
        <v>NA</v>
      </c>
      <c r="O211" s="163" t="str">
        <f t="shared" si="87"/>
        <v>NA</v>
      </c>
      <c r="P211" s="163" t="str">
        <f t="shared" si="87"/>
        <v>NA</v>
      </c>
      <c r="Q211" s="163" t="str">
        <f t="shared" si="87"/>
        <v>NA</v>
      </c>
      <c r="R211" s="163" t="str">
        <f t="shared" si="83"/>
        <v>NA</v>
      </c>
      <c r="S211" s="163" t="str">
        <f t="shared" si="83"/>
        <v>NA</v>
      </c>
      <c r="T211" s="163" t="str">
        <f t="shared" si="83"/>
        <v>NA</v>
      </c>
      <c r="U211" s="163" t="str">
        <f t="shared" si="86"/>
        <v>NA</v>
      </c>
      <c r="V211"/>
      <c r="W211"/>
      <c r="X211"/>
      <c r="Y211"/>
      <c r="Z211"/>
      <c r="AA211"/>
      <c r="AB211"/>
      <c r="AC211"/>
    </row>
    <row r="212" spans="1:29" x14ac:dyDescent="0.4">
      <c r="A212" s="47">
        <v>5</v>
      </c>
      <c r="B212" s="163" t="str">
        <f t="shared" si="81"/>
        <v>NA</v>
      </c>
      <c r="C212" s="163" t="str">
        <f t="shared" si="81"/>
        <v>NA</v>
      </c>
      <c r="D212" s="163" t="str">
        <f t="shared" ref="D212:Q212" si="88">IFERROR((D242/D225),"NA")</f>
        <v>NA</v>
      </c>
      <c r="E212" s="163" t="str">
        <f t="shared" si="88"/>
        <v>NA</v>
      </c>
      <c r="F212" s="163" t="str">
        <f t="shared" si="88"/>
        <v>NA</v>
      </c>
      <c r="G212" s="163" t="str">
        <f t="shared" si="88"/>
        <v>NA</v>
      </c>
      <c r="H212" s="163" t="str">
        <f t="shared" si="88"/>
        <v>NA</v>
      </c>
      <c r="I212" s="163" t="str">
        <f t="shared" si="88"/>
        <v>NA</v>
      </c>
      <c r="J212" s="163" t="str">
        <f t="shared" si="88"/>
        <v>NA</v>
      </c>
      <c r="K212" s="163" t="str">
        <f t="shared" si="88"/>
        <v>NA</v>
      </c>
      <c r="L212" s="163" t="str">
        <f t="shared" si="88"/>
        <v>NA</v>
      </c>
      <c r="M212" s="163" t="str">
        <f t="shared" si="88"/>
        <v>NA</v>
      </c>
      <c r="N212" s="163" t="str">
        <f t="shared" si="88"/>
        <v>NA</v>
      </c>
      <c r="O212" s="163" t="str">
        <f t="shared" si="88"/>
        <v>NA</v>
      </c>
      <c r="P212" s="163" t="str">
        <f t="shared" si="88"/>
        <v>NA</v>
      </c>
      <c r="Q212" s="163" t="str">
        <f t="shared" si="88"/>
        <v>NA</v>
      </c>
      <c r="R212" s="163" t="str">
        <f t="shared" si="83"/>
        <v>NA</v>
      </c>
      <c r="S212" s="163" t="str">
        <f t="shared" si="83"/>
        <v>NA</v>
      </c>
      <c r="T212" s="163" t="str">
        <f t="shared" si="83"/>
        <v>NA</v>
      </c>
      <c r="U212" s="163" t="str">
        <f t="shared" si="86"/>
        <v>NA</v>
      </c>
      <c r="V212"/>
      <c r="W212"/>
      <c r="X212"/>
      <c r="Y212"/>
      <c r="Z212"/>
      <c r="AA212"/>
      <c r="AB212"/>
      <c r="AC212"/>
    </row>
    <row r="213" spans="1:29" x14ac:dyDescent="0.4">
      <c r="A213" s="47">
        <v>6</v>
      </c>
      <c r="B213" s="163" t="str">
        <f t="shared" si="81"/>
        <v>NA</v>
      </c>
      <c r="C213" s="163" t="str">
        <f t="shared" si="81"/>
        <v>NA</v>
      </c>
      <c r="D213" s="163" t="str">
        <f t="shared" ref="D213:Q213" si="89">IFERROR((D243/D226),"NA")</f>
        <v>NA</v>
      </c>
      <c r="E213" s="163" t="str">
        <f t="shared" si="89"/>
        <v>NA</v>
      </c>
      <c r="F213" s="163" t="str">
        <f t="shared" si="89"/>
        <v>NA</v>
      </c>
      <c r="G213" s="163" t="str">
        <f t="shared" si="89"/>
        <v>NA</v>
      </c>
      <c r="H213" s="163" t="str">
        <f t="shared" si="89"/>
        <v>NA</v>
      </c>
      <c r="I213" s="163" t="str">
        <f t="shared" si="89"/>
        <v>NA</v>
      </c>
      <c r="J213" s="163" t="str">
        <f t="shared" si="89"/>
        <v>NA</v>
      </c>
      <c r="K213" s="163" t="str">
        <f t="shared" si="89"/>
        <v>NA</v>
      </c>
      <c r="L213" s="163" t="str">
        <f t="shared" si="89"/>
        <v>NA</v>
      </c>
      <c r="M213" s="163" t="str">
        <f t="shared" si="89"/>
        <v>NA</v>
      </c>
      <c r="N213" s="163" t="str">
        <f t="shared" si="89"/>
        <v>NA</v>
      </c>
      <c r="O213" s="163" t="str">
        <f t="shared" si="89"/>
        <v>NA</v>
      </c>
      <c r="P213" s="163" t="str">
        <f t="shared" si="89"/>
        <v>NA</v>
      </c>
      <c r="Q213" s="163" t="str">
        <f t="shared" si="89"/>
        <v>NA</v>
      </c>
      <c r="R213" s="163" t="str">
        <f t="shared" si="83"/>
        <v>NA</v>
      </c>
      <c r="S213" s="163" t="str">
        <f t="shared" si="83"/>
        <v>NA</v>
      </c>
      <c r="T213" s="163" t="str">
        <f t="shared" si="83"/>
        <v>NA</v>
      </c>
      <c r="U213" s="163" t="str">
        <f t="shared" si="86"/>
        <v>NA</v>
      </c>
      <c r="V213"/>
      <c r="W213"/>
      <c r="X213"/>
      <c r="Y213"/>
      <c r="Z213"/>
      <c r="AA213"/>
      <c r="AB213"/>
      <c r="AC213"/>
    </row>
    <row r="214" spans="1:29" x14ac:dyDescent="0.4">
      <c r="A214" s="47">
        <v>7</v>
      </c>
      <c r="B214" s="163" t="str">
        <f t="shared" si="81"/>
        <v>NA</v>
      </c>
      <c r="C214" s="163" t="str">
        <f t="shared" si="81"/>
        <v>NA</v>
      </c>
      <c r="D214" s="163" t="str">
        <f t="shared" ref="D214:Q214" si="90">IFERROR((D244/D227),"NA")</f>
        <v>NA</v>
      </c>
      <c r="E214" s="163" t="str">
        <f t="shared" si="90"/>
        <v>NA</v>
      </c>
      <c r="F214" s="163" t="str">
        <f t="shared" si="90"/>
        <v>NA</v>
      </c>
      <c r="G214" s="163" t="str">
        <f t="shared" si="90"/>
        <v>NA</v>
      </c>
      <c r="H214" s="163" t="str">
        <f t="shared" si="90"/>
        <v>NA</v>
      </c>
      <c r="I214" s="163" t="str">
        <f t="shared" si="90"/>
        <v>NA</v>
      </c>
      <c r="J214" s="163" t="str">
        <f t="shared" si="90"/>
        <v>NA</v>
      </c>
      <c r="K214" s="163" t="str">
        <f t="shared" si="90"/>
        <v>NA</v>
      </c>
      <c r="L214" s="163" t="str">
        <f t="shared" si="90"/>
        <v>NA</v>
      </c>
      <c r="M214" s="163" t="str">
        <f t="shared" si="90"/>
        <v>NA</v>
      </c>
      <c r="N214" s="163" t="str">
        <f t="shared" si="90"/>
        <v>NA</v>
      </c>
      <c r="O214" s="163" t="str">
        <f t="shared" si="90"/>
        <v>NA</v>
      </c>
      <c r="P214" s="163" t="str">
        <f t="shared" si="90"/>
        <v>NA</v>
      </c>
      <c r="Q214" s="163" t="str">
        <f t="shared" si="90"/>
        <v>NA</v>
      </c>
      <c r="R214" s="163" t="str">
        <f t="shared" si="83"/>
        <v>NA</v>
      </c>
      <c r="S214" s="163" t="str">
        <f t="shared" si="83"/>
        <v>NA</v>
      </c>
      <c r="T214" s="163" t="str">
        <f t="shared" si="83"/>
        <v>NA</v>
      </c>
      <c r="U214" s="163" t="str">
        <f t="shared" si="86"/>
        <v>NA</v>
      </c>
      <c r="V214"/>
      <c r="W214"/>
      <c r="X214"/>
      <c r="Y214"/>
      <c r="Z214"/>
      <c r="AA214"/>
      <c r="AB214"/>
      <c r="AC214"/>
    </row>
    <row r="215" spans="1:29" x14ac:dyDescent="0.4">
      <c r="A215" s="47">
        <v>8</v>
      </c>
      <c r="B215" s="163" t="str">
        <f t="shared" si="81"/>
        <v>NA</v>
      </c>
      <c r="C215" s="163" t="str">
        <f t="shared" si="81"/>
        <v>NA</v>
      </c>
      <c r="D215" s="163" t="str">
        <f t="shared" ref="D215:Q215" si="91">IFERROR((D245/D228),"NA")</f>
        <v>NA</v>
      </c>
      <c r="E215" s="163" t="str">
        <f t="shared" si="91"/>
        <v>NA</v>
      </c>
      <c r="F215" s="163" t="str">
        <f t="shared" si="91"/>
        <v>NA</v>
      </c>
      <c r="G215" s="163" t="str">
        <f t="shared" si="91"/>
        <v>NA</v>
      </c>
      <c r="H215" s="163" t="str">
        <f t="shared" si="91"/>
        <v>NA</v>
      </c>
      <c r="I215" s="163" t="str">
        <f t="shared" si="91"/>
        <v>NA</v>
      </c>
      <c r="J215" s="163" t="str">
        <f t="shared" si="91"/>
        <v>NA</v>
      </c>
      <c r="K215" s="163" t="str">
        <f t="shared" si="91"/>
        <v>NA</v>
      </c>
      <c r="L215" s="163" t="str">
        <f t="shared" si="91"/>
        <v>NA</v>
      </c>
      <c r="M215" s="163" t="str">
        <f t="shared" si="91"/>
        <v>NA</v>
      </c>
      <c r="N215" s="163" t="str">
        <f t="shared" si="91"/>
        <v>NA</v>
      </c>
      <c r="O215" s="163" t="str">
        <f t="shared" si="91"/>
        <v>NA</v>
      </c>
      <c r="P215" s="163" t="str">
        <f t="shared" si="91"/>
        <v>NA</v>
      </c>
      <c r="Q215" s="163" t="str">
        <f t="shared" si="91"/>
        <v>NA</v>
      </c>
      <c r="R215" s="163" t="str">
        <f t="shared" si="83"/>
        <v>NA</v>
      </c>
      <c r="S215" s="163" t="str">
        <f t="shared" si="83"/>
        <v>NA</v>
      </c>
      <c r="T215" s="163" t="str">
        <f t="shared" si="83"/>
        <v>NA</v>
      </c>
      <c r="U215" s="163" t="str">
        <f t="shared" si="86"/>
        <v>NA</v>
      </c>
      <c r="V215"/>
      <c r="W215"/>
      <c r="X215"/>
      <c r="Y215"/>
      <c r="Z215"/>
      <c r="AA215"/>
      <c r="AB215"/>
      <c r="AC215"/>
    </row>
    <row r="216" spans="1:29" x14ac:dyDescent="0.4">
      <c r="A216" s="1"/>
      <c r="B216" s="176"/>
      <c r="C216" s="176"/>
      <c r="D216" s="176"/>
      <c r="E216" s="176"/>
      <c r="F216" s="176"/>
      <c r="G216" s="176"/>
      <c r="H216" s="176"/>
      <c r="I216" s="176"/>
      <c r="J216" s="176"/>
      <c r="K216" s="176"/>
      <c r="L216" s="176"/>
      <c r="M216" s="176"/>
      <c r="N216" s="176"/>
      <c r="O216" s="176"/>
      <c r="P216" s="176"/>
      <c r="Q216" s="176"/>
      <c r="R216" s="176"/>
      <c r="S216" s="176"/>
      <c r="T216" s="176"/>
      <c r="U216" s="176"/>
      <c r="V216"/>
      <c r="W216"/>
      <c r="X216"/>
      <c r="Y216"/>
      <c r="Z216"/>
      <c r="AA216"/>
      <c r="AB216"/>
      <c r="AC216"/>
    </row>
    <row r="217" spans="1:29" x14ac:dyDescent="0.4">
      <c r="A217"/>
      <c r="B217"/>
      <c r="C217"/>
      <c r="D217"/>
      <c r="E217"/>
      <c r="F217"/>
      <c r="G217"/>
      <c r="H217"/>
      <c r="I217"/>
      <c r="J217"/>
      <c r="K217"/>
      <c r="L217"/>
      <c r="M217"/>
      <c r="N217"/>
      <c r="O217"/>
      <c r="P217"/>
      <c r="Q217"/>
      <c r="R217"/>
      <c r="S217"/>
      <c r="T217"/>
      <c r="U217"/>
      <c r="V217"/>
      <c r="W217"/>
      <c r="X217"/>
      <c r="Y217"/>
      <c r="Z217"/>
      <c r="AA217"/>
      <c r="AB217"/>
      <c r="AC217"/>
    </row>
    <row r="218" spans="1:29" x14ac:dyDescent="0.4">
      <c r="A218" s="3" t="s">
        <v>595</v>
      </c>
      <c r="B218"/>
      <c r="C218"/>
      <c r="D218"/>
      <c r="E218"/>
      <c r="F218"/>
      <c r="G218"/>
      <c r="H218"/>
      <c r="I218"/>
      <c r="J218"/>
      <c r="K218"/>
      <c r="L218"/>
      <c r="M218"/>
      <c r="N218"/>
      <c r="O218"/>
      <c r="P218"/>
      <c r="Q218"/>
      <c r="R218"/>
      <c r="S218"/>
      <c r="T218"/>
      <c r="U218"/>
      <c r="V218"/>
      <c r="W218"/>
      <c r="X218"/>
      <c r="Y218"/>
      <c r="Z218"/>
      <c r="AA218"/>
      <c r="AB218"/>
      <c r="AC218"/>
    </row>
    <row r="219" spans="1:29" x14ac:dyDescent="0.4">
      <c r="A219" s="618" t="s">
        <v>56</v>
      </c>
      <c r="B219" s="619">
        <v>2024</v>
      </c>
      <c r="C219" s="620"/>
      <c r="D219" s="620"/>
      <c r="E219" s="620"/>
      <c r="F219" s="620"/>
      <c r="G219" s="620"/>
      <c r="H219" s="620"/>
      <c r="I219" s="620"/>
      <c r="J219" s="620"/>
      <c r="K219" s="620"/>
      <c r="L219" s="621">
        <v>2025</v>
      </c>
      <c r="M219" s="621"/>
      <c r="N219" s="621"/>
      <c r="O219" s="621"/>
      <c r="P219" s="621"/>
      <c r="Q219" s="621"/>
      <c r="R219" s="621"/>
      <c r="S219" s="621"/>
      <c r="T219" s="621"/>
      <c r="U219" s="621"/>
      <c r="V219"/>
      <c r="W219"/>
      <c r="X219"/>
      <c r="Y219"/>
      <c r="Z219"/>
      <c r="AA219"/>
      <c r="AB219"/>
      <c r="AC219"/>
    </row>
    <row r="220" spans="1:29" ht="73.5" customHeight="1" x14ac:dyDescent="0.4">
      <c r="A220" s="618"/>
      <c r="B220" s="84" t="s">
        <v>589</v>
      </c>
      <c r="C220" s="85" t="s">
        <v>590</v>
      </c>
      <c r="D220" s="85" t="s">
        <v>591</v>
      </c>
      <c r="E220" s="85" t="s">
        <v>592</v>
      </c>
      <c r="F220" s="85" t="s">
        <v>593</v>
      </c>
      <c r="G220" s="85" t="s">
        <v>425</v>
      </c>
      <c r="H220" s="85" t="s">
        <v>426</v>
      </c>
      <c r="I220" s="85" t="s">
        <v>427</v>
      </c>
      <c r="J220" s="85" t="s">
        <v>428</v>
      </c>
      <c r="K220" s="86" t="s">
        <v>429</v>
      </c>
      <c r="L220" s="81" t="s">
        <v>589</v>
      </c>
      <c r="M220" s="82" t="s">
        <v>590</v>
      </c>
      <c r="N220" s="82" t="s">
        <v>591</v>
      </c>
      <c r="O220" s="82" t="s">
        <v>592</v>
      </c>
      <c r="P220" s="82" t="s">
        <v>593</v>
      </c>
      <c r="Q220" s="82" t="s">
        <v>425</v>
      </c>
      <c r="R220" s="82" t="s">
        <v>426</v>
      </c>
      <c r="S220" s="82" t="s">
        <v>427</v>
      </c>
      <c r="T220" s="82" t="s">
        <v>428</v>
      </c>
      <c r="U220" s="82" t="s">
        <v>429</v>
      </c>
      <c r="V220"/>
      <c r="W220"/>
      <c r="X220"/>
      <c r="Y220"/>
      <c r="Z220"/>
      <c r="AA220"/>
      <c r="AB220"/>
      <c r="AC220"/>
    </row>
    <row r="221" spans="1:29" x14ac:dyDescent="0.4">
      <c r="A221" s="47">
        <v>1</v>
      </c>
      <c r="B221" s="169">
        <f>SUMIFS(AS[[#All],[Member Months]],AS[[#All],[Reporting Year]],2024,AS[[#All],[Insurance Category Code]],A221,AS[[#All],[Large Provider Entity Code]],100,AS[[#All],[Age Band Code]],1)</f>
        <v>0</v>
      </c>
      <c r="C221" s="487">
        <f>SUMIFS(AS[[#All],[Member Months]],AS[[#All],[Reporting Year]],2024,AS[[#All],[Insurance Category Code]],A221,AS[[#All],[Large Provider Entity Code]],100,AS[[#All],[Age Band Code]],2)</f>
        <v>0</v>
      </c>
      <c r="D221" s="487">
        <f>SUMIFS(AS[[#All],[Member Months]],AS[[#All],[Reporting Year]],2024,AS[[#All],[Insurance Category Code]],A221,AS[[#All],[Large Provider Entity Code]],100,AS[[#All],[Age Band Code]],3)</f>
        <v>0</v>
      </c>
      <c r="E221" s="487">
        <f>SUMIFS(AS[[#All],[Member Months]],AS[[#All],[Reporting Year]],2024,AS[[#All],[Insurance Category Code]],A221,AS[[#All],[Large Provider Entity Code]],100,AS[[#All],[Age Band Code]],3,AS[[#All],[Sex Code]],1)</f>
        <v>0</v>
      </c>
      <c r="F221" s="487">
        <f>SUMIFS(AS[[#All],[Member Months]],AS[[#All],[Reporting Year]],2024,AS[[#All],[Insurance Category Code]],A221,AS[[#All],[Large Provider Entity Code]],100,AS[[#All],[Age Band Code]],3,AS[[#All],[Sex Code]],2)</f>
        <v>0</v>
      </c>
      <c r="G221" s="487">
        <f>SUMIFS(AS[[#All],[Member Months]],AS[[#All],[Reporting Year]],2024,AS[[#All],[Insurance Category Code]],A221,AS[[#All],[Large Provider Entity Code]],100,AS[[#All],[Age Band Code]],4)</f>
        <v>0</v>
      </c>
      <c r="H221" s="487">
        <f>SUMIFS(AS[[#All],[Member Months]],AS[[#All],[Reporting Year]],2024,AS[[#All],[Insurance Category Code]],A221,AS[[#All],[Large Provider Entity Code]],100,AS[[#All],[Age Band Code]],5)</f>
        <v>0</v>
      </c>
      <c r="I221" s="487">
        <f>SUMIFS(AS[[#All],[Member Months]],AS[[#All],[Reporting Year]],2024,AS[[#All],[Insurance Category Code]],A221,AS[[#All],[Large Provider Entity Code]],100,AS[[#All],[Age Band Code]],6)</f>
        <v>0</v>
      </c>
      <c r="J221" s="487">
        <f>SUMIFS(AS[[#All],[Member Months]],AS[[#All],[Reporting Year]],2024,AS[[#All],[Insurance Category Code]],A221,AS[[#All],[Large Provider Entity Code]],100,AS[[#All],[Age Band Code]],7)</f>
        <v>0</v>
      </c>
      <c r="K221" s="488">
        <f>SUMIFS(AS[[#All],[Member Months]],AS[[#All],[Reporting Year]],2024,AS[[#All],[Insurance Category Code]],A221,AS[[#All],[Large Provider Entity Code]],100,AS[[#All],[Age Band Code]],8)</f>
        <v>0</v>
      </c>
      <c r="L221" s="169">
        <f>SUMIFS(AS[[#All],[Member Months]],AS[[#All],[Reporting Year]],2025,AS[[#All],[Insurance Category Code]],A221,AS[[#All],[Large Provider Entity Code]],100,AS[[#All],[Age Band Code]],1)</f>
        <v>0</v>
      </c>
      <c r="M221" s="487">
        <f>SUMIFS(AS[[#All],[Member Months]],AS[[#All],[Reporting Year]],2025,AS[[#All],[Insurance Category Code]],A221,AS[[#All],[Large Provider Entity Code]],100,AS[[#All],[Age Band Code]],2)</f>
        <v>0</v>
      </c>
      <c r="N221" s="487">
        <f>SUMIFS(AS[[#All],[Member Months]],AS[[#All],[Reporting Year]],2025,AS[[#All],[Insurance Category Code]],A221,AS[[#All],[Large Provider Entity Code]],100,AS[[#All],[Age Band Code]],3)</f>
        <v>0</v>
      </c>
      <c r="O221" s="487">
        <f>SUMIFS(AS[[#All],[Member Months]],AS[[#All],[Reporting Year]],2025,AS[[#All],[Insurance Category Code]],A221,AS[[#All],[Large Provider Entity Code]],100,AS[[#All],[Age Band Code]],3,AS[[#All],[Sex Code]],1)</f>
        <v>0</v>
      </c>
      <c r="P221" s="487">
        <f>SUMIFS(AS[[#All],[Member Months]],AS[[#All],[Reporting Year]],2025,AS[[#All],[Insurance Category Code]],A221,AS[[#All],[Large Provider Entity Code]],100,AS[[#All],[Age Band Code]],3,AS[[#All],[Sex Code]],2)</f>
        <v>0</v>
      </c>
      <c r="Q221" s="487">
        <f>SUMIFS(AS[[#All],[Member Months]],AS[[#All],[Reporting Year]],2025,AS[[#All],[Insurance Category Code]],A221,AS[[#All],[Large Provider Entity Code]],100,AS[[#All],[Age Band Code]],4)</f>
        <v>0</v>
      </c>
      <c r="R221" s="487">
        <f>SUMIFS(AS[[#All],[Member Months]],AS[[#All],[Reporting Year]],2025,AS[[#All],[Insurance Category Code]],A221,AS[[#All],[Large Provider Entity Code]],100,AS[[#All],[Age Band Code]],5)</f>
        <v>0</v>
      </c>
      <c r="S221" s="487">
        <f>SUMIFS(AS[[#All],[Member Months]],AS[[#All],[Reporting Year]],2025,AS[[#All],[Insurance Category Code]],A221,AS[[#All],[Large Provider Entity Code]],100,AS[[#All],[Age Band Code]],6)</f>
        <v>0</v>
      </c>
      <c r="T221" s="487">
        <f>SUMIFS(AS[[#All],[Member Months]],AS[[#All],[Reporting Year]],2025,AS[[#All],[Insurance Category Code]],A221,AS[[#All],[Large Provider Entity Code]],100,AS[[#All],[Age Band Code]],7)</f>
        <v>0</v>
      </c>
      <c r="U221" s="488">
        <f>SUMIFS(AS[[#All],[Member Months]],AS[[#All],[Reporting Year]],2025,AS[[#All],[Insurance Category Code]],A221,AS[[#All],[Large Provider Entity Code]],100,AS[[#All],[Age Band Code]],8)</f>
        <v>0</v>
      </c>
      <c r="V221"/>
      <c r="W221"/>
      <c r="X221"/>
      <c r="Y221"/>
      <c r="Z221"/>
      <c r="AA221"/>
      <c r="AB221"/>
      <c r="AC221"/>
    </row>
    <row r="222" spans="1:29" x14ac:dyDescent="0.4">
      <c r="A222" s="47">
        <v>2</v>
      </c>
      <c r="B222" s="169">
        <f>SUMIFS(AS[[#All],[Member Months]],AS[[#All],[Reporting Year]],2024,AS[[#All],[Insurance Category Code]],A222,AS[[#All],[Large Provider Entity Code]],100,AS[[#All],[Age Band Code]],1)</f>
        <v>0</v>
      </c>
      <c r="C222" s="487">
        <f>SUMIFS(AS[[#All],[Member Months]],AS[[#All],[Reporting Year]],2024,AS[[#All],[Insurance Category Code]],A222,AS[[#All],[Large Provider Entity Code]],100,AS[[#All],[Age Band Code]],2)</f>
        <v>0</v>
      </c>
      <c r="D222" s="487">
        <f>SUMIFS(AS[[#All],[Member Months]],AS[[#All],[Reporting Year]],2024,AS[[#All],[Insurance Category Code]],A222,AS[[#All],[Large Provider Entity Code]],100,AS[[#All],[Age Band Code]],3)</f>
        <v>0</v>
      </c>
      <c r="E222" s="487">
        <f>SUMIFS(AS[[#All],[Member Months]],AS[[#All],[Reporting Year]],2024,AS[[#All],[Insurance Category Code]],A222,AS[[#All],[Large Provider Entity Code]],100,AS[[#All],[Age Band Code]],3,AS[[#All],[Sex Code]],1)</f>
        <v>0</v>
      </c>
      <c r="F222" s="487">
        <f>SUMIFS(AS[[#All],[Member Months]],AS[[#All],[Reporting Year]],2024,AS[[#All],[Insurance Category Code]],A222,AS[[#All],[Large Provider Entity Code]],100,AS[[#All],[Age Band Code]],3,AS[[#All],[Sex Code]],2)</f>
        <v>0</v>
      </c>
      <c r="G222" s="487">
        <f>SUMIFS(AS[[#All],[Member Months]],AS[[#All],[Reporting Year]],2024,AS[[#All],[Insurance Category Code]],A222,AS[[#All],[Large Provider Entity Code]],100,AS[[#All],[Age Band Code]],4)</f>
        <v>0</v>
      </c>
      <c r="H222" s="487">
        <f>SUMIFS(AS[[#All],[Member Months]],AS[[#All],[Reporting Year]],2024,AS[[#All],[Insurance Category Code]],A222,AS[[#All],[Large Provider Entity Code]],100,AS[[#All],[Age Band Code]],5)</f>
        <v>0</v>
      </c>
      <c r="I222" s="487">
        <f>SUMIFS(AS[[#All],[Member Months]],AS[[#All],[Reporting Year]],2024,AS[[#All],[Insurance Category Code]],A222,AS[[#All],[Large Provider Entity Code]],100,AS[[#All],[Age Band Code]],6)</f>
        <v>0</v>
      </c>
      <c r="J222" s="487">
        <f>SUMIFS(AS[[#All],[Member Months]],AS[[#All],[Reporting Year]],2024,AS[[#All],[Insurance Category Code]],A222,AS[[#All],[Large Provider Entity Code]],100,AS[[#All],[Age Band Code]],7)</f>
        <v>0</v>
      </c>
      <c r="K222" s="488">
        <f>SUMIFS(AS[[#All],[Member Months]],AS[[#All],[Reporting Year]],2024,AS[[#All],[Insurance Category Code]],A222,AS[[#All],[Large Provider Entity Code]],100,AS[[#All],[Age Band Code]],8)</f>
        <v>0</v>
      </c>
      <c r="L222" s="169">
        <f>SUMIFS(AS[[#All],[Member Months]],AS[[#All],[Reporting Year]],2025,AS[[#All],[Insurance Category Code]],A222,AS[[#All],[Large Provider Entity Code]],100,AS[[#All],[Age Band Code]],1)</f>
        <v>0</v>
      </c>
      <c r="M222" s="487">
        <f>SUMIFS(AS[[#All],[Member Months]],AS[[#All],[Reporting Year]],2025,AS[[#All],[Insurance Category Code]],A222,AS[[#All],[Large Provider Entity Code]],100,AS[[#All],[Age Band Code]],2)</f>
        <v>0</v>
      </c>
      <c r="N222" s="487">
        <f>SUMIFS(AS[[#All],[Member Months]],AS[[#All],[Reporting Year]],2025,AS[[#All],[Insurance Category Code]],A222,AS[[#All],[Large Provider Entity Code]],100,AS[[#All],[Age Band Code]],3)</f>
        <v>0</v>
      </c>
      <c r="O222" s="487">
        <f>SUMIFS(AS[[#All],[Member Months]],AS[[#All],[Reporting Year]],2025,AS[[#All],[Insurance Category Code]],A222,AS[[#All],[Large Provider Entity Code]],100,AS[[#All],[Age Band Code]],3,AS[[#All],[Sex Code]],1)</f>
        <v>0</v>
      </c>
      <c r="P222" s="487">
        <f>SUMIFS(AS[[#All],[Member Months]],AS[[#All],[Reporting Year]],2025,AS[[#All],[Insurance Category Code]],A222,AS[[#All],[Large Provider Entity Code]],100,AS[[#All],[Age Band Code]],3,AS[[#All],[Sex Code]],2)</f>
        <v>0</v>
      </c>
      <c r="Q222" s="487">
        <f>SUMIFS(AS[[#All],[Member Months]],AS[[#All],[Reporting Year]],2025,AS[[#All],[Insurance Category Code]],A222,AS[[#All],[Large Provider Entity Code]],100,AS[[#All],[Age Band Code]],4)</f>
        <v>0</v>
      </c>
      <c r="R222" s="487">
        <f>SUMIFS(AS[[#All],[Member Months]],AS[[#All],[Reporting Year]],2025,AS[[#All],[Insurance Category Code]],A222,AS[[#All],[Large Provider Entity Code]],100,AS[[#All],[Age Band Code]],5)</f>
        <v>0</v>
      </c>
      <c r="S222" s="487">
        <f>SUMIFS(AS[[#All],[Member Months]],AS[[#All],[Reporting Year]],2025,AS[[#All],[Insurance Category Code]],A222,AS[[#All],[Large Provider Entity Code]],100,AS[[#All],[Age Band Code]],6)</f>
        <v>0</v>
      </c>
      <c r="T222" s="487">
        <f>SUMIFS(AS[[#All],[Member Months]],AS[[#All],[Reporting Year]],2025,AS[[#All],[Insurance Category Code]],A222,AS[[#All],[Large Provider Entity Code]],100,AS[[#All],[Age Band Code]],7)</f>
        <v>0</v>
      </c>
      <c r="U222" s="488">
        <f>SUMIFS(AS[[#All],[Member Months]],AS[[#All],[Reporting Year]],2025,AS[[#All],[Insurance Category Code]],A222,AS[[#All],[Large Provider Entity Code]],100,AS[[#All],[Age Band Code]],8)</f>
        <v>0</v>
      </c>
      <c r="V222"/>
      <c r="W222"/>
      <c r="X222"/>
      <c r="Y222"/>
      <c r="Z222"/>
      <c r="AA222"/>
      <c r="AB222"/>
      <c r="AC222"/>
    </row>
    <row r="223" spans="1:29" x14ac:dyDescent="0.4">
      <c r="A223" s="47">
        <v>3</v>
      </c>
      <c r="B223" s="169">
        <f>SUMIFS(AS[[#All],[Member Months]],AS[[#All],[Reporting Year]],2024,AS[[#All],[Insurance Category Code]],A223,AS[[#All],[Large Provider Entity Code]],100,AS[[#All],[Age Band Code]],1)</f>
        <v>0</v>
      </c>
      <c r="C223" s="487">
        <f>SUMIFS(AS[[#All],[Member Months]],AS[[#All],[Reporting Year]],2024,AS[[#All],[Insurance Category Code]],A223,AS[[#All],[Large Provider Entity Code]],100,AS[[#All],[Age Band Code]],2)</f>
        <v>0</v>
      </c>
      <c r="D223" s="487">
        <f>SUMIFS(AS[[#All],[Member Months]],AS[[#All],[Reporting Year]],2024,AS[[#All],[Insurance Category Code]],A223,AS[[#All],[Large Provider Entity Code]],100,AS[[#All],[Age Band Code]],3)</f>
        <v>0</v>
      </c>
      <c r="E223" s="487">
        <f>SUMIFS(AS[[#All],[Member Months]],AS[[#All],[Reporting Year]],2024,AS[[#All],[Insurance Category Code]],A223,AS[[#All],[Large Provider Entity Code]],100,AS[[#All],[Age Band Code]],3,AS[[#All],[Sex Code]],1)</f>
        <v>0</v>
      </c>
      <c r="F223" s="487">
        <f>SUMIFS(AS[[#All],[Member Months]],AS[[#All],[Reporting Year]],2024,AS[[#All],[Insurance Category Code]],A223,AS[[#All],[Large Provider Entity Code]],100,AS[[#All],[Age Band Code]],3,AS[[#All],[Sex Code]],2)</f>
        <v>0</v>
      </c>
      <c r="G223" s="487">
        <f>SUMIFS(AS[[#All],[Member Months]],AS[[#All],[Reporting Year]],2024,AS[[#All],[Insurance Category Code]],A223,AS[[#All],[Large Provider Entity Code]],100,AS[[#All],[Age Band Code]],4)</f>
        <v>0</v>
      </c>
      <c r="H223" s="487">
        <f>SUMIFS(AS[[#All],[Member Months]],AS[[#All],[Reporting Year]],2024,AS[[#All],[Insurance Category Code]],A223,AS[[#All],[Large Provider Entity Code]],100,AS[[#All],[Age Band Code]],5)</f>
        <v>0</v>
      </c>
      <c r="I223" s="487">
        <f>SUMIFS(AS[[#All],[Member Months]],AS[[#All],[Reporting Year]],2024,AS[[#All],[Insurance Category Code]],A223,AS[[#All],[Large Provider Entity Code]],100,AS[[#All],[Age Band Code]],6)</f>
        <v>0</v>
      </c>
      <c r="J223" s="487">
        <f>SUMIFS(AS[[#All],[Member Months]],AS[[#All],[Reporting Year]],2024,AS[[#All],[Insurance Category Code]],A223,AS[[#All],[Large Provider Entity Code]],100,AS[[#All],[Age Band Code]],7)</f>
        <v>0</v>
      </c>
      <c r="K223" s="488">
        <f>SUMIFS(AS[[#All],[Member Months]],AS[[#All],[Reporting Year]],2024,AS[[#All],[Insurance Category Code]],A223,AS[[#All],[Large Provider Entity Code]],100,AS[[#All],[Age Band Code]],8)</f>
        <v>0</v>
      </c>
      <c r="L223" s="169">
        <f>SUMIFS(AS[[#All],[Member Months]],AS[[#All],[Reporting Year]],2025,AS[[#All],[Insurance Category Code]],A223,AS[[#All],[Large Provider Entity Code]],100,AS[[#All],[Age Band Code]],1)</f>
        <v>0</v>
      </c>
      <c r="M223" s="487">
        <f>SUMIFS(AS[[#All],[Member Months]],AS[[#All],[Reporting Year]],2025,AS[[#All],[Insurance Category Code]],A223,AS[[#All],[Large Provider Entity Code]],100,AS[[#All],[Age Band Code]],2)</f>
        <v>0</v>
      </c>
      <c r="N223" s="487">
        <f>SUMIFS(AS[[#All],[Member Months]],AS[[#All],[Reporting Year]],2025,AS[[#All],[Insurance Category Code]],A223,AS[[#All],[Large Provider Entity Code]],100,AS[[#All],[Age Band Code]],3)</f>
        <v>0</v>
      </c>
      <c r="O223" s="487">
        <f>SUMIFS(AS[[#All],[Member Months]],AS[[#All],[Reporting Year]],2025,AS[[#All],[Insurance Category Code]],A223,AS[[#All],[Large Provider Entity Code]],100,AS[[#All],[Age Band Code]],3,AS[[#All],[Sex Code]],1)</f>
        <v>0</v>
      </c>
      <c r="P223" s="487">
        <f>SUMIFS(AS[[#All],[Member Months]],AS[[#All],[Reporting Year]],2025,AS[[#All],[Insurance Category Code]],A223,AS[[#All],[Large Provider Entity Code]],100,AS[[#All],[Age Band Code]],3,AS[[#All],[Sex Code]],2)</f>
        <v>0</v>
      </c>
      <c r="Q223" s="487">
        <f>SUMIFS(AS[[#All],[Member Months]],AS[[#All],[Reporting Year]],2025,AS[[#All],[Insurance Category Code]],A223,AS[[#All],[Large Provider Entity Code]],100,AS[[#All],[Age Band Code]],4)</f>
        <v>0</v>
      </c>
      <c r="R223" s="487">
        <f>SUMIFS(AS[[#All],[Member Months]],AS[[#All],[Reporting Year]],2025,AS[[#All],[Insurance Category Code]],A223,AS[[#All],[Large Provider Entity Code]],100,AS[[#All],[Age Band Code]],5)</f>
        <v>0</v>
      </c>
      <c r="S223" s="487">
        <f>SUMIFS(AS[[#All],[Member Months]],AS[[#All],[Reporting Year]],2025,AS[[#All],[Insurance Category Code]],A223,AS[[#All],[Large Provider Entity Code]],100,AS[[#All],[Age Band Code]],6)</f>
        <v>0</v>
      </c>
      <c r="T223" s="487">
        <f>SUMIFS(AS[[#All],[Member Months]],AS[[#All],[Reporting Year]],2025,AS[[#All],[Insurance Category Code]],A223,AS[[#All],[Large Provider Entity Code]],100,AS[[#All],[Age Band Code]],7)</f>
        <v>0</v>
      </c>
      <c r="U223" s="488">
        <f>SUMIFS(AS[[#All],[Member Months]],AS[[#All],[Reporting Year]],2025,AS[[#All],[Insurance Category Code]],A223,AS[[#All],[Large Provider Entity Code]],100,AS[[#All],[Age Band Code]],8)</f>
        <v>0</v>
      </c>
      <c r="V223"/>
      <c r="W223"/>
      <c r="X223"/>
      <c r="Y223"/>
      <c r="Z223"/>
      <c r="AA223"/>
      <c r="AB223"/>
      <c r="AC223"/>
    </row>
    <row r="224" spans="1:29" x14ac:dyDescent="0.4">
      <c r="A224" s="47">
        <v>4</v>
      </c>
      <c r="B224" s="169">
        <f>SUMIFS(AS[[#All],[Member Months]],AS[[#All],[Reporting Year]],2024,AS[[#All],[Insurance Category Code]],A224,AS[[#All],[Large Provider Entity Code]],100,AS[[#All],[Age Band Code]],1)</f>
        <v>0</v>
      </c>
      <c r="C224" s="487">
        <f>SUMIFS(AS[[#All],[Member Months]],AS[[#All],[Reporting Year]],2024,AS[[#All],[Insurance Category Code]],A224,AS[[#All],[Large Provider Entity Code]],100,AS[[#All],[Age Band Code]],2)</f>
        <v>0</v>
      </c>
      <c r="D224" s="487">
        <f>SUMIFS(AS[[#All],[Member Months]],AS[[#All],[Reporting Year]],2024,AS[[#All],[Insurance Category Code]],A224,AS[[#All],[Large Provider Entity Code]],100,AS[[#All],[Age Band Code]],3)</f>
        <v>0</v>
      </c>
      <c r="E224" s="487">
        <f>SUMIFS(AS[[#All],[Member Months]],AS[[#All],[Reporting Year]],2024,AS[[#All],[Insurance Category Code]],A224,AS[[#All],[Large Provider Entity Code]],100,AS[[#All],[Age Band Code]],3,AS[[#All],[Sex Code]],1)</f>
        <v>0</v>
      </c>
      <c r="F224" s="487">
        <f>SUMIFS(AS[[#All],[Member Months]],AS[[#All],[Reporting Year]],2024,AS[[#All],[Insurance Category Code]],A224,AS[[#All],[Large Provider Entity Code]],100,AS[[#All],[Age Band Code]],3,AS[[#All],[Sex Code]],2)</f>
        <v>0</v>
      </c>
      <c r="G224" s="487">
        <f>SUMIFS(AS[[#All],[Member Months]],AS[[#All],[Reporting Year]],2024,AS[[#All],[Insurance Category Code]],A224,AS[[#All],[Large Provider Entity Code]],100,AS[[#All],[Age Band Code]],4)</f>
        <v>0</v>
      </c>
      <c r="H224" s="487">
        <f>SUMIFS(AS[[#All],[Member Months]],AS[[#All],[Reporting Year]],2024,AS[[#All],[Insurance Category Code]],A224,AS[[#All],[Large Provider Entity Code]],100,AS[[#All],[Age Band Code]],5)</f>
        <v>0</v>
      </c>
      <c r="I224" s="487">
        <f>SUMIFS(AS[[#All],[Member Months]],AS[[#All],[Reporting Year]],2024,AS[[#All],[Insurance Category Code]],A224,AS[[#All],[Large Provider Entity Code]],100,AS[[#All],[Age Band Code]],6)</f>
        <v>0</v>
      </c>
      <c r="J224" s="487">
        <f>SUMIFS(AS[[#All],[Member Months]],AS[[#All],[Reporting Year]],2024,AS[[#All],[Insurance Category Code]],A224,AS[[#All],[Large Provider Entity Code]],100,AS[[#All],[Age Band Code]],7)</f>
        <v>0</v>
      </c>
      <c r="K224" s="488">
        <f>SUMIFS(AS[[#All],[Member Months]],AS[[#All],[Reporting Year]],2024,AS[[#All],[Insurance Category Code]],A224,AS[[#All],[Large Provider Entity Code]],100,AS[[#All],[Age Band Code]],8)</f>
        <v>0</v>
      </c>
      <c r="L224" s="169">
        <f>SUMIFS(AS[[#All],[Member Months]],AS[[#All],[Reporting Year]],2025,AS[[#All],[Insurance Category Code]],A224,AS[[#All],[Large Provider Entity Code]],100,AS[[#All],[Age Band Code]],1)</f>
        <v>0</v>
      </c>
      <c r="M224" s="487">
        <f>SUMIFS(AS[[#All],[Member Months]],AS[[#All],[Reporting Year]],2025,AS[[#All],[Insurance Category Code]],A224,AS[[#All],[Large Provider Entity Code]],100,AS[[#All],[Age Band Code]],2)</f>
        <v>0</v>
      </c>
      <c r="N224" s="487">
        <f>SUMIFS(AS[[#All],[Member Months]],AS[[#All],[Reporting Year]],2025,AS[[#All],[Insurance Category Code]],A224,AS[[#All],[Large Provider Entity Code]],100,AS[[#All],[Age Band Code]],3)</f>
        <v>0</v>
      </c>
      <c r="O224" s="487">
        <f>SUMIFS(AS[[#All],[Member Months]],AS[[#All],[Reporting Year]],2025,AS[[#All],[Insurance Category Code]],A224,AS[[#All],[Large Provider Entity Code]],100,AS[[#All],[Age Band Code]],3,AS[[#All],[Sex Code]],1)</f>
        <v>0</v>
      </c>
      <c r="P224" s="487">
        <f>SUMIFS(AS[[#All],[Member Months]],AS[[#All],[Reporting Year]],2025,AS[[#All],[Insurance Category Code]],A224,AS[[#All],[Large Provider Entity Code]],100,AS[[#All],[Age Band Code]],3,AS[[#All],[Sex Code]],2)</f>
        <v>0</v>
      </c>
      <c r="Q224" s="487">
        <f>SUMIFS(AS[[#All],[Member Months]],AS[[#All],[Reporting Year]],2025,AS[[#All],[Insurance Category Code]],A224,AS[[#All],[Large Provider Entity Code]],100,AS[[#All],[Age Band Code]],4)</f>
        <v>0</v>
      </c>
      <c r="R224" s="487">
        <f>SUMIFS(AS[[#All],[Member Months]],AS[[#All],[Reporting Year]],2025,AS[[#All],[Insurance Category Code]],A224,AS[[#All],[Large Provider Entity Code]],100,AS[[#All],[Age Band Code]],5)</f>
        <v>0</v>
      </c>
      <c r="S224" s="487">
        <f>SUMIFS(AS[[#All],[Member Months]],AS[[#All],[Reporting Year]],2025,AS[[#All],[Insurance Category Code]],A224,AS[[#All],[Large Provider Entity Code]],100,AS[[#All],[Age Band Code]],6)</f>
        <v>0</v>
      </c>
      <c r="T224" s="487">
        <f>SUMIFS(AS[[#All],[Member Months]],AS[[#All],[Reporting Year]],2025,AS[[#All],[Insurance Category Code]],A224,AS[[#All],[Large Provider Entity Code]],100,AS[[#All],[Age Band Code]],7)</f>
        <v>0</v>
      </c>
      <c r="U224" s="488">
        <f>SUMIFS(AS[[#All],[Member Months]],AS[[#All],[Reporting Year]],2025,AS[[#All],[Insurance Category Code]],A224,AS[[#All],[Large Provider Entity Code]],100,AS[[#All],[Age Band Code]],8)</f>
        <v>0</v>
      </c>
      <c r="V224"/>
      <c r="W224"/>
      <c r="X224"/>
      <c r="Y224"/>
      <c r="Z224"/>
      <c r="AA224"/>
      <c r="AB224"/>
      <c r="AC224"/>
    </row>
    <row r="225" spans="1:29" x14ac:dyDescent="0.4">
      <c r="A225" s="47">
        <v>5</v>
      </c>
      <c r="B225" s="169">
        <f>SUMIFS(AS[[#All],[Member Months]],AS[[#All],[Reporting Year]],2024,AS[[#All],[Insurance Category Code]],A225,AS[[#All],[Large Provider Entity Code]],100,AS[[#All],[Age Band Code]],1)</f>
        <v>0</v>
      </c>
      <c r="C225" s="487">
        <f>SUMIFS(AS[[#All],[Member Months]],AS[[#All],[Reporting Year]],2024,AS[[#All],[Insurance Category Code]],A225,AS[[#All],[Large Provider Entity Code]],100,AS[[#All],[Age Band Code]],2)</f>
        <v>0</v>
      </c>
      <c r="D225" s="487">
        <f>SUMIFS(AS[[#All],[Member Months]],AS[[#All],[Reporting Year]],2024,AS[[#All],[Insurance Category Code]],A225,AS[[#All],[Large Provider Entity Code]],100,AS[[#All],[Age Band Code]],3)</f>
        <v>0</v>
      </c>
      <c r="E225" s="487">
        <f>SUMIFS(AS[[#All],[Member Months]],AS[[#All],[Reporting Year]],2024,AS[[#All],[Insurance Category Code]],A225,AS[[#All],[Large Provider Entity Code]],100,AS[[#All],[Age Band Code]],3,AS[[#All],[Sex Code]],1)</f>
        <v>0</v>
      </c>
      <c r="F225" s="487">
        <f>SUMIFS(AS[[#All],[Member Months]],AS[[#All],[Reporting Year]],2024,AS[[#All],[Insurance Category Code]],A225,AS[[#All],[Large Provider Entity Code]],100,AS[[#All],[Age Band Code]],3,AS[[#All],[Sex Code]],2)</f>
        <v>0</v>
      </c>
      <c r="G225" s="487">
        <f>SUMIFS(AS[[#All],[Member Months]],AS[[#All],[Reporting Year]],2024,AS[[#All],[Insurance Category Code]],A225,AS[[#All],[Large Provider Entity Code]],100,AS[[#All],[Age Band Code]],4)</f>
        <v>0</v>
      </c>
      <c r="H225" s="487">
        <f>SUMIFS(AS[[#All],[Member Months]],AS[[#All],[Reporting Year]],2024,AS[[#All],[Insurance Category Code]],A225,AS[[#All],[Large Provider Entity Code]],100,AS[[#All],[Age Band Code]],5)</f>
        <v>0</v>
      </c>
      <c r="I225" s="487">
        <f>SUMIFS(AS[[#All],[Member Months]],AS[[#All],[Reporting Year]],2024,AS[[#All],[Insurance Category Code]],A225,AS[[#All],[Large Provider Entity Code]],100,AS[[#All],[Age Band Code]],6)</f>
        <v>0</v>
      </c>
      <c r="J225" s="487">
        <f>SUMIFS(AS[[#All],[Member Months]],AS[[#All],[Reporting Year]],2024,AS[[#All],[Insurance Category Code]],A225,AS[[#All],[Large Provider Entity Code]],100,AS[[#All],[Age Band Code]],7)</f>
        <v>0</v>
      </c>
      <c r="K225" s="488">
        <f>SUMIFS(AS[[#All],[Member Months]],AS[[#All],[Reporting Year]],2024,AS[[#All],[Insurance Category Code]],A225,AS[[#All],[Large Provider Entity Code]],100,AS[[#All],[Age Band Code]],8)</f>
        <v>0</v>
      </c>
      <c r="L225" s="169">
        <f>SUMIFS(AS[[#All],[Member Months]],AS[[#All],[Reporting Year]],2025,AS[[#All],[Insurance Category Code]],A225,AS[[#All],[Large Provider Entity Code]],100,AS[[#All],[Age Band Code]],1)</f>
        <v>0</v>
      </c>
      <c r="M225" s="487">
        <f>SUMIFS(AS[[#All],[Member Months]],AS[[#All],[Reporting Year]],2025,AS[[#All],[Insurance Category Code]],A225,AS[[#All],[Large Provider Entity Code]],100,AS[[#All],[Age Band Code]],2)</f>
        <v>0</v>
      </c>
      <c r="N225" s="487">
        <f>SUMIFS(AS[[#All],[Member Months]],AS[[#All],[Reporting Year]],2025,AS[[#All],[Insurance Category Code]],A225,AS[[#All],[Large Provider Entity Code]],100,AS[[#All],[Age Band Code]],3)</f>
        <v>0</v>
      </c>
      <c r="O225" s="487">
        <f>SUMIFS(AS[[#All],[Member Months]],AS[[#All],[Reporting Year]],2025,AS[[#All],[Insurance Category Code]],A225,AS[[#All],[Large Provider Entity Code]],100,AS[[#All],[Age Band Code]],3,AS[[#All],[Sex Code]],1)</f>
        <v>0</v>
      </c>
      <c r="P225" s="487">
        <f>SUMIFS(AS[[#All],[Member Months]],AS[[#All],[Reporting Year]],2025,AS[[#All],[Insurance Category Code]],A225,AS[[#All],[Large Provider Entity Code]],100,AS[[#All],[Age Band Code]],3,AS[[#All],[Sex Code]],2)</f>
        <v>0</v>
      </c>
      <c r="Q225" s="487">
        <f>SUMIFS(AS[[#All],[Member Months]],AS[[#All],[Reporting Year]],2025,AS[[#All],[Insurance Category Code]],A225,AS[[#All],[Large Provider Entity Code]],100,AS[[#All],[Age Band Code]],4)</f>
        <v>0</v>
      </c>
      <c r="R225" s="487">
        <f>SUMIFS(AS[[#All],[Member Months]],AS[[#All],[Reporting Year]],2025,AS[[#All],[Insurance Category Code]],A225,AS[[#All],[Large Provider Entity Code]],100,AS[[#All],[Age Band Code]],5)</f>
        <v>0</v>
      </c>
      <c r="S225" s="487">
        <f>SUMIFS(AS[[#All],[Member Months]],AS[[#All],[Reporting Year]],2025,AS[[#All],[Insurance Category Code]],A225,AS[[#All],[Large Provider Entity Code]],100,AS[[#All],[Age Band Code]],6)</f>
        <v>0</v>
      </c>
      <c r="T225" s="487">
        <f>SUMIFS(AS[[#All],[Member Months]],AS[[#All],[Reporting Year]],2025,AS[[#All],[Insurance Category Code]],A225,AS[[#All],[Large Provider Entity Code]],100,AS[[#All],[Age Band Code]],7)</f>
        <v>0</v>
      </c>
      <c r="U225" s="488">
        <f>SUMIFS(AS[[#All],[Member Months]],AS[[#All],[Reporting Year]],2025,AS[[#All],[Insurance Category Code]],A225,AS[[#All],[Large Provider Entity Code]],100,AS[[#All],[Age Band Code]],8)</f>
        <v>0</v>
      </c>
      <c r="V225"/>
      <c r="W225"/>
      <c r="X225"/>
      <c r="Y225"/>
      <c r="Z225"/>
      <c r="AA225"/>
      <c r="AB225"/>
      <c r="AC225"/>
    </row>
    <row r="226" spans="1:29" x14ac:dyDescent="0.4">
      <c r="A226" s="47">
        <v>6</v>
      </c>
      <c r="B226" s="169">
        <f>SUMIFS(AS[[#All],[Member Months]],AS[[#All],[Reporting Year]],2024,AS[[#All],[Insurance Category Code]],A226,AS[[#All],[Large Provider Entity Code]],100,AS[[#All],[Age Band Code]],1)</f>
        <v>0</v>
      </c>
      <c r="C226" s="487">
        <f>SUMIFS(AS[[#All],[Member Months]],AS[[#All],[Reporting Year]],2024,AS[[#All],[Insurance Category Code]],A226,AS[[#All],[Large Provider Entity Code]],100,AS[[#All],[Age Band Code]],2)</f>
        <v>0</v>
      </c>
      <c r="D226" s="487">
        <f>SUMIFS(AS[[#All],[Member Months]],AS[[#All],[Reporting Year]],2024,AS[[#All],[Insurance Category Code]],A226,AS[[#All],[Large Provider Entity Code]],100,AS[[#All],[Age Band Code]],3)</f>
        <v>0</v>
      </c>
      <c r="E226" s="487">
        <f>SUMIFS(AS[[#All],[Member Months]],AS[[#All],[Reporting Year]],2024,AS[[#All],[Insurance Category Code]],A226,AS[[#All],[Large Provider Entity Code]],100,AS[[#All],[Age Band Code]],3,AS[[#All],[Sex Code]],1)</f>
        <v>0</v>
      </c>
      <c r="F226" s="487">
        <f>SUMIFS(AS[[#All],[Member Months]],AS[[#All],[Reporting Year]],2024,AS[[#All],[Insurance Category Code]],A226,AS[[#All],[Large Provider Entity Code]],100,AS[[#All],[Age Band Code]],3,AS[[#All],[Sex Code]],2)</f>
        <v>0</v>
      </c>
      <c r="G226" s="487">
        <f>SUMIFS(AS[[#All],[Member Months]],AS[[#All],[Reporting Year]],2024,AS[[#All],[Insurance Category Code]],A226,AS[[#All],[Large Provider Entity Code]],100,AS[[#All],[Age Band Code]],4)</f>
        <v>0</v>
      </c>
      <c r="H226" s="487">
        <f>SUMIFS(AS[[#All],[Member Months]],AS[[#All],[Reporting Year]],2024,AS[[#All],[Insurance Category Code]],A226,AS[[#All],[Large Provider Entity Code]],100,AS[[#All],[Age Band Code]],5)</f>
        <v>0</v>
      </c>
      <c r="I226" s="487">
        <f>SUMIFS(AS[[#All],[Member Months]],AS[[#All],[Reporting Year]],2024,AS[[#All],[Insurance Category Code]],A226,AS[[#All],[Large Provider Entity Code]],100,AS[[#All],[Age Band Code]],6)</f>
        <v>0</v>
      </c>
      <c r="J226" s="487">
        <f>SUMIFS(AS[[#All],[Member Months]],AS[[#All],[Reporting Year]],2024,AS[[#All],[Insurance Category Code]],A226,AS[[#All],[Large Provider Entity Code]],100,AS[[#All],[Age Band Code]],7)</f>
        <v>0</v>
      </c>
      <c r="K226" s="488">
        <f>SUMIFS(AS[[#All],[Member Months]],AS[[#All],[Reporting Year]],2024,AS[[#All],[Insurance Category Code]],A226,AS[[#All],[Large Provider Entity Code]],100,AS[[#All],[Age Band Code]],8)</f>
        <v>0</v>
      </c>
      <c r="L226" s="169">
        <f>SUMIFS(AS[[#All],[Member Months]],AS[[#All],[Reporting Year]],2025,AS[[#All],[Insurance Category Code]],A226,AS[[#All],[Large Provider Entity Code]],100,AS[[#All],[Age Band Code]],1)</f>
        <v>0</v>
      </c>
      <c r="M226" s="487">
        <f>SUMIFS(AS[[#All],[Member Months]],AS[[#All],[Reporting Year]],2025,AS[[#All],[Insurance Category Code]],A226,AS[[#All],[Large Provider Entity Code]],100,AS[[#All],[Age Band Code]],2)</f>
        <v>0</v>
      </c>
      <c r="N226" s="487">
        <f>SUMIFS(AS[[#All],[Member Months]],AS[[#All],[Reporting Year]],2025,AS[[#All],[Insurance Category Code]],A226,AS[[#All],[Large Provider Entity Code]],100,AS[[#All],[Age Band Code]],3)</f>
        <v>0</v>
      </c>
      <c r="O226" s="487">
        <f>SUMIFS(AS[[#All],[Member Months]],AS[[#All],[Reporting Year]],2025,AS[[#All],[Insurance Category Code]],A226,AS[[#All],[Large Provider Entity Code]],100,AS[[#All],[Age Band Code]],3,AS[[#All],[Sex Code]],1)</f>
        <v>0</v>
      </c>
      <c r="P226" s="487">
        <f>SUMIFS(AS[[#All],[Member Months]],AS[[#All],[Reporting Year]],2025,AS[[#All],[Insurance Category Code]],A226,AS[[#All],[Large Provider Entity Code]],100,AS[[#All],[Age Band Code]],3,AS[[#All],[Sex Code]],2)</f>
        <v>0</v>
      </c>
      <c r="Q226" s="487">
        <f>SUMIFS(AS[[#All],[Member Months]],AS[[#All],[Reporting Year]],2025,AS[[#All],[Insurance Category Code]],A226,AS[[#All],[Large Provider Entity Code]],100,AS[[#All],[Age Band Code]],4)</f>
        <v>0</v>
      </c>
      <c r="R226" s="487">
        <f>SUMIFS(AS[[#All],[Member Months]],AS[[#All],[Reporting Year]],2025,AS[[#All],[Insurance Category Code]],A226,AS[[#All],[Large Provider Entity Code]],100,AS[[#All],[Age Band Code]],5)</f>
        <v>0</v>
      </c>
      <c r="S226" s="487">
        <f>SUMIFS(AS[[#All],[Member Months]],AS[[#All],[Reporting Year]],2025,AS[[#All],[Insurance Category Code]],A226,AS[[#All],[Large Provider Entity Code]],100,AS[[#All],[Age Band Code]],6)</f>
        <v>0</v>
      </c>
      <c r="T226" s="487">
        <f>SUMIFS(AS[[#All],[Member Months]],AS[[#All],[Reporting Year]],2025,AS[[#All],[Insurance Category Code]],A226,AS[[#All],[Large Provider Entity Code]],100,AS[[#All],[Age Band Code]],7)</f>
        <v>0</v>
      </c>
      <c r="U226" s="488">
        <f>SUMIFS(AS[[#All],[Member Months]],AS[[#All],[Reporting Year]],2025,AS[[#All],[Insurance Category Code]],A226,AS[[#All],[Large Provider Entity Code]],100,AS[[#All],[Age Band Code]],8)</f>
        <v>0</v>
      </c>
      <c r="V226"/>
      <c r="W226"/>
      <c r="X226"/>
      <c r="Y226"/>
      <c r="Z226"/>
      <c r="AA226"/>
      <c r="AB226"/>
      <c r="AC226"/>
    </row>
    <row r="227" spans="1:29" x14ac:dyDescent="0.4">
      <c r="A227" s="47">
        <v>7</v>
      </c>
      <c r="B227" s="169">
        <f>SUMIFS(AS[[#All],[Member Months]],AS[[#All],[Reporting Year]],2024,AS[[#All],[Insurance Category Code]],A227,AS[[#All],[Large Provider Entity Code]],100,AS[[#All],[Age Band Code]],1)</f>
        <v>0</v>
      </c>
      <c r="C227" s="487">
        <f>SUMIFS(AS[[#All],[Member Months]],AS[[#All],[Reporting Year]],2024,AS[[#All],[Insurance Category Code]],A227,AS[[#All],[Large Provider Entity Code]],100,AS[[#All],[Age Band Code]],2)</f>
        <v>0</v>
      </c>
      <c r="D227" s="487">
        <f>SUMIFS(AS[[#All],[Member Months]],AS[[#All],[Reporting Year]],2024,AS[[#All],[Insurance Category Code]],A227,AS[[#All],[Large Provider Entity Code]],100,AS[[#All],[Age Band Code]],3)</f>
        <v>0</v>
      </c>
      <c r="E227" s="487">
        <f>SUMIFS(AS[[#All],[Member Months]],AS[[#All],[Reporting Year]],2024,AS[[#All],[Insurance Category Code]],A227,AS[[#All],[Large Provider Entity Code]],100,AS[[#All],[Age Band Code]],3,AS[[#All],[Sex Code]],1)</f>
        <v>0</v>
      </c>
      <c r="F227" s="487">
        <f>SUMIFS(AS[[#All],[Member Months]],AS[[#All],[Reporting Year]],2024,AS[[#All],[Insurance Category Code]],A227,AS[[#All],[Large Provider Entity Code]],100,AS[[#All],[Age Band Code]],3,AS[[#All],[Sex Code]],2)</f>
        <v>0</v>
      </c>
      <c r="G227" s="487">
        <f>SUMIFS(AS[[#All],[Member Months]],AS[[#All],[Reporting Year]],2024,AS[[#All],[Insurance Category Code]],A227,AS[[#All],[Large Provider Entity Code]],100,AS[[#All],[Age Band Code]],4)</f>
        <v>0</v>
      </c>
      <c r="H227" s="487">
        <f>SUMIFS(AS[[#All],[Member Months]],AS[[#All],[Reporting Year]],2024,AS[[#All],[Insurance Category Code]],A227,AS[[#All],[Large Provider Entity Code]],100,AS[[#All],[Age Band Code]],5)</f>
        <v>0</v>
      </c>
      <c r="I227" s="487">
        <f>SUMIFS(AS[[#All],[Member Months]],AS[[#All],[Reporting Year]],2024,AS[[#All],[Insurance Category Code]],A227,AS[[#All],[Large Provider Entity Code]],100,AS[[#All],[Age Band Code]],6)</f>
        <v>0</v>
      </c>
      <c r="J227" s="487">
        <f>SUMIFS(AS[[#All],[Member Months]],AS[[#All],[Reporting Year]],2024,AS[[#All],[Insurance Category Code]],A227,AS[[#All],[Large Provider Entity Code]],100,AS[[#All],[Age Band Code]],7)</f>
        <v>0</v>
      </c>
      <c r="K227" s="488">
        <f>SUMIFS(AS[[#All],[Member Months]],AS[[#All],[Reporting Year]],2024,AS[[#All],[Insurance Category Code]],A227,AS[[#All],[Large Provider Entity Code]],100,AS[[#All],[Age Band Code]],8)</f>
        <v>0</v>
      </c>
      <c r="L227" s="169">
        <f>SUMIFS(AS[[#All],[Member Months]],AS[[#All],[Reporting Year]],2025,AS[[#All],[Insurance Category Code]],A227,AS[[#All],[Large Provider Entity Code]],100,AS[[#All],[Age Band Code]],1)</f>
        <v>0</v>
      </c>
      <c r="M227" s="487">
        <f>SUMIFS(AS[[#All],[Member Months]],AS[[#All],[Reporting Year]],2025,AS[[#All],[Insurance Category Code]],A227,AS[[#All],[Large Provider Entity Code]],100,AS[[#All],[Age Band Code]],2)</f>
        <v>0</v>
      </c>
      <c r="N227" s="487">
        <f>SUMIFS(AS[[#All],[Member Months]],AS[[#All],[Reporting Year]],2025,AS[[#All],[Insurance Category Code]],A227,AS[[#All],[Large Provider Entity Code]],100,AS[[#All],[Age Band Code]],3)</f>
        <v>0</v>
      </c>
      <c r="O227" s="487">
        <f>SUMIFS(AS[[#All],[Member Months]],AS[[#All],[Reporting Year]],2025,AS[[#All],[Insurance Category Code]],A227,AS[[#All],[Large Provider Entity Code]],100,AS[[#All],[Age Band Code]],3,AS[[#All],[Sex Code]],1)</f>
        <v>0</v>
      </c>
      <c r="P227" s="487">
        <f>SUMIFS(AS[[#All],[Member Months]],AS[[#All],[Reporting Year]],2025,AS[[#All],[Insurance Category Code]],A227,AS[[#All],[Large Provider Entity Code]],100,AS[[#All],[Age Band Code]],3,AS[[#All],[Sex Code]],2)</f>
        <v>0</v>
      </c>
      <c r="Q227" s="487">
        <f>SUMIFS(AS[[#All],[Member Months]],AS[[#All],[Reporting Year]],2025,AS[[#All],[Insurance Category Code]],A227,AS[[#All],[Large Provider Entity Code]],100,AS[[#All],[Age Band Code]],4)</f>
        <v>0</v>
      </c>
      <c r="R227" s="487">
        <f>SUMIFS(AS[[#All],[Member Months]],AS[[#All],[Reporting Year]],2025,AS[[#All],[Insurance Category Code]],A227,AS[[#All],[Large Provider Entity Code]],100,AS[[#All],[Age Band Code]],5)</f>
        <v>0</v>
      </c>
      <c r="S227" s="487">
        <f>SUMIFS(AS[[#All],[Member Months]],AS[[#All],[Reporting Year]],2025,AS[[#All],[Insurance Category Code]],A227,AS[[#All],[Large Provider Entity Code]],100,AS[[#All],[Age Band Code]],6)</f>
        <v>0</v>
      </c>
      <c r="T227" s="487">
        <f>SUMIFS(AS[[#All],[Member Months]],AS[[#All],[Reporting Year]],2025,AS[[#All],[Insurance Category Code]],A227,AS[[#All],[Large Provider Entity Code]],100,AS[[#All],[Age Band Code]],7)</f>
        <v>0</v>
      </c>
      <c r="U227" s="488">
        <f>SUMIFS(AS[[#All],[Member Months]],AS[[#All],[Reporting Year]],2025,AS[[#All],[Insurance Category Code]],A227,AS[[#All],[Large Provider Entity Code]],100,AS[[#All],[Age Band Code]],8)</f>
        <v>0</v>
      </c>
      <c r="V227"/>
      <c r="W227"/>
      <c r="X227"/>
      <c r="Y227"/>
      <c r="Z227"/>
      <c r="AA227"/>
      <c r="AB227"/>
      <c r="AC227"/>
    </row>
    <row r="228" spans="1:29" ht="17.399999999999999" thickBot="1" x14ac:dyDescent="0.45">
      <c r="A228" s="6">
        <v>8</v>
      </c>
      <c r="B228" s="499">
        <f>SUMIFS(AS[[#All],[Member Months]],AS[[#All],[Reporting Year]],2024,AS[[#All],[Insurance Category Code]],A228,AS[[#All],[Large Provider Entity Code]],100,AS[[#All],[Age Band Code]],1)</f>
        <v>0</v>
      </c>
      <c r="C228" s="499">
        <f>SUMIFS(AS[[#All],[Member Months]],AS[[#All],[Reporting Year]],2024,AS[[#All],[Insurance Category Code]],A228,AS[[#All],[Large Provider Entity Code]],100,AS[[#All],[Age Band Code]],2)</f>
        <v>0</v>
      </c>
      <c r="D228" s="499">
        <f>SUMIFS(AS[[#All],[Member Months]],AS[[#All],[Reporting Year]],2024,AS[[#All],[Insurance Category Code]],A228,AS[[#All],[Large Provider Entity Code]],100,AS[[#All],[Age Band Code]],3)</f>
        <v>0</v>
      </c>
      <c r="E228" s="499">
        <f>SUMIFS(AS[[#All],[Member Months]],AS[[#All],[Reporting Year]],2024,AS[[#All],[Insurance Category Code]],A228,AS[[#All],[Large Provider Entity Code]],100,AS[[#All],[Age Band Code]],3,AS[[#All],[Sex Code]],1)</f>
        <v>0</v>
      </c>
      <c r="F228" s="499">
        <f>SUMIFS(AS[[#All],[Member Months]],AS[[#All],[Reporting Year]],2024,AS[[#All],[Insurance Category Code]],A228,AS[[#All],[Large Provider Entity Code]],100,AS[[#All],[Age Band Code]],3,AS[[#All],[Sex Code]],2)</f>
        <v>0</v>
      </c>
      <c r="G228" s="499">
        <f>SUMIFS(AS[[#All],[Member Months]],AS[[#All],[Reporting Year]],2024,AS[[#All],[Insurance Category Code]],A228,AS[[#All],[Large Provider Entity Code]],100,AS[[#All],[Age Band Code]],4)</f>
        <v>0</v>
      </c>
      <c r="H228" s="499">
        <f>SUMIFS(AS[[#All],[Member Months]],AS[[#All],[Reporting Year]],2024,AS[[#All],[Insurance Category Code]],A228,AS[[#All],[Large Provider Entity Code]],100,AS[[#All],[Age Band Code]],5)</f>
        <v>0</v>
      </c>
      <c r="I228" s="499">
        <f>SUMIFS(AS[[#All],[Member Months]],AS[[#All],[Reporting Year]],2024,AS[[#All],[Insurance Category Code]],A228,AS[[#All],[Large Provider Entity Code]],100,AS[[#All],[Age Band Code]],6)</f>
        <v>0</v>
      </c>
      <c r="J228" s="499">
        <f>SUMIFS(AS[[#All],[Member Months]],AS[[#All],[Reporting Year]],2024,AS[[#All],[Insurance Category Code]],A228,AS[[#All],[Large Provider Entity Code]],100,AS[[#All],[Age Band Code]],7)</f>
        <v>0</v>
      </c>
      <c r="K228" s="499">
        <f>SUMIFS(AS[[#All],[Member Months]],AS[[#All],[Reporting Year]],2024,AS[[#All],[Insurance Category Code]],A228,AS[[#All],[Large Provider Entity Code]],100,AS[[#All],[Age Band Code]],8)</f>
        <v>0</v>
      </c>
      <c r="L228" s="543">
        <f>SUMIFS(AS[[#All],[Member Months]],AS[[#All],[Reporting Year]],2025,AS[[#All],[Insurance Category Code]],A228,AS[[#All],[Large Provider Entity Code]],100,AS[[#All],[Age Band Code]],1)</f>
        <v>0</v>
      </c>
      <c r="M228" s="499">
        <f>SUMIFS(AS[[#All],[Member Months]],AS[[#All],[Reporting Year]],2025,AS[[#All],[Insurance Category Code]],A228,AS[[#All],[Large Provider Entity Code]],100,AS[[#All],[Age Band Code]],2)</f>
        <v>0</v>
      </c>
      <c r="N228" s="499">
        <f>SUMIFS(AS[[#All],[Member Months]],AS[[#All],[Reporting Year]],2025,AS[[#All],[Insurance Category Code]],A228,AS[[#All],[Large Provider Entity Code]],100,AS[[#All],[Age Band Code]],3)</f>
        <v>0</v>
      </c>
      <c r="O228" s="499">
        <f>SUMIFS(AS[[#All],[Member Months]],AS[[#All],[Reporting Year]],2025,AS[[#All],[Insurance Category Code]],A228,AS[[#All],[Large Provider Entity Code]],100,AS[[#All],[Age Band Code]],3,AS[[#All],[Sex Code]],1)</f>
        <v>0</v>
      </c>
      <c r="P228" s="499">
        <f>SUMIFS(AS[[#All],[Member Months]],AS[[#All],[Reporting Year]],2025,AS[[#All],[Insurance Category Code]],A228,AS[[#All],[Large Provider Entity Code]],100,AS[[#All],[Age Band Code]],3,AS[[#All],[Sex Code]],2)</f>
        <v>0</v>
      </c>
      <c r="Q228" s="499">
        <f>SUMIFS(AS[[#All],[Member Months]],AS[[#All],[Reporting Year]],2025,AS[[#All],[Insurance Category Code]],A228,AS[[#All],[Large Provider Entity Code]],100,AS[[#All],[Age Band Code]],4)</f>
        <v>0</v>
      </c>
      <c r="R228" s="499">
        <f>SUMIFS(AS[[#All],[Member Months]],AS[[#All],[Reporting Year]],2025,AS[[#All],[Insurance Category Code]],A228,AS[[#All],[Large Provider Entity Code]],100,AS[[#All],[Age Band Code]],5)</f>
        <v>0</v>
      </c>
      <c r="S228" s="499">
        <f>SUMIFS(AS[[#All],[Member Months]],AS[[#All],[Reporting Year]],2025,AS[[#All],[Insurance Category Code]],A228,AS[[#All],[Large Provider Entity Code]],100,AS[[#All],[Age Band Code]],6)</f>
        <v>0</v>
      </c>
      <c r="T228" s="499">
        <f>SUMIFS(AS[[#All],[Member Months]],AS[[#All],[Reporting Year]],2025,AS[[#All],[Insurance Category Code]],A228,AS[[#All],[Large Provider Entity Code]],100,AS[[#All],[Age Band Code]],7)</f>
        <v>0</v>
      </c>
      <c r="U228" s="544">
        <f>SUMIFS(AS[[#All],[Member Months]],AS[[#All],[Reporting Year]],2025,AS[[#All],[Insurance Category Code]],A228,AS[[#All],[Large Provider Entity Code]],100,AS[[#All],[Age Band Code]],8)</f>
        <v>0</v>
      </c>
      <c r="V228"/>
      <c r="W228"/>
      <c r="X228"/>
      <c r="Y228"/>
      <c r="Z228"/>
      <c r="AA228"/>
      <c r="AB228"/>
      <c r="AC228"/>
    </row>
    <row r="229" spans="1:29" x14ac:dyDescent="0.4">
      <c r="A229" s="493" t="s">
        <v>412</v>
      </c>
      <c r="B229" s="498">
        <f>B221+B225+B228</f>
        <v>0</v>
      </c>
      <c r="C229" s="498">
        <f t="shared" ref="C229:U229" si="92">C221+C225+C228</f>
        <v>0</v>
      </c>
      <c r="D229" s="498">
        <f t="shared" si="92"/>
        <v>0</v>
      </c>
      <c r="E229" s="498">
        <f t="shared" si="92"/>
        <v>0</v>
      </c>
      <c r="F229" s="498">
        <f t="shared" si="92"/>
        <v>0</v>
      </c>
      <c r="G229" s="498">
        <f>G221+G225+G228</f>
        <v>0</v>
      </c>
      <c r="H229" s="498">
        <f t="shared" si="92"/>
        <v>0</v>
      </c>
      <c r="I229" s="498">
        <f t="shared" si="92"/>
        <v>0</v>
      </c>
      <c r="J229" s="498">
        <f t="shared" si="92"/>
        <v>0</v>
      </c>
      <c r="K229" s="498">
        <f t="shared" si="92"/>
        <v>0</v>
      </c>
      <c r="L229" s="498">
        <f t="shared" si="92"/>
        <v>0</v>
      </c>
      <c r="M229" s="498">
        <f t="shared" si="92"/>
        <v>0</v>
      </c>
      <c r="N229" s="498">
        <f t="shared" si="92"/>
        <v>0</v>
      </c>
      <c r="O229" s="498">
        <f t="shared" si="92"/>
        <v>0</v>
      </c>
      <c r="P229" s="498">
        <f t="shared" si="92"/>
        <v>0</v>
      </c>
      <c r="Q229" s="498">
        <f t="shared" si="92"/>
        <v>0</v>
      </c>
      <c r="R229" s="498">
        <f t="shared" si="92"/>
        <v>0</v>
      </c>
      <c r="S229" s="498">
        <f t="shared" si="92"/>
        <v>0</v>
      </c>
      <c r="T229" s="498">
        <f t="shared" si="92"/>
        <v>0</v>
      </c>
      <c r="U229" s="498">
        <f t="shared" si="92"/>
        <v>0</v>
      </c>
      <c r="V229"/>
      <c r="W229"/>
      <c r="X229"/>
      <c r="Y229"/>
      <c r="Z229"/>
      <c r="AA229"/>
      <c r="AB229"/>
      <c r="AC229"/>
    </row>
    <row r="230" spans="1:29" x14ac:dyDescent="0.4">
      <c r="A230" s="495" t="s">
        <v>413</v>
      </c>
      <c r="B230" s="494">
        <f>B222+B226</f>
        <v>0</v>
      </c>
      <c r="C230" s="494">
        <f t="shared" ref="C230:U230" si="93">C222+C226</f>
        <v>0</v>
      </c>
      <c r="D230" s="494">
        <f t="shared" si="93"/>
        <v>0</v>
      </c>
      <c r="E230" s="494">
        <f t="shared" si="93"/>
        <v>0</v>
      </c>
      <c r="F230" s="494">
        <f t="shared" si="93"/>
        <v>0</v>
      </c>
      <c r="G230" s="494">
        <f t="shared" si="93"/>
        <v>0</v>
      </c>
      <c r="H230" s="494">
        <f t="shared" si="93"/>
        <v>0</v>
      </c>
      <c r="I230" s="494">
        <f t="shared" si="93"/>
        <v>0</v>
      </c>
      <c r="J230" s="494">
        <f t="shared" si="93"/>
        <v>0</v>
      </c>
      <c r="K230" s="494">
        <f t="shared" si="93"/>
        <v>0</v>
      </c>
      <c r="L230" s="494">
        <f t="shared" si="93"/>
        <v>0</v>
      </c>
      <c r="M230" s="494">
        <f t="shared" si="93"/>
        <v>0</v>
      </c>
      <c r="N230" s="494">
        <f t="shared" si="93"/>
        <v>0</v>
      </c>
      <c r="O230" s="494">
        <f t="shared" si="93"/>
        <v>0</v>
      </c>
      <c r="P230" s="494">
        <f t="shared" si="93"/>
        <v>0</v>
      </c>
      <c r="Q230" s="494">
        <f t="shared" si="93"/>
        <v>0</v>
      </c>
      <c r="R230" s="494">
        <f t="shared" si="93"/>
        <v>0</v>
      </c>
      <c r="S230" s="494">
        <f t="shared" si="93"/>
        <v>0</v>
      </c>
      <c r="T230" s="494">
        <f t="shared" si="93"/>
        <v>0</v>
      </c>
      <c r="U230" s="494">
        <f t="shared" si="93"/>
        <v>0</v>
      </c>
      <c r="V230"/>
      <c r="W230"/>
      <c r="X230"/>
      <c r="Y230"/>
      <c r="Z230"/>
      <c r="AA230"/>
      <c r="AB230"/>
      <c r="AC230"/>
    </row>
    <row r="231" spans="1:29" x14ac:dyDescent="0.4">
      <c r="A231" s="495" t="s">
        <v>414</v>
      </c>
      <c r="B231" s="494">
        <f>B223+B224+B227</f>
        <v>0</v>
      </c>
      <c r="C231" s="494">
        <f t="shared" ref="C231:U231" si="94">C223+C224+C227</f>
        <v>0</v>
      </c>
      <c r="D231" s="494">
        <f t="shared" si="94"/>
        <v>0</v>
      </c>
      <c r="E231" s="494">
        <f t="shared" si="94"/>
        <v>0</v>
      </c>
      <c r="F231" s="494">
        <f t="shared" si="94"/>
        <v>0</v>
      </c>
      <c r="G231" s="494">
        <f t="shared" si="94"/>
        <v>0</v>
      </c>
      <c r="H231" s="494">
        <f t="shared" si="94"/>
        <v>0</v>
      </c>
      <c r="I231" s="494">
        <f t="shared" si="94"/>
        <v>0</v>
      </c>
      <c r="J231" s="494">
        <f t="shared" si="94"/>
        <v>0</v>
      </c>
      <c r="K231" s="494">
        <f t="shared" si="94"/>
        <v>0</v>
      </c>
      <c r="L231" s="494">
        <f t="shared" si="94"/>
        <v>0</v>
      </c>
      <c r="M231" s="494">
        <f t="shared" si="94"/>
        <v>0</v>
      </c>
      <c r="N231" s="494">
        <f t="shared" si="94"/>
        <v>0</v>
      </c>
      <c r="O231" s="494">
        <f t="shared" si="94"/>
        <v>0</v>
      </c>
      <c r="P231" s="494">
        <f t="shared" si="94"/>
        <v>0</v>
      </c>
      <c r="Q231" s="494">
        <f t="shared" si="94"/>
        <v>0</v>
      </c>
      <c r="R231" s="494">
        <f t="shared" si="94"/>
        <v>0</v>
      </c>
      <c r="S231" s="494">
        <f t="shared" si="94"/>
        <v>0</v>
      </c>
      <c r="T231" s="494">
        <f t="shared" si="94"/>
        <v>0</v>
      </c>
      <c r="U231" s="494">
        <f t="shared" si="94"/>
        <v>0</v>
      </c>
      <c r="V231"/>
      <c r="W231"/>
      <c r="X231"/>
      <c r="Y231"/>
      <c r="Z231"/>
      <c r="AA231"/>
      <c r="AB231"/>
      <c r="AC231"/>
    </row>
    <row r="232" spans="1:29" x14ac:dyDescent="0.4">
      <c r="A232" s="495" t="s">
        <v>577</v>
      </c>
      <c r="B232" s="496">
        <f>B225+B226</f>
        <v>0</v>
      </c>
      <c r="C232" s="496">
        <f t="shared" ref="C232:U232" si="95">C225+C226</f>
        <v>0</v>
      </c>
      <c r="D232" s="496">
        <f t="shared" si="95"/>
        <v>0</v>
      </c>
      <c r="E232" s="496">
        <f t="shared" si="95"/>
        <v>0</v>
      </c>
      <c r="F232" s="496">
        <f t="shared" si="95"/>
        <v>0</v>
      </c>
      <c r="G232" s="496">
        <f>G225+G226</f>
        <v>0</v>
      </c>
      <c r="H232" s="496">
        <f t="shared" si="95"/>
        <v>0</v>
      </c>
      <c r="I232" s="496">
        <f t="shared" si="95"/>
        <v>0</v>
      </c>
      <c r="J232" s="496">
        <f t="shared" si="95"/>
        <v>0</v>
      </c>
      <c r="K232" s="496">
        <f t="shared" si="95"/>
        <v>0</v>
      </c>
      <c r="L232" s="496">
        <f t="shared" si="95"/>
        <v>0</v>
      </c>
      <c r="M232" s="496">
        <f t="shared" si="95"/>
        <v>0</v>
      </c>
      <c r="N232" s="496">
        <f t="shared" si="95"/>
        <v>0</v>
      </c>
      <c r="O232" s="496">
        <f t="shared" si="95"/>
        <v>0</v>
      </c>
      <c r="P232" s="496">
        <f t="shared" si="95"/>
        <v>0</v>
      </c>
      <c r="Q232" s="496">
        <f t="shared" si="95"/>
        <v>0</v>
      </c>
      <c r="R232" s="496">
        <f t="shared" si="95"/>
        <v>0</v>
      </c>
      <c r="S232" s="496">
        <f t="shared" si="95"/>
        <v>0</v>
      </c>
      <c r="T232" s="496">
        <f t="shared" si="95"/>
        <v>0</v>
      </c>
      <c r="U232" s="496">
        <f t="shared" si="95"/>
        <v>0</v>
      </c>
      <c r="V232"/>
      <c r="W232"/>
      <c r="X232"/>
      <c r="Y232"/>
      <c r="Z232"/>
      <c r="AA232"/>
      <c r="AB232"/>
      <c r="AC232"/>
    </row>
    <row r="233" spans="1:29" x14ac:dyDescent="0.4">
      <c r="A233" s="451"/>
      <c r="B233" s="492"/>
      <c r="C233" s="492"/>
      <c r="D233" s="492"/>
      <c r="E233" s="492"/>
      <c r="F233" s="492"/>
      <c r="G233" s="492"/>
      <c r="H233" s="492"/>
      <c r="I233" s="492"/>
      <c r="J233" s="492"/>
      <c r="K233" s="492"/>
      <c r="L233" s="492"/>
      <c r="M233" s="492"/>
      <c r="N233" s="492"/>
      <c r="O233" s="492"/>
      <c r="P233" s="492"/>
      <c r="Q233" s="492"/>
      <c r="R233" s="492"/>
      <c r="S233" s="492"/>
      <c r="T233" s="492"/>
      <c r="U233" s="492"/>
      <c r="V233"/>
      <c r="W233"/>
      <c r="X233"/>
      <c r="Y233"/>
      <c r="Z233"/>
      <c r="AA233"/>
      <c r="AB233"/>
      <c r="AC233"/>
    </row>
    <row r="234" spans="1:29" x14ac:dyDescent="0.4">
      <c r="A234" s="451"/>
      <c r="B234"/>
      <c r="C234" s="42"/>
      <c r="D234" s="42"/>
      <c r="E234" s="42"/>
      <c r="F234" s="42"/>
      <c r="G234" s="42"/>
      <c r="H234" s="42"/>
      <c r="I234" s="42"/>
      <c r="J234" s="42"/>
      <c r="K234"/>
      <c r="L234"/>
      <c r="M234"/>
      <c r="N234"/>
      <c r="O234"/>
      <c r="P234"/>
      <c r="Q234"/>
      <c r="R234"/>
      <c r="S234"/>
      <c r="T234"/>
      <c r="U234"/>
      <c r="V234"/>
      <c r="W234"/>
      <c r="X234"/>
      <c r="Y234"/>
      <c r="Z234"/>
      <c r="AA234"/>
      <c r="AB234"/>
      <c r="AC234"/>
    </row>
    <row r="235" spans="1:29" x14ac:dyDescent="0.4">
      <c r="A235" s="3" t="s">
        <v>596</v>
      </c>
      <c r="B235"/>
      <c r="C235"/>
      <c r="D235"/>
      <c r="E235"/>
      <c r="F235"/>
      <c r="G235"/>
      <c r="H235"/>
      <c r="I235"/>
      <c r="J235"/>
      <c r="K235"/>
      <c r="L235"/>
      <c r="M235"/>
      <c r="N235"/>
      <c r="O235"/>
      <c r="P235"/>
      <c r="Q235"/>
      <c r="R235"/>
      <c r="S235"/>
      <c r="T235"/>
      <c r="U235"/>
      <c r="V235"/>
      <c r="W235"/>
      <c r="X235"/>
      <c r="Y235"/>
      <c r="Z235"/>
      <c r="AA235"/>
      <c r="AB235"/>
      <c r="AC235"/>
    </row>
    <row r="236" spans="1:29" x14ac:dyDescent="0.4">
      <c r="A236" s="618" t="s">
        <v>56</v>
      </c>
      <c r="B236" s="619">
        <v>2024</v>
      </c>
      <c r="C236" s="620"/>
      <c r="D236" s="620"/>
      <c r="E236" s="620"/>
      <c r="F236" s="620"/>
      <c r="G236" s="620"/>
      <c r="H236" s="620"/>
      <c r="I236" s="620"/>
      <c r="J236" s="620"/>
      <c r="K236" s="620"/>
      <c r="L236" s="621">
        <v>2025</v>
      </c>
      <c r="M236" s="621"/>
      <c r="N236" s="621"/>
      <c r="O236" s="621"/>
      <c r="P236" s="621"/>
      <c r="Q236" s="621"/>
      <c r="R236" s="621"/>
      <c r="S236" s="621"/>
      <c r="T236" s="621"/>
      <c r="U236" s="621"/>
      <c r="V236"/>
      <c r="W236"/>
      <c r="X236"/>
      <c r="Y236"/>
      <c r="Z236"/>
      <c r="AA236"/>
      <c r="AB236"/>
      <c r="AC236"/>
    </row>
    <row r="237" spans="1:29" ht="73.5" customHeight="1" x14ac:dyDescent="0.4">
      <c r="A237" s="618"/>
      <c r="B237" s="84" t="s">
        <v>402</v>
      </c>
      <c r="C237" s="85" t="s">
        <v>403</v>
      </c>
      <c r="D237" s="85" t="s">
        <v>404</v>
      </c>
      <c r="E237" s="85" t="s">
        <v>405</v>
      </c>
      <c r="F237" s="85" t="s">
        <v>406</v>
      </c>
      <c r="G237" s="85" t="s">
        <v>407</v>
      </c>
      <c r="H237" s="85" t="s">
        <v>408</v>
      </c>
      <c r="I237" s="85" t="s">
        <v>409</v>
      </c>
      <c r="J237" s="85" t="s">
        <v>410</v>
      </c>
      <c r="K237" s="86" t="s">
        <v>411</v>
      </c>
      <c r="L237" s="81" t="s">
        <v>402</v>
      </c>
      <c r="M237" s="82" t="s">
        <v>403</v>
      </c>
      <c r="N237" s="82" t="s">
        <v>404</v>
      </c>
      <c r="O237" s="82" t="s">
        <v>405</v>
      </c>
      <c r="P237" s="82" t="s">
        <v>406</v>
      </c>
      <c r="Q237" s="82" t="s">
        <v>407</v>
      </c>
      <c r="R237" s="82" t="s">
        <v>408</v>
      </c>
      <c r="S237" s="82" t="s">
        <v>409</v>
      </c>
      <c r="T237" s="82" t="s">
        <v>410</v>
      </c>
      <c r="U237" s="82" t="s">
        <v>411</v>
      </c>
      <c r="V237"/>
      <c r="W237"/>
      <c r="X237"/>
      <c r="Y237"/>
      <c r="Z237"/>
      <c r="AA237"/>
      <c r="AB237"/>
      <c r="AC237"/>
    </row>
    <row r="238" spans="1:29" x14ac:dyDescent="0.4">
      <c r="A238" s="47">
        <v>1</v>
      </c>
      <c r="B238" s="159">
        <f>SUMIFS(AS[[#All],[Total Non-Truncated Claims Spending]],AS[[#All],[Reporting Year]],2024,AS[[#All],[Insurance Category Code]],A238,AS[[#All],[Large Provider Entity Code]],100,AS[[#All],[Age Band Code]],1)</f>
        <v>0</v>
      </c>
      <c r="C238" s="163">
        <f>SUMIFS(AS[[#All],[Total Non-Truncated Claims Spending]],AS[[#All],[Reporting Year]],2024,AS[[#All],[Insurance Category Code]],A238,AS[[#All],[Large Provider Entity Code]],100,AS[[#All],[Age Band Code]],2)</f>
        <v>0</v>
      </c>
      <c r="D238" s="163">
        <f>SUMIFS(AS[[#All],[Total Non-Truncated Claims Spending]],AS[[#All],[Reporting Year]],2024,AS[[#All],[Insurance Category Code]],A238,AS[[#All],[Large Provider Entity Code]],100,AS[[#All],[Age Band Code]],3)</f>
        <v>0</v>
      </c>
      <c r="E238" s="163">
        <f>SUMIFS(AS[[#All],[Total Non-Truncated Claims Spending]],AS[[#All],[Reporting Year]],2024,AS[[#All],[Insurance Category Code]],A238,AS[[#All],[Large Provider Entity Code]],100,AS[[#All],[Age Band Code]],3,AS[[#All],[Sex Code]],1)</f>
        <v>0</v>
      </c>
      <c r="F238" s="163">
        <f>SUMIFS(AS[[#All],[Total Non-Truncated Claims Spending]],AS[[#All],[Reporting Year]],2024,AS[[#All],[Insurance Category Code]],A238,AS[[#All],[Large Provider Entity Code]],100,AS[[#All],[Age Band Code]],3,AS[[#All],[Sex Code]],2)</f>
        <v>0</v>
      </c>
      <c r="G238" s="163">
        <f>SUMIFS(AS[[#All],[Total Non-Truncated Claims Spending]],AS[[#All],[Reporting Year]],2024,AS[[#All],[Insurance Category Code]],A238,AS[[#All],[Large Provider Entity Code]],100,AS[[#All],[Age Band Code]],4)</f>
        <v>0</v>
      </c>
      <c r="H238" s="163">
        <f>SUMIFS(AS[[#All],[Total Non-Truncated Claims Spending]],AS[[#All],[Reporting Year]],2024,AS[[#All],[Insurance Category Code]],A238,AS[[#All],[Large Provider Entity Code]],100,AS[[#All],[Age Band Code]],5)</f>
        <v>0</v>
      </c>
      <c r="I238" s="163">
        <f>SUMIFS(AS[[#All],[Total Non-Truncated Claims Spending]],AS[[#All],[Reporting Year]],2024,AS[[#All],[Insurance Category Code]],A238,AS[[#All],[Large Provider Entity Code]],100,AS[[#All],[Age Band Code]],6)</f>
        <v>0</v>
      </c>
      <c r="J238" s="163">
        <f>SUMIFS(AS[[#All],[Total Non-Truncated Claims Spending]],AS[[#All],[Reporting Year]],2024,AS[[#All],[Insurance Category Code]],A238,AS[[#All],[Large Provider Entity Code]],100,AS[[#All],[Age Band Code]],7)</f>
        <v>0</v>
      </c>
      <c r="K238" s="160">
        <f>SUMIFS(AS[[#All],[Total Non-Truncated Claims Spending]],AS[[#All],[Reporting Year]],2024,AS[[#All],[Insurance Category Code]],A238,AS[[#All],[Large Provider Entity Code]],100,AS[[#All],[Age Band Code]],8)</f>
        <v>0</v>
      </c>
      <c r="L238" s="159">
        <f>SUMIFS(AS[[#All],[Total Non-Truncated Claims Spending]],AS[[#All],[Reporting Year]],2025,AS[[#All],[Insurance Category Code]],A238,AS[[#All],[Large Provider Entity Code]],100,AS[[#All],[Age Band Code]],1)</f>
        <v>0</v>
      </c>
      <c r="M238" s="163">
        <f>SUMIFS(AS[[#All],[Total Non-Truncated Claims Spending]],AS[[#All],[Reporting Year]],2025,AS[[#All],[Insurance Category Code]],A238,AS[[#All],[Large Provider Entity Code]],100,AS[[#All],[Age Band Code]],2)</f>
        <v>0</v>
      </c>
      <c r="N238" s="163">
        <f>SUMIFS(AS[[#All],[Total Non-Truncated Claims Spending]],AS[[#All],[Reporting Year]],2025,AS[[#All],[Insurance Category Code]],A238,AS[[#All],[Large Provider Entity Code]],100,AS[[#All],[Age Band Code]],3)</f>
        <v>0</v>
      </c>
      <c r="O238" s="163">
        <f>SUMIFS(AS[[#All],[Total Non-Truncated Claims Spending]],AS[[#All],[Reporting Year]],2025,AS[[#All],[Insurance Category Code]],A238,AS[[#All],[Large Provider Entity Code]],100,AS[[#All],[Age Band Code]],3,AS[[#All],[Sex Code]],1)</f>
        <v>0</v>
      </c>
      <c r="P238" s="163">
        <f>SUMIFS(AS[[#All],[Total Non-Truncated Claims Spending]],AS[[#All],[Reporting Year]],2025,AS[[#All],[Insurance Category Code]],A238,AS[[#All],[Large Provider Entity Code]],100,AS[[#All],[Age Band Code]],3,AS[[#All],[Sex Code]],2)</f>
        <v>0</v>
      </c>
      <c r="Q238" s="163">
        <f>SUMIFS(AS[[#All],[Total Non-Truncated Claims Spending]],AS[[#All],[Reporting Year]],2025,AS[[#All],[Insurance Category Code]],A238,AS[[#All],[Large Provider Entity Code]],100,AS[[#All],[Age Band Code]],4)</f>
        <v>0</v>
      </c>
      <c r="R238" s="163">
        <f>SUMIFS(AS[[#All],[Total Non-Truncated Claims Spending]],AS[[#All],[Reporting Year]],2025,AS[[#All],[Insurance Category Code]],A238,AS[[#All],[Large Provider Entity Code]],100,AS[[#All],[Age Band Code]],5)</f>
        <v>0</v>
      </c>
      <c r="S238" s="163">
        <f>SUMIFS(AS[[#All],[Total Non-Truncated Claims Spending]],AS[[#All],[Reporting Year]],2025,AS[[#All],[Insurance Category Code]],A238,AS[[#All],[Large Provider Entity Code]],100,AS[[#All],[Age Band Code]],6)</f>
        <v>0</v>
      </c>
      <c r="T238" s="163">
        <f>SUMIFS(AS[[#All],[Total Non-Truncated Claims Spending]],AS[[#All],[Reporting Year]],2025,AS[[#All],[Insurance Category Code]],A238,AS[[#All],[Large Provider Entity Code]],100,AS[[#All],[Age Band Code]],7)</f>
        <v>0</v>
      </c>
      <c r="U238" s="160">
        <f>SUMIFS(AS[[#All],[Total Non-Truncated Claims Spending]],AS[[#All],[Reporting Year]],2025,AS[[#All],[Insurance Category Code]],A238,AS[[#All],[Large Provider Entity Code]],100,AS[[#All],[Age Band Code]],8)</f>
        <v>0</v>
      </c>
      <c r="V238"/>
      <c r="W238"/>
      <c r="X238"/>
      <c r="Y238"/>
      <c r="Z238"/>
      <c r="AA238"/>
      <c r="AB238"/>
      <c r="AC238"/>
    </row>
    <row r="239" spans="1:29" x14ac:dyDescent="0.4">
      <c r="A239" s="47">
        <v>2</v>
      </c>
      <c r="B239" s="159">
        <f>SUMIFS(AS[[#All],[Total Non-Truncated Claims Spending]],AS[[#All],[Reporting Year]],2024,AS[[#All],[Insurance Category Code]],A239,AS[[#All],[Large Provider Entity Code]],100,AS[[#All],[Age Band Code]],1)</f>
        <v>0</v>
      </c>
      <c r="C239" s="163">
        <f>SUMIFS(AS[[#All],[Total Non-Truncated Claims Spending]],AS[[#All],[Reporting Year]],2024,AS[[#All],[Insurance Category Code]],A239,AS[[#All],[Large Provider Entity Code]],100,AS[[#All],[Age Band Code]],2)</f>
        <v>0</v>
      </c>
      <c r="D239" s="163">
        <f>SUMIFS(AS[[#All],[Total Non-Truncated Claims Spending]],AS[[#All],[Reporting Year]],2024,AS[[#All],[Insurance Category Code]],A239,AS[[#All],[Large Provider Entity Code]],100,AS[[#All],[Age Band Code]],3)</f>
        <v>0</v>
      </c>
      <c r="E239" s="163">
        <f>SUMIFS(AS[[#All],[Total Non-Truncated Claims Spending]],AS[[#All],[Reporting Year]],2024,AS[[#All],[Insurance Category Code]],A239,AS[[#All],[Large Provider Entity Code]],100,AS[[#All],[Age Band Code]],3,AS[[#All],[Sex Code]],1)</f>
        <v>0</v>
      </c>
      <c r="F239" s="163">
        <f>SUMIFS(AS[[#All],[Total Non-Truncated Claims Spending]],AS[[#All],[Reporting Year]],2024,AS[[#All],[Insurance Category Code]],A239,AS[[#All],[Large Provider Entity Code]],100,AS[[#All],[Age Band Code]],3,AS[[#All],[Sex Code]],2)</f>
        <v>0</v>
      </c>
      <c r="G239" s="163">
        <f>SUMIFS(AS[[#All],[Total Non-Truncated Claims Spending]],AS[[#All],[Reporting Year]],2024,AS[[#All],[Insurance Category Code]],A239,AS[[#All],[Large Provider Entity Code]],100,AS[[#All],[Age Band Code]],4)</f>
        <v>0</v>
      </c>
      <c r="H239" s="163">
        <f>SUMIFS(AS[[#All],[Total Non-Truncated Claims Spending]],AS[[#All],[Reporting Year]],2024,AS[[#All],[Insurance Category Code]],A239,AS[[#All],[Large Provider Entity Code]],100,AS[[#All],[Age Band Code]],5)</f>
        <v>0</v>
      </c>
      <c r="I239" s="163">
        <f>SUMIFS(AS[[#All],[Total Non-Truncated Claims Spending]],AS[[#All],[Reporting Year]],2024,AS[[#All],[Insurance Category Code]],A239,AS[[#All],[Large Provider Entity Code]],100,AS[[#All],[Age Band Code]],6)</f>
        <v>0</v>
      </c>
      <c r="J239" s="163">
        <f>SUMIFS(AS[[#All],[Total Non-Truncated Claims Spending]],AS[[#All],[Reporting Year]],2024,AS[[#All],[Insurance Category Code]],A239,AS[[#All],[Large Provider Entity Code]],100,AS[[#All],[Age Band Code]],7)</f>
        <v>0</v>
      </c>
      <c r="K239" s="160">
        <f>SUMIFS(AS[[#All],[Total Non-Truncated Claims Spending]],AS[[#All],[Reporting Year]],2024,AS[[#All],[Insurance Category Code]],A239,AS[[#All],[Large Provider Entity Code]],100,AS[[#All],[Age Band Code]],8)</f>
        <v>0</v>
      </c>
      <c r="L239" s="159">
        <f>SUMIFS(AS[[#All],[Total Non-Truncated Claims Spending]],AS[[#All],[Reporting Year]],2025,AS[[#All],[Insurance Category Code]],A239,AS[[#All],[Large Provider Entity Code]],100,AS[[#All],[Age Band Code]],1)</f>
        <v>0</v>
      </c>
      <c r="M239" s="163">
        <f>SUMIFS(AS[[#All],[Total Non-Truncated Claims Spending]],AS[[#All],[Reporting Year]],2025,AS[[#All],[Insurance Category Code]],A239,AS[[#All],[Large Provider Entity Code]],100,AS[[#All],[Age Band Code]],2)</f>
        <v>0</v>
      </c>
      <c r="N239" s="163">
        <f>SUMIFS(AS[[#All],[Total Non-Truncated Claims Spending]],AS[[#All],[Reporting Year]],2025,AS[[#All],[Insurance Category Code]],A239,AS[[#All],[Large Provider Entity Code]],100,AS[[#All],[Age Band Code]],3)</f>
        <v>0</v>
      </c>
      <c r="O239" s="163">
        <f>SUMIFS(AS[[#All],[Total Non-Truncated Claims Spending]],AS[[#All],[Reporting Year]],2025,AS[[#All],[Insurance Category Code]],A239,AS[[#All],[Large Provider Entity Code]],100,AS[[#All],[Age Band Code]],3,AS[[#All],[Sex Code]],1)</f>
        <v>0</v>
      </c>
      <c r="P239" s="163">
        <f>SUMIFS(AS[[#All],[Total Non-Truncated Claims Spending]],AS[[#All],[Reporting Year]],2025,AS[[#All],[Insurance Category Code]],A239,AS[[#All],[Large Provider Entity Code]],100,AS[[#All],[Age Band Code]],3,AS[[#All],[Sex Code]],2)</f>
        <v>0</v>
      </c>
      <c r="Q239" s="163">
        <f>SUMIFS(AS[[#All],[Total Non-Truncated Claims Spending]],AS[[#All],[Reporting Year]],2025,AS[[#All],[Insurance Category Code]],A239,AS[[#All],[Large Provider Entity Code]],100,AS[[#All],[Age Band Code]],4)</f>
        <v>0</v>
      </c>
      <c r="R239" s="163">
        <f>SUMIFS(AS[[#All],[Total Non-Truncated Claims Spending]],AS[[#All],[Reporting Year]],2025,AS[[#All],[Insurance Category Code]],A239,AS[[#All],[Large Provider Entity Code]],100,AS[[#All],[Age Band Code]],5)</f>
        <v>0</v>
      </c>
      <c r="S239" s="163">
        <f>SUMIFS(AS[[#All],[Total Non-Truncated Claims Spending]],AS[[#All],[Reporting Year]],2025,AS[[#All],[Insurance Category Code]],A239,AS[[#All],[Large Provider Entity Code]],100,AS[[#All],[Age Band Code]],6)</f>
        <v>0</v>
      </c>
      <c r="T239" s="163">
        <f>SUMIFS(AS[[#All],[Total Non-Truncated Claims Spending]],AS[[#All],[Reporting Year]],2025,AS[[#All],[Insurance Category Code]],A239,AS[[#All],[Large Provider Entity Code]],100,AS[[#All],[Age Band Code]],7)</f>
        <v>0</v>
      </c>
      <c r="U239" s="160">
        <f>SUMIFS(AS[[#All],[Total Non-Truncated Claims Spending]],AS[[#All],[Reporting Year]],2025,AS[[#All],[Insurance Category Code]],A239,AS[[#All],[Large Provider Entity Code]],100,AS[[#All],[Age Band Code]],8)</f>
        <v>0</v>
      </c>
      <c r="V239"/>
      <c r="W239"/>
      <c r="X239"/>
      <c r="Y239"/>
      <c r="Z239"/>
      <c r="AA239"/>
      <c r="AB239"/>
      <c r="AC239"/>
    </row>
    <row r="240" spans="1:29" x14ac:dyDescent="0.4">
      <c r="A240" s="47">
        <v>3</v>
      </c>
      <c r="B240" s="159">
        <f>SUMIFS(AS[[#All],[Total Non-Truncated Claims Spending]],AS[[#All],[Reporting Year]],2024,AS[[#All],[Insurance Category Code]],A240,AS[[#All],[Large Provider Entity Code]],100,AS[[#All],[Age Band Code]],1)</f>
        <v>0</v>
      </c>
      <c r="C240" s="163">
        <f>SUMIFS(AS[[#All],[Total Non-Truncated Claims Spending]],AS[[#All],[Reporting Year]],2024,AS[[#All],[Insurance Category Code]],A240,AS[[#All],[Large Provider Entity Code]],100,AS[[#All],[Age Band Code]],2)</f>
        <v>0</v>
      </c>
      <c r="D240" s="163">
        <f>SUMIFS(AS[[#All],[Total Non-Truncated Claims Spending]],AS[[#All],[Reporting Year]],2024,AS[[#All],[Insurance Category Code]],A240,AS[[#All],[Large Provider Entity Code]],100,AS[[#All],[Age Band Code]],3)</f>
        <v>0</v>
      </c>
      <c r="E240" s="163">
        <f>SUMIFS(AS[[#All],[Total Non-Truncated Claims Spending]],AS[[#All],[Reporting Year]],2024,AS[[#All],[Insurance Category Code]],A240,AS[[#All],[Large Provider Entity Code]],100,AS[[#All],[Age Band Code]],3,AS[[#All],[Sex Code]],1)</f>
        <v>0</v>
      </c>
      <c r="F240" s="163">
        <f>SUMIFS(AS[[#All],[Total Non-Truncated Claims Spending]],AS[[#All],[Reporting Year]],2024,AS[[#All],[Insurance Category Code]],A240,AS[[#All],[Large Provider Entity Code]],100,AS[[#All],[Age Band Code]],3,AS[[#All],[Sex Code]],2)</f>
        <v>0</v>
      </c>
      <c r="G240" s="163">
        <f>SUMIFS(AS[[#All],[Total Non-Truncated Claims Spending]],AS[[#All],[Reporting Year]],2024,AS[[#All],[Insurance Category Code]],A240,AS[[#All],[Large Provider Entity Code]],100,AS[[#All],[Age Band Code]],4)</f>
        <v>0</v>
      </c>
      <c r="H240" s="163">
        <f>SUMIFS(AS[[#All],[Total Non-Truncated Claims Spending]],AS[[#All],[Reporting Year]],2024,AS[[#All],[Insurance Category Code]],A240,AS[[#All],[Large Provider Entity Code]],100,AS[[#All],[Age Band Code]],5)</f>
        <v>0</v>
      </c>
      <c r="I240" s="163">
        <f>SUMIFS(AS[[#All],[Total Non-Truncated Claims Spending]],AS[[#All],[Reporting Year]],2024,AS[[#All],[Insurance Category Code]],A240,AS[[#All],[Large Provider Entity Code]],100,AS[[#All],[Age Band Code]],6)</f>
        <v>0</v>
      </c>
      <c r="J240" s="163">
        <f>SUMIFS(AS[[#All],[Total Non-Truncated Claims Spending]],AS[[#All],[Reporting Year]],2024,AS[[#All],[Insurance Category Code]],A240,AS[[#All],[Large Provider Entity Code]],100,AS[[#All],[Age Band Code]],7)</f>
        <v>0</v>
      </c>
      <c r="K240" s="160">
        <f>SUMIFS(AS[[#All],[Total Non-Truncated Claims Spending]],AS[[#All],[Reporting Year]],2024,AS[[#All],[Insurance Category Code]],A240,AS[[#All],[Large Provider Entity Code]],100,AS[[#All],[Age Band Code]],8)</f>
        <v>0</v>
      </c>
      <c r="L240" s="159">
        <f>SUMIFS(AS[[#All],[Total Non-Truncated Claims Spending]],AS[[#All],[Reporting Year]],2025,AS[[#All],[Insurance Category Code]],A240,AS[[#All],[Large Provider Entity Code]],100,AS[[#All],[Age Band Code]],1)</f>
        <v>0</v>
      </c>
      <c r="M240" s="163">
        <f>SUMIFS(AS[[#All],[Total Non-Truncated Claims Spending]],AS[[#All],[Reporting Year]],2025,AS[[#All],[Insurance Category Code]],A240,AS[[#All],[Large Provider Entity Code]],100,AS[[#All],[Age Band Code]],2)</f>
        <v>0</v>
      </c>
      <c r="N240" s="163">
        <f>SUMIFS(AS[[#All],[Total Non-Truncated Claims Spending]],AS[[#All],[Reporting Year]],2025,AS[[#All],[Insurance Category Code]],A240,AS[[#All],[Large Provider Entity Code]],100,AS[[#All],[Age Band Code]],3)</f>
        <v>0</v>
      </c>
      <c r="O240" s="163">
        <f>SUMIFS(AS[[#All],[Total Non-Truncated Claims Spending]],AS[[#All],[Reporting Year]],2025,AS[[#All],[Insurance Category Code]],A240,AS[[#All],[Large Provider Entity Code]],100,AS[[#All],[Age Band Code]],3,AS[[#All],[Sex Code]],1)</f>
        <v>0</v>
      </c>
      <c r="P240" s="163">
        <f>SUMIFS(AS[[#All],[Total Non-Truncated Claims Spending]],AS[[#All],[Reporting Year]],2025,AS[[#All],[Insurance Category Code]],A240,AS[[#All],[Large Provider Entity Code]],100,AS[[#All],[Age Band Code]],3,AS[[#All],[Sex Code]],2)</f>
        <v>0</v>
      </c>
      <c r="Q240" s="163">
        <f>SUMIFS(AS[[#All],[Total Non-Truncated Claims Spending]],AS[[#All],[Reporting Year]],2025,AS[[#All],[Insurance Category Code]],A240,AS[[#All],[Large Provider Entity Code]],100,AS[[#All],[Age Band Code]],4)</f>
        <v>0</v>
      </c>
      <c r="R240" s="163">
        <f>SUMIFS(AS[[#All],[Total Non-Truncated Claims Spending]],AS[[#All],[Reporting Year]],2025,AS[[#All],[Insurance Category Code]],A240,AS[[#All],[Large Provider Entity Code]],100,AS[[#All],[Age Band Code]],5)</f>
        <v>0</v>
      </c>
      <c r="S240" s="163">
        <f>SUMIFS(AS[[#All],[Total Non-Truncated Claims Spending]],AS[[#All],[Reporting Year]],2025,AS[[#All],[Insurance Category Code]],A240,AS[[#All],[Large Provider Entity Code]],100,AS[[#All],[Age Band Code]],6)</f>
        <v>0</v>
      </c>
      <c r="T240" s="163">
        <f>SUMIFS(AS[[#All],[Total Non-Truncated Claims Spending]],AS[[#All],[Reporting Year]],2025,AS[[#All],[Insurance Category Code]],A240,AS[[#All],[Large Provider Entity Code]],100,AS[[#All],[Age Band Code]],7)</f>
        <v>0</v>
      </c>
      <c r="U240" s="160">
        <f>SUMIFS(AS[[#All],[Total Non-Truncated Claims Spending]],AS[[#All],[Reporting Year]],2025,AS[[#All],[Insurance Category Code]],A240,AS[[#All],[Large Provider Entity Code]],100,AS[[#All],[Age Band Code]],8)</f>
        <v>0</v>
      </c>
      <c r="V240"/>
      <c r="W240"/>
      <c r="X240"/>
      <c r="Y240"/>
      <c r="Z240"/>
      <c r="AA240"/>
      <c r="AB240"/>
      <c r="AC240"/>
    </row>
    <row r="241" spans="1:29" x14ac:dyDescent="0.4">
      <c r="A241" s="47">
        <v>4</v>
      </c>
      <c r="B241" s="159">
        <f>SUMIFS(AS[[#All],[Total Non-Truncated Claims Spending]],AS[[#All],[Reporting Year]],2024,AS[[#All],[Insurance Category Code]],A241,AS[[#All],[Large Provider Entity Code]],100,AS[[#All],[Age Band Code]],1)</f>
        <v>0</v>
      </c>
      <c r="C241" s="163">
        <f>SUMIFS(AS[[#All],[Total Non-Truncated Claims Spending]],AS[[#All],[Reporting Year]],2024,AS[[#All],[Insurance Category Code]],A241,AS[[#All],[Large Provider Entity Code]],100,AS[[#All],[Age Band Code]],2)</f>
        <v>0</v>
      </c>
      <c r="D241" s="163">
        <f>SUMIFS(AS[[#All],[Total Non-Truncated Claims Spending]],AS[[#All],[Reporting Year]],2024,AS[[#All],[Insurance Category Code]],A241,AS[[#All],[Large Provider Entity Code]],100,AS[[#All],[Age Band Code]],3)</f>
        <v>0</v>
      </c>
      <c r="E241" s="163">
        <f>SUMIFS(AS[[#All],[Total Non-Truncated Claims Spending]],AS[[#All],[Reporting Year]],2024,AS[[#All],[Insurance Category Code]],A241,AS[[#All],[Large Provider Entity Code]],100,AS[[#All],[Age Band Code]],3,AS[[#All],[Sex Code]],1)</f>
        <v>0</v>
      </c>
      <c r="F241" s="163">
        <f>SUMIFS(AS[[#All],[Total Non-Truncated Claims Spending]],AS[[#All],[Reporting Year]],2024,AS[[#All],[Insurance Category Code]],A241,AS[[#All],[Large Provider Entity Code]],100,AS[[#All],[Age Band Code]],3,AS[[#All],[Sex Code]],2)</f>
        <v>0</v>
      </c>
      <c r="G241" s="163">
        <f>SUMIFS(AS[[#All],[Total Non-Truncated Claims Spending]],AS[[#All],[Reporting Year]],2024,AS[[#All],[Insurance Category Code]],A241,AS[[#All],[Large Provider Entity Code]],100,AS[[#All],[Age Band Code]],4)</f>
        <v>0</v>
      </c>
      <c r="H241" s="163">
        <f>SUMIFS(AS[[#All],[Total Non-Truncated Claims Spending]],AS[[#All],[Reporting Year]],2024,AS[[#All],[Insurance Category Code]],A241,AS[[#All],[Large Provider Entity Code]],100,AS[[#All],[Age Band Code]],5)</f>
        <v>0</v>
      </c>
      <c r="I241" s="163">
        <f>SUMIFS(AS[[#All],[Total Non-Truncated Claims Spending]],AS[[#All],[Reporting Year]],2024,AS[[#All],[Insurance Category Code]],A241,AS[[#All],[Large Provider Entity Code]],100,AS[[#All],[Age Band Code]],6)</f>
        <v>0</v>
      </c>
      <c r="J241" s="163">
        <f>SUMIFS(AS[[#All],[Total Non-Truncated Claims Spending]],AS[[#All],[Reporting Year]],2024,AS[[#All],[Insurance Category Code]],A241,AS[[#All],[Large Provider Entity Code]],100,AS[[#All],[Age Band Code]],7)</f>
        <v>0</v>
      </c>
      <c r="K241" s="160">
        <f>SUMIFS(AS[[#All],[Total Non-Truncated Claims Spending]],AS[[#All],[Reporting Year]],2024,AS[[#All],[Insurance Category Code]],A241,AS[[#All],[Large Provider Entity Code]],100,AS[[#All],[Age Band Code]],8)</f>
        <v>0</v>
      </c>
      <c r="L241" s="159">
        <f>SUMIFS(AS[[#All],[Total Non-Truncated Claims Spending]],AS[[#All],[Reporting Year]],2025,AS[[#All],[Insurance Category Code]],A241,AS[[#All],[Large Provider Entity Code]],100,AS[[#All],[Age Band Code]],1)</f>
        <v>0</v>
      </c>
      <c r="M241" s="163">
        <f>SUMIFS(AS[[#All],[Total Non-Truncated Claims Spending]],AS[[#All],[Reporting Year]],2025,AS[[#All],[Insurance Category Code]],A241,AS[[#All],[Large Provider Entity Code]],100,AS[[#All],[Age Band Code]],2)</f>
        <v>0</v>
      </c>
      <c r="N241" s="163">
        <f>SUMIFS(AS[[#All],[Total Non-Truncated Claims Spending]],AS[[#All],[Reporting Year]],2025,AS[[#All],[Insurance Category Code]],A241,AS[[#All],[Large Provider Entity Code]],100,AS[[#All],[Age Band Code]],3)</f>
        <v>0</v>
      </c>
      <c r="O241" s="163">
        <f>SUMIFS(AS[[#All],[Total Non-Truncated Claims Spending]],AS[[#All],[Reporting Year]],2025,AS[[#All],[Insurance Category Code]],A241,AS[[#All],[Large Provider Entity Code]],100,AS[[#All],[Age Band Code]],3,AS[[#All],[Sex Code]],1)</f>
        <v>0</v>
      </c>
      <c r="P241" s="163">
        <f>SUMIFS(AS[[#All],[Total Non-Truncated Claims Spending]],AS[[#All],[Reporting Year]],2025,AS[[#All],[Insurance Category Code]],A241,AS[[#All],[Large Provider Entity Code]],100,AS[[#All],[Age Band Code]],3,AS[[#All],[Sex Code]],2)</f>
        <v>0</v>
      </c>
      <c r="Q241" s="163">
        <f>SUMIFS(AS[[#All],[Total Non-Truncated Claims Spending]],AS[[#All],[Reporting Year]],2025,AS[[#All],[Insurance Category Code]],A241,AS[[#All],[Large Provider Entity Code]],100,AS[[#All],[Age Band Code]],4)</f>
        <v>0</v>
      </c>
      <c r="R241" s="163">
        <f>SUMIFS(AS[[#All],[Total Non-Truncated Claims Spending]],AS[[#All],[Reporting Year]],2025,AS[[#All],[Insurance Category Code]],A241,AS[[#All],[Large Provider Entity Code]],100,AS[[#All],[Age Band Code]],5)</f>
        <v>0</v>
      </c>
      <c r="S241" s="163">
        <f>SUMIFS(AS[[#All],[Total Non-Truncated Claims Spending]],AS[[#All],[Reporting Year]],2025,AS[[#All],[Insurance Category Code]],A241,AS[[#All],[Large Provider Entity Code]],100,AS[[#All],[Age Band Code]],6)</f>
        <v>0</v>
      </c>
      <c r="T241" s="163">
        <f>SUMIFS(AS[[#All],[Total Non-Truncated Claims Spending]],AS[[#All],[Reporting Year]],2025,AS[[#All],[Insurance Category Code]],A241,AS[[#All],[Large Provider Entity Code]],100,AS[[#All],[Age Band Code]],7)</f>
        <v>0</v>
      </c>
      <c r="U241" s="160">
        <f>SUMIFS(AS[[#All],[Total Non-Truncated Claims Spending]],AS[[#All],[Reporting Year]],2025,AS[[#All],[Insurance Category Code]],A241,AS[[#All],[Large Provider Entity Code]],100,AS[[#All],[Age Band Code]],8)</f>
        <v>0</v>
      </c>
      <c r="V241"/>
      <c r="W241"/>
      <c r="X241"/>
      <c r="Y241"/>
      <c r="Z241"/>
      <c r="AA241"/>
      <c r="AB241"/>
      <c r="AC241"/>
    </row>
    <row r="242" spans="1:29" x14ac:dyDescent="0.4">
      <c r="A242" s="47">
        <v>5</v>
      </c>
      <c r="B242" s="159">
        <f>SUMIFS(AS[[#All],[Total Non-Truncated Claims Spending]],AS[[#All],[Reporting Year]],2024,AS[[#All],[Insurance Category Code]],A242,AS[[#All],[Large Provider Entity Code]],100,AS[[#All],[Age Band Code]],1)</f>
        <v>0</v>
      </c>
      <c r="C242" s="163">
        <f>SUMIFS(AS[[#All],[Total Non-Truncated Claims Spending]],AS[[#All],[Reporting Year]],2024,AS[[#All],[Insurance Category Code]],A242,AS[[#All],[Large Provider Entity Code]],100,AS[[#All],[Age Band Code]],2)</f>
        <v>0</v>
      </c>
      <c r="D242" s="163">
        <f>SUMIFS(AS[[#All],[Total Non-Truncated Claims Spending]],AS[[#All],[Reporting Year]],2024,AS[[#All],[Insurance Category Code]],A242,AS[[#All],[Large Provider Entity Code]],100,AS[[#All],[Age Band Code]],3)</f>
        <v>0</v>
      </c>
      <c r="E242" s="163">
        <f>SUMIFS(AS[[#All],[Total Non-Truncated Claims Spending]],AS[[#All],[Reporting Year]],2024,AS[[#All],[Insurance Category Code]],A242,AS[[#All],[Large Provider Entity Code]],100,AS[[#All],[Age Band Code]],3,AS[[#All],[Sex Code]],1)</f>
        <v>0</v>
      </c>
      <c r="F242" s="163">
        <f>SUMIFS(AS[[#All],[Total Non-Truncated Claims Spending]],AS[[#All],[Reporting Year]],2024,AS[[#All],[Insurance Category Code]],A242,AS[[#All],[Large Provider Entity Code]],100,AS[[#All],[Age Band Code]],3,AS[[#All],[Sex Code]],2)</f>
        <v>0</v>
      </c>
      <c r="G242" s="163">
        <f>SUMIFS(AS[[#All],[Total Non-Truncated Claims Spending]],AS[[#All],[Reporting Year]],2024,AS[[#All],[Insurance Category Code]],A242,AS[[#All],[Large Provider Entity Code]],100,AS[[#All],[Age Band Code]],4)</f>
        <v>0</v>
      </c>
      <c r="H242" s="163">
        <f>SUMIFS(AS[[#All],[Total Non-Truncated Claims Spending]],AS[[#All],[Reporting Year]],2024,AS[[#All],[Insurance Category Code]],A242,AS[[#All],[Large Provider Entity Code]],100,AS[[#All],[Age Band Code]],5)</f>
        <v>0</v>
      </c>
      <c r="I242" s="163">
        <f>SUMIFS(AS[[#All],[Total Non-Truncated Claims Spending]],AS[[#All],[Reporting Year]],2024,AS[[#All],[Insurance Category Code]],A242,AS[[#All],[Large Provider Entity Code]],100,AS[[#All],[Age Band Code]],6)</f>
        <v>0</v>
      </c>
      <c r="J242" s="163">
        <f>SUMIFS(AS[[#All],[Total Non-Truncated Claims Spending]],AS[[#All],[Reporting Year]],2024,AS[[#All],[Insurance Category Code]],A242,AS[[#All],[Large Provider Entity Code]],100,AS[[#All],[Age Band Code]],7)</f>
        <v>0</v>
      </c>
      <c r="K242" s="160">
        <f>SUMIFS(AS[[#All],[Total Non-Truncated Claims Spending]],AS[[#All],[Reporting Year]],2024,AS[[#All],[Insurance Category Code]],A242,AS[[#All],[Large Provider Entity Code]],100,AS[[#All],[Age Band Code]],8)</f>
        <v>0</v>
      </c>
      <c r="L242" s="159">
        <f>SUMIFS(AS[[#All],[Total Non-Truncated Claims Spending]],AS[[#All],[Reporting Year]],2025,AS[[#All],[Insurance Category Code]],A242,AS[[#All],[Large Provider Entity Code]],100,AS[[#All],[Age Band Code]],1)</f>
        <v>0</v>
      </c>
      <c r="M242" s="163">
        <f>SUMIFS(AS[[#All],[Total Non-Truncated Claims Spending]],AS[[#All],[Reporting Year]],2025,AS[[#All],[Insurance Category Code]],A242,AS[[#All],[Large Provider Entity Code]],100,AS[[#All],[Age Band Code]],2)</f>
        <v>0</v>
      </c>
      <c r="N242" s="163">
        <f>SUMIFS(AS[[#All],[Total Non-Truncated Claims Spending]],AS[[#All],[Reporting Year]],2025,AS[[#All],[Insurance Category Code]],A242,AS[[#All],[Large Provider Entity Code]],100,AS[[#All],[Age Band Code]],3)</f>
        <v>0</v>
      </c>
      <c r="O242" s="163">
        <f>SUMIFS(AS[[#All],[Total Non-Truncated Claims Spending]],AS[[#All],[Reporting Year]],2025,AS[[#All],[Insurance Category Code]],A242,AS[[#All],[Large Provider Entity Code]],100,AS[[#All],[Age Band Code]],3,AS[[#All],[Sex Code]],1)</f>
        <v>0</v>
      </c>
      <c r="P242" s="163">
        <f>SUMIFS(AS[[#All],[Total Non-Truncated Claims Spending]],AS[[#All],[Reporting Year]],2025,AS[[#All],[Insurance Category Code]],A242,AS[[#All],[Large Provider Entity Code]],100,AS[[#All],[Age Band Code]],3,AS[[#All],[Sex Code]],2)</f>
        <v>0</v>
      </c>
      <c r="Q242" s="163">
        <f>SUMIFS(AS[[#All],[Total Non-Truncated Claims Spending]],AS[[#All],[Reporting Year]],2025,AS[[#All],[Insurance Category Code]],A242,AS[[#All],[Large Provider Entity Code]],100,AS[[#All],[Age Band Code]],4)</f>
        <v>0</v>
      </c>
      <c r="R242" s="163">
        <f>SUMIFS(AS[[#All],[Total Non-Truncated Claims Spending]],AS[[#All],[Reporting Year]],2025,AS[[#All],[Insurance Category Code]],A242,AS[[#All],[Large Provider Entity Code]],100,AS[[#All],[Age Band Code]],5)</f>
        <v>0</v>
      </c>
      <c r="S242" s="163">
        <f>SUMIFS(AS[[#All],[Total Non-Truncated Claims Spending]],AS[[#All],[Reporting Year]],2025,AS[[#All],[Insurance Category Code]],A242,AS[[#All],[Large Provider Entity Code]],100,AS[[#All],[Age Band Code]],6)</f>
        <v>0</v>
      </c>
      <c r="T242" s="163">
        <f>SUMIFS(AS[[#All],[Total Non-Truncated Claims Spending]],AS[[#All],[Reporting Year]],2025,AS[[#All],[Insurance Category Code]],A242,AS[[#All],[Large Provider Entity Code]],100,AS[[#All],[Age Band Code]],7)</f>
        <v>0</v>
      </c>
      <c r="U242" s="160">
        <f>SUMIFS(AS[[#All],[Total Non-Truncated Claims Spending]],AS[[#All],[Reporting Year]],2025,AS[[#All],[Insurance Category Code]],A242,AS[[#All],[Large Provider Entity Code]],100,AS[[#All],[Age Band Code]],8)</f>
        <v>0</v>
      </c>
      <c r="V242"/>
      <c r="W242"/>
      <c r="X242"/>
      <c r="Y242"/>
      <c r="Z242"/>
      <c r="AA242"/>
      <c r="AB242"/>
      <c r="AC242"/>
    </row>
    <row r="243" spans="1:29" x14ac:dyDescent="0.4">
      <c r="A243" s="47">
        <v>6</v>
      </c>
      <c r="B243" s="159">
        <f>SUMIFS(AS[[#All],[Total Non-Truncated Claims Spending]],AS[[#All],[Reporting Year]],2024,AS[[#All],[Insurance Category Code]],A243,AS[[#All],[Large Provider Entity Code]],100,AS[[#All],[Age Band Code]],1)</f>
        <v>0</v>
      </c>
      <c r="C243" s="163">
        <f>SUMIFS(AS[[#All],[Total Non-Truncated Claims Spending]],AS[[#All],[Reporting Year]],2024,AS[[#All],[Insurance Category Code]],A243,AS[[#All],[Large Provider Entity Code]],100,AS[[#All],[Age Band Code]],2)</f>
        <v>0</v>
      </c>
      <c r="D243" s="163">
        <f>SUMIFS(AS[[#All],[Total Non-Truncated Claims Spending]],AS[[#All],[Reporting Year]],2024,AS[[#All],[Insurance Category Code]],A243,AS[[#All],[Large Provider Entity Code]],100,AS[[#All],[Age Band Code]],3)</f>
        <v>0</v>
      </c>
      <c r="E243" s="163">
        <f>SUMIFS(AS[[#All],[Total Non-Truncated Claims Spending]],AS[[#All],[Reporting Year]],2024,AS[[#All],[Insurance Category Code]],A243,AS[[#All],[Large Provider Entity Code]],100,AS[[#All],[Age Band Code]],3,AS[[#All],[Sex Code]],1)</f>
        <v>0</v>
      </c>
      <c r="F243" s="163">
        <f>SUMIFS(AS[[#All],[Total Non-Truncated Claims Spending]],AS[[#All],[Reporting Year]],2024,AS[[#All],[Insurance Category Code]],A243,AS[[#All],[Large Provider Entity Code]],100,AS[[#All],[Age Band Code]],3,AS[[#All],[Sex Code]],2)</f>
        <v>0</v>
      </c>
      <c r="G243" s="163">
        <f>SUMIFS(AS[[#All],[Total Non-Truncated Claims Spending]],AS[[#All],[Reporting Year]],2024,AS[[#All],[Insurance Category Code]],A243,AS[[#All],[Large Provider Entity Code]],100,AS[[#All],[Age Band Code]],4)</f>
        <v>0</v>
      </c>
      <c r="H243" s="163">
        <f>SUMIFS(AS[[#All],[Total Non-Truncated Claims Spending]],AS[[#All],[Reporting Year]],2024,AS[[#All],[Insurance Category Code]],A243,AS[[#All],[Large Provider Entity Code]],100,AS[[#All],[Age Band Code]],5)</f>
        <v>0</v>
      </c>
      <c r="I243" s="163">
        <f>SUMIFS(AS[[#All],[Total Non-Truncated Claims Spending]],AS[[#All],[Reporting Year]],2024,AS[[#All],[Insurance Category Code]],A243,AS[[#All],[Large Provider Entity Code]],100,AS[[#All],[Age Band Code]],6)</f>
        <v>0</v>
      </c>
      <c r="J243" s="163">
        <f>SUMIFS(AS[[#All],[Total Non-Truncated Claims Spending]],AS[[#All],[Reporting Year]],2024,AS[[#All],[Insurance Category Code]],A243,AS[[#All],[Large Provider Entity Code]],100,AS[[#All],[Age Band Code]],7)</f>
        <v>0</v>
      </c>
      <c r="K243" s="160">
        <f>SUMIFS(AS[[#All],[Total Non-Truncated Claims Spending]],AS[[#All],[Reporting Year]],2024,AS[[#All],[Insurance Category Code]],A243,AS[[#All],[Large Provider Entity Code]],100,AS[[#All],[Age Band Code]],8)</f>
        <v>0</v>
      </c>
      <c r="L243" s="159">
        <f>SUMIFS(AS[[#All],[Total Non-Truncated Claims Spending]],AS[[#All],[Reporting Year]],2025,AS[[#All],[Insurance Category Code]],A243,AS[[#All],[Large Provider Entity Code]],100,AS[[#All],[Age Band Code]],1)</f>
        <v>0</v>
      </c>
      <c r="M243" s="163">
        <f>SUMIFS(AS[[#All],[Total Non-Truncated Claims Spending]],AS[[#All],[Reporting Year]],2025,AS[[#All],[Insurance Category Code]],A243,AS[[#All],[Large Provider Entity Code]],100,AS[[#All],[Age Band Code]],2)</f>
        <v>0</v>
      </c>
      <c r="N243" s="163">
        <f>SUMIFS(AS[[#All],[Total Non-Truncated Claims Spending]],AS[[#All],[Reporting Year]],2025,AS[[#All],[Insurance Category Code]],A243,AS[[#All],[Large Provider Entity Code]],100,AS[[#All],[Age Band Code]],3)</f>
        <v>0</v>
      </c>
      <c r="O243" s="163">
        <f>SUMIFS(AS[[#All],[Total Non-Truncated Claims Spending]],AS[[#All],[Reporting Year]],2025,AS[[#All],[Insurance Category Code]],A243,AS[[#All],[Large Provider Entity Code]],100,AS[[#All],[Age Band Code]],3,AS[[#All],[Sex Code]],1)</f>
        <v>0</v>
      </c>
      <c r="P243" s="163">
        <f>SUMIFS(AS[[#All],[Total Non-Truncated Claims Spending]],AS[[#All],[Reporting Year]],2025,AS[[#All],[Insurance Category Code]],A243,AS[[#All],[Large Provider Entity Code]],100,AS[[#All],[Age Band Code]],3,AS[[#All],[Sex Code]],2)</f>
        <v>0</v>
      </c>
      <c r="Q243" s="163">
        <f>SUMIFS(AS[[#All],[Total Non-Truncated Claims Spending]],AS[[#All],[Reporting Year]],2025,AS[[#All],[Insurance Category Code]],A243,AS[[#All],[Large Provider Entity Code]],100,AS[[#All],[Age Band Code]],4)</f>
        <v>0</v>
      </c>
      <c r="R243" s="163">
        <f>SUMIFS(AS[[#All],[Total Non-Truncated Claims Spending]],AS[[#All],[Reporting Year]],2025,AS[[#All],[Insurance Category Code]],A243,AS[[#All],[Large Provider Entity Code]],100,AS[[#All],[Age Band Code]],5)</f>
        <v>0</v>
      </c>
      <c r="S243" s="163">
        <f>SUMIFS(AS[[#All],[Total Non-Truncated Claims Spending]],AS[[#All],[Reporting Year]],2025,AS[[#All],[Insurance Category Code]],A243,AS[[#All],[Large Provider Entity Code]],100,AS[[#All],[Age Band Code]],6)</f>
        <v>0</v>
      </c>
      <c r="T243" s="163">
        <f>SUMIFS(AS[[#All],[Total Non-Truncated Claims Spending]],AS[[#All],[Reporting Year]],2025,AS[[#All],[Insurance Category Code]],A243,AS[[#All],[Large Provider Entity Code]],100,AS[[#All],[Age Band Code]],7)</f>
        <v>0</v>
      </c>
      <c r="U243" s="160">
        <f>SUMIFS(AS[[#All],[Total Non-Truncated Claims Spending]],AS[[#All],[Reporting Year]],2025,AS[[#All],[Insurance Category Code]],A243,AS[[#All],[Large Provider Entity Code]],100,AS[[#All],[Age Band Code]],8)</f>
        <v>0</v>
      </c>
      <c r="V243"/>
      <c r="W243"/>
      <c r="X243"/>
      <c r="Y243"/>
      <c r="Z243"/>
      <c r="AA243"/>
      <c r="AB243"/>
      <c r="AC243"/>
    </row>
    <row r="244" spans="1:29" x14ac:dyDescent="0.4">
      <c r="A244" s="47">
        <v>7</v>
      </c>
      <c r="B244" s="159">
        <f>SUMIFS(AS[[#All],[Total Non-Truncated Claims Spending]],AS[[#All],[Reporting Year]],2024,AS[[#All],[Insurance Category Code]],A244,AS[[#All],[Large Provider Entity Code]],100,AS[[#All],[Age Band Code]],1)</f>
        <v>0</v>
      </c>
      <c r="C244" s="163">
        <f>SUMIFS(AS[[#All],[Total Non-Truncated Claims Spending]],AS[[#All],[Reporting Year]],2024,AS[[#All],[Insurance Category Code]],A244,AS[[#All],[Large Provider Entity Code]],100,AS[[#All],[Age Band Code]],2)</f>
        <v>0</v>
      </c>
      <c r="D244" s="163">
        <f>SUMIFS(AS[[#All],[Total Non-Truncated Claims Spending]],AS[[#All],[Reporting Year]],2024,AS[[#All],[Insurance Category Code]],A244,AS[[#All],[Large Provider Entity Code]],100,AS[[#All],[Age Band Code]],3)</f>
        <v>0</v>
      </c>
      <c r="E244" s="163">
        <f>SUMIFS(AS[[#All],[Total Non-Truncated Claims Spending]],AS[[#All],[Reporting Year]],2024,AS[[#All],[Insurance Category Code]],A244,AS[[#All],[Large Provider Entity Code]],100,AS[[#All],[Age Band Code]],3,AS[[#All],[Sex Code]],1)</f>
        <v>0</v>
      </c>
      <c r="F244" s="163">
        <f>SUMIFS(AS[[#All],[Total Non-Truncated Claims Spending]],AS[[#All],[Reporting Year]],2024,AS[[#All],[Insurance Category Code]],A244,AS[[#All],[Large Provider Entity Code]],100,AS[[#All],[Age Band Code]],3,AS[[#All],[Sex Code]],2)</f>
        <v>0</v>
      </c>
      <c r="G244" s="163">
        <f>SUMIFS(AS[[#All],[Total Non-Truncated Claims Spending]],AS[[#All],[Reporting Year]],2024,AS[[#All],[Insurance Category Code]],A244,AS[[#All],[Large Provider Entity Code]],100,AS[[#All],[Age Band Code]],4)</f>
        <v>0</v>
      </c>
      <c r="H244" s="163">
        <f>SUMIFS(AS[[#All],[Total Non-Truncated Claims Spending]],AS[[#All],[Reporting Year]],2024,AS[[#All],[Insurance Category Code]],A244,AS[[#All],[Large Provider Entity Code]],100,AS[[#All],[Age Band Code]],5)</f>
        <v>0</v>
      </c>
      <c r="I244" s="163">
        <f>SUMIFS(AS[[#All],[Total Non-Truncated Claims Spending]],AS[[#All],[Reporting Year]],2024,AS[[#All],[Insurance Category Code]],A244,AS[[#All],[Large Provider Entity Code]],100,AS[[#All],[Age Band Code]],6)</f>
        <v>0</v>
      </c>
      <c r="J244" s="163">
        <f>SUMIFS(AS[[#All],[Total Non-Truncated Claims Spending]],AS[[#All],[Reporting Year]],2024,AS[[#All],[Insurance Category Code]],A244,AS[[#All],[Large Provider Entity Code]],100,AS[[#All],[Age Band Code]],7)</f>
        <v>0</v>
      </c>
      <c r="K244" s="160">
        <f>SUMIFS(AS[[#All],[Total Non-Truncated Claims Spending]],AS[[#All],[Reporting Year]],2024,AS[[#All],[Insurance Category Code]],A244,AS[[#All],[Large Provider Entity Code]],100,AS[[#All],[Age Band Code]],8)</f>
        <v>0</v>
      </c>
      <c r="L244" s="159">
        <f>SUMIFS(AS[[#All],[Total Non-Truncated Claims Spending]],AS[[#All],[Reporting Year]],2025,AS[[#All],[Insurance Category Code]],A244,AS[[#All],[Large Provider Entity Code]],100,AS[[#All],[Age Band Code]],1)</f>
        <v>0</v>
      </c>
      <c r="M244" s="163">
        <f>SUMIFS(AS[[#All],[Total Non-Truncated Claims Spending]],AS[[#All],[Reporting Year]],2025,AS[[#All],[Insurance Category Code]],A244,AS[[#All],[Large Provider Entity Code]],100,AS[[#All],[Age Band Code]],2)</f>
        <v>0</v>
      </c>
      <c r="N244" s="163">
        <f>SUMIFS(AS[[#All],[Total Non-Truncated Claims Spending]],AS[[#All],[Reporting Year]],2025,AS[[#All],[Insurance Category Code]],A244,AS[[#All],[Large Provider Entity Code]],100,AS[[#All],[Age Band Code]],3)</f>
        <v>0</v>
      </c>
      <c r="O244" s="163">
        <f>SUMIFS(AS[[#All],[Total Non-Truncated Claims Spending]],AS[[#All],[Reporting Year]],2025,AS[[#All],[Insurance Category Code]],A244,AS[[#All],[Large Provider Entity Code]],100,AS[[#All],[Age Band Code]],3,AS[[#All],[Sex Code]],1)</f>
        <v>0</v>
      </c>
      <c r="P244" s="163">
        <f>SUMIFS(AS[[#All],[Total Non-Truncated Claims Spending]],AS[[#All],[Reporting Year]],2025,AS[[#All],[Insurance Category Code]],A244,AS[[#All],[Large Provider Entity Code]],100,AS[[#All],[Age Band Code]],3,AS[[#All],[Sex Code]],2)</f>
        <v>0</v>
      </c>
      <c r="Q244" s="163">
        <f>SUMIFS(AS[[#All],[Total Non-Truncated Claims Spending]],AS[[#All],[Reporting Year]],2025,AS[[#All],[Insurance Category Code]],A244,AS[[#All],[Large Provider Entity Code]],100,AS[[#All],[Age Band Code]],4)</f>
        <v>0</v>
      </c>
      <c r="R244" s="163">
        <f>SUMIFS(AS[[#All],[Total Non-Truncated Claims Spending]],AS[[#All],[Reporting Year]],2025,AS[[#All],[Insurance Category Code]],A244,AS[[#All],[Large Provider Entity Code]],100,AS[[#All],[Age Band Code]],5)</f>
        <v>0</v>
      </c>
      <c r="S244" s="163">
        <f>SUMIFS(AS[[#All],[Total Non-Truncated Claims Spending]],AS[[#All],[Reporting Year]],2025,AS[[#All],[Insurance Category Code]],A244,AS[[#All],[Large Provider Entity Code]],100,AS[[#All],[Age Band Code]],6)</f>
        <v>0</v>
      </c>
      <c r="T244" s="163">
        <f>SUMIFS(AS[[#All],[Total Non-Truncated Claims Spending]],AS[[#All],[Reporting Year]],2025,AS[[#All],[Insurance Category Code]],A244,AS[[#All],[Large Provider Entity Code]],100,AS[[#All],[Age Band Code]],7)</f>
        <v>0</v>
      </c>
      <c r="U244" s="160">
        <f>SUMIFS(AS[[#All],[Total Non-Truncated Claims Spending]],AS[[#All],[Reporting Year]],2025,AS[[#All],[Insurance Category Code]],A244,AS[[#All],[Large Provider Entity Code]],100,AS[[#All],[Age Band Code]],8)</f>
        <v>0</v>
      </c>
      <c r="V244"/>
      <c r="W244"/>
      <c r="X244"/>
      <c r="Y244"/>
      <c r="Z244"/>
      <c r="AA244"/>
      <c r="AB244"/>
      <c r="AC244"/>
    </row>
    <row r="245" spans="1:29" x14ac:dyDescent="0.4">
      <c r="A245" s="47">
        <v>8</v>
      </c>
      <c r="B245" s="159">
        <f>SUMIFS(AS[[#All],[Total Non-Truncated Claims Spending]],AS[[#All],[Reporting Year]],2024,AS[[#All],[Insurance Category Code]],A245,AS[[#All],[Large Provider Entity Code]],100,AS[[#All],[Age Band Code]],1)</f>
        <v>0</v>
      </c>
      <c r="C245" s="163">
        <f>SUMIFS(AS[[#All],[Total Non-Truncated Claims Spending]],AS[[#All],[Reporting Year]],2024,AS[[#All],[Insurance Category Code]],A245,AS[[#All],[Large Provider Entity Code]],100,AS[[#All],[Age Band Code]],2)</f>
        <v>0</v>
      </c>
      <c r="D245" s="163">
        <f>SUMIFS(AS[[#All],[Total Non-Truncated Claims Spending]],AS[[#All],[Reporting Year]],2024,AS[[#All],[Insurance Category Code]],A245,AS[[#All],[Large Provider Entity Code]],100,AS[[#All],[Age Band Code]],3)</f>
        <v>0</v>
      </c>
      <c r="E245" s="163">
        <f>SUMIFS(AS[[#All],[Total Non-Truncated Claims Spending]],AS[[#All],[Reporting Year]],2024,AS[[#All],[Insurance Category Code]],A245,AS[[#All],[Large Provider Entity Code]],100,AS[[#All],[Age Band Code]],3,AS[[#All],[Sex Code]],1)</f>
        <v>0</v>
      </c>
      <c r="F245" s="163">
        <f>SUMIFS(AS[[#All],[Total Non-Truncated Claims Spending]],AS[[#All],[Reporting Year]],2024,AS[[#All],[Insurance Category Code]],A245,AS[[#All],[Large Provider Entity Code]],100,AS[[#All],[Age Band Code]],3,AS[[#All],[Sex Code]],2)</f>
        <v>0</v>
      </c>
      <c r="G245" s="163">
        <f>SUMIFS(AS[[#All],[Total Non-Truncated Claims Spending]],AS[[#All],[Reporting Year]],2024,AS[[#All],[Insurance Category Code]],A245,AS[[#All],[Large Provider Entity Code]],100,AS[[#All],[Age Band Code]],4)</f>
        <v>0</v>
      </c>
      <c r="H245" s="163">
        <f>SUMIFS(AS[[#All],[Total Non-Truncated Claims Spending]],AS[[#All],[Reporting Year]],2024,AS[[#All],[Insurance Category Code]],A245,AS[[#All],[Large Provider Entity Code]],100,AS[[#All],[Age Band Code]],5)</f>
        <v>0</v>
      </c>
      <c r="I245" s="163">
        <f>SUMIFS(AS[[#All],[Total Non-Truncated Claims Spending]],AS[[#All],[Reporting Year]],2024,AS[[#All],[Insurance Category Code]],A245,AS[[#All],[Large Provider Entity Code]],100,AS[[#All],[Age Band Code]],6)</f>
        <v>0</v>
      </c>
      <c r="J245" s="163">
        <f>SUMIFS(AS[[#All],[Total Non-Truncated Claims Spending]],AS[[#All],[Reporting Year]],2024,AS[[#All],[Insurance Category Code]],A245,AS[[#All],[Large Provider Entity Code]],100,AS[[#All],[Age Band Code]],7)</f>
        <v>0</v>
      </c>
      <c r="K245" s="160">
        <f>SUMIFS(AS[[#All],[Total Non-Truncated Claims Spending]],AS[[#All],[Reporting Year]],2024,AS[[#All],[Insurance Category Code]],A245,AS[[#All],[Large Provider Entity Code]],100,AS[[#All],[Age Band Code]],8)</f>
        <v>0</v>
      </c>
      <c r="L245" s="159">
        <f>SUMIFS(AS[[#All],[Total Non-Truncated Claims Spending]],AS[[#All],[Reporting Year]],2025,AS[[#All],[Insurance Category Code]],A245,AS[[#All],[Large Provider Entity Code]],100,AS[[#All],[Age Band Code]],1)</f>
        <v>0</v>
      </c>
      <c r="M245" s="163">
        <f>SUMIFS(AS[[#All],[Total Non-Truncated Claims Spending]],AS[[#All],[Reporting Year]],2025,AS[[#All],[Insurance Category Code]],A245,AS[[#All],[Large Provider Entity Code]],100,AS[[#All],[Age Band Code]],2)</f>
        <v>0</v>
      </c>
      <c r="N245" s="163">
        <f>SUMIFS(AS[[#All],[Total Non-Truncated Claims Spending]],AS[[#All],[Reporting Year]],2025,AS[[#All],[Insurance Category Code]],A245,AS[[#All],[Large Provider Entity Code]],100,AS[[#All],[Age Band Code]],3)</f>
        <v>0</v>
      </c>
      <c r="O245" s="163">
        <f>SUMIFS(AS[[#All],[Total Non-Truncated Claims Spending]],AS[[#All],[Reporting Year]],2025,AS[[#All],[Insurance Category Code]],A245,AS[[#All],[Large Provider Entity Code]],100,AS[[#All],[Age Band Code]],3,AS[[#All],[Sex Code]],1)</f>
        <v>0</v>
      </c>
      <c r="P245" s="163">
        <f>SUMIFS(AS[[#All],[Total Non-Truncated Claims Spending]],AS[[#All],[Reporting Year]],2025,AS[[#All],[Insurance Category Code]],A245,AS[[#All],[Large Provider Entity Code]],100,AS[[#All],[Age Band Code]],3,AS[[#All],[Sex Code]],2)</f>
        <v>0</v>
      </c>
      <c r="Q245" s="163">
        <f>SUMIFS(AS[[#All],[Total Non-Truncated Claims Spending]],AS[[#All],[Reporting Year]],2025,AS[[#All],[Insurance Category Code]],A245,AS[[#All],[Large Provider Entity Code]],100,AS[[#All],[Age Band Code]],4)</f>
        <v>0</v>
      </c>
      <c r="R245" s="163">
        <f>SUMIFS(AS[[#All],[Total Non-Truncated Claims Spending]],AS[[#All],[Reporting Year]],2025,AS[[#All],[Insurance Category Code]],A245,AS[[#All],[Large Provider Entity Code]],100,AS[[#All],[Age Band Code]],5)</f>
        <v>0</v>
      </c>
      <c r="S245" s="163">
        <f>SUMIFS(AS[[#All],[Total Non-Truncated Claims Spending]],AS[[#All],[Reporting Year]],2025,AS[[#All],[Insurance Category Code]],A245,AS[[#All],[Large Provider Entity Code]],100,AS[[#All],[Age Band Code]],6)</f>
        <v>0</v>
      </c>
      <c r="T245" s="163">
        <f>SUMIFS(AS[[#All],[Total Non-Truncated Claims Spending]],AS[[#All],[Reporting Year]],2025,AS[[#All],[Insurance Category Code]],A245,AS[[#All],[Large Provider Entity Code]],100,AS[[#All],[Age Band Code]],7)</f>
        <v>0</v>
      </c>
      <c r="U245" s="160">
        <f>SUMIFS(AS[[#All],[Total Non-Truncated Claims Spending]],AS[[#All],[Reporting Year]],2025,AS[[#All],[Insurance Category Code]],A245,AS[[#All],[Large Provider Entity Code]],100,AS[[#All],[Age Band Code]],8)</f>
        <v>0</v>
      </c>
      <c r="V245"/>
      <c r="W245"/>
      <c r="X245"/>
      <c r="Y245"/>
      <c r="Z245"/>
      <c r="AA245"/>
      <c r="AB245"/>
      <c r="AC245"/>
    </row>
  </sheetData>
  <mergeCells count="95">
    <mergeCell ref="A28:AC28"/>
    <mergeCell ref="A6:D6"/>
    <mergeCell ref="A12:O12"/>
    <mergeCell ref="A13:A14"/>
    <mergeCell ref="B13:H13"/>
    <mergeCell ref="I13:O13"/>
    <mergeCell ref="A29:A30"/>
    <mergeCell ref="B29:O29"/>
    <mergeCell ref="P29:AC29"/>
    <mergeCell ref="A38:Q38"/>
    <mergeCell ref="A39:A40"/>
    <mergeCell ref="B39:K39"/>
    <mergeCell ref="L39:U39"/>
    <mergeCell ref="A81:E81"/>
    <mergeCell ref="A52:U52"/>
    <mergeCell ref="A53:U53"/>
    <mergeCell ref="A54:A55"/>
    <mergeCell ref="B54:K54"/>
    <mergeCell ref="L54:U54"/>
    <mergeCell ref="A69:G69"/>
    <mergeCell ref="A70:G70"/>
    <mergeCell ref="A71:A72"/>
    <mergeCell ref="B71:D71"/>
    <mergeCell ref="E71:G71"/>
    <mergeCell ref="A80:E80"/>
    <mergeCell ref="A82:A83"/>
    <mergeCell ref="B82:C82"/>
    <mergeCell ref="D82:E82"/>
    <mergeCell ref="A88:E88"/>
    <mergeCell ref="A92:A93"/>
    <mergeCell ref="B92:K92"/>
    <mergeCell ref="L92:U92"/>
    <mergeCell ref="A109:A110"/>
    <mergeCell ref="B110:C110"/>
    <mergeCell ref="D110:E110"/>
    <mergeCell ref="F110:G110"/>
    <mergeCell ref="H110:I110"/>
    <mergeCell ref="J110:K110"/>
    <mergeCell ref="L110:M110"/>
    <mergeCell ref="N110:O110"/>
    <mergeCell ref="P110:Q110"/>
    <mergeCell ref="A122:A123"/>
    <mergeCell ref="B123:C123"/>
    <mergeCell ref="D123:E123"/>
    <mergeCell ref="F123:G123"/>
    <mergeCell ref="H123:I123"/>
    <mergeCell ref="A135:A136"/>
    <mergeCell ref="B136:C136"/>
    <mergeCell ref="D136:E136"/>
    <mergeCell ref="F136:G136"/>
    <mergeCell ref="H136:I136"/>
    <mergeCell ref="D149:E149"/>
    <mergeCell ref="F149:G149"/>
    <mergeCell ref="H149:I149"/>
    <mergeCell ref="L123:M123"/>
    <mergeCell ref="N123:O123"/>
    <mergeCell ref="J136:K136"/>
    <mergeCell ref="L136:M136"/>
    <mergeCell ref="N136:O136"/>
    <mergeCell ref="J123:K123"/>
    <mergeCell ref="P136:Q136"/>
    <mergeCell ref="R136:S136"/>
    <mergeCell ref="T136:U136"/>
    <mergeCell ref="V136:W136"/>
    <mergeCell ref="X136:Y136"/>
    <mergeCell ref="A202:M202"/>
    <mergeCell ref="V149:W149"/>
    <mergeCell ref="X149:Y149"/>
    <mergeCell ref="A161:A162"/>
    <mergeCell ref="B162:C162"/>
    <mergeCell ref="D162:E162"/>
    <mergeCell ref="A169:A170"/>
    <mergeCell ref="B170:C170"/>
    <mergeCell ref="J149:K149"/>
    <mergeCell ref="L149:M149"/>
    <mergeCell ref="N149:O149"/>
    <mergeCell ref="P149:Q149"/>
    <mergeCell ref="R149:S149"/>
    <mergeCell ref="T149:U149"/>
    <mergeCell ref="A148:A149"/>
    <mergeCell ref="B149:C149"/>
    <mergeCell ref="A186:A187"/>
    <mergeCell ref="B186:M186"/>
    <mergeCell ref="N186:Y186"/>
    <mergeCell ref="B199:G199"/>
    <mergeCell ref="H199:M199"/>
    <mergeCell ref="A236:A237"/>
    <mergeCell ref="B236:K236"/>
    <mergeCell ref="L236:U236"/>
    <mergeCell ref="A206:A207"/>
    <mergeCell ref="B206:K206"/>
    <mergeCell ref="L206:U206"/>
    <mergeCell ref="A219:A220"/>
    <mergeCell ref="B219:K219"/>
    <mergeCell ref="L219:U219"/>
  </mergeCells>
  <conditionalFormatting sqref="A51:A53">
    <cfRule type="expression" priority="132">
      <formula xml:space="preserve"> "NA"</formula>
    </cfRule>
  </conditionalFormatting>
  <conditionalFormatting sqref="A88 F88:H88">
    <cfRule type="expression" priority="130">
      <formula xml:space="preserve"> "NA"</formula>
    </cfRule>
  </conditionalFormatting>
  <conditionalFormatting sqref="A202:A203">
    <cfRule type="expression" priority="105">
      <formula xml:space="preserve"> "NA"</formula>
    </cfRule>
  </conditionalFormatting>
  <conditionalFormatting sqref="A206:B206">
    <cfRule type="expression" priority="32">
      <formula xml:space="preserve"> "NA"</formula>
    </cfRule>
  </conditionalFormatting>
  <conditionalFormatting sqref="A219:B219">
    <cfRule type="expression" priority="36">
      <formula xml:space="preserve"> "NA"</formula>
    </cfRule>
  </conditionalFormatting>
  <conditionalFormatting sqref="A236:B236">
    <cfRule type="expression" priority="34">
      <formula xml:space="preserve"> "NA"</formula>
    </cfRule>
  </conditionalFormatting>
  <conditionalFormatting sqref="A73:H87">
    <cfRule type="expression" priority="85">
      <formula>ISNA($A$73:$H$87)</formula>
    </cfRule>
  </conditionalFormatting>
  <conditionalFormatting sqref="A77:H78 Q77:U78 Y77:XFD78 A92:B92">
    <cfRule type="expression" priority="208">
      <formula xml:space="preserve"> "NA"</formula>
    </cfRule>
  </conditionalFormatting>
  <conditionalFormatting sqref="A146:L146 R146:XFD146 A147:XFD147 AP148:XFD157">
    <cfRule type="expression" priority="193">
      <formula xml:space="preserve"> "NA"</formula>
    </cfRule>
  </conditionalFormatting>
  <conditionalFormatting sqref="A159:L159 AD159:XFD159">
    <cfRule type="expression" priority="206">
      <formula xml:space="preserve"> "NA"</formula>
    </cfRule>
  </conditionalFormatting>
  <conditionalFormatting sqref="A53:U53">
    <cfRule type="expression" priority="133">
      <formula xml:space="preserve"> "NA"</formula>
    </cfRule>
  </conditionalFormatting>
  <conditionalFormatting sqref="A91:U91">
    <cfRule type="expression" priority="207">
      <formula xml:space="preserve"> "NA"</formula>
    </cfRule>
  </conditionalFormatting>
  <conditionalFormatting sqref="A205:U205">
    <cfRule type="expression" priority="31">
      <formula xml:space="preserve"> "NA"</formula>
    </cfRule>
  </conditionalFormatting>
  <conditionalFormatting sqref="A218:U218">
    <cfRule type="expression" priority="35">
      <formula xml:space="preserve"> "NA"</formula>
    </cfRule>
  </conditionalFormatting>
  <conditionalFormatting sqref="A235:U235">
    <cfRule type="expression" priority="33">
      <formula xml:space="preserve"> "NA"</formula>
    </cfRule>
  </conditionalFormatting>
  <conditionalFormatting sqref="A145:XFD145">
    <cfRule type="expression" priority="167">
      <formula xml:space="preserve"> "NA"</formula>
    </cfRule>
  </conditionalFormatting>
  <conditionalFormatting sqref="B135">
    <cfRule type="expression" priority="8">
      <formula xml:space="preserve"> "NA"</formula>
    </cfRule>
  </conditionalFormatting>
  <conditionalFormatting sqref="B56:F63">
    <cfRule type="cellIs" dxfId="103" priority="52" operator="lessThan">
      <formula>10</formula>
    </cfRule>
  </conditionalFormatting>
  <conditionalFormatting sqref="B63:F63">
    <cfRule type="cellIs" dxfId="102" priority="56" operator="lessThan">
      <formula>10</formula>
    </cfRule>
  </conditionalFormatting>
  <conditionalFormatting sqref="B41:J48 L41:T48">
    <cfRule type="cellIs" dxfId="101" priority="106" operator="equal">
      <formula>"Equal"</formula>
    </cfRule>
  </conditionalFormatting>
  <conditionalFormatting sqref="B148:K149">
    <cfRule type="expression" priority="156">
      <formula xml:space="preserve"> "NA"</formula>
    </cfRule>
  </conditionalFormatting>
  <conditionalFormatting sqref="B65:U65">
    <cfRule type="cellIs" dxfId="100" priority="253" operator="equal">
      <formula>"Yes"</formula>
    </cfRule>
    <cfRule type="cellIs" dxfId="99" priority="272" operator="equal">
      <formula>"No"</formula>
    </cfRule>
  </conditionalFormatting>
  <conditionalFormatting sqref="B221:U231">
    <cfRule type="cellIs" dxfId="98" priority="26" operator="greaterThan">
      <formula>12000</formula>
    </cfRule>
  </conditionalFormatting>
  <conditionalFormatting sqref="C73:C76">
    <cfRule type="cellIs" dxfId="97" priority="236" operator="lessThan">
      <formula>0.4</formula>
    </cfRule>
    <cfRule type="cellIs" dxfId="96" priority="235" operator="greaterThan">
      <formula>0.7</formula>
    </cfRule>
  </conditionalFormatting>
  <conditionalFormatting sqref="C84">
    <cfRule type="cellIs" dxfId="95" priority="129" operator="greaterThan">
      <formula>0.2</formula>
    </cfRule>
  </conditionalFormatting>
  <conditionalFormatting sqref="C85">
    <cfRule type="cellIs" dxfId="94" priority="128" operator="greaterThan">
      <formula>0.6</formula>
    </cfRule>
  </conditionalFormatting>
  <conditionalFormatting sqref="C86:C87">
    <cfRule type="cellIs" dxfId="93" priority="123" operator="lessThan">
      <formula>0.8</formula>
    </cfRule>
  </conditionalFormatting>
  <conditionalFormatting sqref="C208:C214">
    <cfRule type="expression" dxfId="92" priority="523">
      <formula>IF(AND(C222&gt;12000, C209&lt;H209), "Pass", "Fail")</formula>
    </cfRule>
  </conditionalFormatting>
  <conditionalFormatting sqref="C215">
    <cfRule type="expression" dxfId="91" priority="37">
      <formula>IF(AND(C232&gt;12000, C217&lt;H217), "Pass", "Fail")</formula>
    </cfRule>
  </conditionalFormatting>
  <conditionalFormatting sqref="C216">
    <cfRule type="expression" dxfId="90" priority="525">
      <formula>IF(AND(C234&gt;12000, C218&lt;H218), "Pass", "Fail")</formula>
    </cfRule>
  </conditionalFormatting>
  <conditionalFormatting sqref="D8">
    <cfRule type="cellIs" dxfId="89" priority="121" operator="equal">
      <formula>"Yes"</formula>
    </cfRule>
    <cfRule type="cellIs" dxfId="88" priority="122" operator="equal">
      <formula>"No"</formula>
    </cfRule>
  </conditionalFormatting>
  <conditionalFormatting sqref="D31:D33 G31:G33 K31:K33 N31:N33 R31:R33 U31:U33 Y31:Y33 AB31:AB33">
    <cfRule type="cellIs" dxfId="87" priority="268" operator="equal">
      <formula>"Yes"</formula>
    </cfRule>
    <cfRule type="cellIs" dxfId="86" priority="269" operator="equal">
      <formula>"No"</formula>
    </cfRule>
  </conditionalFormatting>
  <conditionalFormatting sqref="D73:D76">
    <cfRule type="cellIs" dxfId="85" priority="127" operator="lessThan">
      <formula>0.3</formula>
    </cfRule>
    <cfRule type="cellIs" dxfId="84" priority="137" operator="greaterThan">
      <formula>0.6</formula>
    </cfRule>
  </conditionalFormatting>
  <conditionalFormatting sqref="D135">
    <cfRule type="expression" priority="7">
      <formula xml:space="preserve"> "NA"</formula>
    </cfRule>
  </conditionalFormatting>
  <conditionalFormatting sqref="D188:D195">
    <cfRule type="cellIs" dxfId="83" priority="69" operator="equal">
      <formula>"No"</formula>
    </cfRule>
    <cfRule type="cellIs" dxfId="82" priority="68" operator="equal">
      <formula>"Yes"</formula>
    </cfRule>
  </conditionalFormatting>
  <conditionalFormatting sqref="D41:E48 N41:O48 D15:D24">
    <cfRule type="cellIs" dxfId="81" priority="254" operator="equal">
      <formula>"Yes"</formula>
    </cfRule>
    <cfRule type="cellIs" dxfId="80" priority="255" operator="equal">
      <formula>"No"</formula>
    </cfRule>
  </conditionalFormatting>
  <conditionalFormatting sqref="D161:E166">
    <cfRule type="expression" priority="239">
      <formula xml:space="preserve"> "NA"</formula>
    </cfRule>
  </conditionalFormatting>
  <conditionalFormatting sqref="D158:K158">
    <cfRule type="expression" priority="202">
      <formula xml:space="preserve"> "NA"</formula>
    </cfRule>
  </conditionalFormatting>
  <conditionalFormatting sqref="E31:E33">
    <cfRule type="expression" priority="238">
      <formula xml:space="preserve"> "#VALUE!"</formula>
    </cfRule>
  </conditionalFormatting>
  <conditionalFormatting sqref="E41:E48">
    <cfRule type="cellIs" dxfId="79" priority="48" operator="greaterThan">
      <formula>0.0309</formula>
    </cfRule>
    <cfRule type="containsText" priority="47" stopIfTrue="1" operator="containsText" text="NA">
      <formula>NOT(ISERROR(SEARCH("NA",E41)))</formula>
    </cfRule>
  </conditionalFormatting>
  <conditionalFormatting sqref="E84">
    <cfRule type="cellIs" dxfId="78" priority="125" operator="greaterThan">
      <formula>0.2</formula>
    </cfRule>
  </conditionalFormatting>
  <conditionalFormatting sqref="E85">
    <cfRule type="cellIs" dxfId="77" priority="124" operator="greaterThan">
      <formula>0.6</formula>
    </cfRule>
  </conditionalFormatting>
  <conditionalFormatting sqref="E86:E87">
    <cfRule type="cellIs" dxfId="76" priority="126" operator="lessThan">
      <formula>0.8</formula>
    </cfRule>
  </conditionalFormatting>
  <conditionalFormatting sqref="E109 G109 I109 K109 M109 O109 D110:O119">
    <cfRule type="expression" priority="247">
      <formula xml:space="preserve"> "NA"</formula>
    </cfRule>
  </conditionalFormatting>
  <conditionalFormatting sqref="E122 G122 I122 K122 M122:O122 D123:O132">
    <cfRule type="expression" priority="80">
      <formula xml:space="preserve"> "NA"</formula>
    </cfRule>
  </conditionalFormatting>
  <conditionalFormatting sqref="F73:F76">
    <cfRule type="cellIs" dxfId="75" priority="223" operator="lessThan">
      <formula>0.4</formula>
    </cfRule>
    <cfRule type="cellIs" dxfId="74" priority="222" operator="greaterThan">
      <formula>0.7</formula>
    </cfRule>
  </conditionalFormatting>
  <conditionalFormatting sqref="F148:K157">
    <cfRule type="expression" priority="57">
      <formula xml:space="preserve"> "NA"</formula>
    </cfRule>
  </conditionalFormatting>
  <conditionalFormatting sqref="F135:W137">
    <cfRule type="expression" priority="1">
      <formula xml:space="preserve"> "NA"</formula>
    </cfRule>
  </conditionalFormatting>
  <conditionalFormatting sqref="G15:G24">
    <cfRule type="cellIs" dxfId="73" priority="257" operator="equal">
      <formula>"No"</formula>
    </cfRule>
    <cfRule type="cellIs" dxfId="72" priority="256" operator="equal">
      <formula>"Yes"</formula>
    </cfRule>
  </conditionalFormatting>
  <conditionalFormatting sqref="G63">
    <cfRule type="cellIs" dxfId="71" priority="62" operator="lessThan">
      <formula>10</formula>
    </cfRule>
  </conditionalFormatting>
  <conditionalFormatting sqref="G73:G76">
    <cfRule type="cellIs" dxfId="70" priority="136" operator="greaterThan">
      <formula>0.6</formula>
    </cfRule>
    <cfRule type="cellIs" dxfId="69" priority="114" operator="lessThan">
      <formula>0.3</formula>
    </cfRule>
  </conditionalFormatting>
  <conditionalFormatting sqref="H15:H24">
    <cfRule type="cellIs" dxfId="68" priority="258" operator="equal">
      <formula>0</formula>
    </cfRule>
    <cfRule type="cellIs" dxfId="67" priority="259" operator="notEqual">
      <formula>0</formula>
    </cfRule>
  </conditionalFormatting>
  <conditionalFormatting sqref="H188:H195">
    <cfRule type="cellIs" dxfId="66" priority="70" operator="equal">
      <formula>"Yes"</formula>
    </cfRule>
    <cfRule type="cellIs" dxfId="65" priority="71" operator="equal">
      <formula>"No"</formula>
    </cfRule>
  </conditionalFormatting>
  <conditionalFormatting sqref="H56:I63">
    <cfRule type="cellIs" dxfId="64" priority="51" operator="lessThan">
      <formula>10</formula>
    </cfRule>
  </conditionalFormatting>
  <conditionalFormatting sqref="I41:K48">
    <cfRule type="cellIs" dxfId="63" priority="44" operator="equal">
      <formula>"No"</formula>
    </cfRule>
    <cfRule type="cellIs" dxfId="62" priority="43" operator="equal">
      <formula>"Yes"</formula>
    </cfRule>
  </conditionalFormatting>
  <conditionalFormatting sqref="J138:J144">
    <cfRule type="expression" priority="101">
      <formula xml:space="preserve"> "NA"</formula>
    </cfRule>
  </conditionalFormatting>
  <conditionalFormatting sqref="K15:K24">
    <cfRule type="cellIs" dxfId="61" priority="261" operator="equal">
      <formula>"No"</formula>
    </cfRule>
    <cfRule type="cellIs" dxfId="60" priority="260" operator="equal">
      <formula>"Yes"</formula>
    </cfRule>
  </conditionalFormatting>
  <conditionalFormatting sqref="K41:K48">
    <cfRule type="cellIs" dxfId="59" priority="42" operator="equal">
      <formula>"Equal"</formula>
    </cfRule>
  </conditionalFormatting>
  <conditionalFormatting sqref="K137:K144">
    <cfRule type="expression" priority="98">
      <formula xml:space="preserve"> "NA"</formula>
    </cfRule>
  </conditionalFormatting>
  <conditionalFormatting sqref="K56:P63">
    <cfRule type="cellIs" dxfId="58" priority="50" operator="lessThan">
      <formula>10</formula>
    </cfRule>
  </conditionalFormatting>
  <conditionalFormatting sqref="L15:L24">
    <cfRule type="cellIs" dxfId="57" priority="263" operator="notEqual">
      <formula>0</formula>
    </cfRule>
    <cfRule type="cellIs" dxfId="56" priority="262" operator="equal">
      <formula>0</formula>
    </cfRule>
  </conditionalFormatting>
  <conditionalFormatting sqref="L188:L195">
    <cfRule type="cellIs" dxfId="55" priority="73" operator="equal">
      <formula>"No"</formula>
    </cfRule>
    <cfRule type="cellIs" dxfId="54" priority="72" operator="equal">
      <formula>"Yes"</formula>
    </cfRule>
  </conditionalFormatting>
  <conditionalFormatting sqref="L149:M158">
    <cfRule type="expression" priority="143">
      <formula xml:space="preserve"> "NA"</formula>
    </cfRule>
  </conditionalFormatting>
  <conditionalFormatting sqref="L148:Y148">
    <cfRule type="expression" priority="12">
      <formula xml:space="preserve"> "NA"</formula>
    </cfRule>
  </conditionalFormatting>
  <conditionalFormatting sqref="N15:N24">
    <cfRule type="cellIs" dxfId="53" priority="264" operator="equal">
      <formula>"Yes"</formula>
    </cfRule>
  </conditionalFormatting>
  <conditionalFormatting sqref="N15:O24">
    <cfRule type="cellIs" dxfId="52" priority="265" operator="notEqual">
      <formula>0</formula>
    </cfRule>
  </conditionalFormatting>
  <conditionalFormatting sqref="N149:U157">
    <cfRule type="expression" priority="139">
      <formula xml:space="preserve"> "NA"</formula>
    </cfRule>
  </conditionalFormatting>
  <conditionalFormatting sqref="O15:O24">
    <cfRule type="cellIs" dxfId="51" priority="266" operator="equal">
      <formula>0</formula>
    </cfRule>
  </conditionalFormatting>
  <conditionalFormatting sqref="O41:O48">
    <cfRule type="containsText" priority="45" stopIfTrue="1" operator="containsText" text="NA">
      <formula>NOT(ISERROR(SEARCH("NA",O41)))</formula>
    </cfRule>
    <cfRule type="cellIs" dxfId="50" priority="46" operator="greaterThan">
      <formula>0.0309</formula>
    </cfRule>
  </conditionalFormatting>
  <conditionalFormatting sqref="P188:P195">
    <cfRule type="cellIs" dxfId="49" priority="75" operator="equal">
      <formula>"No"</formula>
    </cfRule>
    <cfRule type="cellIs" dxfId="48" priority="74" operator="equal">
      <formula>"Yes"</formula>
    </cfRule>
  </conditionalFormatting>
  <conditionalFormatting sqref="P132:AY132">
    <cfRule type="expression" priority="209">
      <formula xml:space="preserve"> "NA"</formula>
    </cfRule>
  </conditionalFormatting>
  <conditionalFormatting sqref="Q109 P110:Q118">
    <cfRule type="expression" priority="84">
      <formula xml:space="preserve"> "NA"</formula>
    </cfRule>
  </conditionalFormatting>
  <conditionalFormatting sqref="Q88:U88 Y88:XFD88">
    <cfRule type="expression" priority="131">
      <formula xml:space="preserve"> "NA"</formula>
    </cfRule>
  </conditionalFormatting>
  <conditionalFormatting sqref="R56:S63 U56:U63">
    <cfRule type="cellIs" dxfId="47" priority="49" operator="lessThan">
      <formula>10</formula>
    </cfRule>
  </conditionalFormatting>
  <conditionalFormatting sqref="S41:U48">
    <cfRule type="cellIs" dxfId="46" priority="41" operator="equal">
      <formula>"No"</formula>
    </cfRule>
    <cfRule type="cellIs" dxfId="45" priority="40" operator="equal">
      <formula>"Yes"</formula>
    </cfRule>
  </conditionalFormatting>
  <conditionalFormatting sqref="T40:T48">
    <cfRule type="expression" priority="107">
      <formula xml:space="preserve"> "NA"</formula>
    </cfRule>
  </conditionalFormatting>
  <conditionalFormatting sqref="T188:T195">
    <cfRule type="cellIs" dxfId="44" priority="76" operator="equal">
      <formula>"Yes"</formula>
    </cfRule>
    <cfRule type="cellIs" dxfId="43" priority="77" operator="equal">
      <formula>"No"</formula>
    </cfRule>
  </conditionalFormatting>
  <conditionalFormatting sqref="U41:U48">
    <cfRule type="cellIs" dxfId="42" priority="39" operator="equal">
      <formula>"Equal"</formula>
    </cfRule>
  </conditionalFormatting>
  <conditionalFormatting sqref="V149:W150">
    <cfRule type="expression" priority="160">
      <formula xml:space="preserve"> "NA"</formula>
    </cfRule>
  </conditionalFormatting>
  <conditionalFormatting sqref="V151:Y157">
    <cfRule type="expression" priority="115">
      <formula xml:space="preserve"> "NA"</formula>
    </cfRule>
  </conditionalFormatting>
  <conditionalFormatting sqref="W138:Y144">
    <cfRule type="expression" priority="111">
      <formula xml:space="preserve"> "NA"</formula>
    </cfRule>
  </conditionalFormatting>
  <conditionalFormatting sqref="X188:X195">
    <cfRule type="cellIs" dxfId="41" priority="79" operator="equal">
      <formula>"No"</formula>
    </cfRule>
    <cfRule type="cellIs" dxfId="40" priority="78" operator="equal">
      <formula>"Yes"</formula>
    </cfRule>
  </conditionalFormatting>
  <conditionalFormatting sqref="X135:Y145">
    <cfRule type="expression" priority="134">
      <formula xml:space="preserve"> "NA"</formula>
    </cfRule>
  </conditionalFormatting>
  <conditionalFormatting sqref="X149:Y157">
    <cfRule type="expression" priority="119">
      <formula xml:space="preserve"> "NA"</formula>
    </cfRule>
  </conditionalFormatting>
  <pageMargins left="0.7" right="0.7" top="0.75" bottom="0.75" header="0.3" footer="0.3"/>
  <pageSetup scale="11" orientation="landscape" r:id="rId1"/>
  <headerFooter>
    <oddFooter>&amp;L&amp;"-,Bold"Carrier Benchmark Data Submission Template&amp;"-,Regular" | NJ Hart Program&amp;RPage &amp;P</oddFooter>
  </headerFooter>
  <tableParts count="2">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57B6E-D839-4435-80EC-B553F85D01F1}">
  <sheetPr>
    <tabColor theme="8" tint="0.39997558519241921"/>
    <pageSetUpPr fitToPage="1"/>
  </sheetPr>
  <dimension ref="A1:S108"/>
  <sheetViews>
    <sheetView showGridLines="0" zoomScale="50" zoomScaleNormal="50" workbookViewId="0">
      <selection activeCell="F6" sqref="F6"/>
    </sheetView>
  </sheetViews>
  <sheetFormatPr defaultColWidth="8.69921875" defaultRowHeight="16.8" x14ac:dyDescent="0.4"/>
  <cols>
    <col min="1" max="1" width="82.59765625" style="11" customWidth="1"/>
    <col min="2" max="4" width="30.59765625" style="11" customWidth="1"/>
    <col min="5" max="5" width="10.59765625" style="11" customWidth="1"/>
    <col min="6" max="6" width="82.59765625" style="11" customWidth="1"/>
    <col min="7" max="9" width="30.59765625" style="11" customWidth="1"/>
    <col min="10" max="10" width="10.59765625" style="11" customWidth="1"/>
    <col min="11" max="11" width="82.59765625" style="11" customWidth="1"/>
    <col min="12" max="14" width="30.59765625" style="11" customWidth="1"/>
    <col min="15" max="15" width="10.59765625" style="11" customWidth="1"/>
    <col min="16" max="16" width="82.59765625" style="11" customWidth="1"/>
    <col min="17" max="19" width="30.59765625" style="11" customWidth="1"/>
    <col min="20" max="16384" width="8.69921875" style="11"/>
  </cols>
  <sheetData>
    <row r="1" spans="1:19" ht="20.399999999999999" x14ac:dyDescent="0.45">
      <c r="A1" s="5" t="s">
        <v>42</v>
      </c>
      <c r="B1"/>
      <c r="C1"/>
      <c r="D1"/>
      <c r="E1"/>
      <c r="F1"/>
      <c r="G1"/>
      <c r="H1"/>
      <c r="I1"/>
      <c r="J1"/>
      <c r="K1"/>
      <c r="L1"/>
      <c r="M1"/>
      <c r="N1"/>
      <c r="O1"/>
      <c r="P1"/>
      <c r="Q1"/>
      <c r="R1"/>
      <c r="S1"/>
    </row>
    <row r="2" spans="1:19" ht="19.2" x14ac:dyDescent="0.4">
      <c r="A2" s="662" t="s">
        <v>473</v>
      </c>
      <c r="B2" s="662"/>
      <c r="C2" s="662"/>
      <c r="D2" s="662"/>
      <c r="E2" s="662"/>
      <c r="F2" s="662"/>
      <c r="G2" s="662"/>
      <c r="H2" s="662"/>
      <c r="I2" s="662"/>
      <c r="J2" s="662"/>
      <c r="K2" s="662"/>
      <c r="L2" s="662"/>
      <c r="M2" s="662"/>
      <c r="N2" s="662"/>
      <c r="O2"/>
      <c r="P2"/>
      <c r="Q2"/>
      <c r="R2"/>
      <c r="S2"/>
    </row>
    <row r="3" spans="1:19" ht="19.2" x14ac:dyDescent="0.4">
      <c r="A3"/>
      <c r="B3" s="12"/>
      <c r="C3" s="12"/>
      <c r="D3" s="12"/>
      <c r="E3" s="12"/>
      <c r="F3" s="12"/>
      <c r="G3" s="12"/>
      <c r="H3" s="12"/>
      <c r="I3" s="12"/>
      <c r="J3" s="12"/>
      <c r="K3" s="12"/>
      <c r="L3" s="12"/>
      <c r="M3" s="12"/>
      <c r="N3" s="12"/>
      <c r="O3" s="12"/>
      <c r="P3" s="12"/>
      <c r="Q3"/>
      <c r="R3"/>
      <c r="S3"/>
    </row>
    <row r="4" spans="1:19" ht="12.75" customHeight="1" x14ac:dyDescent="0.4">
      <c r="A4"/>
      <c r="B4"/>
      <c r="C4"/>
      <c r="D4"/>
      <c r="E4"/>
      <c r="F4"/>
      <c r="G4"/>
      <c r="H4"/>
      <c r="I4"/>
      <c r="J4"/>
      <c r="K4"/>
      <c r="L4"/>
      <c r="M4"/>
      <c r="N4"/>
      <c r="O4"/>
      <c r="P4"/>
      <c r="Q4"/>
      <c r="R4"/>
      <c r="S4"/>
    </row>
    <row r="5" spans="1:19" x14ac:dyDescent="0.4">
      <c r="A5" s="3" t="s">
        <v>474</v>
      </c>
      <c r="B5" s="42"/>
      <c r="C5" s="42"/>
      <c r="D5" s="42"/>
      <c r="E5" s="42"/>
      <c r="F5" s="3" t="s">
        <v>534</v>
      </c>
      <c r="G5" s="3"/>
      <c r="H5" s="3"/>
      <c r="I5" s="3"/>
      <c r="J5" s="42"/>
      <c r="K5" s="3" t="s">
        <v>535</v>
      </c>
      <c r="L5" s="3"/>
      <c r="M5" s="3"/>
      <c r="N5" s="3"/>
      <c r="O5" s="42"/>
      <c r="P5" s="42"/>
      <c r="Q5" s="42"/>
      <c r="R5" s="42"/>
      <c r="S5" s="42"/>
    </row>
    <row r="6" spans="1:19" ht="30" customHeight="1" x14ac:dyDescent="0.4">
      <c r="A6" s="586" t="s">
        <v>580</v>
      </c>
      <c r="B6" s="586"/>
      <c r="C6" s="586"/>
      <c r="D6" s="586"/>
      <c r="E6"/>
      <c r="F6"/>
      <c r="G6"/>
      <c r="H6"/>
      <c r="I6"/>
      <c r="J6" s="42"/>
      <c r="K6" s="586" t="s">
        <v>536</v>
      </c>
      <c r="L6" s="586"/>
      <c r="M6" s="586"/>
      <c r="N6" s="586"/>
      <c r="O6" s="42"/>
      <c r="P6" s="42"/>
      <c r="Q6" s="42"/>
      <c r="R6" s="42"/>
      <c r="S6" s="42"/>
    </row>
    <row r="7" spans="1:19" x14ac:dyDescent="0.4">
      <c r="A7" s="92" t="s">
        <v>475</v>
      </c>
      <c r="B7" s="93" t="s">
        <v>600</v>
      </c>
      <c r="C7" s="94" t="s">
        <v>643</v>
      </c>
      <c r="D7" s="95" t="s">
        <v>476</v>
      </c>
      <c r="E7"/>
      <c r="F7" s="92" t="s">
        <v>475</v>
      </c>
      <c r="G7" s="93" t="s">
        <v>600</v>
      </c>
      <c r="H7" s="94" t="s">
        <v>643</v>
      </c>
      <c r="I7" s="95" t="s">
        <v>476</v>
      </c>
      <c r="J7" s="42"/>
      <c r="K7" s="92" t="s">
        <v>475</v>
      </c>
      <c r="L7" s="93" t="s">
        <v>600</v>
      </c>
      <c r="M7" s="94" t="s">
        <v>643</v>
      </c>
      <c r="N7" s="95" t="s">
        <v>476</v>
      </c>
      <c r="O7" s="42"/>
      <c r="P7" s="42"/>
      <c r="Q7" s="42"/>
      <c r="R7" s="42"/>
      <c r="S7" s="42"/>
    </row>
    <row r="8" spans="1:19" x14ac:dyDescent="0.4">
      <c r="A8" s="150" t="s">
        <v>477</v>
      </c>
      <c r="B8" s="151">
        <f>SUM(B9:B11)</f>
        <v>0</v>
      </c>
      <c r="C8" s="151">
        <f>SUM(C9:C11)</f>
        <v>0</v>
      </c>
      <c r="D8" s="155" t="str">
        <f>IFERROR(Table147[[#This Row],[2025]]/Table147[[#This Row],[2024]]-1,"NA")</f>
        <v>NA</v>
      </c>
      <c r="E8"/>
      <c r="F8" s="150" t="s">
        <v>477</v>
      </c>
      <c r="G8" s="154">
        <f>SUM(G9:G11)</f>
        <v>0</v>
      </c>
      <c r="H8" s="154">
        <f>SUM(H9:H11)</f>
        <v>0</v>
      </c>
      <c r="I8" s="152" t="str">
        <f>IFERROR(Table174159[[#This Row],[2025]]/Table174159[[#This Row],[2024]]-1,"NA")</f>
        <v>NA</v>
      </c>
      <c r="J8" s="42"/>
      <c r="K8" s="150" t="s">
        <v>477</v>
      </c>
      <c r="L8" s="154" t="str">
        <f>IFERROR(Table174159[[#This Row],[2024]]/Table147[[#This Row],[2024]],"NA")</f>
        <v>NA</v>
      </c>
      <c r="M8" s="154" t="str">
        <f>IFERROR(Table174159[[#This Row],[2025]]/Table147[[#This Row],[2025]],"NA")</f>
        <v>NA</v>
      </c>
      <c r="N8" s="155" t="str">
        <f>IFERROR(Table1784260[[#This Row],[2025]]/Table1784260[[#This Row],[2024]]-1,"NA")</f>
        <v>NA</v>
      </c>
      <c r="O8" s="42"/>
      <c r="P8" s="42"/>
      <c r="Q8" s="42"/>
      <c r="R8" s="42"/>
      <c r="S8" s="42"/>
    </row>
    <row r="9" spans="1:19" x14ac:dyDescent="0.4">
      <c r="A9" s="121" t="s">
        <v>478</v>
      </c>
      <c r="B9" s="96">
        <f>SUMIFS(TM[[#All],[Member Months]],TM[[#All],[Reporting Year]],Table147[[#Headers],[2024]],TM[[#All],[Insurance Category Code]],1,TM[[#All],[Large Provider Entity Code]],100)</f>
        <v>0</v>
      </c>
      <c r="C9" s="96">
        <f>SUMIFS(TM[[#All],[Member Months]],TM[[#All],[Reporting Year]],Table147[[#Headers],[2025]],TM[[#All],[Insurance Category Code]],1,TM[[#All],[Large Provider Entity Code]],100)</f>
        <v>0</v>
      </c>
      <c r="D9" s="100" t="str">
        <f>IFERROR(Table147[[#This Row],[2025]]/Table147[[#This Row],[2024]]-1,"NA")</f>
        <v>NA</v>
      </c>
      <c r="E9"/>
      <c r="F9" s="121" t="s">
        <v>478</v>
      </c>
      <c r="G9" s="88">
        <f>SUMIFS(TM[[#All],[Total Truncated Expenses]],TM[[#All],[Reporting Year]],Table174159[[#Headers],[2024]],TM[[#All],[Insurance Category Code]],1,TM[[#All],[Large Provider Entity Code]],100)</f>
        <v>0</v>
      </c>
      <c r="H9" s="88">
        <f>SUMIFS(TM[[#All],[Total Truncated Expenses]],TM[[#All],[Reporting Year]],Table174159[[#Headers],[2025]],TM[[#All],[Insurance Category Code]],1,TM[[#All],[Large Provider Entity Code]],100)</f>
        <v>0</v>
      </c>
      <c r="I9" s="97" t="str">
        <f>IFERROR(Table174159[[#This Row],[2025]]/Table174159[[#This Row],[2024]]-1,"NA")</f>
        <v>NA</v>
      </c>
      <c r="J9" s="42"/>
      <c r="K9" s="121" t="s">
        <v>478</v>
      </c>
      <c r="L9" s="88" t="str">
        <f>IFERROR(Table174159[[#This Row],[2024]]/Table147[[#This Row],[2024]],"NA")</f>
        <v>NA</v>
      </c>
      <c r="M9" s="399" t="str">
        <f>IFERROR(Table174159[[#This Row],[2025]]/Table147[[#This Row],[2025]],"NA")</f>
        <v>NA</v>
      </c>
      <c r="N9" s="447" t="str">
        <f>IFERROR(Table1784260[[#This Row],[2025]]/Table1784260[[#This Row],[2024]]-1,"NA")</f>
        <v>NA</v>
      </c>
      <c r="O9" s="42"/>
      <c r="P9" s="42"/>
      <c r="Q9" s="42"/>
      <c r="R9" s="42"/>
      <c r="S9" s="42"/>
    </row>
    <row r="10" spans="1:19" x14ac:dyDescent="0.4">
      <c r="A10" s="121" t="s">
        <v>479</v>
      </c>
      <c r="B10" s="96">
        <f>SUMIFS(TM[[#All],[Member Months]],TM[[#All],[Reporting Year]],Table147[[#Headers],[2024]],TM[[#All],[Insurance Category Code]],5,TM[[#All],[Large Provider Entity Code]],100)</f>
        <v>0</v>
      </c>
      <c r="C10" s="96">
        <f>SUMIFS(TM[[#All],[Member Months]],TM[[#All],[Reporting Year]],Table147[[#Headers],[2025]],TM[[#All],[Insurance Category Code]],5,TM[[#All],[Large Provider Entity Code]],100)</f>
        <v>0</v>
      </c>
      <c r="D10" s="100" t="str">
        <f>IFERROR(Table147[[#This Row],[2025]]/Table147[[#This Row],[2024]]-1,"NA")</f>
        <v>NA</v>
      </c>
      <c r="E10"/>
      <c r="F10" s="121" t="s">
        <v>479</v>
      </c>
      <c r="G10" s="88">
        <f>SUMIFS(TM[[#All],[Total Truncated Expenses]],TM[[#All],[Reporting Year]],Table174159[[#Headers],[2024]],TM[[#All],[Insurance Category Code]],5,TM[[#All],[Large Provider Entity Code]],100)</f>
        <v>0</v>
      </c>
      <c r="H10" s="88">
        <f>SUMIFS(TM[[#All],[Total Truncated Expenses]],TM[[#All],[Reporting Year]],Table174159[[#Headers],[2025]],TM[[#All],[Insurance Category Code]],5,TM[[#All],[Large Provider Entity Code]],100)</f>
        <v>0</v>
      </c>
      <c r="I10" s="97" t="str">
        <f>IFERROR(Table174159[[#This Row],[2025]]/Table174159[[#This Row],[2024]]-1,"NA")</f>
        <v>NA</v>
      </c>
      <c r="J10" s="42"/>
      <c r="K10" s="121" t="s">
        <v>479</v>
      </c>
      <c r="L10" s="88" t="str">
        <f>IFERROR(Table174159[[#This Row],[2024]]/Table147[[#This Row],[2024]],"NA")</f>
        <v>NA</v>
      </c>
      <c r="M10" s="399" t="str">
        <f>IFERROR(Table174159[[#This Row],[2025]]/Table147[[#This Row],[2025]],"NA")</f>
        <v>NA</v>
      </c>
      <c r="N10" s="447" t="str">
        <f>IFERROR(Table1784260[[#This Row],[2025]]/Table1784260[[#This Row],[2024]]-1,"NA")</f>
        <v>NA</v>
      </c>
      <c r="O10" s="42"/>
      <c r="P10" s="42"/>
      <c r="Q10" s="42"/>
      <c r="R10" s="42"/>
      <c r="S10" s="42"/>
    </row>
    <row r="11" spans="1:19" x14ac:dyDescent="0.4">
      <c r="A11" s="121" t="s">
        <v>480</v>
      </c>
      <c r="B11" s="96">
        <f>SUMIFS(TM[[#All],[Member Months]],TM[[#All],[Reporting Year]],Table147[[#Headers],[2024]],TM[[#All],[Insurance Category Code]],8,TM[[#All],[Large Provider Entity Code]],100)</f>
        <v>0</v>
      </c>
      <c r="C11" s="96">
        <f>SUMIFS(TM[[#All],[Member Months]],TM[[#All],[Reporting Year]],Table147[[#Headers],[2025]],TM[[#All],[Insurance Category Code]],8,TM[[#All],[Large Provider Entity Code]],100)</f>
        <v>0</v>
      </c>
      <c r="D11" s="100" t="str">
        <f>IFERROR(Table147[[#This Row],[2025]]/Table147[[#This Row],[2024]]-1,"NA")</f>
        <v>NA</v>
      </c>
      <c r="E11"/>
      <c r="F11" s="121" t="s">
        <v>480</v>
      </c>
      <c r="G11" s="88">
        <f>SUMIFS(TM[[#All],[Total Truncated Expenses]],TM[[#All],[Reporting Year]],Table174159[[#Headers],[2024]],TM[[#All],[Insurance Category Code]],8,TM[[#All],[Large Provider Entity Code]],100)</f>
        <v>0</v>
      </c>
      <c r="H11" s="88">
        <f>SUMIFS(TM[[#All],[Total Truncated Expenses]],TM[[#All],[Reporting Year]],Table174159[[#Headers],[2025]],TM[[#All],[Insurance Category Code]],8,TM[[#All],[Large Provider Entity Code]],100)</f>
        <v>0</v>
      </c>
      <c r="I11" s="97" t="str">
        <f>IFERROR(Table174159[[#This Row],[2025]]/Table174159[[#This Row],[2024]]-1,"NA")</f>
        <v>NA</v>
      </c>
      <c r="J11" s="42"/>
      <c r="K11" s="121" t="s">
        <v>480</v>
      </c>
      <c r="L11" s="88" t="str">
        <f>IFERROR(Table174159[[#This Row],[2024]]/Table147[[#This Row],[2024]],"NA")</f>
        <v>NA</v>
      </c>
      <c r="M11" s="399" t="str">
        <f>IFERROR(Table174159[[#This Row],[2025]]/Table147[[#This Row],[2025]],"NA")</f>
        <v>NA</v>
      </c>
      <c r="N11" s="447" t="str">
        <f>IFERROR(Table1784260[[#This Row],[2025]]/Table1784260[[#This Row],[2024]]-1,"NA")</f>
        <v>NA</v>
      </c>
      <c r="O11" s="42"/>
      <c r="P11" s="42"/>
      <c r="Q11" s="42"/>
      <c r="R11" s="42"/>
      <c r="S11" s="42"/>
    </row>
    <row r="12" spans="1:19" x14ac:dyDescent="0.4">
      <c r="A12" s="150" t="s">
        <v>481</v>
      </c>
      <c r="B12" s="151">
        <f>SUM(B13:B14)</f>
        <v>0</v>
      </c>
      <c r="C12" s="151">
        <f>SUM(C13:C14)</f>
        <v>0</v>
      </c>
      <c r="D12" s="387" t="str">
        <f>IFERROR(Table147[[#This Row],[2025]]/Table147[[#This Row],[2024]]-1,"NA")</f>
        <v>NA</v>
      </c>
      <c r="E12"/>
      <c r="F12" s="150" t="s">
        <v>481</v>
      </c>
      <c r="G12" s="154">
        <f>SUM(G13:G14)</f>
        <v>0</v>
      </c>
      <c r="H12" s="154">
        <f>SUM(H13:H14)</f>
        <v>0</v>
      </c>
      <c r="I12" s="152" t="str">
        <f>IFERROR(Table174159[[#This Row],[2025]]/Table174159[[#This Row],[2024]]-1,"NA")</f>
        <v>NA</v>
      </c>
      <c r="J12" s="42"/>
      <c r="K12" s="150" t="s">
        <v>481</v>
      </c>
      <c r="L12" s="154" t="str">
        <f>IFERROR(Table174159[[#This Row],[2024]]/Table147[[#This Row],[2024]],"NA")</f>
        <v>NA</v>
      </c>
      <c r="M12" s="154" t="str">
        <f>IFERROR(Table174159[[#This Row],[2025]]/Table147[[#This Row],[2025]],"NA")</f>
        <v>NA</v>
      </c>
      <c r="N12" s="387" t="str">
        <f>IFERROR(Table1784260[[#This Row],[2025]]/Table1784260[[#This Row],[2024]]-1,"NA")</f>
        <v>NA</v>
      </c>
      <c r="O12" s="42"/>
      <c r="P12" s="42"/>
      <c r="Q12" s="42"/>
      <c r="R12" s="42"/>
      <c r="S12" s="42"/>
    </row>
    <row r="13" spans="1:19" x14ac:dyDescent="0.4">
      <c r="A13" s="121" t="s">
        <v>482</v>
      </c>
      <c r="B13" s="96">
        <f>SUMIFS(TM[[#All],[Member Months]],TM[[#All],[Reporting Year]],Table147[[#Headers],[2024]],TM[[#All],[Insurance Category Code]],2,TM[[#All],[Large Provider Entity Code]],100)</f>
        <v>0</v>
      </c>
      <c r="C13" s="96">
        <f>SUMIFS(TM[[#All],[Member Months]],TM[[#All],[Reporting Year]],Table147[[#Headers],[2025]],TM[[#All],[Insurance Category Code]],2,TM[[#All],[Large Provider Entity Code]],100)</f>
        <v>0</v>
      </c>
      <c r="D13" s="100" t="str">
        <f>IFERROR(Table147[[#This Row],[2025]]/Table147[[#This Row],[2024]]-1,"NA")</f>
        <v>NA</v>
      </c>
      <c r="E13"/>
      <c r="F13" s="121" t="s">
        <v>482</v>
      </c>
      <c r="G13" s="88">
        <f>SUMIFS(TM[[#All],[Total Truncated Expenses]],TM[[#All],[Reporting Year]],Table174159[[#Headers],[2024]],TM[[#All],[Insurance Category Code]],2,TM[[#All],[Large Provider Entity Code]],100)</f>
        <v>0</v>
      </c>
      <c r="H13" s="88">
        <f>SUMIFS(TM[[#All],[Total Truncated Expenses]],TM[[#All],[Reporting Year]],Table174159[[#Headers],[2025]],TM[[#All],[Insurance Category Code]],2,TM[[#All],[Large Provider Entity Code]],100)</f>
        <v>0</v>
      </c>
      <c r="I13" s="97" t="str">
        <f>IFERROR(Table174159[[#This Row],[2025]]/Table174159[[#This Row],[2024]]-1,"NA")</f>
        <v>NA</v>
      </c>
      <c r="J13" s="42"/>
      <c r="K13" s="121" t="s">
        <v>482</v>
      </c>
      <c r="L13" s="88" t="str">
        <f>IFERROR(Table174159[[#This Row],[2024]]/Table147[[#This Row],[2024]],"NA")</f>
        <v>NA</v>
      </c>
      <c r="M13" s="399" t="str">
        <f>IFERROR(Table174159[[#This Row],[2025]]/Table147[[#This Row],[2025]],"NA")</f>
        <v>NA</v>
      </c>
      <c r="N13" s="447" t="str">
        <f>IFERROR(Table1784260[[#This Row],[2025]]/Table1784260[[#This Row],[2024]]-1,"NA")</f>
        <v>NA</v>
      </c>
      <c r="O13" s="42"/>
      <c r="P13" s="42"/>
      <c r="Q13" s="42"/>
      <c r="R13" s="42"/>
      <c r="S13" s="42"/>
    </row>
    <row r="14" spans="1:19" x14ac:dyDescent="0.4">
      <c r="A14" s="121" t="s">
        <v>483</v>
      </c>
      <c r="B14" s="96">
        <f>SUMIFS(TM[[#All],[Member Months]],TM[[#All],[Reporting Year]],Table147[[#Headers],[2024]],TM[[#All],[Insurance Category Code]],6,TM[[#All],[Large Provider Entity Code]],100)</f>
        <v>0</v>
      </c>
      <c r="C14" s="96">
        <f>SUMIFS(TM[[#All],[Member Months]],TM[[#All],[Reporting Year]],Table147[[#Headers],[2025]],TM[[#All],[Insurance Category Code]],6,TM[[#All],[Large Provider Entity Code]],100)</f>
        <v>0</v>
      </c>
      <c r="D14" s="100" t="str">
        <f>IFERROR(Table147[[#This Row],[2025]]/Table147[[#This Row],[2024]]-1,"NA")</f>
        <v>NA</v>
      </c>
      <c r="E14"/>
      <c r="F14" s="121" t="s">
        <v>483</v>
      </c>
      <c r="G14" s="88">
        <f>SUMIFS(TM[[#All],[Total Truncated Expenses]],TM[[#All],[Reporting Year]],Table174159[[#Headers],[2024]],TM[[#All],[Insurance Category Code]],6,TM[[#All],[Large Provider Entity Code]],100)</f>
        <v>0</v>
      </c>
      <c r="H14" s="88">
        <f>SUMIFS(TM[[#All],[Total Truncated Expenses]],TM[[#All],[Reporting Year]],Table174159[[#Headers],[2025]],TM[[#All],[Insurance Category Code]],6,TM[[#All],[Large Provider Entity Code]],100)</f>
        <v>0</v>
      </c>
      <c r="I14" s="97" t="str">
        <f>IFERROR(Table174159[[#This Row],[2025]]/Table174159[[#This Row],[2024]]-1,"NA")</f>
        <v>NA</v>
      </c>
      <c r="J14" s="42"/>
      <c r="K14" s="121" t="s">
        <v>483</v>
      </c>
      <c r="L14" s="88" t="str">
        <f>IFERROR(Table174159[[#This Row],[2024]]/Table147[[#This Row],[2024]],"NA")</f>
        <v>NA</v>
      </c>
      <c r="M14" s="399" t="str">
        <f>IFERROR(Table174159[[#This Row],[2025]]/Table147[[#This Row],[2025]],"NA")</f>
        <v>NA</v>
      </c>
      <c r="N14" s="447" t="str">
        <f>IFERROR(Table1784260[[#This Row],[2025]]/Table1784260[[#This Row],[2024]]-1,"NA")</f>
        <v>NA</v>
      </c>
      <c r="O14" s="42"/>
      <c r="P14" s="42"/>
      <c r="Q14" s="42"/>
      <c r="R14" s="42"/>
      <c r="S14" s="42"/>
    </row>
    <row r="15" spans="1:19" x14ac:dyDescent="0.4">
      <c r="A15" s="150" t="s">
        <v>484</v>
      </c>
      <c r="B15" s="153">
        <f>SUM(B16:B18)</f>
        <v>0</v>
      </c>
      <c r="C15" s="153">
        <f>SUM(C16:C18)</f>
        <v>0</v>
      </c>
      <c r="D15" s="387" t="str">
        <f>IFERROR(Table147[[#This Row],[2025]]/Table147[[#This Row],[2024]]-1,"NA")</f>
        <v>NA</v>
      </c>
      <c r="E15"/>
      <c r="F15" s="150" t="s">
        <v>484</v>
      </c>
      <c r="G15" s="154">
        <f>SUM(G16:G18)</f>
        <v>0</v>
      </c>
      <c r="H15" s="154">
        <f>SUM(H16:H18)</f>
        <v>0</v>
      </c>
      <c r="I15" s="152" t="str">
        <f>IFERROR(Table174159[[#This Row],[2025]]/Table174159[[#This Row],[2024]]-1,"NA")</f>
        <v>NA</v>
      </c>
      <c r="J15" s="42"/>
      <c r="K15" s="150" t="s">
        <v>484</v>
      </c>
      <c r="L15" s="401" t="str">
        <f>IFERROR(Table174159[[#This Row],[2024]]/Table147[[#This Row],[2024]],"NA")</f>
        <v>NA</v>
      </c>
      <c r="M15" s="154" t="str">
        <f>IFERROR(Table174159[[#This Row],[2025]]/Table147[[#This Row],[2025]],"NA")</f>
        <v>NA</v>
      </c>
      <c r="N15" s="387" t="str">
        <f>IFERROR(Table1784260[[#This Row],[2025]]/Table1784260[[#This Row],[2024]]-1,"NA")</f>
        <v>NA</v>
      </c>
      <c r="O15" s="42"/>
      <c r="P15" s="42"/>
      <c r="Q15" s="42"/>
      <c r="R15" s="42"/>
      <c r="S15" s="42"/>
    </row>
    <row r="16" spans="1:19" x14ac:dyDescent="0.4">
      <c r="A16" s="121" t="s">
        <v>485</v>
      </c>
      <c r="B16" s="96">
        <f>SUMIFS(TM[[#All],[Member Months]],TM[[#All],[Reporting Year]],Table147[[#Headers],[2024]],TM[[#All],[Insurance Category Code]],3,TM[[#All],[Large Provider Entity Code]],100)</f>
        <v>0</v>
      </c>
      <c r="C16" s="96">
        <f>SUMIFS(TM[[#All],[Member Months]],TM[[#All],[Reporting Year]],Table147[[#Headers],[2025]],TM[[#All],[Insurance Category Code]],3,TM[[#All],[Large Provider Entity Code]],100)</f>
        <v>0</v>
      </c>
      <c r="D16" s="100" t="str">
        <f>IFERROR(Table147[[#This Row],[2025]]/Table147[[#This Row],[2024]]-1,"NA")</f>
        <v>NA</v>
      </c>
      <c r="E16"/>
      <c r="F16" s="121" t="s">
        <v>485</v>
      </c>
      <c r="G16" s="88">
        <f>SUMIFS(TM[[#All],[Total Truncated Expenses]],TM[[#All],[Reporting Year]],Table174159[[#Headers],[2024]],TM[[#All],[Insurance Category Code]],3,TM[[#All],[Large Provider Entity Code]],100)</f>
        <v>0</v>
      </c>
      <c r="H16" s="88">
        <f>SUMIFS(TM[[#All],[Total Truncated Expenses]],TM[[#All],[Reporting Year]],Table174159[[#Headers],[2025]],TM[[#All],[Insurance Category Code]],3,TM[[#All],[Large Provider Entity Code]],100)</f>
        <v>0</v>
      </c>
      <c r="I16" s="97" t="str">
        <f>IFERROR(Table174159[[#This Row],[2025]]/Table174159[[#This Row],[2024]]-1,"NA")</f>
        <v>NA</v>
      </c>
      <c r="J16" s="42"/>
      <c r="K16" s="121" t="s">
        <v>485</v>
      </c>
      <c r="L16" s="88" t="str">
        <f>IFERROR(Table174159[[#This Row],[2024]]/Table147[[#This Row],[2024]],"NA")</f>
        <v>NA</v>
      </c>
      <c r="M16" s="399" t="str">
        <f>IFERROR(Table174159[[#This Row],[2025]]/Table147[[#This Row],[2025]],"NA")</f>
        <v>NA</v>
      </c>
      <c r="N16" s="447" t="str">
        <f>IFERROR(Table1784260[[#This Row],[2025]]/Table1784260[[#This Row],[2024]]-1,"NA")</f>
        <v>NA</v>
      </c>
      <c r="O16" s="42"/>
      <c r="P16" s="42"/>
      <c r="Q16" s="42"/>
      <c r="R16" s="42"/>
      <c r="S16" s="42"/>
    </row>
    <row r="17" spans="1:19" x14ac:dyDescent="0.4">
      <c r="A17" s="121" t="s">
        <v>486</v>
      </c>
      <c r="B17" s="96">
        <f>SUMIFS(TM[[#All],[Member Months]],TM[[#All],[Reporting Year]],Table147[[#Headers],[2024]],TM[[#All],[Insurance Category Code]],4,TM[[#All],[Large Provider Entity Code]],100)</f>
        <v>0</v>
      </c>
      <c r="C17" s="96">
        <f>SUMIFS(TM[[#All],[Member Months]],TM[[#All],[Reporting Year]],Table147[[#Headers],[2025]],TM[[#All],[Insurance Category Code]],4,TM[[#All],[Large Provider Entity Code]],100)</f>
        <v>0</v>
      </c>
      <c r="D17" s="100" t="str">
        <f>IFERROR(Table147[[#This Row],[2025]]/Table147[[#This Row],[2024]]-1,"NA")</f>
        <v>NA</v>
      </c>
      <c r="E17"/>
      <c r="F17" s="121" t="s">
        <v>486</v>
      </c>
      <c r="G17" s="88">
        <f>SUMIFS(TM[[#All],[Total Truncated Expenses]],TM[[#All],[Reporting Year]],Table174159[[#Headers],[2024]],TM[[#All],[Insurance Category Code]],4,TM[[#All],[Large Provider Entity Code]],100)</f>
        <v>0</v>
      </c>
      <c r="H17" s="88">
        <f>SUMIFS(TM[[#All],[Total Truncated Expenses]],TM[[#All],[Reporting Year]],Table174159[[#Headers],[2025]],TM[[#All],[Insurance Category Code]],4,TM[[#All],[Large Provider Entity Code]],100)</f>
        <v>0</v>
      </c>
      <c r="I17" s="97" t="str">
        <f>IFERROR(Table174159[[#This Row],[2025]]/Table174159[[#This Row],[2024]]-1,"NA")</f>
        <v>NA</v>
      </c>
      <c r="J17" s="42"/>
      <c r="K17" s="121" t="s">
        <v>486</v>
      </c>
      <c r="L17" s="88" t="str">
        <f>IFERROR(Table174159[[#This Row],[2024]]/Table147[[#This Row],[2024]],"NA")</f>
        <v>NA</v>
      </c>
      <c r="M17" s="399" t="str">
        <f>IFERROR(Table174159[[#This Row],[2025]]/Table147[[#This Row],[2025]],"NA")</f>
        <v>NA</v>
      </c>
      <c r="N17" s="447" t="str">
        <f>IFERROR(Table1784260[[#This Row],[2025]]/Table1784260[[#This Row],[2024]]-1,"NA")</f>
        <v>NA</v>
      </c>
      <c r="O17" s="42"/>
      <c r="P17" s="42"/>
      <c r="Q17" s="42"/>
      <c r="R17" s="42"/>
      <c r="S17" s="42"/>
    </row>
    <row r="18" spans="1:19" ht="17.399999999999999" thickBot="1" x14ac:dyDescent="0.45">
      <c r="A18" s="121" t="s">
        <v>487</v>
      </c>
      <c r="B18" s="98">
        <f>SUMIFS(TM[[#All],[Member Months]],TM[[#All],[Reporting Year]],Table147[[#Headers],[2024]],TM[[#All],[Insurance Category Code]],7,TM[[#All],[Large Provider Entity Code]],100)</f>
        <v>0</v>
      </c>
      <c r="C18" s="98">
        <f>SUMIFS(TM[[#All],[Member Months]],TM[[#All],[Reporting Year]],Table147[[#Headers],[2025]],TM[[#All],[Insurance Category Code]],7,TM[[#All],[Large Provider Entity Code]],100)</f>
        <v>0</v>
      </c>
      <c r="D18" s="100" t="str">
        <f>IFERROR(Table147[[#This Row],[2025]]/Table147[[#This Row],[2024]]-1,"NA")</f>
        <v>NA</v>
      </c>
      <c r="E18"/>
      <c r="F18" s="121" t="s">
        <v>487</v>
      </c>
      <c r="G18" s="398">
        <f>SUMIFS(TM[[#All],[Total Truncated Expenses]],TM[[#All],[Reporting Year]],Table174159[[#Headers],[2024]],TM[[#All],[Insurance Category Code]],7,TM[[#All],[Large Provider Entity Code]],100)</f>
        <v>0</v>
      </c>
      <c r="H18" s="398">
        <f>SUMIFS(TM[[#All],[Total Truncated Expenses]],TM[[#All],[Reporting Year]],Table174159[[#Headers],[2025]],TM[[#All],[Insurance Category Code]],7,TM[[#All],[Large Provider Entity Code]],100)</f>
        <v>0</v>
      </c>
      <c r="I18" s="97" t="str">
        <f>IFERROR(Table174159[[#This Row],[2025]]/Table174159[[#This Row],[2024]]-1,"NA")</f>
        <v>NA</v>
      </c>
      <c r="J18" s="42"/>
      <c r="K18" s="121" t="s">
        <v>487</v>
      </c>
      <c r="L18" s="398" t="str">
        <f>IFERROR(Table174159[[#This Row],[2024]]/Table147[[#This Row],[2024]],"NA")</f>
        <v>NA</v>
      </c>
      <c r="M18" s="400" t="str">
        <f>IFERROR(Table174159[[#This Row],[2025]]/Table147[[#This Row],[2025]],"NA")</f>
        <v>NA</v>
      </c>
      <c r="N18" s="447" t="str">
        <f>IFERROR(Table1784260[[#This Row],[2025]]/Table1784260[[#This Row],[2024]]-1,"NA")</f>
        <v>NA</v>
      </c>
      <c r="O18" s="42"/>
      <c r="P18" s="42"/>
      <c r="Q18" s="42"/>
      <c r="R18" s="42"/>
      <c r="S18" s="42"/>
    </row>
    <row r="19" spans="1:19" ht="17.399999999999999" thickTop="1" x14ac:dyDescent="0.4">
      <c r="A19" s="76" t="s">
        <v>488</v>
      </c>
      <c r="B19" s="99">
        <f>SUM(B8,B12,B15)</f>
        <v>0</v>
      </c>
      <c r="C19" s="99">
        <f>SUM(C8,C12,C15)</f>
        <v>0</v>
      </c>
      <c r="D19" s="388" t="str">
        <f>IFERROR(Table147[[#This Row],[2025]]/Table147[[#This Row],[2024]]-1,"NA")</f>
        <v>NA</v>
      </c>
      <c r="E19"/>
      <c r="F19" s="76" t="s">
        <v>488</v>
      </c>
      <c r="G19" s="101">
        <f>SUM(G15,G8,G12)</f>
        <v>0</v>
      </c>
      <c r="H19" s="101">
        <f>SUM(H15,H8,H12)</f>
        <v>0</v>
      </c>
      <c r="I19" s="102" t="str">
        <f>IFERROR(Table174159[[#This Row],[2025]]/Table174159[[#This Row],[2024]]-1,"NA")</f>
        <v>NA</v>
      </c>
      <c r="J19" s="42"/>
      <c r="K19" s="76" t="s">
        <v>488</v>
      </c>
      <c r="L19" s="101" t="str">
        <f>IFERROR(Table174159[[#This Row],[2024]]/B19,"NA")</f>
        <v>NA</v>
      </c>
      <c r="M19" s="101" t="str">
        <f>IFERROR(Table174159[[#This Row],[2025]]/Table147[[#This Row],[2025]],"NA")</f>
        <v>NA</v>
      </c>
      <c r="N19" s="388" t="str">
        <f>IFERROR(Table1784260[[#This Row],[2025]]/Table1784260[[#This Row],[2024]]-1,"NA")</f>
        <v>NA</v>
      </c>
      <c r="O19" s="42"/>
      <c r="P19" s="42"/>
      <c r="Q19" s="42"/>
      <c r="R19" s="42"/>
      <c r="S19" s="42"/>
    </row>
    <row r="20" spans="1:19" x14ac:dyDescent="0.4">
      <c r="A20" s="42"/>
      <c r="B20" s="42"/>
      <c r="C20" s="42"/>
      <c r="D20" s="42"/>
      <c r="E20"/>
      <c r="F20" s="42"/>
      <c r="G20" s="42"/>
      <c r="H20" s="42"/>
      <c r="I20" s="42"/>
      <c r="J20" s="42"/>
      <c r="K20" s="42"/>
      <c r="L20" s="42"/>
      <c r="M20" s="42"/>
      <c r="N20" s="42"/>
      <c r="O20" s="42"/>
      <c r="P20" s="42"/>
      <c r="Q20" s="42"/>
      <c r="R20" s="42"/>
      <c r="S20" s="42"/>
    </row>
    <row r="21" spans="1:19" x14ac:dyDescent="0.4">
      <c r="A21" s="663" t="s">
        <v>489</v>
      </c>
      <c r="B21" s="663"/>
      <c r="C21" s="663"/>
      <c r="D21" s="663"/>
      <c r="E21" s="42"/>
      <c r="F21" s="663" t="s">
        <v>490</v>
      </c>
      <c r="G21" s="663"/>
      <c r="H21" s="663"/>
      <c r="I21" s="663"/>
      <c r="J21" s="42"/>
      <c r="K21" s="3" t="s">
        <v>491</v>
      </c>
      <c r="L21" s="3"/>
      <c r="M21" s="3"/>
      <c r="N21" s="3"/>
      <c r="O21"/>
      <c r="P21" s="3" t="s">
        <v>492</v>
      </c>
      <c r="Q21" s="3"/>
      <c r="R21" s="3"/>
      <c r="S21" s="3"/>
    </row>
    <row r="22" spans="1:19" ht="30" customHeight="1" x14ac:dyDescent="0.4">
      <c r="A22" s="586" t="s">
        <v>388</v>
      </c>
      <c r="B22" s="586"/>
      <c r="C22" s="586"/>
      <c r="D22" s="586"/>
      <c r="E22"/>
      <c r="F22" s="586" t="s">
        <v>388</v>
      </c>
      <c r="G22" s="586"/>
      <c r="H22" s="586"/>
      <c r="I22" s="586"/>
      <c r="J22"/>
      <c r="K22" s="586" t="s">
        <v>388</v>
      </c>
      <c r="L22" s="586"/>
      <c r="M22" s="586"/>
      <c r="N22" s="586"/>
      <c r="O22"/>
      <c r="P22" s="586" t="s">
        <v>388</v>
      </c>
      <c r="Q22" s="586"/>
      <c r="R22" s="586"/>
      <c r="S22" s="586"/>
    </row>
    <row r="23" spans="1:19" ht="30" customHeight="1" x14ac:dyDescent="0.4">
      <c r="A23" s="587" t="s">
        <v>581</v>
      </c>
      <c r="B23" s="587"/>
      <c r="C23" s="587"/>
      <c r="D23" s="587"/>
      <c r="E23"/>
      <c r="F23" s="587" t="s">
        <v>581</v>
      </c>
      <c r="G23" s="587"/>
      <c r="H23" s="587"/>
      <c r="I23" s="587"/>
      <c r="J23"/>
      <c r="K23" s="587" t="s">
        <v>581</v>
      </c>
      <c r="L23" s="587"/>
      <c r="M23" s="587"/>
      <c r="N23" s="587"/>
      <c r="O23"/>
      <c r="P23" s="587" t="s">
        <v>581</v>
      </c>
      <c r="Q23" s="587"/>
      <c r="R23" s="587"/>
      <c r="S23" s="587"/>
    </row>
    <row r="24" spans="1:19" ht="17.399999999999999" thickBot="1" x14ac:dyDescent="0.45">
      <c r="A24" s="103" t="s">
        <v>493</v>
      </c>
      <c r="B24" s="93" t="s">
        <v>600</v>
      </c>
      <c r="C24" s="94" t="s">
        <v>643</v>
      </c>
      <c r="D24" s="95" t="s">
        <v>476</v>
      </c>
      <c r="E24" s="42"/>
      <c r="F24" s="104" t="s">
        <v>493</v>
      </c>
      <c r="G24" s="93" t="s">
        <v>600</v>
      </c>
      <c r="H24" s="105" t="s">
        <v>643</v>
      </c>
      <c r="I24" s="106" t="s">
        <v>476</v>
      </c>
      <c r="J24" s="42"/>
      <c r="K24" s="103" t="s">
        <v>493</v>
      </c>
      <c r="L24" s="93" t="s">
        <v>600</v>
      </c>
      <c r="M24" s="94" t="s">
        <v>643</v>
      </c>
      <c r="N24" s="95" t="s">
        <v>476</v>
      </c>
      <c r="O24"/>
      <c r="P24" s="103" t="s">
        <v>493</v>
      </c>
      <c r="Q24" s="93" t="s">
        <v>600</v>
      </c>
      <c r="R24" s="94" t="s">
        <v>643</v>
      </c>
      <c r="S24" s="95" t="s">
        <v>476</v>
      </c>
    </row>
    <row r="25" spans="1:19" x14ac:dyDescent="0.4">
      <c r="A25" s="129" t="s">
        <v>533</v>
      </c>
      <c r="B25" s="130">
        <f>SUM(G25,L25, Q25)</f>
        <v>0</v>
      </c>
      <c r="C25" s="130">
        <f>SUM(H25,M25,R25)</f>
        <v>0</v>
      </c>
      <c r="D25" s="375" t="str">
        <f>IFERROR(Table948[[#This Row],[2025]]/Table948[[#This Row],[2024]]-1,"NA")</f>
        <v>NA</v>
      </c>
      <c r="E25" s="2"/>
      <c r="F25" s="129" t="s">
        <v>533</v>
      </c>
      <c r="G25" s="131">
        <f>SUMIFS(TM[[#All],[Member Months]],TM[[#All],[Reporting Year]],2024,TM[[#All],[Insurance Category Code]],3,TM[[#All],[Large Provider Entity Code]],100)</f>
        <v>0</v>
      </c>
      <c r="H25" s="131">
        <f>SUMIFS(TM[[#All],[Member Months]],TM[[#All],[Reporting Year]],2025,TM[[#All],[Insurance Category Code]],3,TM[[#All],[Large Provider Entity Code]],100)</f>
        <v>0</v>
      </c>
      <c r="I25" s="374" t="str">
        <f>IFERROR(Table91149[[#This Row],[2025]]/Table91149[[#This Row],[2024]]-1,"NA")</f>
        <v>NA</v>
      </c>
      <c r="J25"/>
      <c r="K25" s="129" t="s">
        <v>533</v>
      </c>
      <c r="L25" s="130">
        <f>SUMIFS(TM[[#All],[Member Months]],TM[[#All],[Reporting Year]],2024,TM[[#All],[Insurance Category Code]],4,TM[[#All],[Large Provider Entity Code]],100)</f>
        <v>0</v>
      </c>
      <c r="M25" s="130">
        <f>SUMIFS(TM[[#All],[Member Months]],TM[[#All],[Reporting Year]],2025,TM[[#All],[Insurance Category Code]],4,TM[[#All],[Large Provider Entity Code]],100)</f>
        <v>0</v>
      </c>
      <c r="N25" s="375" t="str">
        <f>IFERROR(M25/L25-1,"NA")</f>
        <v>NA</v>
      </c>
      <c r="O25"/>
      <c r="P25" s="129" t="s">
        <v>533</v>
      </c>
      <c r="Q25" s="130">
        <f>SUMIFS(TM[[#All],[Member Months]],TM[[#All],[Reporting Year]],2024,TM[[#All],[Insurance Category Code]],7,TM[[#All],[Large Provider Entity Code]],100)</f>
        <v>0</v>
      </c>
      <c r="R25" s="130">
        <f>SUMIFS(TM[[#All],[Member Months]],TM[[#All],[Reporting Year]],2025,TM[[#All],[Insurance Category Code]],7,TM[[#All],[Large Provider Entity Code]],100)</f>
        <v>0</v>
      </c>
      <c r="S25" s="375" t="str">
        <f>IFERROR(Table911122757[[#This Row],[2025]]/Table911122757[[#This Row],[2024]]-1,"NA")</f>
        <v>NA</v>
      </c>
    </row>
    <row r="26" spans="1:19" x14ac:dyDescent="0.4">
      <c r="A26" s="132" t="s">
        <v>538</v>
      </c>
      <c r="B26" s="7" t="str">
        <f t="shared" ref="B26:B34" si="0">IFERROR((SUMPRODUCT(ICC3_MemberMonths_2024,G26)+SUMPRODUCT(ICC4_MemberMonths_2024,L26)+SUMPRODUCT(ICC7_MemberMonths_2024,Q26))/Commercial_MemberMonths_2024,"NA")</f>
        <v>NA</v>
      </c>
      <c r="C26" s="7" t="str" cm="1">
        <f t="array" ref="C26">IFERROR((SUMPRODUCT(H25,H26)+SUMPRODUCT(ICC4_MemberMonths_2025,M26)+SUMPRODUCT(ICC7_MemberMonths_2025,R26))/Commercial_MemberMonths_2025,"NA")</f>
        <v>NA</v>
      </c>
      <c r="D26" s="375" t="str">
        <f>IFERROR(Table948[[#This Row],[2025]]/Table948[[#This Row],[2024]]-1,"NA")</f>
        <v>NA</v>
      </c>
      <c r="E26"/>
      <c r="F26" s="132" t="s">
        <v>538</v>
      </c>
      <c r="G26" s="7" t="str">
        <f>IFERROR((SUMIFS(TM[[#All],[Claims: Hospital Inpatient]],TM[[#All],[Reporting Year]],2024,TM[[#All],[Insurance Category Code]],3,TM[[#All],[Large Provider Entity Code]],100))/ICC3_MemberMonths_2024,"NA")</f>
        <v>NA</v>
      </c>
      <c r="H26" s="7" t="str">
        <f>IFERROR((SUMIFS(TM[[#All],[Claims: Hospital Inpatient]],TM[[#All],[Reporting Year]],2025,TM[[#All],[Insurance Category Code]],3,TM[[#All],[Large Provider Entity Code]],100))/H25,"NA")</f>
        <v>NA</v>
      </c>
      <c r="I26" s="375" t="str">
        <f>IFERROR(Table91149[[#This Row],[2025]]/Table91149[[#This Row],[2024]]-1,"NA")</f>
        <v>NA</v>
      </c>
      <c r="J26"/>
      <c r="K26" s="132" t="s">
        <v>538</v>
      </c>
      <c r="L26" s="7" t="str">
        <f>IFERROR((SUMIFS(TM[[#All],[Claims: Hospital Inpatient]],TM[[#All],[Reporting Year]],2024,TM[[#All],[Insurance Category Code]],4,TM[[#All],[Large Provider Entity Code]],100))/ICC4_MemberMonths_2024,"NA")</f>
        <v>NA</v>
      </c>
      <c r="M26" s="7" t="str" cm="1">
        <f t="array" ref="M26">IFERROR((SUMIFS(TM[[#All],[Claims: Hospital Inpatient]],TM[[#All],[Reporting Year]],2025,TM[[#All],[Insurance Category Code]],4,TM[[#All],[Large Provider Entity Code]],100))/ICC4_MemberMonths_2025,"NA")</f>
        <v>NA</v>
      </c>
      <c r="N26" s="375" t="str">
        <f t="shared" ref="N26:N30" si="1">IFERROR(M26/L26-1,"NA")</f>
        <v>NA</v>
      </c>
      <c r="O26"/>
      <c r="P26" s="132" t="s">
        <v>538</v>
      </c>
      <c r="Q26" s="7" t="str">
        <f>IFERROR((SUMIFS(TM[[#All],[Claims: Hospital Inpatient]],TM[[#All],[Reporting Year]],2024,TM[[#All],[Insurance Category Code]],7,TM[[#All],[Large Provider Entity Code]],100))/ICC7_MemberMonths_2024,"NA")</f>
        <v>NA</v>
      </c>
      <c r="R26" s="7" t="str" cm="1">
        <f t="array" ref="R26">IFERROR((SUMIFS(TM[[#All],[Claims: Hospital Inpatient]],TM[[#All],[Reporting Year]],2025,TM[[#All],[Insurance Category Code]],7,TM[[#All],[Large Provider Entity Code]],100))/ICC7_MemberMonths_2025,"NA")</f>
        <v>NA</v>
      </c>
      <c r="S26" s="375" t="str">
        <f>IFERROR(Table911122757[[#This Row],[2025]]/Table911122757[[#This Row],[2024]]-1,"NA")</f>
        <v>NA</v>
      </c>
    </row>
    <row r="27" spans="1:19" x14ac:dyDescent="0.4">
      <c r="A27" s="132" t="s">
        <v>539</v>
      </c>
      <c r="B27" s="7" t="str">
        <f t="shared" si="0"/>
        <v>NA</v>
      </c>
      <c r="C27" s="7" t="str" cm="1">
        <f t="array" ref="C27">IFERROR((SUMPRODUCT(H25,H27)+SUMPRODUCT(ICC4_MemberMonths_2025,M27)+SUMPRODUCT(ICC7_MemberMonths_2025,R27))/Commercial_MemberMonths_2025,"NA")</f>
        <v>NA</v>
      </c>
      <c r="D27" s="375" t="str">
        <f>IFERROR(Table948[[#This Row],[2025]]/Table948[[#This Row],[2024]]-1,"NA")</f>
        <v>NA</v>
      </c>
      <c r="E27"/>
      <c r="F27" s="132" t="s">
        <v>539</v>
      </c>
      <c r="G27" s="7" t="str">
        <f>IFERROR((SUMIFS(TM[[#All],[Claims: Hospital Outpatient]],TM[[#All],[Reporting Year]],2024,TM[[#All],[Insurance Category Code]],3,TM[[#All],[Large Provider Entity Code]],100))/ICC3_MemberMonths_2024,"NA")</f>
        <v>NA</v>
      </c>
      <c r="H27" s="7" t="str">
        <f>IFERROR((SUMIFS(TM[[#All],[Claims: Hospital Outpatient]],TM[[#All],[Reporting Year]],2025,TM[[#All],[Insurance Category Code]],3,TM[[#All],[Large Provider Entity Code]],100))/H25,"NA")</f>
        <v>NA</v>
      </c>
      <c r="I27" s="375" t="str">
        <f>IFERROR(Table91149[[#This Row],[2025]]/Table91149[[#This Row],[2024]]-1,"NA")</f>
        <v>NA</v>
      </c>
      <c r="J27"/>
      <c r="K27" s="132" t="s">
        <v>539</v>
      </c>
      <c r="L27" s="7" t="str">
        <f>IFERROR((SUMIFS(TM[[#All],[Claims: Hospital Outpatient]],TM[[#All],[Reporting Year]],2024,TM[[#All],[Insurance Category Code]],4,TM[[#All],[Large Provider Entity Code]],100))/ICC4_MemberMonths_2024,"NA")</f>
        <v>NA</v>
      </c>
      <c r="M27" s="7" t="str" cm="1">
        <f t="array" ref="M27">IFERROR((SUMIFS(TM[[#All],[Claims: Hospital Outpatient]],TM[[#All],[Reporting Year]],2025,TM[[#All],[Insurance Category Code]],4,TM[[#All],[Large Provider Entity Code]],100))/ICC4_MemberMonths_2025,"NA")</f>
        <v>NA</v>
      </c>
      <c r="N27" s="375" t="str">
        <f t="shared" si="1"/>
        <v>NA</v>
      </c>
      <c r="O27"/>
      <c r="P27" s="132" t="s">
        <v>539</v>
      </c>
      <c r="Q27" s="7" t="str">
        <f>IFERROR((SUMIFS(TM[[#All],[Claims: Hospital Outpatient]],TM[[#All],[Reporting Year]],2024,TM[[#All],[Insurance Category Code]],7,TM[[#All],[Large Provider Entity Code]],100))/ICC7_MemberMonths_2024,"NA")</f>
        <v>NA</v>
      </c>
      <c r="R27" s="7" t="str" cm="1">
        <f t="array" ref="R27">IFERROR((SUMIFS(TM[[#All],[Claims: Hospital Outpatient]],TM[[#All],[Reporting Year]],2025,TM[[#All],[Insurance Category Code]],7,TM[[#All],[Large Provider Entity Code]],100))/ICC7_MemberMonths_2025,"NA")</f>
        <v>NA</v>
      </c>
      <c r="S27" s="375" t="str">
        <f>IFERROR(Table911122757[[#This Row],[2025]]/Table911122757[[#This Row],[2024]]-1,"NA")</f>
        <v>NA</v>
      </c>
    </row>
    <row r="28" spans="1:19" x14ac:dyDescent="0.4">
      <c r="A28" s="132" t="s">
        <v>540</v>
      </c>
      <c r="B28" s="7" t="str">
        <f t="shared" si="0"/>
        <v>NA</v>
      </c>
      <c r="C28" s="7" t="str" cm="1">
        <f t="array" ref="C28">IFERROR((SUMPRODUCT(H25,H28)+SUMPRODUCT(ICC4_MemberMonths_2025,M28)+SUMPRODUCT(ICC7_MemberMonths_2025,R28))/Commercial_MemberMonths_2025,"NA")</f>
        <v>NA</v>
      </c>
      <c r="D28" s="375" t="str">
        <f>IFERROR(Table948[[#This Row],[2025]]/Table948[[#This Row],[2024]]-1,"NA")</f>
        <v>NA</v>
      </c>
      <c r="E28"/>
      <c r="F28" s="132" t="s">
        <v>540</v>
      </c>
      <c r="G28" s="7" t="str">
        <f>IFERROR((SUMIFS(TM[[#All],[Claims: Professional, Primary Care Providers]],TM[[#All],[Reporting Year]],2024,TM[[#All],[Insurance Category Code]],3,TM[[#All],[Large Provider Entity Code]],100))/ICC3_MemberMonths_2024,"NA")</f>
        <v>NA</v>
      </c>
      <c r="H28" s="7" t="str">
        <f>IFERROR((SUMIFS(TM[[#All],[Claims: Professional, Primary Care Providers]],TM[[#All],[Reporting Year]],2025,TM[[#All],[Insurance Category Code]],3,TM[[#All],[Large Provider Entity Code]],100))/H25,"NA")</f>
        <v>NA</v>
      </c>
      <c r="I28" s="375" t="str">
        <f>IFERROR(Table91149[[#This Row],[2025]]/Table91149[[#This Row],[2024]]-1,"NA")</f>
        <v>NA</v>
      </c>
      <c r="J28"/>
      <c r="K28" s="132" t="s">
        <v>540</v>
      </c>
      <c r="L28" s="7" t="str">
        <f>IFERROR((SUMIFS(TM[[#All],[Claims: Professional, Primary Care Providers]],TM[[#All],[Reporting Year]],2024,TM[[#All],[Insurance Category Code]],4,TM[[#All],[Large Provider Entity Code]],100))/ICC4_MemberMonths_2024,"NA")</f>
        <v>NA</v>
      </c>
      <c r="M28" s="7" t="str" cm="1">
        <f t="array" ref="M28">IFERROR((SUMIFS(TM[[#All],[Claims: Professional, Primary Care Providers]],TM[[#All],[Reporting Year]],2025,TM[[#All],[Insurance Category Code]],4,TM[[#All],[Large Provider Entity Code]],100))/ICC4_MemberMonths_2025,"NA")</f>
        <v>NA</v>
      </c>
      <c r="N28" s="375" t="str">
        <f t="shared" si="1"/>
        <v>NA</v>
      </c>
      <c r="O28"/>
      <c r="P28" s="132" t="s">
        <v>540</v>
      </c>
      <c r="Q28" s="7" t="str">
        <f>IFERROR((SUMIFS(TM[[#All],[Claims: Professional, Primary Care Providers]],TM[[#All],[Reporting Year]],2024,TM[[#All],[Insurance Category Code]],7,TM[[#All],[Large Provider Entity Code]],100))/ICC7_MemberMonths_2024,"NA")</f>
        <v>NA</v>
      </c>
      <c r="R28" s="7" t="str" cm="1">
        <f t="array" ref="R28">IFERROR((SUMIFS(TM[[#All],[Claims: Professional, Primary Care Providers]],TM[[#All],[Reporting Year]],2025,TM[[#All],[Insurance Category Code]],7,TM[[#All],[Large Provider Entity Code]],100))/ICC7_MemberMonths_2025,"NA")</f>
        <v>NA</v>
      </c>
      <c r="S28" s="375" t="str">
        <f>IFERROR(Table911122757[[#This Row],[2025]]/Table911122757[[#This Row],[2024]]-1,"NA")</f>
        <v>NA</v>
      </c>
    </row>
    <row r="29" spans="1:19" x14ac:dyDescent="0.4">
      <c r="A29" s="132" t="s">
        <v>541</v>
      </c>
      <c r="B29" s="7" t="str">
        <f t="shared" si="0"/>
        <v>NA</v>
      </c>
      <c r="C29" s="7" t="str" cm="1">
        <f t="array" ref="C29">IFERROR((SUMPRODUCT(H25,H29)+SUMPRODUCT(ICC4_MemberMonths_2025,M29)+SUMPRODUCT(ICC7_MemberMonths_2025,R29))/Commercial_MemberMonths_2025,"NA")</f>
        <v>NA</v>
      </c>
      <c r="D29" s="375" t="str">
        <f>IFERROR(Table948[[#This Row],[2025]]/Table948[[#This Row],[2024]]-1,"NA")</f>
        <v>NA</v>
      </c>
      <c r="E29"/>
      <c r="F29" s="132" t="s">
        <v>541</v>
      </c>
      <c r="G29" s="7" t="str">
        <f>IFERROR((SUMIFS(TM[[#All],[Claims: Professional, Specialty Providers]],TM[[#All],[Reporting Year]],2024,TM[[#All],[Insurance Category Code]],3,TM[[#All],[Large Provider Entity Code]],100))/ICC3_MemberMonths_2024,"NA")</f>
        <v>NA</v>
      </c>
      <c r="H29" s="7" t="str">
        <f>IFERROR((SUMIFS(TM[[#All],[Claims: Professional, Specialty Providers]],TM[[#All],[Reporting Year]],2025,TM[[#All],[Insurance Category Code]],3,TM[[#All],[Large Provider Entity Code]],100))/H25,"NA")</f>
        <v>NA</v>
      </c>
      <c r="I29" s="375" t="str">
        <f>IFERROR(Table91149[[#This Row],[2025]]/Table91149[[#This Row],[2024]]-1,"NA")</f>
        <v>NA</v>
      </c>
      <c r="J29"/>
      <c r="K29" s="132" t="s">
        <v>541</v>
      </c>
      <c r="L29" s="7" t="str">
        <f>IFERROR((SUMIFS(TM[[#All],[Claims: Professional, Specialty Providers]],TM[[#All],[Reporting Year]],2024,TM[[#All],[Insurance Category Code]],4,TM[[#All],[Large Provider Entity Code]],100))/ICC4_MemberMonths_2024,"NA")</f>
        <v>NA</v>
      </c>
      <c r="M29" s="7" t="str" cm="1">
        <f t="array" ref="M29">IFERROR((SUMIFS(TM[[#All],[Claims: Professional, Specialty Providers]],TM[[#All],[Reporting Year]],2025,TM[[#All],[Insurance Category Code]],4,TM[[#All],[Large Provider Entity Code]],100))/ICC4_MemberMonths_2025,"NA")</f>
        <v>NA</v>
      </c>
      <c r="N29" s="375" t="str">
        <f t="shared" si="1"/>
        <v>NA</v>
      </c>
      <c r="O29"/>
      <c r="P29" s="132" t="s">
        <v>541</v>
      </c>
      <c r="Q29" s="7" t="str">
        <f>IFERROR((SUMIFS(TM[[#All],[Claims: Professional, Specialty Providers]],TM[[#All],[Reporting Year]],2024,TM[[#All],[Insurance Category Code]],7,TM[[#All],[Large Provider Entity Code]],100))/ICC7_MemberMonths_2024,"NA")</f>
        <v>NA</v>
      </c>
      <c r="R29" s="7" t="str" cm="1">
        <f t="array" ref="R29">IFERROR((SUMIFS(TM[[#All],[Claims: Professional, Specialty Providers]],TM[[#All],[Reporting Year]],2025,TM[[#All],[Insurance Category Code]],7,TM[[#All],[Large Provider Entity Code]],100))/ICC7_MemberMonths_2025,"NA")</f>
        <v>NA</v>
      </c>
      <c r="S29" s="375" t="str">
        <f>IFERROR(Table911122757[[#This Row],[2025]]/Table911122757[[#This Row],[2024]]-1,"NA")</f>
        <v>NA</v>
      </c>
    </row>
    <row r="30" spans="1:19" x14ac:dyDescent="0.4">
      <c r="A30" s="132" t="s">
        <v>542</v>
      </c>
      <c r="B30" s="7" t="str">
        <f t="shared" si="0"/>
        <v>NA</v>
      </c>
      <c r="C30" s="7" t="str" cm="1">
        <f t="array" ref="C30">IFERROR((SUMPRODUCT(H25,H30)+SUMPRODUCT(ICC4_MemberMonths_2025,M30)+SUMPRODUCT(ICC7_MemberMonths_2025,R30))/Commercial_MemberMonths_2025,"NA")</f>
        <v>NA</v>
      </c>
      <c r="D30" s="375" t="str">
        <f>IFERROR(Table948[[#This Row],[2025]]/Table948[[#This Row],[2024]]-1,"NA")</f>
        <v>NA</v>
      </c>
      <c r="E30"/>
      <c r="F30" s="132" t="s">
        <v>542</v>
      </c>
      <c r="G30" s="7" t="str">
        <f>IFERROR((SUMIFS(TM[[#All],[Claims: Professional, Other Providers]],TM[[#All],[Reporting Year]],2024,TM[[#All],[Insurance Category Code]],3,TM[[#All],[Large Provider Entity Code]],100))/ICC3_MemberMonths_2024,"NA")</f>
        <v>NA</v>
      </c>
      <c r="H30" s="7" t="str">
        <f>IFERROR((SUMIFS(TM[[#All],[Claims: Professional, Other Providers]],TM[[#All],[Reporting Year]],2025,TM[[#All],[Insurance Category Code]],3,TM[[#All],[Large Provider Entity Code]],100))/H25,"NA")</f>
        <v>NA</v>
      </c>
      <c r="I30" s="375" t="str">
        <f>IFERROR(Table91149[[#This Row],[2025]]/Table91149[[#This Row],[2024]]-1,"NA")</f>
        <v>NA</v>
      </c>
      <c r="J30"/>
      <c r="K30" s="132" t="s">
        <v>542</v>
      </c>
      <c r="L30" s="7" t="str">
        <f>IFERROR((SUMIFS(TM[[#All],[Claims: Professional, Other Providers]],TM[[#All],[Reporting Year]],2024,TM[[#All],[Insurance Category Code]],4,TM[[#All],[Large Provider Entity Code]],100))/ICC4_MemberMonths_2024,"NA")</f>
        <v>NA</v>
      </c>
      <c r="M30" s="7" t="str" cm="1">
        <f t="array" ref="M30">IFERROR((SUMIFS(TM[[#All],[Claims: Professional, Other Providers]],TM[[#All],[Reporting Year]],2025,TM[[#All],[Insurance Category Code]],4,TM[[#All],[Large Provider Entity Code]],100))/ICC4_MemberMonths_2025,"NA")</f>
        <v>NA</v>
      </c>
      <c r="N30" s="375" t="str">
        <f t="shared" si="1"/>
        <v>NA</v>
      </c>
      <c r="O30"/>
      <c r="P30" s="132" t="s">
        <v>542</v>
      </c>
      <c r="Q30" s="7" t="str">
        <f>IFERROR((SUMIFS(TM[[#All],[Claims: Professional, Other Providers]],TM[[#All],[Reporting Year]],2024,TM[[#All],[Insurance Category Code]],7,TM[[#All],[Large Provider Entity Code]],100))/ICC7_MemberMonths_2024,"NA")</f>
        <v>NA</v>
      </c>
      <c r="R30" s="7" t="str" cm="1">
        <f t="array" ref="R30">IFERROR((SUMIFS(TM[[#All],[Claims: Professional, Other Providers]],TM[[#All],[Reporting Year]],2025,TM[[#All],[Insurance Category Code]],7,TM[[#All],[Large Provider Entity Code]],100))/ICC7_MemberMonths_2025,"NA")</f>
        <v>NA</v>
      </c>
      <c r="S30" s="375" t="str">
        <f>IFERROR(Table911122757[[#This Row],[2025]]/Table911122757[[#This Row],[2024]]-1,"NA")</f>
        <v>NA</v>
      </c>
    </row>
    <row r="31" spans="1:19" x14ac:dyDescent="0.4">
      <c r="A31" s="132" t="s">
        <v>543</v>
      </c>
      <c r="B31" s="7" t="str">
        <f t="shared" si="0"/>
        <v>NA</v>
      </c>
      <c r="C31" s="7" t="str" cm="1">
        <f t="array" ref="C31">IFERROR((SUMPRODUCT(H25,H31)+SUMPRODUCT(ICC4_MemberMonths_2025,M31)+SUMPRODUCT(ICC7_MemberMonths_2025,R31))/Commercial_MemberMonths_2025,"NA")</f>
        <v>NA</v>
      </c>
      <c r="D31" s="375" t="str">
        <f>IFERROR(Table948[[#This Row],[2025]]/Table948[[#This Row],[2024]]-1,"NA")</f>
        <v>NA</v>
      </c>
      <c r="E31"/>
      <c r="F31" s="132" t="s">
        <v>543</v>
      </c>
      <c r="G31" s="7" t="str">
        <f>IFERROR((SUMIFS(TM[[#All],[Claims: Long-Term Care]],TM[[#All],[Reporting Year]],2024,TM[[#All],[Insurance Category Code]],3,TM[[#All],[Large Provider Entity Code]],100))/ICC3_MemberMonths_2024,"NA")</f>
        <v>NA</v>
      </c>
      <c r="H31" s="7" t="str">
        <f>IFERROR((SUMIFS(TM[[#All],[Claims: Long-Term Care]],TM[[#All],[Reporting Year]],2025,TM[[#All],[Insurance Category Code]],3,TM[[#All],[Large Provider Entity Code]],100))/H25,"NA")</f>
        <v>NA</v>
      </c>
      <c r="I31" s="375" t="str">
        <f>IFERROR(Table91149[[#This Row],[2025]]/Table91149[[#This Row],[2024]]-1,"NA")</f>
        <v>NA</v>
      </c>
      <c r="J31"/>
      <c r="K31" s="132" t="s">
        <v>543</v>
      </c>
      <c r="L31" s="7" t="str">
        <f>IFERROR((SUMIFS(TM[[#All],[Claims: Long-Term Care]],TM[[#All],[Reporting Year]],2024,TM[[#All],[Insurance Category Code]],4,TM[[#All],[Large Provider Entity Code]],100))/ICC4_MemberMonths_2024,"NA")</f>
        <v>NA</v>
      </c>
      <c r="M31" s="7" t="str" cm="1">
        <f t="array" ref="M31">IFERROR((SUMIFS(TM[[#All],[Claims: Long-Term Care]],TM[[#All],[Reporting Year]],2025,TM[[#All],[Insurance Category Code]],4,TM[[#All],[Large Provider Entity Code]],100))/ICC4_MemberMonths_2025,"NA")</f>
        <v>NA</v>
      </c>
      <c r="N31" s="375" t="str">
        <f>IFERROR(M31/L31-1,"NA")</f>
        <v>NA</v>
      </c>
      <c r="O31"/>
      <c r="P31" s="132" t="s">
        <v>543</v>
      </c>
      <c r="Q31" s="7" t="str">
        <f>IFERROR((SUMIFS(TM[[#All],[Claims: Long-Term Care]],TM[[#All],[Reporting Year]],2024,TM[[#All],[Insurance Category Code]],7,TM[[#All],[Large Provider Entity Code]],100))/ICC7_MemberMonths_2024,"NA")</f>
        <v>NA</v>
      </c>
      <c r="R31" s="7" t="str" cm="1">
        <f t="array" ref="R31">IFERROR((SUMIFS(TM[[#All],[Claims: Long-Term Care]],TM[[#All],[Reporting Year]],2025,TM[[#All],[Insurance Category Code]],7,TM[[#All],[Large Provider Entity Code]],100))/ICC7_MemberMonths_2025,"NA")</f>
        <v>NA</v>
      </c>
      <c r="S31" s="375" t="str">
        <f>IFERROR(Table911122757[[#This Row],[2025]]/Table911122757[[#This Row],[2024]]-1,"NA")</f>
        <v>NA</v>
      </c>
    </row>
    <row r="32" spans="1:19" x14ac:dyDescent="0.4">
      <c r="A32" s="132" t="s">
        <v>544</v>
      </c>
      <c r="B32" s="7" t="str">
        <f t="shared" si="0"/>
        <v>NA</v>
      </c>
      <c r="C32" s="7" t="str" cm="1">
        <f t="array" ref="C32">IFERROR((SUMPRODUCT(H25,H32)+SUMPRODUCT(ICC4_MemberMonths_2025,M32)+SUMPRODUCT(ICC7_MemberMonths_2025,R32))/Commercial_MemberMonths_2025,"NA")</f>
        <v>NA</v>
      </c>
      <c r="D32" s="375" t="str">
        <f>IFERROR(Table948[[#This Row],[2025]]/Table948[[#This Row],[2024]]-1,"NA")</f>
        <v>NA</v>
      </c>
      <c r="E32"/>
      <c r="F32" s="132" t="s">
        <v>544</v>
      </c>
      <c r="G32" s="7" t="str">
        <f>IFERROR((SUMIFS(TM[[#All],[Claims: Retail Pharmacy]],TM[[#All],[Reporting Year]],2024,TM[[#All],[Insurance Category Code]],3,TM[[#All],[Large Provider Entity Code]],100))/ICC3_MemberMonths_2024,"NA")</f>
        <v>NA</v>
      </c>
      <c r="H32" s="7" t="str">
        <f>IFERROR((SUMIFS(TM[[#All],[Claims: Retail Pharmacy]],TM[[#All],[Reporting Year]],2025,TM[[#All],[Insurance Category Code]],3,TM[[#All],[Large Provider Entity Code]],100))/H25,"NA")</f>
        <v>NA</v>
      </c>
      <c r="I32" s="375" t="str">
        <f>IFERROR(Table91149[[#This Row],[2025]]/Table91149[[#This Row],[2024]]-1,"NA")</f>
        <v>NA</v>
      </c>
      <c r="J32"/>
      <c r="K32" s="132" t="s">
        <v>544</v>
      </c>
      <c r="L32" s="7" t="str">
        <f>IFERROR((SUMIFS(TM[[#All],[Claims: Retail Pharmacy]],TM[[#All],[Reporting Year]],2024,TM[[#All],[Insurance Category Code]],4,TM[[#All],[Large Provider Entity Code]],100))/ICC4_MemberMonths_2024,"NA")</f>
        <v>NA</v>
      </c>
      <c r="M32" s="7" t="str" cm="1">
        <f t="array" ref="M32">IFERROR((SUMIFS(TM[[#All],[Claims: Retail Pharmacy]],TM[[#All],[Reporting Year]],2025,TM[[#All],[Insurance Category Code]],4,TM[[#All],[Large Provider Entity Code]],100))/ICC4_MemberMonths_2025,"NA")</f>
        <v>NA</v>
      </c>
      <c r="N32" s="375" t="str">
        <f t="shared" ref="N32:N33" si="2">IFERROR(M32/L32-1,"NA")</f>
        <v>NA</v>
      </c>
      <c r="O32"/>
      <c r="P32" s="132" t="s">
        <v>544</v>
      </c>
      <c r="Q32" s="7" t="str">
        <f>IFERROR((SUMIFS(TM[[#All],[Claims: Retail Pharmacy]],TM[[#All],[Reporting Year]],2024,TM[[#All],[Insurance Category Code]],7,TM[[#All],[Large Provider Entity Code]],100))/ICC7_MemberMonths_2024,"NA")</f>
        <v>NA</v>
      </c>
      <c r="R32" s="7" t="str" cm="1">
        <f t="array" ref="R32">IFERROR((SUMIFS(TM[[#All],[Claims: Retail Pharmacy]],TM[[#All],[Reporting Year]],2025,TM[[#All],[Insurance Category Code]],7,TM[[#All],[Large Provider Entity Code]],100))/ICC7_MemberMonths_2025,"NA")</f>
        <v>NA</v>
      </c>
      <c r="S32" s="375" t="str">
        <f>IFERROR(Table911122757[[#This Row],[2025]]/Table911122757[[#This Row],[2024]]-1,"NA")</f>
        <v>NA</v>
      </c>
    </row>
    <row r="33" spans="1:19" x14ac:dyDescent="0.4">
      <c r="A33" s="132" t="s">
        <v>545</v>
      </c>
      <c r="B33" s="7" t="str">
        <f t="shared" si="0"/>
        <v>NA</v>
      </c>
      <c r="C33" s="7" t="str" cm="1">
        <f t="array" ref="C33">IFERROR((SUMPRODUCT(H25,H33)+SUMPRODUCT(ICC4_MemberMonths_2025,M33)+SUMPRODUCT(ICC7_MemberMonths_2025,R33))/Commercial_MemberMonths_2025,"NA")</f>
        <v>NA</v>
      </c>
      <c r="D33" s="375" t="str">
        <f>IFERROR(Table948[[#This Row],[2025]]/Table948[[#This Row],[2024]]-1,"NA")</f>
        <v>NA</v>
      </c>
      <c r="E33"/>
      <c r="F33" s="132" t="s">
        <v>545</v>
      </c>
      <c r="G33" s="7" t="str">
        <f>IFERROR(((SUMIFS(TM[[#All],[Claims: Retail Pharmacy]],TM[[#All],[Reporting Year]],2024,TM[[#All],[Insurance Category Code]],3,TM[[#All],[Large Provider Entity Code]],100))-ABS(SUMIFS(RX[[#All],[Total Medical and Retail Pharmacy Rebate Amount]],RX[[#All],[Reporting Year]],2024,RX[[#All],[Insurance Category Code]],3)))/ICC3_MemberMonths_2024,"NA")</f>
        <v>NA</v>
      </c>
      <c r="H33" s="7" t="str">
        <f>IFERROR(((SUMIFS(TM[[#All],[Claims: Retail Pharmacy]],TM[[#All],[Reporting Year]],2025,TM[[#All],[Insurance Category Code]],3,TM[[#All],[Large Provider Entity Code]],100))-ABS(SUMIFS(RX[[#All],[Total Medical and Retail Pharmacy Rebate Amount]],RX[[#All],[Reporting Year]],2025,RX[[#All],[Insurance Category Code]],3)))/H25,"NA")</f>
        <v>NA</v>
      </c>
      <c r="I33" s="375" t="str">
        <f>IFERROR(Table91149[[#This Row],[2025]]/Table91149[[#This Row],[2024]]-1,"NA")</f>
        <v>NA</v>
      </c>
      <c r="J33"/>
      <c r="K33" s="132" t="s">
        <v>545</v>
      </c>
      <c r="L33" s="7" t="str">
        <f>IFERROR(((SUMIFS(TM[[#All],[Claims: Retail Pharmacy]],TM[[#All],[Reporting Year]],2024,TM[[#All],[Insurance Category Code]],4,TM[[#All],[Large Provider Entity Code]],100))-ABS(SUMIFS(RX[[#All],[Total Medical and Retail Pharmacy Rebate Amount]],RX[[#All],[Reporting Year]],2024,RX[[#All],[Insurance Category Code]],4)))/ICC4_MemberMonths_2024,"NA")</f>
        <v>NA</v>
      </c>
      <c r="M33" s="7" t="str" cm="1">
        <f t="array" ref="M33">IFERROR(((SUMIFS(TM[[#All],[Claims: Retail Pharmacy]],TM[[#All],[Reporting Year]],2025,TM[[#All],[Insurance Category Code]],4,TM[[#All],[Large Provider Entity Code]],100))-ABS(SUMIFS(RX[[#All],[Total Medical and Retail Pharmacy Rebate Amount]],RX[[#All],[Reporting Year]],2025,RX[[#All],[Insurance Category Code]],4)))/ICC4_MemberMonths_2025,"NA")</f>
        <v>NA</v>
      </c>
      <c r="N33" s="375" t="str">
        <f t="shared" si="2"/>
        <v>NA</v>
      </c>
      <c r="O33"/>
      <c r="P33" s="132" t="s">
        <v>545</v>
      </c>
      <c r="Q33" s="7" t="str">
        <f>IFERROR(((SUMIFS(TM[[#All],[Claims: Retail Pharmacy]],TM[[#All],[Reporting Year]],2024,TM[[#All],[Insurance Category Code]],7,TM[[#All],[Large Provider Entity Code]],100))-ABS(SUMIFS(RX[[#All],[Total Medical and Retail Pharmacy Rebate Amount]],RX[[#All],[Reporting Year]],2024,RX[[#All],[Insurance Category Code]],7)))/ICC7_MemberMonths_2024,"NA")</f>
        <v>NA</v>
      </c>
      <c r="R33" s="7" t="str" cm="1">
        <f t="array" ref="R33">IFERROR(((SUMIFS(TM[[#All],[Claims: Retail Pharmacy]],TM[[#All],[Reporting Year]],2025,TM[[#All],[Insurance Category Code]],7,TM[[#All],[Large Provider Entity Code]],100))-ABS(SUMIFS(RX[[#All],[Total Medical and Retail Pharmacy Rebate Amount]],RX[[#All],[Reporting Year]],2025,RX[[#All],[Insurance Category Code]],7)))/ICC7_MemberMonths_2025,"NA")</f>
        <v>NA</v>
      </c>
      <c r="S33" s="375" t="str">
        <f>IFERROR(Table911122757[[#This Row],[2025]]/Table911122757[[#This Row],[2024]]-1,"NA")</f>
        <v>NA</v>
      </c>
    </row>
    <row r="34" spans="1:19" x14ac:dyDescent="0.4">
      <c r="A34" s="132" t="s">
        <v>546</v>
      </c>
      <c r="B34" s="7" t="str">
        <f t="shared" si="0"/>
        <v>NA</v>
      </c>
      <c r="C34" s="7" t="str" cm="1">
        <f t="array" ref="C34">IFERROR((SUMPRODUCT(H25,H34)+SUMPRODUCT(ICC4_MemberMonths_2025,M34)+SUMPRODUCT(ICC7_MemberMonths_2025,R34))/Commercial_MemberMonths_2025,"NA")</f>
        <v>NA</v>
      </c>
      <c r="D34" s="375" t="str">
        <f>IFERROR(Table948[[#This Row],[2025]]/Table948[[#This Row],[2024]]-1,"NA")</f>
        <v>NA</v>
      </c>
      <c r="E34"/>
      <c r="F34" s="132" t="s">
        <v>546</v>
      </c>
      <c r="G34" s="7" t="str">
        <f>IFERROR(SUMIFS(RX[[#All],[Total Medical and Retail Pharmacy Rebate Amount]],RX[[#All],[Reporting Year]],2024,RX[[#All],[Insurance Category Code]],3)/ICC3_MemberMonths_2024,"NA")</f>
        <v>NA</v>
      </c>
      <c r="H34" s="7" t="str">
        <f>IFERROR(SUMIFS(RX[[#All],[Total Medical and Retail Pharmacy Rebate Amount]],RX[[#All],[Reporting Year]],2025,RX[[#All],[Insurance Category Code]],3)/H25,"NA")</f>
        <v>NA</v>
      </c>
      <c r="I34" s="375" t="str">
        <f>IFERROR(Table91149[[#This Row],[2025]]/Table91149[[#This Row],[2024]]-1,"NA")</f>
        <v>NA</v>
      </c>
      <c r="J34"/>
      <c r="K34" s="132" t="s">
        <v>546</v>
      </c>
      <c r="L34" s="7" t="str">
        <f>IFERROR(SUMIFS(RX[[#All],[Total Medical and Retail Pharmacy Rebate Amount]],RX[[#All],[Reporting Year]],2024,RX[[#All],[Insurance Category Code]],4)/ICC4_MemberMonths_2024,"NA")</f>
        <v>NA</v>
      </c>
      <c r="M34" s="7" t="str" cm="1">
        <f t="array" ref="M34">IFERROR(SUMIFS(RX[[#All],[Total Medical and Retail Pharmacy Rebate Amount]],RX[[#All],[Reporting Year]],2025,RX[[#All],[Insurance Category Code]],4)/ICC4_MemberMonths_2025,"NA")</f>
        <v>NA</v>
      </c>
      <c r="N34" s="375" t="str">
        <f>IFERROR(M34/L34-1,"NA")</f>
        <v>NA</v>
      </c>
      <c r="O34"/>
      <c r="P34" s="132" t="s">
        <v>546</v>
      </c>
      <c r="Q34" s="7" t="str">
        <f>IFERROR(SUMIFS(RX[[#All],[Total Medical and Retail Pharmacy Rebate Amount]],RX[[#All],[Reporting Year]],2024,RX[[#All],[Insurance Category Code]],7)/ICC7_MemberMonths_2024,"NA")</f>
        <v>NA</v>
      </c>
      <c r="R34" s="7" t="str" cm="1">
        <f t="array" ref="R34">IFERROR(-ABS(SUMIFS(RX[[#All],[Total Medical and Retail Pharmacy Rebate Amount]],RX[[#All],[Reporting Year]],2025,RX[[#All],[Insurance Category Code]],7))/ICC7_MemberMonths_2025,"NA")</f>
        <v>NA</v>
      </c>
      <c r="S34" s="375" t="str">
        <f>IFERROR(Table911122757[[#This Row],[2025]]/Table911122757[[#This Row],[2024]]-1,"NA")</f>
        <v>NA</v>
      </c>
    </row>
    <row r="35" spans="1:19" x14ac:dyDescent="0.4">
      <c r="A35" s="427" t="s">
        <v>494</v>
      </c>
      <c r="B35" s="166" t="str">
        <f>IFERROR(ABS(B34/B32),"NA")</f>
        <v>NA</v>
      </c>
      <c r="C35" s="166" t="str">
        <f>IFERROR(ABS(C34/C32),"NA")</f>
        <v>NA</v>
      </c>
      <c r="D35" s="448" t="s">
        <v>470</v>
      </c>
      <c r="E35"/>
      <c r="F35" s="427" t="s">
        <v>494</v>
      </c>
      <c r="G35" s="166" t="str">
        <f>IFERROR(ABS(G34/G32),"NA")</f>
        <v>NA</v>
      </c>
      <c r="H35" s="166" t="str">
        <f>IFERROR(ABS(H34/H32),"NA")</f>
        <v>NA</v>
      </c>
      <c r="I35" s="448" t="s">
        <v>470</v>
      </c>
      <c r="J35"/>
      <c r="K35" s="427" t="s">
        <v>494</v>
      </c>
      <c r="L35" s="166" t="str">
        <f>IFERROR(ABS(L34/L32),"NA")</f>
        <v>NA</v>
      </c>
      <c r="M35" s="166" t="str">
        <f>IFERROR(ABS(M34/M32),"NA")</f>
        <v>NA</v>
      </c>
      <c r="N35" s="375" t="s">
        <v>470</v>
      </c>
      <c r="O35"/>
      <c r="P35" s="427" t="s">
        <v>494</v>
      </c>
      <c r="Q35" s="166" t="str">
        <f>IFERROR(ABS(Q34/Q32),"NA")</f>
        <v>NA</v>
      </c>
      <c r="R35" s="166" t="str">
        <f>IFERROR(ABS(R34/R32),"NA")</f>
        <v>NA</v>
      </c>
      <c r="S35" s="448" t="s">
        <v>470</v>
      </c>
    </row>
    <row r="36" spans="1:19" s="148" customFormat="1" x14ac:dyDescent="0.4">
      <c r="A36" s="132" t="s">
        <v>547</v>
      </c>
      <c r="B36" s="7" t="str">
        <f t="shared" ref="B36:B48" si="3">IFERROR((SUMPRODUCT(ICC3_MemberMonths_2024,G36)+SUMPRODUCT(ICC4_MemberMonths_2024,L36)+SUMPRODUCT(ICC7_MemberMonths_2024,Q36))/Commercial_MemberMonths_2024,"NA")</f>
        <v>NA</v>
      </c>
      <c r="C36" s="7" t="str" cm="1">
        <f t="array" ref="C36">IFERROR((SUMPRODUCT(H25,H36)+SUMPRODUCT(ICC4_MemberMonths_2025,M36)+SUMPRODUCT(ICC7_MemberMonths_2025,R36))/Commercial_MemberMonths_2025,"NA")</f>
        <v>NA</v>
      </c>
      <c r="D36" s="375" t="str">
        <f>IFERROR(Table948[[#This Row],[2025]]/Table948[[#This Row],[2024]]-1,"NA")</f>
        <v>NA</v>
      </c>
      <c r="E36" s="3"/>
      <c r="F36" s="132" t="s">
        <v>547</v>
      </c>
      <c r="G36" s="7" t="str">
        <f>IFERROR((SUMIFS(TM[[#All],[Claims: Other]],TM[[#All],[Reporting Year]],2024,TM[[#All],[Insurance Category Code]],3,TM[[#All],[Large Provider Entity Code]],100))/ICC3_MemberMonths_2024,"NA")</f>
        <v>NA</v>
      </c>
      <c r="H36" s="7" t="str">
        <f>IFERROR((SUMIFS(TM[[#All],[Claims: Other]],TM[[#All],[Reporting Year]],2025,TM[[#All],[Insurance Category Code]],3,TM[[#All],[Large Provider Entity Code]],100))/H25,"NA")</f>
        <v>NA</v>
      </c>
      <c r="I36" s="375" t="str">
        <f>IFERROR(Table91149[[#This Row],[2025]]/Table91149[[#This Row],[2024]]-1,"NA")</f>
        <v>NA</v>
      </c>
      <c r="J36" s="3"/>
      <c r="K36" s="132" t="s">
        <v>547</v>
      </c>
      <c r="L36" s="7" t="str">
        <f>IFERROR((SUMIFS(TM[[#All],[Claims: Other]],TM[[#All],[Reporting Year]],2024,TM[[#All],[Insurance Category Code]],4,TM[[#All],[Large Provider Entity Code]],100))/ICC4_MemberMonths_2024,"NA")</f>
        <v>NA</v>
      </c>
      <c r="M36" s="7" t="str" cm="1">
        <f t="array" ref="M36">IFERROR((SUMIFS(TM[[#All],[Claims: Other]],TM[[#All],[Reporting Year]],2025,TM[[#All],[Insurance Category Code]],4,TM[[#All],[Large Provider Entity Code]],100))/ICC4_MemberMonths_2025,"NA")</f>
        <v>NA</v>
      </c>
      <c r="N36" s="375" t="str">
        <f t="shared" ref="N36:N48" si="4">IFERROR(M36/L36-1,"NA")</f>
        <v>NA</v>
      </c>
      <c r="O36" s="3"/>
      <c r="P36" s="132" t="s">
        <v>547</v>
      </c>
      <c r="Q36" s="7" t="str">
        <f>IFERROR((SUMIFS(TM[[#All],[Claims: Other]],TM[[#All],[Reporting Year]],2024,TM[[#All],[Insurance Category Code]],7,TM[[#All],[Large Provider Entity Code]],100))/ICC7_MemberMonths_2024,"NA")</f>
        <v>NA</v>
      </c>
      <c r="R36" s="7" t="str" cm="1">
        <f t="array" ref="R36">IFERROR((SUMIFS(TM[[#All],[Claims: Other]],TM[[#All],[Reporting Year]],2025,TM[[#All],[Insurance Category Code]],7,TM[[#All],[Large Provider Entity Code]],100))/ICC7_MemberMonths_2025,"NA")</f>
        <v>NA</v>
      </c>
      <c r="S36" s="375" t="str">
        <f>IFERROR(Table911122757[[#This Row],[2025]]/Table911122757[[#This Row],[2024]]-1,"NA")</f>
        <v>NA</v>
      </c>
    </row>
    <row r="37" spans="1:19" s="148" customFormat="1" x14ac:dyDescent="0.4">
      <c r="A37" s="402" t="s">
        <v>548</v>
      </c>
      <c r="B37" s="123" t="str">
        <f t="shared" si="3"/>
        <v>NA</v>
      </c>
      <c r="C37" s="123" t="str" cm="1">
        <f t="array" ref="C37">IFERROR((SUMPRODUCT(H25,H37)+SUMPRODUCT(ICC4_MemberMonths_2025,M37)+SUMPRODUCT(ICC7_MemberMonths_2025,R37))/Commercial_MemberMonths_2025,"NA")</f>
        <v>NA</v>
      </c>
      <c r="D37" s="403" t="str">
        <f>IFERROR(Table948[[#This Row],[2025]]/Table948[[#This Row],[2024]]-1,"NA")</f>
        <v>NA</v>
      </c>
      <c r="E37" s="3"/>
      <c r="F37" s="402" t="s">
        <v>548</v>
      </c>
      <c r="G37" s="404" t="str">
        <f>IFERROR((SUMIFS(TM[[#All],[Total Non-Truncated Claims Spending]],TM[[#All],[Reporting Year]],2024,TM[[#All],[Insurance Category Code]],3,TM[[#All],[Large Provider Entity Code]],100))/ICC3_MemberMonths_2024,"NA")</f>
        <v>NA</v>
      </c>
      <c r="H37" s="404" t="str">
        <f>IFERROR((SUMIFS(TM[[#All],[Total Non-Truncated Claims Spending]],TM[[#All],[Reporting Year]],2025,TM[[#All],[Insurance Category Code]],3,TM[[#All],[Large Provider Entity Code]],100))/H25,"NA")</f>
        <v>NA</v>
      </c>
      <c r="I37" s="403" t="str">
        <f>IFERROR(Table91149[[#This Row],[2025]]/Table91149[[#This Row],[2024]]-1,"NA")</f>
        <v>NA</v>
      </c>
      <c r="J37" s="3"/>
      <c r="K37" s="402" t="s">
        <v>548</v>
      </c>
      <c r="L37" s="404" t="str">
        <f>IFERROR((SUMIFS(TM[[#All],[Total Non-Truncated Claims Spending]],TM[[#All],[Reporting Year]],2024,TM[[#All],[Insurance Category Code]],4,TM[[#All],[Large Provider Entity Code]],100))/ICC4_MemberMonths_2024,"NA")</f>
        <v>NA</v>
      </c>
      <c r="M37" s="404" t="str" cm="1">
        <f t="array" ref="M37">IFERROR((SUMIFS(TM[[#All],[Total Non-Truncated Claims Spending]],TM[[#All],[Reporting Year]],2025,TM[[#All],[Insurance Category Code]],4,TM[[#All],[Large Provider Entity Code]],100))/ICC4_MemberMonths_2025,"NA")</f>
        <v>NA</v>
      </c>
      <c r="N37" s="403" t="str">
        <f t="shared" si="4"/>
        <v>NA</v>
      </c>
      <c r="O37" s="3"/>
      <c r="P37" s="402" t="s">
        <v>548</v>
      </c>
      <c r="Q37" s="404" t="str">
        <f>IFERROR((SUMIFS(TM[[#All],[Total Non-Truncated Claims Spending]],TM[[#All],[Reporting Year]],2024,TM[[#All],[Insurance Category Code]],7,TM[[#All],[Large Provider Entity Code]],100))/ICC7_MemberMonths_2024,"NA")</f>
        <v>NA</v>
      </c>
      <c r="R37" s="404" t="str" cm="1">
        <f t="array" ref="R37">IFERROR((SUMIFS(TM[[#All],[Total Non-Truncated Claims Spending]],TM[[#All],[Reporting Year]],2025,TM[[#All],[Insurance Category Code]],7,TM[[#All],[Large Provider Entity Code]],100))/ICC7_MemberMonths_2025,"NA")</f>
        <v>NA</v>
      </c>
      <c r="S37" s="403" t="str">
        <f>IFERROR(Table911122757[[#This Row],[2025]]/Table911122757[[#This Row],[2024]]-1,"NA")</f>
        <v>NA</v>
      </c>
    </row>
    <row r="38" spans="1:19" x14ac:dyDescent="0.4">
      <c r="A38" s="402" t="s">
        <v>549</v>
      </c>
      <c r="B38" s="123" t="str">
        <f t="shared" si="3"/>
        <v>NA</v>
      </c>
      <c r="C38" s="123" t="str" cm="1">
        <f t="array" ref="C38">IFERROR((SUMPRODUCT(H25,H38)+SUMPRODUCT(ICC4_MemberMonths_2025,M38)+SUMPRODUCT(ICC7_MemberMonths_2025,R38))/Commercial_MemberMonths_2025,"NA")</f>
        <v>NA</v>
      </c>
      <c r="D38" s="403" t="str">
        <f>IFERROR(Table948[[#This Row],[2025]]/Table948[[#This Row],[2024]]-1,"NA")</f>
        <v>NA</v>
      </c>
      <c r="E38"/>
      <c r="F38" s="402" t="s">
        <v>549</v>
      </c>
      <c r="G38" s="404" t="str">
        <f>IFERROR((SUMIFS(TM[[#All],[Total Truncated Claims Spending]],TM[[#All],[Reporting Year]],2024,TM[[#All],[Insurance Category Code]],3,TM[[#All],[Large Provider Entity Code]],100))/ICC3_MemberMonths_2024,"NA")</f>
        <v>NA</v>
      </c>
      <c r="H38" s="404" t="str">
        <f>IFERROR((SUMIFS(TM[[#All],[Total Truncated Claims Spending]],TM[[#All],[Reporting Year]],2025,TM[[#All],[Insurance Category Code]],3,TM[[#All],[Large Provider Entity Code]],100))/H25,"NA")</f>
        <v>NA</v>
      </c>
      <c r="I38" s="403" t="str">
        <f>IFERROR(Table91149[[#This Row],[2025]]/Table91149[[#This Row],[2024]]-1,"NA")</f>
        <v>NA</v>
      </c>
      <c r="J38"/>
      <c r="K38" s="402" t="s">
        <v>549</v>
      </c>
      <c r="L38" s="404" t="str">
        <f>IFERROR((SUMIFS(TM[[#All],[Total Truncated Claims Spending]],TM[[#All],[Reporting Year]],2024,TM[[#All],[Insurance Category Code]],4,TM[[#All],[Large Provider Entity Code]],100))/ICC4_MemberMonths_2024,"NA")</f>
        <v>NA</v>
      </c>
      <c r="M38" s="404" t="str" cm="1">
        <f t="array" ref="M38">IFERROR((SUMIFS(TM[[#All],[Total Truncated Claims Spending]],TM[[#All],[Reporting Year]],2025,TM[[#All],[Insurance Category Code]],4,TM[[#All],[Large Provider Entity Code]],100))/ICC4_MemberMonths_2025,"NA")</f>
        <v>NA</v>
      </c>
      <c r="N38" s="403" t="str">
        <f t="shared" si="4"/>
        <v>NA</v>
      </c>
      <c r="O38"/>
      <c r="P38" s="402" t="s">
        <v>549</v>
      </c>
      <c r="Q38" s="404" t="str">
        <f>IFERROR((SUMIFS(TM[[#All],[Total Truncated Claims Spending]],TM[[#All],[Reporting Year]],2024,TM[[#All],[Insurance Category Code]],7,TM[[#All],[Large Provider Entity Code]],100))/ICC7_MemberMonths_2024,"NA")</f>
        <v>NA</v>
      </c>
      <c r="R38" s="404" t="str" cm="1">
        <f t="array" ref="R38">IFERROR((SUMIFS(TM[[#All],[Total Truncated Claims Spending]],TM[[#All],[Reporting Year]],2025,TM[[#All],[Insurance Category Code]],7,TM[[#All],[Large Provider Entity Code]],100))/ICC7_MemberMonths_2025,"NA")</f>
        <v>NA</v>
      </c>
      <c r="S38" s="403" t="str">
        <f>IFERROR(Table911122757[[#This Row],[2025]]/Table911122757[[#This Row],[2024]]-1,"NA")</f>
        <v>NA</v>
      </c>
    </row>
    <row r="39" spans="1:19" x14ac:dyDescent="0.4">
      <c r="A39" s="132" t="s">
        <v>550</v>
      </c>
      <c r="B39" s="7" t="str">
        <f t="shared" si="3"/>
        <v>NA</v>
      </c>
      <c r="C39" s="7" t="str" cm="1">
        <f t="array" ref="C39">IFERROR((SUMPRODUCT(H25,H39)+SUMPRODUCT(ICC4_MemberMonths_2025,M39)+SUMPRODUCT(ICC7_MemberMonths_2025,R39))/Commercial_MemberMonths_2025,"NA")</f>
        <v>NA</v>
      </c>
      <c r="D39" s="375" t="str">
        <f>IFERROR(Table948[[#This Row],[2025]]/Table948[[#This Row],[2024]]-1,"NA")</f>
        <v>NA</v>
      </c>
      <c r="E39"/>
      <c r="F39" s="132" t="s">
        <v>550</v>
      </c>
      <c r="G39" s="7" t="str">
        <f>IFERROR((SUMIFS(TM[[#All],[Non-Claims: Capitation or Bundled Arrangements]],TM[[#All],[Reporting Year]],2024,TM[[#All],[Insurance Category Code]],3,TM[[#All],[Large Provider Entity Code]],100))/ICC3_MemberMonths_2024,"NA")</f>
        <v>NA</v>
      </c>
      <c r="H39" s="7" t="str">
        <f>IFERROR((SUMIFS(TM[[#All],[Non-Claims: Capitation or Bundled Arrangements]],TM[[#All],[Reporting Year]],2025,TM[[#All],[Insurance Category Code]],3,TM[[#All],[Large Provider Entity Code]],100))/H25,"NA")</f>
        <v>NA</v>
      </c>
      <c r="I39" s="375" t="str">
        <f>IFERROR(Table91149[[#This Row],[2025]]/Table91149[[#This Row],[2024]]-1,"NA")</f>
        <v>NA</v>
      </c>
      <c r="J39"/>
      <c r="K39" s="132" t="s">
        <v>550</v>
      </c>
      <c r="L39" s="7" t="str">
        <f>IFERROR((SUMIFS(TM[[#All],[Non-Claims: Capitation or Bundled Arrangements]],TM[[#All],[Reporting Year]],2024,TM[[#All],[Insurance Category Code]],4,TM[[#All],[Large Provider Entity Code]],100))/ICC4_MemberMonths_2024,"NA")</f>
        <v>NA</v>
      </c>
      <c r="M39" s="7" t="str" cm="1">
        <f t="array" ref="M39">IFERROR((SUMIFS(TM[[#All],[Non-Claims: Capitation or Bundled Arrangements]],TM[[#All],[Reporting Year]],2025,TM[[#All],[Insurance Category Code]],4,TM[[#All],[Large Provider Entity Code]],100))/ICC4_MemberMonths_2025,"NA")</f>
        <v>NA</v>
      </c>
      <c r="N39" s="375" t="str">
        <f t="shared" si="4"/>
        <v>NA</v>
      </c>
      <c r="O39"/>
      <c r="P39" s="132" t="s">
        <v>550</v>
      </c>
      <c r="Q39" s="7" t="str">
        <f>IFERROR((SUMIFS(TM[[#All],[Non-Claims: Capitation or Bundled Arrangements]],TM[[#All],[Reporting Year]],2024,TM[[#All],[Insurance Category Code]],7,TM[[#All],[Large Provider Entity Code]],100))/ICC7_MemberMonths_2024,"NA")</f>
        <v>NA</v>
      </c>
      <c r="R39" s="7" t="str" cm="1">
        <f t="array" ref="R39">IFERROR((SUMIFS(TM[[#All],[Non-Claims: Capitation or Bundled Arrangements]],TM[[#All],[Reporting Year]],2025,TM[[#All],[Insurance Category Code]],7,TM[[#All],[Large Provider Entity Code]],100))/ICC7_MemberMonths_2025,"NA")</f>
        <v>NA</v>
      </c>
      <c r="S39" s="375" t="str">
        <f>IFERROR(Table911122757[[#This Row],[2025]]/Table911122757[[#This Row],[2024]]-1,"NA")</f>
        <v>NA</v>
      </c>
    </row>
    <row r="40" spans="1:19" x14ac:dyDescent="0.4">
      <c r="A40" s="132" t="s">
        <v>551</v>
      </c>
      <c r="B40" s="7" t="str">
        <f t="shared" si="3"/>
        <v>NA</v>
      </c>
      <c r="C40" s="7" t="str" cm="1">
        <f t="array" ref="C40">IFERROR((SUMPRODUCT(H25,H40)+SUMPRODUCT(ICC4_MemberMonths_2025,M40)+SUMPRODUCT(ICC7_MemberMonths_2025,R40))/Commercial_MemberMonths_2025,"NA")</f>
        <v>NA</v>
      </c>
      <c r="D40" s="375" t="str">
        <f>IFERROR(Table948[[#This Row],[2025]]/Table948[[#This Row],[2024]]-1,"NA")</f>
        <v>NA</v>
      </c>
      <c r="E40"/>
      <c r="F40" s="132" t="s">
        <v>551</v>
      </c>
      <c r="G40" s="7" t="str">
        <f>IFERROR((SUMIFS(TM[[#All],[Non-Claims: Performance Incentives]],TM[[#All],[Reporting Year]],2024,TM[[#All],[Insurance Category Code]],3,TM[[#All],[Large Provider Entity Code]],100))/ICC3_MemberMonths_2024,"NA")</f>
        <v>NA</v>
      </c>
      <c r="H40" s="7" t="str">
        <f>IFERROR((SUMIFS(TM[[#All],[Non-Claims: Performance Incentives]],TM[[#All],[Reporting Year]],2025,TM[[#All],[Insurance Category Code]],3,TM[[#All],[Large Provider Entity Code]],100))/H25,"NA")</f>
        <v>NA</v>
      </c>
      <c r="I40" s="375" t="str">
        <f>IFERROR(Table91149[[#This Row],[2025]]/Table91149[[#This Row],[2024]]-1,"NA")</f>
        <v>NA</v>
      </c>
      <c r="J40"/>
      <c r="K40" s="132" t="s">
        <v>551</v>
      </c>
      <c r="L40" s="7" t="str">
        <f>IFERROR((SUMIFS(TM[[#All],[Non-Claims: Performance Incentives]],TM[[#All],[Reporting Year]],2024,TM[[#All],[Insurance Category Code]],4,TM[[#All],[Large Provider Entity Code]],100))/ICC4_MemberMonths_2024,"NA")</f>
        <v>NA</v>
      </c>
      <c r="M40" s="7" t="str" cm="1">
        <f t="array" ref="M40">IFERROR((SUMIFS(TM[[#All],[Non-Claims: Performance Incentives]],TM[[#All],[Reporting Year]],2025,TM[[#All],[Insurance Category Code]],4,TM[[#All],[Large Provider Entity Code]],100))/ICC4_MemberMonths_2025,"NA")</f>
        <v>NA</v>
      </c>
      <c r="N40" s="375" t="str">
        <f t="shared" si="4"/>
        <v>NA</v>
      </c>
      <c r="O40"/>
      <c r="P40" s="132" t="s">
        <v>551</v>
      </c>
      <c r="Q40" s="7" t="str">
        <f>IFERROR((SUMIFS(TM[[#All],[Non-Claims: Performance Incentives]],TM[[#All],[Reporting Year]],2024,TM[[#All],[Insurance Category Code]],7,TM[[#All],[Large Provider Entity Code]],100))/ICC7_MemberMonths_2024,"NA")</f>
        <v>NA</v>
      </c>
      <c r="R40" s="7" t="str" cm="1">
        <f t="array" ref="R40">IFERROR((SUMIFS(TM[[#All],[Non-Claims: Performance Incentives]],TM[[#All],[Reporting Year]],2025,TM[[#All],[Insurance Category Code]],7,TM[[#All],[Large Provider Entity Code]],100))/ICC7_MemberMonths_2025,"NA")</f>
        <v>NA</v>
      </c>
      <c r="S40" s="375" t="str">
        <f>IFERROR(Table911122757[[#This Row],[2025]]/Table911122757[[#This Row],[2024]]-1,"NA")</f>
        <v>NA</v>
      </c>
    </row>
    <row r="41" spans="1:19" x14ac:dyDescent="0.4">
      <c r="A41" s="132" t="s">
        <v>552</v>
      </c>
      <c r="B41" s="7" t="str">
        <f t="shared" si="3"/>
        <v>NA</v>
      </c>
      <c r="C41" s="7" t="str" cm="1">
        <f t="array" ref="C41">IFERROR((SUMPRODUCT(H25,H41)+SUMPRODUCT(ICC4_MemberMonths_2025,M41)+SUMPRODUCT(ICC7_MemberMonths_2025,R41))/Commercial_MemberMonths_2025,"NA")</f>
        <v>NA</v>
      </c>
      <c r="D41" s="375" t="str">
        <f>IFERROR(Table948[[#This Row],[2025]]/Table948[[#This Row],[2024]]-1,"NA")</f>
        <v>NA</v>
      </c>
      <c r="E41"/>
      <c r="F41" s="132" t="s">
        <v>552</v>
      </c>
      <c r="G41" s="7" t="str">
        <f>IFERROR((SUMIFS(TM[[#All],[Non-Claims: Pop Health and Practice Infrastructure]],TM[[#All],[Reporting Year]],2024,TM[[#All],[Insurance Category Code]],3,TM[[#All],[Large Provider Entity Code]],100))/ICC3_MemberMonths_2024,"NA")</f>
        <v>NA</v>
      </c>
      <c r="H41" s="7" t="str">
        <f>IFERROR((SUMIFS(TM[[#All],[Non-Claims: Pop Health and Practice Infrastructure]],TM[[#All],[Reporting Year]],2025,TM[[#All],[Insurance Category Code]],3,TM[[#All],[Large Provider Entity Code]],100))/H25,"NA")</f>
        <v>NA</v>
      </c>
      <c r="I41" s="375" t="str">
        <f>IFERROR(Table91149[[#This Row],[2025]]/Table91149[[#This Row],[2024]]-1,"NA")</f>
        <v>NA</v>
      </c>
      <c r="J41"/>
      <c r="K41" s="132" t="s">
        <v>552</v>
      </c>
      <c r="L41" s="7" t="str">
        <f>IFERROR((SUMIFS(TM[[#All],[Non-Claims: Pop Health and Practice Infrastructure]],TM[[#All],[Reporting Year]],2024,TM[[#All],[Insurance Category Code]],4,TM[[#All],[Large Provider Entity Code]],100))/ICC4_MemberMonths_2024,"NA")</f>
        <v>NA</v>
      </c>
      <c r="M41" s="7" t="str" cm="1">
        <f t="array" ref="M41">IFERROR((SUMIFS(TM[[#All],[Non-Claims: Pop Health and Practice Infrastructure]],TM[[#All],[Reporting Year]],2025,TM[[#All],[Insurance Category Code]],4,TM[[#All],[Large Provider Entity Code]],100))/ICC4_MemberMonths_2025,"NA")</f>
        <v>NA</v>
      </c>
      <c r="N41" s="375" t="str">
        <f t="shared" si="4"/>
        <v>NA</v>
      </c>
      <c r="O41"/>
      <c r="P41" s="132" t="s">
        <v>552</v>
      </c>
      <c r="Q41" s="7" t="str">
        <f>IFERROR((SUMIFS(TM[[#All],[Non-Claims: Pop Health and Practice Infrastructure]],TM[[#All],[Reporting Year]],2024,TM[[#All],[Insurance Category Code]],7,TM[[#All],[Large Provider Entity Code]],100))/ICC7_MemberMonths_2024,"NA")</f>
        <v>NA</v>
      </c>
      <c r="R41" s="7" t="str" cm="1">
        <f t="array" ref="R41">IFERROR((SUMIFS(TM[[#All],[Non-Claims: Pop Health and Practice Infrastructure]],TM[[#All],[Reporting Year]],2025,TM[[#All],[Insurance Category Code]],7,TM[[#All],[Large Provider Entity Code]],100))/ICC7_MemberMonths_2025,"NA")</f>
        <v>NA</v>
      </c>
      <c r="S41" s="375" t="str">
        <f>IFERROR(Table911122757[[#This Row],[2025]]/Table911122757[[#This Row],[2024]]-1,"NA")</f>
        <v>NA</v>
      </c>
    </row>
    <row r="42" spans="1:19" x14ac:dyDescent="0.4">
      <c r="A42" s="132" t="s">
        <v>553</v>
      </c>
      <c r="B42" s="7" t="str">
        <f t="shared" si="3"/>
        <v>NA</v>
      </c>
      <c r="C42" s="7" t="str" cm="1">
        <f t="array" ref="C42">IFERROR((SUMPRODUCT(H25,H42)+SUMPRODUCT(ICC4_MemberMonths_2025,M42)+SUMPRODUCT(ICC7_MemberMonths_2025,R42))/Commercial_MemberMonths_2025,"NA")</f>
        <v>NA</v>
      </c>
      <c r="D42" s="375" t="str">
        <f>IFERROR(Table948[[#This Row],[2025]]/Table948[[#This Row],[2024]]-1,"NA")</f>
        <v>NA</v>
      </c>
      <c r="E42"/>
      <c r="F42" s="132" t="s">
        <v>553</v>
      </c>
      <c r="G42" s="7" t="str">
        <f>IFERROR((SUMIFS(TM[[#All],[Non-Claims: Provider Salaries]],TM[[#All],[Reporting Year]],2024,TM[[#All],[Insurance Category Code]],3,TM[[#All],[Large Provider Entity Code]],100))/ICC3_MemberMonths_2024,"NA")</f>
        <v>NA</v>
      </c>
      <c r="H42" s="7" t="str">
        <f>IFERROR((SUMIFS(TM[[#All],[Non-Claims: Provider Salaries]],TM[[#All],[Reporting Year]],2025,TM[[#All],[Insurance Category Code]],3,TM[[#All],[Large Provider Entity Code]],100))/H25,"NA")</f>
        <v>NA</v>
      </c>
      <c r="I42" s="375" t="str">
        <f>IFERROR(Table91149[[#This Row],[2025]]/Table91149[[#This Row],[2024]]-1,"NA")</f>
        <v>NA</v>
      </c>
      <c r="J42"/>
      <c r="K42" s="132" t="s">
        <v>553</v>
      </c>
      <c r="L42" s="7" t="str">
        <f>IFERROR((SUMIFS(TM[[#All],[Non-Claims: Provider Salaries]],TM[[#All],[Reporting Year]],2024,TM[[#All],[Insurance Category Code]],4,TM[[#All],[Large Provider Entity Code]],100))/ICC4_MemberMonths_2024,"NA")</f>
        <v>NA</v>
      </c>
      <c r="M42" s="7" t="str" cm="1">
        <f t="array" ref="M42">IFERROR((SUMIFS(TM[[#All],[Non-Claims: Provider Salaries]],TM[[#All],[Reporting Year]],2025,TM[[#All],[Insurance Category Code]],4,TM[[#All],[Large Provider Entity Code]],100))/ICC4_MemberMonths_2025,"NA")</f>
        <v>NA</v>
      </c>
      <c r="N42" s="375" t="str">
        <f t="shared" si="4"/>
        <v>NA</v>
      </c>
      <c r="O42"/>
      <c r="P42" s="132" t="s">
        <v>553</v>
      </c>
      <c r="Q42" s="7" t="str">
        <f>IFERROR((SUMIFS(TM[[#All],[Non-Claims: Provider Salaries]],TM[[#All],[Reporting Year]],2024,TM[[#All],[Insurance Category Code]],7,TM[[#All],[Large Provider Entity Code]],100))/ICC7_MemberMonths_2024,"NA")</f>
        <v>NA</v>
      </c>
      <c r="R42" s="7" t="str" cm="1">
        <f t="array" ref="R42">IFERROR((SUMIFS(TM[[#All],[Non-Claims: Provider Salaries]],TM[[#All],[Reporting Year]],2025,TM[[#All],[Insurance Category Code]],7,TM[[#All],[Large Provider Entity Code]],100))/ICC7_MemberMonths_2025,"NA")</f>
        <v>NA</v>
      </c>
      <c r="S42" s="375" t="str">
        <f>IFERROR(Table911122757[[#This Row],[2025]]/Table911122757[[#This Row],[2024]]-1,"NA")</f>
        <v>NA</v>
      </c>
    </row>
    <row r="43" spans="1:19" x14ac:dyDescent="0.4">
      <c r="A43" s="132" t="s">
        <v>554</v>
      </c>
      <c r="B43" s="7" t="str">
        <f t="shared" si="3"/>
        <v>NA</v>
      </c>
      <c r="C43" s="7" t="str" cm="1">
        <f t="array" ref="C43">IFERROR((SUMPRODUCT(H25,H43)+SUMPRODUCT(ICC4_MemberMonths_2025,M43)+SUMPRODUCT(ICC7_MemberMonths_2025,R43))/Commercial_MemberMonths_2025,"NA")</f>
        <v>NA</v>
      </c>
      <c r="D43" s="375" t="str">
        <f>IFERROR(Table948[[#This Row],[2025]]/Table948[[#This Row],[2024]]-1,"NA")</f>
        <v>NA</v>
      </c>
      <c r="E43"/>
      <c r="F43" s="132" t="s">
        <v>554</v>
      </c>
      <c r="G43" s="7" t="str">
        <f>IFERROR((SUMIFS(TM[[#All],[Non-Claims: Recovery]],TM[[#All],[Reporting Year]],2024,TM[[#All],[Insurance Category Code]],3,TM[[#All],[Large Provider Entity Code]],100))/ICC3_MemberMonths_2024,"NA")</f>
        <v>NA</v>
      </c>
      <c r="H43" s="7" t="str">
        <f>IFERROR((SUMIFS(TM[[#All],[Non-Claims: Recovery]],TM[[#All],[Reporting Year]],2025,TM[[#All],[Insurance Category Code]],3,TM[[#All],[Large Provider Entity Code]],100))/H25,"NA")</f>
        <v>NA</v>
      </c>
      <c r="I43" s="375" t="str">
        <f>IFERROR(Table91149[[#This Row],[2025]]/Table91149[[#This Row],[2024]]-1,"NA")</f>
        <v>NA</v>
      </c>
      <c r="J43"/>
      <c r="K43" s="132" t="s">
        <v>554</v>
      </c>
      <c r="L43" s="7" t="str">
        <f>IFERROR((SUMIFS(TM[[#All],[Non-Claims: Recovery]],TM[[#All],[Reporting Year]],2024,TM[[#All],[Insurance Category Code]],4,TM[[#All],[Large Provider Entity Code]],100))/ICC4_MemberMonths_2024,"NA")</f>
        <v>NA</v>
      </c>
      <c r="M43" s="7" t="str" cm="1">
        <f t="array" ref="M43">IFERROR((SUMIFS(TM[[#All],[Non-Claims: Recovery]],TM[[#All],[Reporting Year]],2025,TM[[#All],[Insurance Category Code]],4,TM[[#All],[Large Provider Entity Code]],100))/ICC4_MemberMonths_2025,"NA")</f>
        <v>NA</v>
      </c>
      <c r="N43" s="375" t="str">
        <f t="shared" si="4"/>
        <v>NA</v>
      </c>
      <c r="O43"/>
      <c r="P43" s="132" t="s">
        <v>554</v>
      </c>
      <c r="Q43" s="7" t="str">
        <f>IFERROR((SUMIFS(TM[[#All],[Non-Claims: Recovery]],TM[[#All],[Reporting Year]],2024,TM[[#All],[Insurance Category Code]],7,TM[[#All],[Large Provider Entity Code]],100))/ICC7_MemberMonths_2024,"NA")</f>
        <v>NA</v>
      </c>
      <c r="R43" s="7" t="str" cm="1">
        <f t="array" ref="R43">IFERROR((SUMIFS(TM[[#All],[Non-Claims: Recovery]],TM[[#All],[Reporting Year]],2025,TM[[#All],[Insurance Category Code]],7,TM[[#All],[Large Provider Entity Code]],100))/ICC7_MemberMonths_2025,"NA")</f>
        <v>NA</v>
      </c>
      <c r="S43" s="375" t="str">
        <f>IFERROR(Table911122757[[#This Row],[2025]]/Table911122757[[#This Row],[2024]]-1,"NA")</f>
        <v>NA</v>
      </c>
    </row>
    <row r="44" spans="1:19" x14ac:dyDescent="0.4">
      <c r="A44" s="132" t="s">
        <v>555</v>
      </c>
      <c r="B44" s="7" t="str">
        <f t="shared" si="3"/>
        <v>NA</v>
      </c>
      <c r="C44" s="7" t="str" cm="1">
        <f t="array" ref="C44">IFERROR((SUMPRODUCT(H25,H44)+SUMPRODUCT(ICC4_MemberMonths_2025,M44)+SUMPRODUCT(ICC7_MemberMonths_2025,R44))/Commercial_MemberMonths_2025,"NA")</f>
        <v>NA</v>
      </c>
      <c r="D44" s="375" t="str">
        <f>IFERROR(Table948[[#This Row],[2025]]/Table948[[#This Row],[2024]]-1,"NA")</f>
        <v>NA</v>
      </c>
      <c r="E44"/>
      <c r="F44" s="132" t="s">
        <v>555</v>
      </c>
      <c r="G44" s="7" t="str">
        <f>IFERROR((SUMIFS(TM[[#All],[Non-Claims: Other]],TM[[#All],[Reporting Year]],2024,TM[[#All],[Insurance Category Code]],3,TM[[#All],[Large Provider Entity Code]],100))/ICC3_MemberMonths_2024,"NA")</f>
        <v>NA</v>
      </c>
      <c r="H44" s="7" t="str">
        <f>IFERROR((SUMIFS(TM[[#All],[Non-Claims: Other]],TM[[#All],[Reporting Year]],2025,TM[[#All],[Insurance Category Code]],3,TM[[#All],[Large Provider Entity Code]],100))/H25,"NA")</f>
        <v>NA</v>
      </c>
      <c r="I44" s="375" t="str">
        <f>IFERROR(Table91149[[#This Row],[2025]]/Table91149[[#This Row],[2024]]-1,"NA")</f>
        <v>NA</v>
      </c>
      <c r="J44"/>
      <c r="K44" s="132" t="s">
        <v>555</v>
      </c>
      <c r="L44" s="7" t="str">
        <f>IFERROR((SUMIFS(TM[[#All],[Non-Claims: Other]],TM[[#All],[Reporting Year]],2024,TM[[#All],[Insurance Category Code]],4,TM[[#All],[Large Provider Entity Code]],100))/ICC4_MemberMonths_2024,"NA")</f>
        <v>NA</v>
      </c>
      <c r="M44" s="7" t="str" cm="1">
        <f t="array" ref="M44">IFERROR((SUMIFS(TM[[#All],[Non-Claims: Other]],TM[[#All],[Reporting Year]],2025,TM[[#All],[Insurance Category Code]],4,TM[[#All],[Large Provider Entity Code]],100))/ICC4_MemberMonths_2025,"NA")</f>
        <v>NA</v>
      </c>
      <c r="N44" s="375" t="str">
        <f t="shared" si="4"/>
        <v>NA</v>
      </c>
      <c r="O44"/>
      <c r="P44" s="132" t="s">
        <v>555</v>
      </c>
      <c r="Q44" s="7" t="str">
        <f>IFERROR((SUMIFS(TM[[#All],[Non-Claims: Other]],TM[[#All],[Reporting Year]],2024,TM[[#All],[Insurance Category Code]],7,TM[[#All],[Large Provider Entity Code]],100))/ICC7_MemberMonths_2024,"NA")</f>
        <v>NA</v>
      </c>
      <c r="R44" s="7" t="str" cm="1">
        <f t="array" ref="R44">IFERROR((SUMIFS(TM[[#All],[Non-Claims: Other]],TM[[#All],[Reporting Year]],2025,TM[[#All],[Insurance Category Code]],7,TM[[#All],[Large Provider Entity Code]],100))/ICC7_MemberMonths_2025,"NA")</f>
        <v>NA</v>
      </c>
      <c r="S44" s="375" t="str">
        <f>IFERROR(Table911122757[[#This Row],[2025]]/Table911122757[[#This Row],[2024]]-1,"NA")</f>
        <v>NA</v>
      </c>
    </row>
    <row r="45" spans="1:19" s="148" customFormat="1" x14ac:dyDescent="0.4">
      <c r="A45" s="132" t="s">
        <v>556</v>
      </c>
      <c r="B45" s="7" t="str">
        <f t="shared" si="3"/>
        <v>NA</v>
      </c>
      <c r="C45" s="7" t="str" cm="1">
        <f t="array" ref="C45">IFERROR((SUMPRODUCT(H25,H45)+SUMPRODUCT(ICC4_MemberMonths_2025,M45)+SUMPRODUCT(ICC7_MemberMonths_2025,R45))/Commercial_MemberMonths_2025,"NA")</f>
        <v>NA</v>
      </c>
      <c r="D45" s="375" t="str">
        <f>IFERROR(Table948[[#This Row],[2025]]/Table948[[#This Row],[2024]]-1,"NA")</f>
        <v>NA</v>
      </c>
      <c r="E45" s="3"/>
      <c r="F45" s="132" t="s">
        <v>556</v>
      </c>
      <c r="G45" s="7" t="str">
        <f>IFERROR((SUMIFS(TM[[#All],[Non-Claims: Total Primary Care]],TM[[#All],[Reporting Year]],2024,TM[[#All],[Insurance Category Code]],3,TM[[#All],[Large Provider Entity Code]],100))/ICC3_MemberMonths_2024,"NA")</f>
        <v>NA</v>
      </c>
      <c r="H45" s="7" t="str">
        <f>IFERROR((SUMIFS(TM[[#All],[Non-Claims: Total Primary Care]],TM[[#All],[Reporting Year]],2025,TM[[#All],[Insurance Category Code]],3,TM[[#All],[Large Provider Entity Code]],100))/H25,"NA")</f>
        <v>NA</v>
      </c>
      <c r="I45" s="375" t="str">
        <f>IFERROR(Table91149[[#This Row],[2025]]/Table91149[[#This Row],[2024]]-1,"NA")</f>
        <v>NA</v>
      </c>
      <c r="J45" s="3"/>
      <c r="K45" s="132" t="s">
        <v>556</v>
      </c>
      <c r="L45" s="7" t="str">
        <f>IFERROR((SUMIFS(TM[[#All],[Non-Claims: Total Primary Care]],TM[[#All],[Reporting Year]],2024,TM[[#All],[Insurance Category Code]],4,TM[[#All],[Large Provider Entity Code]],100))/ICC4_MemberMonths_2024,"NA")</f>
        <v>NA</v>
      </c>
      <c r="M45" s="7" t="str" cm="1">
        <f t="array" ref="M45">IFERROR((SUMIFS(TM[[#All],[Non-Claims: Total Primary Care]],TM[[#All],[Reporting Year]],2025,TM[[#All],[Insurance Category Code]],4,TM[[#All],[Large Provider Entity Code]],100))/ICC4_MemberMonths_2025,"NA")</f>
        <v>NA</v>
      </c>
      <c r="N45" s="375" t="str">
        <f t="shared" si="4"/>
        <v>NA</v>
      </c>
      <c r="O45" s="3"/>
      <c r="P45" s="132" t="s">
        <v>556</v>
      </c>
      <c r="Q45" s="7" t="str">
        <f>IFERROR((SUMIFS(TM[[#All],[Non-Claims: Total Primary Care]],TM[[#All],[Reporting Year]],2024,TM[[#All],[Insurance Category Code]],7,TM[[#All],[Large Provider Entity Code]],100))/ICC7_MemberMonths_2024,"NA")</f>
        <v>NA</v>
      </c>
      <c r="R45" s="7" t="str" cm="1">
        <f t="array" ref="R45">IFERROR((SUMIFS(TM[[#All],[Non-Claims: Total Primary Care]],TM[[#All],[Reporting Year]],2025,TM[[#All],[Insurance Category Code]],7,TM[[#All],[Large Provider Entity Code]],100))/ICC7_MemberMonths_2025,"NA")</f>
        <v>NA</v>
      </c>
      <c r="S45" s="375" t="str">
        <f>IFERROR(Table911122757[[#This Row],[2025]]/Table911122757[[#This Row],[2024]]-1,"NA")</f>
        <v>NA</v>
      </c>
    </row>
    <row r="46" spans="1:19" ht="17.399999999999999" thickBot="1" x14ac:dyDescent="0.45">
      <c r="A46" s="402" t="s">
        <v>557</v>
      </c>
      <c r="B46" s="123" t="str">
        <f t="shared" si="3"/>
        <v>NA</v>
      </c>
      <c r="C46" s="405" t="str" cm="1">
        <f t="array" ref="C46">IFERROR((SUMPRODUCT(H25,H46)+SUMPRODUCT(ICC4_MemberMonths_2025,M46)+SUMPRODUCT(ICC7_MemberMonths_2025,R46))/Commercial_MemberMonths_2025,"NA")</f>
        <v>NA</v>
      </c>
      <c r="D46" s="403" t="str">
        <f>IFERROR(Table948[[#This Row],[2025]]/Table948[[#This Row],[2024]]-1,"NA")</f>
        <v>NA</v>
      </c>
      <c r="E46"/>
      <c r="F46" s="402" t="s">
        <v>557</v>
      </c>
      <c r="G46" s="406" t="str">
        <f>IFERROR((SUMIFS(TM[[#All],[Total Non-Claims Spending]],TM[[#All],[Reporting Year]],2024,TM[[#All],[Insurance Category Code]],3,TM[[#All],[Large Provider Entity Code]],100))/ICC3_MemberMonths_2024,"NA")</f>
        <v>NA</v>
      </c>
      <c r="H46" s="406" t="str">
        <f>IFERROR((SUMIFS(TM[[#All],[Total Non-Claims Spending]],TM[[#All],[Reporting Year]],2025,TM[[#All],[Insurance Category Code]],3,TM[[#All],[Large Provider Entity Code]],100))/H25,"NA")</f>
        <v>NA</v>
      </c>
      <c r="I46" s="403" t="str">
        <f>IFERROR(Table91149[[#This Row],[2025]]/Table91149[[#This Row],[2024]]-1,"NA")</f>
        <v>NA</v>
      </c>
      <c r="J46"/>
      <c r="K46" s="402" t="s">
        <v>557</v>
      </c>
      <c r="L46" s="406" t="str">
        <f>IFERROR((SUMIFS(TM[[#All],[Total Non-Claims Spending]],TM[[#All],[Reporting Year]],2024,TM[[#All],[Insurance Category Code]],4,TM[[#All],[Large Provider Entity Code]],100))/ICC4_MemberMonths_2024,"NA")</f>
        <v>NA</v>
      </c>
      <c r="M46" s="406" t="str" cm="1">
        <f t="array" ref="M46">IFERROR((SUMIFS(TM[[#All],[Total Non-Claims Spending]],TM[[#All],[Reporting Year]],2025,TM[[#All],[Insurance Category Code]],4,TM[[#All],[Large Provider Entity Code]],100))/ICC4_MemberMonths_2025,"NA")</f>
        <v>NA</v>
      </c>
      <c r="N46" s="403" t="str">
        <f t="shared" si="4"/>
        <v>NA</v>
      </c>
      <c r="O46"/>
      <c r="P46" s="402" t="s">
        <v>557</v>
      </c>
      <c r="Q46" s="406" t="str">
        <f>IFERROR((SUMIFS(TM[[#All],[Total Non-Claims Spending]],TM[[#All],[Reporting Year]],2024,TM[[#All],[Insurance Category Code]],7,TM[[#All],[Large Provider Entity Code]],100))/ICC7_MemberMonths_2024,"NA")</f>
        <v>NA</v>
      </c>
      <c r="R46" s="406" t="str" cm="1">
        <f t="array" ref="R46">IFERROR((SUMIFS(TM[[#All],[Total Non-Claims Spending]],TM[[#All],[Reporting Year]],2025,TM[[#All],[Insurance Category Code]],7,TM[[#All],[Large Provider Entity Code]],100))/ICC7_MemberMonths_2025,"NA")</f>
        <v>NA</v>
      </c>
      <c r="S46" s="407" t="str">
        <f>IFERROR(Table911122757[[#This Row],[2025]]/Table911122757[[#This Row],[2024]]-1,"NA")</f>
        <v>NA</v>
      </c>
    </row>
    <row r="47" spans="1:19" ht="17.399999999999999" thickTop="1" x14ac:dyDescent="0.4">
      <c r="A47" s="107" t="s">
        <v>558</v>
      </c>
      <c r="B47" s="133" t="str">
        <f t="shared" si="3"/>
        <v>NA</v>
      </c>
      <c r="C47" s="133" t="str" cm="1">
        <f t="array" ref="C47">IFERROR((SUMPRODUCT(H25,H47)+SUMPRODUCT(ICC4_MemberMonths_2025,M47)+SUMPRODUCT(ICC7_MemberMonths_2025,R47))/Commercial_MemberMonths_2025,"NA")</f>
        <v>NA</v>
      </c>
      <c r="D47" s="376" t="str">
        <f>IFERROR(Table948[[#This Row],[2025]]/Table948[[#This Row],[2024]]-1,"NA")</f>
        <v>NA</v>
      </c>
      <c r="E47"/>
      <c r="F47" s="107" t="s">
        <v>558</v>
      </c>
      <c r="G47" s="134" t="str">
        <f>IFERROR((SUMIFS(TM[[#All],[Total Non-Truncated Claims and Non-Claims Spending]],TM[[#All],[Reporting Year]],2024,TM[[#All],[Insurance Category Code]],3,TM[[#All],[Large Provider Entity Code]],100))/ICC3_MemberMonths_2024,"NA")</f>
        <v>NA</v>
      </c>
      <c r="H47" s="134" t="str">
        <f>IFERROR((SUMIFS(TM[[#All],[Total Non-Truncated Claims and Non-Claims Spending]],TM[[#All],[Reporting Year]],2025,TM[[#All],[Insurance Category Code]],3,TM[[#All],[Large Provider Entity Code]],100))/H25,"NA")</f>
        <v>NA</v>
      </c>
      <c r="I47" s="376" t="str">
        <f>IFERROR(Table91149[[#This Row],[2025]]/Table91149[[#This Row],[2024]]-1,"NA")</f>
        <v>NA</v>
      </c>
      <c r="J47"/>
      <c r="K47" s="107" t="s">
        <v>558</v>
      </c>
      <c r="L47" s="134" t="str">
        <f>IFERROR((SUMIFS(TM[[#All],[Total Non-Truncated Claims and Non-Claims Spending]],TM[[#All],[Reporting Year]],2024,TM[[#All],[Insurance Category Code]],4,TM[[#All],[Large Provider Entity Code]],100))/ICC4_MemberMonths_2024,"NA")</f>
        <v>NA</v>
      </c>
      <c r="M47" s="134" t="str" cm="1">
        <f t="array" ref="M47">IFERROR((SUMIFS(TM[[#All],[Total Non-Truncated Claims and Non-Claims Spending]],TM[[#All],[Reporting Year]],2025,TM[[#All],[Insurance Category Code]],4,TM[[#All],[Large Provider Entity Code]],100))/ICC4_MemberMonths_2025,"NA")</f>
        <v>NA</v>
      </c>
      <c r="N47" s="446" t="str">
        <f t="shared" si="4"/>
        <v>NA</v>
      </c>
      <c r="O47"/>
      <c r="P47" s="107" t="s">
        <v>558</v>
      </c>
      <c r="Q47" s="134" t="str">
        <f>IFERROR((SUMIFS(TM[[#All],[Total Non-Truncated Claims and Non-Claims Spending]],TM[[#All],[Reporting Year]],2024,TM[[#All],[Insurance Category Code]],7,TM[[#All],[Large Provider Entity Code]],100))/ICC7_MemberMonths_2024,"NA")</f>
        <v>NA</v>
      </c>
      <c r="R47" s="134" t="str" cm="1">
        <f t="array" ref="R47">IFERROR((SUMIFS(TM[[#All],[Total Non-Truncated Claims and Non-Claims Spending]],TM[[#All],[Reporting Year]],2025,TM[[#All],[Insurance Category Code]],7,TM[[#All],[Large Provider Entity Code]],100))/ICC7_MemberMonths_2025,"NA")</f>
        <v>NA</v>
      </c>
      <c r="S47" s="378" t="str">
        <f>IFERROR(Table911122757[[#This Row],[2025]]/Table911122757[[#This Row],[2024]]-1,"NA")</f>
        <v>NA</v>
      </c>
    </row>
    <row r="48" spans="1:19" x14ac:dyDescent="0.4">
      <c r="A48" s="135" t="s">
        <v>559</v>
      </c>
      <c r="B48" s="133" t="str">
        <f t="shared" si="3"/>
        <v>NA</v>
      </c>
      <c r="C48" s="136" t="str" cm="1">
        <f t="array" ref="C48">IFERROR((SUMPRODUCT(H25,H48)+SUMPRODUCT(ICC4_MemberMonths_2025,M48)+SUMPRODUCT(ICC7_MemberMonths_2025,R48))/Commercial_MemberMonths_2025,"NA")</f>
        <v>NA</v>
      </c>
      <c r="D48" s="377" t="str">
        <f>IFERROR(Table948[[#This Row],[2025]]/Table948[[#This Row],[2024]]-1,"NA")</f>
        <v>NA</v>
      </c>
      <c r="E48"/>
      <c r="F48" s="135" t="s">
        <v>559</v>
      </c>
      <c r="G48" s="137" t="str">
        <f>IFERROR((SUMIFS(TM[[#All],[Total Truncated Expenses]],TM[[#All],[Reporting Year]],2024,TM[[#All],[Insurance Category Code]],3,TM[[#All],[Large Provider Entity Code]],100))/ICC3_MemberMonths_2024,"NA")</f>
        <v>NA</v>
      </c>
      <c r="H48" s="137" t="str">
        <f>IFERROR((SUMIFS(TM[[#All],[Total Truncated Expenses]],TM[[#All],[Reporting Year]],2025,TM[[#All],[Insurance Category Code]],3,TM[[#All],[Large Provider Entity Code]],100))/H25,"NA")</f>
        <v>NA</v>
      </c>
      <c r="I48" s="377" t="str">
        <f>IFERROR(Table91149[[#This Row],[2025]]/Table91149[[#This Row],[2024]]-1,"NA")</f>
        <v>NA</v>
      </c>
      <c r="J48"/>
      <c r="K48" s="135" t="s">
        <v>559</v>
      </c>
      <c r="L48" s="137" t="str">
        <f>IFERROR((SUMIFS(TM[[#All],[Total Truncated Expenses]],TM[[#All],[Reporting Year]],2024,TM[[#All],[Insurance Category Code]],4,TM[[#All],[Large Provider Entity Code]],100))/ICC4_MemberMonths_2024,"NA")</f>
        <v>NA</v>
      </c>
      <c r="M48" s="137" t="str" cm="1">
        <f t="array" ref="M48">IFERROR((SUMIFS(TM[[#All],[Total Truncated Expenses]],TM[[#All],[Reporting Year]],2025,TM[[#All],[Insurance Category Code]],4,TM[[#All],[Large Provider Entity Code]],100))/ICC4_MemberMonths_2025,"NA")</f>
        <v>NA</v>
      </c>
      <c r="N48" s="446" t="str">
        <f t="shared" si="4"/>
        <v>NA</v>
      </c>
      <c r="O48"/>
      <c r="P48" s="135" t="s">
        <v>559</v>
      </c>
      <c r="Q48" s="137" t="str">
        <f>IFERROR((SUMIFS(TM[[#All],[Total Truncated Expenses]],TM[[#All],[Reporting Year]],2024,TM[[#All],[Insurance Category Code]],7,TM[[#All],[Large Provider Entity Code]],100))/ICC7_MemberMonths_2024,"NA")</f>
        <v>NA</v>
      </c>
      <c r="R48" s="137" t="str" cm="1">
        <f t="array" ref="R48">IFERROR((SUMIFS(TM[[#All],[Total Truncated Expenses]],TM[[#All],[Reporting Year]],2025,TM[[#All],[Insurance Category Code]],7,TM[[#All],[Large Provider Entity Code]],100))/ICC7_MemberMonths_2025,"NA")</f>
        <v>NA</v>
      </c>
      <c r="S48" s="377" t="str">
        <f>IFERROR(Table911122757[[#This Row],[2025]]/Table911122757[[#This Row],[2024]]-1,"NA")</f>
        <v>NA</v>
      </c>
    </row>
    <row r="49" spans="1:19" x14ac:dyDescent="0.4">
      <c r="A49"/>
      <c r="B49"/>
      <c r="C49"/>
      <c r="D49"/>
      <c r="E49"/>
      <c r="F49"/>
      <c r="G49"/>
      <c r="H49"/>
      <c r="I49"/>
      <c r="J49"/>
      <c r="K49"/>
      <c r="L49"/>
      <c r="M49"/>
      <c r="N49"/>
      <c r="O49"/>
      <c r="P49"/>
      <c r="Q49"/>
      <c r="R49"/>
      <c r="S49"/>
    </row>
    <row r="50" spans="1:19" x14ac:dyDescent="0.4">
      <c r="A50" s="661" t="s">
        <v>495</v>
      </c>
      <c r="B50" s="661"/>
      <c r="C50" s="661"/>
      <c r="D50" s="661"/>
      <c r="E50"/>
      <c r="F50" s="661" t="s">
        <v>496</v>
      </c>
      <c r="G50" s="661"/>
      <c r="H50" s="661"/>
      <c r="I50" s="661"/>
      <c r="J50"/>
      <c r="K50" s="3" t="s">
        <v>497</v>
      </c>
      <c r="L50" s="3"/>
      <c r="M50" s="3"/>
      <c r="N50" s="3"/>
      <c r="O50"/>
      <c r="P50" s="3" t="s">
        <v>498</v>
      </c>
      <c r="Q50" s="3"/>
      <c r="R50" s="3"/>
      <c r="S50" s="3"/>
    </row>
    <row r="51" spans="1:19" ht="30" customHeight="1" x14ac:dyDescent="0.4">
      <c r="A51" s="586" t="s">
        <v>388</v>
      </c>
      <c r="B51" s="586"/>
      <c r="C51" s="586"/>
      <c r="D51" s="586"/>
      <c r="E51"/>
      <c r="F51" s="586" t="s">
        <v>388</v>
      </c>
      <c r="G51" s="586"/>
      <c r="H51" s="586"/>
      <c r="I51" s="586"/>
      <c r="J51"/>
      <c r="K51" s="586" t="s">
        <v>388</v>
      </c>
      <c r="L51" s="586"/>
      <c r="M51" s="586"/>
      <c r="N51" s="586"/>
      <c r="O51"/>
      <c r="P51" s="586" t="s">
        <v>388</v>
      </c>
      <c r="Q51" s="586"/>
      <c r="R51" s="586"/>
      <c r="S51" s="586"/>
    </row>
    <row r="52" spans="1:19" ht="30" customHeight="1" x14ac:dyDescent="0.4">
      <c r="A52" s="587" t="s">
        <v>581</v>
      </c>
      <c r="B52" s="587"/>
      <c r="C52" s="587"/>
      <c r="D52" s="587"/>
      <c r="E52"/>
      <c r="F52" s="587" t="s">
        <v>581</v>
      </c>
      <c r="G52" s="587"/>
      <c r="H52" s="587"/>
      <c r="I52" s="587"/>
      <c r="J52"/>
      <c r="K52" s="587" t="s">
        <v>581</v>
      </c>
      <c r="L52" s="587"/>
      <c r="M52" s="587"/>
      <c r="N52" s="587"/>
      <c r="O52"/>
      <c r="P52" s="587" t="s">
        <v>581</v>
      </c>
      <c r="Q52" s="587"/>
      <c r="R52" s="587"/>
      <c r="S52" s="587"/>
    </row>
    <row r="53" spans="1:19" x14ac:dyDescent="0.4">
      <c r="A53" s="138" t="s">
        <v>493</v>
      </c>
      <c r="B53" s="93" t="s">
        <v>600</v>
      </c>
      <c r="C53" s="140" t="s">
        <v>643</v>
      </c>
      <c r="D53" s="141" t="s">
        <v>476</v>
      </c>
      <c r="E53" s="2"/>
      <c r="F53" s="138" t="s">
        <v>493</v>
      </c>
      <c r="G53" s="93" t="s">
        <v>600</v>
      </c>
      <c r="H53" s="140" t="s">
        <v>643</v>
      </c>
      <c r="I53" s="141" t="s">
        <v>476</v>
      </c>
      <c r="J53"/>
      <c r="K53" s="138" t="s">
        <v>493</v>
      </c>
      <c r="L53" s="139" t="s">
        <v>600</v>
      </c>
      <c r="M53" s="140" t="s">
        <v>643</v>
      </c>
      <c r="N53" s="141" t="s">
        <v>476</v>
      </c>
      <c r="O53"/>
      <c r="P53" s="138" t="s">
        <v>493</v>
      </c>
      <c r="Q53" s="139" t="s">
        <v>600</v>
      </c>
      <c r="R53" s="140" t="s">
        <v>643</v>
      </c>
      <c r="S53" s="141" t="s">
        <v>476</v>
      </c>
    </row>
    <row r="54" spans="1:19" x14ac:dyDescent="0.4">
      <c r="A54" s="129" t="s">
        <v>533</v>
      </c>
      <c r="B54" s="130">
        <f>SUM(G54,L54,Q54)</f>
        <v>0</v>
      </c>
      <c r="C54" s="130">
        <f>SUM(H54,M54,R54)</f>
        <v>0</v>
      </c>
      <c r="D54" s="375" t="str">
        <f>IFERROR(Table91351[[#This Row],[2025]]/Table91351[[#This Row],[2024]]-1,"NA")</f>
        <v>NA</v>
      </c>
      <c r="E54"/>
      <c r="F54" s="129" t="s">
        <v>533</v>
      </c>
      <c r="G54" s="130">
        <f>SUMIFS(TM[[#All],[Member Months]],TM[[#All],[Reporting Year]],2024,TM[[#All],[Insurance Category Code]],1,TM[[#All],[Large Provider Entity Code]],100)</f>
        <v>0</v>
      </c>
      <c r="H54" s="130">
        <f>SUMIFS(TM[[#All],[Member Months]],TM[[#All],[Reporting Year]],2025,TM[[#All],[Insurance Category Code]],1,TM[[#All],[Large Provider Entity Code]],100)</f>
        <v>0</v>
      </c>
      <c r="I54" s="375" t="str">
        <f>IFERROR(Table9111452[[#This Row],[2025]]/Table9111452[[#This Row],[2024]]-1,"NA")</f>
        <v>NA</v>
      </c>
      <c r="J54"/>
      <c r="K54" s="129" t="s">
        <v>533</v>
      </c>
      <c r="L54" s="130">
        <f>SUMIFS(TM[[#All],[Member Months]],TM[[#All],[Reporting Year]],2024,TM[[#All],[Insurance Category Code]],5,TM[[#All],[Large Provider Entity Code]],100)</f>
        <v>0</v>
      </c>
      <c r="M54" s="130">
        <f>SUMIFS(TM[[#All],[Member Months]],TM[[#All],[Reporting Year]],2025,TM[[#All],[Insurance Category Code]],5,TM[[#All],[Large Provider Entity Code]],100)</f>
        <v>0</v>
      </c>
      <c r="N54" s="375" t="str">
        <f>IFERROR(M54/L54-1,"NA")</f>
        <v>NA</v>
      </c>
      <c r="O54"/>
      <c r="P54" s="129" t="s">
        <v>533</v>
      </c>
      <c r="Q54" s="130">
        <f>SUMIFS(TM[[#All],[Member Months]],TM[[#All],[Reporting Year]],2024,TM[[#All],[Insurance Category Code]],8,TM[[#All],[Large Provider Entity Code]],100)</f>
        <v>0</v>
      </c>
      <c r="R54" s="130">
        <f>SUMIFS(TM[[#All],[Member Months]],TM[[#All],[Reporting Year]],2025,TM[[#All],[Insurance Category Code]],8,TM[[#All],[Large Provider Entity Code]],100)</f>
        <v>0</v>
      </c>
      <c r="S54" s="375" t="str">
        <f>IFERROR(Table91112152858[[#This Row],[2025]]/Table91112152858[[#This Row],[2024]]-1,"NA")</f>
        <v>NA</v>
      </c>
    </row>
    <row r="55" spans="1:19" x14ac:dyDescent="0.4">
      <c r="A55" s="132" t="s">
        <v>538</v>
      </c>
      <c r="B55" s="7" t="str">
        <f>IFERROR((SUMPRODUCT(ICC1_MemberMonths_2024,G55)+SUMPRODUCT(ICC5_MemberMonths_2024,L55)+SUMPRODUCT(ICC8_MemberMonths_2024,Q55))/Medicare_MemberMonths_2024,"NA")</f>
        <v>NA</v>
      </c>
      <c r="C55" s="7" t="str" cm="1">
        <f t="array" ref="C55">IFERROR((SUMPRODUCT(ICC1_MemberMonths_2025,H55)+SUMPRODUCT(ICC5_MemberMonths_2025,M55)+SUMPRODUCT(ICC8_MemberMonths_2025,R55))/Medicare_MemberMonths_2025,"NA")</f>
        <v>NA</v>
      </c>
      <c r="D55" s="375" t="str">
        <f>IFERROR(Table91351[[#This Row],[2025]]/Table91351[[#This Row],[2024]]-1,"NA")</f>
        <v>NA</v>
      </c>
      <c r="E55"/>
      <c r="F55" s="132" t="s">
        <v>538</v>
      </c>
      <c r="G55" s="7" t="str">
        <f>IFERROR((SUMIFS(TM[[#All],[Claims: Hospital Inpatient]],TM[[#All],[Reporting Year]],2024,TM[[#All],[Insurance Category Code]],1,TM[[#All],[Large Provider Entity Code]],100))/ICC1_MemberMonths_2024,"NA")</f>
        <v>NA</v>
      </c>
      <c r="H55" s="7" t="str" cm="1">
        <f t="array" ref="H55">IFERROR((SUMIFS(TM[[#All],[Claims: Hospital Inpatient]],TM[[#All],[Reporting Year]],2025,TM[[#All],[Insurance Category Code]],1,TM[[#All],[Large Provider Entity Code]],100))/ICC1_MemberMonths_2025,"NA")</f>
        <v>NA</v>
      </c>
      <c r="I55" s="375" t="str">
        <f>IFERROR(Table9111452[[#This Row],[2025]]/Table9111452[[#This Row],[2024]]-1,"NA")</f>
        <v>NA</v>
      </c>
      <c r="J55"/>
      <c r="K55" s="132" t="s">
        <v>538</v>
      </c>
      <c r="L55" s="7" t="str">
        <f>IFERROR((SUMIFS(TM[[#All],[Claims: Hospital Inpatient]],TM[[#All],[Reporting Year]],2024,TM[[#All],[Insurance Category Code]],5,TM[[#All],[Large Provider Entity Code]],100))/ICC5_MemberMonths_2024,"NA")</f>
        <v>NA</v>
      </c>
      <c r="M55" s="7" t="str" cm="1">
        <f t="array" ref="M55">IFERROR((SUMIFS(TM[[#All],[Claims: Hospital Inpatient]],TM[[#All],[Reporting Year]],2025,TM[[#All],[Insurance Category Code]],5,TM[[#All],[Large Provider Entity Code]],100))/ICC5_MemberMonths_2025,"NA")</f>
        <v>NA</v>
      </c>
      <c r="N55" s="375" t="str">
        <f>IFERROR(M55/L55-1,"NA")</f>
        <v>NA</v>
      </c>
      <c r="O55"/>
      <c r="P55" s="132" t="s">
        <v>538</v>
      </c>
      <c r="Q55" s="7" t="str">
        <f>IFERROR((SUMIFS(TM[[#All],[Claims: Hospital Inpatient]],TM[[#All],[Reporting Year]],2024,TM[[#All],[Insurance Category Code]],8,TM[[#All],[Large Provider Entity Code]],100))/ICC8_MemberMonths_2024,"NA")</f>
        <v>NA</v>
      </c>
      <c r="R55" s="7" t="str" cm="1">
        <f t="array" ref="R55">IFERROR((SUMIFS(TM[[#All],[Claims: Hospital Inpatient]],TM[[#All],[Reporting Year]],2025,TM[[#All],[Insurance Category Code]],8,TM[[#All],[Large Provider Entity Code]],100))/ICC8_MemberMonths_2025,"NA")</f>
        <v>NA</v>
      </c>
      <c r="S55" s="375" t="str">
        <f>IFERROR(Table91112152858[[#This Row],[2025]]/Table91112152858[[#This Row],[2024]]-1,"NA")</f>
        <v>NA</v>
      </c>
    </row>
    <row r="56" spans="1:19" x14ac:dyDescent="0.4">
      <c r="A56" s="132" t="s">
        <v>539</v>
      </c>
      <c r="B56" s="7" t="str">
        <f t="shared" ref="B56:B63" si="5">IFERROR((SUMPRODUCT(ICC1_MemberMonths_2024,G56)+SUMPRODUCT(ICC5_MemberMonths_2024,L56)+SUMPRODUCT(ICC8_MemberMonths_2024,Q56))/Medicare_MemberMonths_2024,"NA")</f>
        <v>NA</v>
      </c>
      <c r="C56" s="7" t="str" cm="1">
        <f t="array" ref="C56">IFERROR((SUMPRODUCT(ICC1_MemberMonths_2025,H56)+SUMPRODUCT(ICC5_MemberMonths_2025,M56)+SUMPRODUCT(ICC8_MemberMonths_2025,R56))/Medicare_MemberMonths_2025,"NA")</f>
        <v>NA</v>
      </c>
      <c r="D56" s="375" t="str">
        <f>IFERROR(Table91351[[#This Row],[2025]]/Table91351[[#This Row],[2024]]-1,"NA")</f>
        <v>NA</v>
      </c>
      <c r="E56"/>
      <c r="F56" s="132" t="s">
        <v>539</v>
      </c>
      <c r="G56" s="7" t="str">
        <f>IFERROR((SUMIFS(TM[[#All],[Claims: Hospital Outpatient]],TM[[#All],[Reporting Year]],2024,TM[[#All],[Insurance Category Code]],1,TM[[#All],[Large Provider Entity Code]],100))/ICC1_MemberMonths_2024,"NA")</f>
        <v>NA</v>
      </c>
      <c r="H56" s="7" t="str" cm="1">
        <f t="array" ref="H56">IFERROR((SUMIFS(TM[[#All],[Claims: Hospital Outpatient]],TM[[#All],[Reporting Year]],2025,TM[[#All],[Insurance Category Code]],1,TM[[#All],[Large Provider Entity Code]],100))/ICC1_MemberMonths_2025,"NA")</f>
        <v>NA</v>
      </c>
      <c r="I56" s="375" t="str">
        <f>IFERROR(Table9111452[[#This Row],[2025]]/Table9111452[[#This Row],[2024]]-1,"NA")</f>
        <v>NA</v>
      </c>
      <c r="J56"/>
      <c r="K56" s="132" t="s">
        <v>539</v>
      </c>
      <c r="L56" s="7" t="str">
        <f>IFERROR((SUMIFS(TM[[#All],[Claims: Hospital Outpatient]],TM[[#All],[Reporting Year]],2024,TM[[#All],[Insurance Category Code]],5,TM[[#All],[Large Provider Entity Code]],100))/ICC5_MemberMonths_2024,"NA")</f>
        <v>NA</v>
      </c>
      <c r="M56" s="7" t="str" cm="1">
        <f t="array" ref="M56">IFERROR((SUMIFS(TM[[#All],[Claims: Hospital Outpatient]],TM[[#All],[Reporting Year]],2025,TM[[#All],[Insurance Category Code]],5,TM[[#All],[Large Provider Entity Code]],100))/ICC5_MemberMonths_2025,"NA")</f>
        <v>NA</v>
      </c>
      <c r="N56" s="375" t="str">
        <f t="shared" ref="N56:N62" si="6">IFERROR(M56/L56-1,"NA")</f>
        <v>NA</v>
      </c>
      <c r="O56"/>
      <c r="P56" s="132" t="s">
        <v>539</v>
      </c>
      <c r="Q56" s="7" t="str">
        <f>IFERROR((SUMIFS(TM[[#All],[Claims: Hospital Outpatient]],TM[[#All],[Reporting Year]],2024,TM[[#All],[Insurance Category Code]],8,TM[[#All],[Large Provider Entity Code]],100))/ICC8_MemberMonths_2024,"NA")</f>
        <v>NA</v>
      </c>
      <c r="R56" s="7" t="str" cm="1">
        <f t="array" ref="R56">IFERROR((SUMIFS(TM[[#All],[Claims: Hospital Outpatient]],TM[[#All],[Reporting Year]],2025,TM[[#All],[Insurance Category Code]],8,TM[[#All],[Large Provider Entity Code]],100))/ICC8_MemberMonths_2025,"NA")</f>
        <v>NA</v>
      </c>
      <c r="S56" s="375" t="str">
        <f>IFERROR(Table91112152858[[#This Row],[2025]]/Table91112152858[[#This Row],[2024]]-1,"NA")</f>
        <v>NA</v>
      </c>
    </row>
    <row r="57" spans="1:19" x14ac:dyDescent="0.4">
      <c r="A57" s="132" t="s">
        <v>540</v>
      </c>
      <c r="B57" s="7" t="str">
        <f t="shared" si="5"/>
        <v>NA</v>
      </c>
      <c r="C57" s="7" t="str" cm="1">
        <f t="array" ref="C57">IFERROR((SUMPRODUCT(ICC1_MemberMonths_2025,H57)+SUMPRODUCT(ICC5_MemberMonths_2025,M57)+SUMPRODUCT(ICC8_MemberMonths_2025,R57))/Medicare_MemberMonths_2025,"NA")</f>
        <v>NA</v>
      </c>
      <c r="D57" s="375" t="str">
        <f>IFERROR(Table91351[[#This Row],[2025]]/Table91351[[#This Row],[2024]]-1,"NA")</f>
        <v>NA</v>
      </c>
      <c r="E57"/>
      <c r="F57" s="132" t="s">
        <v>540</v>
      </c>
      <c r="G57" s="7" t="str">
        <f>IFERROR((SUMIFS(TM[[#All],[Claims: Professional, Primary Care Providers]],TM[[#All],[Reporting Year]],2024,TM[[#All],[Insurance Category Code]],1,TM[[#All],[Large Provider Entity Code]],100))/ICC1_MemberMonths_2024,"NA")</f>
        <v>NA</v>
      </c>
      <c r="H57" s="7" t="str" cm="1">
        <f t="array" ref="H57">IFERROR((SUMIFS(TM[[#All],[Claims: Professional, Primary Care Providers]],TM[[#All],[Reporting Year]],2025,TM[[#All],[Insurance Category Code]],1,TM[[#All],[Large Provider Entity Code]],100))/ICC1_MemberMonths_2025,"NA")</f>
        <v>NA</v>
      </c>
      <c r="I57" s="375" t="str">
        <f>IFERROR(Table9111452[[#This Row],[2025]]/Table9111452[[#This Row],[2024]]-1,"NA")</f>
        <v>NA</v>
      </c>
      <c r="J57"/>
      <c r="K57" s="132" t="s">
        <v>540</v>
      </c>
      <c r="L57" s="7" t="str">
        <f>IFERROR((SUMIFS(TM[[#All],[Claims: Professional, Primary Care Providers]],TM[[#All],[Reporting Year]],2024,TM[[#All],[Insurance Category Code]],5,TM[[#All],[Large Provider Entity Code]],100))/ICC5_MemberMonths_2024,"NA")</f>
        <v>NA</v>
      </c>
      <c r="M57" s="7" t="str" cm="1">
        <f t="array" ref="M57">IFERROR((SUMIFS(TM[[#All],[Claims: Professional, Primary Care Providers]],TM[[#All],[Reporting Year]],2025,TM[[#All],[Insurance Category Code]],5,TM[[#All],[Large Provider Entity Code]],100))/ICC5_MemberMonths_2025,"NA")</f>
        <v>NA</v>
      </c>
      <c r="N57" s="375" t="str">
        <f t="shared" si="6"/>
        <v>NA</v>
      </c>
      <c r="O57"/>
      <c r="P57" s="132" t="s">
        <v>540</v>
      </c>
      <c r="Q57" s="7" t="str">
        <f>IFERROR((SUMIFS(TM[[#All],[Claims: Professional, Primary Care Providers]],TM[[#All],[Reporting Year]],2024,TM[[#All],[Insurance Category Code]],8,TM[[#All],[Large Provider Entity Code]],100))/ICC8_MemberMonths_2024,"NA")</f>
        <v>NA</v>
      </c>
      <c r="R57" s="7" t="str" cm="1">
        <f t="array" ref="R57">IFERROR((SUMIFS(TM[[#All],[Claims: Professional, Primary Care Providers]],TM[[#All],[Reporting Year]],2025,TM[[#All],[Insurance Category Code]],8,TM[[#All],[Large Provider Entity Code]],100))/ICC8_MemberMonths_2025,"NA")</f>
        <v>NA</v>
      </c>
      <c r="S57" s="375" t="str">
        <f>IFERROR(Table91112152858[[#This Row],[2025]]/Table91112152858[[#This Row],[2024]]-1,"NA")</f>
        <v>NA</v>
      </c>
    </row>
    <row r="58" spans="1:19" x14ac:dyDescent="0.4">
      <c r="A58" s="132" t="s">
        <v>541</v>
      </c>
      <c r="B58" s="7" t="str">
        <f t="shared" si="5"/>
        <v>NA</v>
      </c>
      <c r="C58" s="7" t="str" cm="1">
        <f t="array" ref="C58">IFERROR((SUMPRODUCT(ICC1_MemberMonths_2025,H58)+SUMPRODUCT(ICC5_MemberMonths_2025,M58)+SUMPRODUCT(ICC8_MemberMonths_2025,R58))/Medicare_MemberMonths_2025,"NA")</f>
        <v>NA</v>
      </c>
      <c r="D58" s="375" t="str">
        <f>IFERROR(Table91351[[#This Row],[2025]]/Table91351[[#This Row],[2024]]-1,"NA")</f>
        <v>NA</v>
      </c>
      <c r="E58"/>
      <c r="F58" s="132" t="s">
        <v>541</v>
      </c>
      <c r="G58" s="7" t="str">
        <f>IFERROR((SUMIFS(TM[[#All],[Claims: Professional, Specialty Providers]],TM[[#All],[Reporting Year]],2024,TM[[#All],[Insurance Category Code]],1,TM[[#All],[Large Provider Entity Code]],100))/ICC1_MemberMonths_2024,"NA")</f>
        <v>NA</v>
      </c>
      <c r="H58" s="7" t="str" cm="1">
        <f t="array" ref="H58">IFERROR((SUMIFS(TM[[#All],[Claims: Professional, Specialty Providers]],TM[[#All],[Reporting Year]],2025,TM[[#All],[Insurance Category Code]],1,TM[[#All],[Large Provider Entity Code]],100))/ICC1_MemberMonths_2025,"NA")</f>
        <v>NA</v>
      </c>
      <c r="I58" s="375" t="str">
        <f>IFERROR(Table9111452[[#This Row],[2025]]/Table9111452[[#This Row],[2024]]-1,"NA")</f>
        <v>NA</v>
      </c>
      <c r="J58"/>
      <c r="K58" s="132" t="s">
        <v>541</v>
      </c>
      <c r="L58" s="7" t="str">
        <f>IFERROR((SUMIFS(TM[[#All],[Claims: Professional, Specialty Providers]],TM[[#All],[Reporting Year]],2024,TM[[#All],[Insurance Category Code]],5,TM[[#All],[Large Provider Entity Code]],100))/ICC5_MemberMonths_2024,"NA")</f>
        <v>NA</v>
      </c>
      <c r="M58" s="7" t="str" cm="1">
        <f t="array" ref="M58">IFERROR((SUMIFS(TM[[#All],[Claims: Professional, Specialty Providers]],TM[[#All],[Reporting Year]],2025,TM[[#All],[Insurance Category Code]],5,TM[[#All],[Large Provider Entity Code]],100))/ICC5_MemberMonths_2025,"NA")</f>
        <v>NA</v>
      </c>
      <c r="N58" s="375" t="str">
        <f t="shared" si="6"/>
        <v>NA</v>
      </c>
      <c r="O58"/>
      <c r="P58" s="132" t="s">
        <v>541</v>
      </c>
      <c r="Q58" s="7" t="str">
        <f>IFERROR((SUMIFS(TM[[#All],[Claims: Professional, Specialty Providers]],TM[[#All],[Reporting Year]],2024,TM[[#All],[Insurance Category Code]],8,TM[[#All],[Large Provider Entity Code]],100))/ICC8_MemberMonths_2024,"NA")</f>
        <v>NA</v>
      </c>
      <c r="R58" s="7" t="str" cm="1">
        <f t="array" ref="R58">IFERROR((SUMIFS(TM[[#All],[Claims: Professional, Specialty Providers]],TM[[#All],[Reporting Year]],2025,TM[[#All],[Insurance Category Code]],8,TM[[#All],[Large Provider Entity Code]],100))/ICC8_MemberMonths_2025,"NA")</f>
        <v>NA</v>
      </c>
      <c r="S58" s="375" t="str">
        <f>IFERROR(Table91112152858[[#This Row],[2025]]/Table91112152858[[#This Row],[2024]]-1,"NA")</f>
        <v>NA</v>
      </c>
    </row>
    <row r="59" spans="1:19" x14ac:dyDescent="0.4">
      <c r="A59" s="132" t="s">
        <v>542</v>
      </c>
      <c r="B59" s="7" t="str">
        <f t="shared" si="5"/>
        <v>NA</v>
      </c>
      <c r="C59" s="7" t="str" cm="1">
        <f t="array" ref="C59">IFERROR((SUMPRODUCT(ICC1_MemberMonths_2025,H59)+SUMPRODUCT(ICC5_MemberMonths_2025,M59)+SUMPRODUCT(ICC8_MemberMonths_2025,R59))/Medicare_MemberMonths_2025,"NA")</f>
        <v>NA</v>
      </c>
      <c r="D59" s="375" t="str">
        <f>IFERROR(Table91351[[#This Row],[2025]]/Table91351[[#This Row],[2024]]-1,"NA")</f>
        <v>NA</v>
      </c>
      <c r="E59"/>
      <c r="F59" s="132" t="s">
        <v>542</v>
      </c>
      <c r="G59" s="7" t="str">
        <f>IFERROR((SUMIFS(TM[[#All],[Claims: Professional, Other Providers]],TM[[#All],[Reporting Year]],2024,TM[[#All],[Insurance Category Code]],1,TM[[#All],[Large Provider Entity Code]],100))/ICC1_MemberMonths_2024,"NA")</f>
        <v>NA</v>
      </c>
      <c r="H59" s="7" t="str" cm="1">
        <f t="array" ref="H59">IFERROR((SUMIFS(TM[[#All],[Claims: Professional, Other Providers]],TM[[#All],[Reporting Year]],2025,TM[[#All],[Insurance Category Code]],1,TM[[#All],[Large Provider Entity Code]],100))/ICC1_MemberMonths_2025,"NA")</f>
        <v>NA</v>
      </c>
      <c r="I59" s="375" t="str">
        <f>IFERROR(Table9111452[[#This Row],[2025]]/Table9111452[[#This Row],[2024]]-1,"NA")</f>
        <v>NA</v>
      </c>
      <c r="J59"/>
      <c r="K59" s="132" t="s">
        <v>542</v>
      </c>
      <c r="L59" s="7" t="str">
        <f>IFERROR((SUMIFS(TM[[#All],[Claims: Professional, Other Providers]],TM[[#All],[Reporting Year]],2024,TM[[#All],[Insurance Category Code]],5,TM[[#All],[Large Provider Entity Code]],100))/ICC5_MemberMonths_2024,"NA")</f>
        <v>NA</v>
      </c>
      <c r="M59" s="7" t="str" cm="1">
        <f t="array" ref="M59">IFERROR((SUMIFS(TM[[#All],[Claims: Professional, Other Providers]],TM[[#All],[Reporting Year]],2025,TM[[#All],[Insurance Category Code]],5,TM[[#All],[Large Provider Entity Code]],100))/ICC5_MemberMonths_2025,"NA")</f>
        <v>NA</v>
      </c>
      <c r="N59" s="375" t="str">
        <f t="shared" si="6"/>
        <v>NA</v>
      </c>
      <c r="O59"/>
      <c r="P59" s="132" t="s">
        <v>542</v>
      </c>
      <c r="Q59" s="7" t="str">
        <f>IFERROR((SUMIFS(TM[[#All],[Claims: Professional, Other Providers]],TM[[#All],[Reporting Year]],2024,TM[[#All],[Insurance Category Code]],8,TM[[#All],[Large Provider Entity Code]],100))/ICC8_MemberMonths_2024,"NA")</f>
        <v>NA</v>
      </c>
      <c r="R59" s="7" t="str" cm="1">
        <f t="array" ref="R59">IFERROR((SUMIFS(TM[[#All],[Claims: Professional, Other Providers]],TM[[#All],[Reporting Year]],2025,TM[[#All],[Insurance Category Code]],8,TM[[#All],[Large Provider Entity Code]],100))/ICC8_MemberMonths_2025,"NA")</f>
        <v>NA</v>
      </c>
      <c r="S59" s="375" t="str">
        <f>IFERROR(Table91112152858[[#This Row],[2025]]/Table91112152858[[#This Row],[2024]]-1,"NA")</f>
        <v>NA</v>
      </c>
    </row>
    <row r="60" spans="1:19" x14ac:dyDescent="0.4">
      <c r="A60" s="132" t="s">
        <v>543</v>
      </c>
      <c r="B60" s="7" t="str">
        <f t="shared" si="5"/>
        <v>NA</v>
      </c>
      <c r="C60" s="7" t="str" cm="1">
        <f t="array" ref="C60">IFERROR((SUMPRODUCT(ICC1_MemberMonths_2025,H60)+SUMPRODUCT(ICC5_MemberMonths_2025,M60)+SUMPRODUCT(ICC8_MemberMonths_2025,R60))/Medicare_MemberMonths_2025,"NA")</f>
        <v>NA</v>
      </c>
      <c r="D60" s="375" t="str">
        <f>IFERROR(Table91351[[#This Row],[2025]]/Table91351[[#This Row],[2024]]-1,"NA")</f>
        <v>NA</v>
      </c>
      <c r="E60"/>
      <c r="F60" s="132" t="s">
        <v>543</v>
      </c>
      <c r="G60" s="7" t="str">
        <f>IFERROR((SUMIFS(TM[[#All],[Claims: Long-Term Care]],TM[[#All],[Reporting Year]],2024,TM[[#All],[Insurance Category Code]],1,TM[[#All],[Large Provider Entity Code]],100))/ICC1_MemberMonths_2024,"NA")</f>
        <v>NA</v>
      </c>
      <c r="H60" s="7" t="str" cm="1">
        <f t="array" ref="H60">IFERROR((SUMIFS(TM[[#All],[Claims: Long-Term Care]],TM[[#All],[Reporting Year]],2025,TM[[#All],[Insurance Category Code]],1,TM[[#All],[Large Provider Entity Code]],100))/ICC1_MemberMonths_2025,"NA")</f>
        <v>NA</v>
      </c>
      <c r="I60" s="375" t="str">
        <f>IFERROR(Table9111452[[#This Row],[2025]]/Table9111452[[#This Row],[2024]]-1,"NA")</f>
        <v>NA</v>
      </c>
      <c r="J60"/>
      <c r="K60" s="132" t="s">
        <v>543</v>
      </c>
      <c r="L60" s="7" t="str">
        <f>IFERROR((SUMIFS(TM[[#All],[Claims: Long-Term Care]],TM[[#All],[Reporting Year]],2024,TM[[#All],[Insurance Category Code]],5,TM[[#All],[Large Provider Entity Code]],100))/ICC5_MemberMonths_2024,"NA")</f>
        <v>NA</v>
      </c>
      <c r="M60" s="7" t="str" cm="1">
        <f t="array" ref="M60">IFERROR((SUMIFS(TM[[#All],[Claims: Long-Term Care]],TM[[#All],[Reporting Year]],2025,TM[[#All],[Insurance Category Code]],5,TM[[#All],[Large Provider Entity Code]],100))/ICC5_MemberMonths_2025,"NA")</f>
        <v>NA</v>
      </c>
      <c r="N60" s="375" t="str">
        <f t="shared" si="6"/>
        <v>NA</v>
      </c>
      <c r="O60"/>
      <c r="P60" s="132" t="s">
        <v>543</v>
      </c>
      <c r="Q60" s="7" t="str">
        <f>IFERROR((SUMIFS(TM[[#All],[Claims: Long-Term Care]],TM[[#All],[Reporting Year]],2024,TM[[#All],[Insurance Category Code]],8,TM[[#All],[Large Provider Entity Code]],100))/ICC8_MemberMonths_2024,"NA")</f>
        <v>NA</v>
      </c>
      <c r="R60" s="7" t="str" cm="1">
        <f t="array" ref="R60">IFERROR((SUMIFS(TM[[#All],[Claims: Long-Term Care]],TM[[#All],[Reporting Year]],2025,TM[[#All],[Insurance Category Code]],8,TM[[#All],[Large Provider Entity Code]],100))/ICC8_MemberMonths_2025,"NA")</f>
        <v>NA</v>
      </c>
      <c r="S60" s="375" t="str">
        <f>IFERROR(Table91112152858[[#This Row],[2025]]/Table91112152858[[#This Row],[2024]]-1,"NA")</f>
        <v>NA</v>
      </c>
    </row>
    <row r="61" spans="1:19" x14ac:dyDescent="0.4">
      <c r="A61" s="132" t="s">
        <v>544</v>
      </c>
      <c r="B61" s="7" t="str">
        <f t="shared" si="5"/>
        <v>NA</v>
      </c>
      <c r="C61" s="7" t="str" cm="1">
        <f t="array" ref="C61">IFERROR((SUMPRODUCT(ICC1_MemberMonths_2025,H61)+SUMPRODUCT(ICC5_MemberMonths_2025,M61)+SUMPRODUCT(ICC8_MemberMonths_2025,R61))/Medicare_MemberMonths_2025,"NA")</f>
        <v>NA</v>
      </c>
      <c r="D61" s="375" t="str">
        <f>IFERROR(Table91351[[#This Row],[2025]]/Table91351[[#This Row],[2024]]-1,"NA")</f>
        <v>NA</v>
      </c>
      <c r="E61"/>
      <c r="F61" s="132" t="s">
        <v>544</v>
      </c>
      <c r="G61" s="7" t="str">
        <f>IFERROR((SUMIFS(TM[[#All],[Claims: Retail Pharmacy]],TM[[#All],[Reporting Year]],2024,TM[[#All],[Insurance Category Code]],1,TM[[#All],[Large Provider Entity Code]],100))/ICC1_MemberMonths_2024,"NA")</f>
        <v>NA</v>
      </c>
      <c r="H61" s="7" t="str" cm="1">
        <f t="array" ref="H61">IFERROR((SUMIFS(TM[[#All],[Claims: Retail Pharmacy]],TM[[#All],[Reporting Year]],2025,TM[[#All],[Insurance Category Code]],1,TM[[#All],[Large Provider Entity Code]],100))/ICC1_MemberMonths_2025,"NA")</f>
        <v>NA</v>
      </c>
      <c r="I61" s="375" t="str">
        <f>IFERROR(Table9111452[[#This Row],[2025]]/Table9111452[[#This Row],[2024]]-1,"NA")</f>
        <v>NA</v>
      </c>
      <c r="J61"/>
      <c r="K61" s="132" t="s">
        <v>544</v>
      </c>
      <c r="L61" s="7" t="str">
        <f>IFERROR((SUMIFS(TM[[#All],[Claims: Retail Pharmacy]],TM[[#All],[Reporting Year]],2024,TM[[#All],[Insurance Category Code]],5,TM[[#All],[Large Provider Entity Code]],100))/ICC5_MemberMonths_2024,"NA")</f>
        <v>NA</v>
      </c>
      <c r="M61" s="7" t="str" cm="1">
        <f t="array" ref="M61">IFERROR((SUMIFS(TM[[#All],[Claims: Retail Pharmacy]],TM[[#All],[Reporting Year]],2025,TM[[#All],[Insurance Category Code]],5,TM[[#All],[Large Provider Entity Code]],100))/ICC5_MemberMonths_2025,"NA")</f>
        <v>NA</v>
      </c>
      <c r="N61" s="375" t="str">
        <f t="shared" si="6"/>
        <v>NA</v>
      </c>
      <c r="O61"/>
      <c r="P61" s="132" t="s">
        <v>544</v>
      </c>
      <c r="Q61" s="7" t="str">
        <f>IFERROR((SUMIFS(TM[[#All],[Claims: Retail Pharmacy]],TM[[#All],[Reporting Year]],2024,TM[[#All],[Insurance Category Code]],8,TM[[#All],[Large Provider Entity Code]],100))/ICC8_MemberMonths_2024,"NA")</f>
        <v>NA</v>
      </c>
      <c r="R61" s="7" t="str" cm="1">
        <f t="array" ref="R61">IFERROR((SUMIFS(TM[[#All],[Claims: Retail Pharmacy]],TM[[#All],[Reporting Year]],2025,TM[[#All],[Insurance Category Code]],8,TM[[#All],[Large Provider Entity Code]],100))/ICC8_MemberMonths_2025,"NA")</f>
        <v>NA</v>
      </c>
      <c r="S61" s="375" t="str">
        <f>IFERROR(Table91112152858[[#This Row],[2025]]/Table91112152858[[#This Row],[2024]]-1,"NA")</f>
        <v>NA</v>
      </c>
    </row>
    <row r="62" spans="1:19" x14ac:dyDescent="0.4">
      <c r="A62" s="132" t="s">
        <v>545</v>
      </c>
      <c r="B62" s="7" t="str">
        <f t="shared" si="5"/>
        <v>NA</v>
      </c>
      <c r="C62" s="7" t="str" cm="1">
        <f t="array" ref="C62">IFERROR((SUMPRODUCT(ICC1_MemberMonths_2025,H62)+SUMPRODUCT(ICC5_MemberMonths_2025,M62)+SUMPRODUCT(ICC8_MemberMonths_2025,R62))/Medicare_MemberMonths_2025,"NA")</f>
        <v>NA</v>
      </c>
      <c r="D62" s="375" t="str">
        <f>IFERROR(Table91351[[#This Row],[2025]]/Table91351[[#This Row],[2024]]-1,"NA")</f>
        <v>NA</v>
      </c>
      <c r="E62"/>
      <c r="F62" s="132" t="s">
        <v>545</v>
      </c>
      <c r="G62" s="7" t="str">
        <f>IFERROR(((SUMIFS(TM[[#All],[Claims: Retail Pharmacy]],TM[[#All],[Reporting Year]],2024,TM[[#All],[Insurance Category Code]],1,TM[[#All],[Large Provider Entity Code]],100))-ABS(SUMIFS(RX[[#All],[Total Medical and Retail Pharmacy Rebate Amount]],RX[[#All],[Reporting Year]],2024,RX[[#All],[Insurance Category Code]],1)))/ICC1_MemberMonths_2024,"NA")</f>
        <v>NA</v>
      </c>
      <c r="H62" s="7" t="str" cm="1">
        <f t="array" ref="H62">IFERROR(((SUMIFS(TM[[#All],[Claims: Retail Pharmacy]],TM[[#All],[Reporting Year]],2025,TM[[#All],[Insurance Category Code]],1,TM[[#All],[Large Provider Entity Code]],100))-ABS(SUMIFS(RX[[#All],[Total Medical and Retail Pharmacy Rebate Amount]],RX[[#All],[Reporting Year]],2025,RX[[#All],[Insurance Category Code]],1)))/ICC1_MemberMonths_2025,"NA")</f>
        <v>NA</v>
      </c>
      <c r="I62" s="375" t="str">
        <f>IFERROR(Table9111452[[#This Row],[2025]]/Table9111452[[#This Row],[2024]]-1,"NA")</f>
        <v>NA</v>
      </c>
      <c r="J62"/>
      <c r="K62" s="132" t="s">
        <v>545</v>
      </c>
      <c r="L62" s="7" t="str">
        <f>IFERROR(((SUMIFS(TM[[#All],[Claims: Retail Pharmacy]],TM[[#All],[Reporting Year]],2024,TM[[#All],[Insurance Category Code]],5,TM[[#All],[Large Provider Entity Code]],100))-ABS(SUMIFS(RX[[#All],[Total Medical and Retail Pharmacy Rebate Amount]],RX[[#All],[Reporting Year]],2024,RX[[#All],[Insurance Category Code]],5)))/ICC5_MemberMonths_2024,"NA")</f>
        <v>NA</v>
      </c>
      <c r="M62" s="7" t="str" cm="1">
        <f t="array" ref="M62">IFERROR(((SUMIFS(TM[[#All],[Claims: Retail Pharmacy]],TM[[#All],[Reporting Year]],2025,TM[[#All],[Insurance Category Code]],5,TM[[#All],[Large Provider Entity Code]],100))-ABS(SUMIFS(RX[[#All],[Total Medical and Retail Pharmacy Rebate Amount]],RX[[#All],[Reporting Year]],2025,RX[[#All],[Insurance Category Code]],5)))/ICC5_MemberMonths_2025,"NA")</f>
        <v>NA</v>
      </c>
      <c r="N62" s="375" t="str">
        <f t="shared" si="6"/>
        <v>NA</v>
      </c>
      <c r="O62"/>
      <c r="P62" s="132" t="s">
        <v>545</v>
      </c>
      <c r="Q62" s="7" t="str">
        <f>IFERROR(((SUMIFS(TM[[#All],[Claims: Retail Pharmacy]],TM[[#All],[Reporting Year]],2024,TM[[#All],[Insurance Category Code]],8,TM[[#All],[Large Provider Entity Code]],100))-ABS(SUMIFS(RX[[#All],[Total Medical and Retail Pharmacy Rebate Amount]],RX[[#All],[Reporting Year]],2024,RX[[#All],[Insurance Category Code]],8)))/ICC8_MemberMonths_2024,"NA")</f>
        <v>NA</v>
      </c>
      <c r="R62" s="7" t="str" cm="1">
        <f t="array" ref="R62">IFERROR(((SUMIFS(TM[[#All],[Claims: Retail Pharmacy]],TM[[#All],[Reporting Year]],2025,TM[[#All],[Insurance Category Code]],8,TM[[#All],[Large Provider Entity Code]],100))-ABS(SUMIFS(RX[[#All],[Total Medical and Retail Pharmacy Rebate Amount]],RX[[#All],[Reporting Year]],2025,RX[[#All],[Insurance Category Code]],8)))/ICC8_MemberMonths_2025,"NA")</f>
        <v>NA</v>
      </c>
      <c r="S62" s="375" t="str">
        <f>IFERROR(Table91112152858[[#This Row],[2025]]/Table91112152858[[#This Row],[2024]]-1,"NA")</f>
        <v>NA</v>
      </c>
    </row>
    <row r="63" spans="1:19" x14ac:dyDescent="0.4">
      <c r="A63" s="132" t="s">
        <v>546</v>
      </c>
      <c r="B63" s="7" t="str">
        <f t="shared" si="5"/>
        <v>NA</v>
      </c>
      <c r="C63" s="7" t="str" cm="1">
        <f t="array" ref="C63">IFERROR((SUMPRODUCT(ICC1_MemberMonths_2025,H63)+SUMPRODUCT(ICC5_MemberMonths_2025,M63)+SUMPRODUCT(ICC8_MemberMonths_2025,R63))/Medicare_MemberMonths_2025,"NA")</f>
        <v>NA</v>
      </c>
      <c r="D63" s="375" t="str">
        <f>IFERROR(Table91351[[#This Row],[2025]]/Table91351[[#This Row],[2024]]-1,"NA")</f>
        <v>NA</v>
      </c>
      <c r="E63"/>
      <c r="F63" s="132" t="s">
        <v>546</v>
      </c>
      <c r="G63" s="7" t="str">
        <f>IFERROR(SUMIFS(RX[[#All],[Total Medical and Retail Pharmacy Rebate Amount]],RX[[#All],[Reporting Year]],2024,RX[[#All],[Insurance Category Code]],1)/ICC1_MemberMonths_2024,"NA")</f>
        <v>NA</v>
      </c>
      <c r="H63" s="7" t="str" cm="1">
        <f t="array" ref="H63">IFERROR(SUMIFS(RX[[#All],[Total Medical and Retail Pharmacy Rebate Amount]],RX[[#All],[Reporting Year]],2025,RX[[#All],[Insurance Category Code]],1)/ICC1_MemberMonths_2025,"NA")</f>
        <v>NA</v>
      </c>
      <c r="I63" s="375" t="str">
        <f>IFERROR(Table9111452[[#This Row],[2025]]/Table9111452[[#This Row],[2024]]-1,"NA")</f>
        <v>NA</v>
      </c>
      <c r="J63"/>
      <c r="K63" s="132" t="s">
        <v>546</v>
      </c>
      <c r="L63" s="7" t="str">
        <f>IFERROR(SUMIFS(RX[[#All],[Total Medical and Retail Pharmacy Rebate Amount]],RX[[#All],[Reporting Year]],2024,RX[[#All],[Insurance Category Code]],5)/ICC5_MemberMonths_2024,"NA")</f>
        <v>NA</v>
      </c>
      <c r="M63" s="7" t="str" cm="1">
        <f t="array" ref="M63">IFERROR(SUMIFS(RX[[#All],[Total Medical and Retail Pharmacy Rebate Amount]],RX[[#All],[Reporting Year]],2025,RX[[#All],[Insurance Category Code]],5)/ICC5_MemberMonths_2025,"NA")</f>
        <v>NA</v>
      </c>
      <c r="N63" s="375" t="str">
        <f>IFERROR(M63/L63-1,"NA")</f>
        <v>NA</v>
      </c>
      <c r="O63"/>
      <c r="P63" s="132" t="s">
        <v>546</v>
      </c>
      <c r="Q63" s="7" t="str">
        <f>IFERROR(SUMIFS(RX[[#All],[Total Medical and Retail Pharmacy Rebate Amount]],RX[[#All],[Reporting Year]],2024,RX[[#All],[Insurance Category Code]],8)/ICC8_MemberMonths_2024,"NA")</f>
        <v>NA</v>
      </c>
      <c r="R63" s="7" t="str" cm="1">
        <f t="array" ref="R63">IFERROR(SUMIFS(RX[[#All],[Total Medical and Retail Pharmacy Rebate Amount]],RX[[#All],[Reporting Year]],2025,RX[[#All],[Insurance Category Code]],8)/ICC8_MemberMonths_2025,"NA")</f>
        <v>NA</v>
      </c>
      <c r="S63" s="375" t="str">
        <f>IFERROR(Table91112152858[[#This Row],[2025]]/Table91112152858[[#This Row],[2024]]-1,"NA")</f>
        <v>NA</v>
      </c>
    </row>
    <row r="64" spans="1:19" s="148" customFormat="1" x14ac:dyDescent="0.4">
      <c r="A64" s="427" t="s">
        <v>494</v>
      </c>
      <c r="B64" s="166" t="str">
        <f>IFERROR(ABS(B63/B61),"NA")</f>
        <v>NA</v>
      </c>
      <c r="C64" s="166" t="str">
        <f>IFERROR(ABS(C63/C61),"NA")</f>
        <v>NA</v>
      </c>
      <c r="D64" s="448" t="s">
        <v>470</v>
      </c>
      <c r="E64" s="3"/>
      <c r="F64" s="427" t="s">
        <v>494</v>
      </c>
      <c r="G64" s="166" t="str">
        <f>IFERROR(ABS(G63/G61),"NA")</f>
        <v>NA</v>
      </c>
      <c r="H64" s="166" t="str">
        <f>IFERROR(ABS(H63/H61),"NA")</f>
        <v>NA</v>
      </c>
      <c r="I64" s="448" t="s">
        <v>470</v>
      </c>
      <c r="J64" s="3"/>
      <c r="K64" s="427" t="s">
        <v>494</v>
      </c>
      <c r="L64" s="166" t="str">
        <f>IFERROR(ABS(L63/L61),"NA")</f>
        <v>NA</v>
      </c>
      <c r="M64" s="166" t="str">
        <f>IFERROR(ABS(M63/M61),"NA")</f>
        <v>NA</v>
      </c>
      <c r="N64" s="448" t="s">
        <v>470</v>
      </c>
      <c r="O64" s="3"/>
      <c r="P64" s="427" t="s">
        <v>494</v>
      </c>
      <c r="Q64" s="166" t="str">
        <f>IFERROR(ABS(Q63/Q61),"NA")</f>
        <v>NA</v>
      </c>
      <c r="R64" s="426" t="str">
        <f>IFERROR(ABS(R63/R61),"NA")</f>
        <v>NA</v>
      </c>
      <c r="S64" s="448" t="s">
        <v>470</v>
      </c>
    </row>
    <row r="65" spans="1:19" s="148" customFormat="1" x14ac:dyDescent="0.4">
      <c r="A65" s="132" t="s">
        <v>547</v>
      </c>
      <c r="B65" s="7" t="str">
        <f t="shared" ref="B65:B77" si="7">IFERROR((SUMPRODUCT(ICC1_MemberMonths_2024,G65)+SUMPRODUCT(ICC5_MemberMonths_2024,L65)+SUMPRODUCT(ICC8_MemberMonths_2024,Q65))/Medicare_MemberMonths_2024,"NA")</f>
        <v>NA</v>
      </c>
      <c r="C65" s="7" t="str" cm="1">
        <f t="array" ref="C65">IFERROR((SUMPRODUCT(ICC1_MemberMonths_2025,H65)+SUMPRODUCT(ICC5_MemberMonths_2025,M65)+SUMPRODUCT(ICC8_MemberMonths_2025,R65))/Medicare_MemberMonths_2025,"NA")</f>
        <v>NA</v>
      </c>
      <c r="D65" s="375" t="str">
        <f>IFERROR(Table91351[[#This Row],[2025]]/Table91351[[#This Row],[2024]]-1,"NA")</f>
        <v>NA</v>
      </c>
      <c r="E65" s="3"/>
      <c r="F65" s="132" t="s">
        <v>547</v>
      </c>
      <c r="G65" s="7" t="str">
        <f>IFERROR((SUMIFS(TM[[#All],[Claims: Other]],TM[[#All],[Reporting Year]],2024,TM[[#All],[Insurance Category Code]],1,TM[[#All],[Large Provider Entity Code]],100))/ICC1_MemberMonths_2024,"NA")</f>
        <v>NA</v>
      </c>
      <c r="H65" s="7" t="str" cm="1">
        <f t="array" ref="H65">IFERROR((SUMIFS(TM[[#All],[Claims: Other]],TM[[#All],[Reporting Year]],2025,TM[[#All],[Insurance Category Code]],1,TM[[#All],[Large Provider Entity Code]],100))/ICC1_MemberMonths_2025,"NA")</f>
        <v>NA</v>
      </c>
      <c r="I65" s="375" t="str">
        <f>IFERROR(Table9111452[[#This Row],[2025]]/Table9111452[[#This Row],[2024]]-1,"NA")</f>
        <v>NA</v>
      </c>
      <c r="J65" s="3"/>
      <c r="K65" s="132" t="s">
        <v>547</v>
      </c>
      <c r="L65" s="7" t="str">
        <f>IFERROR((SUMIFS(TM[[#All],[Claims: Other]],TM[[#All],[Reporting Year]],2024,TM[[#All],[Insurance Category Code]],5,TM[[#All],[Large Provider Entity Code]],100))/ICC5_MemberMonths_2024,"NA")</f>
        <v>NA</v>
      </c>
      <c r="M65" s="7" t="str" cm="1">
        <f t="array" ref="M65">IFERROR((SUMIFS(TM[[#All],[Claims: Other]],TM[[#All],[Reporting Year]],2025,TM[[#All],[Insurance Category Code]],5,TM[[#All],[Large Provider Entity Code]],100))/ICC5_MemberMonths_2025,"NA")</f>
        <v>NA</v>
      </c>
      <c r="N65" s="375" t="str">
        <f t="shared" ref="N65:N67" si="8">IFERROR(M65/L65-1,"NA")</f>
        <v>NA</v>
      </c>
      <c r="O65" s="3"/>
      <c r="P65" s="132" t="s">
        <v>547</v>
      </c>
      <c r="Q65" s="7" t="str">
        <f>IFERROR((SUMIFS(TM[[#All],[Claims: Other]],TM[[#All],[Reporting Year]],2024,TM[[#All],[Insurance Category Code]],8,TM[[#All],[Large Provider Entity Code]],100))/ICC8_MemberMonths_2024,"NA")</f>
        <v>NA</v>
      </c>
      <c r="R65" s="7" t="str" cm="1">
        <f t="array" ref="R65">IFERROR((SUMIFS(TM[[#All],[Claims: Other]],TM[[#All],[Reporting Year]],2025,TM[[#All],[Insurance Category Code]],8,TM[[#All],[Large Provider Entity Code]],100))/ICC8_MemberMonths_2025,"NA")</f>
        <v>NA</v>
      </c>
      <c r="S65" s="375" t="str">
        <f>IFERROR(Table91112152858[[#This Row],[2025]]/Table91112152858[[#This Row],[2024]]-1,"NA")</f>
        <v>NA</v>
      </c>
    </row>
    <row r="66" spans="1:19" x14ac:dyDescent="0.4">
      <c r="A66" s="402" t="s">
        <v>548</v>
      </c>
      <c r="B66" s="123" t="str">
        <f t="shared" si="7"/>
        <v>NA</v>
      </c>
      <c r="C66" s="123" t="str" cm="1">
        <f t="array" ref="C66">IFERROR((SUMPRODUCT(ICC1_MemberMonths_2025,H66)+SUMPRODUCT(ICC5_MemberMonths_2025,M66)+SUMPRODUCT(ICC8_MemberMonths_2025,R66))/Medicare_MemberMonths_2025,"NA")</f>
        <v>NA</v>
      </c>
      <c r="D66" s="403" t="str">
        <f>IFERROR(Table91351[[#This Row],[2025]]/Table91351[[#This Row],[2024]]-1,"NA")</f>
        <v>NA</v>
      </c>
      <c r="E66"/>
      <c r="F66" s="402" t="s">
        <v>548</v>
      </c>
      <c r="G66" s="404" t="str">
        <f>IFERROR((SUMIFS(TM[[#All],[Total Non-Truncated Claims Spending]],TM[[#All],[Reporting Year]],2024,TM[[#All],[Insurance Category Code]],1,TM[[#All],[Large Provider Entity Code]],100))/ICC1_MemberMonths_2024,"NA")</f>
        <v>NA</v>
      </c>
      <c r="H66" s="404" t="str" cm="1">
        <f t="array" ref="H66">IFERROR((SUMIFS(TM[[#All],[Total Non-Truncated Claims Spending]],TM[[#All],[Reporting Year]],2025,TM[[#All],[Insurance Category Code]],1,TM[[#All],[Large Provider Entity Code]],100))/ICC1_MemberMonths_2025,"NA")</f>
        <v>NA</v>
      </c>
      <c r="I66" s="403" t="str">
        <f>IFERROR(Table9111452[[#This Row],[2025]]/Table9111452[[#This Row],[2024]]-1,"NA")</f>
        <v>NA</v>
      </c>
      <c r="J66"/>
      <c r="K66" s="402" t="s">
        <v>548</v>
      </c>
      <c r="L66" s="404" t="str">
        <f>IFERROR((SUMIFS(TM[[#All],[Total Non-Truncated Claims Spending]],TM[[#All],[Reporting Year]],2024,TM[[#All],[Insurance Category Code]],5,TM[[#All],[Large Provider Entity Code]],100))/ICC5_MemberMonths_2024,"NA")</f>
        <v>NA</v>
      </c>
      <c r="M66" s="404" t="str" cm="1">
        <f t="array" ref="M66">IFERROR((SUMIFS(TM[[#All],[Total Non-Truncated Claims Spending]],TM[[#All],[Reporting Year]],2025,TM[[#All],[Insurance Category Code]],5,TM[[#All],[Large Provider Entity Code]],100))/ICC5_MemberMonths_2025,"NA")</f>
        <v>NA</v>
      </c>
      <c r="N66" s="403" t="str">
        <f t="shared" si="8"/>
        <v>NA</v>
      </c>
      <c r="O66"/>
      <c r="P66" s="402" t="s">
        <v>548</v>
      </c>
      <c r="Q66" s="404" t="str">
        <f>IFERROR((SUMIFS(TM[[#All],[Total Non-Truncated Claims Spending]],TM[[#All],[Reporting Year]],2024,TM[[#All],[Insurance Category Code]],8,TM[[#All],[Large Provider Entity Code]],100))/ICC8_MemberMonths_2024,"NA")</f>
        <v>NA</v>
      </c>
      <c r="R66" s="404" t="str" cm="1">
        <f t="array" ref="R66">IFERROR((SUMIFS(TM[[#All],[Total Non-Truncated Claims Spending]],TM[[#All],[Reporting Year]],2025,TM[[#All],[Insurance Category Code]],8,TM[[#All],[Large Provider Entity Code]],100))/ICC8_MemberMonths_2025,"NA")</f>
        <v>NA</v>
      </c>
      <c r="S66" s="403" t="str">
        <f>IFERROR(R66/O66-1,"NA")</f>
        <v>NA</v>
      </c>
    </row>
    <row r="67" spans="1:19" x14ac:dyDescent="0.4">
      <c r="A67" s="402" t="s">
        <v>549</v>
      </c>
      <c r="B67" s="123" t="str">
        <f t="shared" si="7"/>
        <v>NA</v>
      </c>
      <c r="C67" s="123" t="str" cm="1">
        <f t="array" ref="C67">IFERROR((SUMPRODUCT(ICC1_MemberMonths_2025,H67)+SUMPRODUCT(ICC5_MemberMonths_2025,M67)+SUMPRODUCT(ICC8_MemberMonths_2025,R67))/Medicare_MemberMonths_2025,"NA")</f>
        <v>NA</v>
      </c>
      <c r="D67" s="403" t="str">
        <f>IFERROR(Table91351[[#This Row],[2025]]/Table91351[[#This Row],[2024]]-1,"NA")</f>
        <v>NA</v>
      </c>
      <c r="E67"/>
      <c r="F67" s="402" t="s">
        <v>549</v>
      </c>
      <c r="G67" s="404" t="str">
        <f>IFERROR((SUMIFS(TM[[#All],[Total Truncated Claims Spending]],TM[[#All],[Reporting Year]],2024,TM[[#All],[Insurance Category Code]],1,TM[[#All],[Large Provider Entity Code]],100))/ICC1_MemberMonths_2024,"NA")</f>
        <v>NA</v>
      </c>
      <c r="H67" s="404" t="str" cm="1">
        <f t="array" ref="H67">IFERROR((SUMIFS(TM[[#All],[Total Truncated Claims Spending]],TM[[#All],[Reporting Year]],2025,TM[[#All],[Insurance Category Code]],1,TM[[#All],[Large Provider Entity Code]],100))/ICC1_MemberMonths_2025,"NA")</f>
        <v>NA</v>
      </c>
      <c r="I67" s="403" t="str">
        <f>IFERROR(Table9111452[[#This Row],[2025]]/Table9111452[[#This Row],[2024]]-1,"NA")</f>
        <v>NA</v>
      </c>
      <c r="J67"/>
      <c r="K67" s="402" t="s">
        <v>549</v>
      </c>
      <c r="L67" s="404" t="str">
        <f>IFERROR((SUMIFS(TM[[#All],[Total Truncated Claims Spending]],TM[[#All],[Reporting Year]],2024,TM[[#All],[Insurance Category Code]],5,TM[[#All],[Large Provider Entity Code]],100))/ICC5_MemberMonths_2024,"NA")</f>
        <v>NA</v>
      </c>
      <c r="M67" s="404" t="str" cm="1">
        <f t="array" ref="M67">IFERROR((SUMIFS(TM[[#All],[Total Truncated Claims Spending]],TM[[#All],[Reporting Year]],2025,TM[[#All],[Insurance Category Code]],5,TM[[#All],[Large Provider Entity Code]],100))/ICC5_MemberMonths_2025,"NA")</f>
        <v>NA</v>
      </c>
      <c r="N67" s="403" t="str">
        <f t="shared" si="8"/>
        <v>NA</v>
      </c>
      <c r="O67"/>
      <c r="P67" s="402" t="s">
        <v>549</v>
      </c>
      <c r="Q67" s="404" t="str">
        <f>IFERROR((SUMIFS(TM[[#All],[Total Truncated Claims Spending]],TM[[#All],[Reporting Year]],2024,TM[[#All],[Insurance Category Code]],8,TM[[#All],[Large Provider Entity Code]],100))/ICC8_MemberMonths_2024,"NA")</f>
        <v>NA</v>
      </c>
      <c r="R67" s="404" t="str" cm="1">
        <f t="array" ref="R67">IFERROR((SUMIFS(TM[[#All],[Total Truncated Claims Spending]],TM[[#All],[Reporting Year]],2025,TM[[#All],[Insurance Category Code]],8,TM[[#All],[Large Provider Entity Code]],100))/ICC8_MemberMonths_2025,"NA")</f>
        <v>NA</v>
      </c>
      <c r="S67" s="403" t="str">
        <f>IFERROR(Table91112152858[[#This Row],[2025]]/Table91112152858[[#This Row],[2024]]-1,"NA")</f>
        <v>NA</v>
      </c>
    </row>
    <row r="68" spans="1:19" x14ac:dyDescent="0.4">
      <c r="A68" s="132" t="s">
        <v>550</v>
      </c>
      <c r="B68" s="7" t="str">
        <f t="shared" si="7"/>
        <v>NA</v>
      </c>
      <c r="C68" s="7" t="str" cm="1">
        <f t="array" ref="C68">IFERROR((SUMPRODUCT(ICC1_MemberMonths_2025,H68)+SUMPRODUCT(ICC5_MemberMonths_2025,M68)+SUMPRODUCT(ICC8_MemberMonths_2025,R68))/Medicare_MemberMonths_2025,"NA")</f>
        <v>NA</v>
      </c>
      <c r="D68" s="375" t="str">
        <f>IFERROR(Table91351[[#This Row],[2025]]/Table91351[[#This Row],[2024]]-1,"NA")</f>
        <v>NA</v>
      </c>
      <c r="E68"/>
      <c r="F68" s="132" t="s">
        <v>550</v>
      </c>
      <c r="G68" s="7" t="str">
        <f>IFERROR((SUMIFS(TM[[#All],[Non-Claims: Capitation or Bundled Arrangements]],TM[[#All],[Reporting Year]],2024,TM[[#All],[Insurance Category Code]],1,TM[[#All],[Large Provider Entity Code]],100))/ICC1_MemberMonths_2024,"NA")</f>
        <v>NA</v>
      </c>
      <c r="H68" s="7" t="str" cm="1">
        <f t="array" ref="H68">IFERROR((SUMIFS(TM[[#All],[Non-Claims: Capitation or Bundled Arrangements]],TM[[#All],[Reporting Year]],2025,TM[[#All],[Insurance Category Code]],1,TM[[#All],[Large Provider Entity Code]],100))/ICC1_MemberMonths_2025,"NA")</f>
        <v>NA</v>
      </c>
      <c r="I68" s="375" t="str">
        <f>IFERROR(Table9111452[[#This Row],[2025]]/Table9111452[[#This Row],[2024]]-1,"NA")</f>
        <v>NA</v>
      </c>
      <c r="J68"/>
      <c r="K68" s="132" t="s">
        <v>550</v>
      </c>
      <c r="L68" s="7" t="str">
        <f>IFERROR((SUMIFS(TM[[#All],[Non-Claims: Capitation or Bundled Arrangements]],TM[[#All],[Reporting Year]],2024,TM[[#All],[Insurance Category Code]],5,TM[[#All],[Large Provider Entity Code]],100))/ICC5_MemberMonths_2024,"NA")</f>
        <v>NA</v>
      </c>
      <c r="M68" s="7" t="str" cm="1">
        <f t="array" ref="M68">IFERROR((SUMIFS(TM[[#All],[Non-Claims: Capitation or Bundled Arrangements]],TM[[#All],[Reporting Year]],2025,TM[[#All],[Insurance Category Code]],5,TM[[#All],[Large Provider Entity Code]],100))/ICC5_MemberMonths_2025,"NA")</f>
        <v>NA</v>
      </c>
      <c r="N68" s="375" t="str">
        <f>IFERROR(M68/L68-1,"NA")</f>
        <v>NA</v>
      </c>
      <c r="O68"/>
      <c r="P68" s="132" t="s">
        <v>550</v>
      </c>
      <c r="Q68" s="7" t="str">
        <f>IFERROR((SUMIFS(TM[[#All],[Non-Claims: Capitation or Bundled Arrangements]],TM[[#All],[Reporting Year]],2024,TM[[#All],[Insurance Category Code]],8,TM[[#All],[Large Provider Entity Code]],100))/ICC8_MemberMonths_2024,"NA")</f>
        <v>NA</v>
      </c>
      <c r="R68" s="7" t="str" cm="1">
        <f t="array" ref="R68">IFERROR((SUMIFS(TM[[#All],[Non-Claims: Capitation or Bundled Arrangements]],TM[[#All],[Reporting Year]],2025,TM[[#All],[Insurance Category Code]],8,TM[[#All],[Large Provider Entity Code]],100))/ICC8_MemberMonths_2025,"NA")</f>
        <v>NA</v>
      </c>
      <c r="S68" s="375" t="str">
        <f>IFERROR(Table91112152858[[#This Row],[2025]]/Table91112152858[[#This Row],[2024]]-1,"NA")</f>
        <v>NA</v>
      </c>
    </row>
    <row r="69" spans="1:19" x14ac:dyDescent="0.4">
      <c r="A69" s="132" t="s">
        <v>551</v>
      </c>
      <c r="B69" s="7" t="str">
        <f t="shared" si="7"/>
        <v>NA</v>
      </c>
      <c r="C69" s="7" t="str" cm="1">
        <f t="array" ref="C69">IFERROR((SUMPRODUCT(ICC1_MemberMonths_2025,H69)+SUMPRODUCT(ICC5_MemberMonths_2025,M69)+SUMPRODUCT(ICC8_MemberMonths_2025,R69))/Medicare_MemberMonths_2025,"NA")</f>
        <v>NA</v>
      </c>
      <c r="D69" s="375" t="str">
        <f>IFERROR(Table91351[[#This Row],[2025]]/Table91351[[#This Row],[2024]]-1,"NA")</f>
        <v>NA</v>
      </c>
      <c r="E69"/>
      <c r="F69" s="132" t="s">
        <v>551</v>
      </c>
      <c r="G69" s="7" t="str">
        <f>IFERROR((SUMIFS(TM[[#All],[Non-Claims: Performance Incentives]],TM[[#All],[Reporting Year]],2024,TM[[#All],[Insurance Category Code]],1,TM[[#All],[Large Provider Entity Code]],100))/ICC1_MemberMonths_2024,"NA")</f>
        <v>NA</v>
      </c>
      <c r="H69" s="7" t="str" cm="1">
        <f t="array" ref="H69">IFERROR((SUMIFS(TM[[#All],[Non-Claims: Performance Incentives]],TM[[#All],[Reporting Year]],2025,TM[[#All],[Insurance Category Code]],1,TM[[#All],[Large Provider Entity Code]],100))/ICC1_MemberMonths_2025,"NA")</f>
        <v>NA</v>
      </c>
      <c r="I69" s="375" t="str">
        <f>IFERROR(Table9111452[[#This Row],[2025]]/Table9111452[[#This Row],[2024]]-1,"NA")</f>
        <v>NA</v>
      </c>
      <c r="J69"/>
      <c r="K69" s="132" t="s">
        <v>551</v>
      </c>
      <c r="L69" s="7" t="str">
        <f>IFERROR((SUMIFS(TM[[#All],[Non-Claims: Performance Incentives]],TM[[#All],[Reporting Year]],2024,TM[[#All],[Insurance Category Code]],5,TM[[#All],[Large Provider Entity Code]],100))/ICC5_MemberMonths_2024,"NA")</f>
        <v>NA</v>
      </c>
      <c r="M69" s="7" t="str" cm="1">
        <f t="array" ref="M69">IFERROR((SUMIFS(TM[[#All],[Non-Claims: Performance Incentives]],TM[[#All],[Reporting Year]],2025,TM[[#All],[Insurance Category Code]],5,TM[[#All],[Large Provider Entity Code]],100))/ICC5_MemberMonths_2025,"NA")</f>
        <v>NA</v>
      </c>
      <c r="N69" s="375" t="str">
        <f t="shared" ref="N69:N73" si="9">IFERROR(M69/L69-1,"NA")</f>
        <v>NA</v>
      </c>
      <c r="O69"/>
      <c r="P69" s="132" t="s">
        <v>551</v>
      </c>
      <c r="Q69" s="7" t="str">
        <f>IFERROR((SUMIFS(TM[[#All],[Non-Claims: Performance Incentives]],TM[[#All],[Reporting Year]],2024,TM[[#All],[Insurance Category Code]],8,TM[[#All],[Large Provider Entity Code]],100))/ICC8_MemberMonths_2024,"NA")</f>
        <v>NA</v>
      </c>
      <c r="R69" s="7" t="str" cm="1">
        <f t="array" ref="R69">IFERROR((SUMIFS(TM[[#All],[Non-Claims: Performance Incentives]],TM[[#All],[Reporting Year]],2025,TM[[#All],[Insurance Category Code]],8,TM[[#All],[Large Provider Entity Code]],100))/ICC8_MemberMonths_2025,"NA")</f>
        <v>NA</v>
      </c>
      <c r="S69" s="375" t="str">
        <f>IFERROR(Table91112152858[[#This Row],[2025]]/Table91112152858[[#This Row],[2024]]-1,"NA")</f>
        <v>NA</v>
      </c>
    </row>
    <row r="70" spans="1:19" x14ac:dyDescent="0.4">
      <c r="A70" s="132" t="s">
        <v>552</v>
      </c>
      <c r="B70" s="7" t="str">
        <f t="shared" si="7"/>
        <v>NA</v>
      </c>
      <c r="C70" s="7" t="str" cm="1">
        <f t="array" ref="C70">IFERROR((SUMPRODUCT(ICC1_MemberMonths_2025,H70)+SUMPRODUCT(ICC5_MemberMonths_2025,M70)+SUMPRODUCT(ICC8_MemberMonths_2025,R70))/Medicare_MemberMonths_2025,"NA")</f>
        <v>NA</v>
      </c>
      <c r="D70" s="375" t="str">
        <f>IFERROR(Table91351[[#This Row],[2025]]/Table91351[[#This Row],[2024]]-1,"NA")</f>
        <v>NA</v>
      </c>
      <c r="E70"/>
      <c r="F70" s="132" t="s">
        <v>552</v>
      </c>
      <c r="G70" s="7" t="str">
        <f>IFERROR((SUMIFS(TM[[#All],[Non-Claims: Pop Health and Practice Infrastructure]],TM[[#All],[Reporting Year]],2024,TM[[#All],[Insurance Category Code]],1,TM[[#All],[Large Provider Entity Code]],100))/ICC1_MemberMonths_2024,"NA")</f>
        <v>NA</v>
      </c>
      <c r="H70" s="7" t="str" cm="1">
        <f t="array" ref="H70">IFERROR((SUMIFS(TM[[#All],[Non-Claims: Pop Health and Practice Infrastructure]],TM[[#All],[Reporting Year]],2025,TM[[#All],[Insurance Category Code]],1,TM[[#All],[Large Provider Entity Code]],100))/ICC1_MemberMonths_2025,"NA")</f>
        <v>NA</v>
      </c>
      <c r="I70" s="375" t="str">
        <f>IFERROR(Table9111452[[#This Row],[2025]]/Table9111452[[#This Row],[2024]]-1,"NA")</f>
        <v>NA</v>
      </c>
      <c r="J70"/>
      <c r="K70" s="132" t="s">
        <v>552</v>
      </c>
      <c r="L70" s="7" t="str">
        <f>IFERROR((SUMIFS(TM[[#All],[Non-Claims: Pop Health and Practice Infrastructure]],TM[[#All],[Reporting Year]],2024,TM[[#All],[Insurance Category Code]],5,TM[[#All],[Large Provider Entity Code]],100))/ICC5_MemberMonths_2024,"NA")</f>
        <v>NA</v>
      </c>
      <c r="M70" s="7" t="str" cm="1">
        <f t="array" ref="M70">IFERROR((SUMIFS(TM[[#All],[Non-Claims: Pop Health and Practice Infrastructure]],TM[[#All],[Reporting Year]],2025,TM[[#All],[Insurance Category Code]],5,TM[[#All],[Large Provider Entity Code]],100))/ICC5_MemberMonths_2025,"NA")</f>
        <v>NA</v>
      </c>
      <c r="N70" s="375" t="str">
        <f t="shared" si="9"/>
        <v>NA</v>
      </c>
      <c r="O70"/>
      <c r="P70" s="132" t="s">
        <v>552</v>
      </c>
      <c r="Q70" s="7" t="str">
        <f>IFERROR((SUMIFS(TM[[#All],[Non-Claims: Pop Health and Practice Infrastructure]],TM[[#All],[Reporting Year]],2024,TM[[#All],[Insurance Category Code]],8,TM[[#All],[Large Provider Entity Code]],100))/ICC8_MemberMonths_2024,"NA")</f>
        <v>NA</v>
      </c>
      <c r="R70" s="7" t="str" cm="1">
        <f t="array" ref="R70">IFERROR((SUMIFS(TM[[#All],[Non-Claims: Pop Health and Practice Infrastructure]],TM[[#All],[Reporting Year]],2025,TM[[#All],[Insurance Category Code]],8,TM[[#All],[Large Provider Entity Code]],100))/ICC8_MemberMonths_2025,"NA")</f>
        <v>NA</v>
      </c>
      <c r="S70" s="375" t="str">
        <f>IFERROR(Table91112152858[[#This Row],[2025]]/Table91112152858[[#This Row],[2024]]-1,"NA")</f>
        <v>NA</v>
      </c>
    </row>
    <row r="71" spans="1:19" x14ac:dyDescent="0.4">
      <c r="A71" s="132" t="s">
        <v>553</v>
      </c>
      <c r="B71" s="7" t="str">
        <f t="shared" si="7"/>
        <v>NA</v>
      </c>
      <c r="C71" s="7" t="str" cm="1">
        <f t="array" ref="C71">IFERROR((SUMPRODUCT(ICC1_MemberMonths_2025,H71)+SUMPRODUCT(ICC5_MemberMonths_2025,M71)+SUMPRODUCT(ICC8_MemberMonths_2025,R71))/Medicare_MemberMonths_2025,"NA")</f>
        <v>NA</v>
      </c>
      <c r="D71" s="375" t="str">
        <f>IFERROR(Table91351[[#This Row],[2025]]/Table91351[[#This Row],[2024]]-1,"NA")</f>
        <v>NA</v>
      </c>
      <c r="E71"/>
      <c r="F71" s="132" t="s">
        <v>553</v>
      </c>
      <c r="G71" s="7" t="str">
        <f>IFERROR((SUMIFS(TM[[#All],[Non-Claims: Provider Salaries]],TM[[#All],[Reporting Year]],2024,TM[[#All],[Insurance Category Code]],1,TM[[#All],[Large Provider Entity Code]],100))/ICC1_MemberMonths_2024,"NA")</f>
        <v>NA</v>
      </c>
      <c r="H71" s="7" t="str" cm="1">
        <f t="array" ref="H71">IFERROR((SUMIFS(TM[[#All],[Non-Claims: Provider Salaries]],TM[[#All],[Reporting Year]],2025,TM[[#All],[Insurance Category Code]],1,TM[[#All],[Large Provider Entity Code]],100))/ICC1_MemberMonths_2025,"NA")</f>
        <v>NA</v>
      </c>
      <c r="I71" s="375" t="str">
        <f>IFERROR(Table9111452[[#This Row],[2025]]/Table9111452[[#This Row],[2024]]-1,"NA")</f>
        <v>NA</v>
      </c>
      <c r="J71"/>
      <c r="K71" s="132" t="s">
        <v>553</v>
      </c>
      <c r="L71" s="7" t="str">
        <f>IFERROR((SUMIFS(TM[[#All],[Non-Claims: Provider Salaries]],TM[[#All],[Reporting Year]],2024,TM[[#All],[Insurance Category Code]],5,TM[[#All],[Large Provider Entity Code]],100))/ICC5_MemberMonths_2024,"NA")</f>
        <v>NA</v>
      </c>
      <c r="M71" s="7" t="str" cm="1">
        <f t="array" ref="M71">IFERROR((SUMIFS(TM[[#All],[Non-Claims: Provider Salaries]],TM[[#All],[Reporting Year]],2025,TM[[#All],[Insurance Category Code]],5,TM[[#All],[Large Provider Entity Code]],100))/ICC5_MemberMonths_2025,"NA")</f>
        <v>NA</v>
      </c>
      <c r="N71" s="375" t="str">
        <f t="shared" si="9"/>
        <v>NA</v>
      </c>
      <c r="O71"/>
      <c r="P71" s="132" t="s">
        <v>553</v>
      </c>
      <c r="Q71" s="7" t="str">
        <f>IFERROR((SUMIFS(TM[[#All],[Non-Claims: Provider Salaries]],TM[[#All],[Reporting Year]],2024,TM[[#All],[Insurance Category Code]],8,TM[[#All],[Large Provider Entity Code]],100))/ICC8_MemberMonths_2024,"NA")</f>
        <v>NA</v>
      </c>
      <c r="R71" s="7" t="str" cm="1">
        <f t="array" ref="R71">IFERROR((SUMIFS(TM[[#All],[Non-Claims: Provider Salaries]],TM[[#All],[Reporting Year]],2025,TM[[#All],[Insurance Category Code]],8,TM[[#All],[Large Provider Entity Code]],100))/ICC8_MemberMonths_2025,"NA")</f>
        <v>NA</v>
      </c>
      <c r="S71" s="375" t="str">
        <f>IFERROR(Table91112152858[[#This Row],[2025]]/Table91112152858[[#This Row],[2024]]-1,"NA")</f>
        <v>NA</v>
      </c>
    </row>
    <row r="72" spans="1:19" x14ac:dyDescent="0.4">
      <c r="A72" s="132" t="s">
        <v>554</v>
      </c>
      <c r="B72" s="7" t="str">
        <f t="shared" si="7"/>
        <v>NA</v>
      </c>
      <c r="C72" s="7" t="str" cm="1">
        <f t="array" ref="C72">IFERROR((SUMPRODUCT(ICC1_MemberMonths_2025,H72)+SUMPRODUCT(ICC5_MemberMonths_2025,M72)+SUMPRODUCT(ICC8_MemberMonths_2025,R72))/Medicare_MemberMonths_2025,"NA")</f>
        <v>NA</v>
      </c>
      <c r="D72" s="375" t="str">
        <f>IFERROR(Table91351[[#This Row],[2025]]/Table91351[[#This Row],[2024]]-1,"NA")</f>
        <v>NA</v>
      </c>
      <c r="E72"/>
      <c r="F72" s="132" t="s">
        <v>554</v>
      </c>
      <c r="G72" s="7" t="str">
        <f>IFERROR((SUMIFS(TM[[#All],[Non-Claims: Recovery]],TM[[#All],[Reporting Year]],2024,TM[[#All],[Insurance Category Code]],1,TM[[#All],[Large Provider Entity Code]],100))/ICC1_MemberMonths_2024,"NA")</f>
        <v>NA</v>
      </c>
      <c r="H72" s="7" t="str" cm="1">
        <f t="array" ref="H72">IFERROR((SUMIFS(TM[[#All],[Non-Claims: Recovery]],TM[[#All],[Reporting Year]],2025,TM[[#All],[Insurance Category Code]],1,TM[[#All],[Large Provider Entity Code]],100))/ICC1_MemberMonths_2025,"NA")</f>
        <v>NA</v>
      </c>
      <c r="I72" s="375" t="str">
        <f>IFERROR(Table9111452[[#This Row],[2025]]/Table9111452[[#This Row],[2024]]-1,"NA")</f>
        <v>NA</v>
      </c>
      <c r="J72"/>
      <c r="K72" s="132" t="s">
        <v>554</v>
      </c>
      <c r="L72" s="7" t="str">
        <f>IFERROR((SUMIFS(TM[[#All],[Non-Claims: Recovery]],TM[[#All],[Reporting Year]],2024,TM[[#All],[Insurance Category Code]],5,TM[[#All],[Large Provider Entity Code]],100))/ICC5_MemberMonths_2024,"NA")</f>
        <v>NA</v>
      </c>
      <c r="M72" s="7" t="str" cm="1">
        <f t="array" ref="M72">IFERROR((SUMIFS(TM[[#All],[Non-Claims: Recovery]],TM[[#All],[Reporting Year]],2025,TM[[#All],[Insurance Category Code]],5,TM[[#All],[Large Provider Entity Code]],100))/ICC5_MemberMonths_2025,"NA")</f>
        <v>NA</v>
      </c>
      <c r="N72" s="375" t="str">
        <f t="shared" si="9"/>
        <v>NA</v>
      </c>
      <c r="O72"/>
      <c r="P72" s="132" t="s">
        <v>554</v>
      </c>
      <c r="Q72" s="7" t="str">
        <f>IFERROR((SUMIFS(TM[[#All],[Non-Claims: Recovery]],TM[[#All],[Reporting Year]],2024,TM[[#All],[Insurance Category Code]],8,TM[[#All],[Large Provider Entity Code]],100))/ICC8_MemberMonths_2024,"NA")</f>
        <v>NA</v>
      </c>
      <c r="R72" s="7" t="str" cm="1">
        <f t="array" ref="R72">IFERROR((SUMIFS(TM[[#All],[Non-Claims: Recovery]],TM[[#All],[Reporting Year]],2025,TM[[#All],[Insurance Category Code]],8,TM[[#All],[Large Provider Entity Code]],100))/ICC8_MemberMonths_2025,"NA")</f>
        <v>NA</v>
      </c>
      <c r="S72" s="375" t="str">
        <f>IFERROR(Table91112152858[[#This Row],[2025]]/Table91112152858[[#This Row],[2024]]-1,"NA")</f>
        <v>NA</v>
      </c>
    </row>
    <row r="73" spans="1:19" s="148" customFormat="1" x14ac:dyDescent="0.4">
      <c r="A73" s="132" t="s">
        <v>555</v>
      </c>
      <c r="B73" s="7" t="str">
        <f t="shared" si="7"/>
        <v>NA</v>
      </c>
      <c r="C73" s="7" t="str" cm="1">
        <f t="array" ref="C73">IFERROR((SUMPRODUCT(ICC1_MemberMonths_2025,H73)+SUMPRODUCT(ICC5_MemberMonths_2025,M73)+SUMPRODUCT(ICC8_MemberMonths_2025,R73))/Medicare_MemberMonths_2025,"NA")</f>
        <v>NA</v>
      </c>
      <c r="D73" s="375" t="str">
        <f>IFERROR(Table91351[[#This Row],[2025]]/Table91351[[#This Row],[2024]]-1,"NA")</f>
        <v>NA</v>
      </c>
      <c r="E73" s="3"/>
      <c r="F73" s="132" t="s">
        <v>555</v>
      </c>
      <c r="G73" s="7" t="str">
        <f>IFERROR((SUMIFS(TM[[#All],[Non-Claims: Other]],TM[[#All],[Reporting Year]],2024,TM[[#All],[Insurance Category Code]],1,TM[[#All],[Large Provider Entity Code]],100))/ICC1_MemberMonths_2024,"NA")</f>
        <v>NA</v>
      </c>
      <c r="H73" s="7" t="str" cm="1">
        <f t="array" ref="H73">IFERROR((SUMIFS(TM[[#All],[Non-Claims: Other]],TM[[#All],[Reporting Year]],2025,TM[[#All],[Insurance Category Code]],1,TM[[#All],[Large Provider Entity Code]],100))/ICC1_MemberMonths_2025,"NA")</f>
        <v>NA</v>
      </c>
      <c r="I73" s="375" t="str">
        <f>IFERROR(Table9111452[[#This Row],[2025]]/Table9111452[[#This Row],[2024]]-1,"NA")</f>
        <v>NA</v>
      </c>
      <c r="J73" s="3"/>
      <c r="K73" s="132" t="s">
        <v>555</v>
      </c>
      <c r="L73" s="7" t="str">
        <f>IFERROR((SUMIFS(TM[[#All],[Non-Claims: Other]],TM[[#All],[Reporting Year]],2024,TM[[#All],[Insurance Category Code]],5,TM[[#All],[Large Provider Entity Code]],100))/ICC5_MemberMonths_2024,"NA")</f>
        <v>NA</v>
      </c>
      <c r="M73" s="7" t="str" cm="1">
        <f t="array" ref="M73">IFERROR((SUMIFS(TM[[#All],[Non-Claims: Other]],TM[[#All],[Reporting Year]],2025,TM[[#All],[Insurance Category Code]],5,TM[[#All],[Large Provider Entity Code]],100))/ICC5_MemberMonths_2025,"NA")</f>
        <v>NA</v>
      </c>
      <c r="N73" s="375" t="str">
        <f t="shared" si="9"/>
        <v>NA</v>
      </c>
      <c r="O73" s="3"/>
      <c r="P73" s="132" t="s">
        <v>555</v>
      </c>
      <c r="Q73" s="7" t="str">
        <f>IFERROR((SUMIFS(TM[[#All],[Non-Claims: Other]],TM[[#All],[Reporting Year]],2024,TM[[#All],[Insurance Category Code]],8,TM[[#All],[Large Provider Entity Code]],100))/ICC8_MemberMonths_2024,"NA")</f>
        <v>NA</v>
      </c>
      <c r="R73" s="7" t="str" cm="1">
        <f t="array" ref="R73">IFERROR((SUMIFS(TM[[#All],[Non-Claims: Other]],TM[[#All],[Reporting Year]],2025,TM[[#All],[Insurance Category Code]],8,TM[[#All],[Large Provider Entity Code]],100))/ICC8_MemberMonths_2025,"NA")</f>
        <v>NA</v>
      </c>
      <c r="S73" s="375" t="str">
        <f>IFERROR(Table91112152858[[#This Row],[2025]]/Table91112152858[[#This Row],[2024]]-1,"NA")</f>
        <v>NA</v>
      </c>
    </row>
    <row r="74" spans="1:19" x14ac:dyDescent="0.4">
      <c r="A74" s="132" t="s">
        <v>556</v>
      </c>
      <c r="B74" s="7" t="str">
        <f t="shared" si="7"/>
        <v>NA</v>
      </c>
      <c r="C74" s="7" t="str" cm="1">
        <f t="array" ref="C74">IFERROR((SUMPRODUCT(ICC1_MemberMonths_2025,H74)+SUMPRODUCT(ICC5_MemberMonths_2025,M74)+SUMPRODUCT(ICC8_MemberMonths_2025,R74))/Medicare_MemberMonths_2025,"NA")</f>
        <v>NA</v>
      </c>
      <c r="D74" s="375" t="str">
        <f>IFERROR(Table91351[[#This Row],[2025]]/Table91351[[#This Row],[2024]]-1,"NA")</f>
        <v>NA</v>
      </c>
      <c r="E74"/>
      <c r="F74" s="132" t="s">
        <v>556</v>
      </c>
      <c r="G74" s="7" t="str">
        <f>IFERROR((SUMIFS(TM[[#All],[Non-Claims: Total Primary Care]],TM[[#All],[Reporting Year]],2024,TM[[#All],[Insurance Category Code]],1,TM[[#All],[Large Provider Entity Code]],100))/ICC1_MemberMonths_2024,"NA")</f>
        <v>NA</v>
      </c>
      <c r="H74" s="7" t="str" cm="1">
        <f t="array" ref="H74">IFERROR((SUMIFS(TM[[#All],[Non-Claims: Total Primary Care]],TM[[#All],[Reporting Year]],2025,TM[[#All],[Insurance Category Code]],1,TM[[#All],[Large Provider Entity Code]],100))/ICC1_MemberMonths_2025,"NA")</f>
        <v>NA</v>
      </c>
      <c r="I74" s="375" t="str">
        <f>IFERROR(Table9111452[[#This Row],[2025]]/Table9111452[[#This Row],[2024]]-1,"NA")</f>
        <v>NA</v>
      </c>
      <c r="J74"/>
      <c r="K74" s="132" t="s">
        <v>556</v>
      </c>
      <c r="L74" s="7" t="str">
        <f>IFERROR((SUMIFS(TM[[#All],[Non-Claims: Total Primary Care]],TM[[#All],[Reporting Year]],2024,TM[[#All],[Insurance Category Code]],5,TM[[#All],[Large Provider Entity Code]],100))/ICC5_MemberMonths_2024,"NA")</f>
        <v>NA</v>
      </c>
      <c r="M74" s="7" t="str" cm="1">
        <f t="array" ref="M74">IFERROR((SUMIFS(TM[[#All],[Non-Claims: Total Primary Care]],TM[[#All],[Reporting Year]],2025,TM[[#All],[Insurance Category Code]],5,TM[[#All],[Large Provider Entity Code]],100))/ICC5_MemberMonths_2025,"NA")</f>
        <v>NA</v>
      </c>
      <c r="N74" s="375" t="str">
        <f>IFERROR(M74/L74-1,"NA")</f>
        <v>NA</v>
      </c>
      <c r="O74"/>
      <c r="P74" s="132" t="s">
        <v>556</v>
      </c>
      <c r="Q74" s="7" t="str">
        <f>IFERROR((SUMIFS(TM[[#All],[Non-Claims: Total Primary Care]],TM[[#All],[Reporting Year]],2024,TM[[#All],[Insurance Category Code]],8,TM[[#All],[Large Provider Entity Code]],100))/ICC8_MemberMonths_2024,"NA")</f>
        <v>NA</v>
      </c>
      <c r="R74" s="7" t="str" cm="1">
        <f t="array" ref="R74">IFERROR((SUMIFS(TM[[#All],[Non-Claims: Total Primary Care]],TM[[#All],[Reporting Year]],2025,TM[[#All],[Insurance Category Code]],8,TM[[#All],[Large Provider Entity Code]],100))/ICC8_MemberMonths_2025,"NA")</f>
        <v>NA</v>
      </c>
      <c r="S74" s="375" t="str">
        <f>IFERROR(Table91112152858[[#This Row],[2025]]/Table91112152858[[#This Row],[2024]]-1,"NA")</f>
        <v>NA</v>
      </c>
    </row>
    <row r="75" spans="1:19" ht="17.399999999999999" thickBot="1" x14ac:dyDescent="0.45">
      <c r="A75" s="402" t="s">
        <v>557</v>
      </c>
      <c r="B75" s="123" t="str">
        <f t="shared" si="7"/>
        <v>NA</v>
      </c>
      <c r="C75" s="408" t="str" cm="1">
        <f t="array" ref="C75">IFERROR((SUMPRODUCT(ICC1_MemberMonths_2025,H75)+SUMPRODUCT(ICC5_MemberMonths_2025,M75)+SUMPRODUCT(ICC8_MemberMonths_2025,R75))/Medicare_MemberMonths_2025,"NA")</f>
        <v>NA</v>
      </c>
      <c r="D75" s="407" t="str">
        <f>IFERROR(Table91351[[#This Row],[2025]]/Table91351[[#This Row],[2024]]-1,"NA")</f>
        <v>NA</v>
      </c>
      <c r="E75"/>
      <c r="F75" s="402" t="s">
        <v>557</v>
      </c>
      <c r="G75" s="406" t="str">
        <f>IFERROR((SUMIFS(TM[[#All],[Total Non-Claims Spending]],TM[[#All],[Reporting Year]],2024,TM[[#All],[Insurance Category Code]],1,TM[[#All],[Large Provider Entity Code]],100))/ICC1_MemberMonths_2024,"NA")</f>
        <v>NA</v>
      </c>
      <c r="H75" s="406" t="str" cm="1">
        <f t="array" ref="H75">IFERROR((SUMIFS(TM[[#All],[Total Non-Claims Spending]],TM[[#All],[Reporting Year]],2025,TM[[#All],[Insurance Category Code]],1,TM[[#All],[Large Provider Entity Code]],100))/ICC1_MemberMonths_2025,"NA")</f>
        <v>NA</v>
      </c>
      <c r="I75" s="407" t="str">
        <f>IFERROR(Table9111452[[#This Row],[2025]]/Table9111452[[#This Row],[2024]]-1,"NA")</f>
        <v>NA</v>
      </c>
      <c r="J75"/>
      <c r="K75" s="402" t="s">
        <v>557</v>
      </c>
      <c r="L75" s="406" t="str">
        <f>IFERROR((SUMIFS(TM[[#All],[Total Non-Claims Spending]],TM[[#All],[Reporting Year]],2024,TM[[#All],[Insurance Category Code]],5,TM[[#All],[Large Provider Entity Code]],100))/ICC5_MemberMonths_2024,"NA")</f>
        <v>NA</v>
      </c>
      <c r="M75" s="406" t="str" cm="1">
        <f t="array" ref="M75">IFERROR((SUMIFS(TM[[#All],[Total Non-Claims Spending]],TM[[#All],[Reporting Year]],2025,TM[[#All],[Insurance Category Code]],5,TM[[#All],[Large Provider Entity Code]],100))/ICC5_MemberMonths_2025,"NA")</f>
        <v>NA</v>
      </c>
      <c r="N75" s="403" t="str">
        <f t="shared" ref="N75" si="10">IFERROR(M75/L75-1,"NA")</f>
        <v>NA</v>
      </c>
      <c r="O75"/>
      <c r="P75" s="402" t="s">
        <v>557</v>
      </c>
      <c r="Q75" s="406" t="str">
        <f>IFERROR((SUMIFS(TM[[#All],[Total Non-Claims Spending]],TM[[#All],[Reporting Year]],2024,TM[[#All],[Insurance Category Code]],8,TM[[#All],[Large Provider Entity Code]],100))/ICC8_MemberMonths_2024,"NA")</f>
        <v>NA</v>
      </c>
      <c r="R75" s="406" t="str" cm="1">
        <f t="array" ref="R75">IFERROR((SUMIFS(TM[[#All],[Total Non-Claims Spending]],TM[[#All],[Reporting Year]],2025,TM[[#All],[Insurance Category Code]],8,TM[[#All],[Large Provider Entity Code]],100))/ICC8_MemberMonths_2025,"NA")</f>
        <v>NA</v>
      </c>
      <c r="S75" s="407" t="str">
        <f>IFERROR(Table91112152858[[#This Row],[2025]]/Table91112152858[[#This Row],[2024]]-1,"NA")</f>
        <v>NA</v>
      </c>
    </row>
    <row r="76" spans="1:19" ht="17.399999999999999" thickTop="1" x14ac:dyDescent="0.4">
      <c r="A76" s="107" t="s">
        <v>558</v>
      </c>
      <c r="B76" s="133" t="str">
        <f t="shared" si="7"/>
        <v>NA</v>
      </c>
      <c r="C76" s="133" t="str" cm="1">
        <f t="array" ref="C76">IFERROR((SUMPRODUCT(ICC1_MemberMonths_2025,H76)+SUMPRODUCT(ICC5_MemberMonths_2025,M76)+SUMPRODUCT(ICC8_MemberMonths_2025,R76))/Medicare_MemberMonths_2025,"NA")</f>
        <v>NA</v>
      </c>
      <c r="D76" s="376" t="str">
        <f>IFERROR(Table91351[[#This Row],[2025]]/Table91351[[#This Row],[2024]]-1,"NA")</f>
        <v>NA</v>
      </c>
      <c r="E76"/>
      <c r="F76" s="107" t="s">
        <v>558</v>
      </c>
      <c r="G76" s="134" t="str">
        <f>IFERROR((SUMIFS(TM[[#All],[Total Non-Truncated Claims and Non-Claims Spending]],TM[[#All],[Reporting Year]],2024,TM[[#All],[Insurance Category Code]],1,TM[[#All],[Large Provider Entity Code]],100))/ICC1_MemberMonths_2024,"NA")</f>
        <v>NA</v>
      </c>
      <c r="H76" s="134" t="str" cm="1">
        <f t="array" ref="H76">IFERROR((SUMIFS(TM[[#All],[Total Non-Truncated Claims and Non-Claims Spending]],TM[[#All],[Reporting Year]],2025,TM[[#All],[Insurance Category Code]],1,TM[[#All],[Large Provider Entity Code]],100))/ICC1_MemberMonths_2025,"NA")</f>
        <v>NA</v>
      </c>
      <c r="I76" s="376" t="str">
        <f>IFERROR(Table9111452[[#This Row],[2025]]/Table9111452[[#This Row],[2024]]-1,"NA")</f>
        <v>NA</v>
      </c>
      <c r="J76"/>
      <c r="K76" s="107" t="s">
        <v>558</v>
      </c>
      <c r="L76" s="134" t="str">
        <f>IFERROR((SUMIFS(TM[[#All],[Total Non-Truncated Claims and Non-Claims Spending]],TM[[#All],[Reporting Year]],2024,TM[[#All],[Insurance Category Code]],5,TM[[#All],[Large Provider Entity Code]],100))/ICC5_MemberMonths_2024,"NA")</f>
        <v>NA</v>
      </c>
      <c r="M76" s="134" t="str" cm="1">
        <f t="array" ref="M76">IFERROR((SUMIFS(TM[[#All],[Total Non-Truncated Claims and Non-Claims Spending]],TM[[#All],[Reporting Year]],2025,TM[[#All],[Insurance Category Code]],5,TM[[#All],[Large Provider Entity Code]],100))/ICC5_MemberMonths_2025,"NA")</f>
        <v>NA</v>
      </c>
      <c r="N76" s="446" t="str">
        <f>IFERROR(M76/L76-1,"NA")</f>
        <v>NA</v>
      </c>
      <c r="O76"/>
      <c r="P76" s="107" t="s">
        <v>558</v>
      </c>
      <c r="Q76" s="134" t="str">
        <f>IFERROR((SUMIFS(TM[[#All],[Total Non-Truncated Claims and Non-Claims Spending]],TM[[#All],[Reporting Year]],2024,TM[[#All],[Insurance Category Code]],8,TM[[#All],[Large Provider Entity Code]],100))/ICC8_MemberMonths_2024,"NA")</f>
        <v>NA</v>
      </c>
      <c r="R76" s="134" t="str" cm="1">
        <f t="array" ref="R76">IFERROR((SUMIFS(TM[[#All],[Total Non-Truncated Claims and Non-Claims Spending]],TM[[#All],[Reporting Year]],2025,TM[[#All],[Insurance Category Code]],8,TM[[#All],[Large Provider Entity Code]],100))/ICC8_MemberMonths_2025,"NA")</f>
        <v>NA</v>
      </c>
      <c r="S76" s="378" t="str">
        <f>IFERROR(Table911122757[[#This Row],[2025]]/Table911122757[[#This Row],[2024]]-1,"NA")</f>
        <v>NA</v>
      </c>
    </row>
    <row r="77" spans="1:19" x14ac:dyDescent="0.4">
      <c r="A77" s="135" t="s">
        <v>559</v>
      </c>
      <c r="B77" s="133" t="str">
        <f t="shared" si="7"/>
        <v>NA</v>
      </c>
      <c r="C77" s="136" t="str" cm="1">
        <f t="array" ref="C77">IFERROR((SUMPRODUCT(ICC1_MemberMonths_2025,H77)+SUMPRODUCT(ICC5_MemberMonths_2025,M77)+SUMPRODUCT(ICC8_MemberMonths_2025,R77))/Medicare_MemberMonths_2025,"NA")</f>
        <v>NA</v>
      </c>
      <c r="D77" s="377" t="str">
        <f>IFERROR(Table91351[[#This Row],[2025]]/Table91351[[#This Row],[2024]]-1,"NA")</f>
        <v>NA</v>
      </c>
      <c r="E77"/>
      <c r="F77" s="135" t="s">
        <v>559</v>
      </c>
      <c r="G77" s="137" t="str">
        <f>IFERROR((SUMIFS(TM[[#All],[Total Truncated Expenses]],TM[[#All],[Reporting Year]],2024,TM[[#All],[Insurance Category Code]],1,TM[[#All],[Large Provider Entity Code]],100))/ICC1_MemberMonths_2024,"NA")</f>
        <v>NA</v>
      </c>
      <c r="H77" s="137" t="str" cm="1">
        <f t="array" ref="H77">IFERROR((SUMIFS(TM[[#All],[Total Truncated Expenses]],TM[[#All],[Reporting Year]],2025,TM[[#All],[Insurance Category Code]],1,TM[[#All],[Large Provider Entity Code]],100))/ICC1_MemberMonths_2025,"NA")</f>
        <v>NA</v>
      </c>
      <c r="I77" s="377" t="str">
        <f>IFERROR(Table9111452[[#This Row],[2025]]/Table9111452[[#This Row],[2024]]-1,"NA")</f>
        <v>NA</v>
      </c>
      <c r="J77"/>
      <c r="K77" s="135" t="s">
        <v>559</v>
      </c>
      <c r="L77" s="137" t="str">
        <f>IFERROR((SUMIFS(TM[[#All],[Total Truncated Expenses]],TM[[#All],[Reporting Year]],2024,TM[[#All],[Insurance Category Code]],5,TM[[#All],[Large Provider Entity Code]],100))/ICC5_MemberMonths_2024,"NA")</f>
        <v>NA</v>
      </c>
      <c r="M77" s="137" t="str" cm="1">
        <f t="array" ref="M77">IFERROR((SUMIFS(TM[[#All],[Total Truncated Expenses]],TM[[#All],[Reporting Year]],2025,TM[[#All],[Insurance Category Code]],5,TM[[#All],[Large Provider Entity Code]],100))/ICC5_MemberMonths_2025,"NA")</f>
        <v>NA</v>
      </c>
      <c r="N77" s="446" t="str">
        <f t="shared" ref="N77" si="11">IFERROR(M77/L77-1,"NA")</f>
        <v>NA</v>
      </c>
      <c r="O77"/>
      <c r="P77" s="135" t="s">
        <v>559</v>
      </c>
      <c r="Q77" s="137" t="str">
        <f>IFERROR((SUMIFS(TM[[#All],[Total Truncated Expenses]],TM[[#All],[Reporting Year]],2024,TM[[#All],[Insurance Category Code]],8,TM[[#All],[Large Provider Entity Code]],100))/ICC8_MemberMonths_2024,"NA")</f>
        <v>NA</v>
      </c>
      <c r="R77" s="137" t="str" cm="1">
        <f t="array" ref="R77">IFERROR((SUMIFS(TM[[#All],[Total Truncated Expenses]],TM[[#All],[Reporting Year]],2025,TM[[#All],[Insurance Category Code]],8,TM[[#All],[Large Provider Entity Code]],100))/ICC8_MemberMonths_2025,"NA")</f>
        <v>NA</v>
      </c>
      <c r="S77" s="377" t="str">
        <f>IFERROR(Table91112152858[[#This Row],[2025]]/Table91112152858[[#This Row],[2024]]-1,"NA")</f>
        <v>NA</v>
      </c>
    </row>
    <row r="78" spans="1:19" x14ac:dyDescent="0.4">
      <c r="A78"/>
      <c r="B78"/>
      <c r="C78"/>
      <c r="D78"/>
      <c r="E78"/>
      <c r="F78"/>
      <c r="G78"/>
      <c r="H78"/>
      <c r="I78"/>
      <c r="J78"/>
      <c r="K78"/>
      <c r="L78"/>
      <c r="M78"/>
      <c r="N78"/>
      <c r="O78"/>
      <c r="P78"/>
      <c r="Q78"/>
      <c r="R78"/>
      <c r="S78"/>
    </row>
    <row r="79" spans="1:19" x14ac:dyDescent="0.4">
      <c r="A79" s="661" t="s">
        <v>499</v>
      </c>
      <c r="B79" s="661"/>
      <c r="C79" s="661"/>
      <c r="D79" s="661"/>
      <c r="E79"/>
      <c r="F79" s="661" t="s">
        <v>500</v>
      </c>
      <c r="G79" s="661"/>
      <c r="H79" s="661"/>
      <c r="I79" s="661"/>
      <c r="J79"/>
      <c r="K79" s="3" t="s">
        <v>501</v>
      </c>
      <c r="L79" s="3"/>
      <c r="M79" s="3"/>
      <c r="N79" s="3"/>
      <c r="O79"/>
      <c r="P79"/>
      <c r="Q79"/>
      <c r="R79"/>
      <c r="S79"/>
    </row>
    <row r="80" spans="1:19" ht="30" customHeight="1" x14ac:dyDescent="0.4">
      <c r="A80" s="586" t="s">
        <v>388</v>
      </c>
      <c r="B80" s="586"/>
      <c r="C80" s="586"/>
      <c r="D80" s="586"/>
      <c r="E80"/>
      <c r="F80" s="586" t="s">
        <v>388</v>
      </c>
      <c r="G80" s="586"/>
      <c r="H80" s="586"/>
      <c r="I80" s="586"/>
      <c r="J80"/>
      <c r="K80" s="586" t="s">
        <v>388</v>
      </c>
      <c r="L80" s="586"/>
      <c r="M80" s="586"/>
      <c r="N80" s="586"/>
      <c r="O80"/>
      <c r="P80"/>
      <c r="Q80"/>
      <c r="R80"/>
      <c r="S80"/>
    </row>
    <row r="81" spans="1:19" ht="30" customHeight="1" x14ac:dyDescent="0.4">
      <c r="A81" s="587" t="s">
        <v>581</v>
      </c>
      <c r="B81" s="587"/>
      <c r="C81" s="587"/>
      <c r="D81" s="587"/>
      <c r="E81" s="2"/>
      <c r="F81" s="587" t="s">
        <v>581</v>
      </c>
      <c r="G81" s="587"/>
      <c r="H81" s="587"/>
      <c r="I81" s="587"/>
      <c r="J81"/>
      <c r="K81" s="587" t="s">
        <v>581</v>
      </c>
      <c r="L81" s="587"/>
      <c r="M81" s="587"/>
      <c r="N81" s="587"/>
      <c r="O81"/>
      <c r="P81"/>
      <c r="Q81"/>
      <c r="R81"/>
      <c r="S81"/>
    </row>
    <row r="82" spans="1:19" x14ac:dyDescent="0.4">
      <c r="A82" s="138" t="s">
        <v>493</v>
      </c>
      <c r="B82" s="93" t="s">
        <v>600</v>
      </c>
      <c r="C82" s="140" t="s">
        <v>643</v>
      </c>
      <c r="D82" s="141" t="s">
        <v>476</v>
      </c>
      <c r="E82"/>
      <c r="F82" s="138" t="s">
        <v>493</v>
      </c>
      <c r="G82" s="93" t="s">
        <v>600</v>
      </c>
      <c r="H82" s="140" t="s">
        <v>643</v>
      </c>
      <c r="I82" s="141" t="s">
        <v>476</v>
      </c>
      <c r="J82"/>
      <c r="K82" s="138" t="s">
        <v>493</v>
      </c>
      <c r="L82" s="139" t="s">
        <v>600</v>
      </c>
      <c r="M82" s="140" t="s">
        <v>643</v>
      </c>
      <c r="N82" s="141" t="s">
        <v>476</v>
      </c>
      <c r="O82"/>
      <c r="P82"/>
      <c r="Q82"/>
      <c r="R82"/>
      <c r="S82"/>
    </row>
    <row r="83" spans="1:19" x14ac:dyDescent="0.4">
      <c r="A83" s="129" t="s">
        <v>533</v>
      </c>
      <c r="B83" s="130">
        <f>SUM(G83,L83)</f>
        <v>0</v>
      </c>
      <c r="C83" s="130">
        <f>SUM(H83,M83)</f>
        <v>0</v>
      </c>
      <c r="D83" s="375" t="str">
        <f>IFERROR(Table9131654[[#This Row],[2025]]/Table9131654[[#This Row],[2024]]-1,"NA")</f>
        <v>NA</v>
      </c>
      <c r="E83"/>
      <c r="F83" s="129" t="s">
        <v>533</v>
      </c>
      <c r="G83" s="130">
        <f>SUMIFS(TM[[#All],[Member Months]],TM[[#All],[Reporting Year]],2024,TM[[#All],[Insurance Category Code]],2,TM[[#All],[Large Provider Entity Code]],100)</f>
        <v>0</v>
      </c>
      <c r="H83" s="130">
        <f>SUMIFS(TM[[#All],[Member Months]],TM[[#All],[Reporting Year]],2025,TM[[#All],[Insurance Category Code]],2,TM[[#All],[Large Provider Entity Code]],100)</f>
        <v>0</v>
      </c>
      <c r="I83" s="375" t="str">
        <f>IFERROR(Table911141755[[#This Row],[2025]]/Table911141755[[#This Row],[2024]]-1,"NA")</f>
        <v>NA</v>
      </c>
      <c r="J83"/>
      <c r="K83" s="129" t="s">
        <v>533</v>
      </c>
      <c r="L83" s="130">
        <f>SUMIFS(TM[[#All],[Member Months]],TM[[#All],[Reporting Year]],2024,TM[[#All],[Insurance Category Code]],6,TM[[#All],[Large Provider Entity Code]],100)</f>
        <v>0</v>
      </c>
      <c r="M83" s="130">
        <f>SUMIFS(TM[[#All],[Member Months]],TM[[#All],[Reporting Year]],2025,TM[[#All],[Insurance Category Code]],6,TM[[#All],[Large Provider Entity Code]],100)</f>
        <v>0</v>
      </c>
      <c r="N83" s="375" t="str">
        <f>IFERROR(Table91112151856[[#This Row],[2025]]/Table91112151856[[#This Row],[2024]]-1,"NA")</f>
        <v>NA</v>
      </c>
      <c r="O83"/>
      <c r="P83"/>
      <c r="Q83"/>
      <c r="R83"/>
      <c r="S83"/>
    </row>
    <row r="84" spans="1:19" x14ac:dyDescent="0.4">
      <c r="A84" s="132" t="s">
        <v>538</v>
      </c>
      <c r="B84" s="7" t="str">
        <f t="shared" ref="B84:B92" si="12">IFERROR((SUMPRODUCT(ICC2_MemberMonths_2024,G84)+SUMPRODUCT(ICC6_MemberMonths_2024,L84))/Medicaid_MemberMonths_2024,"NA")</f>
        <v>NA</v>
      </c>
      <c r="C84" s="7" t="str" cm="1">
        <f t="array" ref="C84">IFERROR((SUMPRODUCT(ICC2_MemberMonths_2025,H84)+SUMPRODUCT(ICC6_MemberMonths_2025,M84))/Medicaid_MemberMonths_2025,"NA")</f>
        <v>NA</v>
      </c>
      <c r="D84" s="375" t="str">
        <f>IFERROR(Table9131654[[#This Row],[2025]]/Table9131654[[#This Row],[2024]]-1,"NA")</f>
        <v>NA</v>
      </c>
      <c r="E84"/>
      <c r="F84" s="132" t="s">
        <v>538</v>
      </c>
      <c r="G84" s="7" t="str">
        <f>IFERROR((SUMIFS(TM[[#All],[Claims: Hospital Inpatient]],TM[[#All],[Reporting Year]],2024,TM[[#All],[Insurance Category Code]],2,TM[[#All],[Large Provider Entity Code]],100))/ICC2_MemberMonths_2024,"NA")</f>
        <v>NA</v>
      </c>
      <c r="H84" s="7" t="str" cm="1">
        <f t="array" ref="H84">IFERROR((SUMIFS(TM[[#All],[Claims: Hospital Inpatient]],TM[[#All],[Reporting Year]],2025,TM[[#All],[Insurance Category Code]],2,TM[[#All],[Large Provider Entity Code]],100))/ICC2_MemberMonths_2025,"NA")</f>
        <v>NA</v>
      </c>
      <c r="I84" s="375" t="str">
        <f>IFERROR(Table911141755[[#This Row],[2025]]/Table911141755[[#This Row],[2024]]-1,"NA")</f>
        <v>NA</v>
      </c>
      <c r="J84"/>
      <c r="K84" s="132" t="s">
        <v>538</v>
      </c>
      <c r="L84" s="7" t="str">
        <f>IFERROR((SUMIFS(TM[[#All],[Claims: Hospital Inpatient]],TM[[#All],[Reporting Year]],2024,TM[[#All],[Insurance Category Code]],6,TM[[#All],[Large Provider Entity Code]],100))/ICC6_MemberMonths_2024,"NA")</f>
        <v>NA</v>
      </c>
      <c r="M84" s="7" t="str" cm="1">
        <f t="array" ref="M84">IFERROR((SUMIFS(TM[[#All],[Claims: Hospital Inpatient]],TM[[#All],[Reporting Year]],2025,TM[[#All],[Insurance Category Code]],6,TM[[#All],[Large Provider Entity Code]],100))/ICC6_MemberMonths_2025,"NA")</f>
        <v>NA</v>
      </c>
      <c r="N84" s="375" t="str">
        <f>IFERROR(Table91112151856[[#This Row],[2025]]/Table91112151856[[#This Row],[2024]]-1,"NA")</f>
        <v>NA</v>
      </c>
      <c r="O84"/>
      <c r="P84"/>
      <c r="Q84"/>
      <c r="R84"/>
      <c r="S84"/>
    </row>
    <row r="85" spans="1:19" x14ac:dyDescent="0.4">
      <c r="A85" s="132" t="s">
        <v>539</v>
      </c>
      <c r="B85" s="7" t="str">
        <f t="shared" si="12"/>
        <v>NA</v>
      </c>
      <c r="C85" s="7" t="str" cm="1">
        <f t="array" ref="C85">IFERROR((SUMPRODUCT(ICC2_MemberMonths_2025,H85)+SUMPRODUCT(ICC6_MemberMonths_2025,M85))/Medicaid_MemberMonths_2025,"NA")</f>
        <v>NA</v>
      </c>
      <c r="D85" s="375" t="str">
        <f>IFERROR(Table9131654[[#This Row],[2025]]/Table9131654[[#This Row],[2024]]-1,"NA")</f>
        <v>NA</v>
      </c>
      <c r="E85"/>
      <c r="F85" s="132" t="s">
        <v>539</v>
      </c>
      <c r="G85" s="7" t="str">
        <f>IFERROR((SUMIFS(TM[[#All],[Claims: Hospital Outpatient]],TM[[#All],[Reporting Year]],2024,TM[[#All],[Insurance Category Code]],2,TM[[#All],[Large Provider Entity Code]],100))/ICC2_MemberMonths_2024,"NA")</f>
        <v>NA</v>
      </c>
      <c r="H85" s="7" t="str" cm="1">
        <f t="array" ref="H85">IFERROR((SUMIFS(TM[[#All],[Claims: Hospital Outpatient]],TM[[#All],[Reporting Year]],2025,TM[[#All],[Insurance Category Code]],2,TM[[#All],[Large Provider Entity Code]],100))/ICC2_MemberMonths_2025,"NA")</f>
        <v>NA</v>
      </c>
      <c r="I85" s="375" t="str">
        <f>IFERROR(Table911141755[[#This Row],[2025]]/Table911141755[[#This Row],[2024]]-1,"NA")</f>
        <v>NA</v>
      </c>
      <c r="J85"/>
      <c r="K85" s="132" t="s">
        <v>539</v>
      </c>
      <c r="L85" s="7" t="str">
        <f>IFERROR((SUMIFS(TM[[#All],[Claims: Hospital Outpatient]],TM[[#All],[Reporting Year]],2024,TM[[#All],[Insurance Category Code]],6,TM[[#All],[Large Provider Entity Code]],100))/ICC6_MemberMonths_2024,"NA")</f>
        <v>NA</v>
      </c>
      <c r="M85" s="7" t="str" cm="1">
        <f t="array" ref="M85">IFERROR((SUMIFS(TM[[#All],[Claims: Hospital Outpatient]],TM[[#All],[Reporting Year]],2025,TM[[#All],[Insurance Category Code]],6,TM[[#All],[Large Provider Entity Code]],100))/ICC6_MemberMonths_2025,"NA")</f>
        <v>NA</v>
      </c>
      <c r="N85" s="375" t="str">
        <f>IFERROR(Table91112151856[[#This Row],[2025]]/Table91112151856[[#This Row],[2024]]-1,"NA")</f>
        <v>NA</v>
      </c>
      <c r="O85"/>
      <c r="P85"/>
      <c r="Q85"/>
      <c r="R85"/>
      <c r="S85"/>
    </row>
    <row r="86" spans="1:19" x14ac:dyDescent="0.4">
      <c r="A86" s="132" t="s">
        <v>540</v>
      </c>
      <c r="B86" s="7" t="str">
        <f t="shared" si="12"/>
        <v>NA</v>
      </c>
      <c r="C86" s="7" t="str" cm="1">
        <f t="array" ref="C86">IFERROR((SUMPRODUCT(ICC2_MemberMonths_2025,H86)+SUMPRODUCT(ICC6_MemberMonths_2025,M86))/Medicaid_MemberMonths_2025,"NA")</f>
        <v>NA</v>
      </c>
      <c r="D86" s="375" t="str">
        <f>IFERROR(Table9131654[[#This Row],[2025]]/Table9131654[[#This Row],[2024]]-1,"NA")</f>
        <v>NA</v>
      </c>
      <c r="E86"/>
      <c r="F86" s="132" t="s">
        <v>540</v>
      </c>
      <c r="G86" s="7" t="str">
        <f>IFERROR((SUMIFS(TM[[#All],[Claims: Professional, Primary Care Providers]],TM[[#All],[Reporting Year]],2024,TM[[#All],[Insurance Category Code]],2,TM[[#All],[Large Provider Entity Code]],100))/ICC2_MemberMonths_2024,"NA")</f>
        <v>NA</v>
      </c>
      <c r="H86" s="7" t="str" cm="1">
        <f t="array" ref="H86">IFERROR((SUMIFS(TM[[#All],[Claims: Professional, Primary Care Providers]],TM[[#All],[Reporting Year]],2025,TM[[#All],[Insurance Category Code]],2,TM[[#All],[Large Provider Entity Code]],100))/ICC2_MemberMonths_2025,"NA")</f>
        <v>NA</v>
      </c>
      <c r="I86" s="375" t="str">
        <f>IFERROR(Table911141755[[#This Row],[2025]]/Table911141755[[#This Row],[2024]]-1,"NA")</f>
        <v>NA</v>
      </c>
      <c r="J86"/>
      <c r="K86" s="132" t="s">
        <v>540</v>
      </c>
      <c r="L86" s="7" t="str">
        <f>IFERROR((SUMIFS(TM[[#All],[Claims: Professional, Primary Care Providers]],TM[[#All],[Reporting Year]],2024,TM[[#All],[Insurance Category Code]],6,TM[[#All],[Large Provider Entity Code]],100))/ICC6_MemberMonths_2024,"NA")</f>
        <v>NA</v>
      </c>
      <c r="M86" s="7" t="str" cm="1">
        <f t="array" ref="M86">IFERROR((SUMIFS(TM[[#All],[Claims: Professional, Primary Care Providers]],TM[[#All],[Reporting Year]],2025,TM[[#All],[Insurance Category Code]],6,TM[[#All],[Large Provider Entity Code]],100))/ICC6_MemberMonths_2025,"NA")</f>
        <v>NA</v>
      </c>
      <c r="N86" s="375" t="str">
        <f>IFERROR(Table91112151856[[#This Row],[2025]]/Table91112151856[[#This Row],[2024]]-1,"NA")</f>
        <v>NA</v>
      </c>
      <c r="O86"/>
      <c r="P86"/>
      <c r="Q86"/>
      <c r="R86"/>
      <c r="S86"/>
    </row>
    <row r="87" spans="1:19" x14ac:dyDescent="0.4">
      <c r="A87" s="132" t="s">
        <v>541</v>
      </c>
      <c r="B87" s="7" t="str">
        <f t="shared" si="12"/>
        <v>NA</v>
      </c>
      <c r="C87" s="7" t="str" cm="1">
        <f t="array" ref="C87">IFERROR((SUMPRODUCT(ICC2_MemberMonths_2025,H87)+SUMPRODUCT(ICC6_MemberMonths_2025,M87))/Medicaid_MemberMonths_2025,"NA")</f>
        <v>NA</v>
      </c>
      <c r="D87" s="375" t="str">
        <f>IFERROR(Table9131654[[#This Row],[2025]]/Table9131654[[#This Row],[2024]]-1,"NA")</f>
        <v>NA</v>
      </c>
      <c r="E87"/>
      <c r="F87" s="132" t="s">
        <v>541</v>
      </c>
      <c r="G87" s="7" t="str">
        <f>IFERROR((SUMIFS(TM[[#All],[Claims: Professional, Specialty Providers]],TM[[#All],[Reporting Year]],2024,TM[[#All],[Insurance Category Code]],2,TM[[#All],[Large Provider Entity Code]],100))/ICC2_MemberMonths_2024,"NA")</f>
        <v>NA</v>
      </c>
      <c r="H87" s="7" t="str" cm="1">
        <f t="array" ref="H87">IFERROR((SUMIFS(TM[[#All],[Claims: Professional, Specialty Providers]],TM[[#All],[Reporting Year]],2025,TM[[#All],[Insurance Category Code]],2,TM[[#All],[Large Provider Entity Code]],100))/ICC2_MemberMonths_2025,"NA")</f>
        <v>NA</v>
      </c>
      <c r="I87" s="375" t="str">
        <f>IFERROR(Table911141755[[#This Row],[2025]]/Table911141755[[#This Row],[2024]]-1,"NA")</f>
        <v>NA</v>
      </c>
      <c r="J87"/>
      <c r="K87" s="132" t="s">
        <v>541</v>
      </c>
      <c r="L87" s="7" t="str">
        <f>IFERROR((SUMIFS(TM[[#All],[Claims: Professional, Specialty Providers]],TM[[#All],[Reporting Year]],2024,TM[[#All],[Insurance Category Code]],6,TM[[#All],[Large Provider Entity Code]],100))/ICC6_MemberMonths_2024,"NA")</f>
        <v>NA</v>
      </c>
      <c r="M87" s="7" t="str" cm="1">
        <f t="array" ref="M87">IFERROR((SUMIFS(TM[[#All],[Claims: Professional, Specialty Providers]],TM[[#All],[Reporting Year]],2025,TM[[#All],[Insurance Category Code]],6,TM[[#All],[Large Provider Entity Code]],100))/ICC6_MemberMonths_2025,"NA")</f>
        <v>NA</v>
      </c>
      <c r="N87" s="375" t="str">
        <f>IFERROR(Table91112151856[[#This Row],[2025]]/Table91112151856[[#This Row],[2024]]-1,"NA")</f>
        <v>NA</v>
      </c>
      <c r="O87"/>
      <c r="P87"/>
      <c r="Q87"/>
      <c r="R87"/>
      <c r="S87"/>
    </row>
    <row r="88" spans="1:19" x14ac:dyDescent="0.4">
      <c r="A88" s="132" t="s">
        <v>542</v>
      </c>
      <c r="B88" s="7" t="str">
        <f t="shared" si="12"/>
        <v>NA</v>
      </c>
      <c r="C88" s="7" t="str" cm="1">
        <f t="array" ref="C88">IFERROR((SUMPRODUCT(ICC2_MemberMonths_2025,H88)+SUMPRODUCT(ICC6_MemberMonths_2025,M88))/Medicaid_MemberMonths_2025,"NA")</f>
        <v>NA</v>
      </c>
      <c r="D88" s="375" t="str">
        <f>IFERROR(Table9131654[[#This Row],[2025]]/Table9131654[[#This Row],[2024]]-1,"NA")</f>
        <v>NA</v>
      </c>
      <c r="E88"/>
      <c r="F88" s="132" t="s">
        <v>542</v>
      </c>
      <c r="G88" s="7" t="str">
        <f>IFERROR((SUMIFS(TM[[#All],[Claims: Professional, Other Providers]],TM[[#All],[Reporting Year]],2024,TM[[#All],[Insurance Category Code]],2,TM[[#All],[Large Provider Entity Code]],100))/ICC2_MemberMonths_2024,"NA")</f>
        <v>NA</v>
      </c>
      <c r="H88" s="7" t="str" cm="1">
        <f t="array" ref="H88">IFERROR((SUMIFS(TM[[#All],[Claims: Professional, Other Providers]],TM[[#All],[Reporting Year]],2025,TM[[#All],[Insurance Category Code]],2,TM[[#All],[Large Provider Entity Code]],100))/ICC2_MemberMonths_2025,"NA")</f>
        <v>NA</v>
      </c>
      <c r="I88" s="375" t="str">
        <f>IFERROR(Table911141755[[#This Row],[2025]]/Table911141755[[#This Row],[2024]]-1,"NA")</f>
        <v>NA</v>
      </c>
      <c r="J88"/>
      <c r="K88" s="132" t="s">
        <v>542</v>
      </c>
      <c r="L88" s="7" t="str">
        <f>IFERROR((SUMIFS(TM[[#All],[Claims: Professional, Other Providers]],TM[[#All],[Reporting Year]],2024,TM[[#All],[Insurance Category Code]],6,TM[[#All],[Large Provider Entity Code]],100))/ICC6_MemberMonths_2024,"NA")</f>
        <v>NA</v>
      </c>
      <c r="M88" s="7" t="str" cm="1">
        <f t="array" ref="M88">IFERROR((SUMIFS(TM[[#All],[Claims: Professional, Other Providers]],TM[[#All],[Reporting Year]],2025,TM[[#All],[Insurance Category Code]],6,TM[[#All],[Large Provider Entity Code]],100))/ICC6_MemberMonths_2025,"NA")</f>
        <v>NA</v>
      </c>
      <c r="N88" s="375" t="str">
        <f>IFERROR(Table91112151856[[#This Row],[2025]]/Table91112151856[[#This Row],[2024]]-1,"NA")</f>
        <v>NA</v>
      </c>
      <c r="O88"/>
      <c r="P88"/>
      <c r="Q88"/>
      <c r="R88"/>
      <c r="S88"/>
    </row>
    <row r="89" spans="1:19" x14ac:dyDescent="0.4">
      <c r="A89" s="132" t="s">
        <v>543</v>
      </c>
      <c r="B89" s="7" t="str">
        <f t="shared" si="12"/>
        <v>NA</v>
      </c>
      <c r="C89" s="7" t="str" cm="1">
        <f t="array" ref="C89">IFERROR((SUMPRODUCT(ICC2_MemberMonths_2025,H89)+SUMPRODUCT(ICC6_MemberMonths_2025,M89))/Medicaid_MemberMonths_2025,"NA")</f>
        <v>NA</v>
      </c>
      <c r="D89" s="375" t="str">
        <f>IFERROR(Table9131654[[#This Row],[2025]]/Table9131654[[#This Row],[2024]]-1,"NA")</f>
        <v>NA</v>
      </c>
      <c r="E89"/>
      <c r="F89" s="132" t="s">
        <v>543</v>
      </c>
      <c r="G89" s="7" t="str">
        <f>IFERROR((SUMIFS(TM[[#All],[Claims: Long-Term Care]],TM[[#All],[Reporting Year]],2024,TM[[#All],[Insurance Category Code]],2,TM[[#All],[Large Provider Entity Code]],100))/ICC2_MemberMonths_2024,"NA")</f>
        <v>NA</v>
      </c>
      <c r="H89" s="7" t="str" cm="1">
        <f t="array" ref="H89">IFERROR((SUMIFS(TM[[#All],[Claims: Long-Term Care]],TM[[#All],[Reporting Year]],2025,TM[[#All],[Insurance Category Code]],2,TM[[#All],[Large Provider Entity Code]],100))/ICC2_MemberMonths_2025,"NA")</f>
        <v>NA</v>
      </c>
      <c r="I89" s="375" t="str">
        <f>IFERROR(Table911141755[[#This Row],[2025]]/Table911141755[[#This Row],[2024]]-1,"NA")</f>
        <v>NA</v>
      </c>
      <c r="J89"/>
      <c r="K89" s="132" t="s">
        <v>543</v>
      </c>
      <c r="L89" s="7" t="str">
        <f>IFERROR((SUMIFS(TM[[#All],[Claims: Long-Term Care]],TM[[#All],[Reporting Year]],2024,TM[[#All],[Insurance Category Code]],6,TM[[#All],[Large Provider Entity Code]],100))/ICC6_MemberMonths_2024,"NA")</f>
        <v>NA</v>
      </c>
      <c r="M89" s="7" t="str" cm="1">
        <f t="array" ref="M89">IFERROR((SUMIFS(TM[[#All],[Claims: Long-Term Care]],TM[[#All],[Reporting Year]],2025,TM[[#All],[Insurance Category Code]],6,TM[[#All],[Large Provider Entity Code]],100))/ICC6_MemberMonths_2025,"NA")</f>
        <v>NA</v>
      </c>
      <c r="N89" s="375" t="str">
        <f>IFERROR(Table91112151856[[#This Row],[2025]]/Table91112151856[[#This Row],[2024]]-1,"NA")</f>
        <v>NA</v>
      </c>
      <c r="O89"/>
      <c r="P89"/>
      <c r="Q89"/>
      <c r="R89"/>
      <c r="S89"/>
    </row>
    <row r="90" spans="1:19" x14ac:dyDescent="0.4">
      <c r="A90" s="132" t="s">
        <v>544</v>
      </c>
      <c r="B90" s="7" t="str">
        <f t="shared" si="12"/>
        <v>NA</v>
      </c>
      <c r="C90" s="7" t="str" cm="1">
        <f t="array" ref="C90">IFERROR((SUMPRODUCT(ICC2_MemberMonths_2025,H90)+SUMPRODUCT(ICC6_MemberMonths_2025,M90))/Medicaid_MemberMonths_2025,"NA")</f>
        <v>NA</v>
      </c>
      <c r="D90" s="375" t="str">
        <f>IFERROR(Table9131654[[#This Row],[2025]]/Table9131654[[#This Row],[2024]]-1,"NA")</f>
        <v>NA</v>
      </c>
      <c r="E90"/>
      <c r="F90" s="132" t="s">
        <v>544</v>
      </c>
      <c r="G90" s="7" t="str">
        <f>IFERROR((SUMIFS(TM[[#All],[Claims: Retail Pharmacy]],TM[[#All],[Reporting Year]],2024,TM[[#All],[Insurance Category Code]],2,TM[[#All],[Large Provider Entity Code]],100))/ICC2_MemberMonths_2024,"NA")</f>
        <v>NA</v>
      </c>
      <c r="H90" s="7" t="str" cm="1">
        <f t="array" ref="H90">IFERROR((SUMIFS(TM[[#All],[Claims: Retail Pharmacy]],TM[[#All],[Reporting Year]],2025,TM[[#All],[Insurance Category Code]],2,TM[[#All],[Large Provider Entity Code]],100))/ICC2_MemberMonths_2025,"NA")</f>
        <v>NA</v>
      </c>
      <c r="I90" s="375" t="str">
        <f>IFERROR(Table911141755[[#This Row],[2025]]/Table911141755[[#This Row],[2024]]-1,"NA")</f>
        <v>NA</v>
      </c>
      <c r="J90"/>
      <c r="K90" s="132" t="s">
        <v>544</v>
      </c>
      <c r="L90" s="7" t="str">
        <f>IFERROR((SUMIFS(TM[[#All],[Claims: Retail Pharmacy]],TM[[#All],[Reporting Year]],2024,TM[[#All],[Insurance Category Code]],6,TM[[#All],[Large Provider Entity Code]],100))/ICC6_MemberMonths_2024,"NA")</f>
        <v>NA</v>
      </c>
      <c r="M90" s="7" t="str" cm="1">
        <f t="array" ref="M90">IFERROR((SUMIFS(TM[[#All],[Claims: Retail Pharmacy]],TM[[#All],[Reporting Year]],2025,TM[[#All],[Insurance Category Code]],6,TM[[#All],[Large Provider Entity Code]],100))/ICC6_MemberMonths_2025,"NA")</f>
        <v>NA</v>
      </c>
      <c r="N90" s="375" t="str">
        <f>IFERROR(Table91112151856[[#This Row],[2025]]/Table91112151856[[#This Row],[2024]]-1,"NA")</f>
        <v>NA</v>
      </c>
      <c r="O90"/>
      <c r="P90"/>
      <c r="Q90"/>
      <c r="R90"/>
      <c r="S90"/>
    </row>
    <row r="91" spans="1:19" x14ac:dyDescent="0.4">
      <c r="A91" s="132" t="s">
        <v>545</v>
      </c>
      <c r="B91" s="7" t="str">
        <f t="shared" si="12"/>
        <v>NA</v>
      </c>
      <c r="C91" s="7" t="str" cm="1">
        <f t="array" ref="C91">IFERROR((SUMPRODUCT(ICC2_MemberMonths_2025,H91)+SUMPRODUCT(ICC6_MemberMonths_2025,M91))/Medicaid_MemberMonths_2025,"NA")</f>
        <v>NA</v>
      </c>
      <c r="D91" s="375" t="str">
        <f>IFERROR(Table9131654[[#This Row],[2025]]/Table9131654[[#This Row],[2024]]-1,"NA")</f>
        <v>NA</v>
      </c>
      <c r="E91"/>
      <c r="F91" s="132" t="s">
        <v>545</v>
      </c>
      <c r="G91" s="7" t="str">
        <f>IFERROR(((SUMIFS(TM[[#All],[Claims: Retail Pharmacy]],TM[[#All],[Reporting Year]],2024,TM[[#All],[Insurance Category Code]],2,TM[[#All],[Large Provider Entity Code]],100))-ABS(SUMIFS(RX[[#All],[Total Medical and Retail Pharmacy Rebate Amount]],RX[[#All],[Reporting Year]],2024,RX[[#All],[Insurance Category Code]],2)))/ICC2_MemberMonths_2024,"NA")</f>
        <v>NA</v>
      </c>
      <c r="H91" s="7" t="str" cm="1">
        <f t="array" ref="H91">IFERROR(((SUMIFS(TM[[#All],[Claims: Retail Pharmacy]],TM[[#All],[Reporting Year]],2025,TM[[#All],[Insurance Category Code]],2,TM[[#All],[Large Provider Entity Code]],100))-ABS(SUMIFS(RX[[#All],[Total Medical and Retail Pharmacy Rebate Amount]],RX[[#All],[Reporting Year]],2025,RX[[#All],[Insurance Category Code]],2)))/ICC2_MemberMonths_2025,"NA")</f>
        <v>NA</v>
      </c>
      <c r="I91" s="375" t="str">
        <f>IFERROR(Table911141755[[#This Row],[2025]]/Table911141755[[#This Row],[2024]]-1,"NA")</f>
        <v>NA</v>
      </c>
      <c r="J91"/>
      <c r="K91" s="132" t="s">
        <v>545</v>
      </c>
      <c r="L91" s="7" t="str">
        <f>IFERROR(((SUMIFS(TM[[#All],[Claims: Retail Pharmacy]],TM[[#All],[Reporting Year]],2024,TM[[#All],[Insurance Category Code]],6,TM[[#All],[Large Provider Entity Code]],100))-ABS(SUMIFS(RX[[#All],[Total Medical and Retail Pharmacy Rebate Amount]],RX[[#All],[Reporting Year]],2024,RX[[#All],[Insurance Category Code]],6)))/ICC6_MemberMonths_2024,"NA")</f>
        <v>NA</v>
      </c>
      <c r="M91" s="7" t="str" cm="1">
        <f t="array" ref="M91">IFERROR(((SUMIFS(TM[[#All],[Claims: Retail Pharmacy]],TM[[#All],[Reporting Year]],2025,TM[[#All],[Insurance Category Code]],6,TM[[#All],[Large Provider Entity Code]],100))-ABS(SUMIFS(RX[[#All],[Total Medical and Retail Pharmacy Rebate Amount]],RX[[#All],[Reporting Year]],2025,RX[[#All],[Insurance Category Code]],6)))/ICC6_MemberMonths_2025,"NA")</f>
        <v>NA</v>
      </c>
      <c r="N91" s="375" t="str">
        <f>IFERROR(Table91112151856[[#This Row],[2025]]/Table91112151856[[#This Row],[2024]]-1,"NA")</f>
        <v>NA</v>
      </c>
      <c r="O91"/>
      <c r="P91"/>
      <c r="Q91"/>
      <c r="R91"/>
      <c r="S91"/>
    </row>
    <row r="92" spans="1:19" s="148" customFormat="1" x14ac:dyDescent="0.4">
      <c r="A92" s="132" t="s">
        <v>546</v>
      </c>
      <c r="B92" s="7" t="str">
        <f t="shared" si="12"/>
        <v>NA</v>
      </c>
      <c r="C92" s="7" t="str" cm="1">
        <f t="array" ref="C92">IFERROR((SUMPRODUCT(ICC2_MemberMonths_2025,H92)+SUMPRODUCT(ICC6_MemberMonths_2025,M92))/Medicaid_MemberMonths_2025,"NA")</f>
        <v>NA</v>
      </c>
      <c r="D92" s="375" t="str">
        <f>IFERROR(Table9131654[[#This Row],[2025]]/Table9131654[[#This Row],[2024]]-1,"NA")</f>
        <v>NA</v>
      </c>
      <c r="E92" s="3"/>
      <c r="F92" s="132" t="s">
        <v>546</v>
      </c>
      <c r="G92" s="7" t="str">
        <f>IFERROR(SUMIFS(RX[[#All],[Total Medical and Retail Pharmacy Rebate Amount]],RX[[#All],[Reporting Year]],2024,RX[[#All],[Insurance Category Code]],2)/ICC2_MemberMonths_2024,"NA")</f>
        <v>NA</v>
      </c>
      <c r="H92" s="7" t="str" cm="1">
        <f t="array" ref="H92">IFERROR(SUMIFS(RX[[#All],[Total Medical and Retail Pharmacy Rebate Amount]],RX[[#All],[Reporting Year]],2025,RX[[#All],[Insurance Category Code]],2)/ICC2_MemberMonths_2025,"NA")</f>
        <v>NA</v>
      </c>
      <c r="I92" s="375" t="str">
        <f>IFERROR(Table911141755[[#This Row],[2025]]/Table911141755[[#This Row],[2024]]-1,"NA")</f>
        <v>NA</v>
      </c>
      <c r="J92" s="3"/>
      <c r="K92" s="132" t="s">
        <v>546</v>
      </c>
      <c r="L92" s="7" t="str">
        <f>IFERROR(SUMIFS(RX[[#All],[Total Medical and Retail Pharmacy Rebate Amount]],RX[[#All],[Reporting Year]],2024,RX[[#All],[Insurance Category Code]],6)/ICC6_MemberMonths_2024,"NA")</f>
        <v>NA</v>
      </c>
      <c r="M92" s="7" t="str" cm="1">
        <f t="array" ref="M92">IFERROR(SUMIFS(RX[[#All],[Total Medical and Retail Pharmacy Rebate Amount]],RX[[#All],[Reporting Year]],2025,RX[[#All],[Insurance Category Code]],6)/ICC6_MemberMonths_2025,"NA")</f>
        <v>NA</v>
      </c>
      <c r="N92" s="375" t="str">
        <f>IFERROR(Table91112151856[[#This Row],[2025]]/Table91112151856[[#This Row],[2024]]-1,"NA")</f>
        <v>NA</v>
      </c>
      <c r="O92" s="3"/>
      <c r="P92"/>
      <c r="Q92"/>
      <c r="R92"/>
      <c r="S92"/>
    </row>
    <row r="93" spans="1:19" s="148" customFormat="1" x14ac:dyDescent="0.4">
      <c r="A93" s="427" t="s">
        <v>494</v>
      </c>
      <c r="B93" s="166" t="str">
        <f>IFERROR(ABS(B92/B90),"NA")</f>
        <v>NA</v>
      </c>
      <c r="C93" s="166" t="str">
        <f>IFERROR(ABS(C92/C90),"NA")</f>
        <v>NA</v>
      </c>
      <c r="D93" s="448" t="s">
        <v>470</v>
      </c>
      <c r="E93" s="3"/>
      <c r="F93" s="427" t="s">
        <v>494</v>
      </c>
      <c r="G93" s="166" t="str">
        <f>IFERROR(ABS(G92/G90),"NA")</f>
        <v>NA</v>
      </c>
      <c r="H93" s="166" t="str">
        <f>IFERROR(ABS(H92/H90),"NA")</f>
        <v>NA</v>
      </c>
      <c r="I93" s="448" t="s">
        <v>470</v>
      </c>
      <c r="J93" s="3"/>
      <c r="K93" s="427" t="s">
        <v>494</v>
      </c>
      <c r="L93" s="166" t="str">
        <f>IFERROR(ABS(L92/L90),"NA")</f>
        <v>NA</v>
      </c>
      <c r="M93" s="166" t="str">
        <f>IFERROR(ABS(M92/M90),"NA")</f>
        <v>NA</v>
      </c>
      <c r="N93" s="448" t="s">
        <v>470</v>
      </c>
      <c r="O93" s="3"/>
      <c r="P93"/>
      <c r="Q93"/>
      <c r="R93"/>
      <c r="S93"/>
    </row>
    <row r="94" spans="1:19" x14ac:dyDescent="0.4">
      <c r="A94" s="132" t="s">
        <v>547</v>
      </c>
      <c r="B94" s="7" t="str">
        <f t="shared" ref="B94:B106" si="13">IFERROR((SUMPRODUCT(ICC2_MemberMonths_2024,G94)+SUMPRODUCT(ICC6_MemberMonths_2024,L94))/Medicaid_MemberMonths_2024,"NA")</f>
        <v>NA</v>
      </c>
      <c r="C94" s="7" t="str" cm="1">
        <f t="array" ref="C94">IFERROR((SUMPRODUCT(ICC2_MemberMonths_2025,H94)+SUMPRODUCT(ICC6_MemberMonths_2025,M94))/Medicaid_MemberMonths_2025,"NA")</f>
        <v>NA</v>
      </c>
      <c r="D94" s="375" t="str">
        <f>IFERROR(Table9131654[[#This Row],[2025]]/Table9131654[[#This Row],[2024]]-1,"NA")</f>
        <v>NA</v>
      </c>
      <c r="E94"/>
      <c r="F94" s="132" t="s">
        <v>547</v>
      </c>
      <c r="G94" s="7" t="str">
        <f>IFERROR((SUMIFS(TM[[#All],[Claims: Other]],TM[[#All],[Reporting Year]],2024,TM[[#All],[Insurance Category Code]],2,TM[[#All],[Large Provider Entity Code]],100))/ICC2_MemberMonths_2024,"NA")</f>
        <v>NA</v>
      </c>
      <c r="H94" s="7" t="str" cm="1">
        <f t="array" ref="H94">IFERROR((SUMIFS(TM[[#All],[Claims: Other]],TM[[#All],[Reporting Year]],2025,TM[[#All],[Insurance Category Code]],2,TM[[#All],[Large Provider Entity Code]],100))/ICC2_MemberMonths_2025,"NA")</f>
        <v>NA</v>
      </c>
      <c r="I94" s="375" t="str">
        <f>IFERROR(Table911141755[[#This Row],[2025]]/Table911141755[[#This Row],[2024]]-1,"NA")</f>
        <v>NA</v>
      </c>
      <c r="J94"/>
      <c r="K94" s="132" t="s">
        <v>547</v>
      </c>
      <c r="L94" s="7" t="str">
        <f>IFERROR((SUMIFS(TM[[#All],[Claims: Other]],TM[[#All],[Reporting Year]],2024,TM[[#All],[Insurance Category Code]],6,TM[[#All],[Large Provider Entity Code]],100))/ICC6_MemberMonths_2024,"NA")</f>
        <v>NA</v>
      </c>
      <c r="M94" s="7" t="str" cm="1">
        <f t="array" ref="M94">IFERROR((SUMIFS(TM[[#All],[Claims: Other]],TM[[#All],[Reporting Year]],2025,TM[[#All],[Insurance Category Code]],6,TM[[#All],[Large Provider Entity Code]],100))/ICC6_MemberMonths_2025,"NA")</f>
        <v>NA</v>
      </c>
      <c r="N94" s="375" t="str">
        <f>IFERROR(Table91112151856[[#This Row],[2025]]/Table91112151856[[#This Row],[2024]]-1,"NA")</f>
        <v>NA</v>
      </c>
      <c r="O94"/>
      <c r="P94" s="3"/>
      <c r="Q94" s="3"/>
      <c r="R94" s="3"/>
      <c r="S94" s="3"/>
    </row>
    <row r="95" spans="1:19" x14ac:dyDescent="0.4">
      <c r="A95" s="402" t="s">
        <v>548</v>
      </c>
      <c r="B95" s="404" t="str">
        <f t="shared" si="13"/>
        <v>NA</v>
      </c>
      <c r="C95" s="7" t="str" cm="1">
        <f t="array" ref="C95">IFERROR((SUMPRODUCT(ICC2_MemberMonths_2025,H95)+SUMPRODUCT(ICC6_MemberMonths_2025,M95))/Medicaid_MemberMonths_2025,"NA")</f>
        <v>NA</v>
      </c>
      <c r="D95" s="403" t="str">
        <f>IFERROR(Table9131654[[#This Row],[2025]]/Table9131654[[#This Row],[2024]]-1,"NA")</f>
        <v>NA</v>
      </c>
      <c r="E95"/>
      <c r="F95" s="402" t="s">
        <v>548</v>
      </c>
      <c r="G95" s="404" t="str">
        <f>IFERROR((SUMIFS(TM[[#All],[Total Non-Truncated Claims Spending]],TM[[#All],[Reporting Year]],2024,TM[[#All],[Insurance Category Code]],2,TM[[#All],[Large Provider Entity Code]],100))/ICC2_MemberMonths_2024,"NA")</f>
        <v>NA</v>
      </c>
      <c r="H95" s="404" t="str" cm="1">
        <f t="array" ref="H95">IFERROR((SUMIFS(TM[[#All],[Total Non-Truncated Claims Spending]],TM[[#All],[Reporting Year]],2025,TM[[#All],[Insurance Category Code]],2,TM[[#All],[Large Provider Entity Code]],100))/ICC2_MemberMonths_2025,"NA")</f>
        <v>NA</v>
      </c>
      <c r="I95" s="403" t="str">
        <f>IFERROR(Table911141755[[#This Row],[2025]]/Table911141755[[#This Row],[2024]]-1,"NA")</f>
        <v>NA</v>
      </c>
      <c r="J95"/>
      <c r="K95" s="402" t="s">
        <v>548</v>
      </c>
      <c r="L95" s="404" t="str">
        <f>IFERROR((SUMIFS(TM[[#All],[Total Non-Truncated Claims Spending]],TM[[#All],[Reporting Year]],2024,TM[[#All],[Insurance Category Code]],6,TM[[#All],[Large Provider Entity Code]],100))/ICC6_MemberMonths_2024,"NA")</f>
        <v>NA</v>
      </c>
      <c r="M95" s="404" t="str" cm="1">
        <f t="array" ref="M95">IFERROR((SUMIFS(TM[[#All],[Total Non-Truncated Claims Spending]],TM[[#All],[Reporting Year]],2025,TM[[#All],[Insurance Category Code]],6,TM[[#All],[Large Provider Entity Code]],100))/ICC6_MemberMonths_2025,"NA")</f>
        <v>NA</v>
      </c>
      <c r="N95" s="403" t="str">
        <f>IFERROR(Table91112151856[[#This Row],[2025]]/Table91112151856[[#This Row],[2024]]-1,"NA")</f>
        <v>NA</v>
      </c>
      <c r="O95"/>
      <c r="P95" s="3"/>
      <c r="Q95" s="3"/>
      <c r="R95" s="3"/>
      <c r="S95" s="3"/>
    </row>
    <row r="96" spans="1:19" x14ac:dyDescent="0.4">
      <c r="A96" s="402" t="s">
        <v>549</v>
      </c>
      <c r="B96" s="404" t="str">
        <f t="shared" si="13"/>
        <v>NA</v>
      </c>
      <c r="C96" s="7" t="str" cm="1">
        <f t="array" ref="C96">IFERROR((SUMPRODUCT(ICC2_MemberMonths_2025,H96)+SUMPRODUCT(ICC6_MemberMonths_2025,M96))/Medicaid_MemberMonths_2025,"NA")</f>
        <v>NA</v>
      </c>
      <c r="D96" s="403" t="str">
        <f>IFERROR(Table9131654[[#This Row],[2025]]/Table9131654[[#This Row],[2024]]-1,"NA")</f>
        <v>NA</v>
      </c>
      <c r="E96"/>
      <c r="F96" s="402" t="s">
        <v>549</v>
      </c>
      <c r="G96" s="404" t="str">
        <f>IFERROR((SUMIFS(TM[[#All],[Total Truncated Claims Spending]],TM[[#All],[Reporting Year]],2024,TM[[#All],[Insurance Category Code]],2,TM[[#All],[Large Provider Entity Code]],100))/ICC2_MemberMonths_2024,"NA")</f>
        <v>NA</v>
      </c>
      <c r="H96" s="404" t="str" cm="1">
        <f t="array" ref="H96">IFERROR((SUMIFS(TM[[#All],[Total Truncated Claims Spending]],TM[[#All],[Reporting Year]],2025,TM[[#All],[Insurance Category Code]],2,TM[[#All],[Large Provider Entity Code]],100))/ICC2_MemberMonths_2025,"NA")</f>
        <v>NA</v>
      </c>
      <c r="I96" s="403" t="str">
        <f>IFERROR(Table911141755[[#This Row],[2025]]/Table911141755[[#This Row],[2024]]-1,"NA")</f>
        <v>NA</v>
      </c>
      <c r="J96"/>
      <c r="K96" s="402" t="s">
        <v>549</v>
      </c>
      <c r="L96" s="404" t="str">
        <f>IFERROR((SUMIFS(TM[[#All],[Total Truncated Claims Spending]],TM[[#All],[Reporting Year]],2024,TM[[#All],[Insurance Category Code]],6,TM[[#All],[Large Provider Entity Code]],100))/ICC6_MemberMonths_2024,"NA")</f>
        <v>NA</v>
      </c>
      <c r="M96" s="404" t="str" cm="1">
        <f t="array" ref="M96">IFERROR((SUMIFS(TM[[#All],[Total Truncated Claims Spending]],TM[[#All],[Reporting Year]],2025,TM[[#All],[Insurance Category Code]],6,TM[[#All],[Large Provider Entity Code]],100))/ICC6_MemberMonths_2025,"NA")</f>
        <v>NA</v>
      </c>
      <c r="N96" s="403" t="str">
        <f>IFERROR(Table91112151856[[#This Row],[2025]]/Table91112151856[[#This Row],[2024]]-1,"NA")</f>
        <v>NA</v>
      </c>
      <c r="O96"/>
      <c r="P96"/>
      <c r="Q96"/>
      <c r="R96"/>
      <c r="S96"/>
    </row>
    <row r="97" spans="1:19" x14ac:dyDescent="0.4">
      <c r="A97" s="132" t="s">
        <v>550</v>
      </c>
      <c r="B97" s="7" t="str">
        <f t="shared" si="13"/>
        <v>NA</v>
      </c>
      <c r="C97" s="7" t="str" cm="1">
        <f t="array" ref="C97">IFERROR((SUMPRODUCT(ICC2_MemberMonths_2025,H97)+SUMPRODUCT(ICC6_MemberMonths_2025,M97))/Medicaid_MemberMonths_2025,"NA")</f>
        <v>NA</v>
      </c>
      <c r="D97" s="375" t="str">
        <f>IFERROR(Table9131654[[#This Row],[2025]]/Table9131654[[#This Row],[2024]]-1,"NA")</f>
        <v>NA</v>
      </c>
      <c r="E97"/>
      <c r="F97" s="132" t="s">
        <v>550</v>
      </c>
      <c r="G97" s="7" t="str">
        <f>IFERROR((SUMIFS(TM[[#All],[Non-Claims: Capitation or Bundled Arrangements]],TM[[#All],[Reporting Year]],2024,TM[[#All],[Insurance Category Code]],2,TM[[#All],[Large Provider Entity Code]],100))/ICC2_MemberMonths_2024,"NA")</f>
        <v>NA</v>
      </c>
      <c r="H97" s="7" t="str" cm="1">
        <f t="array" ref="H97">IFERROR((SUMIFS(TM[[#All],[Non-Claims: Capitation or Bundled Arrangements]],TM[[#All],[Reporting Year]],2025,TM[[#All],[Insurance Category Code]],2,TM[[#All],[Large Provider Entity Code]],100))/ICC2_MemberMonths_2025,"NA")</f>
        <v>NA</v>
      </c>
      <c r="I97" s="375" t="str">
        <f>IFERROR(Table911141755[[#This Row],[2025]]/Table911141755[[#This Row],[2024]]-1,"NA")</f>
        <v>NA</v>
      </c>
      <c r="J97"/>
      <c r="K97" s="132" t="s">
        <v>550</v>
      </c>
      <c r="L97" s="7" t="str">
        <f>IFERROR((SUMIFS(TM[[#All],[Non-Claims: Capitation or Bundled Arrangements]],TM[[#All],[Reporting Year]],2024,TM[[#All],[Insurance Category Code]],6,TM[[#All],[Large Provider Entity Code]],100))/ICC6_MemberMonths_2024,"NA")</f>
        <v>NA</v>
      </c>
      <c r="M97" s="7" t="str" cm="1">
        <f t="array" ref="M97">IFERROR((SUMIFS(TM[[#All],[Non-Claims: Capitation or Bundled Arrangements]],TM[[#All],[Reporting Year]],2025,TM[[#All],[Insurance Category Code]],6,TM[[#All],[Large Provider Entity Code]],100))/ICC6_MemberMonths_2025,"NA")</f>
        <v>NA</v>
      </c>
      <c r="N97" s="375" t="str">
        <f>IFERROR(Table91112151856[[#This Row],[2025]]/Table91112151856[[#This Row],[2024]]-1,"NA")</f>
        <v>NA</v>
      </c>
      <c r="O97"/>
      <c r="P97"/>
      <c r="Q97"/>
      <c r="R97"/>
      <c r="S97"/>
    </row>
    <row r="98" spans="1:19" x14ac:dyDescent="0.4">
      <c r="A98" s="132" t="s">
        <v>551</v>
      </c>
      <c r="B98" s="7" t="str">
        <f t="shared" si="13"/>
        <v>NA</v>
      </c>
      <c r="C98" s="7" t="str" cm="1">
        <f t="array" ref="C98">IFERROR((SUMPRODUCT(ICC2_MemberMonths_2025,H98)+SUMPRODUCT(ICC6_MemberMonths_2025,M98))/Medicaid_MemberMonths_2025,"NA")</f>
        <v>NA</v>
      </c>
      <c r="D98" s="375" t="str">
        <f>IFERROR(Table9131654[[#This Row],[2025]]/Table9131654[[#This Row],[2024]]-1,"NA")</f>
        <v>NA</v>
      </c>
      <c r="E98"/>
      <c r="F98" s="132" t="s">
        <v>551</v>
      </c>
      <c r="G98" s="7" t="str">
        <f>IFERROR((SUMIFS(TM[[#All],[Non-Claims: Performance Incentives]],TM[[#All],[Reporting Year]],2024,TM[[#All],[Insurance Category Code]],2,TM[[#All],[Large Provider Entity Code]],100))/ICC2_MemberMonths_2024,"NA")</f>
        <v>NA</v>
      </c>
      <c r="H98" s="7" t="str" cm="1">
        <f t="array" ref="H98">IFERROR((SUMIFS(TM[[#All],[Non-Claims: Performance Incentives]],TM[[#All],[Reporting Year]],2025,TM[[#All],[Insurance Category Code]],2,TM[[#All],[Large Provider Entity Code]],100))/ICC2_MemberMonths_2025,"NA")</f>
        <v>NA</v>
      </c>
      <c r="I98" s="375" t="str">
        <f>IFERROR(Table911141755[[#This Row],[2025]]/Table911141755[[#This Row],[2024]]-1,"NA")</f>
        <v>NA</v>
      </c>
      <c r="J98"/>
      <c r="K98" s="132" t="s">
        <v>551</v>
      </c>
      <c r="L98" s="7" t="str">
        <f>IFERROR((SUMIFS(TM[[#All],[Non-Claims: Performance Incentives]],TM[[#All],[Reporting Year]],2024,TM[[#All],[Insurance Category Code]],6,TM[[#All],[Large Provider Entity Code]],100))/ICC6_MemberMonths_2024,"NA")</f>
        <v>NA</v>
      </c>
      <c r="M98" s="7" t="str" cm="1">
        <f t="array" ref="M98">IFERROR((SUMIFS(TM[[#All],[Non-Claims: Performance Incentives]],TM[[#All],[Reporting Year]],2025,TM[[#All],[Insurance Category Code]],6,TM[[#All],[Large Provider Entity Code]],100))/ICC6_MemberMonths_2025,"NA")</f>
        <v>NA</v>
      </c>
      <c r="N98" s="375" t="str">
        <f>IFERROR(Table91112151856[[#This Row],[2025]]/Table91112151856[[#This Row],[2024]]-1,"NA")</f>
        <v>NA</v>
      </c>
      <c r="O98"/>
      <c r="P98"/>
      <c r="Q98"/>
      <c r="R98"/>
      <c r="S98"/>
    </row>
    <row r="99" spans="1:19" x14ac:dyDescent="0.4">
      <c r="A99" s="132" t="s">
        <v>552</v>
      </c>
      <c r="B99" s="7" t="str">
        <f t="shared" si="13"/>
        <v>NA</v>
      </c>
      <c r="C99" s="7" t="str" cm="1">
        <f t="array" ref="C99">IFERROR((SUMPRODUCT(ICC2_MemberMonths_2025,H99)+SUMPRODUCT(ICC6_MemberMonths_2025,M99))/Medicaid_MemberMonths_2025,"NA")</f>
        <v>NA</v>
      </c>
      <c r="D99" s="375" t="str">
        <f>IFERROR(Table9131654[[#This Row],[2025]]/Table9131654[[#This Row],[2024]]-1,"NA")</f>
        <v>NA</v>
      </c>
      <c r="E99"/>
      <c r="F99" s="132" t="s">
        <v>552</v>
      </c>
      <c r="G99" s="7" t="str">
        <f>IFERROR((SUMIFS(TM[[#All],[Non-Claims: Pop Health and Practice Infrastructure]],TM[[#All],[Reporting Year]],2024,TM[[#All],[Insurance Category Code]],2,TM[[#All],[Large Provider Entity Code]],100))/ICC2_MemberMonths_2024,"NA")</f>
        <v>NA</v>
      </c>
      <c r="H99" s="7" t="str" cm="1">
        <f t="array" ref="H99">IFERROR((SUMIFS(TM[[#All],[Non-Claims: Pop Health and Practice Infrastructure]],TM[[#All],[Reporting Year]],2025,TM[[#All],[Insurance Category Code]],2,TM[[#All],[Large Provider Entity Code]],100))/ICC2_MemberMonths_2025,"NA")</f>
        <v>NA</v>
      </c>
      <c r="I99" s="375" t="str">
        <f>IFERROR(Table911141755[[#This Row],[2025]]/Table911141755[[#This Row],[2024]]-1,"NA")</f>
        <v>NA</v>
      </c>
      <c r="J99"/>
      <c r="K99" s="132" t="s">
        <v>552</v>
      </c>
      <c r="L99" s="7" t="str">
        <f>IFERROR((SUMIFS(TM[[#All],[Non-Claims: Pop Health and Practice Infrastructure]],TM[[#All],[Reporting Year]],2024,TM[[#All],[Insurance Category Code]],6,TM[[#All],[Large Provider Entity Code]],100))/ICC6_MemberMonths_2024,"NA")</f>
        <v>NA</v>
      </c>
      <c r="M99" s="7" t="str" cm="1">
        <f t="array" ref="M99">IFERROR((SUMIFS(TM[[#All],[Non-Claims: Pop Health and Practice Infrastructure]],TM[[#All],[Reporting Year]],2025,TM[[#All],[Insurance Category Code]],6,TM[[#All],[Large Provider Entity Code]],100))/ICC6_MemberMonths_2025,"NA")</f>
        <v>NA</v>
      </c>
      <c r="N99" s="375" t="str">
        <f>IFERROR(Table91112151856[[#This Row],[2025]]/Table91112151856[[#This Row],[2024]]-1,"NA")</f>
        <v>NA</v>
      </c>
      <c r="O99"/>
      <c r="P99"/>
      <c r="Q99"/>
      <c r="R99"/>
      <c r="S99"/>
    </row>
    <row r="100" spans="1:19" x14ac:dyDescent="0.4">
      <c r="A100" s="132" t="s">
        <v>553</v>
      </c>
      <c r="B100" s="7" t="str">
        <f t="shared" si="13"/>
        <v>NA</v>
      </c>
      <c r="C100" s="7" t="str" cm="1">
        <f t="array" ref="C100">IFERROR((SUMPRODUCT(ICC2_MemberMonths_2025,H100)+SUMPRODUCT(ICC6_MemberMonths_2025,M100))/Medicaid_MemberMonths_2025,"NA")</f>
        <v>NA</v>
      </c>
      <c r="D100" s="375" t="str">
        <f>IFERROR(Table9131654[[#This Row],[2025]]/Table9131654[[#This Row],[2024]]-1,"NA")</f>
        <v>NA</v>
      </c>
      <c r="E100"/>
      <c r="F100" s="132" t="s">
        <v>553</v>
      </c>
      <c r="G100" s="7" t="str">
        <f>IFERROR((SUMIFS(TM[[#All],[Non-Claims: Provider Salaries]],TM[[#All],[Reporting Year]],2024,TM[[#All],[Insurance Category Code]],2,TM[[#All],[Large Provider Entity Code]],100))/ICC2_MemberMonths_2024,"NA")</f>
        <v>NA</v>
      </c>
      <c r="H100" s="7" t="str" cm="1">
        <f t="array" ref="H100">IFERROR((SUMIFS(TM[[#All],[Non-Claims: Provider Salaries]],TM[[#All],[Reporting Year]],2025,TM[[#All],[Insurance Category Code]],2,TM[[#All],[Large Provider Entity Code]],100))/ICC2_MemberMonths_2025,"NA")</f>
        <v>NA</v>
      </c>
      <c r="I100" s="375" t="str">
        <f>IFERROR(Table911141755[[#This Row],[2025]]/Table911141755[[#This Row],[2024]]-1,"NA")</f>
        <v>NA</v>
      </c>
      <c r="J100"/>
      <c r="K100" s="132" t="s">
        <v>553</v>
      </c>
      <c r="L100" s="7" t="str">
        <f>IFERROR((SUMIFS(TM[[#All],[Non-Claims: Provider Salaries]],TM[[#All],[Reporting Year]],2024,TM[[#All],[Insurance Category Code]],6,TM[[#All],[Large Provider Entity Code]],100))/ICC6_MemberMonths_2024,"NA")</f>
        <v>NA</v>
      </c>
      <c r="M100" s="7" t="str" cm="1">
        <f t="array" ref="M100">IFERROR((SUMIFS(TM[[#All],[Non-Claims: Provider Salaries]],TM[[#All],[Reporting Year]],2025,TM[[#All],[Insurance Category Code]],6,TM[[#All],[Large Provider Entity Code]],100))/ICC6_MemberMonths_2025,"NA")</f>
        <v>NA</v>
      </c>
      <c r="N100" s="375" t="str">
        <f>IFERROR(Table91112151856[[#This Row],[2025]]/Table91112151856[[#This Row],[2024]]-1,"NA")</f>
        <v>NA</v>
      </c>
      <c r="O100"/>
      <c r="P100"/>
      <c r="Q100"/>
      <c r="R100"/>
      <c r="S100"/>
    </row>
    <row r="101" spans="1:19" s="148" customFormat="1" x14ac:dyDescent="0.4">
      <c r="A101" s="132" t="s">
        <v>554</v>
      </c>
      <c r="B101" s="7" t="str">
        <f t="shared" si="13"/>
        <v>NA</v>
      </c>
      <c r="C101" s="7" t="str" cm="1">
        <f t="array" ref="C101">IFERROR((SUMPRODUCT(ICC2_MemberMonths_2025,H101)+SUMPRODUCT(ICC6_MemberMonths_2025,M101))/Medicaid_MemberMonths_2025,"NA")</f>
        <v>NA</v>
      </c>
      <c r="D101" s="375" t="str">
        <f>IFERROR(Table9131654[[#This Row],[2025]]/Table9131654[[#This Row],[2024]]-1,"NA")</f>
        <v>NA</v>
      </c>
      <c r="E101" s="3"/>
      <c r="F101" s="132" t="s">
        <v>554</v>
      </c>
      <c r="G101" s="7" t="str">
        <f>IFERROR((SUMIFS(TM[[#All],[Non-Claims: Recovery]],TM[[#All],[Reporting Year]],2024,TM[[#All],[Insurance Category Code]],2,TM[[#All],[Large Provider Entity Code]],100))/ICC2_MemberMonths_2024,"NA")</f>
        <v>NA</v>
      </c>
      <c r="H101" s="7" t="str" cm="1">
        <f t="array" ref="H101">IFERROR((SUMIFS(TM[[#All],[Non-Claims: Recovery]],TM[[#All],[Reporting Year]],2025,TM[[#All],[Insurance Category Code]],2,TM[[#All],[Large Provider Entity Code]],100))/ICC2_MemberMonths_2025,"NA")</f>
        <v>NA</v>
      </c>
      <c r="I101" s="375" t="str">
        <f>IFERROR(Table911141755[[#This Row],[2025]]/Table911141755[[#This Row],[2024]]-1,"NA")</f>
        <v>NA</v>
      </c>
      <c r="J101" s="3"/>
      <c r="K101" s="132" t="s">
        <v>554</v>
      </c>
      <c r="L101" s="7" t="str">
        <f>IFERROR((SUMIFS(TM[[#All],[Non-Claims: Recovery]],TM[[#All],[Reporting Year]],2024,TM[[#All],[Insurance Category Code]],6,TM[[#All],[Large Provider Entity Code]],100))/ICC6_MemberMonths_2024,"NA")</f>
        <v>NA</v>
      </c>
      <c r="M101" s="7" t="str" cm="1">
        <f t="array" ref="M101">IFERROR((SUMIFS(TM[[#All],[Non-Claims: Recovery]],TM[[#All],[Reporting Year]],2025,TM[[#All],[Insurance Category Code]],6,TM[[#All],[Large Provider Entity Code]],100))/ICC6_MemberMonths_2025,"NA")</f>
        <v>NA</v>
      </c>
      <c r="N101" s="375" t="str">
        <f>IFERROR(Table91112151856[[#This Row],[2025]]/Table91112151856[[#This Row],[2024]]-1,"NA")</f>
        <v>NA</v>
      </c>
      <c r="O101" s="3"/>
      <c r="P101"/>
      <c r="Q101"/>
      <c r="R101"/>
      <c r="S101"/>
    </row>
    <row r="102" spans="1:19" s="43" customFormat="1" x14ac:dyDescent="0.4">
      <c r="A102" s="132" t="s">
        <v>555</v>
      </c>
      <c r="B102" s="7" t="str">
        <f t="shared" si="13"/>
        <v>NA</v>
      </c>
      <c r="C102" s="7" t="str" cm="1">
        <f t="array" ref="C102">IFERROR((SUMPRODUCT(ICC2_MemberMonths_2025,H102)+SUMPRODUCT(ICC6_MemberMonths_2025,M102))/Medicaid_MemberMonths_2025,"NA")</f>
        <v>NA</v>
      </c>
      <c r="D102" s="375" t="str">
        <f>IFERROR(Table9131654[[#This Row],[2025]]/Table9131654[[#This Row],[2024]]-1,"NA")</f>
        <v>NA</v>
      </c>
      <c r="E102" s="42"/>
      <c r="F102" s="132" t="s">
        <v>555</v>
      </c>
      <c r="G102" s="7" t="str">
        <f>IFERROR((SUMIFS(TM[[#All],[Non-Claims: Other]],TM[[#All],[Reporting Year]],2024,TM[[#All],[Insurance Category Code]],2,TM[[#All],[Large Provider Entity Code]],100))/ICC2_MemberMonths_2024,"NA")</f>
        <v>NA</v>
      </c>
      <c r="H102" s="7" t="str" cm="1">
        <f t="array" ref="H102">IFERROR((SUMIFS(TM[[#All],[Non-Claims: Other]],TM[[#All],[Reporting Year]],2025,TM[[#All],[Insurance Category Code]],2,TM[[#All],[Large Provider Entity Code]],100))/ICC2_MemberMonths_2025,"NA")</f>
        <v>NA</v>
      </c>
      <c r="I102" s="375" t="str">
        <f>IFERROR(Table911141755[[#This Row],[2025]]/Table911141755[[#This Row],[2024]]-1,"NA")</f>
        <v>NA</v>
      </c>
      <c r="J102" s="42"/>
      <c r="K102" s="132" t="s">
        <v>555</v>
      </c>
      <c r="L102" s="7" t="str">
        <f>IFERROR((SUMIFS(TM[[#All],[Non-Claims: Other]],TM[[#All],[Reporting Year]],2024,TM[[#All],[Insurance Category Code]],6,TM[[#All],[Large Provider Entity Code]],100))/ICC6_MemberMonths_2024,"NA")</f>
        <v>NA</v>
      </c>
      <c r="M102" s="7" t="str" cm="1">
        <f t="array" ref="M102">IFERROR((SUMIFS(TM[[#All],[Non-Claims: Other]],TM[[#All],[Reporting Year]],2025,TM[[#All],[Insurance Category Code]],6,TM[[#All],[Large Provider Entity Code]],100))/ICC6_MemberMonths_2025,"NA")</f>
        <v>NA</v>
      </c>
      <c r="N102" s="375" t="str">
        <f>IFERROR(Table91112151856[[#This Row],[2025]]/Table91112151856[[#This Row],[2024]]-1,"NA")</f>
        <v>NA</v>
      </c>
      <c r="O102" s="42"/>
      <c r="P102"/>
      <c r="Q102"/>
      <c r="R102"/>
      <c r="S102"/>
    </row>
    <row r="103" spans="1:19" s="43" customFormat="1" x14ac:dyDescent="0.4">
      <c r="A103" s="132" t="s">
        <v>556</v>
      </c>
      <c r="B103" s="7" t="str">
        <f t="shared" si="13"/>
        <v>NA</v>
      </c>
      <c r="C103" s="7" t="str" cm="1">
        <f t="array" ref="C103">IFERROR((SUMPRODUCT(ICC2_MemberMonths_2025,H103)+SUMPRODUCT(ICC6_MemberMonths_2025,M103))/Medicaid_MemberMonths_2025,"NA")</f>
        <v>NA</v>
      </c>
      <c r="D103" s="375" t="str">
        <f>IFERROR(Table9131654[[#This Row],[2025]]/Table9131654[[#This Row],[2024]]-1,"NA")</f>
        <v>NA</v>
      </c>
      <c r="E103" s="42"/>
      <c r="F103" s="132" t="s">
        <v>556</v>
      </c>
      <c r="G103" s="7" t="str">
        <f>IFERROR((SUMIFS(TM[[#All],[Non-Claims: Total Primary Care]],TM[[#All],[Reporting Year]],2024,TM[[#All],[Insurance Category Code]],2,TM[[#All],[Large Provider Entity Code]],100))/ICC2_MemberMonths_2024,"NA")</f>
        <v>NA</v>
      </c>
      <c r="H103" s="7" t="str" cm="1">
        <f t="array" ref="H103">IFERROR((SUMIFS(TM[[#All],[Non-Claims: Total Primary Care]],TM[[#All],[Reporting Year]],2025,TM[[#All],[Insurance Category Code]],2,TM[[#All],[Large Provider Entity Code]],100))/ICC2_MemberMonths_2025,"NA")</f>
        <v>NA</v>
      </c>
      <c r="I103" s="375" t="str">
        <f>IFERROR(Table911141755[[#This Row],[2025]]/Table911141755[[#This Row],[2024]]-1,"NA")</f>
        <v>NA</v>
      </c>
      <c r="J103" s="42"/>
      <c r="K103" s="132" t="s">
        <v>556</v>
      </c>
      <c r="L103" s="7" t="str">
        <f>IFERROR((SUMIFS(TM[[#All],[Non-Claims: Total Primary Care]],TM[[#All],[Reporting Year]],2024,TM[[#All],[Insurance Category Code]],6,TM[[#All],[Large Provider Entity Code]],100))/ICC6_MemberMonths_2024,"NA")</f>
        <v>NA</v>
      </c>
      <c r="M103" s="7" t="str" cm="1">
        <f t="array" ref="M103">IFERROR((SUMIFS(TM[[#All],[Non-Claims: Total Primary Care]],TM[[#All],[Reporting Year]],2025,TM[[#All],[Insurance Category Code]],6,TM[[#All],[Large Provider Entity Code]],100))/ICC6_MemberMonths_2025,"NA")</f>
        <v>NA</v>
      </c>
      <c r="N103" s="375" t="str">
        <f>IFERROR(Table91112151856[[#This Row],[2025]]/Table91112151856[[#This Row],[2024]]-1,"NA")</f>
        <v>NA</v>
      </c>
      <c r="O103" s="42"/>
      <c r="P103" s="3"/>
      <c r="Q103" s="3"/>
      <c r="R103" s="3"/>
      <c r="S103" s="3"/>
    </row>
    <row r="104" spans="1:19" ht="17.399999999999999" thickBot="1" x14ac:dyDescent="0.45">
      <c r="A104" s="402" t="s">
        <v>557</v>
      </c>
      <c r="B104" s="406" t="str">
        <f t="shared" si="13"/>
        <v>NA</v>
      </c>
      <c r="C104" s="406" t="str" cm="1">
        <f t="array" ref="C104">IFERROR((SUMPRODUCT(ICC2_MemberMonths_2025,H104)+SUMPRODUCT(ICC6_MemberMonths_2025,M104))/Medicaid_MemberMonths_2025,"NA")</f>
        <v>NA</v>
      </c>
      <c r="D104" s="407" t="str">
        <f>IFERROR(Table9131654[[#This Row],[2025]]/Table9131654[[#This Row],[2024]]-1,"NA")</f>
        <v>NA</v>
      </c>
      <c r="E104"/>
      <c r="F104" s="402" t="s">
        <v>557</v>
      </c>
      <c r="G104" s="406" t="str">
        <f>IFERROR((SUMIFS(TM[[#All],[Total Non-Claims Spending]],TM[[#All],[Reporting Year]],2024,TM[[#All],[Insurance Category Code]],2,TM[[#All],[Large Provider Entity Code]],100))/ICC2_MemberMonths_2024,"NA")</f>
        <v>NA</v>
      </c>
      <c r="H104" s="406" t="str" cm="1">
        <f t="array" ref="H104">IFERROR((SUMIFS(TM[[#All],[Total Non-Claims Spending]],TM[[#All],[Reporting Year]],2025,TM[[#All],[Insurance Category Code]],2,TM[[#All],[Large Provider Entity Code]],100))/ICC2_MemberMonths_2025,"NA")</f>
        <v>NA</v>
      </c>
      <c r="I104" s="407" t="str">
        <f>IFERROR(Table911141755[[#This Row],[2025]]/Table911141755[[#This Row],[2024]]-1,"NA")</f>
        <v>NA</v>
      </c>
      <c r="J104"/>
      <c r="K104" s="402" t="s">
        <v>557</v>
      </c>
      <c r="L104" s="406" t="str">
        <f>IFERROR((SUMIFS(TM[[#All],[Total Non-Claims Spending]],TM[[#All],[Reporting Year]],2024,TM[[#All],[Insurance Category Code]],6,TM[[#All],[Large Provider Entity Code]],100))/ICC6_MemberMonths_2024,"NA")</f>
        <v>NA</v>
      </c>
      <c r="M104" s="406" t="str" cm="1">
        <f t="array" ref="M104">IFERROR((SUMIFS(TM[[#All],[Total Non-Claims Spending]],TM[[#All],[Reporting Year]],2025,TM[[#All],[Insurance Category Code]],6,TM[[#All],[Large Provider Entity Code]],100))/ICC6_MemberMonths_2025,"NA")</f>
        <v>NA</v>
      </c>
      <c r="N104" s="407" t="str">
        <f>IFERROR(Table91112151856[[#This Row],[2025]]/Table91112151856[[#This Row],[2024]]-1,"NA")</f>
        <v>NA</v>
      </c>
      <c r="O104"/>
      <c r="P104" s="42"/>
      <c r="Q104" s="42"/>
      <c r="R104" s="42"/>
      <c r="S104" s="42"/>
    </row>
    <row r="105" spans="1:19" ht="17.399999999999999" thickTop="1" x14ac:dyDescent="0.4">
      <c r="A105" s="107" t="s">
        <v>558</v>
      </c>
      <c r="B105" s="128" t="str">
        <f t="shared" si="13"/>
        <v>NA</v>
      </c>
      <c r="C105" s="128" t="str" cm="1">
        <f t="array" ref="C105">IFERROR((SUMPRODUCT(ICC2_MemberMonths_2025,H105)+SUMPRODUCT(ICC6_MemberMonths_2025,M105))/Medicaid_MemberMonths_2025,"NA")</f>
        <v>NA</v>
      </c>
      <c r="D105" s="379" t="str">
        <f>IFERROR(Table9131654[[#This Row],[2025]]/Table9131654[[#This Row],[2024]]-1,"NA")</f>
        <v>NA</v>
      </c>
      <c r="F105" s="107" t="s">
        <v>558</v>
      </c>
      <c r="G105" s="128" t="str">
        <f>IFERROR((SUMIFS(TM[[#All],[Total Non-Truncated Claims and Non-Claims Spending]],TM[[#All],[Reporting Year]],2024,TM[[#All],[Insurance Category Code]],2,TM[[#All],[Large Provider Entity Code]],100))/ICC2_MemberMonths_2024,"NA")</f>
        <v>NA</v>
      </c>
      <c r="H105" s="128" t="str" cm="1">
        <f t="array" ref="H105">IFERROR((SUMIFS(TM[[#All],[Total Non-Truncated Claims and Non-Claims Spending]],TM[[#All],[Reporting Year]],2025,TM[[#All],[Insurance Category Code]],2,TM[[#All],[Large Provider Entity Code]],100))/ICC2_MemberMonths_2025,"NA")</f>
        <v>NA</v>
      </c>
      <c r="I105" s="379" t="str">
        <f>IFERROR(Table911141755[[#This Row],[2025]]/Table911141755[[#This Row],[2024]]-1,"NA")</f>
        <v>NA</v>
      </c>
      <c r="K105" s="107" t="s">
        <v>558</v>
      </c>
      <c r="L105" s="128" t="str">
        <f>IFERROR((SUMIFS(TM[[#All],[Total Non-Truncated Claims and Non-Claims Spending]],TM[[#All],[Reporting Year]],2024,TM[[#All],[Insurance Category Code]],6,TM[[#All],[Large Provider Entity Code]],100))/ICC6_MemberMonths_2024,"NA")</f>
        <v>NA</v>
      </c>
      <c r="M105" s="128" t="str" cm="1">
        <f t="array" ref="M105">IFERROR((SUMIFS(TM[[#All],[Total Non-Truncated Claims and Non-Claims Spending]],TM[[#All],[Reporting Year]],2025,TM[[#All],[Insurance Category Code]],6,TM[[#All],[Large Provider Entity Code]],100))/ICC6_MemberMonths_2025,"NA")</f>
        <v>NA</v>
      </c>
      <c r="N105" s="379" t="str">
        <f>IFERROR(Table91112151856[[#This Row],[2025]]/Table91112151856[[#This Row],[2024]]-1,"NA")</f>
        <v>NA</v>
      </c>
      <c r="O105"/>
      <c r="P105" s="42"/>
      <c r="Q105" s="42"/>
      <c r="R105" s="42"/>
      <c r="S105" s="42"/>
    </row>
    <row r="106" spans="1:19" x14ac:dyDescent="0.4">
      <c r="A106" s="135" t="s">
        <v>559</v>
      </c>
      <c r="B106" s="226" t="str">
        <f t="shared" si="13"/>
        <v>NA</v>
      </c>
      <c r="C106" s="226" t="str" cm="1">
        <f t="array" ref="C106">IFERROR((SUMPRODUCT(ICC2_MemberMonths_2025,H106)+SUMPRODUCT(ICC6_MemberMonths_2025,M106))/Medicaid_MemberMonths_2025,"NA")</f>
        <v>NA</v>
      </c>
      <c r="D106" s="380" t="str">
        <f>IFERROR(Table9131654[[#This Row],[2025]]/Table9131654[[#This Row],[2024]]-1,"NA")</f>
        <v>NA</v>
      </c>
      <c r="F106" s="135" t="s">
        <v>559</v>
      </c>
      <c r="G106" s="226" t="str">
        <f>IFERROR((SUMIFS(TM[[#All],[Total Truncated Expenses]],TM[[#All],[Reporting Year]],2024,TM[[#All],[Insurance Category Code]],2,TM[[#All],[Large Provider Entity Code]],100))/ICC2_MemberMonths_2024,"NA")</f>
        <v>NA</v>
      </c>
      <c r="H106" s="226" t="str" cm="1">
        <f t="array" ref="H106">IFERROR((SUMIFS(TM[[#All],[Total Truncated Expenses]],TM[[#All],[Reporting Year]],2025,TM[[#All],[Insurance Category Code]],2,TM[[#All],[Large Provider Entity Code]],100))/ICC2_MemberMonths_2025,"NA")</f>
        <v>NA</v>
      </c>
      <c r="I106" s="380" t="str">
        <f>IFERROR(Table911141755[[#This Row],[2025]]/Table911141755[[#This Row],[2024]]-1,"NA")</f>
        <v>NA</v>
      </c>
      <c r="K106" s="135" t="s">
        <v>559</v>
      </c>
      <c r="L106" s="226" t="str">
        <f>IFERROR((SUMIFS(TM[[#All],[Total Truncated Expenses]],TM[[#All],[Reporting Year]],2024,TM[[#All],[Insurance Category Code]],6,TM[[#All],[Large Provider Entity Code]],100))/ICC6_MemberMonths_2024,"NA")</f>
        <v>NA</v>
      </c>
      <c r="M106" s="226" t="str" cm="1">
        <f t="array" ref="M106">IFERROR((SUMIFS(TM[[#All],[Total Truncated Expenses]],TM[[#All],[Reporting Year]],2025,TM[[#All],[Insurance Category Code]],6,TM[[#All],[Large Provider Entity Code]],100))/ICC6_MemberMonths_2025,"NA")</f>
        <v>NA</v>
      </c>
      <c r="N106" s="380" t="str">
        <f>IFERROR(Table91112151856[[#This Row],[2025]]/Table91112151856[[#This Row],[2024]]-1,"NA")</f>
        <v>NA</v>
      </c>
      <c r="O106"/>
      <c r="P106"/>
      <c r="Q106"/>
      <c r="R106"/>
      <c r="S106"/>
    </row>
    <row r="108" spans="1:19" x14ac:dyDescent="0.4">
      <c r="A108" s="148"/>
      <c r="F108" s="148"/>
    </row>
  </sheetData>
  <mergeCells count="31">
    <mergeCell ref="A81:D81"/>
    <mergeCell ref="F81:I81"/>
    <mergeCell ref="K81:N81"/>
    <mergeCell ref="A51:D51"/>
    <mergeCell ref="F51:I51"/>
    <mergeCell ref="K51:N51"/>
    <mergeCell ref="A79:D79"/>
    <mergeCell ref="F79:I79"/>
    <mergeCell ref="A80:D80"/>
    <mergeCell ref="F80:I80"/>
    <mergeCell ref="K80:N80"/>
    <mergeCell ref="P51:S51"/>
    <mergeCell ref="A52:D52"/>
    <mergeCell ref="F52:I52"/>
    <mergeCell ref="K52:N52"/>
    <mergeCell ref="P52:S52"/>
    <mergeCell ref="P22:S22"/>
    <mergeCell ref="A23:D23"/>
    <mergeCell ref="F23:I23"/>
    <mergeCell ref="K23:N23"/>
    <mergeCell ref="P23:S23"/>
    <mergeCell ref="A50:D50"/>
    <mergeCell ref="F50:I50"/>
    <mergeCell ref="A2:N2"/>
    <mergeCell ref="A6:D6"/>
    <mergeCell ref="K6:N6"/>
    <mergeCell ref="A21:D21"/>
    <mergeCell ref="F21:I21"/>
    <mergeCell ref="A22:D22"/>
    <mergeCell ref="F22:I22"/>
    <mergeCell ref="K22:N22"/>
  </mergeCells>
  <conditionalFormatting sqref="B35:C35 G35:H35 L35:M35 Q35:R35 B64:C64 G64:H64 L64:M64 Q64:R64 B93:C93 G93:H93 L93:M93">
    <cfRule type="cellIs" dxfId="39" priority="7" operator="greaterThan">
      <formula>1</formula>
    </cfRule>
  </conditionalFormatting>
  <conditionalFormatting sqref="D8 D12 D15">
    <cfRule type="cellIs" dxfId="38" priority="6" operator="greaterThan">
      <formula>0.3</formula>
    </cfRule>
    <cfRule type="cellIs" dxfId="37" priority="8" operator="lessThan">
      <formula>-0.3</formula>
    </cfRule>
  </conditionalFormatting>
  <conditionalFormatting sqref="D25:D33 I25:I33 N25:N33 S25:S33 D36 I36 N36 S36 D39:D45 I39:I45 N39:N45 S39:S45 D54:D62 I54:I62 N54:N62 S54:S63 D65 I65 N65 D68:D74 I68:I74 N68:N74 S68:S74 D83:D91 I83:I91 N83:N91 D94 I94 N94 D97:D103 I97:I103 N97:N103">
    <cfRule type="cellIs" dxfId="36" priority="9" operator="lessThan">
      <formula>-0.3</formula>
    </cfRule>
    <cfRule type="cellIs" dxfId="35" priority="10" operator="greaterThan">
      <formula>0.3</formula>
    </cfRule>
  </conditionalFormatting>
  <conditionalFormatting sqref="N8 D8:D19 I8:I19 N12 N15 N19 D25:D48 I25:I48 N25:N48 S25:S48 D54:D77 I54:I77 N54:N77 S54:S77 S83:S105 D83:D106 I83:I106 N83:N106">
    <cfRule type="cellIs" dxfId="34" priority="3" operator="equal">
      <formula>"NA"</formula>
    </cfRule>
  </conditionalFormatting>
  <conditionalFormatting sqref="N9:N11 N13:N14 N16:N18">
    <cfRule type="cellIs" dxfId="33" priority="1" operator="lessThan">
      <formula>-0.1</formula>
    </cfRule>
    <cfRule type="cellIs" dxfId="32" priority="2" operator="greaterThan">
      <formula>0.1</formula>
    </cfRule>
  </conditionalFormatting>
  <pageMargins left="0.7" right="0.7" top="0.75" bottom="0.75" header="0.3" footer="0.3"/>
  <pageSetup scale="16" orientation="landscape" r:id="rId1"/>
  <headerFooter>
    <oddFooter>&amp;L&amp;"-,Bold"Carrier Benchmark Data Submission Template&amp;"-,Regular" | NJ Hart Program&amp;RPage &amp;P</oddFooter>
  </headerFooter>
  <ignoredErrors>
    <ignoredError sqref="S35" calculatedColumn="1"/>
  </ignoredErrors>
  <tableParts count="14">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058FD-C1BA-4662-AA9C-72F8A1C11A46}">
  <sheetPr>
    <tabColor theme="8" tint="0.39997558519241921"/>
    <pageSetUpPr fitToPage="1"/>
  </sheetPr>
  <dimension ref="A1:V379"/>
  <sheetViews>
    <sheetView showGridLines="0" topLeftCell="A347" zoomScale="60" zoomScaleNormal="60" workbookViewId="0">
      <selection activeCell="B28" sqref="B28"/>
    </sheetView>
  </sheetViews>
  <sheetFormatPr defaultColWidth="8.69921875" defaultRowHeight="16.8" x14ac:dyDescent="0.4"/>
  <cols>
    <col min="1" max="1" width="30.59765625" style="11" customWidth="1"/>
    <col min="2" max="2" width="49.19921875" style="11" customWidth="1"/>
    <col min="3" max="14" width="30.59765625" style="11" customWidth="1"/>
    <col min="15" max="15" width="30.59765625" style="546" customWidth="1"/>
    <col min="16" max="21" width="30.59765625" style="11" customWidth="1"/>
    <col min="22" max="22" width="14.59765625" style="11" customWidth="1"/>
    <col min="23" max="23" width="9.5" style="11" customWidth="1"/>
    <col min="24" max="16384" width="8.69921875" style="11"/>
  </cols>
  <sheetData>
    <row r="1" spans="1:22" ht="20.399999999999999" x14ac:dyDescent="0.45">
      <c r="A1" s="5" t="s">
        <v>44</v>
      </c>
      <c r="B1"/>
      <c r="C1"/>
      <c r="D1"/>
      <c r="E1"/>
      <c r="F1"/>
      <c r="G1"/>
      <c r="H1"/>
      <c r="I1"/>
      <c r="J1"/>
      <c r="K1"/>
      <c r="L1"/>
      <c r="M1"/>
      <c r="N1"/>
      <c r="O1" s="2"/>
      <c r="P1"/>
      <c r="Q1"/>
      <c r="R1"/>
      <c r="S1"/>
      <c r="T1"/>
      <c r="U1"/>
    </row>
    <row r="2" spans="1:22" ht="15.75" customHeight="1" x14ac:dyDescent="0.4">
      <c r="A2" s="585" t="s">
        <v>502</v>
      </c>
      <c r="B2" s="585"/>
      <c r="C2" s="585"/>
      <c r="D2" s="585"/>
      <c r="E2" s="585"/>
      <c r="F2" s="585"/>
      <c r="G2" s="585"/>
      <c r="H2" s="585"/>
      <c r="I2" s="585"/>
      <c r="J2" s="585"/>
      <c r="K2" s="585"/>
      <c r="L2" s="585"/>
      <c r="M2" s="585"/>
      <c r="N2" s="585"/>
      <c r="O2" s="585"/>
      <c r="P2" s="585"/>
      <c r="Q2" s="585"/>
      <c r="R2" s="585"/>
      <c r="S2" s="585"/>
      <c r="T2" s="585"/>
      <c r="U2" s="585"/>
    </row>
    <row r="3" spans="1:22" ht="19.2" x14ac:dyDescent="0.4">
      <c r="A3" s="179"/>
      <c r="B3" s="179"/>
      <c r="C3" s="179"/>
      <c r="D3" s="179"/>
      <c r="E3" s="179"/>
      <c r="F3" s="179"/>
      <c r="G3" s="179"/>
      <c r="H3" s="179"/>
      <c r="I3" s="179"/>
      <c r="J3" s="179"/>
      <c r="K3" s="179"/>
      <c r="L3" s="179"/>
      <c r="M3" s="179"/>
      <c r="N3" s="179"/>
      <c r="O3" s="545"/>
      <c r="P3" s="179"/>
      <c r="Q3" s="179"/>
      <c r="R3" s="179"/>
      <c r="S3" s="179"/>
      <c r="T3" s="179"/>
      <c r="U3" s="179"/>
    </row>
    <row r="4" spans="1:22" ht="15" customHeight="1" x14ac:dyDescent="0.4">
      <c r="A4" s="586" t="s">
        <v>503</v>
      </c>
      <c r="B4" s="586"/>
      <c r="C4" s="586"/>
      <c r="D4" s="586"/>
      <c r="E4" s="586"/>
      <c r="F4" s="586"/>
      <c r="G4" s="586"/>
      <c r="H4" s="586"/>
      <c r="I4" s="586"/>
      <c r="J4" s="586"/>
      <c r="K4" s="586"/>
      <c r="L4" s="586"/>
      <c r="M4" s="586"/>
      <c r="N4" s="586"/>
      <c r="O4" s="586"/>
      <c r="P4" s="586"/>
      <c r="Q4" s="586"/>
      <c r="R4" s="586"/>
      <c r="S4" s="586"/>
      <c r="T4" s="586"/>
      <c r="U4" s="586"/>
    </row>
    <row r="5" spans="1:22" ht="30" customHeight="1" x14ac:dyDescent="0.4">
      <c r="A5" s="587" t="s">
        <v>537</v>
      </c>
      <c r="B5" s="587"/>
      <c r="C5" s="587"/>
      <c r="D5" s="587"/>
      <c r="E5" s="587"/>
      <c r="F5" s="587"/>
      <c r="G5" s="587"/>
      <c r="H5" s="587"/>
      <c r="I5" s="587"/>
      <c r="J5" s="587"/>
      <c r="K5" s="587"/>
      <c r="L5" s="587"/>
      <c r="M5" s="587"/>
      <c r="N5" s="587"/>
      <c r="O5" s="587"/>
      <c r="P5" s="587"/>
      <c r="Q5" s="587"/>
      <c r="R5" s="587"/>
      <c r="S5" s="587"/>
      <c r="T5" s="587"/>
      <c r="U5" s="587"/>
    </row>
    <row r="6" spans="1:22" x14ac:dyDescent="0.4">
      <c r="A6"/>
      <c r="B6"/>
      <c r="C6"/>
      <c r="D6"/>
      <c r="E6"/>
      <c r="F6"/>
      <c r="G6"/>
      <c r="H6"/>
      <c r="I6"/>
      <c r="J6"/>
      <c r="K6"/>
      <c r="L6"/>
      <c r="M6"/>
      <c r="N6"/>
      <c r="O6" s="2"/>
      <c r="P6"/>
      <c r="Q6"/>
      <c r="R6"/>
      <c r="S6"/>
      <c r="T6" s="142"/>
      <c r="U6"/>
    </row>
    <row r="7" spans="1:22" x14ac:dyDescent="0.4">
      <c r="A7"/>
      <c r="B7"/>
      <c r="C7"/>
      <c r="D7"/>
      <c r="E7"/>
      <c r="F7"/>
      <c r="G7"/>
      <c r="H7"/>
      <c r="I7"/>
      <c r="J7"/>
      <c r="K7"/>
      <c r="L7"/>
      <c r="M7"/>
      <c r="N7"/>
      <c r="O7" s="2"/>
      <c r="P7"/>
      <c r="Q7"/>
      <c r="R7"/>
      <c r="S7"/>
      <c r="T7" s="142"/>
      <c r="U7"/>
    </row>
    <row r="8" spans="1:22" x14ac:dyDescent="0.4">
      <c r="A8" s="449" t="s">
        <v>504</v>
      </c>
      <c r="B8" s="450"/>
      <c r="C8" s="450"/>
      <c r="D8"/>
      <c r="E8"/>
      <c r="F8"/>
      <c r="G8"/>
      <c r="H8"/>
      <c r="I8"/>
      <c r="J8"/>
      <c r="K8"/>
      <c r="L8"/>
      <c r="M8"/>
      <c r="N8"/>
      <c r="O8" s="2"/>
      <c r="P8"/>
      <c r="Q8"/>
      <c r="R8"/>
      <c r="S8"/>
      <c r="T8"/>
      <c r="U8"/>
    </row>
    <row r="9" spans="1:22" x14ac:dyDescent="0.4">
      <c r="A9" s="583" t="s">
        <v>66</v>
      </c>
      <c r="B9" s="592" t="s">
        <v>505</v>
      </c>
      <c r="C9" s="566">
        <v>2024</v>
      </c>
      <c r="D9" s="567"/>
      <c r="E9" s="567"/>
      <c r="F9" s="567"/>
      <c r="G9" s="567"/>
      <c r="H9" s="568"/>
      <c r="I9" s="569">
        <v>2025</v>
      </c>
      <c r="J9" s="570"/>
      <c r="K9" s="570"/>
      <c r="L9" s="570"/>
      <c r="M9" s="570"/>
      <c r="N9" s="571"/>
      <c r="O9" s="576" t="s">
        <v>644</v>
      </c>
      <c r="P9" s="577"/>
      <c r="Q9" s="577"/>
      <c r="R9" s="577"/>
      <c r="S9" s="577"/>
      <c r="T9" s="577"/>
      <c r="U9" s="578"/>
    </row>
    <row r="10" spans="1:22" ht="65.25" customHeight="1" x14ac:dyDescent="0.4">
      <c r="A10" s="583"/>
      <c r="B10" s="592"/>
      <c r="C10" s="84" t="s">
        <v>506</v>
      </c>
      <c r="D10" s="85" t="s">
        <v>507</v>
      </c>
      <c r="E10" s="85" t="s">
        <v>508</v>
      </c>
      <c r="F10" s="85" t="s">
        <v>509</v>
      </c>
      <c r="G10" s="85" t="s">
        <v>510</v>
      </c>
      <c r="H10" s="86" t="s">
        <v>511</v>
      </c>
      <c r="I10" s="81" t="s">
        <v>506</v>
      </c>
      <c r="J10" s="82" t="s">
        <v>507</v>
      </c>
      <c r="K10" s="82" t="s">
        <v>508</v>
      </c>
      <c r="L10" s="82" t="s">
        <v>509</v>
      </c>
      <c r="M10" s="82" t="s">
        <v>510</v>
      </c>
      <c r="N10" s="83" t="s">
        <v>511</v>
      </c>
      <c r="O10" s="410" t="s">
        <v>635</v>
      </c>
      <c r="P10" s="230" t="s">
        <v>512</v>
      </c>
      <c r="Q10" s="70" t="s">
        <v>513</v>
      </c>
      <c r="R10" s="70" t="s">
        <v>514</v>
      </c>
      <c r="S10" s="70" t="s">
        <v>515</v>
      </c>
      <c r="T10" s="70" t="s">
        <v>516</v>
      </c>
      <c r="U10" s="70" t="s">
        <v>517</v>
      </c>
    </row>
    <row r="11" spans="1:22" x14ac:dyDescent="0.4">
      <c r="A11" s="211">
        <v>100</v>
      </c>
      <c r="B11" s="525" t="s">
        <v>67</v>
      </c>
      <c r="C11" s="411">
        <f t="shared" ref="C11:C30" si="0">C45+C79+C113</f>
        <v>0</v>
      </c>
      <c r="D11" s="413" t="str">
        <f t="shared" ref="D11:D30" si="1">IF(C11=0,"NA",(SUMPRODUCT(D45,C45)+SUMPRODUCT(D79,C79)+SUMPRODUCT(D113,C113))/C11)</f>
        <v>NA</v>
      </c>
      <c r="E11" s="413" t="str">
        <f t="shared" ref="E11:E30" si="2">IF(C11=0,"NA",(SUMPRODUCT(E45,C45)+SUMPRODUCT(E79,C79)+SUMPRODUCT(E113,C113))/C11)</f>
        <v>NA</v>
      </c>
      <c r="F11" s="413" t="str">
        <f t="shared" ref="F11:F30" si="3">IF(C11=0,"NA",(SUMPRODUCT(F45,C45)+SUMPRODUCT(F79,C79)+SUMPRODUCT(F113,C113))/C11)</f>
        <v>NA</v>
      </c>
      <c r="G11" s="413" t="str">
        <f t="shared" ref="G11:G30" si="4">IF(C11=0,"NA",(SUMPRODUCT(G45,C45)+SUMPRODUCT(G79,C79)+SUMPRODUCT(G113,C113))/C11)</f>
        <v>NA</v>
      </c>
      <c r="H11" s="414" t="str">
        <f t="shared" ref="H11:H30" si="5">IF(C11=0,"NA",(SUMPRODUCT(H45,C45)+SUMPRODUCT(H79,C79)+SUMPRODUCT(H113,C113))/C11)</f>
        <v>NA</v>
      </c>
      <c r="I11" s="411">
        <f t="shared" ref="I11:I30" si="6">I45+I79+I113</f>
        <v>0</v>
      </c>
      <c r="J11" s="413" t="str">
        <f t="shared" ref="J11:J30" si="7">IF(I11=0,"NA",(SUMPRODUCT(J45,I45)+SUMPRODUCT(J79,I79)+SUMPRODUCT(J113,I113))/I11)</f>
        <v>NA</v>
      </c>
      <c r="K11" s="413" t="str">
        <f t="shared" ref="K11:K30" si="8">IF(I11=0,"NA",(SUMPRODUCT(K45,I45)+SUMPRODUCT(K79,I79)+SUMPRODUCT(K113,I113))/I11)</f>
        <v>NA</v>
      </c>
      <c r="L11" s="413" t="str">
        <f t="shared" ref="L11:L30" si="9">IF(I11=0,"NA",(SUMPRODUCT(L45,I45)+SUMPRODUCT(L79,I79)+SUMPRODUCT(L113,I113))/I11)</f>
        <v>NA</v>
      </c>
      <c r="M11" s="413" t="str">
        <f t="shared" ref="M11:M30" si="10">IF(I11=0,"NA",(SUMPRODUCT(M45,I45)+SUMPRODUCT(M79,I79)+SUMPRODUCT(M113,I113))/I11)</f>
        <v>NA</v>
      </c>
      <c r="N11" s="414" t="str">
        <f t="shared" ref="N11:N30" si="11">IF(I11=0,"NA",(SUMPRODUCT(N45,I45)+SUMPRODUCT(N79,I79)+SUMPRODUCT(N113,I113))/I11)</f>
        <v>NA</v>
      </c>
      <c r="O11" s="169" t="str">
        <f>IFERROR(IF(AND(C11&gt;12000,I11&gt;12000),"Yes","No"),"NA")</f>
        <v>No</v>
      </c>
      <c r="P11" s="415" t="str">
        <f t="shared" ref="P11:U35" si="12">IFERROR((I11/C11-1),"NA")</f>
        <v>NA</v>
      </c>
      <c r="Q11" s="416" t="str">
        <f t="shared" si="12"/>
        <v>NA</v>
      </c>
      <c r="R11" s="416" t="str">
        <f t="shared" si="12"/>
        <v>NA</v>
      </c>
      <c r="S11" s="416" t="str">
        <f t="shared" si="12"/>
        <v>NA</v>
      </c>
      <c r="T11" s="416" t="str">
        <f t="shared" si="12"/>
        <v>NA</v>
      </c>
      <c r="U11" s="416" t="str">
        <f t="shared" si="12"/>
        <v>NA</v>
      </c>
      <c r="V11" s="409"/>
    </row>
    <row r="12" spans="1:22" x14ac:dyDescent="0.4">
      <c r="A12" s="210">
        <v>101</v>
      </c>
      <c r="B12" s="525" t="s">
        <v>562</v>
      </c>
      <c r="C12" s="411">
        <f t="shared" si="0"/>
        <v>0</v>
      </c>
      <c r="D12" s="413" t="str">
        <f t="shared" si="1"/>
        <v>NA</v>
      </c>
      <c r="E12" s="413" t="str">
        <f t="shared" si="2"/>
        <v>NA</v>
      </c>
      <c r="F12" s="413" t="str">
        <f t="shared" si="3"/>
        <v>NA</v>
      </c>
      <c r="G12" s="413" t="str">
        <f t="shared" si="4"/>
        <v>NA</v>
      </c>
      <c r="H12" s="414" t="str">
        <f t="shared" si="5"/>
        <v>NA</v>
      </c>
      <c r="I12" s="411">
        <f t="shared" si="6"/>
        <v>0</v>
      </c>
      <c r="J12" s="413" t="str">
        <f t="shared" si="7"/>
        <v>NA</v>
      </c>
      <c r="K12" s="413" t="str">
        <f t="shared" si="8"/>
        <v>NA</v>
      </c>
      <c r="L12" s="413" t="str">
        <f t="shared" si="9"/>
        <v>NA</v>
      </c>
      <c r="M12" s="413" t="str">
        <f t="shared" si="10"/>
        <v>NA</v>
      </c>
      <c r="N12" s="414" t="str">
        <f t="shared" si="11"/>
        <v>NA</v>
      </c>
      <c r="O12" s="169" t="str">
        <f t="shared" ref="O12:O30" si="13">IFERROR(IF(AND(C12&gt;12000,I12&gt;12000),"Yes","No"),"NA")</f>
        <v>No</v>
      </c>
      <c r="P12" s="415" t="str">
        <f t="shared" si="12"/>
        <v>NA</v>
      </c>
      <c r="Q12" s="416" t="str">
        <f t="shared" si="12"/>
        <v>NA</v>
      </c>
      <c r="R12" s="416" t="str">
        <f t="shared" si="12"/>
        <v>NA</v>
      </c>
      <c r="S12" s="416" t="str">
        <f t="shared" si="12"/>
        <v>NA</v>
      </c>
      <c r="T12" s="416" t="str">
        <f t="shared" si="12"/>
        <v>NA</v>
      </c>
      <c r="U12" s="416" t="str">
        <f t="shared" si="12"/>
        <v>NA</v>
      </c>
    </row>
    <row r="13" spans="1:22" x14ac:dyDescent="0.4">
      <c r="A13" s="210">
        <v>102</v>
      </c>
      <c r="B13" s="525" t="s">
        <v>607</v>
      </c>
      <c r="C13" s="411">
        <f t="shared" si="0"/>
        <v>0</v>
      </c>
      <c r="D13" s="413" t="str">
        <f t="shared" si="1"/>
        <v>NA</v>
      </c>
      <c r="E13" s="413" t="str">
        <f t="shared" si="2"/>
        <v>NA</v>
      </c>
      <c r="F13" s="413" t="str">
        <f t="shared" si="3"/>
        <v>NA</v>
      </c>
      <c r="G13" s="413" t="str">
        <f t="shared" si="4"/>
        <v>NA</v>
      </c>
      <c r="H13" s="414" t="str">
        <f t="shared" si="5"/>
        <v>NA</v>
      </c>
      <c r="I13" s="411">
        <f t="shared" si="6"/>
        <v>0</v>
      </c>
      <c r="J13" s="413" t="str">
        <f t="shared" si="7"/>
        <v>NA</v>
      </c>
      <c r="K13" s="413" t="str">
        <f t="shared" si="8"/>
        <v>NA</v>
      </c>
      <c r="L13" s="413" t="str">
        <f t="shared" si="9"/>
        <v>NA</v>
      </c>
      <c r="M13" s="413" t="str">
        <f t="shared" si="10"/>
        <v>NA</v>
      </c>
      <c r="N13" s="414" t="str">
        <f t="shared" si="11"/>
        <v>NA</v>
      </c>
      <c r="O13" s="169" t="str">
        <f t="shared" si="13"/>
        <v>No</v>
      </c>
      <c r="P13" s="415" t="str">
        <f t="shared" si="12"/>
        <v>NA</v>
      </c>
      <c r="Q13" s="416" t="str">
        <f t="shared" si="12"/>
        <v>NA</v>
      </c>
      <c r="R13" s="416" t="str">
        <f t="shared" si="12"/>
        <v>NA</v>
      </c>
      <c r="S13" s="416" t="str">
        <f t="shared" si="12"/>
        <v>NA</v>
      </c>
      <c r="T13" s="416" t="str">
        <f t="shared" si="12"/>
        <v>NA</v>
      </c>
      <c r="U13" s="416" t="str">
        <f t="shared" si="12"/>
        <v>NA</v>
      </c>
    </row>
    <row r="14" spans="1:22" x14ac:dyDescent="0.4">
      <c r="A14" s="210">
        <v>104</v>
      </c>
      <c r="B14" s="525" t="s">
        <v>608</v>
      </c>
      <c r="C14" s="411">
        <f t="shared" si="0"/>
        <v>0</v>
      </c>
      <c r="D14" s="413" t="str">
        <f t="shared" si="1"/>
        <v>NA</v>
      </c>
      <c r="E14" s="413" t="str">
        <f t="shared" si="2"/>
        <v>NA</v>
      </c>
      <c r="F14" s="413" t="str">
        <f t="shared" si="3"/>
        <v>NA</v>
      </c>
      <c r="G14" s="413" t="str">
        <f t="shared" si="4"/>
        <v>NA</v>
      </c>
      <c r="H14" s="414" t="str">
        <f t="shared" si="5"/>
        <v>NA</v>
      </c>
      <c r="I14" s="411">
        <f t="shared" si="6"/>
        <v>0</v>
      </c>
      <c r="J14" s="413" t="str">
        <f t="shared" si="7"/>
        <v>NA</v>
      </c>
      <c r="K14" s="413" t="str">
        <f t="shared" si="8"/>
        <v>NA</v>
      </c>
      <c r="L14" s="413" t="str">
        <f t="shared" si="9"/>
        <v>NA</v>
      </c>
      <c r="M14" s="413" t="str">
        <f t="shared" si="10"/>
        <v>NA</v>
      </c>
      <c r="N14" s="414" t="str">
        <f t="shared" si="11"/>
        <v>NA</v>
      </c>
      <c r="O14" s="169" t="str">
        <f t="shared" si="13"/>
        <v>No</v>
      </c>
      <c r="P14" s="415" t="str">
        <f t="shared" si="12"/>
        <v>NA</v>
      </c>
      <c r="Q14" s="416" t="str">
        <f t="shared" si="12"/>
        <v>NA</v>
      </c>
      <c r="R14" s="416" t="str">
        <f t="shared" si="12"/>
        <v>NA</v>
      </c>
      <c r="S14" s="416" t="str">
        <f t="shared" si="12"/>
        <v>NA</v>
      </c>
      <c r="T14" s="416" t="str">
        <f t="shared" si="12"/>
        <v>NA</v>
      </c>
      <c r="U14" s="416" t="str">
        <f t="shared" si="12"/>
        <v>NA</v>
      </c>
    </row>
    <row r="15" spans="1:22" ht="33.6" x14ac:dyDescent="0.4">
      <c r="A15" s="210">
        <v>105</v>
      </c>
      <c r="B15" s="525" t="s">
        <v>609</v>
      </c>
      <c r="C15" s="411">
        <f t="shared" si="0"/>
        <v>0</v>
      </c>
      <c r="D15" s="413" t="str">
        <f t="shared" si="1"/>
        <v>NA</v>
      </c>
      <c r="E15" s="413" t="str">
        <f t="shared" si="2"/>
        <v>NA</v>
      </c>
      <c r="F15" s="413" t="str">
        <f t="shared" si="3"/>
        <v>NA</v>
      </c>
      <c r="G15" s="413" t="str">
        <f t="shared" si="4"/>
        <v>NA</v>
      </c>
      <c r="H15" s="414" t="str">
        <f t="shared" si="5"/>
        <v>NA</v>
      </c>
      <c r="I15" s="411">
        <f t="shared" si="6"/>
        <v>0</v>
      </c>
      <c r="J15" s="413" t="str">
        <f t="shared" si="7"/>
        <v>NA</v>
      </c>
      <c r="K15" s="413" t="str">
        <f t="shared" si="8"/>
        <v>NA</v>
      </c>
      <c r="L15" s="413" t="str">
        <f t="shared" si="9"/>
        <v>NA</v>
      </c>
      <c r="M15" s="413" t="str">
        <f t="shared" si="10"/>
        <v>NA</v>
      </c>
      <c r="N15" s="414" t="str">
        <f t="shared" si="11"/>
        <v>NA</v>
      </c>
      <c r="O15" s="169" t="str">
        <f t="shared" si="13"/>
        <v>No</v>
      </c>
      <c r="P15" s="415" t="str">
        <f t="shared" si="12"/>
        <v>NA</v>
      </c>
      <c r="Q15" s="416" t="str">
        <f t="shared" si="12"/>
        <v>NA</v>
      </c>
      <c r="R15" s="416" t="str">
        <f t="shared" si="12"/>
        <v>NA</v>
      </c>
      <c r="S15" s="416" t="str">
        <f t="shared" si="12"/>
        <v>NA</v>
      </c>
      <c r="T15" s="416" t="str">
        <f t="shared" si="12"/>
        <v>NA</v>
      </c>
      <c r="U15" s="416" t="str">
        <f t="shared" si="12"/>
        <v>NA</v>
      </c>
    </row>
    <row r="16" spans="1:22" x14ac:dyDescent="0.4">
      <c r="A16" s="210">
        <v>106</v>
      </c>
      <c r="B16" s="525" t="s">
        <v>613</v>
      </c>
      <c r="C16" s="411">
        <f t="shared" si="0"/>
        <v>0</v>
      </c>
      <c r="D16" s="413" t="str">
        <f t="shared" si="1"/>
        <v>NA</v>
      </c>
      <c r="E16" s="413" t="str">
        <f t="shared" si="2"/>
        <v>NA</v>
      </c>
      <c r="F16" s="413" t="str">
        <f t="shared" si="3"/>
        <v>NA</v>
      </c>
      <c r="G16" s="413" t="str">
        <f t="shared" si="4"/>
        <v>NA</v>
      </c>
      <c r="H16" s="414" t="str">
        <f t="shared" si="5"/>
        <v>NA</v>
      </c>
      <c r="I16" s="411">
        <f t="shared" si="6"/>
        <v>0</v>
      </c>
      <c r="J16" s="413" t="str">
        <f t="shared" si="7"/>
        <v>NA</v>
      </c>
      <c r="K16" s="413" t="str">
        <f t="shared" si="8"/>
        <v>NA</v>
      </c>
      <c r="L16" s="413" t="str">
        <f t="shared" si="9"/>
        <v>NA</v>
      </c>
      <c r="M16" s="413" t="str">
        <f t="shared" si="10"/>
        <v>NA</v>
      </c>
      <c r="N16" s="414" t="str">
        <f t="shared" si="11"/>
        <v>NA</v>
      </c>
      <c r="O16" s="169" t="str">
        <f t="shared" si="13"/>
        <v>No</v>
      </c>
      <c r="P16" s="415" t="str">
        <f t="shared" si="12"/>
        <v>NA</v>
      </c>
      <c r="Q16" s="416" t="str">
        <f t="shared" si="12"/>
        <v>NA</v>
      </c>
      <c r="R16" s="416" t="str">
        <f t="shared" si="12"/>
        <v>NA</v>
      </c>
      <c r="S16" s="416" t="str">
        <f t="shared" si="12"/>
        <v>NA</v>
      </c>
      <c r="T16" s="416" t="str">
        <f t="shared" si="12"/>
        <v>NA</v>
      </c>
      <c r="U16" s="416" t="str">
        <f t="shared" si="12"/>
        <v>NA</v>
      </c>
    </row>
    <row r="17" spans="1:21" x14ac:dyDescent="0.4">
      <c r="A17" s="210">
        <v>107</v>
      </c>
      <c r="B17" s="526" t="s">
        <v>610</v>
      </c>
      <c r="C17" s="411">
        <f t="shared" si="0"/>
        <v>0</v>
      </c>
      <c r="D17" s="413" t="str">
        <f t="shared" si="1"/>
        <v>NA</v>
      </c>
      <c r="E17" s="413" t="str">
        <f t="shared" si="2"/>
        <v>NA</v>
      </c>
      <c r="F17" s="413" t="str">
        <f t="shared" si="3"/>
        <v>NA</v>
      </c>
      <c r="G17" s="413" t="str">
        <f t="shared" si="4"/>
        <v>NA</v>
      </c>
      <c r="H17" s="414" t="str">
        <f t="shared" si="5"/>
        <v>NA</v>
      </c>
      <c r="I17" s="411">
        <f t="shared" si="6"/>
        <v>0</v>
      </c>
      <c r="J17" s="413" t="str">
        <f t="shared" si="7"/>
        <v>NA</v>
      </c>
      <c r="K17" s="413" t="str">
        <f t="shared" si="8"/>
        <v>NA</v>
      </c>
      <c r="L17" s="413" t="str">
        <f t="shared" si="9"/>
        <v>NA</v>
      </c>
      <c r="M17" s="413" t="str">
        <f t="shared" si="10"/>
        <v>NA</v>
      </c>
      <c r="N17" s="414" t="str">
        <f t="shared" si="11"/>
        <v>NA</v>
      </c>
      <c r="O17" s="169" t="str">
        <f t="shared" si="13"/>
        <v>No</v>
      </c>
      <c r="P17" s="415" t="str">
        <f t="shared" si="12"/>
        <v>NA</v>
      </c>
      <c r="Q17" s="416" t="str">
        <f t="shared" si="12"/>
        <v>NA</v>
      </c>
      <c r="R17" s="416" t="str">
        <f t="shared" si="12"/>
        <v>NA</v>
      </c>
      <c r="S17" s="416" t="str">
        <f t="shared" si="12"/>
        <v>NA</v>
      </c>
      <c r="T17" s="416" t="str">
        <f t="shared" si="12"/>
        <v>NA</v>
      </c>
      <c r="U17" s="416" t="str">
        <f t="shared" si="12"/>
        <v>NA</v>
      </c>
    </row>
    <row r="18" spans="1:21" x14ac:dyDescent="0.4">
      <c r="A18" s="210">
        <v>108</v>
      </c>
      <c r="B18" s="526" t="s">
        <v>563</v>
      </c>
      <c r="C18" s="411">
        <f t="shared" si="0"/>
        <v>0</v>
      </c>
      <c r="D18" s="413" t="str">
        <f t="shared" si="1"/>
        <v>NA</v>
      </c>
      <c r="E18" s="413" t="str">
        <f t="shared" si="2"/>
        <v>NA</v>
      </c>
      <c r="F18" s="413" t="str">
        <f t="shared" si="3"/>
        <v>NA</v>
      </c>
      <c r="G18" s="413" t="str">
        <f t="shared" si="4"/>
        <v>NA</v>
      </c>
      <c r="H18" s="414" t="str">
        <f t="shared" si="5"/>
        <v>NA</v>
      </c>
      <c r="I18" s="411">
        <f t="shared" si="6"/>
        <v>0</v>
      </c>
      <c r="J18" s="413" t="str">
        <f t="shared" si="7"/>
        <v>NA</v>
      </c>
      <c r="K18" s="413" t="str">
        <f t="shared" si="8"/>
        <v>NA</v>
      </c>
      <c r="L18" s="413" t="str">
        <f t="shared" si="9"/>
        <v>NA</v>
      </c>
      <c r="M18" s="413" t="str">
        <f t="shared" si="10"/>
        <v>NA</v>
      </c>
      <c r="N18" s="414" t="str">
        <f t="shared" si="11"/>
        <v>NA</v>
      </c>
      <c r="O18" s="169" t="str">
        <f t="shared" si="13"/>
        <v>No</v>
      </c>
      <c r="P18" s="415" t="str">
        <f t="shared" si="12"/>
        <v>NA</v>
      </c>
      <c r="Q18" s="416" t="str">
        <f t="shared" si="12"/>
        <v>NA</v>
      </c>
      <c r="R18" s="416" t="str">
        <f t="shared" si="12"/>
        <v>NA</v>
      </c>
      <c r="S18" s="416" t="str">
        <f t="shared" si="12"/>
        <v>NA</v>
      </c>
      <c r="T18" s="416" t="str">
        <f t="shared" si="12"/>
        <v>NA</v>
      </c>
      <c r="U18" s="416" t="str">
        <f t="shared" si="12"/>
        <v>NA</v>
      </c>
    </row>
    <row r="19" spans="1:21" ht="33.6" x14ac:dyDescent="0.4">
      <c r="A19" s="210">
        <v>109</v>
      </c>
      <c r="B19" s="526" t="s">
        <v>611</v>
      </c>
      <c r="C19" s="411">
        <f t="shared" si="0"/>
        <v>0</v>
      </c>
      <c r="D19" s="413" t="str">
        <f t="shared" si="1"/>
        <v>NA</v>
      </c>
      <c r="E19" s="413" t="str">
        <f t="shared" si="2"/>
        <v>NA</v>
      </c>
      <c r="F19" s="413" t="str">
        <f t="shared" si="3"/>
        <v>NA</v>
      </c>
      <c r="G19" s="413" t="str">
        <f t="shared" si="4"/>
        <v>NA</v>
      </c>
      <c r="H19" s="414" t="str">
        <f t="shared" si="5"/>
        <v>NA</v>
      </c>
      <c r="I19" s="411">
        <f t="shared" si="6"/>
        <v>0</v>
      </c>
      <c r="J19" s="413" t="str">
        <f t="shared" si="7"/>
        <v>NA</v>
      </c>
      <c r="K19" s="413" t="str">
        <f t="shared" si="8"/>
        <v>NA</v>
      </c>
      <c r="L19" s="413" t="str">
        <f t="shared" si="9"/>
        <v>NA</v>
      </c>
      <c r="M19" s="413" t="str">
        <f t="shared" si="10"/>
        <v>NA</v>
      </c>
      <c r="N19" s="414" t="str">
        <f t="shared" si="11"/>
        <v>NA</v>
      </c>
      <c r="O19" s="169" t="str">
        <f t="shared" si="13"/>
        <v>No</v>
      </c>
      <c r="P19" s="415" t="str">
        <f t="shared" si="12"/>
        <v>NA</v>
      </c>
      <c r="Q19" s="416" t="str">
        <f t="shared" si="12"/>
        <v>NA</v>
      </c>
      <c r="R19" s="416" t="str">
        <f t="shared" si="12"/>
        <v>NA</v>
      </c>
      <c r="S19" s="416" t="str">
        <f t="shared" si="12"/>
        <v>NA</v>
      </c>
      <c r="T19" s="416" t="str">
        <f t="shared" si="12"/>
        <v>NA</v>
      </c>
      <c r="U19" s="416" t="str">
        <f t="shared" si="12"/>
        <v>NA</v>
      </c>
    </row>
    <row r="20" spans="1:21" x14ac:dyDescent="0.4">
      <c r="A20" s="210">
        <v>110</v>
      </c>
      <c r="B20" s="526" t="s">
        <v>68</v>
      </c>
      <c r="C20" s="411">
        <f t="shared" si="0"/>
        <v>0</v>
      </c>
      <c r="D20" s="413" t="str">
        <f t="shared" si="1"/>
        <v>NA</v>
      </c>
      <c r="E20" s="413" t="str">
        <f t="shared" si="2"/>
        <v>NA</v>
      </c>
      <c r="F20" s="413" t="str">
        <f t="shared" si="3"/>
        <v>NA</v>
      </c>
      <c r="G20" s="413" t="str">
        <f t="shared" si="4"/>
        <v>NA</v>
      </c>
      <c r="H20" s="414" t="str">
        <f t="shared" si="5"/>
        <v>NA</v>
      </c>
      <c r="I20" s="411">
        <f t="shared" si="6"/>
        <v>0</v>
      </c>
      <c r="J20" s="413" t="str">
        <f t="shared" si="7"/>
        <v>NA</v>
      </c>
      <c r="K20" s="413" t="str">
        <f t="shared" si="8"/>
        <v>NA</v>
      </c>
      <c r="L20" s="413" t="str">
        <f t="shared" si="9"/>
        <v>NA</v>
      </c>
      <c r="M20" s="413" t="str">
        <f t="shared" si="10"/>
        <v>NA</v>
      </c>
      <c r="N20" s="414" t="str">
        <f t="shared" si="11"/>
        <v>NA</v>
      </c>
      <c r="O20" s="169" t="str">
        <f t="shared" si="13"/>
        <v>No</v>
      </c>
      <c r="P20" s="415" t="str">
        <f t="shared" si="12"/>
        <v>NA</v>
      </c>
      <c r="Q20" s="416" t="str">
        <f t="shared" si="12"/>
        <v>NA</v>
      </c>
      <c r="R20" s="416" t="str">
        <f t="shared" si="12"/>
        <v>NA</v>
      </c>
      <c r="S20" s="416" t="str">
        <f t="shared" si="12"/>
        <v>NA</v>
      </c>
      <c r="T20" s="416" t="str">
        <f t="shared" si="12"/>
        <v>NA</v>
      </c>
      <c r="U20" s="416" t="str">
        <f t="shared" si="12"/>
        <v>NA</v>
      </c>
    </row>
    <row r="21" spans="1:21" x14ac:dyDescent="0.4">
      <c r="A21" s="210">
        <v>111</v>
      </c>
      <c r="B21" s="526" t="s">
        <v>69</v>
      </c>
      <c r="C21" s="411">
        <f t="shared" si="0"/>
        <v>0</v>
      </c>
      <c r="D21" s="413" t="str">
        <f t="shared" si="1"/>
        <v>NA</v>
      </c>
      <c r="E21" s="413" t="str">
        <f t="shared" si="2"/>
        <v>NA</v>
      </c>
      <c r="F21" s="413" t="str">
        <f t="shared" si="3"/>
        <v>NA</v>
      </c>
      <c r="G21" s="413" t="str">
        <f t="shared" si="4"/>
        <v>NA</v>
      </c>
      <c r="H21" s="414" t="str">
        <f t="shared" si="5"/>
        <v>NA</v>
      </c>
      <c r="I21" s="411">
        <f t="shared" si="6"/>
        <v>0</v>
      </c>
      <c r="J21" s="413" t="str">
        <f t="shared" si="7"/>
        <v>NA</v>
      </c>
      <c r="K21" s="413" t="str">
        <f t="shared" si="8"/>
        <v>NA</v>
      </c>
      <c r="L21" s="413" t="str">
        <f t="shared" si="9"/>
        <v>NA</v>
      </c>
      <c r="M21" s="413" t="str">
        <f t="shared" si="10"/>
        <v>NA</v>
      </c>
      <c r="N21" s="414" t="str">
        <f t="shared" si="11"/>
        <v>NA</v>
      </c>
      <c r="O21" s="169" t="str">
        <f t="shared" si="13"/>
        <v>No</v>
      </c>
      <c r="P21" s="415" t="str">
        <f t="shared" si="12"/>
        <v>NA</v>
      </c>
      <c r="Q21" s="416" t="str">
        <f t="shared" si="12"/>
        <v>NA</v>
      </c>
      <c r="R21" s="416" t="str">
        <f t="shared" si="12"/>
        <v>NA</v>
      </c>
      <c r="S21" s="416" t="str">
        <f t="shared" si="12"/>
        <v>NA</v>
      </c>
      <c r="T21" s="416" t="str">
        <f t="shared" si="12"/>
        <v>NA</v>
      </c>
      <c r="U21" s="416" t="str">
        <f t="shared" si="12"/>
        <v>NA</v>
      </c>
    </row>
    <row r="22" spans="1:21" x14ac:dyDescent="0.4">
      <c r="A22" s="210">
        <v>112</v>
      </c>
      <c r="B22" s="526" t="s">
        <v>637</v>
      </c>
      <c r="C22" s="411">
        <f t="shared" si="0"/>
        <v>0</v>
      </c>
      <c r="D22" s="413" t="str">
        <f t="shared" si="1"/>
        <v>NA</v>
      </c>
      <c r="E22" s="413" t="str">
        <f t="shared" si="2"/>
        <v>NA</v>
      </c>
      <c r="F22" s="413" t="str">
        <f t="shared" si="3"/>
        <v>NA</v>
      </c>
      <c r="G22" s="413" t="str">
        <f t="shared" si="4"/>
        <v>NA</v>
      </c>
      <c r="H22" s="414" t="str">
        <f t="shared" si="5"/>
        <v>NA</v>
      </c>
      <c r="I22" s="411">
        <f t="shared" si="6"/>
        <v>0</v>
      </c>
      <c r="J22" s="413" t="str">
        <f t="shared" si="7"/>
        <v>NA</v>
      </c>
      <c r="K22" s="413" t="str">
        <f t="shared" si="8"/>
        <v>NA</v>
      </c>
      <c r="L22" s="413" t="str">
        <f t="shared" si="9"/>
        <v>NA</v>
      </c>
      <c r="M22" s="413" t="str">
        <f t="shared" si="10"/>
        <v>NA</v>
      </c>
      <c r="N22" s="414" t="str">
        <f t="shared" si="11"/>
        <v>NA</v>
      </c>
      <c r="O22" s="169" t="str">
        <f t="shared" si="13"/>
        <v>No</v>
      </c>
      <c r="P22" s="415" t="str">
        <f>IFERROR((I22/C22-1),"NA")</f>
        <v>NA</v>
      </c>
      <c r="Q22" s="416" t="str">
        <f t="shared" si="12"/>
        <v>NA</v>
      </c>
      <c r="R22" s="416" t="str">
        <f t="shared" si="12"/>
        <v>NA</v>
      </c>
      <c r="S22" s="416" t="str">
        <f t="shared" si="12"/>
        <v>NA</v>
      </c>
      <c r="T22" s="416" t="str">
        <f t="shared" si="12"/>
        <v>NA</v>
      </c>
      <c r="U22" s="416" t="str">
        <f t="shared" si="12"/>
        <v>NA</v>
      </c>
    </row>
    <row r="23" spans="1:21" ht="33.6" x14ac:dyDescent="0.4">
      <c r="A23" s="210">
        <v>115</v>
      </c>
      <c r="B23" s="526" t="s">
        <v>612</v>
      </c>
      <c r="C23" s="411">
        <f t="shared" si="0"/>
        <v>0</v>
      </c>
      <c r="D23" s="413" t="str">
        <f t="shared" si="1"/>
        <v>NA</v>
      </c>
      <c r="E23" s="413" t="str">
        <f t="shared" si="2"/>
        <v>NA</v>
      </c>
      <c r="F23" s="413" t="str">
        <f t="shared" si="3"/>
        <v>NA</v>
      </c>
      <c r="G23" s="413" t="str">
        <f t="shared" si="4"/>
        <v>NA</v>
      </c>
      <c r="H23" s="414" t="str">
        <f t="shared" si="5"/>
        <v>NA</v>
      </c>
      <c r="I23" s="411">
        <f t="shared" si="6"/>
        <v>0</v>
      </c>
      <c r="J23" s="413" t="str">
        <f t="shared" si="7"/>
        <v>NA</v>
      </c>
      <c r="K23" s="413" t="str">
        <f t="shared" si="8"/>
        <v>NA</v>
      </c>
      <c r="L23" s="413" t="str">
        <f t="shared" si="9"/>
        <v>NA</v>
      </c>
      <c r="M23" s="413" t="str">
        <f t="shared" si="10"/>
        <v>NA</v>
      </c>
      <c r="N23" s="414" t="str">
        <f t="shared" si="11"/>
        <v>NA</v>
      </c>
      <c r="O23" s="169" t="str">
        <f t="shared" si="13"/>
        <v>No</v>
      </c>
      <c r="P23" s="415" t="str">
        <f t="shared" si="12"/>
        <v>NA</v>
      </c>
      <c r="Q23" s="416" t="str">
        <f t="shared" si="12"/>
        <v>NA</v>
      </c>
      <c r="R23" s="416" t="str">
        <f t="shared" si="12"/>
        <v>NA</v>
      </c>
      <c r="S23" s="416" t="str">
        <f t="shared" si="12"/>
        <v>NA</v>
      </c>
      <c r="T23" s="416" t="str">
        <f t="shared" si="12"/>
        <v>NA</v>
      </c>
      <c r="U23" s="416" t="str">
        <f t="shared" si="12"/>
        <v>NA</v>
      </c>
    </row>
    <row r="24" spans="1:21" x14ac:dyDescent="0.4">
      <c r="A24" s="210">
        <v>116</v>
      </c>
      <c r="B24" s="526" t="s">
        <v>564</v>
      </c>
      <c r="C24" s="411">
        <f t="shared" si="0"/>
        <v>0</v>
      </c>
      <c r="D24" s="413" t="str">
        <f t="shared" si="1"/>
        <v>NA</v>
      </c>
      <c r="E24" s="413" t="str">
        <f t="shared" si="2"/>
        <v>NA</v>
      </c>
      <c r="F24" s="413" t="str">
        <f t="shared" si="3"/>
        <v>NA</v>
      </c>
      <c r="G24" s="413" t="str">
        <f t="shared" si="4"/>
        <v>NA</v>
      </c>
      <c r="H24" s="414" t="str">
        <f t="shared" si="5"/>
        <v>NA</v>
      </c>
      <c r="I24" s="411">
        <f t="shared" si="6"/>
        <v>0</v>
      </c>
      <c r="J24" s="413" t="str">
        <f t="shared" si="7"/>
        <v>NA</v>
      </c>
      <c r="K24" s="413" t="str">
        <f t="shared" si="8"/>
        <v>NA</v>
      </c>
      <c r="L24" s="413" t="str">
        <f t="shared" si="9"/>
        <v>NA</v>
      </c>
      <c r="M24" s="413" t="str">
        <f t="shared" si="10"/>
        <v>NA</v>
      </c>
      <c r="N24" s="414" t="str">
        <f t="shared" si="11"/>
        <v>NA</v>
      </c>
      <c r="O24" s="169" t="str">
        <f t="shared" si="13"/>
        <v>No</v>
      </c>
      <c r="P24" s="415" t="str">
        <f t="shared" si="12"/>
        <v>NA</v>
      </c>
      <c r="Q24" s="416" t="str">
        <f t="shared" si="12"/>
        <v>NA</v>
      </c>
      <c r="R24" s="416" t="str">
        <f t="shared" si="12"/>
        <v>NA</v>
      </c>
      <c r="S24" s="416" t="str">
        <f t="shared" si="12"/>
        <v>NA</v>
      </c>
      <c r="T24" s="416" t="str">
        <f t="shared" si="12"/>
        <v>NA</v>
      </c>
      <c r="U24" s="416" t="str">
        <f t="shared" si="12"/>
        <v>NA</v>
      </c>
    </row>
    <row r="25" spans="1:21" x14ac:dyDescent="0.4">
      <c r="A25" s="210">
        <v>118</v>
      </c>
      <c r="B25" s="526" t="s">
        <v>70</v>
      </c>
      <c r="C25" s="411">
        <f t="shared" si="0"/>
        <v>0</v>
      </c>
      <c r="D25" s="413" t="str">
        <f t="shared" si="1"/>
        <v>NA</v>
      </c>
      <c r="E25" s="413" t="str">
        <f t="shared" si="2"/>
        <v>NA</v>
      </c>
      <c r="F25" s="413" t="str">
        <f t="shared" si="3"/>
        <v>NA</v>
      </c>
      <c r="G25" s="413" t="str">
        <f t="shared" si="4"/>
        <v>NA</v>
      </c>
      <c r="H25" s="414" t="str">
        <f t="shared" si="5"/>
        <v>NA</v>
      </c>
      <c r="I25" s="411">
        <f t="shared" si="6"/>
        <v>0</v>
      </c>
      <c r="J25" s="413" t="str">
        <f t="shared" si="7"/>
        <v>NA</v>
      </c>
      <c r="K25" s="413" t="str">
        <f t="shared" si="8"/>
        <v>NA</v>
      </c>
      <c r="L25" s="413" t="str">
        <f t="shared" si="9"/>
        <v>NA</v>
      </c>
      <c r="M25" s="413" t="str">
        <f t="shared" si="10"/>
        <v>NA</v>
      </c>
      <c r="N25" s="414" t="str">
        <f t="shared" si="11"/>
        <v>NA</v>
      </c>
      <c r="O25" s="169" t="str">
        <f t="shared" si="13"/>
        <v>No</v>
      </c>
      <c r="P25" s="415" t="str">
        <f t="shared" si="12"/>
        <v>NA</v>
      </c>
      <c r="Q25" s="416" t="str">
        <f t="shared" si="12"/>
        <v>NA</v>
      </c>
      <c r="R25" s="416" t="str">
        <f t="shared" si="12"/>
        <v>NA</v>
      </c>
      <c r="S25" s="416" t="str">
        <f t="shared" si="12"/>
        <v>NA</v>
      </c>
      <c r="T25" s="416" t="str">
        <f t="shared" si="12"/>
        <v>NA</v>
      </c>
      <c r="U25" s="416" t="str">
        <f t="shared" si="12"/>
        <v>NA</v>
      </c>
    </row>
    <row r="26" spans="1:21" x14ac:dyDescent="0.4">
      <c r="A26" s="210">
        <v>120</v>
      </c>
      <c r="B26" s="526" t="s">
        <v>561</v>
      </c>
      <c r="C26" s="411">
        <f t="shared" si="0"/>
        <v>0</v>
      </c>
      <c r="D26" s="413" t="str">
        <f t="shared" si="1"/>
        <v>NA</v>
      </c>
      <c r="E26" s="413" t="str">
        <f t="shared" si="2"/>
        <v>NA</v>
      </c>
      <c r="F26" s="413" t="str">
        <f t="shared" si="3"/>
        <v>NA</v>
      </c>
      <c r="G26" s="413" t="str">
        <f t="shared" si="4"/>
        <v>NA</v>
      </c>
      <c r="H26" s="414" t="str">
        <f t="shared" si="5"/>
        <v>NA</v>
      </c>
      <c r="I26" s="411">
        <f t="shared" si="6"/>
        <v>0</v>
      </c>
      <c r="J26" s="413" t="str">
        <f t="shared" si="7"/>
        <v>NA</v>
      </c>
      <c r="K26" s="413" t="str">
        <f t="shared" si="8"/>
        <v>NA</v>
      </c>
      <c r="L26" s="413" t="str">
        <f t="shared" si="9"/>
        <v>NA</v>
      </c>
      <c r="M26" s="413" t="str">
        <f t="shared" si="10"/>
        <v>NA</v>
      </c>
      <c r="N26" s="414" t="str">
        <f t="shared" si="11"/>
        <v>NA</v>
      </c>
      <c r="O26" s="169" t="str">
        <f t="shared" si="13"/>
        <v>No</v>
      </c>
      <c r="P26" s="415" t="str">
        <f>IFERROR((I26/C26-1),"NA")</f>
        <v>NA</v>
      </c>
      <c r="Q26" s="416" t="str">
        <f t="shared" si="12"/>
        <v>NA</v>
      </c>
      <c r="R26" s="416" t="str">
        <f t="shared" si="12"/>
        <v>NA</v>
      </c>
      <c r="S26" s="416" t="str">
        <f t="shared" si="12"/>
        <v>NA</v>
      </c>
      <c r="T26" s="416" t="str">
        <f t="shared" si="12"/>
        <v>NA</v>
      </c>
      <c r="U26" s="416" t="str">
        <f t="shared" si="12"/>
        <v>NA</v>
      </c>
    </row>
    <row r="27" spans="1:21" ht="33.6" x14ac:dyDescent="0.4">
      <c r="A27" s="210">
        <v>121</v>
      </c>
      <c r="B27" s="526" t="s">
        <v>565</v>
      </c>
      <c r="C27" s="411">
        <f t="shared" si="0"/>
        <v>0</v>
      </c>
      <c r="D27" s="413" t="str">
        <f t="shared" si="1"/>
        <v>NA</v>
      </c>
      <c r="E27" s="413" t="str">
        <f t="shared" si="2"/>
        <v>NA</v>
      </c>
      <c r="F27" s="413" t="str">
        <f t="shared" si="3"/>
        <v>NA</v>
      </c>
      <c r="G27" s="413" t="str">
        <f t="shared" si="4"/>
        <v>NA</v>
      </c>
      <c r="H27" s="414" t="str">
        <f t="shared" si="5"/>
        <v>NA</v>
      </c>
      <c r="I27" s="411">
        <f t="shared" si="6"/>
        <v>0</v>
      </c>
      <c r="J27" s="413" t="str">
        <f t="shared" si="7"/>
        <v>NA</v>
      </c>
      <c r="K27" s="413" t="str">
        <f t="shared" si="8"/>
        <v>NA</v>
      </c>
      <c r="L27" s="413" t="str">
        <f t="shared" si="9"/>
        <v>NA</v>
      </c>
      <c r="M27" s="413" t="str">
        <f t="shared" si="10"/>
        <v>NA</v>
      </c>
      <c r="N27" s="414" t="str">
        <f t="shared" si="11"/>
        <v>NA</v>
      </c>
      <c r="O27" s="169" t="str">
        <f t="shared" si="13"/>
        <v>No</v>
      </c>
      <c r="P27" s="415" t="str">
        <f>IFERROR((I27/C27-1),"NA")</f>
        <v>NA</v>
      </c>
      <c r="Q27" s="416" t="str">
        <f t="shared" si="12"/>
        <v>NA</v>
      </c>
      <c r="R27" s="416" t="str">
        <f t="shared" si="12"/>
        <v>NA</v>
      </c>
      <c r="S27" s="416" t="str">
        <f t="shared" si="12"/>
        <v>NA</v>
      </c>
      <c r="T27" s="416" t="str">
        <f t="shared" si="12"/>
        <v>NA</v>
      </c>
      <c r="U27" s="416" t="str">
        <f t="shared" si="12"/>
        <v>NA</v>
      </c>
    </row>
    <row r="28" spans="1:21" ht="33.6" x14ac:dyDescent="0.4">
      <c r="A28" s="210">
        <v>122</v>
      </c>
      <c r="B28" s="525" t="s">
        <v>647</v>
      </c>
      <c r="C28" s="411">
        <f t="shared" si="0"/>
        <v>0</v>
      </c>
      <c r="D28" s="413" t="str">
        <f t="shared" si="1"/>
        <v>NA</v>
      </c>
      <c r="E28" s="413" t="str">
        <f t="shared" si="2"/>
        <v>NA</v>
      </c>
      <c r="F28" s="413" t="str">
        <f t="shared" si="3"/>
        <v>NA</v>
      </c>
      <c r="G28" s="413" t="str">
        <f t="shared" si="4"/>
        <v>NA</v>
      </c>
      <c r="H28" s="414" t="str">
        <f t="shared" si="5"/>
        <v>NA</v>
      </c>
      <c r="I28" s="411">
        <f t="shared" si="6"/>
        <v>0</v>
      </c>
      <c r="J28" s="413" t="str">
        <f t="shared" si="7"/>
        <v>NA</v>
      </c>
      <c r="K28" s="413" t="str">
        <f t="shared" si="8"/>
        <v>NA</v>
      </c>
      <c r="L28" s="413" t="str">
        <f t="shared" si="9"/>
        <v>NA</v>
      </c>
      <c r="M28" s="413" t="str">
        <f t="shared" si="10"/>
        <v>NA</v>
      </c>
      <c r="N28" s="414" t="str">
        <f t="shared" si="11"/>
        <v>NA</v>
      </c>
      <c r="O28" s="169" t="str">
        <f t="shared" si="13"/>
        <v>No</v>
      </c>
      <c r="P28" s="415" t="str">
        <f t="shared" si="12"/>
        <v>NA</v>
      </c>
      <c r="Q28" s="416" t="str">
        <f t="shared" si="12"/>
        <v>NA</v>
      </c>
      <c r="R28" s="416" t="str">
        <f t="shared" si="12"/>
        <v>NA</v>
      </c>
      <c r="S28" s="416" t="str">
        <f t="shared" si="12"/>
        <v>NA</v>
      </c>
      <c r="T28" s="416" t="str">
        <f t="shared" si="12"/>
        <v>NA</v>
      </c>
      <c r="U28" s="416" t="str">
        <f t="shared" si="12"/>
        <v>NA</v>
      </c>
    </row>
    <row r="29" spans="1:21" ht="33.6" x14ac:dyDescent="0.4">
      <c r="A29" s="210">
        <v>123</v>
      </c>
      <c r="B29" s="525" t="s">
        <v>614</v>
      </c>
      <c r="C29" s="411">
        <f t="shared" si="0"/>
        <v>0</v>
      </c>
      <c r="D29" s="413" t="str">
        <f t="shared" si="1"/>
        <v>NA</v>
      </c>
      <c r="E29" s="413" t="str">
        <f t="shared" si="2"/>
        <v>NA</v>
      </c>
      <c r="F29" s="413" t="str">
        <f t="shared" si="3"/>
        <v>NA</v>
      </c>
      <c r="G29" s="413" t="str">
        <f t="shared" si="4"/>
        <v>NA</v>
      </c>
      <c r="H29" s="414" t="str">
        <f t="shared" si="5"/>
        <v>NA</v>
      </c>
      <c r="I29" s="411">
        <f t="shared" si="6"/>
        <v>0</v>
      </c>
      <c r="J29" s="413" t="str">
        <f t="shared" si="7"/>
        <v>NA</v>
      </c>
      <c r="K29" s="413" t="str">
        <f t="shared" si="8"/>
        <v>NA</v>
      </c>
      <c r="L29" s="413" t="str">
        <f t="shared" si="9"/>
        <v>NA</v>
      </c>
      <c r="M29" s="413" t="str">
        <f t="shared" si="10"/>
        <v>NA</v>
      </c>
      <c r="N29" s="414" t="str">
        <f t="shared" si="11"/>
        <v>NA</v>
      </c>
      <c r="O29" s="169" t="str">
        <f t="shared" si="13"/>
        <v>No</v>
      </c>
      <c r="P29" s="415" t="str">
        <f t="shared" ref="P29:P30" si="14">IFERROR((I29/C29-1),"NA")</f>
        <v>NA</v>
      </c>
      <c r="Q29" s="416" t="str">
        <f t="shared" ref="Q29:Q30" si="15">IFERROR((J29/D29-1),"NA")</f>
        <v>NA</v>
      </c>
      <c r="R29" s="416" t="str">
        <f t="shared" ref="R29:R30" si="16">IFERROR((K29/E29-1),"NA")</f>
        <v>NA</v>
      </c>
      <c r="S29" s="416" t="str">
        <f t="shared" ref="S29:S30" si="17">IFERROR((L29/F29-1),"NA")</f>
        <v>NA</v>
      </c>
      <c r="T29" s="416" t="str">
        <f t="shared" ref="T29:T30" si="18">IFERROR((M29/G29-1),"NA")</f>
        <v>NA</v>
      </c>
      <c r="U29" s="416" t="str">
        <f t="shared" ref="U29:U30" si="19">IFERROR((N29/H29-1),"NA")</f>
        <v>NA</v>
      </c>
    </row>
    <row r="30" spans="1:21" x14ac:dyDescent="0.4">
      <c r="A30" s="210">
        <v>124</v>
      </c>
      <c r="B30" s="525" t="s">
        <v>615</v>
      </c>
      <c r="C30" s="411">
        <f t="shared" si="0"/>
        <v>0</v>
      </c>
      <c r="D30" s="413" t="str">
        <f t="shared" si="1"/>
        <v>NA</v>
      </c>
      <c r="E30" s="413" t="str">
        <f t="shared" si="2"/>
        <v>NA</v>
      </c>
      <c r="F30" s="413" t="str">
        <f t="shared" si="3"/>
        <v>NA</v>
      </c>
      <c r="G30" s="413" t="str">
        <f t="shared" si="4"/>
        <v>NA</v>
      </c>
      <c r="H30" s="414" t="str">
        <f t="shared" si="5"/>
        <v>NA</v>
      </c>
      <c r="I30" s="411">
        <f t="shared" si="6"/>
        <v>0</v>
      </c>
      <c r="J30" s="413" t="str">
        <f t="shared" si="7"/>
        <v>NA</v>
      </c>
      <c r="K30" s="413" t="str">
        <f t="shared" si="8"/>
        <v>NA</v>
      </c>
      <c r="L30" s="413" t="str">
        <f t="shared" si="9"/>
        <v>NA</v>
      </c>
      <c r="M30" s="413" t="str">
        <f t="shared" si="10"/>
        <v>NA</v>
      </c>
      <c r="N30" s="414" t="str">
        <f t="shared" si="11"/>
        <v>NA</v>
      </c>
      <c r="O30" s="169" t="str">
        <f t="shared" si="13"/>
        <v>No</v>
      </c>
      <c r="P30" s="415" t="str">
        <f t="shared" si="14"/>
        <v>NA</v>
      </c>
      <c r="Q30" s="416" t="str">
        <f t="shared" si="15"/>
        <v>NA</v>
      </c>
      <c r="R30" s="416" t="str">
        <f t="shared" si="16"/>
        <v>NA</v>
      </c>
      <c r="S30" s="416" t="str">
        <f t="shared" si="17"/>
        <v>NA</v>
      </c>
      <c r="T30" s="416" t="str">
        <f t="shared" si="18"/>
        <v>NA</v>
      </c>
      <c r="U30" s="416" t="str">
        <f t="shared" si="19"/>
        <v>NA</v>
      </c>
    </row>
    <row r="31" spans="1:21" x14ac:dyDescent="0.4">
      <c r="A31" s="462">
        <v>125</v>
      </c>
      <c r="B31" s="525" t="s">
        <v>638</v>
      </c>
      <c r="C31" s="411">
        <f t="shared" ref="C31:C34" si="20">C65+C99+C133</f>
        <v>0</v>
      </c>
      <c r="D31" s="413" t="str">
        <f t="shared" ref="D31:D34" si="21">IF(C31=0,"NA",(SUMPRODUCT(D65,C65)+SUMPRODUCT(D99,C99)+SUMPRODUCT(D133,C133))/C31)</f>
        <v>NA</v>
      </c>
      <c r="E31" s="413" t="str">
        <f t="shared" ref="E31:E34" si="22">IF(C31=0,"NA",(SUMPRODUCT(E65,C65)+SUMPRODUCT(E99,C99)+SUMPRODUCT(E133,C133))/C31)</f>
        <v>NA</v>
      </c>
      <c r="F31" s="413" t="str">
        <f t="shared" ref="F31:F34" si="23">IF(C31=0,"NA",(SUMPRODUCT(F65,C65)+SUMPRODUCT(F99,C99)+SUMPRODUCT(F133,C133))/C31)</f>
        <v>NA</v>
      </c>
      <c r="G31" s="413" t="str">
        <f t="shared" ref="G31:G34" si="24">IF(C31=0,"NA",(SUMPRODUCT(G65,C65)+SUMPRODUCT(G99,C99)+SUMPRODUCT(G133,C133))/C31)</f>
        <v>NA</v>
      </c>
      <c r="H31" s="414" t="str">
        <f t="shared" ref="H31:H34" si="25">IF(C31=0,"NA",(SUMPRODUCT(H65,C65)+SUMPRODUCT(H99,C99)+SUMPRODUCT(H133,C133))/C31)</f>
        <v>NA</v>
      </c>
      <c r="I31" s="411">
        <f t="shared" ref="I31:I34" si="26">I65+I99+I133</f>
        <v>0</v>
      </c>
      <c r="J31" s="413" t="str">
        <f t="shared" ref="J31:J34" si="27">IF(I31=0,"NA",(SUMPRODUCT(J65,I65)+SUMPRODUCT(J99,I99)+SUMPRODUCT(J133,I133))/I31)</f>
        <v>NA</v>
      </c>
      <c r="K31" s="413" t="str">
        <f t="shared" ref="K31:K34" si="28">IF(I31=0,"NA",(SUMPRODUCT(K65,I65)+SUMPRODUCT(K99,I99)+SUMPRODUCT(K133,I133))/I31)</f>
        <v>NA</v>
      </c>
      <c r="L31" s="413" t="str">
        <f t="shared" ref="L31:L34" si="29">IF(I31=0,"NA",(SUMPRODUCT(L65,I65)+SUMPRODUCT(L99,I99)+SUMPRODUCT(L133,I133))/I31)</f>
        <v>NA</v>
      </c>
      <c r="M31" s="413" t="str">
        <f t="shared" ref="M31:M34" si="30">IF(I31=0,"NA",(SUMPRODUCT(M65,I65)+SUMPRODUCT(M99,I99)+SUMPRODUCT(M133,I133))/I31)</f>
        <v>NA</v>
      </c>
      <c r="N31" s="414" t="str">
        <f t="shared" ref="N31:N34" si="31">IF(I31=0,"NA",(SUMPRODUCT(N65,I65)+SUMPRODUCT(N99,I99)+SUMPRODUCT(N133,I133))/I31)</f>
        <v>NA</v>
      </c>
      <c r="O31" s="169" t="str">
        <f t="shared" ref="O31:O34" si="32">IFERROR(IF(AND(C31&gt;12000,I31&gt;12000),"Yes","No"),"NA")</f>
        <v>No</v>
      </c>
      <c r="P31" s="415" t="str">
        <f t="shared" ref="P31:P34" si="33">IFERROR((I31/C31-1),"NA")</f>
        <v>NA</v>
      </c>
      <c r="Q31" s="416" t="str">
        <f t="shared" ref="Q31:Q34" si="34">IFERROR((J31/D31-1),"NA")</f>
        <v>NA</v>
      </c>
      <c r="R31" s="416" t="str">
        <f t="shared" ref="R31:R34" si="35">IFERROR((K31/E31-1),"NA")</f>
        <v>NA</v>
      </c>
      <c r="S31" s="416" t="str">
        <f t="shared" ref="S31:S34" si="36">IFERROR((L31/F31-1),"NA")</f>
        <v>NA</v>
      </c>
      <c r="T31" s="416" t="str">
        <f t="shared" ref="T31:T34" si="37">IFERROR((M31/G31-1),"NA")</f>
        <v>NA</v>
      </c>
      <c r="U31" s="416" t="str">
        <f t="shared" ref="U31:U34" si="38">IFERROR((N31/H31-1),"NA")</f>
        <v>NA</v>
      </c>
    </row>
    <row r="32" spans="1:21" x14ac:dyDescent="0.4">
      <c r="A32" s="462">
        <v>126</v>
      </c>
      <c r="B32" s="525" t="s">
        <v>639</v>
      </c>
      <c r="C32" s="411">
        <f t="shared" si="20"/>
        <v>0</v>
      </c>
      <c r="D32" s="413" t="str">
        <f t="shared" si="21"/>
        <v>NA</v>
      </c>
      <c r="E32" s="413" t="str">
        <f t="shared" si="22"/>
        <v>NA</v>
      </c>
      <c r="F32" s="413" t="str">
        <f t="shared" si="23"/>
        <v>NA</v>
      </c>
      <c r="G32" s="413" t="str">
        <f t="shared" si="24"/>
        <v>NA</v>
      </c>
      <c r="H32" s="414" t="str">
        <f t="shared" si="25"/>
        <v>NA</v>
      </c>
      <c r="I32" s="411">
        <f t="shared" si="26"/>
        <v>0</v>
      </c>
      <c r="J32" s="413" t="str">
        <f t="shared" si="27"/>
        <v>NA</v>
      </c>
      <c r="K32" s="413" t="str">
        <f t="shared" si="28"/>
        <v>NA</v>
      </c>
      <c r="L32" s="413" t="str">
        <f t="shared" si="29"/>
        <v>NA</v>
      </c>
      <c r="M32" s="413" t="str">
        <f t="shared" si="30"/>
        <v>NA</v>
      </c>
      <c r="N32" s="414" t="str">
        <f t="shared" si="31"/>
        <v>NA</v>
      </c>
      <c r="O32" s="169" t="str">
        <f t="shared" si="32"/>
        <v>No</v>
      </c>
      <c r="P32" s="415" t="str">
        <f t="shared" si="33"/>
        <v>NA</v>
      </c>
      <c r="Q32" s="416" t="str">
        <f t="shared" si="34"/>
        <v>NA</v>
      </c>
      <c r="R32" s="416" t="str">
        <f t="shared" si="35"/>
        <v>NA</v>
      </c>
      <c r="S32" s="416" t="str">
        <f t="shared" si="36"/>
        <v>NA</v>
      </c>
      <c r="T32" s="416" t="str">
        <f t="shared" si="37"/>
        <v>NA</v>
      </c>
      <c r="U32" s="416" t="str">
        <f t="shared" si="38"/>
        <v>NA</v>
      </c>
    </row>
    <row r="33" spans="1:21" ht="33.6" x14ac:dyDescent="0.4">
      <c r="A33" s="462">
        <v>127</v>
      </c>
      <c r="B33" s="525" t="s">
        <v>640</v>
      </c>
      <c r="C33" s="411">
        <f t="shared" si="20"/>
        <v>0</v>
      </c>
      <c r="D33" s="413" t="str">
        <f t="shared" si="21"/>
        <v>NA</v>
      </c>
      <c r="E33" s="413" t="str">
        <f t="shared" si="22"/>
        <v>NA</v>
      </c>
      <c r="F33" s="413" t="str">
        <f t="shared" si="23"/>
        <v>NA</v>
      </c>
      <c r="G33" s="413" t="str">
        <f t="shared" si="24"/>
        <v>NA</v>
      </c>
      <c r="H33" s="414" t="str">
        <f t="shared" si="25"/>
        <v>NA</v>
      </c>
      <c r="I33" s="411">
        <f t="shared" si="26"/>
        <v>0</v>
      </c>
      <c r="J33" s="413" t="str">
        <f t="shared" si="27"/>
        <v>NA</v>
      </c>
      <c r="K33" s="413" t="str">
        <f t="shared" si="28"/>
        <v>NA</v>
      </c>
      <c r="L33" s="413" t="str">
        <f t="shared" si="29"/>
        <v>NA</v>
      </c>
      <c r="M33" s="413" t="str">
        <f t="shared" si="30"/>
        <v>NA</v>
      </c>
      <c r="N33" s="414" t="str">
        <f t="shared" si="31"/>
        <v>NA</v>
      </c>
      <c r="O33" s="169" t="str">
        <f t="shared" si="32"/>
        <v>No</v>
      </c>
      <c r="P33" s="415" t="str">
        <f t="shared" si="33"/>
        <v>NA</v>
      </c>
      <c r="Q33" s="416" t="str">
        <f t="shared" si="34"/>
        <v>NA</v>
      </c>
      <c r="R33" s="416" t="str">
        <f t="shared" si="35"/>
        <v>NA</v>
      </c>
      <c r="S33" s="416" t="str">
        <f t="shared" si="36"/>
        <v>NA</v>
      </c>
      <c r="T33" s="416" t="str">
        <f t="shared" si="37"/>
        <v>NA</v>
      </c>
      <c r="U33" s="416" t="str">
        <f t="shared" si="38"/>
        <v>NA</v>
      </c>
    </row>
    <row r="34" spans="1:21" x14ac:dyDescent="0.4">
      <c r="A34" s="462">
        <v>128</v>
      </c>
      <c r="B34" s="525" t="s">
        <v>641</v>
      </c>
      <c r="C34" s="411">
        <f t="shared" si="20"/>
        <v>0</v>
      </c>
      <c r="D34" s="413" t="str">
        <f t="shared" si="21"/>
        <v>NA</v>
      </c>
      <c r="E34" s="413" t="str">
        <f t="shared" si="22"/>
        <v>NA</v>
      </c>
      <c r="F34" s="413" t="str">
        <f t="shared" si="23"/>
        <v>NA</v>
      </c>
      <c r="G34" s="413" t="str">
        <f t="shared" si="24"/>
        <v>NA</v>
      </c>
      <c r="H34" s="414" t="str">
        <f t="shared" si="25"/>
        <v>NA</v>
      </c>
      <c r="I34" s="411">
        <f t="shared" si="26"/>
        <v>0</v>
      </c>
      <c r="J34" s="413" t="str">
        <f t="shared" si="27"/>
        <v>NA</v>
      </c>
      <c r="K34" s="413" t="str">
        <f t="shared" si="28"/>
        <v>NA</v>
      </c>
      <c r="L34" s="413" t="str">
        <f t="shared" si="29"/>
        <v>NA</v>
      </c>
      <c r="M34" s="413" t="str">
        <f t="shared" si="30"/>
        <v>NA</v>
      </c>
      <c r="N34" s="414" t="str">
        <f t="shared" si="31"/>
        <v>NA</v>
      </c>
      <c r="O34" s="169" t="str">
        <f t="shared" si="32"/>
        <v>No</v>
      </c>
      <c r="P34" s="415" t="str">
        <f t="shared" si="33"/>
        <v>NA</v>
      </c>
      <c r="Q34" s="416" t="str">
        <f t="shared" si="34"/>
        <v>NA</v>
      </c>
      <c r="R34" s="416" t="str">
        <f t="shared" si="35"/>
        <v>NA</v>
      </c>
      <c r="S34" s="416" t="str">
        <f t="shared" si="36"/>
        <v>NA</v>
      </c>
      <c r="T34" s="416" t="str">
        <f t="shared" si="37"/>
        <v>NA</v>
      </c>
      <c r="U34" s="416" t="str">
        <f t="shared" si="38"/>
        <v>NA</v>
      </c>
    </row>
    <row r="35" spans="1:21" x14ac:dyDescent="0.4">
      <c r="A35" s="210">
        <v>999</v>
      </c>
      <c r="B35" s="525" t="s">
        <v>71</v>
      </c>
      <c r="C35" s="411">
        <f t="shared" ref="C35" si="39">C69+C103+C137</f>
        <v>0</v>
      </c>
      <c r="D35" s="413" t="str">
        <f>IF(C35=0,"NA",(SUMPRODUCT(D69,C69)+SUMPRODUCT(D103,C103)+SUMPRODUCT(D137,C137))/C35)</f>
        <v>NA</v>
      </c>
      <c r="E35" s="413" t="str">
        <f>IF(C35=0,"NA",(SUMPRODUCT(E69,C69)+SUMPRODUCT(E103,C103)+SUMPRODUCT(E137,C137))/C35)</f>
        <v>NA</v>
      </c>
      <c r="F35" s="413" t="str">
        <f>IF(C35=0,"NA",(SUMPRODUCT(F69,C69)+SUMPRODUCT(F103,C103)+SUMPRODUCT(F137,C137))/C35)</f>
        <v>NA</v>
      </c>
      <c r="G35" s="413" t="str">
        <f>IF(C35=0,"NA",(SUMPRODUCT(G69,C69)+SUMPRODUCT(G103,C103)+SUMPRODUCT(G137,C137))/C35)</f>
        <v>NA</v>
      </c>
      <c r="H35" s="414" t="str">
        <f>IF(C35=0,"NA",(SUMPRODUCT(H69,C69)+SUMPRODUCT(H103,C103)+SUMPRODUCT(H137,C137))/C35)</f>
        <v>NA</v>
      </c>
      <c r="I35" s="411">
        <f>I69+I103+I137</f>
        <v>0</v>
      </c>
      <c r="J35" s="413" t="str">
        <f>IF(I35=0,"NA",(SUMPRODUCT(J69,I69)+SUMPRODUCT(J103,I103)+SUMPRODUCT(J137,I137))/I35)</f>
        <v>NA</v>
      </c>
      <c r="K35" s="413" t="str">
        <f>IF(I35=0,"NA",(SUMPRODUCT(K69,I69)+SUMPRODUCT(K103,I103)+SUMPRODUCT(K137,I137))/I35)</f>
        <v>NA</v>
      </c>
      <c r="L35" s="413" t="str">
        <f>IF(I35=0,"NA",(SUMPRODUCT(L69,I69)+SUMPRODUCT(L103,I103)+SUMPRODUCT(L137,I137))/I35)</f>
        <v>NA</v>
      </c>
      <c r="M35" s="413" t="str">
        <f>IF(I35=0,"NA",(SUMPRODUCT(M69,I69)+SUMPRODUCT(M103,I103)+SUMPRODUCT(M137,I137))/I35)</f>
        <v>NA</v>
      </c>
      <c r="N35" s="414" t="str">
        <f>IF(I35=0,"NA",(SUMPRODUCT(N69,I69)+SUMPRODUCT(N103,I103)+SUMPRODUCT(N137,I137))/I35)</f>
        <v>NA</v>
      </c>
      <c r="O35" s="169" t="str">
        <f>IFERROR(IF(AND(C35&gt;12000,I35&gt;12000),"Yes","No"),"NA")</f>
        <v>No</v>
      </c>
      <c r="P35" s="415" t="str">
        <f t="shared" si="12"/>
        <v>NA</v>
      </c>
      <c r="Q35" s="416" t="str">
        <f t="shared" si="12"/>
        <v>NA</v>
      </c>
      <c r="R35" s="416" t="str">
        <f t="shared" si="12"/>
        <v>NA</v>
      </c>
      <c r="S35" s="416" t="str">
        <f t="shared" si="12"/>
        <v>NA</v>
      </c>
      <c r="T35" s="416" t="str">
        <f t="shared" si="12"/>
        <v>NA</v>
      </c>
      <c r="U35" s="416" t="str">
        <f t="shared" si="12"/>
        <v>NA</v>
      </c>
    </row>
    <row r="36" spans="1:21" ht="30" customHeight="1" x14ac:dyDescent="0.4">
      <c r="A36" s="591" t="s">
        <v>518</v>
      </c>
      <c r="B36" s="572"/>
      <c r="C36" s="417">
        <f>SUM(C12:C35)</f>
        <v>0</v>
      </c>
      <c r="D36" s="418" t="str">
        <f>IFERROR((SUMPRODUCT(D12:D35,C12:C35)/C36),"NA")</f>
        <v>NA</v>
      </c>
      <c r="E36" s="418" t="str">
        <f>IFERROR((SUMPRODUCT(E12:E35,C12:C35)/C36),"NA")</f>
        <v>NA</v>
      </c>
      <c r="F36" s="418" t="str">
        <f>IFERROR((SUMPRODUCT(F12:F35,C12:C35)/C36),"NA")</f>
        <v>NA</v>
      </c>
      <c r="G36" s="418" t="str">
        <f>IFERROR((SUMPRODUCT(G12:G35,C12:C35)/C36),"NA")</f>
        <v>NA</v>
      </c>
      <c r="H36" s="418" t="str">
        <f>IFERROR((SUMPRODUCT(H12:H35,C12:C35)/C36),"NA")</f>
        <v>NA</v>
      </c>
      <c r="I36" s="412">
        <f>I70+I104+I138</f>
        <v>0</v>
      </c>
      <c r="J36" s="418" t="str">
        <f>IFERROR((SUMPRODUCT(J12:J35,I12:I35)/I36),"NA")</f>
        <v>NA</v>
      </c>
      <c r="K36" s="418" t="str">
        <f>IFERROR((SUMPRODUCT(K12:K35,I12:I35)/I36),"NA")</f>
        <v>NA</v>
      </c>
      <c r="L36" s="418" t="str">
        <f>IFERROR((SUMPRODUCT(L12:L35,I12:I35)/I36),"NA")</f>
        <v>NA</v>
      </c>
      <c r="M36" s="418" t="str">
        <f>IFERROR((SUMPRODUCT(M12:M35,I12:I35)/I36),"NA")</f>
        <v>NA</v>
      </c>
      <c r="N36" s="419" t="str">
        <f>IFERROR((SUMPRODUCT(N12:N35,I12:I35)/I36),"NA")</f>
        <v>NA</v>
      </c>
      <c r="O36" s="434" t="s">
        <v>470</v>
      </c>
      <c r="P36" s="386" t="s">
        <v>470</v>
      </c>
      <c r="Q36" s="385" t="s">
        <v>470</v>
      </c>
      <c r="R36" s="385" t="s">
        <v>470</v>
      </c>
      <c r="S36" s="385" t="s">
        <v>470</v>
      </c>
      <c r="T36" s="385" t="s">
        <v>470</v>
      </c>
      <c r="U36" s="385" t="s">
        <v>470</v>
      </c>
    </row>
    <row r="37" spans="1:21" x14ac:dyDescent="0.4">
      <c r="A37" s="588" t="s">
        <v>519</v>
      </c>
      <c r="B37" s="574"/>
      <c r="C37" s="437" t="s">
        <v>470</v>
      </c>
      <c r="D37" s="418" t="str">
        <f>IF($C$36=0,"NA",(SUMPRODUCT(D71,$C$70)+SUMPRODUCT(D105,$C$104)+SUMPRODUCT(D139,$C$138))/$C$36)</f>
        <v>NA</v>
      </c>
      <c r="E37" s="418" t="str">
        <f>IF($C$36=0,"NA",(SUMPRODUCT(E71,$C$70)+SUMPRODUCT(E105,$C$104)+SUMPRODUCT(E139,$C$138))/$C$36)</f>
        <v>NA</v>
      </c>
      <c r="F37" s="418" t="str">
        <f>IF($C$36=0,"NA",(SUMPRODUCT(F71,$C$70)+SUMPRODUCT(F105,$C$104)+SUMPRODUCT(F139,$C$138))/$C$36)</f>
        <v>NA</v>
      </c>
      <c r="G37" s="418" t="str">
        <f>IF($C$36=0,"NA",(SUMPRODUCT(G71,$C$70)+SUMPRODUCT(G105,$C$104)+SUMPRODUCT(G139,$C$138))/$C$36)</f>
        <v>NA</v>
      </c>
      <c r="H37" s="419" t="str">
        <f>IF($C$36=0,"NA",(SUMPRODUCT(H71,$C$70)+SUMPRODUCT(H105,$C$104)+SUMPRODUCT(H139,$C$138))/$C$36)</f>
        <v>NA</v>
      </c>
      <c r="I37" s="445" t="s">
        <v>470</v>
      </c>
      <c r="J37" s="418" t="str">
        <f>IF($I$36=0,"NA",(SUMPRODUCT(J71,$I$70)+SUMPRODUCT(J105,$I$104)+SUMPRODUCT(J139,$I$138))/$I$36)</f>
        <v>NA</v>
      </c>
      <c r="K37" s="418" t="str">
        <f>IF($I$36=0,"NA",(SUMPRODUCT(K71,$I$70)+SUMPRODUCT(K105,$I$104)+SUMPRODUCT(K139,$I$138))/$I$36)</f>
        <v>NA</v>
      </c>
      <c r="L37" s="418" t="str">
        <f>IF($I$36=0,"NA",(SUMPRODUCT(L71,$I$70)+SUMPRODUCT(L105,$I$104)+SUMPRODUCT(L139,$I$138))/$I$36)</f>
        <v>NA</v>
      </c>
      <c r="M37" s="418" t="str">
        <f>IF($I$36=0,"NA",(SUMPRODUCT(M71,$I$70)+SUMPRODUCT(M105,$I$104)+SUMPRODUCT(M139,$I$138))/$I$36)</f>
        <v>NA</v>
      </c>
      <c r="N37" s="419" t="str">
        <f>IF($I$36=0,"NA",(SUMPRODUCT(N71,$I$70)+SUMPRODUCT(N105,$I$104)+SUMPRODUCT(N139,$I$138))/$I$36)</f>
        <v>NA</v>
      </c>
      <c r="O37" s="434" t="s">
        <v>470</v>
      </c>
      <c r="P37" s="386" t="s">
        <v>470</v>
      </c>
      <c r="Q37" s="385" t="s">
        <v>470</v>
      </c>
      <c r="R37" s="385" t="s">
        <v>470</v>
      </c>
      <c r="S37" s="385" t="s">
        <v>470</v>
      </c>
      <c r="T37" s="385" t="s">
        <v>470</v>
      </c>
      <c r="U37" s="385" t="s">
        <v>470</v>
      </c>
    </row>
    <row r="38" spans="1:21" x14ac:dyDescent="0.4">
      <c r="A38" s="589" t="s">
        <v>520</v>
      </c>
      <c r="B38" s="558"/>
      <c r="C38" s="420">
        <f>ABS(C36-C11)</f>
        <v>0</v>
      </c>
      <c r="D38" s="421" t="e">
        <f>ABS(D36-D11)</f>
        <v>#VALUE!</v>
      </c>
      <c r="E38" s="422" t="e">
        <f>ABS(E36-E11)</f>
        <v>#VALUE!</v>
      </c>
      <c r="F38" s="422" t="e">
        <f>ABS(F36-F11)</f>
        <v>#VALUE!</v>
      </c>
      <c r="G38" s="219" t="s">
        <v>470</v>
      </c>
      <c r="H38" s="225" t="s">
        <v>470</v>
      </c>
      <c r="I38" s="423">
        <f>ABS(I36-I11)</f>
        <v>0</v>
      </c>
      <c r="J38" s="422" t="e">
        <f>ABS(J36-J11)</f>
        <v>#VALUE!</v>
      </c>
      <c r="K38" s="422" t="e">
        <f>ABS(K36-K11)</f>
        <v>#VALUE!</v>
      </c>
      <c r="L38" s="422" t="e">
        <f>ABS(L36-L11)</f>
        <v>#VALUE!</v>
      </c>
      <c r="M38" s="174" t="s">
        <v>470</v>
      </c>
      <c r="N38" s="225" t="s">
        <v>470</v>
      </c>
      <c r="O38" s="435" t="s">
        <v>470</v>
      </c>
      <c r="P38" s="436" t="s">
        <v>470</v>
      </c>
      <c r="Q38" s="438" t="s">
        <v>470</v>
      </c>
      <c r="R38" s="438" t="s">
        <v>470</v>
      </c>
      <c r="S38" s="438" t="s">
        <v>470</v>
      </c>
      <c r="T38" s="438" t="s">
        <v>470</v>
      </c>
      <c r="U38" s="438" t="s">
        <v>470</v>
      </c>
    </row>
    <row r="39" spans="1:21" ht="30" customHeight="1" x14ac:dyDescent="0.4">
      <c r="A39" s="590" t="s">
        <v>521</v>
      </c>
      <c r="B39" s="560"/>
      <c r="C39" s="242" t="str">
        <f>IF(((ABS(C11-C36))&lt;10),"Yes","No")</f>
        <v>Yes</v>
      </c>
      <c r="D39" s="174" t="e">
        <f>IF(((ABS(D11-D36))&lt;10),"Yes","No")</f>
        <v>#VALUE!</v>
      </c>
      <c r="E39" s="174" t="e">
        <f>IF(((ABS(E11-E36))&lt;10),"Yes","No")</f>
        <v>#VALUE!</v>
      </c>
      <c r="F39" s="174" t="e">
        <f>IF(((ABS(F11-F36))&lt;10),"Yes","No")</f>
        <v>#VALUE!</v>
      </c>
      <c r="G39" s="174" t="s">
        <v>470</v>
      </c>
      <c r="H39" s="225" t="s">
        <v>470</v>
      </c>
      <c r="I39" s="242" t="str">
        <f>IF(((ABS(I11-I36))&lt;10),"Yes","No")</f>
        <v>Yes</v>
      </c>
      <c r="J39" s="174" t="e">
        <f>IF(((ABS(J11-J36))&lt;10),"Yes","No")</f>
        <v>#VALUE!</v>
      </c>
      <c r="K39" s="174" t="e">
        <f>IF(((ABS(K11-K36))&lt;10),"Yes","No")</f>
        <v>#VALUE!</v>
      </c>
      <c r="L39" s="174" t="e">
        <f>IF(((ABS(L11-L36))&lt;10),"Yes","No")</f>
        <v>#VALUE!</v>
      </c>
      <c r="M39" s="174" t="s">
        <v>470</v>
      </c>
      <c r="N39" s="225" t="s">
        <v>470</v>
      </c>
      <c r="O39" s="435" t="s">
        <v>470</v>
      </c>
      <c r="P39" s="436" t="s">
        <v>470</v>
      </c>
      <c r="Q39" s="438" t="s">
        <v>470</v>
      </c>
      <c r="R39" s="438" t="s">
        <v>470</v>
      </c>
      <c r="S39" s="438" t="s">
        <v>470</v>
      </c>
      <c r="T39" s="438" t="s">
        <v>470</v>
      </c>
      <c r="U39" s="438" t="s">
        <v>470</v>
      </c>
    </row>
    <row r="40" spans="1:21" x14ac:dyDescent="0.4">
      <c r="A40"/>
      <c r="B40"/>
      <c r="C40"/>
      <c r="D40" s="143"/>
      <c r="E40"/>
      <c r="F40"/>
      <c r="G40"/>
      <c r="H40"/>
      <c r="I40"/>
      <c r="J40"/>
      <c r="K40"/>
      <c r="L40"/>
      <c r="M40"/>
      <c r="N40"/>
      <c r="O40" s="2"/>
      <c r="P40"/>
      <c r="Q40"/>
      <c r="R40"/>
      <c r="S40"/>
      <c r="T40"/>
      <c r="U40"/>
    </row>
    <row r="41" spans="1:21" x14ac:dyDescent="0.4">
      <c r="A41"/>
      <c r="B41"/>
      <c r="C41"/>
      <c r="D41"/>
      <c r="E41"/>
      <c r="F41"/>
      <c r="G41"/>
      <c r="H41"/>
      <c r="I41"/>
      <c r="J41"/>
      <c r="K41"/>
      <c r="L41"/>
      <c r="M41"/>
      <c r="N41"/>
      <c r="O41" s="2"/>
      <c r="P41"/>
      <c r="Q41"/>
      <c r="R41"/>
      <c r="S41"/>
      <c r="T41"/>
      <c r="U41"/>
    </row>
    <row r="42" spans="1:21" x14ac:dyDescent="0.4">
      <c r="A42" s="3" t="s">
        <v>522</v>
      </c>
      <c r="B42"/>
      <c r="C42"/>
      <c r="D42"/>
      <c r="E42"/>
      <c r="F42"/>
      <c r="G42"/>
      <c r="H42"/>
      <c r="I42"/>
      <c r="J42"/>
      <c r="K42"/>
      <c r="L42"/>
      <c r="M42"/>
      <c r="N42"/>
      <c r="O42" s="2"/>
      <c r="P42"/>
      <c r="Q42"/>
      <c r="R42"/>
      <c r="S42"/>
      <c r="T42"/>
      <c r="U42"/>
    </row>
    <row r="43" spans="1:21" ht="15" customHeight="1" x14ac:dyDescent="0.4">
      <c r="A43" s="583" t="s">
        <v>66</v>
      </c>
      <c r="B43" s="584" t="s">
        <v>505</v>
      </c>
      <c r="C43" s="566">
        <v>2024</v>
      </c>
      <c r="D43" s="567"/>
      <c r="E43" s="567"/>
      <c r="F43" s="567"/>
      <c r="G43" s="567"/>
      <c r="H43" s="568"/>
      <c r="I43" s="569">
        <v>2025</v>
      </c>
      <c r="J43" s="570"/>
      <c r="K43" s="570"/>
      <c r="L43" s="570"/>
      <c r="M43" s="570"/>
      <c r="N43" s="571"/>
      <c r="O43" s="576" t="s">
        <v>644</v>
      </c>
      <c r="P43" s="577"/>
      <c r="Q43" s="577"/>
      <c r="R43" s="577"/>
      <c r="S43" s="577"/>
      <c r="T43" s="577"/>
      <c r="U43" s="578"/>
    </row>
    <row r="44" spans="1:21" ht="50.4" x14ac:dyDescent="0.4">
      <c r="A44" s="583"/>
      <c r="B44" s="584"/>
      <c r="C44" s="84" t="s">
        <v>506</v>
      </c>
      <c r="D44" s="85" t="s">
        <v>507</v>
      </c>
      <c r="E44" s="85" t="s">
        <v>508</v>
      </c>
      <c r="F44" s="85" t="s">
        <v>509</v>
      </c>
      <c r="G44" s="85" t="s">
        <v>510</v>
      </c>
      <c r="H44" s="86" t="s">
        <v>511</v>
      </c>
      <c r="I44" s="81" t="s">
        <v>506</v>
      </c>
      <c r="J44" s="82" t="s">
        <v>507</v>
      </c>
      <c r="K44" s="82" t="s">
        <v>508</v>
      </c>
      <c r="L44" s="82" t="s">
        <v>509</v>
      </c>
      <c r="M44" s="82" t="s">
        <v>510</v>
      </c>
      <c r="N44" s="83" t="s">
        <v>511</v>
      </c>
      <c r="O44" s="410" t="s">
        <v>635</v>
      </c>
      <c r="P44" s="230" t="s">
        <v>512</v>
      </c>
      <c r="Q44" s="71" t="s">
        <v>513</v>
      </c>
      <c r="R44" s="71" t="s">
        <v>514</v>
      </c>
      <c r="S44" s="71" t="s">
        <v>515</v>
      </c>
      <c r="T44" s="71" t="s">
        <v>516</v>
      </c>
      <c r="U44" s="209" t="s">
        <v>517</v>
      </c>
    </row>
    <row r="45" spans="1:21" x14ac:dyDescent="0.4">
      <c r="A45" s="211">
        <v>100</v>
      </c>
      <c r="B45" s="525" t="s">
        <v>67</v>
      </c>
      <c r="C45" s="89">
        <f>SUMIFS(TM[[#All],[Member Months]],TM[[#All],[Reporting Year]],2024,TM[[#All],[Insurance Category Code]],3,TM[[#All],[Large Provider Entity Code]],A45)</f>
        <v>0</v>
      </c>
      <c r="D45" s="7" t="str">
        <f>IFERROR(SUMIFS(TM[[#All],[Total Non-Truncated Claims Spending]],TM[[#All],[Reporting Year]],2024,TM[[#All],[Insurance Category Code]],3,TM[[#All],[Large Provider Entity Code]],A45)/C45,"NA")</f>
        <v>NA</v>
      </c>
      <c r="E45" s="7" t="str">
        <f>IFERROR(SUMIFS(TM[[#All],[Total Non-Claims Spending]],TM[[#All],[Reporting Year]],2024,TM[[#All],[Insurance Category Code]],3,TM[[#All],[Large Provider Entity Code]],A45)/C45,"NA")</f>
        <v>NA</v>
      </c>
      <c r="F45" s="7" t="str">
        <f>IFERROR(SUMIFS(TM[[#All],[Total Non-Truncated Claims and Non-Claims Spending]],TM[[#All],[Reporting Year]],2024,TM[[#All],[Insurance Category Code]],3,TM[[#All],[Large Provider Entity Code]],A45)/C45,"NA")</f>
        <v>NA</v>
      </c>
      <c r="G45" s="7" t="str">
        <f>IFERROR(SUMIFS(TM[[#All],[Total Truncated Claims Spending]],TM[[#All],[Reporting Year]],2024,TM[[#All],[Insurance Category Code]],3,TM[[#All],[Large Provider Entity Code]],A45)/C45,"NA")</f>
        <v>NA</v>
      </c>
      <c r="H45" s="90" t="str">
        <f>IFERROR(SUMIFS(TM[[#All],[Total Truncated Expenses]],TM[[#All],[Reporting Year]],2024,TM[[#All],[Insurance Category Code]],3,TM[[#All],[Large Provider Entity Code]],A45)/C45,"NA")</f>
        <v>NA</v>
      </c>
      <c r="I45" s="89">
        <f>SUMIFS(TM[[#All],[Member Months]],TM[[#All],[Reporting Year]],2025,TM[[#All],[Insurance Category Code]],3,TM[[#All],[Large Provider Entity Code]],A45)</f>
        <v>0</v>
      </c>
      <c r="J45" s="7" t="str">
        <f>IFERROR(SUMIFS(TM[[#All],[Total Non-Truncated Claims Spending]],TM[[#All],[Reporting Year]],2025,TM[[#All],[Insurance Category Code]],3,TM[[#All],[Large Provider Entity Code]],A45)/I45,"NA")</f>
        <v>NA</v>
      </c>
      <c r="K45" s="7" t="str">
        <f>IFERROR(SUMIFS(TM[[#All],[Total Non-Claims Spending]],TM[[#All],[Reporting Year]],2025,TM[[#All],[Insurance Category Code]],3,TM[[#All],[Large Provider Entity Code]],A45)/I45,"NA")</f>
        <v>NA</v>
      </c>
      <c r="L45" s="7" t="str">
        <f>IFERROR(SUMIFS(TM[[#All],[Total Non-Truncated Claims and Non-Claims Spending]],TM[[#All],[Reporting Year]],2025,TM[[#All],[Insurance Category Code]],3,TM[[#All],[Large Provider Entity Code]],A45)/I45,"NA")</f>
        <v>NA</v>
      </c>
      <c r="M45" s="7" t="str">
        <f>IFERROR(SUMIFS(TM[[#All],[Total Truncated Claims Spending]],TM[[#All],[Reporting Year]],2025,TM[[#All],[Insurance Category Code]],3,TM[[#All],[Large Provider Entity Code]],A45)/I45,"NA")</f>
        <v>NA</v>
      </c>
      <c r="N45" s="90" t="str">
        <f>IFERROR(SUMIFS(TM[[#All],[Total Truncated Expenses]],TM[[#All],[Reporting Year]],2025,TM[[#All],[Insurance Category Code]],3,TM[[#All],[Large Provider Entity Code]],A45)/I45,"NA")</f>
        <v>NA</v>
      </c>
      <c r="O45" s="169" t="str">
        <f>IFERROR(IF(AND(C45&gt;12000,I45&gt;12000),"Yes","No"),"NA")</f>
        <v>No</v>
      </c>
      <c r="P45" s="231" t="str">
        <f t="shared" ref="P45:U69" si="40">IFERROR((I45/C45-1),"NA")</f>
        <v>NA</v>
      </c>
      <c r="Q45" s="91" t="str">
        <f t="shared" si="40"/>
        <v>NA</v>
      </c>
      <c r="R45" s="91" t="str">
        <f t="shared" si="40"/>
        <v>NA</v>
      </c>
      <c r="S45" s="91" t="str">
        <f t="shared" si="40"/>
        <v>NA</v>
      </c>
      <c r="T45" s="91" t="str">
        <f t="shared" si="40"/>
        <v>NA</v>
      </c>
      <c r="U45" s="91" t="str">
        <f t="shared" si="40"/>
        <v>NA</v>
      </c>
    </row>
    <row r="46" spans="1:21" x14ac:dyDescent="0.4">
      <c r="A46" s="210">
        <v>101</v>
      </c>
      <c r="B46" s="525" t="s">
        <v>562</v>
      </c>
      <c r="C46" s="89">
        <f>SUMIFS(TM[[#All],[Member Months]],TM[[#All],[Reporting Year]],2024,TM[[#All],[Insurance Category Code]],3,TM[[#All],[Large Provider Entity Code]],A46)</f>
        <v>0</v>
      </c>
      <c r="D46" s="7" t="str">
        <f>IFERROR(SUMIFS(TM[[#All],[Total Non-Truncated Claims Spending]],TM[[#All],[Reporting Year]],2024,TM[[#All],[Insurance Category Code]],3,TM[[#All],[Large Provider Entity Code]],A46)/C46,"NA")</f>
        <v>NA</v>
      </c>
      <c r="E46" s="7" t="str">
        <f>IFERROR(SUMIFS(TM[[#All],[Total Non-Claims Spending]],TM[[#All],[Reporting Year]],2024,TM[[#All],[Insurance Category Code]],3,TM[[#All],[Large Provider Entity Code]],A46)/C46,"NA")</f>
        <v>NA</v>
      </c>
      <c r="F46" s="7" t="str">
        <f>IFERROR(SUMIFS(TM[[#All],[Total Non-Truncated Claims and Non-Claims Spending]],TM[[#All],[Reporting Year]],2024,TM[[#All],[Insurance Category Code]],3,TM[[#All],[Large Provider Entity Code]],A46)/C46,"NA")</f>
        <v>NA</v>
      </c>
      <c r="G46" s="7" t="str">
        <f>IFERROR(SUMIFS(TM[[#All],[Total Truncated Claims Spending]],TM[[#All],[Reporting Year]],2024,TM[[#All],[Insurance Category Code]],3,TM[[#All],[Large Provider Entity Code]],A46)/C46,"NA")</f>
        <v>NA</v>
      </c>
      <c r="H46" s="90" t="str">
        <f>IFERROR(SUMIFS(TM[[#All],[Total Truncated Expenses]],TM[[#All],[Reporting Year]],2024,TM[[#All],[Insurance Category Code]],3,TM[[#All],[Large Provider Entity Code]],A46)/C46,"NA")</f>
        <v>NA</v>
      </c>
      <c r="I46" s="89">
        <f>SUMIFS(TM[[#All],[Member Months]],TM[[#All],[Reporting Year]],2025,TM[[#All],[Insurance Category Code]],3,TM[[#All],[Large Provider Entity Code]],A46)</f>
        <v>0</v>
      </c>
      <c r="J46" s="7" t="str">
        <f>IFERROR(SUMIFS(TM[[#All],[Total Non-Truncated Claims Spending]],TM[[#All],[Reporting Year]],2025,TM[[#All],[Insurance Category Code]],3,TM[[#All],[Large Provider Entity Code]],A46)/I46,"NA")</f>
        <v>NA</v>
      </c>
      <c r="K46" s="7" t="str">
        <f>IFERROR(SUMIFS(TM[[#All],[Total Non-Claims Spending]],TM[[#All],[Reporting Year]],2025,TM[[#All],[Insurance Category Code]],3,TM[[#All],[Large Provider Entity Code]],A46)/I46,"NA")</f>
        <v>NA</v>
      </c>
      <c r="L46" s="7" t="str">
        <f>IFERROR(SUMIFS(TM[[#All],[Total Non-Truncated Claims and Non-Claims Spending]],TM[[#All],[Reporting Year]],2025,TM[[#All],[Insurance Category Code]],3,TM[[#All],[Large Provider Entity Code]],A46)/I46,"NA")</f>
        <v>NA</v>
      </c>
      <c r="M46" s="7" t="str">
        <f>IFERROR(SUMIFS(TM[[#All],[Total Truncated Claims Spending]],TM[[#All],[Reporting Year]],2025,TM[[#All],[Insurance Category Code]],3,TM[[#All],[Large Provider Entity Code]],A46)/I46,"NA")</f>
        <v>NA</v>
      </c>
      <c r="N46" s="90" t="str">
        <f>IFERROR(SUMIFS(TM[[#All],[Total Truncated Expenses]],TM[[#All],[Reporting Year]],2025,TM[[#All],[Insurance Category Code]],3,TM[[#All],[Large Provider Entity Code]],A46)/I46,"NA")</f>
        <v>NA</v>
      </c>
      <c r="O46" s="169" t="str">
        <f t="shared" ref="O46:O64" si="41">IFERROR(IF(AND(C46&gt;12000,I46&gt;12000),"Yes","No"),"NA")</f>
        <v>No</v>
      </c>
      <c r="P46" s="231" t="str">
        <f t="shared" si="40"/>
        <v>NA</v>
      </c>
      <c r="Q46" s="91" t="str">
        <f t="shared" si="40"/>
        <v>NA</v>
      </c>
      <c r="R46" s="91" t="str">
        <f t="shared" si="40"/>
        <v>NA</v>
      </c>
      <c r="S46" s="91" t="str">
        <f t="shared" si="40"/>
        <v>NA</v>
      </c>
      <c r="T46" s="91" t="str">
        <f t="shared" si="40"/>
        <v>NA</v>
      </c>
      <c r="U46" s="91" t="str">
        <f t="shared" si="40"/>
        <v>NA</v>
      </c>
    </row>
    <row r="47" spans="1:21" x14ac:dyDescent="0.4">
      <c r="A47" s="210">
        <v>102</v>
      </c>
      <c r="B47" s="525" t="s">
        <v>607</v>
      </c>
      <c r="C47" s="89">
        <f>SUMIFS(TM[[#All],[Member Months]],TM[[#All],[Reporting Year]],2024,TM[[#All],[Insurance Category Code]],3,TM[[#All],[Large Provider Entity Code]],A47)</f>
        <v>0</v>
      </c>
      <c r="D47" s="7" t="str">
        <f>IFERROR(SUMIFS(TM[[#All],[Total Non-Truncated Claims Spending]],TM[[#All],[Reporting Year]],2024,TM[[#All],[Insurance Category Code]],3,TM[[#All],[Large Provider Entity Code]],A47)/C47,"NA")</f>
        <v>NA</v>
      </c>
      <c r="E47" s="7" t="str">
        <f>IFERROR(SUMIFS(TM[[#All],[Total Non-Claims Spending]],TM[[#All],[Reporting Year]],2024,TM[[#All],[Insurance Category Code]],3,TM[[#All],[Large Provider Entity Code]],A47)/C47,"NA")</f>
        <v>NA</v>
      </c>
      <c r="F47" s="7" t="str">
        <f>IFERROR(SUMIFS(TM[[#All],[Total Non-Truncated Claims and Non-Claims Spending]],TM[[#All],[Reporting Year]],2024,TM[[#All],[Insurance Category Code]],3,TM[[#All],[Large Provider Entity Code]],A47)/C47,"NA")</f>
        <v>NA</v>
      </c>
      <c r="G47" s="7" t="str">
        <f>IFERROR(SUMIFS(TM[[#All],[Total Truncated Claims Spending]],TM[[#All],[Reporting Year]],2024,TM[[#All],[Insurance Category Code]],3,TM[[#All],[Large Provider Entity Code]],A47)/C47,"NA")</f>
        <v>NA</v>
      </c>
      <c r="H47" s="90" t="str">
        <f>IFERROR(SUMIFS(TM[[#All],[Total Truncated Expenses]],TM[[#All],[Reporting Year]],2024,TM[[#All],[Insurance Category Code]],3,TM[[#All],[Large Provider Entity Code]],A47)/C47,"NA")</f>
        <v>NA</v>
      </c>
      <c r="I47" s="89">
        <f>SUMIFS(TM[[#All],[Member Months]],TM[[#All],[Reporting Year]],2025,TM[[#All],[Insurance Category Code]],3,TM[[#All],[Large Provider Entity Code]],A47)</f>
        <v>0</v>
      </c>
      <c r="J47" s="7" t="str">
        <f>IFERROR(SUMIFS(TM[[#All],[Total Non-Truncated Claims Spending]],TM[[#All],[Reporting Year]],2025,TM[[#All],[Insurance Category Code]],3,TM[[#All],[Large Provider Entity Code]],A47)/I47,"NA")</f>
        <v>NA</v>
      </c>
      <c r="K47" s="7" t="str">
        <f>IFERROR(SUMIFS(TM[[#All],[Total Non-Claims Spending]],TM[[#All],[Reporting Year]],2025,TM[[#All],[Insurance Category Code]],3,TM[[#All],[Large Provider Entity Code]],A47)/I47,"NA")</f>
        <v>NA</v>
      </c>
      <c r="L47" s="7" t="str">
        <f>IFERROR(SUMIFS(TM[[#All],[Total Non-Truncated Claims and Non-Claims Spending]],TM[[#All],[Reporting Year]],2025,TM[[#All],[Insurance Category Code]],3,TM[[#All],[Large Provider Entity Code]],A47)/I47,"NA")</f>
        <v>NA</v>
      </c>
      <c r="M47" s="7" t="str">
        <f>IFERROR(SUMIFS(TM[[#All],[Total Truncated Claims Spending]],TM[[#All],[Reporting Year]],2025,TM[[#All],[Insurance Category Code]],3,TM[[#All],[Large Provider Entity Code]],A47)/I47,"NA")</f>
        <v>NA</v>
      </c>
      <c r="N47" s="90" t="str">
        <f>IFERROR(SUMIFS(TM[[#All],[Total Truncated Expenses]],TM[[#All],[Reporting Year]],2025,TM[[#All],[Insurance Category Code]],3,TM[[#All],[Large Provider Entity Code]],A47)/I47,"NA")</f>
        <v>NA</v>
      </c>
      <c r="O47" s="169" t="str">
        <f t="shared" si="41"/>
        <v>No</v>
      </c>
      <c r="P47" s="231" t="str">
        <f t="shared" si="40"/>
        <v>NA</v>
      </c>
      <c r="Q47" s="91" t="str">
        <f t="shared" si="40"/>
        <v>NA</v>
      </c>
      <c r="R47" s="91" t="str">
        <f t="shared" si="40"/>
        <v>NA</v>
      </c>
      <c r="S47" s="91" t="str">
        <f t="shared" si="40"/>
        <v>NA</v>
      </c>
      <c r="T47" s="91" t="str">
        <f t="shared" si="40"/>
        <v>NA</v>
      </c>
      <c r="U47" s="91" t="str">
        <f t="shared" si="40"/>
        <v>NA</v>
      </c>
    </row>
    <row r="48" spans="1:21" x14ac:dyDescent="0.4">
      <c r="A48" s="210">
        <v>104</v>
      </c>
      <c r="B48" s="525" t="s">
        <v>608</v>
      </c>
      <c r="C48" s="89">
        <f>SUMIFS(TM[[#All],[Member Months]],TM[[#All],[Reporting Year]],2024,TM[[#All],[Insurance Category Code]],3,TM[[#All],[Large Provider Entity Code]],A48)</f>
        <v>0</v>
      </c>
      <c r="D48" s="7" t="str">
        <f>IFERROR(SUMIFS(TM[[#All],[Total Non-Truncated Claims Spending]],TM[[#All],[Reporting Year]],2024,TM[[#All],[Insurance Category Code]],3,TM[[#All],[Large Provider Entity Code]],A48)/C48,"NA")</f>
        <v>NA</v>
      </c>
      <c r="E48" s="7" t="str">
        <f>IFERROR(SUMIFS(TM[[#All],[Total Non-Claims Spending]],TM[[#All],[Reporting Year]],2024,TM[[#All],[Insurance Category Code]],3,TM[[#All],[Large Provider Entity Code]],A48)/C48,"NA")</f>
        <v>NA</v>
      </c>
      <c r="F48" s="7" t="str">
        <f>IFERROR(SUMIFS(TM[[#All],[Total Non-Truncated Claims and Non-Claims Spending]],TM[[#All],[Reporting Year]],2024,TM[[#All],[Insurance Category Code]],3,TM[[#All],[Large Provider Entity Code]],A48)/C48,"NA")</f>
        <v>NA</v>
      </c>
      <c r="G48" s="7" t="str">
        <f>IFERROR(SUMIFS(TM[[#All],[Total Truncated Claims Spending]],TM[[#All],[Reporting Year]],2024,TM[[#All],[Insurance Category Code]],3,TM[[#All],[Large Provider Entity Code]],A48)/C48,"NA")</f>
        <v>NA</v>
      </c>
      <c r="H48" s="90" t="str">
        <f>IFERROR(SUMIFS(TM[[#All],[Total Truncated Expenses]],TM[[#All],[Reporting Year]],2024,TM[[#All],[Insurance Category Code]],3,TM[[#All],[Large Provider Entity Code]],A48)/C48,"NA")</f>
        <v>NA</v>
      </c>
      <c r="I48" s="89">
        <f>SUMIFS(TM[[#All],[Member Months]],TM[[#All],[Reporting Year]],2025,TM[[#All],[Insurance Category Code]],3,TM[[#All],[Large Provider Entity Code]],A48)</f>
        <v>0</v>
      </c>
      <c r="J48" s="7" t="str">
        <f>IFERROR(SUMIFS(TM[[#All],[Total Non-Truncated Claims Spending]],TM[[#All],[Reporting Year]],2025,TM[[#All],[Insurance Category Code]],3,TM[[#All],[Large Provider Entity Code]],A48)/I48,"NA")</f>
        <v>NA</v>
      </c>
      <c r="K48" s="7" t="str">
        <f>IFERROR(SUMIFS(TM[[#All],[Total Non-Claims Spending]],TM[[#All],[Reporting Year]],2025,TM[[#All],[Insurance Category Code]],3,TM[[#All],[Large Provider Entity Code]],A48)/I48,"NA")</f>
        <v>NA</v>
      </c>
      <c r="L48" s="7" t="str">
        <f>IFERROR(SUMIFS(TM[[#All],[Total Non-Truncated Claims and Non-Claims Spending]],TM[[#All],[Reporting Year]],2025,TM[[#All],[Insurance Category Code]],3,TM[[#All],[Large Provider Entity Code]],A48)/I48,"NA")</f>
        <v>NA</v>
      </c>
      <c r="M48" s="7" t="str">
        <f>IFERROR(SUMIFS(TM[[#All],[Total Truncated Claims Spending]],TM[[#All],[Reporting Year]],2025,TM[[#All],[Insurance Category Code]],3,TM[[#All],[Large Provider Entity Code]],A48)/I48,"NA")</f>
        <v>NA</v>
      </c>
      <c r="N48" s="90" t="str">
        <f>IFERROR(SUMIFS(TM[[#All],[Total Truncated Expenses]],TM[[#All],[Reporting Year]],2025,TM[[#All],[Insurance Category Code]],3,TM[[#All],[Large Provider Entity Code]],A48)/I48,"NA")</f>
        <v>NA</v>
      </c>
      <c r="O48" s="169" t="str">
        <f t="shared" si="41"/>
        <v>No</v>
      </c>
      <c r="P48" s="231" t="str">
        <f t="shared" si="40"/>
        <v>NA</v>
      </c>
      <c r="Q48" s="91" t="str">
        <f t="shared" si="40"/>
        <v>NA</v>
      </c>
      <c r="R48" s="91" t="str">
        <f t="shared" si="40"/>
        <v>NA</v>
      </c>
      <c r="S48" s="91" t="str">
        <f t="shared" si="40"/>
        <v>NA</v>
      </c>
      <c r="T48" s="91" t="str">
        <f t="shared" si="40"/>
        <v>NA</v>
      </c>
      <c r="U48" s="91" t="str">
        <f t="shared" si="40"/>
        <v>NA</v>
      </c>
    </row>
    <row r="49" spans="1:21" ht="33.6" x14ac:dyDescent="0.4">
      <c r="A49" s="210">
        <v>105</v>
      </c>
      <c r="B49" s="525" t="s">
        <v>609</v>
      </c>
      <c r="C49" s="89">
        <f>SUMIFS(TM[[#All],[Member Months]],TM[[#All],[Reporting Year]],2024,TM[[#All],[Insurance Category Code]],3,TM[[#All],[Large Provider Entity Code]],A49)</f>
        <v>0</v>
      </c>
      <c r="D49" s="7" t="str">
        <f>IFERROR(SUMIFS(TM[[#All],[Total Non-Truncated Claims Spending]],TM[[#All],[Reporting Year]],2024,TM[[#All],[Insurance Category Code]],3,TM[[#All],[Large Provider Entity Code]],A49)/C49,"NA")</f>
        <v>NA</v>
      </c>
      <c r="E49" s="7" t="str">
        <f>IFERROR(SUMIFS(TM[[#All],[Total Non-Claims Spending]],TM[[#All],[Reporting Year]],2024,TM[[#All],[Insurance Category Code]],3,TM[[#All],[Large Provider Entity Code]],A49)/C49,"NA")</f>
        <v>NA</v>
      </c>
      <c r="F49" s="7" t="str">
        <f>IFERROR(SUMIFS(TM[[#All],[Total Non-Truncated Claims and Non-Claims Spending]],TM[[#All],[Reporting Year]],2024,TM[[#All],[Insurance Category Code]],3,TM[[#All],[Large Provider Entity Code]],A49)/C49,"NA")</f>
        <v>NA</v>
      </c>
      <c r="G49" s="7" t="str">
        <f>IFERROR(SUMIFS(TM[[#All],[Total Truncated Claims Spending]],TM[[#All],[Reporting Year]],2024,TM[[#All],[Insurance Category Code]],3,TM[[#All],[Large Provider Entity Code]],A49)/C49,"NA")</f>
        <v>NA</v>
      </c>
      <c r="H49" s="90" t="str">
        <f>IFERROR(SUMIFS(TM[[#All],[Total Truncated Expenses]],TM[[#All],[Reporting Year]],2024,TM[[#All],[Insurance Category Code]],3,TM[[#All],[Large Provider Entity Code]],A49)/C49,"NA")</f>
        <v>NA</v>
      </c>
      <c r="I49" s="89">
        <f>SUMIFS(TM[[#All],[Member Months]],TM[[#All],[Reporting Year]],2025,TM[[#All],[Insurance Category Code]],3,TM[[#All],[Large Provider Entity Code]],A49)</f>
        <v>0</v>
      </c>
      <c r="J49" s="7" t="str">
        <f>IFERROR(SUMIFS(TM[[#All],[Total Non-Truncated Claims Spending]],TM[[#All],[Reporting Year]],2025,TM[[#All],[Insurance Category Code]],3,TM[[#All],[Large Provider Entity Code]],A49)/I49,"NA")</f>
        <v>NA</v>
      </c>
      <c r="K49" s="7" t="str">
        <f>IFERROR(SUMIFS(TM[[#All],[Total Non-Claims Spending]],TM[[#All],[Reporting Year]],2025,TM[[#All],[Insurance Category Code]],3,TM[[#All],[Large Provider Entity Code]],A49)/I49,"NA")</f>
        <v>NA</v>
      </c>
      <c r="L49" s="7" t="str">
        <f>IFERROR(SUMIFS(TM[[#All],[Total Non-Truncated Claims and Non-Claims Spending]],TM[[#All],[Reporting Year]],2025,TM[[#All],[Insurance Category Code]],3,TM[[#All],[Large Provider Entity Code]],A49)/I49,"NA")</f>
        <v>NA</v>
      </c>
      <c r="M49" s="7" t="str">
        <f>IFERROR(SUMIFS(TM[[#All],[Total Truncated Claims Spending]],TM[[#All],[Reporting Year]],2025,TM[[#All],[Insurance Category Code]],3,TM[[#All],[Large Provider Entity Code]],A49)/I49,"NA")</f>
        <v>NA</v>
      </c>
      <c r="N49" s="90" t="str">
        <f>IFERROR(SUMIFS(TM[[#All],[Total Truncated Expenses]],TM[[#All],[Reporting Year]],2025,TM[[#All],[Insurance Category Code]],3,TM[[#All],[Large Provider Entity Code]],A49)/I49,"NA")</f>
        <v>NA</v>
      </c>
      <c r="O49" s="169" t="str">
        <f t="shared" si="41"/>
        <v>No</v>
      </c>
      <c r="P49" s="231" t="str">
        <f t="shared" si="40"/>
        <v>NA</v>
      </c>
      <c r="Q49" s="91" t="str">
        <f t="shared" si="40"/>
        <v>NA</v>
      </c>
      <c r="R49" s="91" t="str">
        <f t="shared" si="40"/>
        <v>NA</v>
      </c>
      <c r="S49" s="91" t="str">
        <f t="shared" si="40"/>
        <v>NA</v>
      </c>
      <c r="T49" s="91" t="str">
        <f t="shared" si="40"/>
        <v>NA</v>
      </c>
      <c r="U49" s="91" t="str">
        <f t="shared" si="40"/>
        <v>NA</v>
      </c>
    </row>
    <row r="50" spans="1:21" x14ac:dyDescent="0.4">
      <c r="A50" s="210">
        <v>106</v>
      </c>
      <c r="B50" s="525" t="s">
        <v>613</v>
      </c>
      <c r="C50" s="89">
        <f>SUMIFS(TM[[#All],[Member Months]],TM[[#All],[Reporting Year]],2024,TM[[#All],[Insurance Category Code]],3,TM[[#All],[Large Provider Entity Code]],A50)</f>
        <v>0</v>
      </c>
      <c r="D50" s="7" t="str">
        <f>IFERROR(SUMIFS(TM[[#All],[Total Non-Truncated Claims Spending]],TM[[#All],[Reporting Year]],2024,TM[[#All],[Insurance Category Code]],3,TM[[#All],[Large Provider Entity Code]],A50)/C50,"NA")</f>
        <v>NA</v>
      </c>
      <c r="E50" s="7" t="str">
        <f>IFERROR(SUMIFS(TM[[#All],[Total Non-Claims Spending]],TM[[#All],[Reporting Year]],2024,TM[[#All],[Insurance Category Code]],3,TM[[#All],[Large Provider Entity Code]],A50)/C50,"NA")</f>
        <v>NA</v>
      </c>
      <c r="F50" s="7" t="str">
        <f>IFERROR(SUMIFS(TM[[#All],[Total Non-Truncated Claims and Non-Claims Spending]],TM[[#All],[Reporting Year]],2024,TM[[#All],[Insurance Category Code]],3,TM[[#All],[Large Provider Entity Code]],A50)/C50,"NA")</f>
        <v>NA</v>
      </c>
      <c r="G50" s="7" t="str">
        <f>IFERROR(SUMIFS(TM[[#All],[Total Truncated Claims Spending]],TM[[#All],[Reporting Year]],2024,TM[[#All],[Insurance Category Code]],3,TM[[#All],[Large Provider Entity Code]],A50)/C50,"NA")</f>
        <v>NA</v>
      </c>
      <c r="H50" s="90" t="str">
        <f>IFERROR(SUMIFS(TM[[#All],[Total Truncated Expenses]],TM[[#All],[Reporting Year]],2024,TM[[#All],[Insurance Category Code]],3,TM[[#All],[Large Provider Entity Code]],A50)/C50,"NA")</f>
        <v>NA</v>
      </c>
      <c r="I50" s="89">
        <f>SUMIFS(TM[[#All],[Member Months]],TM[[#All],[Reporting Year]],2025,TM[[#All],[Insurance Category Code]],3,TM[[#All],[Large Provider Entity Code]],A50)</f>
        <v>0</v>
      </c>
      <c r="J50" s="7" t="str">
        <f>IFERROR(SUMIFS(TM[[#All],[Total Non-Truncated Claims Spending]],TM[[#All],[Reporting Year]],2025,TM[[#All],[Insurance Category Code]],3,TM[[#All],[Large Provider Entity Code]],A50)/I50,"NA")</f>
        <v>NA</v>
      </c>
      <c r="K50" s="7" t="str">
        <f>IFERROR(SUMIFS(TM[[#All],[Total Non-Claims Spending]],TM[[#All],[Reporting Year]],2025,TM[[#All],[Insurance Category Code]],3,TM[[#All],[Large Provider Entity Code]],A50)/I50,"NA")</f>
        <v>NA</v>
      </c>
      <c r="L50" s="7" t="str">
        <f>IFERROR(SUMIFS(TM[[#All],[Total Non-Truncated Claims and Non-Claims Spending]],TM[[#All],[Reporting Year]],2025,TM[[#All],[Insurance Category Code]],3,TM[[#All],[Large Provider Entity Code]],A50)/I50,"NA")</f>
        <v>NA</v>
      </c>
      <c r="M50" s="7" t="str">
        <f>IFERROR(SUMIFS(TM[[#All],[Total Truncated Claims Spending]],TM[[#All],[Reporting Year]],2025,TM[[#All],[Insurance Category Code]],3,TM[[#All],[Large Provider Entity Code]],A50)/I50,"NA")</f>
        <v>NA</v>
      </c>
      <c r="N50" s="90" t="str">
        <f>IFERROR(SUMIFS(TM[[#All],[Total Truncated Expenses]],TM[[#All],[Reporting Year]],2025,TM[[#All],[Insurance Category Code]],3,TM[[#All],[Large Provider Entity Code]],A50)/I50,"NA")</f>
        <v>NA</v>
      </c>
      <c r="O50" s="169" t="str">
        <f t="shared" si="41"/>
        <v>No</v>
      </c>
      <c r="P50" s="231" t="str">
        <f t="shared" si="40"/>
        <v>NA</v>
      </c>
      <c r="Q50" s="91" t="str">
        <f t="shared" si="40"/>
        <v>NA</v>
      </c>
      <c r="R50" s="91" t="str">
        <f t="shared" si="40"/>
        <v>NA</v>
      </c>
      <c r="S50" s="91" t="str">
        <f t="shared" si="40"/>
        <v>NA</v>
      </c>
      <c r="T50" s="91" t="str">
        <f t="shared" si="40"/>
        <v>NA</v>
      </c>
      <c r="U50" s="91" t="str">
        <f t="shared" si="40"/>
        <v>NA</v>
      </c>
    </row>
    <row r="51" spans="1:21" x14ac:dyDescent="0.4">
      <c r="A51" s="210">
        <v>107</v>
      </c>
      <c r="B51" s="526" t="s">
        <v>610</v>
      </c>
      <c r="C51" s="89">
        <f>SUMIFS(TM[[#All],[Member Months]],TM[[#All],[Reporting Year]],2024,TM[[#All],[Insurance Category Code]],3,TM[[#All],[Large Provider Entity Code]],A51)</f>
        <v>0</v>
      </c>
      <c r="D51" s="7" t="str">
        <f>IFERROR(SUMIFS(TM[[#All],[Total Non-Truncated Claims Spending]],TM[[#All],[Reporting Year]],2024,TM[[#All],[Insurance Category Code]],3,TM[[#All],[Large Provider Entity Code]],A51)/C51,"NA")</f>
        <v>NA</v>
      </c>
      <c r="E51" s="7" t="str">
        <f>IFERROR(SUMIFS(TM[[#All],[Total Non-Claims Spending]],TM[[#All],[Reporting Year]],2024,TM[[#All],[Insurance Category Code]],3,TM[[#All],[Large Provider Entity Code]],A51)/C51,"NA")</f>
        <v>NA</v>
      </c>
      <c r="F51" s="7" t="str">
        <f>IFERROR(SUMIFS(TM[[#All],[Total Non-Truncated Claims and Non-Claims Spending]],TM[[#All],[Reporting Year]],2024,TM[[#All],[Insurance Category Code]],3,TM[[#All],[Large Provider Entity Code]],A51)/C51,"NA")</f>
        <v>NA</v>
      </c>
      <c r="G51" s="7" t="str">
        <f>IFERROR(SUMIFS(TM[[#All],[Total Truncated Claims Spending]],TM[[#All],[Reporting Year]],2024,TM[[#All],[Insurance Category Code]],3,TM[[#All],[Large Provider Entity Code]],A51)/C51,"NA")</f>
        <v>NA</v>
      </c>
      <c r="H51" s="90" t="str">
        <f>IFERROR(SUMIFS(TM[[#All],[Total Truncated Expenses]],TM[[#All],[Reporting Year]],2024,TM[[#All],[Insurance Category Code]],3,TM[[#All],[Large Provider Entity Code]],A51)/C51,"NA")</f>
        <v>NA</v>
      </c>
      <c r="I51" s="89">
        <f>SUMIFS(TM[[#All],[Member Months]],TM[[#All],[Reporting Year]],2025,TM[[#All],[Insurance Category Code]],3,TM[[#All],[Large Provider Entity Code]],A51)</f>
        <v>0</v>
      </c>
      <c r="J51" s="7" t="str">
        <f>IFERROR(SUMIFS(TM[[#All],[Total Non-Truncated Claims Spending]],TM[[#All],[Reporting Year]],2025,TM[[#All],[Insurance Category Code]],3,TM[[#All],[Large Provider Entity Code]],A51)/I51,"NA")</f>
        <v>NA</v>
      </c>
      <c r="K51" s="7" t="str">
        <f>IFERROR(SUMIFS(TM[[#All],[Total Non-Claims Spending]],TM[[#All],[Reporting Year]],2025,TM[[#All],[Insurance Category Code]],3,TM[[#All],[Large Provider Entity Code]],A51)/I51,"NA")</f>
        <v>NA</v>
      </c>
      <c r="L51" s="7" t="str">
        <f>IFERROR(SUMIFS(TM[[#All],[Total Non-Truncated Claims and Non-Claims Spending]],TM[[#All],[Reporting Year]],2025,TM[[#All],[Insurance Category Code]],3,TM[[#All],[Large Provider Entity Code]],A51)/I51,"NA")</f>
        <v>NA</v>
      </c>
      <c r="M51" s="7" t="str">
        <f>IFERROR(SUMIFS(TM[[#All],[Total Truncated Claims Spending]],TM[[#All],[Reporting Year]],2025,TM[[#All],[Insurance Category Code]],3,TM[[#All],[Large Provider Entity Code]],A51)/I51,"NA")</f>
        <v>NA</v>
      </c>
      <c r="N51" s="90" t="str">
        <f>IFERROR(SUMIFS(TM[[#All],[Total Truncated Expenses]],TM[[#All],[Reporting Year]],2025,TM[[#All],[Insurance Category Code]],3,TM[[#All],[Large Provider Entity Code]],A51)/I51,"NA")</f>
        <v>NA</v>
      </c>
      <c r="O51" s="169" t="str">
        <f t="shared" si="41"/>
        <v>No</v>
      </c>
      <c r="P51" s="231" t="str">
        <f t="shared" si="40"/>
        <v>NA</v>
      </c>
      <c r="Q51" s="91" t="str">
        <f t="shared" si="40"/>
        <v>NA</v>
      </c>
      <c r="R51" s="91" t="str">
        <f t="shared" si="40"/>
        <v>NA</v>
      </c>
      <c r="S51" s="91" t="str">
        <f t="shared" si="40"/>
        <v>NA</v>
      </c>
      <c r="T51" s="91" t="str">
        <f t="shared" si="40"/>
        <v>NA</v>
      </c>
      <c r="U51" s="91" t="str">
        <f t="shared" si="40"/>
        <v>NA</v>
      </c>
    </row>
    <row r="52" spans="1:21" x14ac:dyDescent="0.4">
      <c r="A52" s="210">
        <v>108</v>
      </c>
      <c r="B52" s="526" t="s">
        <v>563</v>
      </c>
      <c r="C52" s="89">
        <f>SUMIFS(TM[[#All],[Member Months]],TM[[#All],[Reporting Year]],2024,TM[[#All],[Insurance Category Code]],3,TM[[#All],[Large Provider Entity Code]],A52)</f>
        <v>0</v>
      </c>
      <c r="D52" s="7" t="str">
        <f>IFERROR(SUMIFS(TM[[#All],[Total Non-Truncated Claims Spending]],TM[[#All],[Reporting Year]],2024,TM[[#All],[Insurance Category Code]],3,TM[[#All],[Large Provider Entity Code]],A52)/C52,"NA")</f>
        <v>NA</v>
      </c>
      <c r="E52" s="7" t="str">
        <f>IFERROR(SUMIFS(TM[[#All],[Total Non-Claims Spending]],TM[[#All],[Reporting Year]],2024,TM[[#All],[Insurance Category Code]],3,TM[[#All],[Large Provider Entity Code]],A52)/C52,"NA")</f>
        <v>NA</v>
      </c>
      <c r="F52" s="7" t="str">
        <f>IFERROR(SUMIFS(TM[[#All],[Total Non-Truncated Claims and Non-Claims Spending]],TM[[#All],[Reporting Year]],2024,TM[[#All],[Insurance Category Code]],3,TM[[#All],[Large Provider Entity Code]],A52)/C52,"NA")</f>
        <v>NA</v>
      </c>
      <c r="G52" s="7" t="str">
        <f>IFERROR(SUMIFS(TM[[#All],[Total Truncated Claims Spending]],TM[[#All],[Reporting Year]],2024,TM[[#All],[Insurance Category Code]],3,TM[[#All],[Large Provider Entity Code]],A52)/C52,"NA")</f>
        <v>NA</v>
      </c>
      <c r="H52" s="90" t="str">
        <f>IFERROR(SUMIFS(TM[[#All],[Total Truncated Expenses]],TM[[#All],[Reporting Year]],2024,TM[[#All],[Insurance Category Code]],3,TM[[#All],[Large Provider Entity Code]],A52)/C52,"NA")</f>
        <v>NA</v>
      </c>
      <c r="I52" s="89">
        <f>SUMIFS(TM[[#All],[Member Months]],TM[[#All],[Reporting Year]],2025,TM[[#All],[Insurance Category Code]],3,TM[[#All],[Large Provider Entity Code]],A52)</f>
        <v>0</v>
      </c>
      <c r="J52" s="7" t="str">
        <f>IFERROR(SUMIFS(TM[[#All],[Total Non-Truncated Claims Spending]],TM[[#All],[Reporting Year]],2025,TM[[#All],[Insurance Category Code]],3,TM[[#All],[Large Provider Entity Code]],A52)/I52,"NA")</f>
        <v>NA</v>
      </c>
      <c r="K52" s="7" t="str">
        <f>IFERROR(SUMIFS(TM[[#All],[Total Non-Claims Spending]],TM[[#All],[Reporting Year]],2025,TM[[#All],[Insurance Category Code]],3,TM[[#All],[Large Provider Entity Code]],A52)/I52,"NA")</f>
        <v>NA</v>
      </c>
      <c r="L52" s="7" t="str">
        <f>IFERROR(SUMIFS(TM[[#All],[Total Non-Truncated Claims and Non-Claims Spending]],TM[[#All],[Reporting Year]],2025,TM[[#All],[Insurance Category Code]],3,TM[[#All],[Large Provider Entity Code]],A52)/I52,"NA")</f>
        <v>NA</v>
      </c>
      <c r="M52" s="7" t="str">
        <f>IFERROR(SUMIFS(TM[[#All],[Total Truncated Claims Spending]],TM[[#All],[Reporting Year]],2025,TM[[#All],[Insurance Category Code]],3,TM[[#All],[Large Provider Entity Code]],A52)/I52,"NA")</f>
        <v>NA</v>
      </c>
      <c r="N52" s="90" t="str">
        <f>IFERROR(SUMIFS(TM[[#All],[Total Truncated Expenses]],TM[[#All],[Reporting Year]],2025,TM[[#All],[Insurance Category Code]],3,TM[[#All],[Large Provider Entity Code]],A52)/I52,"NA")</f>
        <v>NA</v>
      </c>
      <c r="O52" s="169" t="str">
        <f t="shared" si="41"/>
        <v>No</v>
      </c>
      <c r="P52" s="231" t="str">
        <f t="shared" si="40"/>
        <v>NA</v>
      </c>
      <c r="Q52" s="91" t="str">
        <f t="shared" si="40"/>
        <v>NA</v>
      </c>
      <c r="R52" s="91" t="str">
        <f t="shared" si="40"/>
        <v>NA</v>
      </c>
      <c r="S52" s="91" t="str">
        <f t="shared" si="40"/>
        <v>NA</v>
      </c>
      <c r="T52" s="91" t="str">
        <f t="shared" si="40"/>
        <v>NA</v>
      </c>
      <c r="U52" s="91" t="str">
        <f t="shared" si="40"/>
        <v>NA</v>
      </c>
    </row>
    <row r="53" spans="1:21" ht="33.6" x14ac:dyDescent="0.4">
      <c r="A53" s="210">
        <v>109</v>
      </c>
      <c r="B53" s="526" t="s">
        <v>611</v>
      </c>
      <c r="C53" s="89">
        <f>SUMIFS(TM[[#All],[Member Months]],TM[[#All],[Reporting Year]],2024,TM[[#All],[Insurance Category Code]],3,TM[[#All],[Large Provider Entity Code]],A53)</f>
        <v>0</v>
      </c>
      <c r="D53" s="7" t="str">
        <f>IFERROR(SUMIFS(TM[[#All],[Total Non-Truncated Claims Spending]],TM[[#All],[Reporting Year]],2024,TM[[#All],[Insurance Category Code]],3,TM[[#All],[Large Provider Entity Code]],A53)/C53,"NA")</f>
        <v>NA</v>
      </c>
      <c r="E53" s="7" t="str">
        <f>IFERROR(SUMIFS(TM[[#All],[Total Non-Claims Spending]],TM[[#All],[Reporting Year]],2024,TM[[#All],[Insurance Category Code]],3,TM[[#All],[Large Provider Entity Code]],A53)/C53,"NA")</f>
        <v>NA</v>
      </c>
      <c r="F53" s="7" t="str">
        <f>IFERROR(SUMIFS(TM[[#All],[Total Non-Truncated Claims and Non-Claims Spending]],TM[[#All],[Reporting Year]],2024,TM[[#All],[Insurance Category Code]],3,TM[[#All],[Large Provider Entity Code]],A53)/C53,"NA")</f>
        <v>NA</v>
      </c>
      <c r="G53" s="7" t="str">
        <f>IFERROR(SUMIFS(TM[[#All],[Total Truncated Claims Spending]],TM[[#All],[Reporting Year]],2024,TM[[#All],[Insurance Category Code]],3,TM[[#All],[Large Provider Entity Code]],A53)/C53,"NA")</f>
        <v>NA</v>
      </c>
      <c r="H53" s="90" t="str">
        <f>IFERROR(SUMIFS(TM[[#All],[Total Truncated Expenses]],TM[[#All],[Reporting Year]],2024,TM[[#All],[Insurance Category Code]],3,TM[[#All],[Large Provider Entity Code]],A53)/C53,"NA")</f>
        <v>NA</v>
      </c>
      <c r="I53" s="89">
        <f>SUMIFS(TM[[#All],[Member Months]],TM[[#All],[Reporting Year]],2025,TM[[#All],[Insurance Category Code]],3,TM[[#All],[Large Provider Entity Code]],A53)</f>
        <v>0</v>
      </c>
      <c r="J53" s="7" t="str">
        <f>IFERROR(SUMIFS(TM[[#All],[Total Non-Truncated Claims Spending]],TM[[#All],[Reporting Year]],2025,TM[[#All],[Insurance Category Code]],3,TM[[#All],[Large Provider Entity Code]],A53)/I53,"NA")</f>
        <v>NA</v>
      </c>
      <c r="K53" s="7" t="str">
        <f>IFERROR(SUMIFS(TM[[#All],[Total Non-Claims Spending]],TM[[#All],[Reporting Year]],2025,TM[[#All],[Insurance Category Code]],3,TM[[#All],[Large Provider Entity Code]],A53)/I53,"NA")</f>
        <v>NA</v>
      </c>
      <c r="L53" s="7" t="str">
        <f>IFERROR(SUMIFS(TM[[#All],[Total Non-Truncated Claims and Non-Claims Spending]],TM[[#All],[Reporting Year]],2025,TM[[#All],[Insurance Category Code]],3,TM[[#All],[Large Provider Entity Code]],A53)/I53,"NA")</f>
        <v>NA</v>
      </c>
      <c r="M53" s="7" t="str">
        <f>IFERROR(SUMIFS(TM[[#All],[Total Truncated Claims Spending]],TM[[#All],[Reporting Year]],2025,TM[[#All],[Insurance Category Code]],3,TM[[#All],[Large Provider Entity Code]],A53)/I53,"NA")</f>
        <v>NA</v>
      </c>
      <c r="N53" s="90" t="str">
        <f>IFERROR(SUMIFS(TM[[#All],[Total Truncated Expenses]],TM[[#All],[Reporting Year]],2025,TM[[#All],[Insurance Category Code]],3,TM[[#All],[Large Provider Entity Code]],A53)/I53,"NA")</f>
        <v>NA</v>
      </c>
      <c r="O53" s="169" t="str">
        <f t="shared" si="41"/>
        <v>No</v>
      </c>
      <c r="P53" s="231" t="str">
        <f t="shared" si="40"/>
        <v>NA</v>
      </c>
      <c r="Q53" s="91" t="str">
        <f t="shared" si="40"/>
        <v>NA</v>
      </c>
      <c r="R53" s="91" t="str">
        <f t="shared" si="40"/>
        <v>NA</v>
      </c>
      <c r="S53" s="91" t="str">
        <f t="shared" si="40"/>
        <v>NA</v>
      </c>
      <c r="T53" s="91" t="str">
        <f t="shared" si="40"/>
        <v>NA</v>
      </c>
      <c r="U53" s="91" t="str">
        <f t="shared" si="40"/>
        <v>NA</v>
      </c>
    </row>
    <row r="54" spans="1:21" x14ac:dyDescent="0.4">
      <c r="A54" s="210">
        <v>110</v>
      </c>
      <c r="B54" s="526" t="s">
        <v>68</v>
      </c>
      <c r="C54" s="89">
        <f>SUMIFS(TM[[#All],[Member Months]],TM[[#All],[Reporting Year]],2024,TM[[#All],[Insurance Category Code]],3,TM[[#All],[Large Provider Entity Code]],A54)</f>
        <v>0</v>
      </c>
      <c r="D54" s="7" t="str">
        <f>IFERROR(SUMIFS(TM[[#All],[Total Non-Truncated Claims Spending]],TM[[#All],[Reporting Year]],2024,TM[[#All],[Insurance Category Code]],3,TM[[#All],[Large Provider Entity Code]],A54)/C54,"NA")</f>
        <v>NA</v>
      </c>
      <c r="E54" s="7" t="str">
        <f>IFERROR(SUMIFS(TM[[#All],[Total Non-Claims Spending]],TM[[#All],[Reporting Year]],2024,TM[[#All],[Insurance Category Code]],3,TM[[#All],[Large Provider Entity Code]],A54)/C54,"NA")</f>
        <v>NA</v>
      </c>
      <c r="F54" s="7" t="str">
        <f>IFERROR(SUMIFS(TM[[#All],[Total Non-Truncated Claims and Non-Claims Spending]],TM[[#All],[Reporting Year]],2024,TM[[#All],[Insurance Category Code]],3,TM[[#All],[Large Provider Entity Code]],A54)/C54,"NA")</f>
        <v>NA</v>
      </c>
      <c r="G54" s="7" t="str">
        <f>IFERROR(SUMIFS(TM[[#All],[Total Truncated Claims Spending]],TM[[#All],[Reporting Year]],2024,TM[[#All],[Insurance Category Code]],3,TM[[#All],[Large Provider Entity Code]],A54)/C54,"NA")</f>
        <v>NA</v>
      </c>
      <c r="H54" s="90" t="str">
        <f>IFERROR(SUMIFS(TM[[#All],[Total Truncated Expenses]],TM[[#All],[Reporting Year]],2024,TM[[#All],[Insurance Category Code]],3,TM[[#All],[Large Provider Entity Code]],A54)/C54,"NA")</f>
        <v>NA</v>
      </c>
      <c r="I54" s="89">
        <f>SUMIFS(TM[[#All],[Member Months]],TM[[#All],[Reporting Year]],2025,TM[[#All],[Insurance Category Code]],3,TM[[#All],[Large Provider Entity Code]],A54)</f>
        <v>0</v>
      </c>
      <c r="J54" s="7" t="str">
        <f>IFERROR(SUMIFS(TM[[#All],[Total Non-Truncated Claims Spending]],TM[[#All],[Reporting Year]],2025,TM[[#All],[Insurance Category Code]],3,TM[[#All],[Large Provider Entity Code]],A54)/I54,"NA")</f>
        <v>NA</v>
      </c>
      <c r="K54" s="7" t="str">
        <f>IFERROR(SUMIFS(TM[[#All],[Total Non-Claims Spending]],TM[[#All],[Reporting Year]],2025,TM[[#All],[Insurance Category Code]],3,TM[[#All],[Large Provider Entity Code]],A54)/I54,"NA")</f>
        <v>NA</v>
      </c>
      <c r="L54" s="7" t="str">
        <f>IFERROR(SUMIFS(TM[[#All],[Total Non-Truncated Claims and Non-Claims Spending]],TM[[#All],[Reporting Year]],2025,TM[[#All],[Insurance Category Code]],3,TM[[#All],[Large Provider Entity Code]],A54)/I54,"NA")</f>
        <v>NA</v>
      </c>
      <c r="M54" s="7" t="str">
        <f>IFERROR(SUMIFS(TM[[#All],[Total Truncated Claims Spending]],TM[[#All],[Reporting Year]],2025,TM[[#All],[Insurance Category Code]],3,TM[[#All],[Large Provider Entity Code]],A54)/I54,"NA")</f>
        <v>NA</v>
      </c>
      <c r="N54" s="90" t="str">
        <f>IFERROR(SUMIFS(TM[[#All],[Total Truncated Expenses]],TM[[#All],[Reporting Year]],2025,TM[[#All],[Insurance Category Code]],3,TM[[#All],[Large Provider Entity Code]],A54)/I54,"NA")</f>
        <v>NA</v>
      </c>
      <c r="O54" s="169" t="str">
        <f t="shared" si="41"/>
        <v>No</v>
      </c>
      <c r="P54" s="231" t="str">
        <f t="shared" si="40"/>
        <v>NA</v>
      </c>
      <c r="Q54" s="91" t="str">
        <f t="shared" si="40"/>
        <v>NA</v>
      </c>
      <c r="R54" s="91" t="str">
        <f t="shared" si="40"/>
        <v>NA</v>
      </c>
      <c r="S54" s="91" t="str">
        <f t="shared" si="40"/>
        <v>NA</v>
      </c>
      <c r="T54" s="91" t="str">
        <f t="shared" si="40"/>
        <v>NA</v>
      </c>
      <c r="U54" s="91" t="str">
        <f t="shared" si="40"/>
        <v>NA</v>
      </c>
    </row>
    <row r="55" spans="1:21" x14ac:dyDescent="0.4">
      <c r="A55" s="210">
        <v>111</v>
      </c>
      <c r="B55" s="526" t="s">
        <v>69</v>
      </c>
      <c r="C55" s="89">
        <f>SUMIFS(TM[[#All],[Member Months]],TM[[#All],[Reporting Year]],2024,TM[[#All],[Insurance Category Code]],3,TM[[#All],[Large Provider Entity Code]],A55)</f>
        <v>0</v>
      </c>
      <c r="D55" s="7" t="str">
        <f>IFERROR(SUMIFS(TM[[#All],[Total Non-Truncated Claims Spending]],TM[[#All],[Reporting Year]],2024,TM[[#All],[Insurance Category Code]],3,TM[[#All],[Large Provider Entity Code]],A55)/C55,"NA")</f>
        <v>NA</v>
      </c>
      <c r="E55" s="7" t="str">
        <f>IFERROR(SUMIFS(TM[[#All],[Total Non-Claims Spending]],TM[[#All],[Reporting Year]],2024,TM[[#All],[Insurance Category Code]],3,TM[[#All],[Large Provider Entity Code]],A55)/C55,"NA")</f>
        <v>NA</v>
      </c>
      <c r="F55" s="7" t="str">
        <f>IFERROR(SUMIFS(TM[[#All],[Total Non-Truncated Claims and Non-Claims Spending]],TM[[#All],[Reporting Year]],2024,TM[[#All],[Insurance Category Code]],3,TM[[#All],[Large Provider Entity Code]],A55)/C55,"NA")</f>
        <v>NA</v>
      </c>
      <c r="G55" s="7" t="str">
        <f>IFERROR(SUMIFS(TM[[#All],[Total Truncated Claims Spending]],TM[[#All],[Reporting Year]],2024,TM[[#All],[Insurance Category Code]],3,TM[[#All],[Large Provider Entity Code]],A55)/C55,"NA")</f>
        <v>NA</v>
      </c>
      <c r="H55" s="90" t="str">
        <f>IFERROR(SUMIFS(TM[[#All],[Total Truncated Expenses]],TM[[#All],[Reporting Year]],2024,TM[[#All],[Insurance Category Code]],3,TM[[#All],[Large Provider Entity Code]],A55)/C55,"NA")</f>
        <v>NA</v>
      </c>
      <c r="I55" s="89">
        <f>SUMIFS(TM[[#All],[Member Months]],TM[[#All],[Reporting Year]],2025,TM[[#All],[Insurance Category Code]],3,TM[[#All],[Large Provider Entity Code]],A55)</f>
        <v>0</v>
      </c>
      <c r="J55" s="7" t="str">
        <f>IFERROR(SUMIFS(TM[[#All],[Total Non-Truncated Claims Spending]],TM[[#All],[Reporting Year]],2025,TM[[#All],[Insurance Category Code]],3,TM[[#All],[Large Provider Entity Code]],A55)/I55,"NA")</f>
        <v>NA</v>
      </c>
      <c r="K55" s="7" t="str">
        <f>IFERROR(SUMIFS(TM[[#All],[Total Non-Claims Spending]],TM[[#All],[Reporting Year]],2025,TM[[#All],[Insurance Category Code]],3,TM[[#All],[Large Provider Entity Code]],A55)/I55,"NA")</f>
        <v>NA</v>
      </c>
      <c r="L55" s="7" t="str">
        <f>IFERROR(SUMIFS(TM[[#All],[Total Non-Truncated Claims and Non-Claims Spending]],TM[[#All],[Reporting Year]],2025,TM[[#All],[Insurance Category Code]],3,TM[[#All],[Large Provider Entity Code]],A55)/I55,"NA")</f>
        <v>NA</v>
      </c>
      <c r="M55" s="7" t="str">
        <f>IFERROR(SUMIFS(TM[[#All],[Total Truncated Claims Spending]],TM[[#All],[Reporting Year]],2025,TM[[#All],[Insurance Category Code]],3,TM[[#All],[Large Provider Entity Code]],A55)/I55,"NA")</f>
        <v>NA</v>
      </c>
      <c r="N55" s="90" t="str">
        <f>IFERROR(SUMIFS(TM[[#All],[Total Truncated Expenses]],TM[[#All],[Reporting Year]],2025,TM[[#All],[Insurance Category Code]],3,TM[[#All],[Large Provider Entity Code]],A55)/I55,"NA")</f>
        <v>NA</v>
      </c>
      <c r="O55" s="169" t="str">
        <f t="shared" si="41"/>
        <v>No</v>
      </c>
      <c r="P55" s="231" t="str">
        <f t="shared" si="40"/>
        <v>NA</v>
      </c>
      <c r="Q55" s="91" t="str">
        <f t="shared" si="40"/>
        <v>NA</v>
      </c>
      <c r="R55" s="91" t="str">
        <f t="shared" si="40"/>
        <v>NA</v>
      </c>
      <c r="S55" s="91" t="str">
        <f t="shared" si="40"/>
        <v>NA</v>
      </c>
      <c r="T55" s="91" t="str">
        <f t="shared" si="40"/>
        <v>NA</v>
      </c>
      <c r="U55" s="91" t="str">
        <f t="shared" si="40"/>
        <v>NA</v>
      </c>
    </row>
    <row r="56" spans="1:21" x14ac:dyDescent="0.4">
      <c r="A56" s="210">
        <v>112</v>
      </c>
      <c r="B56" s="526" t="s">
        <v>637</v>
      </c>
      <c r="C56" s="89">
        <f>SUMIFS(TM[[#All],[Member Months]],TM[[#All],[Reporting Year]],2024,TM[[#All],[Insurance Category Code]],3,TM[[#All],[Large Provider Entity Code]],A56)</f>
        <v>0</v>
      </c>
      <c r="D56" s="7" t="str">
        <f>IFERROR(SUMIFS(TM[[#All],[Total Non-Truncated Claims Spending]],TM[[#All],[Reporting Year]],2024,TM[[#All],[Insurance Category Code]],3,TM[[#All],[Large Provider Entity Code]],A56)/C56,"NA")</f>
        <v>NA</v>
      </c>
      <c r="E56" s="7" t="str">
        <f>IFERROR(SUMIFS(TM[[#All],[Total Non-Claims Spending]],TM[[#All],[Reporting Year]],2024,TM[[#All],[Insurance Category Code]],3,TM[[#All],[Large Provider Entity Code]],A56)/C56,"NA")</f>
        <v>NA</v>
      </c>
      <c r="F56" s="7" t="str">
        <f>IFERROR(SUMIFS(TM[[#All],[Total Non-Truncated Claims and Non-Claims Spending]],TM[[#All],[Reporting Year]],2024,TM[[#All],[Insurance Category Code]],3,TM[[#All],[Large Provider Entity Code]],A56)/C56,"NA")</f>
        <v>NA</v>
      </c>
      <c r="G56" s="7" t="str">
        <f>IFERROR(SUMIFS(TM[[#All],[Total Truncated Claims Spending]],TM[[#All],[Reporting Year]],2024,TM[[#All],[Insurance Category Code]],3,TM[[#All],[Large Provider Entity Code]],A56)/C56,"NA")</f>
        <v>NA</v>
      </c>
      <c r="H56" s="90" t="str">
        <f>IFERROR(SUMIFS(TM[[#All],[Total Truncated Expenses]],TM[[#All],[Reporting Year]],2024,TM[[#All],[Insurance Category Code]],3,TM[[#All],[Large Provider Entity Code]],A56)/C56,"NA")</f>
        <v>NA</v>
      </c>
      <c r="I56" s="89">
        <f>SUMIFS(TM[[#All],[Member Months]],TM[[#All],[Reporting Year]],2025,TM[[#All],[Insurance Category Code]],3,TM[[#All],[Large Provider Entity Code]],A56)</f>
        <v>0</v>
      </c>
      <c r="J56" s="7" t="str">
        <f>IFERROR(SUMIFS(TM[[#All],[Total Non-Truncated Claims Spending]],TM[[#All],[Reporting Year]],2025,TM[[#All],[Insurance Category Code]],3,TM[[#All],[Large Provider Entity Code]],A56)/I56,"NA")</f>
        <v>NA</v>
      </c>
      <c r="K56" s="7" t="str">
        <f>IFERROR(SUMIFS(TM[[#All],[Total Non-Claims Spending]],TM[[#All],[Reporting Year]],2025,TM[[#All],[Insurance Category Code]],3,TM[[#All],[Large Provider Entity Code]],A56)/I56,"NA")</f>
        <v>NA</v>
      </c>
      <c r="L56" s="7" t="str">
        <f>IFERROR(SUMIFS(TM[[#All],[Total Non-Truncated Claims and Non-Claims Spending]],TM[[#All],[Reporting Year]],2025,TM[[#All],[Insurance Category Code]],3,TM[[#All],[Large Provider Entity Code]],A56)/I56,"NA")</f>
        <v>NA</v>
      </c>
      <c r="M56" s="7" t="str">
        <f>IFERROR(SUMIFS(TM[[#All],[Total Truncated Claims Spending]],TM[[#All],[Reporting Year]],2025,TM[[#All],[Insurance Category Code]],3,TM[[#All],[Large Provider Entity Code]],A56)/I56,"NA")</f>
        <v>NA</v>
      </c>
      <c r="N56" s="90" t="str">
        <f>IFERROR(SUMIFS(TM[[#All],[Total Truncated Expenses]],TM[[#All],[Reporting Year]],2025,TM[[#All],[Insurance Category Code]],3,TM[[#All],[Large Provider Entity Code]],A56)/I56,"NA")</f>
        <v>NA</v>
      </c>
      <c r="O56" s="169" t="str">
        <f t="shared" si="41"/>
        <v>No</v>
      </c>
      <c r="P56" s="231" t="str">
        <f t="shared" si="40"/>
        <v>NA</v>
      </c>
      <c r="Q56" s="91" t="str">
        <f t="shared" si="40"/>
        <v>NA</v>
      </c>
      <c r="R56" s="91" t="str">
        <f t="shared" si="40"/>
        <v>NA</v>
      </c>
      <c r="S56" s="91" t="str">
        <f t="shared" si="40"/>
        <v>NA</v>
      </c>
      <c r="T56" s="91" t="str">
        <f t="shared" si="40"/>
        <v>NA</v>
      </c>
      <c r="U56" s="91" t="str">
        <f t="shared" si="40"/>
        <v>NA</v>
      </c>
    </row>
    <row r="57" spans="1:21" ht="33.6" x14ac:dyDescent="0.4">
      <c r="A57" s="210">
        <v>115</v>
      </c>
      <c r="B57" s="526" t="s">
        <v>612</v>
      </c>
      <c r="C57" s="89">
        <f>SUMIFS(TM[[#All],[Member Months]],TM[[#All],[Reporting Year]],2024,TM[[#All],[Insurance Category Code]],3,TM[[#All],[Large Provider Entity Code]],A57)</f>
        <v>0</v>
      </c>
      <c r="D57" s="7" t="str">
        <f>IFERROR(SUMIFS(TM[[#All],[Total Non-Truncated Claims Spending]],TM[[#All],[Reporting Year]],2024,TM[[#All],[Insurance Category Code]],3,TM[[#All],[Large Provider Entity Code]],A57)/C57,"NA")</f>
        <v>NA</v>
      </c>
      <c r="E57" s="7" t="str">
        <f>IFERROR(SUMIFS(TM[[#All],[Total Non-Claims Spending]],TM[[#All],[Reporting Year]],2024,TM[[#All],[Insurance Category Code]],3,TM[[#All],[Large Provider Entity Code]],A57)/C57,"NA")</f>
        <v>NA</v>
      </c>
      <c r="F57" s="7" t="str">
        <f>IFERROR(SUMIFS(TM[[#All],[Total Non-Truncated Claims and Non-Claims Spending]],TM[[#All],[Reporting Year]],2024,TM[[#All],[Insurance Category Code]],3,TM[[#All],[Large Provider Entity Code]],A57)/C57,"NA")</f>
        <v>NA</v>
      </c>
      <c r="G57" s="7" t="str">
        <f>IFERROR(SUMIFS(TM[[#All],[Total Truncated Claims Spending]],TM[[#All],[Reporting Year]],2024,TM[[#All],[Insurance Category Code]],3,TM[[#All],[Large Provider Entity Code]],A57)/C57,"NA")</f>
        <v>NA</v>
      </c>
      <c r="H57" s="90" t="str">
        <f>IFERROR(SUMIFS(TM[[#All],[Total Truncated Expenses]],TM[[#All],[Reporting Year]],2024,TM[[#All],[Insurance Category Code]],3,TM[[#All],[Large Provider Entity Code]],A57)/C57,"NA")</f>
        <v>NA</v>
      </c>
      <c r="I57" s="89">
        <f>SUMIFS(TM[[#All],[Member Months]],TM[[#All],[Reporting Year]],2025,TM[[#All],[Insurance Category Code]],3,TM[[#All],[Large Provider Entity Code]],A57)</f>
        <v>0</v>
      </c>
      <c r="J57" s="7" t="str">
        <f>IFERROR(SUMIFS(TM[[#All],[Total Non-Truncated Claims Spending]],TM[[#All],[Reporting Year]],2025,TM[[#All],[Insurance Category Code]],3,TM[[#All],[Large Provider Entity Code]],A57)/I57,"NA")</f>
        <v>NA</v>
      </c>
      <c r="K57" s="7" t="str">
        <f>IFERROR(SUMIFS(TM[[#All],[Total Non-Claims Spending]],TM[[#All],[Reporting Year]],2025,TM[[#All],[Insurance Category Code]],3,TM[[#All],[Large Provider Entity Code]],A57)/I57,"NA")</f>
        <v>NA</v>
      </c>
      <c r="L57" s="7" t="str">
        <f>IFERROR(SUMIFS(TM[[#All],[Total Non-Truncated Claims and Non-Claims Spending]],TM[[#All],[Reporting Year]],2025,TM[[#All],[Insurance Category Code]],3,TM[[#All],[Large Provider Entity Code]],A57)/I57,"NA")</f>
        <v>NA</v>
      </c>
      <c r="M57" s="7" t="str">
        <f>IFERROR(SUMIFS(TM[[#All],[Total Truncated Claims Spending]],TM[[#All],[Reporting Year]],2025,TM[[#All],[Insurance Category Code]],3,TM[[#All],[Large Provider Entity Code]],A57)/I57,"NA")</f>
        <v>NA</v>
      </c>
      <c r="N57" s="90" t="str">
        <f>IFERROR(SUMIFS(TM[[#All],[Total Truncated Expenses]],TM[[#All],[Reporting Year]],2025,TM[[#All],[Insurance Category Code]],3,TM[[#All],[Large Provider Entity Code]],A57)/I57,"NA")</f>
        <v>NA</v>
      </c>
      <c r="O57" s="169" t="str">
        <f t="shared" si="41"/>
        <v>No</v>
      </c>
      <c r="P57" s="231" t="str">
        <f t="shared" si="40"/>
        <v>NA</v>
      </c>
      <c r="Q57" s="91" t="str">
        <f t="shared" si="40"/>
        <v>NA</v>
      </c>
      <c r="R57" s="91" t="str">
        <f t="shared" si="40"/>
        <v>NA</v>
      </c>
      <c r="S57" s="91" t="str">
        <f t="shared" si="40"/>
        <v>NA</v>
      </c>
      <c r="T57" s="91" t="str">
        <f t="shared" si="40"/>
        <v>NA</v>
      </c>
      <c r="U57" s="91" t="str">
        <f t="shared" si="40"/>
        <v>NA</v>
      </c>
    </row>
    <row r="58" spans="1:21" x14ac:dyDescent="0.4">
      <c r="A58" s="210">
        <v>116</v>
      </c>
      <c r="B58" s="526" t="s">
        <v>564</v>
      </c>
      <c r="C58" s="89">
        <f>SUMIFS(TM[[#All],[Member Months]],TM[[#All],[Reporting Year]],2024,TM[[#All],[Insurance Category Code]],3,TM[[#All],[Large Provider Entity Code]],A58)</f>
        <v>0</v>
      </c>
      <c r="D58" s="7" t="str">
        <f>IFERROR(SUMIFS(TM[[#All],[Total Non-Truncated Claims Spending]],TM[[#All],[Reporting Year]],2024,TM[[#All],[Insurance Category Code]],3,TM[[#All],[Large Provider Entity Code]],A58)/C58,"NA")</f>
        <v>NA</v>
      </c>
      <c r="E58" s="7" t="str">
        <f>IFERROR(SUMIFS(TM[[#All],[Total Non-Claims Spending]],TM[[#All],[Reporting Year]],2024,TM[[#All],[Insurance Category Code]],3,TM[[#All],[Large Provider Entity Code]],A58)/C58,"NA")</f>
        <v>NA</v>
      </c>
      <c r="F58" s="7" t="str">
        <f>IFERROR(SUMIFS(TM[[#All],[Total Non-Truncated Claims and Non-Claims Spending]],TM[[#All],[Reporting Year]],2024,TM[[#All],[Insurance Category Code]],3,TM[[#All],[Large Provider Entity Code]],A58)/C58,"NA")</f>
        <v>NA</v>
      </c>
      <c r="G58" s="7" t="str">
        <f>IFERROR(SUMIFS(TM[[#All],[Total Truncated Claims Spending]],TM[[#All],[Reporting Year]],2024,TM[[#All],[Insurance Category Code]],3,TM[[#All],[Large Provider Entity Code]],A58)/C58,"NA")</f>
        <v>NA</v>
      </c>
      <c r="H58" s="90" t="str">
        <f>IFERROR(SUMIFS(TM[[#All],[Total Truncated Expenses]],TM[[#All],[Reporting Year]],2024,TM[[#All],[Insurance Category Code]],3,TM[[#All],[Large Provider Entity Code]],A58)/C58,"NA")</f>
        <v>NA</v>
      </c>
      <c r="I58" s="89">
        <f>SUMIFS(TM[[#All],[Member Months]],TM[[#All],[Reporting Year]],2025,TM[[#All],[Insurance Category Code]],3,TM[[#All],[Large Provider Entity Code]],A58)</f>
        <v>0</v>
      </c>
      <c r="J58" s="7" t="str">
        <f>IFERROR(SUMIFS(TM[[#All],[Total Non-Truncated Claims Spending]],TM[[#All],[Reporting Year]],2025,TM[[#All],[Insurance Category Code]],3,TM[[#All],[Large Provider Entity Code]],A58)/I58,"NA")</f>
        <v>NA</v>
      </c>
      <c r="K58" s="7" t="str">
        <f>IFERROR(SUMIFS(TM[[#All],[Total Non-Claims Spending]],TM[[#All],[Reporting Year]],2025,TM[[#All],[Insurance Category Code]],3,TM[[#All],[Large Provider Entity Code]],A58)/I58,"NA")</f>
        <v>NA</v>
      </c>
      <c r="L58" s="7" t="str">
        <f>IFERROR(SUMIFS(TM[[#All],[Total Non-Truncated Claims and Non-Claims Spending]],TM[[#All],[Reporting Year]],2025,TM[[#All],[Insurance Category Code]],3,TM[[#All],[Large Provider Entity Code]],A58)/I58,"NA")</f>
        <v>NA</v>
      </c>
      <c r="M58" s="7" t="str">
        <f>IFERROR(SUMIFS(TM[[#All],[Total Truncated Claims Spending]],TM[[#All],[Reporting Year]],2025,TM[[#All],[Insurance Category Code]],3,TM[[#All],[Large Provider Entity Code]],A58)/I58,"NA")</f>
        <v>NA</v>
      </c>
      <c r="N58" s="90" t="str">
        <f>IFERROR(SUMIFS(TM[[#All],[Total Truncated Expenses]],TM[[#All],[Reporting Year]],2025,TM[[#All],[Insurance Category Code]],3,TM[[#All],[Large Provider Entity Code]],A58)/I58,"NA")</f>
        <v>NA</v>
      </c>
      <c r="O58" s="169" t="str">
        <f t="shared" si="41"/>
        <v>No</v>
      </c>
      <c r="P58" s="231" t="str">
        <f t="shared" si="40"/>
        <v>NA</v>
      </c>
      <c r="Q58" s="91" t="str">
        <f t="shared" si="40"/>
        <v>NA</v>
      </c>
      <c r="R58" s="91" t="str">
        <f t="shared" si="40"/>
        <v>NA</v>
      </c>
      <c r="S58" s="91" t="str">
        <f t="shared" si="40"/>
        <v>NA</v>
      </c>
      <c r="T58" s="91" t="str">
        <f t="shared" si="40"/>
        <v>NA</v>
      </c>
      <c r="U58" s="91" t="str">
        <f t="shared" si="40"/>
        <v>NA</v>
      </c>
    </row>
    <row r="59" spans="1:21" x14ac:dyDescent="0.4">
      <c r="A59" s="210">
        <v>118</v>
      </c>
      <c r="B59" s="526" t="s">
        <v>70</v>
      </c>
      <c r="C59" s="89">
        <f>SUMIFS(TM[[#All],[Member Months]],TM[[#All],[Reporting Year]],2024,TM[[#All],[Insurance Category Code]],3,TM[[#All],[Large Provider Entity Code]],A59)</f>
        <v>0</v>
      </c>
      <c r="D59" s="7" t="str">
        <f>IFERROR(SUMIFS(TM[[#All],[Total Non-Truncated Claims Spending]],TM[[#All],[Reporting Year]],2024,TM[[#All],[Insurance Category Code]],3,TM[[#All],[Large Provider Entity Code]],A59)/C59,"NA")</f>
        <v>NA</v>
      </c>
      <c r="E59" s="7" t="str">
        <f>IFERROR(SUMIFS(TM[[#All],[Total Non-Claims Spending]],TM[[#All],[Reporting Year]],2024,TM[[#All],[Insurance Category Code]],3,TM[[#All],[Large Provider Entity Code]],A59)/C59,"NA")</f>
        <v>NA</v>
      </c>
      <c r="F59" s="7" t="str">
        <f>IFERROR(SUMIFS(TM[[#All],[Total Non-Truncated Claims and Non-Claims Spending]],TM[[#All],[Reporting Year]],2024,TM[[#All],[Insurance Category Code]],3,TM[[#All],[Large Provider Entity Code]],A59)/C59,"NA")</f>
        <v>NA</v>
      </c>
      <c r="G59" s="7" t="str">
        <f>IFERROR(SUMIFS(TM[[#All],[Total Truncated Claims Spending]],TM[[#All],[Reporting Year]],2024,TM[[#All],[Insurance Category Code]],3,TM[[#All],[Large Provider Entity Code]],A59)/C59,"NA")</f>
        <v>NA</v>
      </c>
      <c r="H59" s="90" t="str">
        <f>IFERROR(SUMIFS(TM[[#All],[Total Truncated Expenses]],TM[[#All],[Reporting Year]],2024,TM[[#All],[Insurance Category Code]],3,TM[[#All],[Large Provider Entity Code]],A59)/C59,"NA")</f>
        <v>NA</v>
      </c>
      <c r="I59" s="89">
        <f>SUMIFS(TM[[#All],[Member Months]],TM[[#All],[Reporting Year]],2025,TM[[#All],[Insurance Category Code]],3,TM[[#All],[Large Provider Entity Code]],A59)</f>
        <v>0</v>
      </c>
      <c r="J59" s="7" t="str">
        <f>IFERROR(SUMIFS(TM[[#All],[Total Non-Truncated Claims Spending]],TM[[#All],[Reporting Year]],2025,TM[[#All],[Insurance Category Code]],3,TM[[#All],[Large Provider Entity Code]],A59)/I59,"NA")</f>
        <v>NA</v>
      </c>
      <c r="K59" s="7" t="str">
        <f>IFERROR(SUMIFS(TM[[#All],[Total Non-Claims Spending]],TM[[#All],[Reporting Year]],2025,TM[[#All],[Insurance Category Code]],3,TM[[#All],[Large Provider Entity Code]],A59)/I59,"NA")</f>
        <v>NA</v>
      </c>
      <c r="L59" s="7" t="str">
        <f>IFERROR(SUMIFS(TM[[#All],[Total Non-Truncated Claims and Non-Claims Spending]],TM[[#All],[Reporting Year]],2025,TM[[#All],[Insurance Category Code]],3,TM[[#All],[Large Provider Entity Code]],A59)/I59,"NA")</f>
        <v>NA</v>
      </c>
      <c r="M59" s="7" t="str">
        <f>IFERROR(SUMIFS(TM[[#All],[Total Truncated Claims Spending]],TM[[#All],[Reporting Year]],2025,TM[[#All],[Insurance Category Code]],3,TM[[#All],[Large Provider Entity Code]],A59)/I59,"NA")</f>
        <v>NA</v>
      </c>
      <c r="N59" s="90" t="str">
        <f>IFERROR(SUMIFS(TM[[#All],[Total Truncated Expenses]],TM[[#All],[Reporting Year]],2025,TM[[#All],[Insurance Category Code]],3,TM[[#All],[Large Provider Entity Code]],A59)/I59,"NA")</f>
        <v>NA</v>
      </c>
      <c r="O59" s="169" t="str">
        <f t="shared" si="41"/>
        <v>No</v>
      </c>
      <c r="P59" s="231" t="str">
        <f t="shared" si="40"/>
        <v>NA</v>
      </c>
      <c r="Q59" s="91" t="str">
        <f t="shared" si="40"/>
        <v>NA</v>
      </c>
      <c r="R59" s="91" t="str">
        <f t="shared" si="40"/>
        <v>NA</v>
      </c>
      <c r="S59" s="91" t="str">
        <f t="shared" si="40"/>
        <v>NA</v>
      </c>
      <c r="T59" s="91" t="str">
        <f t="shared" si="40"/>
        <v>NA</v>
      </c>
      <c r="U59" s="91" t="str">
        <f t="shared" si="40"/>
        <v>NA</v>
      </c>
    </row>
    <row r="60" spans="1:21" x14ac:dyDescent="0.4">
      <c r="A60" s="210">
        <v>120</v>
      </c>
      <c r="B60" s="526" t="s">
        <v>561</v>
      </c>
      <c r="C60" s="89">
        <f>SUMIFS(TM[[#All],[Member Months]],TM[[#All],[Reporting Year]],2024,TM[[#All],[Insurance Category Code]],3,TM[[#All],[Large Provider Entity Code]],A60)</f>
        <v>0</v>
      </c>
      <c r="D60" s="7" t="str">
        <f>IFERROR(SUMIFS(TM[[#All],[Total Non-Truncated Claims Spending]],TM[[#All],[Reporting Year]],2024,TM[[#All],[Insurance Category Code]],3,TM[[#All],[Large Provider Entity Code]],A60)/C60,"NA")</f>
        <v>NA</v>
      </c>
      <c r="E60" s="7" t="str">
        <f>IFERROR(SUMIFS(TM[[#All],[Total Non-Claims Spending]],TM[[#All],[Reporting Year]],2024,TM[[#All],[Insurance Category Code]],3,TM[[#All],[Large Provider Entity Code]],A60)/C60,"NA")</f>
        <v>NA</v>
      </c>
      <c r="F60" s="7" t="str">
        <f>IFERROR(SUMIFS(TM[[#All],[Total Non-Truncated Claims and Non-Claims Spending]],TM[[#All],[Reporting Year]],2024,TM[[#All],[Insurance Category Code]],3,TM[[#All],[Large Provider Entity Code]],A60)/C60,"NA")</f>
        <v>NA</v>
      </c>
      <c r="G60" s="7" t="str">
        <f>IFERROR(SUMIFS(TM[[#All],[Total Truncated Claims Spending]],TM[[#All],[Reporting Year]],2024,TM[[#All],[Insurance Category Code]],3,TM[[#All],[Large Provider Entity Code]],A60)/C60,"NA")</f>
        <v>NA</v>
      </c>
      <c r="H60" s="90" t="str">
        <f>IFERROR(SUMIFS(TM[[#All],[Total Truncated Expenses]],TM[[#All],[Reporting Year]],2024,TM[[#All],[Insurance Category Code]],3,TM[[#All],[Large Provider Entity Code]],A60)/C60,"NA")</f>
        <v>NA</v>
      </c>
      <c r="I60" s="89">
        <f>SUMIFS(TM[[#All],[Member Months]],TM[[#All],[Reporting Year]],2025,TM[[#All],[Insurance Category Code]],3,TM[[#All],[Large Provider Entity Code]],A60)</f>
        <v>0</v>
      </c>
      <c r="J60" s="7" t="str">
        <f>IFERROR(SUMIFS(TM[[#All],[Total Non-Truncated Claims Spending]],TM[[#All],[Reporting Year]],2025,TM[[#All],[Insurance Category Code]],3,TM[[#All],[Large Provider Entity Code]],A60)/I60,"NA")</f>
        <v>NA</v>
      </c>
      <c r="K60" s="7" t="str">
        <f>IFERROR(SUMIFS(TM[[#All],[Total Non-Claims Spending]],TM[[#All],[Reporting Year]],2025,TM[[#All],[Insurance Category Code]],3,TM[[#All],[Large Provider Entity Code]],A60)/I60,"NA")</f>
        <v>NA</v>
      </c>
      <c r="L60" s="7" t="str">
        <f>IFERROR(SUMIFS(TM[[#All],[Total Non-Truncated Claims and Non-Claims Spending]],TM[[#All],[Reporting Year]],2025,TM[[#All],[Insurance Category Code]],3,TM[[#All],[Large Provider Entity Code]],A60)/I60,"NA")</f>
        <v>NA</v>
      </c>
      <c r="M60" s="7" t="str">
        <f>IFERROR(SUMIFS(TM[[#All],[Total Truncated Claims Spending]],TM[[#All],[Reporting Year]],2025,TM[[#All],[Insurance Category Code]],3,TM[[#All],[Large Provider Entity Code]],A60)/I60,"NA")</f>
        <v>NA</v>
      </c>
      <c r="N60" s="90" t="str">
        <f>IFERROR(SUMIFS(TM[[#All],[Total Truncated Expenses]],TM[[#All],[Reporting Year]],2025,TM[[#All],[Insurance Category Code]],3,TM[[#All],[Large Provider Entity Code]],A60)/I60,"NA")</f>
        <v>NA</v>
      </c>
      <c r="O60" s="169" t="str">
        <f t="shared" si="41"/>
        <v>No</v>
      </c>
      <c r="P60" s="231" t="str">
        <f t="shared" si="40"/>
        <v>NA</v>
      </c>
      <c r="Q60" s="91" t="str">
        <f t="shared" si="40"/>
        <v>NA</v>
      </c>
      <c r="R60" s="91" t="str">
        <f t="shared" si="40"/>
        <v>NA</v>
      </c>
      <c r="S60" s="91" t="str">
        <f t="shared" si="40"/>
        <v>NA</v>
      </c>
      <c r="T60" s="91" t="str">
        <f t="shared" si="40"/>
        <v>NA</v>
      </c>
      <c r="U60" s="91" t="str">
        <f t="shared" si="40"/>
        <v>NA</v>
      </c>
    </row>
    <row r="61" spans="1:21" ht="33.6" x14ac:dyDescent="0.4">
      <c r="A61" s="210">
        <v>121</v>
      </c>
      <c r="B61" s="526" t="s">
        <v>565</v>
      </c>
      <c r="C61" s="89">
        <f>SUMIFS(TM[[#All],[Member Months]],TM[[#All],[Reporting Year]],2024,TM[[#All],[Insurance Category Code]],3,TM[[#All],[Large Provider Entity Code]],A61)</f>
        <v>0</v>
      </c>
      <c r="D61" s="7" t="str">
        <f>IFERROR(SUMIFS(TM[[#All],[Total Non-Truncated Claims Spending]],TM[[#All],[Reporting Year]],2024,TM[[#All],[Insurance Category Code]],3,TM[[#All],[Large Provider Entity Code]],A61)/C61,"NA")</f>
        <v>NA</v>
      </c>
      <c r="E61" s="7" t="str">
        <f>IFERROR(SUMIFS(TM[[#All],[Total Non-Claims Spending]],TM[[#All],[Reporting Year]],2024,TM[[#All],[Insurance Category Code]],3,TM[[#All],[Large Provider Entity Code]],A61)/C61,"NA")</f>
        <v>NA</v>
      </c>
      <c r="F61" s="7" t="str">
        <f>IFERROR(SUMIFS(TM[[#All],[Total Non-Truncated Claims and Non-Claims Spending]],TM[[#All],[Reporting Year]],2024,TM[[#All],[Insurance Category Code]],3,TM[[#All],[Large Provider Entity Code]],A61)/C61,"NA")</f>
        <v>NA</v>
      </c>
      <c r="G61" s="7" t="str">
        <f>IFERROR(SUMIFS(TM[[#All],[Total Truncated Claims Spending]],TM[[#All],[Reporting Year]],2024,TM[[#All],[Insurance Category Code]],3,TM[[#All],[Large Provider Entity Code]],A61)/C61,"NA")</f>
        <v>NA</v>
      </c>
      <c r="H61" s="90" t="str">
        <f>IFERROR(SUMIFS(TM[[#All],[Total Truncated Expenses]],TM[[#All],[Reporting Year]],2024,TM[[#All],[Insurance Category Code]],3,TM[[#All],[Large Provider Entity Code]],A61)/C61,"NA")</f>
        <v>NA</v>
      </c>
      <c r="I61" s="89">
        <f>SUMIFS(TM[[#All],[Member Months]],TM[[#All],[Reporting Year]],2025,TM[[#All],[Insurance Category Code]],3,TM[[#All],[Large Provider Entity Code]],A61)</f>
        <v>0</v>
      </c>
      <c r="J61" s="7" t="str">
        <f>IFERROR(SUMIFS(TM[[#All],[Total Non-Truncated Claims Spending]],TM[[#All],[Reporting Year]],2025,TM[[#All],[Insurance Category Code]],3,TM[[#All],[Large Provider Entity Code]],A61)/I61,"NA")</f>
        <v>NA</v>
      </c>
      <c r="K61" s="7" t="str">
        <f>IFERROR(SUMIFS(TM[[#All],[Total Non-Claims Spending]],TM[[#All],[Reporting Year]],2025,TM[[#All],[Insurance Category Code]],3,TM[[#All],[Large Provider Entity Code]],A61)/I61,"NA")</f>
        <v>NA</v>
      </c>
      <c r="L61" s="7" t="str">
        <f>IFERROR(SUMIFS(TM[[#All],[Total Non-Truncated Claims and Non-Claims Spending]],TM[[#All],[Reporting Year]],2025,TM[[#All],[Insurance Category Code]],3,TM[[#All],[Large Provider Entity Code]],A61)/I61,"NA")</f>
        <v>NA</v>
      </c>
      <c r="M61" s="7" t="str">
        <f>IFERROR(SUMIFS(TM[[#All],[Total Truncated Claims Spending]],TM[[#All],[Reporting Year]],2025,TM[[#All],[Insurance Category Code]],3,TM[[#All],[Large Provider Entity Code]],A61)/I61,"NA")</f>
        <v>NA</v>
      </c>
      <c r="N61" s="90" t="str">
        <f>IFERROR(SUMIFS(TM[[#All],[Total Truncated Expenses]],TM[[#All],[Reporting Year]],2025,TM[[#All],[Insurance Category Code]],3,TM[[#All],[Large Provider Entity Code]],A61)/I61,"NA")</f>
        <v>NA</v>
      </c>
      <c r="O61" s="169" t="str">
        <f t="shared" si="41"/>
        <v>No</v>
      </c>
      <c r="P61" s="231" t="str">
        <f t="shared" si="40"/>
        <v>NA</v>
      </c>
      <c r="Q61" s="91" t="str">
        <f t="shared" si="40"/>
        <v>NA</v>
      </c>
      <c r="R61" s="91" t="str">
        <f t="shared" si="40"/>
        <v>NA</v>
      </c>
      <c r="S61" s="91" t="str">
        <f t="shared" si="40"/>
        <v>NA</v>
      </c>
      <c r="T61" s="91" t="str">
        <f t="shared" si="40"/>
        <v>NA</v>
      </c>
      <c r="U61" s="91" t="str">
        <f t="shared" si="40"/>
        <v>NA</v>
      </c>
    </row>
    <row r="62" spans="1:21" ht="33.6" x14ac:dyDescent="0.4">
      <c r="A62" s="210">
        <v>122</v>
      </c>
      <c r="B62" s="525" t="s">
        <v>647</v>
      </c>
      <c r="C62" s="89">
        <f>SUMIFS(TM[[#All],[Member Months]],TM[[#All],[Reporting Year]],2024,TM[[#All],[Insurance Category Code]],3,TM[[#All],[Large Provider Entity Code]],A62)</f>
        <v>0</v>
      </c>
      <c r="D62" s="7" t="str">
        <f>IFERROR(SUMIFS(TM[[#All],[Total Non-Truncated Claims Spending]],TM[[#All],[Reporting Year]],2024,TM[[#All],[Insurance Category Code]],3,TM[[#All],[Large Provider Entity Code]],A62)/C62,"NA")</f>
        <v>NA</v>
      </c>
      <c r="E62" s="7" t="str">
        <f>IFERROR(SUMIFS(TM[[#All],[Total Non-Claims Spending]],TM[[#All],[Reporting Year]],2024,TM[[#All],[Insurance Category Code]],3,TM[[#All],[Large Provider Entity Code]],A62)/C62,"NA")</f>
        <v>NA</v>
      </c>
      <c r="F62" s="7" t="str">
        <f>IFERROR(SUMIFS(TM[[#All],[Total Non-Truncated Claims and Non-Claims Spending]],TM[[#All],[Reporting Year]],2024,TM[[#All],[Insurance Category Code]],3,TM[[#All],[Large Provider Entity Code]],A62)/C62,"NA")</f>
        <v>NA</v>
      </c>
      <c r="G62" s="7" t="str">
        <f>IFERROR(SUMIFS(TM[[#All],[Total Truncated Claims Spending]],TM[[#All],[Reporting Year]],2024,TM[[#All],[Insurance Category Code]],3,TM[[#All],[Large Provider Entity Code]],A62)/C62,"NA")</f>
        <v>NA</v>
      </c>
      <c r="H62" s="90" t="str">
        <f>IFERROR(SUMIFS(TM[[#All],[Total Truncated Expenses]],TM[[#All],[Reporting Year]],2024,TM[[#All],[Insurance Category Code]],3,TM[[#All],[Large Provider Entity Code]],A62)/C62,"NA")</f>
        <v>NA</v>
      </c>
      <c r="I62" s="89">
        <f>SUMIFS(TM[[#All],[Member Months]],TM[[#All],[Reporting Year]],2025,TM[[#All],[Insurance Category Code]],3,TM[[#All],[Large Provider Entity Code]],A62)</f>
        <v>0</v>
      </c>
      <c r="J62" s="7" t="str">
        <f>IFERROR(SUMIFS(TM[[#All],[Total Non-Truncated Claims Spending]],TM[[#All],[Reporting Year]],2025,TM[[#All],[Insurance Category Code]],3,TM[[#All],[Large Provider Entity Code]],A62)/I62,"NA")</f>
        <v>NA</v>
      </c>
      <c r="K62" s="7" t="str">
        <f>IFERROR(SUMIFS(TM[[#All],[Total Non-Claims Spending]],TM[[#All],[Reporting Year]],2025,TM[[#All],[Insurance Category Code]],3,TM[[#All],[Large Provider Entity Code]],A62)/I62,"NA")</f>
        <v>NA</v>
      </c>
      <c r="L62" s="7" t="str">
        <f>IFERROR(SUMIFS(TM[[#All],[Total Non-Truncated Claims and Non-Claims Spending]],TM[[#All],[Reporting Year]],2025,TM[[#All],[Insurance Category Code]],3,TM[[#All],[Large Provider Entity Code]],A62)/I62,"NA")</f>
        <v>NA</v>
      </c>
      <c r="M62" s="7" t="str">
        <f>IFERROR(SUMIFS(TM[[#All],[Total Truncated Claims Spending]],TM[[#All],[Reporting Year]],2025,TM[[#All],[Insurance Category Code]],3,TM[[#All],[Large Provider Entity Code]],A62)/I62,"NA")</f>
        <v>NA</v>
      </c>
      <c r="N62" s="90" t="str">
        <f>IFERROR(SUMIFS(TM[[#All],[Total Truncated Expenses]],TM[[#All],[Reporting Year]],2025,TM[[#All],[Insurance Category Code]],3,TM[[#All],[Large Provider Entity Code]],A62)/I62,"NA")</f>
        <v>NA</v>
      </c>
      <c r="O62" s="169" t="str">
        <f t="shared" si="41"/>
        <v>No</v>
      </c>
      <c r="P62" s="231" t="str">
        <f t="shared" ref="P62:U62" si="42">IFERROR((I62/C62-1),"NA")</f>
        <v>NA</v>
      </c>
      <c r="Q62" s="91" t="str">
        <f t="shared" si="42"/>
        <v>NA</v>
      </c>
      <c r="R62" s="91" t="str">
        <f t="shared" si="42"/>
        <v>NA</v>
      </c>
      <c r="S62" s="91" t="str">
        <f t="shared" si="42"/>
        <v>NA</v>
      </c>
      <c r="T62" s="91" t="str">
        <f t="shared" si="42"/>
        <v>NA</v>
      </c>
      <c r="U62" s="91" t="str">
        <f t="shared" si="42"/>
        <v>NA</v>
      </c>
    </row>
    <row r="63" spans="1:21" ht="33.6" x14ac:dyDescent="0.4">
      <c r="A63" s="210">
        <v>123</v>
      </c>
      <c r="B63" s="525" t="s">
        <v>614</v>
      </c>
      <c r="C63" s="89">
        <f>SUMIFS(TM[[#All],[Member Months]],TM[[#All],[Reporting Year]],2024,TM[[#All],[Insurance Category Code]],3,TM[[#All],[Large Provider Entity Code]],A63)</f>
        <v>0</v>
      </c>
      <c r="D63" s="7" t="str">
        <f>IFERROR(SUMIFS(TM[[#All],[Total Non-Truncated Claims Spending]],TM[[#All],[Reporting Year]],2024,TM[[#All],[Insurance Category Code]],3,TM[[#All],[Large Provider Entity Code]],A63)/C63,"NA")</f>
        <v>NA</v>
      </c>
      <c r="E63" s="7" t="str">
        <f>IFERROR(SUMIFS(TM[[#All],[Total Non-Claims Spending]],TM[[#All],[Reporting Year]],2024,TM[[#All],[Insurance Category Code]],3,TM[[#All],[Large Provider Entity Code]],A63)/C63,"NA")</f>
        <v>NA</v>
      </c>
      <c r="F63" s="7" t="str">
        <f>IFERROR(SUMIFS(TM[[#All],[Total Non-Truncated Claims and Non-Claims Spending]],TM[[#All],[Reporting Year]],2024,TM[[#All],[Insurance Category Code]],3,TM[[#All],[Large Provider Entity Code]],A63)/C63,"NA")</f>
        <v>NA</v>
      </c>
      <c r="G63" s="7" t="str">
        <f>IFERROR(SUMIFS(TM[[#All],[Total Truncated Claims Spending]],TM[[#All],[Reporting Year]],2024,TM[[#All],[Insurance Category Code]],3,TM[[#All],[Large Provider Entity Code]],A63)/C63,"NA")</f>
        <v>NA</v>
      </c>
      <c r="H63" s="90" t="str">
        <f>IFERROR(SUMIFS(TM[[#All],[Total Truncated Expenses]],TM[[#All],[Reporting Year]],2024,TM[[#All],[Insurance Category Code]],3,TM[[#All],[Large Provider Entity Code]],A63)/C63,"NA")</f>
        <v>NA</v>
      </c>
      <c r="I63" s="89">
        <f>SUMIFS(TM[[#All],[Member Months]],TM[[#All],[Reporting Year]],2025,TM[[#All],[Insurance Category Code]],3,TM[[#All],[Large Provider Entity Code]],A63)</f>
        <v>0</v>
      </c>
      <c r="J63" s="7" t="str">
        <f>IFERROR(SUMIFS(TM[[#All],[Total Non-Truncated Claims Spending]],TM[[#All],[Reporting Year]],2025,TM[[#All],[Insurance Category Code]],3,TM[[#All],[Large Provider Entity Code]],A63)/I63,"NA")</f>
        <v>NA</v>
      </c>
      <c r="K63" s="7" t="str">
        <f>IFERROR(SUMIFS(TM[[#All],[Total Non-Claims Spending]],TM[[#All],[Reporting Year]],2025,TM[[#All],[Insurance Category Code]],3,TM[[#All],[Large Provider Entity Code]],A63)/I63,"NA")</f>
        <v>NA</v>
      </c>
      <c r="L63" s="7" t="str">
        <f>IFERROR(SUMIFS(TM[[#All],[Total Non-Truncated Claims and Non-Claims Spending]],TM[[#All],[Reporting Year]],2025,TM[[#All],[Insurance Category Code]],3,TM[[#All],[Large Provider Entity Code]],A63)/I63,"NA")</f>
        <v>NA</v>
      </c>
      <c r="M63" s="7" t="str">
        <f>IFERROR(SUMIFS(TM[[#All],[Total Truncated Claims Spending]],TM[[#All],[Reporting Year]],2025,TM[[#All],[Insurance Category Code]],3,TM[[#All],[Large Provider Entity Code]],A63)/I63,"NA")</f>
        <v>NA</v>
      </c>
      <c r="N63" s="90" t="str">
        <f>IFERROR(SUMIFS(TM[[#All],[Total Truncated Expenses]],TM[[#All],[Reporting Year]],2025,TM[[#All],[Insurance Category Code]],3,TM[[#All],[Large Provider Entity Code]],A63)/I63,"NA")</f>
        <v>NA</v>
      </c>
      <c r="O63" s="169" t="str">
        <f t="shared" si="41"/>
        <v>No</v>
      </c>
      <c r="P63" s="231" t="str">
        <f t="shared" ref="P63:P64" si="43">IFERROR((I63/C63-1),"NA")</f>
        <v>NA</v>
      </c>
      <c r="Q63" s="91" t="str">
        <f t="shared" ref="Q63:Q64" si="44">IFERROR((J63/D63-1),"NA")</f>
        <v>NA</v>
      </c>
      <c r="R63" s="91" t="str">
        <f t="shared" ref="R63:R64" si="45">IFERROR((K63/E63-1),"NA")</f>
        <v>NA</v>
      </c>
      <c r="S63" s="91" t="str">
        <f t="shared" ref="S63:S64" si="46">IFERROR((L63/F63-1),"NA")</f>
        <v>NA</v>
      </c>
      <c r="T63" s="91" t="str">
        <f t="shared" ref="T63:T64" si="47">IFERROR((M63/G63-1),"NA")</f>
        <v>NA</v>
      </c>
      <c r="U63" s="91" t="str">
        <f t="shared" ref="U63:U64" si="48">IFERROR((N63/H63-1),"NA")</f>
        <v>NA</v>
      </c>
    </row>
    <row r="64" spans="1:21" x14ac:dyDescent="0.4">
      <c r="A64" s="210">
        <v>124</v>
      </c>
      <c r="B64" s="525" t="s">
        <v>615</v>
      </c>
      <c r="C64" s="89">
        <f>SUMIFS(TM[[#All],[Member Months]],TM[[#All],[Reporting Year]],2024,TM[[#All],[Insurance Category Code]],3,TM[[#All],[Large Provider Entity Code]],A64)</f>
        <v>0</v>
      </c>
      <c r="D64" s="7" t="str">
        <f>IFERROR(SUMIFS(TM[[#All],[Total Non-Truncated Claims Spending]],TM[[#All],[Reporting Year]],2024,TM[[#All],[Insurance Category Code]],3,TM[[#All],[Large Provider Entity Code]],A64)/C64,"NA")</f>
        <v>NA</v>
      </c>
      <c r="E64" s="7" t="str">
        <f>IFERROR(SUMIFS(TM[[#All],[Total Non-Claims Spending]],TM[[#All],[Reporting Year]],2024,TM[[#All],[Insurance Category Code]],3,TM[[#All],[Large Provider Entity Code]],A64)/C64,"NA")</f>
        <v>NA</v>
      </c>
      <c r="F64" s="7" t="str">
        <f>IFERROR(SUMIFS(TM[[#All],[Total Non-Truncated Claims and Non-Claims Spending]],TM[[#All],[Reporting Year]],2024,TM[[#All],[Insurance Category Code]],3,TM[[#All],[Large Provider Entity Code]],A64)/C64,"NA")</f>
        <v>NA</v>
      </c>
      <c r="G64" s="7" t="str">
        <f>IFERROR(SUMIFS(TM[[#All],[Total Truncated Claims Spending]],TM[[#All],[Reporting Year]],2024,TM[[#All],[Insurance Category Code]],3,TM[[#All],[Large Provider Entity Code]],A64)/C64,"NA")</f>
        <v>NA</v>
      </c>
      <c r="H64" s="90" t="str">
        <f>IFERROR(SUMIFS(TM[[#All],[Total Truncated Expenses]],TM[[#All],[Reporting Year]],2024,TM[[#All],[Insurance Category Code]],3,TM[[#All],[Large Provider Entity Code]],A64)/C64,"NA")</f>
        <v>NA</v>
      </c>
      <c r="I64" s="89">
        <f>SUMIFS(TM[[#All],[Member Months]],TM[[#All],[Reporting Year]],2025,TM[[#All],[Insurance Category Code]],3,TM[[#All],[Large Provider Entity Code]],A64)</f>
        <v>0</v>
      </c>
      <c r="J64" s="7" t="str">
        <f>IFERROR(SUMIFS(TM[[#All],[Total Non-Truncated Claims Spending]],TM[[#All],[Reporting Year]],2025,TM[[#All],[Insurance Category Code]],3,TM[[#All],[Large Provider Entity Code]],A64)/I64,"NA")</f>
        <v>NA</v>
      </c>
      <c r="K64" s="7" t="str">
        <f>IFERROR(SUMIFS(TM[[#All],[Total Non-Claims Spending]],TM[[#All],[Reporting Year]],2025,TM[[#All],[Insurance Category Code]],3,TM[[#All],[Large Provider Entity Code]],A64)/I64,"NA")</f>
        <v>NA</v>
      </c>
      <c r="L64" s="7" t="str">
        <f>IFERROR(SUMIFS(TM[[#All],[Total Non-Truncated Claims and Non-Claims Spending]],TM[[#All],[Reporting Year]],2025,TM[[#All],[Insurance Category Code]],3,TM[[#All],[Large Provider Entity Code]],A64)/I64,"NA")</f>
        <v>NA</v>
      </c>
      <c r="M64" s="7" t="str">
        <f>IFERROR(SUMIFS(TM[[#All],[Total Truncated Claims Spending]],TM[[#All],[Reporting Year]],2025,TM[[#All],[Insurance Category Code]],3,TM[[#All],[Large Provider Entity Code]],A64)/I64,"NA")</f>
        <v>NA</v>
      </c>
      <c r="N64" s="90" t="str">
        <f>IFERROR(SUMIFS(TM[[#All],[Total Truncated Expenses]],TM[[#All],[Reporting Year]],2025,TM[[#All],[Insurance Category Code]],3,TM[[#All],[Large Provider Entity Code]],A64)/I64,"NA")</f>
        <v>NA</v>
      </c>
      <c r="O64" s="169" t="str">
        <f t="shared" si="41"/>
        <v>No</v>
      </c>
      <c r="P64" s="231" t="str">
        <f t="shared" si="43"/>
        <v>NA</v>
      </c>
      <c r="Q64" s="91" t="str">
        <f t="shared" si="44"/>
        <v>NA</v>
      </c>
      <c r="R64" s="91" t="str">
        <f t="shared" si="45"/>
        <v>NA</v>
      </c>
      <c r="S64" s="91" t="str">
        <f t="shared" si="46"/>
        <v>NA</v>
      </c>
      <c r="T64" s="91" t="str">
        <f t="shared" si="47"/>
        <v>NA</v>
      </c>
      <c r="U64" s="91" t="str">
        <f t="shared" si="48"/>
        <v>NA</v>
      </c>
    </row>
    <row r="65" spans="1:21" x14ac:dyDescent="0.4">
      <c r="A65" s="462">
        <v>125</v>
      </c>
      <c r="B65" s="525" t="s">
        <v>638</v>
      </c>
      <c r="C65" s="89">
        <f>SUMIFS(TM[[#All],[Member Months]],TM[[#All],[Reporting Year]],2024,TM[[#All],[Insurance Category Code]],3,TM[[#All],[Large Provider Entity Code]],A65)</f>
        <v>0</v>
      </c>
      <c r="D65" s="7" t="str">
        <f>IFERROR(SUMIFS(TM[[#All],[Total Non-Truncated Claims Spending]],TM[[#All],[Reporting Year]],2024,TM[[#All],[Insurance Category Code]],3,TM[[#All],[Large Provider Entity Code]],A65)/C65,"NA")</f>
        <v>NA</v>
      </c>
      <c r="E65" s="7" t="str">
        <f>IFERROR(SUMIFS(TM[[#All],[Total Non-Claims Spending]],TM[[#All],[Reporting Year]],2024,TM[[#All],[Insurance Category Code]],3,TM[[#All],[Large Provider Entity Code]],A65)/C65,"NA")</f>
        <v>NA</v>
      </c>
      <c r="F65" s="7" t="str">
        <f>IFERROR(SUMIFS(TM[[#All],[Total Non-Truncated Claims and Non-Claims Spending]],TM[[#All],[Reporting Year]],2024,TM[[#All],[Insurance Category Code]],3,TM[[#All],[Large Provider Entity Code]],A65)/C65,"NA")</f>
        <v>NA</v>
      </c>
      <c r="G65" s="7" t="str">
        <f>IFERROR(SUMIFS(TM[[#All],[Total Truncated Claims Spending]],TM[[#All],[Reporting Year]],2024,TM[[#All],[Insurance Category Code]],3,TM[[#All],[Large Provider Entity Code]],A65)/C65,"NA")</f>
        <v>NA</v>
      </c>
      <c r="H65" s="90" t="str">
        <f>IFERROR(SUMIFS(TM[[#All],[Total Truncated Expenses]],TM[[#All],[Reporting Year]],2024,TM[[#All],[Insurance Category Code]],3,TM[[#All],[Large Provider Entity Code]],A65)/C65,"NA")</f>
        <v>NA</v>
      </c>
      <c r="I65" s="89">
        <f>SUMIFS(TM[[#All],[Member Months]],TM[[#All],[Reporting Year]],2025,TM[[#All],[Insurance Category Code]],3,TM[[#All],[Large Provider Entity Code]],A65)</f>
        <v>0</v>
      </c>
      <c r="J65" s="7" t="str">
        <f>IFERROR(SUMIFS(TM[[#All],[Total Non-Truncated Claims Spending]],TM[[#All],[Reporting Year]],2025,TM[[#All],[Insurance Category Code]],3,TM[[#All],[Large Provider Entity Code]],A65)/I65,"NA")</f>
        <v>NA</v>
      </c>
      <c r="K65" s="7" t="str">
        <f>IFERROR(SUMIFS(TM[[#All],[Total Non-Claims Spending]],TM[[#All],[Reporting Year]],2025,TM[[#All],[Insurance Category Code]],3,TM[[#All],[Large Provider Entity Code]],A65)/I65,"NA")</f>
        <v>NA</v>
      </c>
      <c r="L65" s="7" t="str">
        <f>IFERROR(SUMIFS(TM[[#All],[Total Non-Truncated Claims and Non-Claims Spending]],TM[[#All],[Reporting Year]],2025,TM[[#All],[Insurance Category Code]],3,TM[[#All],[Large Provider Entity Code]],A65)/I65,"NA")</f>
        <v>NA</v>
      </c>
      <c r="M65" s="7" t="str">
        <f>IFERROR(SUMIFS(TM[[#All],[Total Truncated Claims Spending]],TM[[#All],[Reporting Year]],2025,TM[[#All],[Insurance Category Code]],3,TM[[#All],[Large Provider Entity Code]],A65)/I65,"NA")</f>
        <v>NA</v>
      </c>
      <c r="N65" s="90" t="str">
        <f>IFERROR(SUMIFS(TM[[#All],[Total Truncated Expenses]],TM[[#All],[Reporting Year]],2025,TM[[#All],[Insurance Category Code]],3,TM[[#All],[Large Provider Entity Code]],A65)/I65,"NA")</f>
        <v>NA</v>
      </c>
      <c r="O65" s="169" t="str">
        <f t="shared" ref="O65:O68" si="49">IFERROR(IF(AND(C65&gt;12000,I65&gt;12000),"Yes","No"),"NA")</f>
        <v>No</v>
      </c>
      <c r="P65" s="231" t="str">
        <f t="shared" ref="P65:P68" si="50">IFERROR((I65/C65-1),"NA")</f>
        <v>NA</v>
      </c>
      <c r="Q65" s="91" t="str">
        <f t="shared" ref="Q65:Q68" si="51">IFERROR((J65/D65-1),"NA")</f>
        <v>NA</v>
      </c>
      <c r="R65" s="91" t="str">
        <f t="shared" ref="R65:R68" si="52">IFERROR((K65/E65-1),"NA")</f>
        <v>NA</v>
      </c>
      <c r="S65" s="91" t="str">
        <f t="shared" ref="S65:S68" si="53">IFERROR((L65/F65-1),"NA")</f>
        <v>NA</v>
      </c>
      <c r="T65" s="91" t="str">
        <f t="shared" ref="T65:T68" si="54">IFERROR((M65/G65-1),"NA")</f>
        <v>NA</v>
      </c>
      <c r="U65" s="91" t="str">
        <f t="shared" ref="U65:U68" si="55">IFERROR((N65/H65-1),"NA")</f>
        <v>NA</v>
      </c>
    </row>
    <row r="66" spans="1:21" x14ac:dyDescent="0.4">
      <c r="A66" s="462">
        <v>126</v>
      </c>
      <c r="B66" s="525" t="s">
        <v>639</v>
      </c>
      <c r="C66" s="89">
        <f>SUMIFS(TM[[#All],[Member Months]],TM[[#All],[Reporting Year]],2024,TM[[#All],[Insurance Category Code]],3,TM[[#All],[Large Provider Entity Code]],A66)</f>
        <v>0</v>
      </c>
      <c r="D66" s="7" t="str">
        <f>IFERROR(SUMIFS(TM[[#All],[Total Non-Truncated Claims Spending]],TM[[#All],[Reporting Year]],2024,TM[[#All],[Insurance Category Code]],3,TM[[#All],[Large Provider Entity Code]],A66)/C66,"NA")</f>
        <v>NA</v>
      </c>
      <c r="E66" s="7" t="str">
        <f>IFERROR(SUMIFS(TM[[#All],[Total Non-Claims Spending]],TM[[#All],[Reporting Year]],2024,TM[[#All],[Insurance Category Code]],3,TM[[#All],[Large Provider Entity Code]],A66)/C66,"NA")</f>
        <v>NA</v>
      </c>
      <c r="F66" s="7" t="str">
        <f>IFERROR(SUMIFS(TM[[#All],[Total Non-Truncated Claims and Non-Claims Spending]],TM[[#All],[Reporting Year]],2024,TM[[#All],[Insurance Category Code]],3,TM[[#All],[Large Provider Entity Code]],A66)/C66,"NA")</f>
        <v>NA</v>
      </c>
      <c r="G66" s="7" t="str">
        <f>IFERROR(SUMIFS(TM[[#All],[Total Truncated Claims Spending]],TM[[#All],[Reporting Year]],2024,TM[[#All],[Insurance Category Code]],3,TM[[#All],[Large Provider Entity Code]],A66)/C66,"NA")</f>
        <v>NA</v>
      </c>
      <c r="H66" s="90" t="str">
        <f>IFERROR(SUMIFS(TM[[#All],[Total Truncated Expenses]],TM[[#All],[Reporting Year]],2024,TM[[#All],[Insurance Category Code]],3,TM[[#All],[Large Provider Entity Code]],A66)/C66,"NA")</f>
        <v>NA</v>
      </c>
      <c r="I66" s="89">
        <f>SUMIFS(TM[[#All],[Member Months]],TM[[#All],[Reporting Year]],2025,TM[[#All],[Insurance Category Code]],3,TM[[#All],[Large Provider Entity Code]],A66)</f>
        <v>0</v>
      </c>
      <c r="J66" s="7" t="str">
        <f>IFERROR(SUMIFS(TM[[#All],[Total Non-Truncated Claims Spending]],TM[[#All],[Reporting Year]],2025,TM[[#All],[Insurance Category Code]],3,TM[[#All],[Large Provider Entity Code]],A66)/I66,"NA")</f>
        <v>NA</v>
      </c>
      <c r="K66" s="7" t="str">
        <f>IFERROR(SUMIFS(TM[[#All],[Total Non-Claims Spending]],TM[[#All],[Reporting Year]],2025,TM[[#All],[Insurance Category Code]],3,TM[[#All],[Large Provider Entity Code]],A66)/I66,"NA")</f>
        <v>NA</v>
      </c>
      <c r="L66" s="7" t="str">
        <f>IFERROR(SUMIFS(TM[[#All],[Total Non-Truncated Claims and Non-Claims Spending]],TM[[#All],[Reporting Year]],2025,TM[[#All],[Insurance Category Code]],3,TM[[#All],[Large Provider Entity Code]],A66)/I66,"NA")</f>
        <v>NA</v>
      </c>
      <c r="M66" s="7" t="str">
        <f>IFERROR(SUMIFS(TM[[#All],[Total Truncated Claims Spending]],TM[[#All],[Reporting Year]],2025,TM[[#All],[Insurance Category Code]],3,TM[[#All],[Large Provider Entity Code]],A66)/I66,"NA")</f>
        <v>NA</v>
      </c>
      <c r="N66" s="90" t="str">
        <f>IFERROR(SUMIFS(TM[[#All],[Total Truncated Expenses]],TM[[#All],[Reporting Year]],2025,TM[[#All],[Insurance Category Code]],3,TM[[#All],[Large Provider Entity Code]],A66)/I66,"NA")</f>
        <v>NA</v>
      </c>
      <c r="O66" s="169" t="str">
        <f t="shared" si="49"/>
        <v>No</v>
      </c>
      <c r="P66" s="231" t="str">
        <f t="shared" si="50"/>
        <v>NA</v>
      </c>
      <c r="Q66" s="91" t="str">
        <f t="shared" si="51"/>
        <v>NA</v>
      </c>
      <c r="R66" s="91" t="str">
        <f t="shared" si="52"/>
        <v>NA</v>
      </c>
      <c r="S66" s="91" t="str">
        <f t="shared" si="53"/>
        <v>NA</v>
      </c>
      <c r="T66" s="91" t="str">
        <f t="shared" si="54"/>
        <v>NA</v>
      </c>
      <c r="U66" s="91" t="str">
        <f t="shared" si="55"/>
        <v>NA</v>
      </c>
    </row>
    <row r="67" spans="1:21" ht="33.6" x14ac:dyDescent="0.4">
      <c r="A67" s="462">
        <v>127</v>
      </c>
      <c r="B67" s="525" t="s">
        <v>640</v>
      </c>
      <c r="C67" s="89">
        <f>SUMIFS(TM[[#All],[Member Months]],TM[[#All],[Reporting Year]],2024,TM[[#All],[Insurance Category Code]],3,TM[[#All],[Large Provider Entity Code]],A67)</f>
        <v>0</v>
      </c>
      <c r="D67" s="7" t="str">
        <f>IFERROR(SUMIFS(TM[[#All],[Total Non-Truncated Claims Spending]],TM[[#All],[Reporting Year]],2024,TM[[#All],[Insurance Category Code]],3,TM[[#All],[Large Provider Entity Code]],A67)/C67,"NA")</f>
        <v>NA</v>
      </c>
      <c r="E67" s="7" t="str">
        <f>IFERROR(SUMIFS(TM[[#All],[Total Non-Claims Spending]],TM[[#All],[Reporting Year]],2024,TM[[#All],[Insurance Category Code]],3,TM[[#All],[Large Provider Entity Code]],A67)/C67,"NA")</f>
        <v>NA</v>
      </c>
      <c r="F67" s="7" t="str">
        <f>IFERROR(SUMIFS(TM[[#All],[Total Non-Truncated Claims and Non-Claims Spending]],TM[[#All],[Reporting Year]],2024,TM[[#All],[Insurance Category Code]],3,TM[[#All],[Large Provider Entity Code]],A67)/C67,"NA")</f>
        <v>NA</v>
      </c>
      <c r="G67" s="7" t="str">
        <f>IFERROR(SUMIFS(TM[[#All],[Total Truncated Claims Spending]],TM[[#All],[Reporting Year]],2024,TM[[#All],[Insurance Category Code]],3,TM[[#All],[Large Provider Entity Code]],A67)/C67,"NA")</f>
        <v>NA</v>
      </c>
      <c r="H67" s="90" t="str">
        <f>IFERROR(SUMIFS(TM[[#All],[Total Truncated Expenses]],TM[[#All],[Reporting Year]],2024,TM[[#All],[Insurance Category Code]],3,TM[[#All],[Large Provider Entity Code]],A67)/C67,"NA")</f>
        <v>NA</v>
      </c>
      <c r="I67" s="89">
        <f>SUMIFS(TM[[#All],[Member Months]],TM[[#All],[Reporting Year]],2025,TM[[#All],[Insurance Category Code]],3,TM[[#All],[Large Provider Entity Code]],A67)</f>
        <v>0</v>
      </c>
      <c r="J67" s="7" t="str">
        <f>IFERROR(SUMIFS(TM[[#All],[Total Non-Truncated Claims Spending]],TM[[#All],[Reporting Year]],2025,TM[[#All],[Insurance Category Code]],3,TM[[#All],[Large Provider Entity Code]],A67)/I67,"NA")</f>
        <v>NA</v>
      </c>
      <c r="K67" s="7" t="str">
        <f>IFERROR(SUMIFS(TM[[#All],[Total Non-Claims Spending]],TM[[#All],[Reporting Year]],2025,TM[[#All],[Insurance Category Code]],3,TM[[#All],[Large Provider Entity Code]],A67)/I67,"NA")</f>
        <v>NA</v>
      </c>
      <c r="L67" s="7" t="str">
        <f>IFERROR(SUMIFS(TM[[#All],[Total Non-Truncated Claims and Non-Claims Spending]],TM[[#All],[Reporting Year]],2025,TM[[#All],[Insurance Category Code]],3,TM[[#All],[Large Provider Entity Code]],A67)/I67,"NA")</f>
        <v>NA</v>
      </c>
      <c r="M67" s="7" t="str">
        <f>IFERROR(SUMIFS(TM[[#All],[Total Truncated Claims Spending]],TM[[#All],[Reporting Year]],2025,TM[[#All],[Insurance Category Code]],3,TM[[#All],[Large Provider Entity Code]],A67)/I67,"NA")</f>
        <v>NA</v>
      </c>
      <c r="N67" s="90" t="str">
        <f>IFERROR(SUMIFS(TM[[#All],[Total Truncated Expenses]],TM[[#All],[Reporting Year]],2025,TM[[#All],[Insurance Category Code]],3,TM[[#All],[Large Provider Entity Code]],A67)/I67,"NA")</f>
        <v>NA</v>
      </c>
      <c r="O67" s="169" t="str">
        <f t="shared" si="49"/>
        <v>No</v>
      </c>
      <c r="P67" s="231" t="str">
        <f t="shared" si="50"/>
        <v>NA</v>
      </c>
      <c r="Q67" s="91" t="str">
        <f t="shared" si="51"/>
        <v>NA</v>
      </c>
      <c r="R67" s="91" t="str">
        <f t="shared" si="52"/>
        <v>NA</v>
      </c>
      <c r="S67" s="91" t="str">
        <f t="shared" si="53"/>
        <v>NA</v>
      </c>
      <c r="T67" s="91" t="str">
        <f t="shared" si="54"/>
        <v>NA</v>
      </c>
      <c r="U67" s="91" t="str">
        <f t="shared" si="55"/>
        <v>NA</v>
      </c>
    </row>
    <row r="68" spans="1:21" x14ac:dyDescent="0.4">
      <c r="A68" s="462">
        <v>128</v>
      </c>
      <c r="B68" s="525" t="s">
        <v>641</v>
      </c>
      <c r="C68" s="89">
        <f>SUMIFS(TM[[#All],[Member Months]],TM[[#All],[Reporting Year]],2024,TM[[#All],[Insurance Category Code]],3,TM[[#All],[Large Provider Entity Code]],A68)</f>
        <v>0</v>
      </c>
      <c r="D68" s="7" t="str">
        <f>IFERROR(SUMIFS(TM[[#All],[Total Non-Truncated Claims Spending]],TM[[#All],[Reporting Year]],2024,TM[[#All],[Insurance Category Code]],3,TM[[#All],[Large Provider Entity Code]],A68)/C68,"NA")</f>
        <v>NA</v>
      </c>
      <c r="E68" s="7" t="str">
        <f>IFERROR(SUMIFS(TM[[#All],[Total Non-Claims Spending]],TM[[#All],[Reporting Year]],2024,TM[[#All],[Insurance Category Code]],3,TM[[#All],[Large Provider Entity Code]],A68)/C68,"NA")</f>
        <v>NA</v>
      </c>
      <c r="F68" s="7" t="str">
        <f>IFERROR(SUMIFS(TM[[#All],[Total Non-Truncated Claims and Non-Claims Spending]],TM[[#All],[Reporting Year]],2024,TM[[#All],[Insurance Category Code]],3,TM[[#All],[Large Provider Entity Code]],A68)/C68,"NA")</f>
        <v>NA</v>
      </c>
      <c r="G68" s="7" t="str">
        <f>IFERROR(SUMIFS(TM[[#All],[Total Truncated Claims Spending]],TM[[#All],[Reporting Year]],2024,TM[[#All],[Insurance Category Code]],3,TM[[#All],[Large Provider Entity Code]],A68)/C68,"NA")</f>
        <v>NA</v>
      </c>
      <c r="H68" s="90" t="str">
        <f>IFERROR(SUMIFS(TM[[#All],[Total Truncated Expenses]],TM[[#All],[Reporting Year]],2024,TM[[#All],[Insurance Category Code]],3,TM[[#All],[Large Provider Entity Code]],A68)/C68,"NA")</f>
        <v>NA</v>
      </c>
      <c r="I68" s="89">
        <f>SUMIFS(TM[[#All],[Member Months]],TM[[#All],[Reporting Year]],2025,TM[[#All],[Insurance Category Code]],3,TM[[#All],[Large Provider Entity Code]],A68)</f>
        <v>0</v>
      </c>
      <c r="J68" s="7" t="str">
        <f>IFERROR(SUMIFS(TM[[#All],[Total Non-Truncated Claims Spending]],TM[[#All],[Reporting Year]],2025,TM[[#All],[Insurance Category Code]],3,TM[[#All],[Large Provider Entity Code]],A68)/I68,"NA")</f>
        <v>NA</v>
      </c>
      <c r="K68" s="7" t="str">
        <f>IFERROR(SUMIFS(TM[[#All],[Total Non-Claims Spending]],TM[[#All],[Reporting Year]],2025,TM[[#All],[Insurance Category Code]],3,TM[[#All],[Large Provider Entity Code]],A68)/I68,"NA")</f>
        <v>NA</v>
      </c>
      <c r="L68" s="7" t="str">
        <f>IFERROR(SUMIFS(TM[[#All],[Total Non-Truncated Claims and Non-Claims Spending]],TM[[#All],[Reporting Year]],2025,TM[[#All],[Insurance Category Code]],3,TM[[#All],[Large Provider Entity Code]],A68)/I68,"NA")</f>
        <v>NA</v>
      </c>
      <c r="M68" s="7" t="str">
        <f>IFERROR(SUMIFS(TM[[#All],[Total Truncated Claims Spending]],TM[[#All],[Reporting Year]],2025,TM[[#All],[Insurance Category Code]],3,TM[[#All],[Large Provider Entity Code]],A68)/I68,"NA")</f>
        <v>NA</v>
      </c>
      <c r="N68" s="90" t="str">
        <f>IFERROR(SUMIFS(TM[[#All],[Total Truncated Expenses]],TM[[#All],[Reporting Year]],2025,TM[[#All],[Insurance Category Code]],3,TM[[#All],[Large Provider Entity Code]],A68)/I68,"NA")</f>
        <v>NA</v>
      </c>
      <c r="O68" s="169" t="str">
        <f t="shared" si="49"/>
        <v>No</v>
      </c>
      <c r="P68" s="231" t="str">
        <f t="shared" si="50"/>
        <v>NA</v>
      </c>
      <c r="Q68" s="91" t="str">
        <f t="shared" si="51"/>
        <v>NA</v>
      </c>
      <c r="R68" s="91" t="str">
        <f t="shared" si="52"/>
        <v>NA</v>
      </c>
      <c r="S68" s="91" t="str">
        <f t="shared" si="53"/>
        <v>NA</v>
      </c>
      <c r="T68" s="91" t="str">
        <f t="shared" si="54"/>
        <v>NA</v>
      </c>
      <c r="U68" s="91" t="str">
        <f t="shared" si="55"/>
        <v>NA</v>
      </c>
    </row>
    <row r="69" spans="1:21" x14ac:dyDescent="0.4">
      <c r="A69" s="210">
        <v>999</v>
      </c>
      <c r="B69" s="525" t="s">
        <v>71</v>
      </c>
      <c r="C69" s="89">
        <f>SUMIFS(TM[[#All],[Member Months]],TM[[#All],[Reporting Year]],2024,TM[[#All],[Insurance Category Code]],3,TM[[#All],[Large Provider Entity Code]],A69)</f>
        <v>0</v>
      </c>
      <c r="D69" s="7" t="str">
        <f>IFERROR(SUMIFS(TM[[#All],[Total Non-Truncated Claims Spending]],TM[[#All],[Reporting Year]],2024,TM[[#All],[Insurance Category Code]],3,TM[[#All],[Large Provider Entity Code]],A69)/C69,"NA")</f>
        <v>NA</v>
      </c>
      <c r="E69" s="7" t="str">
        <f>IFERROR(SUMIFS(TM[[#All],[Total Non-Claims Spending]],TM[[#All],[Reporting Year]],2024,TM[[#All],[Insurance Category Code]],3,TM[[#All],[Large Provider Entity Code]],A69)/C69,"NA")</f>
        <v>NA</v>
      </c>
      <c r="F69" s="7" t="str">
        <f>IFERROR(SUMIFS(TM[[#All],[Total Non-Truncated Claims and Non-Claims Spending]],TM[[#All],[Reporting Year]],2024,TM[[#All],[Insurance Category Code]],3,TM[[#All],[Large Provider Entity Code]],A69)/C69,"NA")</f>
        <v>NA</v>
      </c>
      <c r="G69" s="7" t="str">
        <f>IFERROR(SUMIFS(TM[[#All],[Total Truncated Claims Spending]],TM[[#All],[Reporting Year]],2024,TM[[#All],[Insurance Category Code]],3,TM[[#All],[Large Provider Entity Code]],A69)/C69,"NA")</f>
        <v>NA</v>
      </c>
      <c r="H69" s="90" t="str">
        <f>IFERROR(SUMIFS(TM[[#All],[Total Truncated Expenses]],TM[[#All],[Reporting Year]],2024,TM[[#All],[Insurance Category Code]],3,TM[[#All],[Large Provider Entity Code]],A69)/C69,"NA")</f>
        <v>NA</v>
      </c>
      <c r="I69" s="89">
        <f>SUMIFS(TM[[#All],[Member Months]],TM[[#All],[Reporting Year]],2025,TM[[#All],[Insurance Category Code]],3,TM[[#All],[Large Provider Entity Code]],A69)</f>
        <v>0</v>
      </c>
      <c r="J69" s="7" t="str">
        <f>IFERROR(SUMIFS(TM[[#All],[Total Non-Truncated Claims Spending]],TM[[#All],[Reporting Year]],2025,TM[[#All],[Insurance Category Code]],3,TM[[#All],[Large Provider Entity Code]],A69)/I69,"NA")</f>
        <v>NA</v>
      </c>
      <c r="K69" s="7" t="str">
        <f>IFERROR(SUMIFS(TM[[#All],[Total Non-Claims Spending]],TM[[#All],[Reporting Year]],2025,TM[[#All],[Insurance Category Code]],3,TM[[#All],[Large Provider Entity Code]],A69)/I69,"NA")</f>
        <v>NA</v>
      </c>
      <c r="L69" s="7" t="str">
        <f>IFERROR(SUMIFS(TM[[#All],[Total Non-Truncated Claims and Non-Claims Spending]],TM[[#All],[Reporting Year]],2025,TM[[#All],[Insurance Category Code]],3,TM[[#All],[Large Provider Entity Code]],A69)/I69,"NA")</f>
        <v>NA</v>
      </c>
      <c r="M69" s="7" t="str">
        <f>IFERROR(SUMIFS(TM[[#All],[Total Truncated Claims Spending]],TM[[#All],[Reporting Year]],2025,TM[[#All],[Insurance Category Code]],3,TM[[#All],[Large Provider Entity Code]],A69)/I69,"NA")</f>
        <v>NA</v>
      </c>
      <c r="N69" s="90" t="str">
        <f>IFERROR(SUMIFS(TM[[#All],[Total Truncated Expenses]],TM[[#All],[Reporting Year]],2025,TM[[#All],[Insurance Category Code]],3,TM[[#All],[Large Provider Entity Code]],A69)/I69,"NA")</f>
        <v>NA</v>
      </c>
      <c r="O69" s="169" t="str">
        <f>IFERROR(IF(AND(C69&gt;12000,I69&gt;12000),"Yes","No"),"NA")</f>
        <v>No</v>
      </c>
      <c r="P69" s="231" t="str">
        <f t="shared" si="40"/>
        <v>NA</v>
      </c>
      <c r="Q69" s="91" t="str">
        <f t="shared" si="40"/>
        <v>NA</v>
      </c>
      <c r="R69" s="91" t="str">
        <f t="shared" si="40"/>
        <v>NA</v>
      </c>
      <c r="S69" s="91" t="str">
        <f t="shared" si="40"/>
        <v>NA</v>
      </c>
      <c r="T69" s="91" t="str">
        <f t="shared" si="40"/>
        <v>NA</v>
      </c>
      <c r="U69" s="91" t="str">
        <f t="shared" si="40"/>
        <v>NA</v>
      </c>
    </row>
    <row r="70" spans="1:21" ht="30" customHeight="1" x14ac:dyDescent="0.4">
      <c r="A70" s="572" t="s">
        <v>523</v>
      </c>
      <c r="B70" s="573"/>
      <c r="C70" s="158">
        <f>SUM(C46:C69)</f>
        <v>0</v>
      </c>
      <c r="D70" s="124" t="str">
        <f>IFERROR((SUMPRODUCT(D46:D69,C46:C69)/C70),"NA")</f>
        <v>NA</v>
      </c>
      <c r="E70" s="124" t="str">
        <f>IFERROR((SUMPRODUCT(E46:E69,C46:C69)/C70),"NA")</f>
        <v>NA</v>
      </c>
      <c r="F70" s="124" t="str">
        <f>IFERROR((SUMPRODUCT(F46:F69,C46:C69)/C70),"NA")</f>
        <v>NA</v>
      </c>
      <c r="G70" s="124" t="str">
        <f>IFERROR((SUMPRODUCT(G46:G69,C46:C69)/C70),"NA")</f>
        <v>NA</v>
      </c>
      <c r="H70" s="124" t="str">
        <f>IFERROR((SUMPRODUCT(H46:H69,C46:C69)/C70),"NA")</f>
        <v>NA</v>
      </c>
      <c r="I70" s="158">
        <f>SUM(I46:I69)</f>
        <v>0</v>
      </c>
      <c r="J70" s="124" t="str">
        <f>IFERROR((SUMPRODUCT(J46:J69,I46:I69)/I70),"NA")</f>
        <v>NA</v>
      </c>
      <c r="K70" s="124" t="str">
        <f>IFERROR((SUMPRODUCT(K46:K69,I46:I69)/I70),"NA")</f>
        <v>NA</v>
      </c>
      <c r="L70" s="124" t="str">
        <f>IFERROR((SUMPRODUCT(L46:L69,I46:I69)/I70),"NA")</f>
        <v>NA</v>
      </c>
      <c r="M70" s="124" t="str">
        <f>IFERROR((SUMPRODUCT(M46:M69,I46:I69)/I70),"NA")</f>
        <v>NA</v>
      </c>
      <c r="N70" s="239" t="str">
        <f>IFERROR((SUMPRODUCT(N46:N69,I46:I69)/I70),"NA")</f>
        <v>NA</v>
      </c>
      <c r="O70" s="434" t="s">
        <v>470</v>
      </c>
      <c r="P70" s="390" t="s">
        <v>470</v>
      </c>
      <c r="Q70" s="389" t="s">
        <v>470</v>
      </c>
      <c r="R70" s="389" t="s">
        <v>470</v>
      </c>
      <c r="S70" s="389" t="s">
        <v>470</v>
      </c>
      <c r="T70" s="389" t="s">
        <v>470</v>
      </c>
      <c r="U70" s="389" t="s">
        <v>470</v>
      </c>
    </row>
    <row r="71" spans="1:21" x14ac:dyDescent="0.4">
      <c r="A71" s="574" t="s">
        <v>519</v>
      </c>
      <c r="B71" s="575"/>
      <c r="C71" s="158" t="s">
        <v>470</v>
      </c>
      <c r="D71" s="123" t="str">
        <f>IFERROR(((SUMPRODUCT(D45,$C$45))-ABS(SUMIFS(RX[[#All],[Total Medical and Retail Pharmacy Rebate Amount]],RX[[#All],[Reporting Year]],2024,RX[[#All],[Insurance Category Code]],3)))/$C$70,"NA")</f>
        <v>NA</v>
      </c>
      <c r="E71" s="123" t="str">
        <f>IFERROR(((SUMPRODUCT(E45,$C$45))-ABS(SUMIFS(RX[[#All],[Total Medical and Retail Pharmacy Rebate Amount]],RX[[#All],[Reporting Year]],2024,RX[[#All],[Insurance Category Code]],3)))/$C$70,"NA")</f>
        <v>NA</v>
      </c>
      <c r="F71" s="123" t="str">
        <f>IFERROR(((SUMPRODUCT(F45,$C$45))-ABS(SUMIFS(RX[[#All],[Total Medical and Retail Pharmacy Rebate Amount]],RX[[#All],[Reporting Year]],2024,RX[[#All],[Insurance Category Code]],3)))/$C$70,"NA")</f>
        <v>NA</v>
      </c>
      <c r="G71" s="123" t="str">
        <f>IFERROR(((SUMPRODUCT(G45,$C$45))-ABS(SUMIFS(RX[[#All],[Total Medical and Retail Pharmacy Rebate Amount]],RX[[#All],[Reporting Year]],2024,RX[[#All],[Insurance Category Code]],3)))/$C$70,"NA")</f>
        <v>NA</v>
      </c>
      <c r="H71" s="123" t="str">
        <f>IFERROR(((SUMPRODUCT(H45,$C$45))-ABS(SUMIFS(RX[[#All],[Total Medical and Retail Pharmacy Rebate Amount]],RX[[#All],[Reporting Year]],2024,RX[[#All],[Insurance Category Code]],3)))/$C$70,"NA")</f>
        <v>NA</v>
      </c>
      <c r="I71" s="158" t="s">
        <v>470</v>
      </c>
      <c r="J71" s="123" t="str">
        <f>IFERROR(((SUMPRODUCT(J45,$I$45))-ABS(SUMIFS(RX[[#All],[Total Medical and Retail Pharmacy Rebate Amount]],RX[[#All],[Reporting Year]],2025,RX[[#All],[Insurance Category Code]],3)))/$I$70,"NA")</f>
        <v>NA</v>
      </c>
      <c r="K71" s="123" t="str">
        <f>IFERROR(((SUMPRODUCT(K45,$I$45))-ABS(SUMIFS(RX[[#All],[Total Medical and Retail Pharmacy Rebate Amount]],RX[[#All],[Reporting Year]],2025,RX[[#All],[Insurance Category Code]],3)))/$I$70,"NA")</f>
        <v>NA</v>
      </c>
      <c r="L71" s="123" t="str">
        <f>IFERROR(((SUMPRODUCT(L45,$I$45))-ABS(SUMIFS(RX[[#All],[Total Medical and Retail Pharmacy Rebate Amount]],RX[[#All],[Reporting Year]],2025,RX[[#All],[Insurance Category Code]],3)))/$I$70,"NA")</f>
        <v>NA</v>
      </c>
      <c r="M71" s="123" t="str">
        <f>IFERROR(((SUMPRODUCT(M45,$I$45))-ABS(SUMIFS(RX[[#All],[Total Medical and Retail Pharmacy Rebate Amount]],RX[[#All],[Reporting Year]],2025,RX[[#All],[Insurance Category Code]],3)))/$I$70,"NA")</f>
        <v>NA</v>
      </c>
      <c r="N71" s="200" t="str">
        <f>IFERROR(((SUMPRODUCT(N45,$I$45))-ABS(SUMIFS(RX[[#All],[Total Medical and Retail Pharmacy Rebate Amount]],RX[[#All],[Reporting Year]],2025,RX[[#All],[Insurance Category Code]],3)))/$I$70,"NA")</f>
        <v>NA</v>
      </c>
      <c r="O71" s="434" t="s">
        <v>470</v>
      </c>
      <c r="P71" s="390" t="s">
        <v>470</v>
      </c>
      <c r="Q71" s="389" t="s">
        <v>470</v>
      </c>
      <c r="R71" s="389" t="s">
        <v>470</v>
      </c>
      <c r="S71" s="389" t="s">
        <v>470</v>
      </c>
      <c r="T71" s="389" t="s">
        <v>470</v>
      </c>
      <c r="U71" s="389" t="s">
        <v>470</v>
      </c>
    </row>
    <row r="72" spans="1:21" x14ac:dyDescent="0.4">
      <c r="A72" s="558" t="s">
        <v>520</v>
      </c>
      <c r="B72" s="559"/>
      <c r="C72" s="238">
        <f>ABS(C70-C45)</f>
        <v>0</v>
      </c>
      <c r="D72" s="241" t="e">
        <f>ABS(D45-D70)</f>
        <v>#VALUE!</v>
      </c>
      <c r="E72" s="241" t="e">
        <f>ABS(E45-E70)</f>
        <v>#VALUE!</v>
      </c>
      <c r="F72" s="241" t="e">
        <f>ABS(F45-F70)</f>
        <v>#VALUE!</v>
      </c>
      <c r="G72" s="174" t="s">
        <v>470</v>
      </c>
      <c r="H72" s="225" t="s">
        <v>470</v>
      </c>
      <c r="I72" s="222">
        <f>ABS(I70-I45)</f>
        <v>0</v>
      </c>
      <c r="J72" s="219" t="e">
        <f>ABS(J70-J45)</f>
        <v>#VALUE!</v>
      </c>
      <c r="K72" s="219" t="e">
        <f>ABS(K70-K45)</f>
        <v>#VALUE!</v>
      </c>
      <c r="L72" s="219" t="e">
        <f>ABS(L70-L45)</f>
        <v>#VALUE!</v>
      </c>
      <c r="M72" s="232" t="s">
        <v>470</v>
      </c>
      <c r="N72" s="199" t="s">
        <v>470</v>
      </c>
      <c r="O72" s="435" t="s">
        <v>470</v>
      </c>
      <c r="P72" s="436" t="s">
        <v>470</v>
      </c>
      <c r="Q72" s="438" t="s">
        <v>470</v>
      </c>
      <c r="R72" s="438" t="s">
        <v>470</v>
      </c>
      <c r="S72" s="438" t="s">
        <v>470</v>
      </c>
      <c r="T72" s="438" t="s">
        <v>470</v>
      </c>
      <c r="U72" s="438" t="s">
        <v>470</v>
      </c>
    </row>
    <row r="73" spans="1:21" x14ac:dyDescent="0.4">
      <c r="A73" s="560" t="s">
        <v>521</v>
      </c>
      <c r="B73" s="561"/>
      <c r="C73" s="243" t="str">
        <f>IF(((ABS(C45-C70))&lt;10),"Yes","No")</f>
        <v>Yes</v>
      </c>
      <c r="D73" s="174" t="e">
        <f>IF(((ABS(D45-D70))&lt;10),"Yes","No")</f>
        <v>#VALUE!</v>
      </c>
      <c r="E73" s="174" t="e">
        <f>IF(((ABS(E45-E70))&lt;10),"Yes","No")</f>
        <v>#VALUE!</v>
      </c>
      <c r="F73" s="174" t="e">
        <f>IF(((ABS(F45-F70))&lt;10),"Yes","No")</f>
        <v>#VALUE!</v>
      </c>
      <c r="G73" s="174" t="s">
        <v>470</v>
      </c>
      <c r="H73" s="225" t="s">
        <v>470</v>
      </c>
      <c r="I73" s="243" t="str">
        <f>IF(((ABS(I45-I70))&lt;10),"Yes","No")</f>
        <v>Yes</v>
      </c>
      <c r="J73" s="174" t="e">
        <f>IF(((ABS(J45-J70))&lt;10),"Yes","No")</f>
        <v>#VALUE!</v>
      </c>
      <c r="K73" s="174" t="e">
        <f>IF(((ABS(K45-K70))&lt;10),"Yes","No")</f>
        <v>#VALUE!</v>
      </c>
      <c r="L73" s="174" t="e">
        <f>IF(((ABS(L45-L70))&lt;10),"Yes","No")</f>
        <v>#VALUE!</v>
      </c>
      <c r="M73" s="174" t="s">
        <v>470</v>
      </c>
      <c r="N73" s="225" t="s">
        <v>470</v>
      </c>
      <c r="O73" s="435" t="s">
        <v>470</v>
      </c>
      <c r="P73" s="436" t="s">
        <v>470</v>
      </c>
      <c r="Q73" s="438" t="s">
        <v>470</v>
      </c>
      <c r="R73" s="438" t="s">
        <v>470</v>
      </c>
      <c r="S73" s="438" t="s">
        <v>470</v>
      </c>
      <c r="T73" s="438" t="s">
        <v>470</v>
      </c>
      <c r="U73" s="438" t="s">
        <v>470</v>
      </c>
    </row>
    <row r="74" spans="1:21" x14ac:dyDescent="0.4">
      <c r="A74"/>
      <c r="B74"/>
      <c r="C74"/>
      <c r="D74" s="143"/>
      <c r="E74"/>
      <c r="F74"/>
      <c r="G74"/>
      <c r="H74"/>
      <c r="I74"/>
      <c r="J74"/>
      <c r="K74"/>
      <c r="L74"/>
      <c r="M74"/>
      <c r="N74"/>
      <c r="O74" s="2"/>
      <c r="P74"/>
      <c r="Q74"/>
      <c r="R74"/>
      <c r="S74"/>
      <c r="T74"/>
      <c r="U74"/>
    </row>
    <row r="75" spans="1:21" x14ac:dyDescent="0.4">
      <c r="A75"/>
      <c r="B75"/>
      <c r="C75"/>
      <c r="D75"/>
      <c r="E75"/>
      <c r="F75"/>
      <c r="G75"/>
      <c r="H75"/>
      <c r="I75"/>
      <c r="J75"/>
      <c r="K75"/>
      <c r="L75"/>
      <c r="M75"/>
      <c r="N75"/>
      <c r="O75" s="2"/>
      <c r="P75"/>
      <c r="Q75"/>
      <c r="R75"/>
      <c r="S75"/>
      <c r="T75"/>
      <c r="U75"/>
    </row>
    <row r="76" spans="1:21" x14ac:dyDescent="0.4">
      <c r="A76" s="3" t="s">
        <v>524</v>
      </c>
      <c r="B76"/>
      <c r="C76"/>
      <c r="D76"/>
      <c r="E76"/>
      <c r="F76"/>
      <c r="G76"/>
      <c r="H76"/>
      <c r="I76"/>
      <c r="J76"/>
      <c r="K76"/>
      <c r="L76"/>
      <c r="M76"/>
      <c r="N76"/>
      <c r="O76" s="2"/>
      <c r="P76"/>
      <c r="Q76"/>
      <c r="R76"/>
      <c r="S76"/>
      <c r="T76"/>
      <c r="U76"/>
    </row>
    <row r="77" spans="1:21" ht="15" customHeight="1" x14ac:dyDescent="0.4">
      <c r="A77" s="579" t="s">
        <v>66</v>
      </c>
      <c r="B77" s="581" t="s">
        <v>505</v>
      </c>
      <c r="C77" s="566">
        <v>2024</v>
      </c>
      <c r="D77" s="567"/>
      <c r="E77" s="567"/>
      <c r="F77" s="567"/>
      <c r="G77" s="567"/>
      <c r="H77" s="568"/>
      <c r="I77" s="569">
        <v>2025</v>
      </c>
      <c r="J77" s="570"/>
      <c r="K77" s="570"/>
      <c r="L77" s="570"/>
      <c r="M77" s="570"/>
      <c r="N77" s="571"/>
      <c r="O77" s="576" t="s">
        <v>644</v>
      </c>
      <c r="P77" s="577"/>
      <c r="Q77" s="577"/>
      <c r="R77" s="577"/>
      <c r="S77" s="577"/>
      <c r="T77" s="577"/>
      <c r="U77" s="578"/>
    </row>
    <row r="78" spans="1:21" ht="50.4" x14ac:dyDescent="0.4">
      <c r="A78" s="580"/>
      <c r="B78" s="582"/>
      <c r="C78" s="207" t="s">
        <v>328</v>
      </c>
      <c r="D78" s="117" t="s">
        <v>507</v>
      </c>
      <c r="E78" s="117" t="s">
        <v>508</v>
      </c>
      <c r="F78" s="117" t="s">
        <v>509</v>
      </c>
      <c r="G78" s="117" t="s">
        <v>510</v>
      </c>
      <c r="H78" s="208" t="s">
        <v>511</v>
      </c>
      <c r="I78" s="203" t="s">
        <v>328</v>
      </c>
      <c r="J78" s="118" t="s">
        <v>507</v>
      </c>
      <c r="K78" s="118" t="s">
        <v>508</v>
      </c>
      <c r="L78" s="118" t="s">
        <v>509</v>
      </c>
      <c r="M78" s="118" t="s">
        <v>510</v>
      </c>
      <c r="N78" s="204" t="s">
        <v>511</v>
      </c>
      <c r="O78" s="410" t="s">
        <v>635</v>
      </c>
      <c r="P78" s="230" t="s">
        <v>512</v>
      </c>
      <c r="Q78" s="71" t="s">
        <v>513</v>
      </c>
      <c r="R78" s="71" t="s">
        <v>514</v>
      </c>
      <c r="S78" s="71" t="s">
        <v>515</v>
      </c>
      <c r="T78" s="71" t="s">
        <v>516</v>
      </c>
      <c r="U78" s="209" t="s">
        <v>517</v>
      </c>
    </row>
    <row r="79" spans="1:21" x14ac:dyDescent="0.4">
      <c r="A79" s="211">
        <v>100</v>
      </c>
      <c r="B79" s="525" t="s">
        <v>67</v>
      </c>
      <c r="C79" s="89">
        <f>SUMIFS(TM[[#All],[Member Months]],TM[[#All],[Reporting Year]],2024,TM[[#All],[Insurance Category Code]],4,TM[[#All],[Large Provider Entity Code]],A79)</f>
        <v>0</v>
      </c>
      <c r="D79" s="7" t="str">
        <f>IFERROR(SUMIFS(TM[[#All],[Total Non-Truncated Claims Spending]],TM[[#All],[Reporting Year]],2024,TM[[#All],[Insurance Category Code]],4,TM[[#All],[Large Provider Entity Code]],A79)/C79,"NA")</f>
        <v>NA</v>
      </c>
      <c r="E79" s="7" t="str">
        <f>IFERROR(SUMIFS(TM[[#All],[Total Non-Claims Spending]],TM[[#All],[Reporting Year]],2024,TM[[#All],[Insurance Category Code]],4,TM[[#All],[Large Provider Entity Code]],A79)/C79,"NA")</f>
        <v>NA</v>
      </c>
      <c r="F79" s="7" t="str">
        <f>IFERROR(SUMIFS(TM[[#All],[Total Non-Truncated Claims and Non-Claims Spending]],TM[[#All],[Reporting Year]],2024,TM[[#All],[Insurance Category Code]],4,TM[[#All],[Large Provider Entity Code]],A79)/C79,"NA")</f>
        <v>NA</v>
      </c>
      <c r="G79" s="7" t="str">
        <f>IFERROR(SUMIFS(TM[[#All],[Total Truncated Claims Spending]],TM[[#All],[Reporting Year]],2024,TM[[#All],[Insurance Category Code]],4,TM[[#All],[Large Provider Entity Code]],A79)/C79,"NA")</f>
        <v>NA</v>
      </c>
      <c r="H79" s="90" t="str">
        <f>IFERROR(SUMIFS(TM[[#All],[Total Truncated Expenses]],TM[[#All],[Reporting Year]],2024,TM[[#All],[Insurance Category Code]],4,TM[[#All],[Large Provider Entity Code]],A79)/C79,"NA")</f>
        <v>NA</v>
      </c>
      <c r="I79" s="89">
        <f>SUMIFS(TM[[#All],[Member Months]],TM[[#All],[Reporting Year]],2025,TM[[#All],[Insurance Category Code]],4,TM[[#All],[Large Provider Entity Code]],A79)</f>
        <v>0</v>
      </c>
      <c r="J79" s="7" t="str">
        <f>IFERROR(SUMIFS(TM[[#All],[Total Non-Truncated Claims Spending]],TM[[#All],[Reporting Year]],2025,TM[[#All],[Insurance Category Code]],4,TM[[#All],[Large Provider Entity Code]],A79)/I79,"NA")</f>
        <v>NA</v>
      </c>
      <c r="K79" s="7" t="str">
        <f>IFERROR(SUMIFS(TM[[#All],[Total Non-Claims Spending]],TM[[#All],[Reporting Year]],2025,TM[[#All],[Insurance Category Code]],4,TM[[#All],[Large Provider Entity Code]],A79)/I79,"NA")</f>
        <v>NA</v>
      </c>
      <c r="L79" s="7" t="str">
        <f>IFERROR(SUMIFS(TM[[#All],[Total Non-Truncated Claims and Non-Claims Spending]],TM[[#All],[Reporting Year]],2025,TM[[#All],[Insurance Category Code]],4,TM[[#All],[Large Provider Entity Code]],A79)/I79,"NA")</f>
        <v>NA</v>
      </c>
      <c r="M79" s="7" t="str">
        <f>IFERROR(SUMIFS(TM[[#All],[Total Truncated Claims Spending]],TM[[#All],[Reporting Year]],2025,TM[[#All],[Insurance Category Code]],4,TM[[#All],[Large Provider Entity Code]],A79)/I79,"NA")</f>
        <v>NA</v>
      </c>
      <c r="N79" s="90" t="str">
        <f>IFERROR(SUMIFS(TM[[#All],[Total Truncated Expenses]],TM[[#All],[Reporting Year]],2025,TM[[#All],[Insurance Category Code]],4,TM[[#All],[Large Provider Entity Code]],A79)/I79,"NA")</f>
        <v>NA</v>
      </c>
      <c r="O79" s="169" t="str">
        <f>IFERROR(IF(AND(C79&gt;12000,I79&gt;12000),"Yes","No"),"NA")</f>
        <v>No</v>
      </c>
      <c r="P79" s="231" t="str">
        <f t="shared" ref="P79:U103" si="56">IFERROR((I79/C79-1),"NA")</f>
        <v>NA</v>
      </c>
      <c r="Q79" s="91" t="str">
        <f t="shared" si="56"/>
        <v>NA</v>
      </c>
      <c r="R79" s="91" t="str">
        <f t="shared" si="56"/>
        <v>NA</v>
      </c>
      <c r="S79" s="91" t="str">
        <f t="shared" si="56"/>
        <v>NA</v>
      </c>
      <c r="T79" s="91" t="str">
        <f t="shared" si="56"/>
        <v>NA</v>
      </c>
      <c r="U79" s="91" t="str">
        <f t="shared" si="56"/>
        <v>NA</v>
      </c>
    </row>
    <row r="80" spans="1:21" x14ac:dyDescent="0.4">
      <c r="A80" s="210">
        <v>101</v>
      </c>
      <c r="B80" s="525" t="s">
        <v>562</v>
      </c>
      <c r="C80" s="89">
        <f>SUMIFS(TM[[#All],[Member Months]],TM[[#All],[Reporting Year]],2024,TM[[#All],[Insurance Category Code]],4,TM[[#All],[Large Provider Entity Code]],A80)</f>
        <v>0</v>
      </c>
      <c r="D80" s="7" t="str">
        <f>IFERROR(SUMIFS(TM[[#All],[Total Non-Truncated Claims Spending]],TM[[#All],[Reporting Year]],2024,TM[[#All],[Insurance Category Code]],4,TM[[#All],[Large Provider Entity Code]],A80)/C80,"NA")</f>
        <v>NA</v>
      </c>
      <c r="E80" s="7" t="str">
        <f>IFERROR(SUMIFS(TM[[#All],[Total Non-Claims Spending]],TM[[#All],[Reporting Year]],2024,TM[[#All],[Insurance Category Code]],4,TM[[#All],[Large Provider Entity Code]],A80)/C80,"NA")</f>
        <v>NA</v>
      </c>
      <c r="F80" s="7" t="str">
        <f>IFERROR(SUMIFS(TM[[#All],[Total Non-Truncated Claims and Non-Claims Spending]],TM[[#All],[Reporting Year]],2024,TM[[#All],[Insurance Category Code]],4,TM[[#All],[Large Provider Entity Code]],A80)/C80,"NA")</f>
        <v>NA</v>
      </c>
      <c r="G80" s="7" t="str">
        <f>IFERROR(SUMIFS(TM[[#All],[Total Truncated Claims Spending]],TM[[#All],[Reporting Year]],2024,TM[[#All],[Insurance Category Code]],4,TM[[#All],[Large Provider Entity Code]],A80)/C80,"NA")</f>
        <v>NA</v>
      </c>
      <c r="H80" s="90" t="str">
        <f>IFERROR(SUMIFS(TM[[#All],[Total Truncated Expenses]],TM[[#All],[Reporting Year]],2024,TM[[#All],[Insurance Category Code]],4,TM[[#All],[Large Provider Entity Code]],A80)/C80,"NA")</f>
        <v>NA</v>
      </c>
      <c r="I80" s="89">
        <f>SUMIFS(TM[[#All],[Member Months]],TM[[#All],[Reporting Year]],2025,TM[[#All],[Insurance Category Code]],4,TM[[#All],[Large Provider Entity Code]],A80)</f>
        <v>0</v>
      </c>
      <c r="J80" s="7" t="str">
        <f>IFERROR(SUMIFS(TM[[#All],[Total Non-Truncated Claims Spending]],TM[[#All],[Reporting Year]],2025,TM[[#All],[Insurance Category Code]],4,TM[[#All],[Large Provider Entity Code]],A80)/I80,"NA")</f>
        <v>NA</v>
      </c>
      <c r="K80" s="7" t="str">
        <f>IFERROR(SUMIFS(TM[[#All],[Total Non-Claims Spending]],TM[[#All],[Reporting Year]],2025,TM[[#All],[Insurance Category Code]],4,TM[[#All],[Large Provider Entity Code]],A80)/I80,"NA")</f>
        <v>NA</v>
      </c>
      <c r="L80" s="7" t="str">
        <f>IFERROR(SUMIFS(TM[[#All],[Total Non-Truncated Claims and Non-Claims Spending]],TM[[#All],[Reporting Year]],2025,TM[[#All],[Insurance Category Code]],4,TM[[#All],[Large Provider Entity Code]],A80)/I80,"NA")</f>
        <v>NA</v>
      </c>
      <c r="M80" s="7" t="str">
        <f>IFERROR(SUMIFS(TM[[#All],[Total Truncated Claims Spending]],TM[[#All],[Reporting Year]],2025,TM[[#All],[Insurance Category Code]],4,TM[[#All],[Large Provider Entity Code]],A80)/I80,"NA")</f>
        <v>NA</v>
      </c>
      <c r="N80" s="90" t="str">
        <f>IFERROR(SUMIFS(TM[[#All],[Total Truncated Expenses]],TM[[#All],[Reporting Year]],2025,TM[[#All],[Insurance Category Code]],4,TM[[#All],[Large Provider Entity Code]],A80)/I80,"NA")</f>
        <v>NA</v>
      </c>
      <c r="O80" s="169" t="str">
        <f t="shared" ref="O80:O98" si="57">IFERROR(IF(AND(C80&gt;12000,I80&gt;12000),"Yes","No"),"NA")</f>
        <v>No</v>
      </c>
      <c r="P80" s="231" t="str">
        <f t="shared" si="56"/>
        <v>NA</v>
      </c>
      <c r="Q80" s="91" t="str">
        <f t="shared" si="56"/>
        <v>NA</v>
      </c>
      <c r="R80" s="91" t="str">
        <f t="shared" si="56"/>
        <v>NA</v>
      </c>
      <c r="S80" s="91" t="str">
        <f t="shared" si="56"/>
        <v>NA</v>
      </c>
      <c r="T80" s="91" t="str">
        <f t="shared" si="56"/>
        <v>NA</v>
      </c>
      <c r="U80" s="91" t="str">
        <f t="shared" si="56"/>
        <v>NA</v>
      </c>
    </row>
    <row r="81" spans="1:21" x14ac:dyDescent="0.4">
      <c r="A81" s="210">
        <v>102</v>
      </c>
      <c r="B81" s="525" t="s">
        <v>607</v>
      </c>
      <c r="C81" s="89">
        <f>SUMIFS(TM[[#All],[Member Months]],TM[[#All],[Reporting Year]],2024,TM[[#All],[Insurance Category Code]],4,TM[[#All],[Large Provider Entity Code]],A81)</f>
        <v>0</v>
      </c>
      <c r="D81" s="7" t="str">
        <f>IFERROR(SUMIFS(TM[[#All],[Total Non-Truncated Claims Spending]],TM[[#All],[Reporting Year]],2024,TM[[#All],[Insurance Category Code]],4,TM[[#All],[Large Provider Entity Code]],A81)/C81,"NA")</f>
        <v>NA</v>
      </c>
      <c r="E81" s="7" t="str">
        <f>IFERROR(SUMIFS(TM[[#All],[Total Non-Claims Spending]],TM[[#All],[Reporting Year]],2024,TM[[#All],[Insurance Category Code]],4,TM[[#All],[Large Provider Entity Code]],A81)/C81,"NA")</f>
        <v>NA</v>
      </c>
      <c r="F81" s="7" t="str">
        <f>IFERROR(SUMIFS(TM[[#All],[Total Non-Truncated Claims and Non-Claims Spending]],TM[[#All],[Reporting Year]],2024,TM[[#All],[Insurance Category Code]],4,TM[[#All],[Large Provider Entity Code]],A81)/C81,"NA")</f>
        <v>NA</v>
      </c>
      <c r="G81" s="7" t="str">
        <f>IFERROR(SUMIFS(TM[[#All],[Total Truncated Claims Spending]],TM[[#All],[Reporting Year]],2024,TM[[#All],[Insurance Category Code]],4,TM[[#All],[Large Provider Entity Code]],A81)/C81,"NA")</f>
        <v>NA</v>
      </c>
      <c r="H81" s="90" t="str">
        <f>IFERROR(SUMIFS(TM[[#All],[Total Truncated Expenses]],TM[[#All],[Reporting Year]],2024,TM[[#All],[Insurance Category Code]],4,TM[[#All],[Large Provider Entity Code]],A81)/C81,"NA")</f>
        <v>NA</v>
      </c>
      <c r="I81" s="89">
        <f>SUMIFS(TM[[#All],[Member Months]],TM[[#All],[Reporting Year]],2025,TM[[#All],[Insurance Category Code]],4,TM[[#All],[Large Provider Entity Code]],A81)</f>
        <v>0</v>
      </c>
      <c r="J81" s="7" t="str">
        <f>IFERROR(SUMIFS(TM[[#All],[Total Non-Truncated Claims Spending]],TM[[#All],[Reporting Year]],2025,TM[[#All],[Insurance Category Code]],4,TM[[#All],[Large Provider Entity Code]],A81)/I81,"NA")</f>
        <v>NA</v>
      </c>
      <c r="K81" s="7" t="str">
        <f>IFERROR(SUMIFS(TM[[#All],[Total Non-Claims Spending]],TM[[#All],[Reporting Year]],2025,TM[[#All],[Insurance Category Code]],4,TM[[#All],[Large Provider Entity Code]],A81)/I81,"NA")</f>
        <v>NA</v>
      </c>
      <c r="L81" s="7" t="str">
        <f>IFERROR(SUMIFS(TM[[#All],[Total Non-Truncated Claims and Non-Claims Spending]],TM[[#All],[Reporting Year]],2025,TM[[#All],[Insurance Category Code]],4,TM[[#All],[Large Provider Entity Code]],A81)/I81,"NA")</f>
        <v>NA</v>
      </c>
      <c r="M81" s="7" t="str">
        <f>IFERROR(SUMIFS(TM[[#All],[Total Truncated Claims Spending]],TM[[#All],[Reporting Year]],2025,TM[[#All],[Insurance Category Code]],4,TM[[#All],[Large Provider Entity Code]],A81)/I81,"NA")</f>
        <v>NA</v>
      </c>
      <c r="N81" s="90" t="str">
        <f>IFERROR(SUMIFS(TM[[#All],[Total Truncated Expenses]],TM[[#All],[Reporting Year]],2025,TM[[#All],[Insurance Category Code]],4,TM[[#All],[Large Provider Entity Code]],A81)/I81,"NA")</f>
        <v>NA</v>
      </c>
      <c r="O81" s="169" t="str">
        <f t="shared" si="57"/>
        <v>No</v>
      </c>
      <c r="P81" s="231" t="str">
        <f t="shared" si="56"/>
        <v>NA</v>
      </c>
      <c r="Q81" s="91" t="str">
        <f t="shared" si="56"/>
        <v>NA</v>
      </c>
      <c r="R81" s="91" t="str">
        <f t="shared" si="56"/>
        <v>NA</v>
      </c>
      <c r="S81" s="91" t="str">
        <f t="shared" si="56"/>
        <v>NA</v>
      </c>
      <c r="T81" s="91" t="str">
        <f t="shared" si="56"/>
        <v>NA</v>
      </c>
      <c r="U81" s="91" t="str">
        <f t="shared" si="56"/>
        <v>NA</v>
      </c>
    </row>
    <row r="82" spans="1:21" x14ac:dyDescent="0.4">
      <c r="A82" s="210">
        <v>104</v>
      </c>
      <c r="B82" s="525" t="s">
        <v>608</v>
      </c>
      <c r="C82" s="89">
        <f>SUMIFS(TM[[#All],[Member Months]],TM[[#All],[Reporting Year]],2024,TM[[#All],[Insurance Category Code]],4,TM[[#All],[Large Provider Entity Code]],A82)</f>
        <v>0</v>
      </c>
      <c r="D82" s="7" t="str">
        <f>IFERROR(SUMIFS(TM[[#All],[Total Non-Truncated Claims Spending]],TM[[#All],[Reporting Year]],2024,TM[[#All],[Insurance Category Code]],4,TM[[#All],[Large Provider Entity Code]],A82)/C82,"NA")</f>
        <v>NA</v>
      </c>
      <c r="E82" s="7" t="str">
        <f>IFERROR(SUMIFS(TM[[#All],[Total Non-Claims Spending]],TM[[#All],[Reporting Year]],2024,TM[[#All],[Insurance Category Code]],4,TM[[#All],[Large Provider Entity Code]],A82)/C82,"NA")</f>
        <v>NA</v>
      </c>
      <c r="F82" s="7" t="str">
        <f>IFERROR(SUMIFS(TM[[#All],[Total Non-Truncated Claims and Non-Claims Spending]],TM[[#All],[Reporting Year]],2024,TM[[#All],[Insurance Category Code]],4,TM[[#All],[Large Provider Entity Code]],A82)/C82,"NA")</f>
        <v>NA</v>
      </c>
      <c r="G82" s="7" t="str">
        <f>IFERROR(SUMIFS(TM[[#All],[Total Truncated Claims Spending]],TM[[#All],[Reporting Year]],2024,TM[[#All],[Insurance Category Code]],4,TM[[#All],[Large Provider Entity Code]],A82)/C82,"NA")</f>
        <v>NA</v>
      </c>
      <c r="H82" s="90" t="str">
        <f>IFERROR(SUMIFS(TM[[#All],[Total Truncated Expenses]],TM[[#All],[Reporting Year]],2024,TM[[#All],[Insurance Category Code]],4,TM[[#All],[Large Provider Entity Code]],A82)/C82,"NA")</f>
        <v>NA</v>
      </c>
      <c r="I82" s="89">
        <f>SUMIFS(TM[[#All],[Member Months]],TM[[#All],[Reporting Year]],2025,TM[[#All],[Insurance Category Code]],4,TM[[#All],[Large Provider Entity Code]],A82)</f>
        <v>0</v>
      </c>
      <c r="J82" s="7" t="str">
        <f>IFERROR(SUMIFS(TM[[#All],[Total Non-Truncated Claims Spending]],TM[[#All],[Reporting Year]],2025,TM[[#All],[Insurance Category Code]],4,TM[[#All],[Large Provider Entity Code]],A82)/I82,"NA")</f>
        <v>NA</v>
      </c>
      <c r="K82" s="7" t="str">
        <f>IFERROR(SUMIFS(TM[[#All],[Total Non-Claims Spending]],TM[[#All],[Reporting Year]],2025,TM[[#All],[Insurance Category Code]],4,TM[[#All],[Large Provider Entity Code]],A82)/I82,"NA")</f>
        <v>NA</v>
      </c>
      <c r="L82" s="7" t="str">
        <f>IFERROR(SUMIFS(TM[[#All],[Total Non-Truncated Claims and Non-Claims Spending]],TM[[#All],[Reporting Year]],2025,TM[[#All],[Insurance Category Code]],4,TM[[#All],[Large Provider Entity Code]],A82)/I82,"NA")</f>
        <v>NA</v>
      </c>
      <c r="M82" s="7" t="str">
        <f>IFERROR(SUMIFS(TM[[#All],[Total Truncated Claims Spending]],TM[[#All],[Reporting Year]],2025,TM[[#All],[Insurance Category Code]],4,TM[[#All],[Large Provider Entity Code]],A82)/I82,"NA")</f>
        <v>NA</v>
      </c>
      <c r="N82" s="90" t="str">
        <f>IFERROR(SUMIFS(TM[[#All],[Total Truncated Expenses]],TM[[#All],[Reporting Year]],2025,TM[[#All],[Insurance Category Code]],4,TM[[#All],[Large Provider Entity Code]],A82)/I82,"NA")</f>
        <v>NA</v>
      </c>
      <c r="O82" s="169" t="str">
        <f t="shared" si="57"/>
        <v>No</v>
      </c>
      <c r="P82" s="231" t="str">
        <f t="shared" si="56"/>
        <v>NA</v>
      </c>
      <c r="Q82" s="91" t="str">
        <f t="shared" si="56"/>
        <v>NA</v>
      </c>
      <c r="R82" s="91" t="str">
        <f t="shared" si="56"/>
        <v>NA</v>
      </c>
      <c r="S82" s="91" t="str">
        <f t="shared" si="56"/>
        <v>NA</v>
      </c>
      <c r="T82" s="91" t="str">
        <f t="shared" si="56"/>
        <v>NA</v>
      </c>
      <c r="U82" s="91" t="str">
        <f t="shared" si="56"/>
        <v>NA</v>
      </c>
    </row>
    <row r="83" spans="1:21" ht="33.6" x14ac:dyDescent="0.4">
      <c r="A83" s="210">
        <v>105</v>
      </c>
      <c r="B83" s="525" t="s">
        <v>609</v>
      </c>
      <c r="C83" s="89">
        <f>SUMIFS(TM[[#All],[Member Months]],TM[[#All],[Reporting Year]],2024,TM[[#All],[Insurance Category Code]],4,TM[[#All],[Large Provider Entity Code]],A83)</f>
        <v>0</v>
      </c>
      <c r="D83" s="7" t="str">
        <f>IFERROR(SUMIFS(TM[[#All],[Total Non-Truncated Claims Spending]],TM[[#All],[Reporting Year]],2024,TM[[#All],[Insurance Category Code]],4,TM[[#All],[Large Provider Entity Code]],A83)/C83,"NA")</f>
        <v>NA</v>
      </c>
      <c r="E83" s="7" t="str">
        <f>IFERROR(SUMIFS(TM[[#All],[Total Non-Claims Spending]],TM[[#All],[Reporting Year]],2024,TM[[#All],[Insurance Category Code]],4,TM[[#All],[Large Provider Entity Code]],A83)/C83,"NA")</f>
        <v>NA</v>
      </c>
      <c r="F83" s="7" t="str">
        <f>IFERROR(SUMIFS(TM[[#All],[Total Non-Truncated Claims and Non-Claims Spending]],TM[[#All],[Reporting Year]],2024,TM[[#All],[Insurance Category Code]],4,TM[[#All],[Large Provider Entity Code]],A83)/C83,"NA")</f>
        <v>NA</v>
      </c>
      <c r="G83" s="7" t="str">
        <f>IFERROR(SUMIFS(TM[[#All],[Total Truncated Claims Spending]],TM[[#All],[Reporting Year]],2024,TM[[#All],[Insurance Category Code]],4,TM[[#All],[Large Provider Entity Code]],A83)/C83,"NA")</f>
        <v>NA</v>
      </c>
      <c r="H83" s="90" t="str">
        <f>IFERROR(SUMIFS(TM[[#All],[Total Truncated Expenses]],TM[[#All],[Reporting Year]],2024,TM[[#All],[Insurance Category Code]],4,TM[[#All],[Large Provider Entity Code]],A83)/C83,"NA")</f>
        <v>NA</v>
      </c>
      <c r="I83" s="89">
        <f>SUMIFS(TM[[#All],[Member Months]],TM[[#All],[Reporting Year]],2025,TM[[#All],[Insurance Category Code]],4,TM[[#All],[Large Provider Entity Code]],A83)</f>
        <v>0</v>
      </c>
      <c r="J83" s="7" t="str">
        <f>IFERROR(SUMIFS(TM[[#All],[Total Non-Truncated Claims Spending]],TM[[#All],[Reporting Year]],2025,TM[[#All],[Insurance Category Code]],4,TM[[#All],[Large Provider Entity Code]],A83)/I83,"NA")</f>
        <v>NA</v>
      </c>
      <c r="K83" s="7" t="str">
        <f>IFERROR(SUMIFS(TM[[#All],[Total Non-Claims Spending]],TM[[#All],[Reporting Year]],2025,TM[[#All],[Insurance Category Code]],4,TM[[#All],[Large Provider Entity Code]],A83)/I83,"NA")</f>
        <v>NA</v>
      </c>
      <c r="L83" s="7" t="str">
        <f>IFERROR(SUMIFS(TM[[#All],[Total Non-Truncated Claims and Non-Claims Spending]],TM[[#All],[Reporting Year]],2025,TM[[#All],[Insurance Category Code]],4,TM[[#All],[Large Provider Entity Code]],A83)/I83,"NA")</f>
        <v>NA</v>
      </c>
      <c r="M83" s="7" t="str">
        <f>IFERROR(SUMIFS(TM[[#All],[Total Truncated Claims Spending]],TM[[#All],[Reporting Year]],2025,TM[[#All],[Insurance Category Code]],4,TM[[#All],[Large Provider Entity Code]],A83)/I83,"NA")</f>
        <v>NA</v>
      </c>
      <c r="N83" s="90" t="str">
        <f>IFERROR(SUMIFS(TM[[#All],[Total Truncated Expenses]],TM[[#All],[Reporting Year]],2025,TM[[#All],[Insurance Category Code]],4,TM[[#All],[Large Provider Entity Code]],A83)/I83,"NA")</f>
        <v>NA</v>
      </c>
      <c r="O83" s="169" t="str">
        <f t="shared" si="57"/>
        <v>No</v>
      </c>
      <c r="P83" s="231" t="str">
        <f t="shared" si="56"/>
        <v>NA</v>
      </c>
      <c r="Q83" s="91" t="str">
        <f t="shared" si="56"/>
        <v>NA</v>
      </c>
      <c r="R83" s="91" t="str">
        <f t="shared" si="56"/>
        <v>NA</v>
      </c>
      <c r="S83" s="91" t="str">
        <f t="shared" si="56"/>
        <v>NA</v>
      </c>
      <c r="T83" s="91" t="str">
        <f t="shared" si="56"/>
        <v>NA</v>
      </c>
      <c r="U83" s="91" t="str">
        <f t="shared" si="56"/>
        <v>NA</v>
      </c>
    </row>
    <row r="84" spans="1:21" x14ac:dyDescent="0.4">
      <c r="A84" s="210">
        <v>106</v>
      </c>
      <c r="B84" s="525" t="s">
        <v>613</v>
      </c>
      <c r="C84" s="89">
        <f>SUMIFS(TM[[#All],[Member Months]],TM[[#All],[Reporting Year]],2024,TM[[#All],[Insurance Category Code]],4,TM[[#All],[Large Provider Entity Code]],A84)</f>
        <v>0</v>
      </c>
      <c r="D84" s="7" t="str">
        <f>IFERROR(SUMIFS(TM[[#All],[Total Non-Truncated Claims Spending]],TM[[#All],[Reporting Year]],2024,TM[[#All],[Insurance Category Code]],4,TM[[#All],[Large Provider Entity Code]],A84)/C84,"NA")</f>
        <v>NA</v>
      </c>
      <c r="E84" s="7" t="str">
        <f>IFERROR(SUMIFS(TM[[#All],[Total Non-Claims Spending]],TM[[#All],[Reporting Year]],2024,TM[[#All],[Insurance Category Code]],4,TM[[#All],[Large Provider Entity Code]],A84)/C84,"NA")</f>
        <v>NA</v>
      </c>
      <c r="F84" s="7" t="str">
        <f>IFERROR(SUMIFS(TM[[#All],[Total Non-Truncated Claims and Non-Claims Spending]],TM[[#All],[Reporting Year]],2024,TM[[#All],[Insurance Category Code]],4,TM[[#All],[Large Provider Entity Code]],A84)/C84,"NA")</f>
        <v>NA</v>
      </c>
      <c r="G84" s="7" t="str">
        <f>IFERROR(SUMIFS(TM[[#All],[Total Truncated Claims Spending]],TM[[#All],[Reporting Year]],2024,TM[[#All],[Insurance Category Code]],4,TM[[#All],[Large Provider Entity Code]],A84)/C84,"NA")</f>
        <v>NA</v>
      </c>
      <c r="H84" s="90" t="str">
        <f>IFERROR(SUMIFS(TM[[#All],[Total Truncated Expenses]],TM[[#All],[Reporting Year]],2024,TM[[#All],[Insurance Category Code]],4,TM[[#All],[Large Provider Entity Code]],A84)/C84,"NA")</f>
        <v>NA</v>
      </c>
      <c r="I84" s="89">
        <f>SUMIFS(TM[[#All],[Member Months]],TM[[#All],[Reporting Year]],2025,TM[[#All],[Insurance Category Code]],4,TM[[#All],[Large Provider Entity Code]],A84)</f>
        <v>0</v>
      </c>
      <c r="J84" s="7" t="str">
        <f>IFERROR(SUMIFS(TM[[#All],[Total Non-Truncated Claims Spending]],TM[[#All],[Reporting Year]],2025,TM[[#All],[Insurance Category Code]],4,TM[[#All],[Large Provider Entity Code]],A84)/I84,"NA")</f>
        <v>NA</v>
      </c>
      <c r="K84" s="7" t="str">
        <f>IFERROR(SUMIFS(TM[[#All],[Total Non-Claims Spending]],TM[[#All],[Reporting Year]],2025,TM[[#All],[Insurance Category Code]],4,TM[[#All],[Large Provider Entity Code]],A84)/I84,"NA")</f>
        <v>NA</v>
      </c>
      <c r="L84" s="7" t="str">
        <f>IFERROR(SUMIFS(TM[[#All],[Total Non-Truncated Claims and Non-Claims Spending]],TM[[#All],[Reporting Year]],2025,TM[[#All],[Insurance Category Code]],4,TM[[#All],[Large Provider Entity Code]],A84)/I84,"NA")</f>
        <v>NA</v>
      </c>
      <c r="M84" s="7" t="str">
        <f>IFERROR(SUMIFS(TM[[#All],[Total Truncated Claims Spending]],TM[[#All],[Reporting Year]],2025,TM[[#All],[Insurance Category Code]],4,TM[[#All],[Large Provider Entity Code]],A84)/I84,"NA")</f>
        <v>NA</v>
      </c>
      <c r="N84" s="90" t="str">
        <f>IFERROR(SUMIFS(TM[[#All],[Total Truncated Expenses]],TM[[#All],[Reporting Year]],2025,TM[[#All],[Insurance Category Code]],4,TM[[#All],[Large Provider Entity Code]],A84)/I84,"NA")</f>
        <v>NA</v>
      </c>
      <c r="O84" s="169" t="str">
        <f t="shared" si="57"/>
        <v>No</v>
      </c>
      <c r="P84" s="231" t="str">
        <f t="shared" si="56"/>
        <v>NA</v>
      </c>
      <c r="Q84" s="91" t="str">
        <f t="shared" si="56"/>
        <v>NA</v>
      </c>
      <c r="R84" s="91" t="str">
        <f t="shared" si="56"/>
        <v>NA</v>
      </c>
      <c r="S84" s="91" t="str">
        <f t="shared" si="56"/>
        <v>NA</v>
      </c>
      <c r="T84" s="91" t="str">
        <f t="shared" si="56"/>
        <v>NA</v>
      </c>
      <c r="U84" s="91" t="str">
        <f t="shared" si="56"/>
        <v>NA</v>
      </c>
    </row>
    <row r="85" spans="1:21" x14ac:dyDescent="0.4">
      <c r="A85" s="210">
        <v>107</v>
      </c>
      <c r="B85" s="526" t="s">
        <v>610</v>
      </c>
      <c r="C85" s="89">
        <f>SUMIFS(TM[[#All],[Member Months]],TM[[#All],[Reporting Year]],2024,TM[[#All],[Insurance Category Code]],4,TM[[#All],[Large Provider Entity Code]],A85)</f>
        <v>0</v>
      </c>
      <c r="D85" s="7" t="str">
        <f>IFERROR(SUMIFS(TM[[#All],[Total Non-Truncated Claims Spending]],TM[[#All],[Reporting Year]],2024,TM[[#All],[Insurance Category Code]],4,TM[[#All],[Large Provider Entity Code]],A85)/C85,"NA")</f>
        <v>NA</v>
      </c>
      <c r="E85" s="7" t="str">
        <f>IFERROR(SUMIFS(TM[[#All],[Total Non-Claims Spending]],TM[[#All],[Reporting Year]],2024,TM[[#All],[Insurance Category Code]],4,TM[[#All],[Large Provider Entity Code]],A85)/C85,"NA")</f>
        <v>NA</v>
      </c>
      <c r="F85" s="7" t="str">
        <f>IFERROR(SUMIFS(TM[[#All],[Total Non-Truncated Claims and Non-Claims Spending]],TM[[#All],[Reporting Year]],2024,TM[[#All],[Insurance Category Code]],4,TM[[#All],[Large Provider Entity Code]],A85)/C85,"NA")</f>
        <v>NA</v>
      </c>
      <c r="G85" s="7" t="str">
        <f>IFERROR(SUMIFS(TM[[#All],[Total Truncated Claims Spending]],TM[[#All],[Reporting Year]],2024,TM[[#All],[Insurance Category Code]],4,TM[[#All],[Large Provider Entity Code]],A85)/C85,"NA")</f>
        <v>NA</v>
      </c>
      <c r="H85" s="90" t="str">
        <f>IFERROR(SUMIFS(TM[[#All],[Total Truncated Expenses]],TM[[#All],[Reporting Year]],2024,TM[[#All],[Insurance Category Code]],4,TM[[#All],[Large Provider Entity Code]],A85)/C85,"NA")</f>
        <v>NA</v>
      </c>
      <c r="I85" s="89">
        <f>SUMIFS(TM[[#All],[Member Months]],TM[[#All],[Reporting Year]],2025,TM[[#All],[Insurance Category Code]],4,TM[[#All],[Large Provider Entity Code]],A85)</f>
        <v>0</v>
      </c>
      <c r="J85" s="7" t="str">
        <f>IFERROR(SUMIFS(TM[[#All],[Total Non-Truncated Claims Spending]],TM[[#All],[Reporting Year]],2025,TM[[#All],[Insurance Category Code]],4,TM[[#All],[Large Provider Entity Code]],A85)/I85,"NA")</f>
        <v>NA</v>
      </c>
      <c r="K85" s="7" t="str">
        <f>IFERROR(SUMIFS(TM[[#All],[Total Non-Claims Spending]],TM[[#All],[Reporting Year]],2025,TM[[#All],[Insurance Category Code]],4,TM[[#All],[Large Provider Entity Code]],A85)/I85,"NA")</f>
        <v>NA</v>
      </c>
      <c r="L85" s="7" t="str">
        <f>IFERROR(SUMIFS(TM[[#All],[Total Non-Truncated Claims and Non-Claims Spending]],TM[[#All],[Reporting Year]],2025,TM[[#All],[Insurance Category Code]],4,TM[[#All],[Large Provider Entity Code]],A85)/I85,"NA")</f>
        <v>NA</v>
      </c>
      <c r="M85" s="7" t="str">
        <f>IFERROR(SUMIFS(TM[[#All],[Total Truncated Claims Spending]],TM[[#All],[Reporting Year]],2025,TM[[#All],[Insurance Category Code]],4,TM[[#All],[Large Provider Entity Code]],A85)/I85,"NA")</f>
        <v>NA</v>
      </c>
      <c r="N85" s="90" t="str">
        <f>IFERROR(SUMIFS(TM[[#All],[Total Truncated Expenses]],TM[[#All],[Reporting Year]],2025,TM[[#All],[Insurance Category Code]],4,TM[[#All],[Large Provider Entity Code]],A85)/I85,"NA")</f>
        <v>NA</v>
      </c>
      <c r="O85" s="169" t="str">
        <f t="shared" si="57"/>
        <v>No</v>
      </c>
      <c r="P85" s="231" t="str">
        <f t="shared" si="56"/>
        <v>NA</v>
      </c>
      <c r="Q85" s="91" t="str">
        <f t="shared" si="56"/>
        <v>NA</v>
      </c>
      <c r="R85" s="91" t="str">
        <f t="shared" si="56"/>
        <v>NA</v>
      </c>
      <c r="S85" s="91" t="str">
        <f t="shared" si="56"/>
        <v>NA</v>
      </c>
      <c r="T85" s="91" t="str">
        <f t="shared" si="56"/>
        <v>NA</v>
      </c>
      <c r="U85" s="91" t="str">
        <f t="shared" si="56"/>
        <v>NA</v>
      </c>
    </row>
    <row r="86" spans="1:21" x14ac:dyDescent="0.4">
      <c r="A86" s="210">
        <v>108</v>
      </c>
      <c r="B86" s="526" t="s">
        <v>563</v>
      </c>
      <c r="C86" s="89">
        <f>SUMIFS(TM[[#All],[Member Months]],TM[[#All],[Reporting Year]],2024,TM[[#All],[Insurance Category Code]],4,TM[[#All],[Large Provider Entity Code]],A86)</f>
        <v>0</v>
      </c>
      <c r="D86" s="7" t="str">
        <f>IFERROR(SUMIFS(TM[[#All],[Total Non-Truncated Claims Spending]],TM[[#All],[Reporting Year]],2024,TM[[#All],[Insurance Category Code]],4,TM[[#All],[Large Provider Entity Code]],A86)/C86,"NA")</f>
        <v>NA</v>
      </c>
      <c r="E86" s="7" t="str">
        <f>IFERROR(SUMIFS(TM[[#All],[Total Non-Claims Spending]],TM[[#All],[Reporting Year]],2024,TM[[#All],[Insurance Category Code]],4,TM[[#All],[Large Provider Entity Code]],A86)/C86,"NA")</f>
        <v>NA</v>
      </c>
      <c r="F86" s="7" t="str">
        <f>IFERROR(SUMIFS(TM[[#All],[Total Non-Truncated Claims and Non-Claims Spending]],TM[[#All],[Reporting Year]],2024,TM[[#All],[Insurance Category Code]],4,TM[[#All],[Large Provider Entity Code]],A86)/C86,"NA")</f>
        <v>NA</v>
      </c>
      <c r="G86" s="7" t="str">
        <f>IFERROR(SUMIFS(TM[[#All],[Total Truncated Claims Spending]],TM[[#All],[Reporting Year]],2024,TM[[#All],[Insurance Category Code]],4,TM[[#All],[Large Provider Entity Code]],A86)/C86,"NA")</f>
        <v>NA</v>
      </c>
      <c r="H86" s="90" t="str">
        <f>IFERROR(SUMIFS(TM[[#All],[Total Truncated Expenses]],TM[[#All],[Reporting Year]],2024,TM[[#All],[Insurance Category Code]],4,TM[[#All],[Large Provider Entity Code]],A86)/C86,"NA")</f>
        <v>NA</v>
      </c>
      <c r="I86" s="89">
        <f>SUMIFS(TM[[#All],[Member Months]],TM[[#All],[Reporting Year]],2025,TM[[#All],[Insurance Category Code]],4,TM[[#All],[Large Provider Entity Code]],A86)</f>
        <v>0</v>
      </c>
      <c r="J86" s="7" t="str">
        <f>IFERROR(SUMIFS(TM[[#All],[Total Non-Truncated Claims Spending]],TM[[#All],[Reporting Year]],2025,TM[[#All],[Insurance Category Code]],4,TM[[#All],[Large Provider Entity Code]],A86)/I86,"NA")</f>
        <v>NA</v>
      </c>
      <c r="K86" s="7" t="str">
        <f>IFERROR(SUMIFS(TM[[#All],[Total Non-Claims Spending]],TM[[#All],[Reporting Year]],2025,TM[[#All],[Insurance Category Code]],4,TM[[#All],[Large Provider Entity Code]],A86)/I86,"NA")</f>
        <v>NA</v>
      </c>
      <c r="L86" s="7" t="str">
        <f>IFERROR(SUMIFS(TM[[#All],[Total Non-Truncated Claims and Non-Claims Spending]],TM[[#All],[Reporting Year]],2025,TM[[#All],[Insurance Category Code]],4,TM[[#All],[Large Provider Entity Code]],A86)/I86,"NA")</f>
        <v>NA</v>
      </c>
      <c r="M86" s="7" t="str">
        <f>IFERROR(SUMIFS(TM[[#All],[Total Truncated Claims Spending]],TM[[#All],[Reporting Year]],2025,TM[[#All],[Insurance Category Code]],4,TM[[#All],[Large Provider Entity Code]],A86)/I86,"NA")</f>
        <v>NA</v>
      </c>
      <c r="N86" s="90" t="str">
        <f>IFERROR(SUMIFS(TM[[#All],[Total Truncated Expenses]],TM[[#All],[Reporting Year]],2025,TM[[#All],[Insurance Category Code]],4,TM[[#All],[Large Provider Entity Code]],A86)/I86,"NA")</f>
        <v>NA</v>
      </c>
      <c r="O86" s="169" t="str">
        <f t="shared" si="57"/>
        <v>No</v>
      </c>
      <c r="P86" s="231" t="str">
        <f t="shared" si="56"/>
        <v>NA</v>
      </c>
      <c r="Q86" s="91" t="str">
        <f t="shared" si="56"/>
        <v>NA</v>
      </c>
      <c r="R86" s="91" t="str">
        <f t="shared" si="56"/>
        <v>NA</v>
      </c>
      <c r="S86" s="91" t="str">
        <f t="shared" si="56"/>
        <v>NA</v>
      </c>
      <c r="T86" s="91" t="str">
        <f t="shared" si="56"/>
        <v>NA</v>
      </c>
      <c r="U86" s="91" t="str">
        <f t="shared" si="56"/>
        <v>NA</v>
      </c>
    </row>
    <row r="87" spans="1:21" ht="33.6" x14ac:dyDescent="0.4">
      <c r="A87" s="210">
        <v>109</v>
      </c>
      <c r="B87" s="526" t="s">
        <v>611</v>
      </c>
      <c r="C87" s="89">
        <f>SUMIFS(TM[[#All],[Member Months]],TM[[#All],[Reporting Year]],2024,TM[[#All],[Insurance Category Code]],4,TM[[#All],[Large Provider Entity Code]],A87)</f>
        <v>0</v>
      </c>
      <c r="D87" s="7" t="str">
        <f>IFERROR(SUMIFS(TM[[#All],[Total Non-Truncated Claims Spending]],TM[[#All],[Reporting Year]],2024,TM[[#All],[Insurance Category Code]],4,TM[[#All],[Large Provider Entity Code]],A87)/C87,"NA")</f>
        <v>NA</v>
      </c>
      <c r="E87" s="7" t="str">
        <f>IFERROR(SUMIFS(TM[[#All],[Total Non-Claims Spending]],TM[[#All],[Reporting Year]],2024,TM[[#All],[Insurance Category Code]],4,TM[[#All],[Large Provider Entity Code]],A87)/C87,"NA")</f>
        <v>NA</v>
      </c>
      <c r="F87" s="7" t="str">
        <f>IFERROR(SUMIFS(TM[[#All],[Total Non-Truncated Claims and Non-Claims Spending]],TM[[#All],[Reporting Year]],2024,TM[[#All],[Insurance Category Code]],4,TM[[#All],[Large Provider Entity Code]],A87)/C87,"NA")</f>
        <v>NA</v>
      </c>
      <c r="G87" s="7" t="str">
        <f>IFERROR(SUMIFS(TM[[#All],[Total Truncated Claims Spending]],TM[[#All],[Reporting Year]],2024,TM[[#All],[Insurance Category Code]],4,TM[[#All],[Large Provider Entity Code]],A87)/C87,"NA")</f>
        <v>NA</v>
      </c>
      <c r="H87" s="90" t="str">
        <f>IFERROR(SUMIFS(TM[[#All],[Total Truncated Expenses]],TM[[#All],[Reporting Year]],2024,TM[[#All],[Insurance Category Code]],4,TM[[#All],[Large Provider Entity Code]],A87)/C87,"NA")</f>
        <v>NA</v>
      </c>
      <c r="I87" s="89">
        <f>SUMIFS(TM[[#All],[Member Months]],TM[[#All],[Reporting Year]],2025,TM[[#All],[Insurance Category Code]],4,TM[[#All],[Large Provider Entity Code]],A87)</f>
        <v>0</v>
      </c>
      <c r="J87" s="7" t="str">
        <f>IFERROR(SUMIFS(TM[[#All],[Total Non-Truncated Claims Spending]],TM[[#All],[Reporting Year]],2025,TM[[#All],[Insurance Category Code]],4,TM[[#All],[Large Provider Entity Code]],A87)/I87,"NA")</f>
        <v>NA</v>
      </c>
      <c r="K87" s="7" t="str">
        <f>IFERROR(SUMIFS(TM[[#All],[Total Non-Claims Spending]],TM[[#All],[Reporting Year]],2025,TM[[#All],[Insurance Category Code]],4,TM[[#All],[Large Provider Entity Code]],A87)/I87,"NA")</f>
        <v>NA</v>
      </c>
      <c r="L87" s="7" t="str">
        <f>IFERROR(SUMIFS(TM[[#All],[Total Non-Truncated Claims and Non-Claims Spending]],TM[[#All],[Reporting Year]],2025,TM[[#All],[Insurance Category Code]],4,TM[[#All],[Large Provider Entity Code]],A87)/I87,"NA")</f>
        <v>NA</v>
      </c>
      <c r="M87" s="7" t="str">
        <f>IFERROR(SUMIFS(TM[[#All],[Total Truncated Claims Spending]],TM[[#All],[Reporting Year]],2025,TM[[#All],[Insurance Category Code]],4,TM[[#All],[Large Provider Entity Code]],A87)/I87,"NA")</f>
        <v>NA</v>
      </c>
      <c r="N87" s="90" t="str">
        <f>IFERROR(SUMIFS(TM[[#All],[Total Truncated Expenses]],TM[[#All],[Reporting Year]],2025,TM[[#All],[Insurance Category Code]],4,TM[[#All],[Large Provider Entity Code]],A87)/I87,"NA")</f>
        <v>NA</v>
      </c>
      <c r="O87" s="169" t="str">
        <f t="shared" si="57"/>
        <v>No</v>
      </c>
      <c r="P87" s="231" t="str">
        <f t="shared" si="56"/>
        <v>NA</v>
      </c>
      <c r="Q87" s="91" t="str">
        <f t="shared" si="56"/>
        <v>NA</v>
      </c>
      <c r="R87" s="91" t="str">
        <f t="shared" si="56"/>
        <v>NA</v>
      </c>
      <c r="S87" s="91" t="str">
        <f t="shared" si="56"/>
        <v>NA</v>
      </c>
      <c r="T87" s="91" t="str">
        <f t="shared" si="56"/>
        <v>NA</v>
      </c>
      <c r="U87" s="91" t="str">
        <f t="shared" si="56"/>
        <v>NA</v>
      </c>
    </row>
    <row r="88" spans="1:21" x14ac:dyDescent="0.4">
      <c r="A88" s="210">
        <v>110</v>
      </c>
      <c r="B88" s="526" t="s">
        <v>68</v>
      </c>
      <c r="C88" s="89">
        <f>SUMIFS(TM[[#All],[Member Months]],TM[[#All],[Reporting Year]],2024,TM[[#All],[Insurance Category Code]],4,TM[[#All],[Large Provider Entity Code]],A88)</f>
        <v>0</v>
      </c>
      <c r="D88" s="7" t="str">
        <f>IFERROR(SUMIFS(TM[[#All],[Total Non-Truncated Claims Spending]],TM[[#All],[Reporting Year]],2024,TM[[#All],[Insurance Category Code]],4,TM[[#All],[Large Provider Entity Code]],A88)/C88,"NA")</f>
        <v>NA</v>
      </c>
      <c r="E88" s="7" t="str">
        <f>IFERROR(SUMIFS(TM[[#All],[Total Non-Claims Spending]],TM[[#All],[Reporting Year]],2024,TM[[#All],[Insurance Category Code]],4,TM[[#All],[Large Provider Entity Code]],A88)/C88,"NA")</f>
        <v>NA</v>
      </c>
      <c r="F88" s="7" t="str">
        <f>IFERROR(SUMIFS(TM[[#All],[Total Non-Truncated Claims and Non-Claims Spending]],TM[[#All],[Reporting Year]],2024,TM[[#All],[Insurance Category Code]],4,TM[[#All],[Large Provider Entity Code]],A88)/C88,"NA")</f>
        <v>NA</v>
      </c>
      <c r="G88" s="7" t="str">
        <f>IFERROR(SUMIFS(TM[[#All],[Total Truncated Claims Spending]],TM[[#All],[Reporting Year]],2024,TM[[#All],[Insurance Category Code]],4,TM[[#All],[Large Provider Entity Code]],A88)/C88,"NA")</f>
        <v>NA</v>
      </c>
      <c r="H88" s="90" t="str">
        <f>IFERROR(SUMIFS(TM[[#All],[Total Truncated Expenses]],TM[[#All],[Reporting Year]],2024,TM[[#All],[Insurance Category Code]],4,TM[[#All],[Large Provider Entity Code]],A88)/C88,"NA")</f>
        <v>NA</v>
      </c>
      <c r="I88" s="89">
        <f>SUMIFS(TM[[#All],[Member Months]],TM[[#All],[Reporting Year]],2025,TM[[#All],[Insurance Category Code]],4,TM[[#All],[Large Provider Entity Code]],A88)</f>
        <v>0</v>
      </c>
      <c r="J88" s="7" t="str">
        <f>IFERROR(SUMIFS(TM[[#All],[Total Non-Truncated Claims Spending]],TM[[#All],[Reporting Year]],2025,TM[[#All],[Insurance Category Code]],4,TM[[#All],[Large Provider Entity Code]],A88)/I88,"NA")</f>
        <v>NA</v>
      </c>
      <c r="K88" s="7" t="str">
        <f>IFERROR(SUMIFS(TM[[#All],[Total Non-Claims Spending]],TM[[#All],[Reporting Year]],2025,TM[[#All],[Insurance Category Code]],4,TM[[#All],[Large Provider Entity Code]],A88)/I88,"NA")</f>
        <v>NA</v>
      </c>
      <c r="L88" s="7" t="str">
        <f>IFERROR(SUMIFS(TM[[#All],[Total Non-Truncated Claims and Non-Claims Spending]],TM[[#All],[Reporting Year]],2025,TM[[#All],[Insurance Category Code]],4,TM[[#All],[Large Provider Entity Code]],A88)/I88,"NA")</f>
        <v>NA</v>
      </c>
      <c r="M88" s="7" t="str">
        <f>IFERROR(SUMIFS(TM[[#All],[Total Truncated Claims Spending]],TM[[#All],[Reporting Year]],2025,TM[[#All],[Insurance Category Code]],4,TM[[#All],[Large Provider Entity Code]],A88)/I88,"NA")</f>
        <v>NA</v>
      </c>
      <c r="N88" s="90" t="str">
        <f>IFERROR(SUMIFS(TM[[#All],[Total Truncated Expenses]],TM[[#All],[Reporting Year]],2025,TM[[#All],[Insurance Category Code]],4,TM[[#All],[Large Provider Entity Code]],A88)/I88,"NA")</f>
        <v>NA</v>
      </c>
      <c r="O88" s="169" t="str">
        <f t="shared" si="57"/>
        <v>No</v>
      </c>
      <c r="P88" s="231" t="str">
        <f t="shared" si="56"/>
        <v>NA</v>
      </c>
      <c r="Q88" s="91" t="str">
        <f t="shared" si="56"/>
        <v>NA</v>
      </c>
      <c r="R88" s="91" t="str">
        <f t="shared" si="56"/>
        <v>NA</v>
      </c>
      <c r="S88" s="91" t="str">
        <f t="shared" si="56"/>
        <v>NA</v>
      </c>
      <c r="T88" s="91" t="str">
        <f t="shared" si="56"/>
        <v>NA</v>
      </c>
      <c r="U88" s="91" t="str">
        <f t="shared" si="56"/>
        <v>NA</v>
      </c>
    </row>
    <row r="89" spans="1:21" x14ac:dyDescent="0.4">
      <c r="A89" s="210">
        <v>111</v>
      </c>
      <c r="B89" s="526" t="s">
        <v>69</v>
      </c>
      <c r="C89" s="89">
        <f>SUMIFS(TM[[#All],[Member Months]],TM[[#All],[Reporting Year]],2024,TM[[#All],[Insurance Category Code]],4,TM[[#All],[Large Provider Entity Code]],A89)</f>
        <v>0</v>
      </c>
      <c r="D89" s="7" t="str">
        <f>IFERROR(SUMIFS(TM[[#All],[Total Non-Truncated Claims Spending]],TM[[#All],[Reporting Year]],2024,TM[[#All],[Insurance Category Code]],4,TM[[#All],[Large Provider Entity Code]],A89)/C89,"NA")</f>
        <v>NA</v>
      </c>
      <c r="E89" s="7" t="str">
        <f>IFERROR(SUMIFS(TM[[#All],[Total Non-Claims Spending]],TM[[#All],[Reporting Year]],2024,TM[[#All],[Insurance Category Code]],4,TM[[#All],[Large Provider Entity Code]],A89)/C89,"NA")</f>
        <v>NA</v>
      </c>
      <c r="F89" s="7" t="str">
        <f>IFERROR(SUMIFS(TM[[#All],[Total Non-Truncated Claims and Non-Claims Spending]],TM[[#All],[Reporting Year]],2024,TM[[#All],[Insurance Category Code]],4,TM[[#All],[Large Provider Entity Code]],A89)/C89,"NA")</f>
        <v>NA</v>
      </c>
      <c r="G89" s="7" t="str">
        <f>IFERROR(SUMIFS(TM[[#All],[Total Truncated Claims Spending]],TM[[#All],[Reporting Year]],2024,TM[[#All],[Insurance Category Code]],4,TM[[#All],[Large Provider Entity Code]],A89)/C89,"NA")</f>
        <v>NA</v>
      </c>
      <c r="H89" s="90" t="str">
        <f>IFERROR(SUMIFS(TM[[#All],[Total Truncated Expenses]],TM[[#All],[Reporting Year]],2024,TM[[#All],[Insurance Category Code]],4,TM[[#All],[Large Provider Entity Code]],A89)/C89,"NA")</f>
        <v>NA</v>
      </c>
      <c r="I89" s="89">
        <f>SUMIFS(TM[[#All],[Member Months]],TM[[#All],[Reporting Year]],2025,TM[[#All],[Insurance Category Code]],4,TM[[#All],[Large Provider Entity Code]],A89)</f>
        <v>0</v>
      </c>
      <c r="J89" s="7" t="str">
        <f>IFERROR(SUMIFS(TM[[#All],[Total Non-Truncated Claims Spending]],TM[[#All],[Reporting Year]],2025,TM[[#All],[Insurance Category Code]],4,TM[[#All],[Large Provider Entity Code]],A89)/I89,"NA")</f>
        <v>NA</v>
      </c>
      <c r="K89" s="7" t="str">
        <f>IFERROR(SUMIFS(TM[[#All],[Total Non-Claims Spending]],TM[[#All],[Reporting Year]],2025,TM[[#All],[Insurance Category Code]],4,TM[[#All],[Large Provider Entity Code]],A89)/I89,"NA")</f>
        <v>NA</v>
      </c>
      <c r="L89" s="7" t="str">
        <f>IFERROR(SUMIFS(TM[[#All],[Total Non-Truncated Claims and Non-Claims Spending]],TM[[#All],[Reporting Year]],2025,TM[[#All],[Insurance Category Code]],4,TM[[#All],[Large Provider Entity Code]],A89)/I89,"NA")</f>
        <v>NA</v>
      </c>
      <c r="M89" s="7" t="str">
        <f>IFERROR(SUMIFS(TM[[#All],[Total Truncated Claims Spending]],TM[[#All],[Reporting Year]],2025,TM[[#All],[Insurance Category Code]],4,TM[[#All],[Large Provider Entity Code]],A89)/I89,"NA")</f>
        <v>NA</v>
      </c>
      <c r="N89" s="90" t="str">
        <f>IFERROR(SUMIFS(TM[[#All],[Total Truncated Expenses]],TM[[#All],[Reporting Year]],2025,TM[[#All],[Insurance Category Code]],4,TM[[#All],[Large Provider Entity Code]],A89)/I89,"NA")</f>
        <v>NA</v>
      </c>
      <c r="O89" s="169" t="str">
        <f t="shared" si="57"/>
        <v>No</v>
      </c>
      <c r="P89" s="231" t="str">
        <f t="shared" si="56"/>
        <v>NA</v>
      </c>
      <c r="Q89" s="91" t="str">
        <f t="shared" si="56"/>
        <v>NA</v>
      </c>
      <c r="R89" s="91" t="str">
        <f t="shared" si="56"/>
        <v>NA</v>
      </c>
      <c r="S89" s="91" t="str">
        <f t="shared" si="56"/>
        <v>NA</v>
      </c>
      <c r="T89" s="91" t="str">
        <f t="shared" si="56"/>
        <v>NA</v>
      </c>
      <c r="U89" s="91" t="str">
        <f t="shared" si="56"/>
        <v>NA</v>
      </c>
    </row>
    <row r="90" spans="1:21" x14ac:dyDescent="0.4">
      <c r="A90" s="210">
        <v>112</v>
      </c>
      <c r="B90" s="526" t="s">
        <v>637</v>
      </c>
      <c r="C90" s="89">
        <f>SUMIFS(TM[[#All],[Member Months]],TM[[#All],[Reporting Year]],2024,TM[[#All],[Insurance Category Code]],4,TM[[#All],[Large Provider Entity Code]],A90)</f>
        <v>0</v>
      </c>
      <c r="D90" s="7" t="str">
        <f>IFERROR(SUMIFS(TM[[#All],[Total Non-Truncated Claims Spending]],TM[[#All],[Reporting Year]],2024,TM[[#All],[Insurance Category Code]],4,TM[[#All],[Large Provider Entity Code]],A90)/C90,"NA")</f>
        <v>NA</v>
      </c>
      <c r="E90" s="7" t="str">
        <f>IFERROR(SUMIFS(TM[[#All],[Total Non-Claims Spending]],TM[[#All],[Reporting Year]],2024,TM[[#All],[Insurance Category Code]],4,TM[[#All],[Large Provider Entity Code]],A90)/C90,"NA")</f>
        <v>NA</v>
      </c>
      <c r="F90" s="7" t="str">
        <f>IFERROR(SUMIFS(TM[[#All],[Total Non-Truncated Claims and Non-Claims Spending]],TM[[#All],[Reporting Year]],2024,TM[[#All],[Insurance Category Code]],4,TM[[#All],[Large Provider Entity Code]],A90)/C90,"NA")</f>
        <v>NA</v>
      </c>
      <c r="G90" s="7" t="str">
        <f>IFERROR(SUMIFS(TM[[#All],[Total Truncated Claims Spending]],TM[[#All],[Reporting Year]],2024,TM[[#All],[Insurance Category Code]],4,TM[[#All],[Large Provider Entity Code]],A90)/C90,"NA")</f>
        <v>NA</v>
      </c>
      <c r="H90" s="90" t="str">
        <f>IFERROR(SUMIFS(TM[[#All],[Total Truncated Expenses]],TM[[#All],[Reporting Year]],2024,TM[[#All],[Insurance Category Code]],4,TM[[#All],[Large Provider Entity Code]],A90)/C90,"NA")</f>
        <v>NA</v>
      </c>
      <c r="I90" s="89">
        <f>SUMIFS(TM[[#All],[Member Months]],TM[[#All],[Reporting Year]],2025,TM[[#All],[Insurance Category Code]],4,TM[[#All],[Large Provider Entity Code]],A90)</f>
        <v>0</v>
      </c>
      <c r="J90" s="7" t="str">
        <f>IFERROR(SUMIFS(TM[[#All],[Total Non-Truncated Claims Spending]],TM[[#All],[Reporting Year]],2025,TM[[#All],[Insurance Category Code]],4,TM[[#All],[Large Provider Entity Code]],A90)/I90,"NA")</f>
        <v>NA</v>
      </c>
      <c r="K90" s="7" t="str">
        <f>IFERROR(SUMIFS(TM[[#All],[Total Non-Claims Spending]],TM[[#All],[Reporting Year]],2025,TM[[#All],[Insurance Category Code]],4,TM[[#All],[Large Provider Entity Code]],A90)/I90,"NA")</f>
        <v>NA</v>
      </c>
      <c r="L90" s="7" t="str">
        <f>IFERROR(SUMIFS(TM[[#All],[Total Non-Truncated Claims and Non-Claims Spending]],TM[[#All],[Reporting Year]],2025,TM[[#All],[Insurance Category Code]],4,TM[[#All],[Large Provider Entity Code]],A90)/I90,"NA")</f>
        <v>NA</v>
      </c>
      <c r="M90" s="7" t="str">
        <f>IFERROR(SUMIFS(TM[[#All],[Total Truncated Claims Spending]],TM[[#All],[Reporting Year]],2025,TM[[#All],[Insurance Category Code]],4,TM[[#All],[Large Provider Entity Code]],A90)/I90,"NA")</f>
        <v>NA</v>
      </c>
      <c r="N90" s="90" t="str">
        <f>IFERROR(SUMIFS(TM[[#All],[Total Truncated Expenses]],TM[[#All],[Reporting Year]],2025,TM[[#All],[Insurance Category Code]],4,TM[[#All],[Large Provider Entity Code]],A90)/I90,"NA")</f>
        <v>NA</v>
      </c>
      <c r="O90" s="169" t="str">
        <f t="shared" si="57"/>
        <v>No</v>
      </c>
      <c r="P90" s="231" t="str">
        <f t="shared" si="56"/>
        <v>NA</v>
      </c>
      <c r="Q90" s="91" t="str">
        <f t="shared" si="56"/>
        <v>NA</v>
      </c>
      <c r="R90" s="91" t="str">
        <f t="shared" si="56"/>
        <v>NA</v>
      </c>
      <c r="S90" s="91" t="str">
        <f t="shared" si="56"/>
        <v>NA</v>
      </c>
      <c r="T90" s="91" t="str">
        <f t="shared" si="56"/>
        <v>NA</v>
      </c>
      <c r="U90" s="91" t="str">
        <f t="shared" si="56"/>
        <v>NA</v>
      </c>
    </row>
    <row r="91" spans="1:21" ht="33.6" x14ac:dyDescent="0.4">
      <c r="A91" s="210">
        <v>115</v>
      </c>
      <c r="B91" s="526" t="s">
        <v>612</v>
      </c>
      <c r="C91" s="89">
        <f>SUMIFS(TM[[#All],[Member Months]],TM[[#All],[Reporting Year]],2024,TM[[#All],[Insurance Category Code]],4,TM[[#All],[Large Provider Entity Code]],A91)</f>
        <v>0</v>
      </c>
      <c r="D91" s="7" t="str">
        <f>IFERROR(SUMIFS(TM[[#All],[Total Non-Truncated Claims Spending]],TM[[#All],[Reporting Year]],2024,TM[[#All],[Insurance Category Code]],4,TM[[#All],[Large Provider Entity Code]],A91)/C91,"NA")</f>
        <v>NA</v>
      </c>
      <c r="E91" s="7" t="str">
        <f>IFERROR(SUMIFS(TM[[#All],[Total Non-Claims Spending]],TM[[#All],[Reporting Year]],2024,TM[[#All],[Insurance Category Code]],4,TM[[#All],[Large Provider Entity Code]],A91)/C91,"NA")</f>
        <v>NA</v>
      </c>
      <c r="F91" s="7" t="str">
        <f>IFERROR(SUMIFS(TM[[#All],[Total Non-Truncated Claims and Non-Claims Spending]],TM[[#All],[Reporting Year]],2024,TM[[#All],[Insurance Category Code]],4,TM[[#All],[Large Provider Entity Code]],A91)/C91,"NA")</f>
        <v>NA</v>
      </c>
      <c r="G91" s="7" t="str">
        <f>IFERROR(SUMIFS(TM[[#All],[Total Truncated Claims Spending]],TM[[#All],[Reporting Year]],2024,TM[[#All],[Insurance Category Code]],4,TM[[#All],[Large Provider Entity Code]],A91)/C91,"NA")</f>
        <v>NA</v>
      </c>
      <c r="H91" s="90" t="str">
        <f>IFERROR(SUMIFS(TM[[#All],[Total Truncated Expenses]],TM[[#All],[Reporting Year]],2024,TM[[#All],[Insurance Category Code]],4,TM[[#All],[Large Provider Entity Code]],A91)/C91,"NA")</f>
        <v>NA</v>
      </c>
      <c r="I91" s="89">
        <f>SUMIFS(TM[[#All],[Member Months]],TM[[#All],[Reporting Year]],2025,TM[[#All],[Insurance Category Code]],4,TM[[#All],[Large Provider Entity Code]],A91)</f>
        <v>0</v>
      </c>
      <c r="J91" s="7" t="str">
        <f>IFERROR(SUMIFS(TM[[#All],[Total Non-Truncated Claims Spending]],TM[[#All],[Reporting Year]],2025,TM[[#All],[Insurance Category Code]],4,TM[[#All],[Large Provider Entity Code]],A91)/I91,"NA")</f>
        <v>NA</v>
      </c>
      <c r="K91" s="7" t="str">
        <f>IFERROR(SUMIFS(TM[[#All],[Total Non-Claims Spending]],TM[[#All],[Reporting Year]],2025,TM[[#All],[Insurance Category Code]],4,TM[[#All],[Large Provider Entity Code]],A91)/I91,"NA")</f>
        <v>NA</v>
      </c>
      <c r="L91" s="7" t="str">
        <f>IFERROR(SUMIFS(TM[[#All],[Total Non-Truncated Claims and Non-Claims Spending]],TM[[#All],[Reporting Year]],2025,TM[[#All],[Insurance Category Code]],4,TM[[#All],[Large Provider Entity Code]],A91)/I91,"NA")</f>
        <v>NA</v>
      </c>
      <c r="M91" s="7" t="str">
        <f>IFERROR(SUMIFS(TM[[#All],[Total Truncated Claims Spending]],TM[[#All],[Reporting Year]],2025,TM[[#All],[Insurance Category Code]],4,TM[[#All],[Large Provider Entity Code]],A91)/I91,"NA")</f>
        <v>NA</v>
      </c>
      <c r="N91" s="90" t="str">
        <f>IFERROR(SUMIFS(TM[[#All],[Total Truncated Expenses]],TM[[#All],[Reporting Year]],2025,TM[[#All],[Insurance Category Code]],4,TM[[#All],[Large Provider Entity Code]],A91)/I91,"NA")</f>
        <v>NA</v>
      </c>
      <c r="O91" s="169" t="str">
        <f t="shared" si="57"/>
        <v>No</v>
      </c>
      <c r="P91" s="231" t="str">
        <f t="shared" si="56"/>
        <v>NA</v>
      </c>
      <c r="Q91" s="91" t="str">
        <f t="shared" si="56"/>
        <v>NA</v>
      </c>
      <c r="R91" s="91" t="str">
        <f t="shared" si="56"/>
        <v>NA</v>
      </c>
      <c r="S91" s="91" t="str">
        <f t="shared" si="56"/>
        <v>NA</v>
      </c>
      <c r="T91" s="91" t="str">
        <f t="shared" si="56"/>
        <v>NA</v>
      </c>
      <c r="U91" s="91" t="str">
        <f t="shared" si="56"/>
        <v>NA</v>
      </c>
    </row>
    <row r="92" spans="1:21" x14ac:dyDescent="0.4">
      <c r="A92" s="210">
        <v>116</v>
      </c>
      <c r="B92" s="526" t="s">
        <v>564</v>
      </c>
      <c r="C92" s="89">
        <f>SUMIFS(TM[[#All],[Member Months]],TM[[#All],[Reporting Year]],2024,TM[[#All],[Insurance Category Code]],4,TM[[#All],[Large Provider Entity Code]],A92)</f>
        <v>0</v>
      </c>
      <c r="D92" s="7" t="str">
        <f>IFERROR(SUMIFS(TM[[#All],[Total Non-Truncated Claims Spending]],TM[[#All],[Reporting Year]],2024,TM[[#All],[Insurance Category Code]],4,TM[[#All],[Large Provider Entity Code]],A92)/C92,"NA")</f>
        <v>NA</v>
      </c>
      <c r="E92" s="7" t="str">
        <f>IFERROR(SUMIFS(TM[[#All],[Total Non-Claims Spending]],TM[[#All],[Reporting Year]],2024,TM[[#All],[Insurance Category Code]],4,TM[[#All],[Large Provider Entity Code]],A92)/C92,"NA")</f>
        <v>NA</v>
      </c>
      <c r="F92" s="7" t="str">
        <f>IFERROR(SUMIFS(TM[[#All],[Total Non-Truncated Claims and Non-Claims Spending]],TM[[#All],[Reporting Year]],2024,TM[[#All],[Insurance Category Code]],4,TM[[#All],[Large Provider Entity Code]],A92)/C92,"NA")</f>
        <v>NA</v>
      </c>
      <c r="G92" s="7" t="str">
        <f>IFERROR(SUMIFS(TM[[#All],[Total Truncated Claims Spending]],TM[[#All],[Reporting Year]],2024,TM[[#All],[Insurance Category Code]],4,TM[[#All],[Large Provider Entity Code]],A92)/C92,"NA")</f>
        <v>NA</v>
      </c>
      <c r="H92" s="90" t="str">
        <f>IFERROR(SUMIFS(TM[[#All],[Total Truncated Expenses]],TM[[#All],[Reporting Year]],2024,TM[[#All],[Insurance Category Code]],4,TM[[#All],[Large Provider Entity Code]],A92)/C92,"NA")</f>
        <v>NA</v>
      </c>
      <c r="I92" s="89">
        <f>SUMIFS(TM[[#All],[Member Months]],TM[[#All],[Reporting Year]],2025,TM[[#All],[Insurance Category Code]],4,TM[[#All],[Large Provider Entity Code]],A92)</f>
        <v>0</v>
      </c>
      <c r="J92" s="7" t="str">
        <f>IFERROR(SUMIFS(TM[[#All],[Total Non-Truncated Claims Spending]],TM[[#All],[Reporting Year]],2025,TM[[#All],[Insurance Category Code]],4,TM[[#All],[Large Provider Entity Code]],A92)/I92,"NA")</f>
        <v>NA</v>
      </c>
      <c r="K92" s="7" t="str">
        <f>IFERROR(SUMIFS(TM[[#All],[Total Non-Claims Spending]],TM[[#All],[Reporting Year]],2025,TM[[#All],[Insurance Category Code]],4,TM[[#All],[Large Provider Entity Code]],A92)/I92,"NA")</f>
        <v>NA</v>
      </c>
      <c r="L92" s="7" t="str">
        <f>IFERROR(SUMIFS(TM[[#All],[Total Non-Truncated Claims and Non-Claims Spending]],TM[[#All],[Reporting Year]],2025,TM[[#All],[Insurance Category Code]],4,TM[[#All],[Large Provider Entity Code]],A92)/I92,"NA")</f>
        <v>NA</v>
      </c>
      <c r="M92" s="7" t="str">
        <f>IFERROR(SUMIFS(TM[[#All],[Total Truncated Claims Spending]],TM[[#All],[Reporting Year]],2025,TM[[#All],[Insurance Category Code]],4,TM[[#All],[Large Provider Entity Code]],A92)/I92,"NA")</f>
        <v>NA</v>
      </c>
      <c r="N92" s="90" t="str">
        <f>IFERROR(SUMIFS(TM[[#All],[Total Truncated Expenses]],TM[[#All],[Reporting Year]],2025,TM[[#All],[Insurance Category Code]],4,TM[[#All],[Large Provider Entity Code]],A92)/I92,"NA")</f>
        <v>NA</v>
      </c>
      <c r="O92" s="169" t="str">
        <f t="shared" si="57"/>
        <v>No</v>
      </c>
      <c r="P92" s="231" t="str">
        <f t="shared" si="56"/>
        <v>NA</v>
      </c>
      <c r="Q92" s="91" t="str">
        <f t="shared" si="56"/>
        <v>NA</v>
      </c>
      <c r="R92" s="91" t="str">
        <f t="shared" si="56"/>
        <v>NA</v>
      </c>
      <c r="S92" s="91" t="str">
        <f t="shared" si="56"/>
        <v>NA</v>
      </c>
      <c r="T92" s="91" t="str">
        <f t="shared" si="56"/>
        <v>NA</v>
      </c>
      <c r="U92" s="91" t="str">
        <f t="shared" si="56"/>
        <v>NA</v>
      </c>
    </row>
    <row r="93" spans="1:21" x14ac:dyDescent="0.4">
      <c r="A93" s="210">
        <v>118</v>
      </c>
      <c r="B93" s="526" t="s">
        <v>70</v>
      </c>
      <c r="C93" s="89">
        <f>SUMIFS(TM[[#All],[Member Months]],TM[[#All],[Reporting Year]],2024,TM[[#All],[Insurance Category Code]],4,TM[[#All],[Large Provider Entity Code]],A93)</f>
        <v>0</v>
      </c>
      <c r="D93" s="7" t="str">
        <f>IFERROR(SUMIFS(TM[[#All],[Total Non-Truncated Claims Spending]],TM[[#All],[Reporting Year]],2024,TM[[#All],[Insurance Category Code]],4,TM[[#All],[Large Provider Entity Code]],A93)/C93,"NA")</f>
        <v>NA</v>
      </c>
      <c r="E93" s="7" t="str">
        <f>IFERROR(SUMIFS(TM[[#All],[Total Non-Claims Spending]],TM[[#All],[Reporting Year]],2024,TM[[#All],[Insurance Category Code]],4,TM[[#All],[Large Provider Entity Code]],A93)/C93,"NA")</f>
        <v>NA</v>
      </c>
      <c r="F93" s="7" t="str">
        <f>IFERROR(SUMIFS(TM[[#All],[Total Non-Truncated Claims and Non-Claims Spending]],TM[[#All],[Reporting Year]],2024,TM[[#All],[Insurance Category Code]],4,TM[[#All],[Large Provider Entity Code]],A93)/C93,"NA")</f>
        <v>NA</v>
      </c>
      <c r="G93" s="7" t="str">
        <f>IFERROR(SUMIFS(TM[[#All],[Total Truncated Claims Spending]],TM[[#All],[Reporting Year]],2024,TM[[#All],[Insurance Category Code]],4,TM[[#All],[Large Provider Entity Code]],A93)/C93,"NA")</f>
        <v>NA</v>
      </c>
      <c r="H93" s="90" t="str">
        <f>IFERROR(SUMIFS(TM[[#All],[Total Truncated Expenses]],TM[[#All],[Reporting Year]],2024,TM[[#All],[Insurance Category Code]],4,TM[[#All],[Large Provider Entity Code]],A93)/C93,"NA")</f>
        <v>NA</v>
      </c>
      <c r="I93" s="89">
        <f>SUMIFS(TM[[#All],[Member Months]],TM[[#All],[Reporting Year]],2025,TM[[#All],[Insurance Category Code]],4,TM[[#All],[Large Provider Entity Code]],A93)</f>
        <v>0</v>
      </c>
      <c r="J93" s="7" t="str">
        <f>IFERROR(SUMIFS(TM[[#All],[Total Non-Truncated Claims Spending]],TM[[#All],[Reporting Year]],2025,TM[[#All],[Insurance Category Code]],4,TM[[#All],[Large Provider Entity Code]],A93)/I93,"NA")</f>
        <v>NA</v>
      </c>
      <c r="K93" s="7" t="str">
        <f>IFERROR(SUMIFS(TM[[#All],[Total Non-Claims Spending]],TM[[#All],[Reporting Year]],2025,TM[[#All],[Insurance Category Code]],4,TM[[#All],[Large Provider Entity Code]],A93)/I93,"NA")</f>
        <v>NA</v>
      </c>
      <c r="L93" s="7" t="str">
        <f>IFERROR(SUMIFS(TM[[#All],[Total Non-Truncated Claims and Non-Claims Spending]],TM[[#All],[Reporting Year]],2025,TM[[#All],[Insurance Category Code]],4,TM[[#All],[Large Provider Entity Code]],A93)/I93,"NA")</f>
        <v>NA</v>
      </c>
      <c r="M93" s="7" t="str">
        <f>IFERROR(SUMIFS(TM[[#All],[Total Truncated Claims Spending]],TM[[#All],[Reporting Year]],2025,TM[[#All],[Insurance Category Code]],4,TM[[#All],[Large Provider Entity Code]],A93)/I93,"NA")</f>
        <v>NA</v>
      </c>
      <c r="N93" s="90" t="str">
        <f>IFERROR(SUMIFS(TM[[#All],[Total Truncated Expenses]],TM[[#All],[Reporting Year]],2025,TM[[#All],[Insurance Category Code]],4,TM[[#All],[Large Provider Entity Code]],A93)/I93,"NA")</f>
        <v>NA</v>
      </c>
      <c r="O93" s="169" t="str">
        <f>IFERROR(IF(AND(C93&gt;12000,I93&gt;12000),"Yes","No"),"NA")</f>
        <v>No</v>
      </c>
      <c r="P93" s="231" t="str">
        <f t="shared" si="56"/>
        <v>NA</v>
      </c>
      <c r="Q93" s="91" t="str">
        <f t="shared" si="56"/>
        <v>NA</v>
      </c>
      <c r="R93" s="91" t="str">
        <f t="shared" si="56"/>
        <v>NA</v>
      </c>
      <c r="S93" s="91" t="str">
        <f t="shared" si="56"/>
        <v>NA</v>
      </c>
      <c r="T93" s="91" t="str">
        <f t="shared" si="56"/>
        <v>NA</v>
      </c>
      <c r="U93" s="91" t="str">
        <f t="shared" si="56"/>
        <v>NA</v>
      </c>
    </row>
    <row r="94" spans="1:21" x14ac:dyDescent="0.4">
      <c r="A94" s="210">
        <v>120</v>
      </c>
      <c r="B94" s="526" t="s">
        <v>561</v>
      </c>
      <c r="C94" s="89">
        <f>SUMIFS(TM[[#All],[Member Months]],TM[[#All],[Reporting Year]],2024,TM[[#All],[Insurance Category Code]],4,TM[[#All],[Large Provider Entity Code]],A94)</f>
        <v>0</v>
      </c>
      <c r="D94" s="7" t="str">
        <f>IFERROR(SUMIFS(TM[[#All],[Total Non-Truncated Claims Spending]],TM[[#All],[Reporting Year]],2024,TM[[#All],[Insurance Category Code]],4,TM[[#All],[Large Provider Entity Code]],A94)/C94,"NA")</f>
        <v>NA</v>
      </c>
      <c r="E94" s="7" t="str">
        <f>IFERROR(SUMIFS(TM[[#All],[Total Non-Claims Spending]],TM[[#All],[Reporting Year]],2024,TM[[#All],[Insurance Category Code]],4,TM[[#All],[Large Provider Entity Code]],A94)/C94,"NA")</f>
        <v>NA</v>
      </c>
      <c r="F94" s="7" t="str">
        <f>IFERROR(SUMIFS(TM[[#All],[Total Non-Truncated Claims and Non-Claims Spending]],TM[[#All],[Reporting Year]],2024,TM[[#All],[Insurance Category Code]],4,TM[[#All],[Large Provider Entity Code]],A94)/C94,"NA")</f>
        <v>NA</v>
      </c>
      <c r="G94" s="7" t="str">
        <f>IFERROR(SUMIFS(TM[[#All],[Total Truncated Claims Spending]],TM[[#All],[Reporting Year]],2024,TM[[#All],[Insurance Category Code]],4,TM[[#All],[Large Provider Entity Code]],A94)/C94,"NA")</f>
        <v>NA</v>
      </c>
      <c r="H94" s="90" t="str">
        <f>IFERROR(SUMIFS(TM[[#All],[Total Truncated Expenses]],TM[[#All],[Reporting Year]],2024,TM[[#All],[Insurance Category Code]],4,TM[[#All],[Large Provider Entity Code]],A94)/C94,"NA")</f>
        <v>NA</v>
      </c>
      <c r="I94" s="89">
        <f>SUMIFS(TM[[#All],[Member Months]],TM[[#All],[Reporting Year]],2025,TM[[#All],[Insurance Category Code]],4,TM[[#All],[Large Provider Entity Code]],A94)</f>
        <v>0</v>
      </c>
      <c r="J94" s="7" t="str">
        <f>IFERROR(SUMIFS(TM[[#All],[Total Non-Truncated Claims Spending]],TM[[#All],[Reporting Year]],2025,TM[[#All],[Insurance Category Code]],4,TM[[#All],[Large Provider Entity Code]],A94)/I94,"NA")</f>
        <v>NA</v>
      </c>
      <c r="K94" s="7" t="str">
        <f>IFERROR(SUMIFS(TM[[#All],[Total Non-Claims Spending]],TM[[#All],[Reporting Year]],2025,TM[[#All],[Insurance Category Code]],4,TM[[#All],[Large Provider Entity Code]],A94)/I94,"NA")</f>
        <v>NA</v>
      </c>
      <c r="L94" s="7" t="str">
        <f>IFERROR(SUMIFS(TM[[#All],[Total Non-Truncated Claims and Non-Claims Spending]],TM[[#All],[Reporting Year]],2025,TM[[#All],[Insurance Category Code]],4,TM[[#All],[Large Provider Entity Code]],A94)/I94,"NA")</f>
        <v>NA</v>
      </c>
      <c r="M94" s="7" t="str">
        <f>IFERROR(SUMIFS(TM[[#All],[Total Truncated Claims Spending]],TM[[#All],[Reporting Year]],2025,TM[[#All],[Insurance Category Code]],4,TM[[#All],[Large Provider Entity Code]],A94)/I94,"NA")</f>
        <v>NA</v>
      </c>
      <c r="N94" s="90" t="str">
        <f>IFERROR(SUMIFS(TM[[#All],[Total Truncated Expenses]],TM[[#All],[Reporting Year]],2025,TM[[#All],[Insurance Category Code]],4,TM[[#All],[Large Provider Entity Code]],A94)/I94,"NA")</f>
        <v>NA</v>
      </c>
      <c r="O94" s="169" t="str">
        <f t="shared" si="57"/>
        <v>No</v>
      </c>
      <c r="P94" s="231" t="str">
        <f t="shared" si="56"/>
        <v>NA</v>
      </c>
      <c r="Q94" s="91" t="str">
        <f t="shared" si="56"/>
        <v>NA</v>
      </c>
      <c r="R94" s="91" t="str">
        <f t="shared" si="56"/>
        <v>NA</v>
      </c>
      <c r="S94" s="91" t="str">
        <f t="shared" si="56"/>
        <v>NA</v>
      </c>
      <c r="T94" s="91" t="str">
        <f t="shared" si="56"/>
        <v>NA</v>
      </c>
      <c r="U94" s="91" t="str">
        <f t="shared" si="56"/>
        <v>NA</v>
      </c>
    </row>
    <row r="95" spans="1:21" ht="33.6" x14ac:dyDescent="0.4">
      <c r="A95" s="210">
        <v>121</v>
      </c>
      <c r="B95" s="526" t="s">
        <v>565</v>
      </c>
      <c r="C95" s="205">
        <f>SUMIFS(TM[[#All],[Member Months]],TM[[#All],[Reporting Year]],2024,TM[[#All],[Insurance Category Code]],4,TM[[#All],[Large Provider Entity Code]],A95)</f>
        <v>0</v>
      </c>
      <c r="D95" s="7" t="str">
        <f>IFERROR(SUMIFS(TM[[#All],[Total Non-Truncated Claims Spending]],TM[[#All],[Reporting Year]],2024,TM[[#All],[Insurance Category Code]],4,TM[[#All],[Large Provider Entity Code]],A95)/C95,"NA")</f>
        <v>NA</v>
      </c>
      <c r="E95" s="7" t="str">
        <f>IFERROR(SUMIFS(TM[[#All],[Total Non-Claims Spending]],TM[[#All],[Reporting Year]],2024,TM[[#All],[Insurance Category Code]],4,TM[[#All],[Large Provider Entity Code]],A95)/C95,"NA")</f>
        <v>NA</v>
      </c>
      <c r="F95" s="7" t="str">
        <f>IFERROR(SUMIFS(TM[[#All],[Total Non-Truncated Claims and Non-Claims Spending]],TM[[#All],[Reporting Year]],2024,TM[[#All],[Insurance Category Code]],4,TM[[#All],[Large Provider Entity Code]],A95)/C95,"NA")</f>
        <v>NA</v>
      </c>
      <c r="G95" s="7" t="str">
        <f>IFERROR(SUMIFS(TM[[#All],[Total Truncated Claims Spending]],TM[[#All],[Reporting Year]],2024,TM[[#All],[Insurance Category Code]],4,TM[[#All],[Large Provider Entity Code]],A95)/C95,"NA")</f>
        <v>NA</v>
      </c>
      <c r="H95" s="206" t="str">
        <f>IFERROR(SUMIFS(TM[[#All],[Total Truncated Expenses]],TM[[#All],[Reporting Year]],2024,TM[[#All],[Insurance Category Code]],4,TM[[#All],[Large Provider Entity Code]],A95)/C95,"NA")</f>
        <v>NA</v>
      </c>
      <c r="I95" s="205">
        <f>SUMIFS(TM[[#All],[Member Months]],TM[[#All],[Reporting Year]],2025,TM[[#All],[Insurance Category Code]],4,TM[[#All],[Large Provider Entity Code]],A95)</f>
        <v>0</v>
      </c>
      <c r="J95" s="119" t="str">
        <f>IFERROR(SUMIFS(TM[[#All],[Total Non-Truncated Claims Spending]],TM[[#All],[Reporting Year]],2025,TM[[#All],[Insurance Category Code]],4,TM[[#All],[Large Provider Entity Code]],A95)/I95,"NA")</f>
        <v>NA</v>
      </c>
      <c r="K95" s="119" t="str">
        <f>IFERROR(SUMIFS(TM[[#All],[Total Non-Claims Spending]],TM[[#All],[Reporting Year]],2025,TM[[#All],[Insurance Category Code]],4,TM[[#All],[Large Provider Entity Code]],A95)/I95,"NA")</f>
        <v>NA</v>
      </c>
      <c r="L95" s="119" t="str">
        <f>IFERROR(SUMIFS(TM[[#All],[Total Non-Truncated Claims and Non-Claims Spending]],TM[[#All],[Reporting Year]],2025,TM[[#All],[Insurance Category Code]],4,TM[[#All],[Large Provider Entity Code]],A95)/I95,"NA")</f>
        <v>NA</v>
      </c>
      <c r="M95" s="119" t="str">
        <f>IFERROR(SUMIFS(TM[[#All],[Total Truncated Claims Spending]],TM[[#All],[Reporting Year]],2025,TM[[#All],[Insurance Category Code]],4,TM[[#All],[Large Provider Entity Code]],A95)/I95,"NA")</f>
        <v>NA</v>
      </c>
      <c r="N95" s="206" t="str">
        <f>IFERROR(SUMIFS(TM[[#All],[Total Truncated Expenses]],TM[[#All],[Reporting Year]],2025,TM[[#All],[Insurance Category Code]],4,TM[[#All],[Large Provider Entity Code]],A95)/I95,"NA")</f>
        <v>NA</v>
      </c>
      <c r="O95" s="169" t="str">
        <f t="shared" si="57"/>
        <v>No</v>
      </c>
      <c r="P95" s="233" t="str">
        <f t="shared" si="56"/>
        <v>NA</v>
      </c>
      <c r="Q95" s="120" t="str">
        <f t="shared" si="56"/>
        <v>NA</v>
      </c>
      <c r="R95" s="120" t="str">
        <f t="shared" si="56"/>
        <v>NA</v>
      </c>
      <c r="S95" s="120" t="str">
        <f t="shared" si="56"/>
        <v>NA</v>
      </c>
      <c r="T95" s="120" t="str">
        <f t="shared" si="56"/>
        <v>NA</v>
      </c>
      <c r="U95" s="120" t="str">
        <f t="shared" si="56"/>
        <v>NA</v>
      </c>
    </row>
    <row r="96" spans="1:21" ht="33.6" x14ac:dyDescent="0.4">
      <c r="A96" s="210">
        <v>122</v>
      </c>
      <c r="B96" s="525" t="s">
        <v>647</v>
      </c>
      <c r="C96" s="205">
        <f>SUMIFS(TM[[#All],[Member Months]],TM[[#All],[Reporting Year]],2024,TM[[#All],[Insurance Category Code]],4,TM[[#All],[Large Provider Entity Code]],A96)</f>
        <v>0</v>
      </c>
      <c r="D96" s="7" t="str">
        <f>IFERROR(SUMIFS(TM[[#All],[Total Non-Truncated Claims Spending]],TM[[#All],[Reporting Year]],2024,TM[[#All],[Insurance Category Code]],4,TM[[#All],[Large Provider Entity Code]],A96)/C96,"NA")</f>
        <v>NA</v>
      </c>
      <c r="E96" s="7" t="str">
        <f>IFERROR(SUMIFS(TM[[#All],[Total Non-Claims Spending]],TM[[#All],[Reporting Year]],2024,TM[[#All],[Insurance Category Code]],4,TM[[#All],[Large Provider Entity Code]],A96)/C96,"NA")</f>
        <v>NA</v>
      </c>
      <c r="F96" s="7" t="str">
        <f>IFERROR(SUMIFS(TM[[#All],[Total Non-Truncated Claims and Non-Claims Spending]],TM[[#All],[Reporting Year]],2024,TM[[#All],[Insurance Category Code]],4,TM[[#All],[Large Provider Entity Code]],A96)/C96,"NA")</f>
        <v>NA</v>
      </c>
      <c r="G96" s="7" t="str">
        <f>IFERROR(SUMIFS(TM[[#All],[Total Truncated Claims Spending]],TM[[#All],[Reporting Year]],2024,TM[[#All],[Insurance Category Code]],4,TM[[#All],[Large Provider Entity Code]],A96)/C96,"NA")</f>
        <v>NA</v>
      </c>
      <c r="H96" s="206" t="str">
        <f>IFERROR(SUMIFS(TM[[#All],[Total Truncated Expenses]],TM[[#All],[Reporting Year]],2024,TM[[#All],[Insurance Category Code]],4,TM[[#All],[Large Provider Entity Code]],A96)/C96,"NA")</f>
        <v>NA</v>
      </c>
      <c r="I96" s="205">
        <f>SUMIFS(TM[[#All],[Member Months]],TM[[#All],[Reporting Year]],2025,TM[[#All],[Insurance Category Code]],4,TM[[#All],[Large Provider Entity Code]],A96)</f>
        <v>0</v>
      </c>
      <c r="J96" s="119" t="str">
        <f>IFERROR(SUMIFS(TM[[#All],[Total Non-Truncated Claims Spending]],TM[[#All],[Reporting Year]],2025,TM[[#All],[Insurance Category Code]],4,TM[[#All],[Large Provider Entity Code]],A96)/I96,"NA")</f>
        <v>NA</v>
      </c>
      <c r="K96" s="119" t="str">
        <f>IFERROR(SUMIFS(TM[[#All],[Total Non-Claims Spending]],TM[[#All],[Reporting Year]],2025,TM[[#All],[Insurance Category Code]],4,TM[[#All],[Large Provider Entity Code]],A96)/I96,"NA")</f>
        <v>NA</v>
      </c>
      <c r="L96" s="119" t="str">
        <f>IFERROR(SUMIFS(TM[[#All],[Total Non-Truncated Claims and Non-Claims Spending]],TM[[#All],[Reporting Year]],2025,TM[[#All],[Insurance Category Code]],4,TM[[#All],[Large Provider Entity Code]],A96)/I96,"NA")</f>
        <v>NA</v>
      </c>
      <c r="M96" s="119" t="str">
        <f>IFERROR(SUMIFS(TM[[#All],[Total Truncated Claims Spending]],TM[[#All],[Reporting Year]],2025,TM[[#All],[Insurance Category Code]],4,TM[[#All],[Large Provider Entity Code]],A96)/I96,"NA")</f>
        <v>NA</v>
      </c>
      <c r="N96" s="206" t="str">
        <f>IFERROR(SUMIFS(TM[[#All],[Total Truncated Expenses]],TM[[#All],[Reporting Year]],2025,TM[[#All],[Insurance Category Code]],4,TM[[#All],[Large Provider Entity Code]],A96)/I96,"NA")</f>
        <v>NA</v>
      </c>
      <c r="O96" s="169" t="str">
        <f t="shared" si="57"/>
        <v>No</v>
      </c>
      <c r="P96" s="233" t="str">
        <f t="shared" si="56"/>
        <v>NA</v>
      </c>
      <c r="Q96" s="120" t="str">
        <f t="shared" si="56"/>
        <v>NA</v>
      </c>
      <c r="R96" s="120" t="str">
        <f t="shared" si="56"/>
        <v>NA</v>
      </c>
      <c r="S96" s="120" t="str">
        <f t="shared" si="56"/>
        <v>NA</v>
      </c>
      <c r="T96" s="120" t="str">
        <f t="shared" si="56"/>
        <v>NA</v>
      </c>
      <c r="U96" s="120" t="str">
        <f t="shared" si="56"/>
        <v>NA</v>
      </c>
    </row>
    <row r="97" spans="1:21" ht="33.6" x14ac:dyDescent="0.4">
      <c r="A97" s="210">
        <v>123</v>
      </c>
      <c r="B97" s="525" t="s">
        <v>614</v>
      </c>
      <c r="C97" s="205">
        <f>SUMIFS(TM[[#All],[Member Months]],TM[[#All],[Reporting Year]],2024,TM[[#All],[Insurance Category Code]],4,TM[[#All],[Large Provider Entity Code]],A97)</f>
        <v>0</v>
      </c>
      <c r="D97" s="7" t="str">
        <f>IFERROR(SUMIFS(TM[[#All],[Total Non-Truncated Claims Spending]],TM[[#All],[Reporting Year]],2024,TM[[#All],[Insurance Category Code]],4,TM[[#All],[Large Provider Entity Code]],A97)/C97,"NA")</f>
        <v>NA</v>
      </c>
      <c r="E97" s="7" t="str">
        <f>IFERROR(SUMIFS(TM[[#All],[Total Non-Claims Spending]],TM[[#All],[Reporting Year]],2024,TM[[#All],[Insurance Category Code]],4,TM[[#All],[Large Provider Entity Code]],A97)/C97,"NA")</f>
        <v>NA</v>
      </c>
      <c r="F97" s="7" t="str">
        <f>IFERROR(SUMIFS(TM[[#All],[Total Non-Truncated Claims and Non-Claims Spending]],TM[[#All],[Reporting Year]],2024,TM[[#All],[Insurance Category Code]],4,TM[[#All],[Large Provider Entity Code]],A97)/C97,"NA")</f>
        <v>NA</v>
      </c>
      <c r="G97" s="7" t="str">
        <f>IFERROR(SUMIFS(TM[[#All],[Total Truncated Claims Spending]],TM[[#All],[Reporting Year]],2024,TM[[#All],[Insurance Category Code]],4,TM[[#All],[Large Provider Entity Code]],A97)/C97,"NA")</f>
        <v>NA</v>
      </c>
      <c r="H97" s="206" t="str">
        <f>IFERROR(SUMIFS(TM[[#All],[Total Truncated Expenses]],TM[[#All],[Reporting Year]],2024,TM[[#All],[Insurance Category Code]],4,TM[[#All],[Large Provider Entity Code]],A97)/C97,"NA")</f>
        <v>NA</v>
      </c>
      <c r="I97" s="205">
        <f>SUMIFS(TM[[#All],[Member Months]],TM[[#All],[Reporting Year]],2025,TM[[#All],[Insurance Category Code]],4,TM[[#All],[Large Provider Entity Code]],A97)</f>
        <v>0</v>
      </c>
      <c r="J97" s="119" t="str">
        <f>IFERROR(SUMIFS(TM[[#All],[Total Non-Truncated Claims Spending]],TM[[#All],[Reporting Year]],2025,TM[[#All],[Insurance Category Code]],4,TM[[#All],[Large Provider Entity Code]],A97)/I97,"NA")</f>
        <v>NA</v>
      </c>
      <c r="K97" s="119" t="str">
        <f>IFERROR(SUMIFS(TM[[#All],[Total Non-Claims Spending]],TM[[#All],[Reporting Year]],2025,TM[[#All],[Insurance Category Code]],4,TM[[#All],[Large Provider Entity Code]],A97)/I97,"NA")</f>
        <v>NA</v>
      </c>
      <c r="L97" s="119" t="str">
        <f>IFERROR(SUMIFS(TM[[#All],[Total Non-Truncated Claims and Non-Claims Spending]],TM[[#All],[Reporting Year]],2025,TM[[#All],[Insurance Category Code]],4,TM[[#All],[Large Provider Entity Code]],A97)/I97,"NA")</f>
        <v>NA</v>
      </c>
      <c r="M97" s="119" t="str">
        <f>IFERROR(SUMIFS(TM[[#All],[Total Truncated Claims Spending]],TM[[#All],[Reporting Year]],2025,TM[[#All],[Insurance Category Code]],4,TM[[#All],[Large Provider Entity Code]],A97)/I97,"NA")</f>
        <v>NA</v>
      </c>
      <c r="N97" s="206" t="str">
        <f>IFERROR(SUMIFS(TM[[#All],[Total Truncated Expenses]],TM[[#All],[Reporting Year]],2025,TM[[#All],[Insurance Category Code]],4,TM[[#All],[Large Provider Entity Code]],A97)/I97,"NA")</f>
        <v>NA</v>
      </c>
      <c r="O97" s="169" t="str">
        <f t="shared" si="57"/>
        <v>No</v>
      </c>
      <c r="P97" s="233" t="str">
        <f t="shared" ref="P97:P98" si="58">IFERROR((I97/C97-1),"NA")</f>
        <v>NA</v>
      </c>
      <c r="Q97" s="120" t="str">
        <f t="shared" ref="Q97:Q98" si="59">IFERROR((J97/D97-1),"NA")</f>
        <v>NA</v>
      </c>
      <c r="R97" s="120" t="str">
        <f t="shared" ref="R97:R98" si="60">IFERROR((K97/E97-1),"NA")</f>
        <v>NA</v>
      </c>
      <c r="S97" s="120" t="str">
        <f t="shared" ref="S97:S98" si="61">IFERROR((L97/F97-1),"NA")</f>
        <v>NA</v>
      </c>
      <c r="T97" s="120" t="str">
        <f t="shared" ref="T97:T98" si="62">IFERROR((M97/G97-1),"NA")</f>
        <v>NA</v>
      </c>
      <c r="U97" s="120" t="str">
        <f t="shared" ref="U97:U98" si="63">IFERROR((N97/H97-1),"NA")</f>
        <v>NA</v>
      </c>
    </row>
    <row r="98" spans="1:21" x14ac:dyDescent="0.4">
      <c r="A98" s="210">
        <v>124</v>
      </c>
      <c r="B98" s="525" t="s">
        <v>615</v>
      </c>
      <c r="C98" s="205">
        <f>SUMIFS(TM[[#All],[Member Months]],TM[[#All],[Reporting Year]],2024,TM[[#All],[Insurance Category Code]],4,TM[[#All],[Large Provider Entity Code]],A98)</f>
        <v>0</v>
      </c>
      <c r="D98" s="7" t="str">
        <f>IFERROR(SUMIFS(TM[[#All],[Total Non-Truncated Claims Spending]],TM[[#All],[Reporting Year]],2024,TM[[#All],[Insurance Category Code]],4,TM[[#All],[Large Provider Entity Code]],A98)/C98,"NA")</f>
        <v>NA</v>
      </c>
      <c r="E98" s="7" t="str">
        <f>IFERROR(SUMIFS(TM[[#All],[Total Non-Claims Spending]],TM[[#All],[Reporting Year]],2024,TM[[#All],[Insurance Category Code]],4,TM[[#All],[Large Provider Entity Code]],A98)/C98,"NA")</f>
        <v>NA</v>
      </c>
      <c r="F98" s="7" t="str">
        <f>IFERROR(SUMIFS(TM[[#All],[Total Non-Truncated Claims and Non-Claims Spending]],TM[[#All],[Reporting Year]],2024,TM[[#All],[Insurance Category Code]],4,TM[[#All],[Large Provider Entity Code]],A98)/C98,"NA")</f>
        <v>NA</v>
      </c>
      <c r="G98" s="7" t="str">
        <f>IFERROR(SUMIFS(TM[[#All],[Total Truncated Claims Spending]],TM[[#All],[Reporting Year]],2024,TM[[#All],[Insurance Category Code]],4,TM[[#All],[Large Provider Entity Code]],A98)/C98,"NA")</f>
        <v>NA</v>
      </c>
      <c r="H98" s="206" t="str">
        <f>IFERROR(SUMIFS(TM[[#All],[Total Truncated Expenses]],TM[[#All],[Reporting Year]],2024,TM[[#All],[Insurance Category Code]],4,TM[[#All],[Large Provider Entity Code]],A98)/C98,"NA")</f>
        <v>NA</v>
      </c>
      <c r="I98" s="205">
        <f>SUMIFS(TM[[#All],[Member Months]],TM[[#All],[Reporting Year]],2025,TM[[#All],[Insurance Category Code]],4,TM[[#All],[Large Provider Entity Code]],A98)</f>
        <v>0</v>
      </c>
      <c r="J98" s="119" t="str">
        <f>IFERROR(SUMIFS(TM[[#All],[Total Non-Truncated Claims Spending]],TM[[#All],[Reporting Year]],2025,TM[[#All],[Insurance Category Code]],4,TM[[#All],[Large Provider Entity Code]],A98)/I98,"NA")</f>
        <v>NA</v>
      </c>
      <c r="K98" s="119" t="str">
        <f>IFERROR(SUMIFS(TM[[#All],[Total Non-Claims Spending]],TM[[#All],[Reporting Year]],2025,TM[[#All],[Insurance Category Code]],4,TM[[#All],[Large Provider Entity Code]],A98)/I98,"NA")</f>
        <v>NA</v>
      </c>
      <c r="L98" s="119" t="str">
        <f>IFERROR(SUMIFS(TM[[#All],[Total Non-Truncated Claims and Non-Claims Spending]],TM[[#All],[Reporting Year]],2025,TM[[#All],[Insurance Category Code]],4,TM[[#All],[Large Provider Entity Code]],A98)/I98,"NA")</f>
        <v>NA</v>
      </c>
      <c r="M98" s="119" t="str">
        <f>IFERROR(SUMIFS(TM[[#All],[Total Truncated Claims Spending]],TM[[#All],[Reporting Year]],2025,TM[[#All],[Insurance Category Code]],4,TM[[#All],[Large Provider Entity Code]],A98)/I98,"NA")</f>
        <v>NA</v>
      </c>
      <c r="N98" s="206" t="str">
        <f>IFERROR(SUMIFS(TM[[#All],[Total Truncated Expenses]],TM[[#All],[Reporting Year]],2025,TM[[#All],[Insurance Category Code]],4,TM[[#All],[Large Provider Entity Code]],A98)/I98,"NA")</f>
        <v>NA</v>
      </c>
      <c r="O98" s="169" t="str">
        <f t="shared" si="57"/>
        <v>No</v>
      </c>
      <c r="P98" s="233" t="str">
        <f t="shared" si="58"/>
        <v>NA</v>
      </c>
      <c r="Q98" s="120" t="str">
        <f t="shared" si="59"/>
        <v>NA</v>
      </c>
      <c r="R98" s="120" t="str">
        <f t="shared" si="60"/>
        <v>NA</v>
      </c>
      <c r="S98" s="120" t="str">
        <f t="shared" si="61"/>
        <v>NA</v>
      </c>
      <c r="T98" s="120" t="str">
        <f t="shared" si="62"/>
        <v>NA</v>
      </c>
      <c r="U98" s="120" t="str">
        <f t="shared" si="63"/>
        <v>NA</v>
      </c>
    </row>
    <row r="99" spans="1:21" x14ac:dyDescent="0.4">
      <c r="A99" s="462">
        <v>125</v>
      </c>
      <c r="B99" s="525" t="s">
        <v>638</v>
      </c>
      <c r="C99" s="205">
        <f>SUMIFS(TM[[#All],[Member Months]],TM[[#All],[Reporting Year]],2024,TM[[#All],[Insurance Category Code]],4,TM[[#All],[Large Provider Entity Code]],A99)</f>
        <v>0</v>
      </c>
      <c r="D99" s="7" t="str">
        <f>IFERROR(SUMIFS(TM[[#All],[Total Non-Truncated Claims Spending]],TM[[#All],[Reporting Year]],2024,TM[[#All],[Insurance Category Code]],4,TM[[#All],[Large Provider Entity Code]],A99)/C99,"NA")</f>
        <v>NA</v>
      </c>
      <c r="E99" s="7" t="str">
        <f>IFERROR(SUMIFS(TM[[#All],[Total Non-Claims Spending]],TM[[#All],[Reporting Year]],2024,TM[[#All],[Insurance Category Code]],4,TM[[#All],[Large Provider Entity Code]],A99)/C99,"NA")</f>
        <v>NA</v>
      </c>
      <c r="F99" s="7" t="str">
        <f>IFERROR(SUMIFS(TM[[#All],[Total Non-Truncated Claims and Non-Claims Spending]],TM[[#All],[Reporting Year]],2024,TM[[#All],[Insurance Category Code]],4,TM[[#All],[Large Provider Entity Code]],A99)/C99,"NA")</f>
        <v>NA</v>
      </c>
      <c r="G99" s="7" t="str">
        <f>IFERROR(SUMIFS(TM[[#All],[Total Truncated Claims Spending]],TM[[#All],[Reporting Year]],2024,TM[[#All],[Insurance Category Code]],4,TM[[#All],[Large Provider Entity Code]],A99)/C99,"NA")</f>
        <v>NA</v>
      </c>
      <c r="H99" s="206" t="str">
        <f>IFERROR(SUMIFS(TM[[#All],[Total Truncated Expenses]],TM[[#All],[Reporting Year]],2024,TM[[#All],[Insurance Category Code]],4,TM[[#All],[Large Provider Entity Code]],A99)/C99,"NA")</f>
        <v>NA</v>
      </c>
      <c r="I99" s="205">
        <f>SUMIFS(TM[[#All],[Member Months]],TM[[#All],[Reporting Year]],2025,TM[[#All],[Insurance Category Code]],4,TM[[#All],[Large Provider Entity Code]],A99)</f>
        <v>0</v>
      </c>
      <c r="J99" s="119" t="str">
        <f>IFERROR(SUMIFS(TM[[#All],[Total Non-Truncated Claims Spending]],TM[[#All],[Reporting Year]],2025,TM[[#All],[Insurance Category Code]],4,TM[[#All],[Large Provider Entity Code]],A99)/I99,"NA")</f>
        <v>NA</v>
      </c>
      <c r="K99" s="119" t="str">
        <f>IFERROR(SUMIFS(TM[[#All],[Total Non-Claims Spending]],TM[[#All],[Reporting Year]],2025,TM[[#All],[Insurance Category Code]],4,TM[[#All],[Large Provider Entity Code]],A99)/I99,"NA")</f>
        <v>NA</v>
      </c>
      <c r="L99" s="119" t="str">
        <f>IFERROR(SUMIFS(TM[[#All],[Total Non-Truncated Claims and Non-Claims Spending]],TM[[#All],[Reporting Year]],2025,TM[[#All],[Insurance Category Code]],4,TM[[#All],[Large Provider Entity Code]],A99)/I99,"NA")</f>
        <v>NA</v>
      </c>
      <c r="M99" s="119" t="str">
        <f>IFERROR(SUMIFS(TM[[#All],[Total Truncated Claims Spending]],TM[[#All],[Reporting Year]],2025,TM[[#All],[Insurance Category Code]],4,TM[[#All],[Large Provider Entity Code]],A99)/I99,"NA")</f>
        <v>NA</v>
      </c>
      <c r="N99" s="206" t="str">
        <f>IFERROR(SUMIFS(TM[[#All],[Total Truncated Expenses]],TM[[#All],[Reporting Year]],2025,TM[[#All],[Insurance Category Code]],4,TM[[#All],[Large Provider Entity Code]],A99)/I99,"NA")</f>
        <v>NA</v>
      </c>
      <c r="O99" s="169" t="str">
        <f t="shared" ref="O99:O102" si="64">IFERROR(IF(AND(C99&gt;12000,I99&gt;12000),"Yes","No"),"NA")</f>
        <v>No</v>
      </c>
      <c r="P99" s="233" t="str">
        <f t="shared" ref="P99:P102" si="65">IFERROR((I99/C99-1),"NA")</f>
        <v>NA</v>
      </c>
      <c r="Q99" s="120" t="str">
        <f t="shared" ref="Q99:Q102" si="66">IFERROR((J99/D99-1),"NA")</f>
        <v>NA</v>
      </c>
      <c r="R99" s="120" t="str">
        <f t="shared" ref="R99:R102" si="67">IFERROR((K99/E99-1),"NA")</f>
        <v>NA</v>
      </c>
      <c r="S99" s="120" t="str">
        <f t="shared" ref="S99:S102" si="68">IFERROR((L99/F99-1),"NA")</f>
        <v>NA</v>
      </c>
      <c r="T99" s="120" t="str">
        <f t="shared" ref="T99:T102" si="69">IFERROR((M99/G99-1),"NA")</f>
        <v>NA</v>
      </c>
      <c r="U99" s="120" t="str">
        <f t="shared" ref="U99:U102" si="70">IFERROR((N99/H99-1),"NA")</f>
        <v>NA</v>
      </c>
    </row>
    <row r="100" spans="1:21" x14ac:dyDescent="0.4">
      <c r="A100" s="462">
        <v>126</v>
      </c>
      <c r="B100" s="525" t="s">
        <v>639</v>
      </c>
      <c r="C100" s="205">
        <f>SUMIFS(TM[[#All],[Member Months]],TM[[#All],[Reporting Year]],2024,TM[[#All],[Insurance Category Code]],4,TM[[#All],[Large Provider Entity Code]],A100)</f>
        <v>0</v>
      </c>
      <c r="D100" s="7" t="str">
        <f>IFERROR(SUMIFS(TM[[#All],[Total Non-Truncated Claims Spending]],TM[[#All],[Reporting Year]],2024,TM[[#All],[Insurance Category Code]],4,TM[[#All],[Large Provider Entity Code]],A100)/C100,"NA")</f>
        <v>NA</v>
      </c>
      <c r="E100" s="7" t="str">
        <f>IFERROR(SUMIFS(TM[[#All],[Total Non-Claims Spending]],TM[[#All],[Reporting Year]],2024,TM[[#All],[Insurance Category Code]],4,TM[[#All],[Large Provider Entity Code]],A100)/C100,"NA")</f>
        <v>NA</v>
      </c>
      <c r="F100" s="7" t="str">
        <f>IFERROR(SUMIFS(TM[[#All],[Total Non-Truncated Claims and Non-Claims Spending]],TM[[#All],[Reporting Year]],2024,TM[[#All],[Insurance Category Code]],4,TM[[#All],[Large Provider Entity Code]],A100)/C100,"NA")</f>
        <v>NA</v>
      </c>
      <c r="G100" s="7" t="str">
        <f>IFERROR(SUMIFS(TM[[#All],[Total Truncated Claims Spending]],TM[[#All],[Reporting Year]],2024,TM[[#All],[Insurance Category Code]],4,TM[[#All],[Large Provider Entity Code]],A100)/C100,"NA")</f>
        <v>NA</v>
      </c>
      <c r="H100" s="206" t="str">
        <f>IFERROR(SUMIFS(TM[[#All],[Total Truncated Expenses]],TM[[#All],[Reporting Year]],2024,TM[[#All],[Insurance Category Code]],4,TM[[#All],[Large Provider Entity Code]],A100)/C100,"NA")</f>
        <v>NA</v>
      </c>
      <c r="I100" s="205">
        <f>SUMIFS(TM[[#All],[Member Months]],TM[[#All],[Reporting Year]],2025,TM[[#All],[Insurance Category Code]],4,TM[[#All],[Large Provider Entity Code]],A100)</f>
        <v>0</v>
      </c>
      <c r="J100" s="119" t="str">
        <f>IFERROR(SUMIFS(TM[[#All],[Total Non-Truncated Claims Spending]],TM[[#All],[Reporting Year]],2025,TM[[#All],[Insurance Category Code]],4,TM[[#All],[Large Provider Entity Code]],A100)/I100,"NA")</f>
        <v>NA</v>
      </c>
      <c r="K100" s="119" t="str">
        <f>IFERROR(SUMIFS(TM[[#All],[Total Non-Claims Spending]],TM[[#All],[Reporting Year]],2025,TM[[#All],[Insurance Category Code]],4,TM[[#All],[Large Provider Entity Code]],A100)/I100,"NA")</f>
        <v>NA</v>
      </c>
      <c r="L100" s="119" t="str">
        <f>IFERROR(SUMIFS(TM[[#All],[Total Non-Truncated Claims and Non-Claims Spending]],TM[[#All],[Reporting Year]],2025,TM[[#All],[Insurance Category Code]],4,TM[[#All],[Large Provider Entity Code]],A100)/I100,"NA")</f>
        <v>NA</v>
      </c>
      <c r="M100" s="119" t="str">
        <f>IFERROR(SUMIFS(TM[[#All],[Total Truncated Claims Spending]],TM[[#All],[Reporting Year]],2025,TM[[#All],[Insurance Category Code]],4,TM[[#All],[Large Provider Entity Code]],A100)/I100,"NA")</f>
        <v>NA</v>
      </c>
      <c r="N100" s="206" t="str">
        <f>IFERROR(SUMIFS(TM[[#All],[Total Truncated Expenses]],TM[[#All],[Reporting Year]],2025,TM[[#All],[Insurance Category Code]],4,TM[[#All],[Large Provider Entity Code]],A100)/I100,"NA")</f>
        <v>NA</v>
      </c>
      <c r="O100" s="169" t="str">
        <f t="shared" si="64"/>
        <v>No</v>
      </c>
      <c r="P100" s="233" t="str">
        <f t="shared" si="65"/>
        <v>NA</v>
      </c>
      <c r="Q100" s="120" t="str">
        <f t="shared" si="66"/>
        <v>NA</v>
      </c>
      <c r="R100" s="120" t="str">
        <f t="shared" si="67"/>
        <v>NA</v>
      </c>
      <c r="S100" s="120" t="str">
        <f t="shared" si="68"/>
        <v>NA</v>
      </c>
      <c r="T100" s="120" t="str">
        <f t="shared" si="69"/>
        <v>NA</v>
      </c>
      <c r="U100" s="120" t="str">
        <f t="shared" si="70"/>
        <v>NA</v>
      </c>
    </row>
    <row r="101" spans="1:21" ht="33.6" x14ac:dyDescent="0.4">
      <c r="A101" s="462">
        <v>127</v>
      </c>
      <c r="B101" s="525" t="s">
        <v>640</v>
      </c>
      <c r="C101" s="205">
        <f>SUMIFS(TM[[#All],[Member Months]],TM[[#All],[Reporting Year]],2024,TM[[#All],[Insurance Category Code]],4,TM[[#All],[Large Provider Entity Code]],A101)</f>
        <v>0</v>
      </c>
      <c r="D101" s="7" t="str">
        <f>IFERROR(SUMIFS(TM[[#All],[Total Non-Truncated Claims Spending]],TM[[#All],[Reporting Year]],2024,TM[[#All],[Insurance Category Code]],4,TM[[#All],[Large Provider Entity Code]],A101)/C101,"NA")</f>
        <v>NA</v>
      </c>
      <c r="E101" s="7" t="str">
        <f>IFERROR(SUMIFS(TM[[#All],[Total Non-Claims Spending]],TM[[#All],[Reporting Year]],2024,TM[[#All],[Insurance Category Code]],4,TM[[#All],[Large Provider Entity Code]],A101)/C101,"NA")</f>
        <v>NA</v>
      </c>
      <c r="F101" s="7" t="str">
        <f>IFERROR(SUMIFS(TM[[#All],[Total Non-Truncated Claims and Non-Claims Spending]],TM[[#All],[Reporting Year]],2024,TM[[#All],[Insurance Category Code]],4,TM[[#All],[Large Provider Entity Code]],A101)/C101,"NA")</f>
        <v>NA</v>
      </c>
      <c r="G101" s="7" t="str">
        <f>IFERROR(SUMIFS(TM[[#All],[Total Truncated Claims Spending]],TM[[#All],[Reporting Year]],2024,TM[[#All],[Insurance Category Code]],4,TM[[#All],[Large Provider Entity Code]],A101)/C101,"NA")</f>
        <v>NA</v>
      </c>
      <c r="H101" s="206" t="str">
        <f>IFERROR(SUMIFS(TM[[#All],[Total Truncated Expenses]],TM[[#All],[Reporting Year]],2024,TM[[#All],[Insurance Category Code]],4,TM[[#All],[Large Provider Entity Code]],A101)/C101,"NA")</f>
        <v>NA</v>
      </c>
      <c r="I101" s="205">
        <f>SUMIFS(TM[[#All],[Member Months]],TM[[#All],[Reporting Year]],2025,TM[[#All],[Insurance Category Code]],4,TM[[#All],[Large Provider Entity Code]],A101)</f>
        <v>0</v>
      </c>
      <c r="J101" s="119" t="str">
        <f>IFERROR(SUMIFS(TM[[#All],[Total Non-Truncated Claims Spending]],TM[[#All],[Reporting Year]],2025,TM[[#All],[Insurance Category Code]],4,TM[[#All],[Large Provider Entity Code]],A101)/I101,"NA")</f>
        <v>NA</v>
      </c>
      <c r="K101" s="119" t="str">
        <f>IFERROR(SUMIFS(TM[[#All],[Total Non-Claims Spending]],TM[[#All],[Reporting Year]],2025,TM[[#All],[Insurance Category Code]],4,TM[[#All],[Large Provider Entity Code]],A101)/I101,"NA")</f>
        <v>NA</v>
      </c>
      <c r="L101" s="119" t="str">
        <f>IFERROR(SUMIFS(TM[[#All],[Total Non-Truncated Claims and Non-Claims Spending]],TM[[#All],[Reporting Year]],2025,TM[[#All],[Insurance Category Code]],4,TM[[#All],[Large Provider Entity Code]],A101)/I101,"NA")</f>
        <v>NA</v>
      </c>
      <c r="M101" s="119" t="str">
        <f>IFERROR(SUMIFS(TM[[#All],[Total Truncated Claims Spending]],TM[[#All],[Reporting Year]],2025,TM[[#All],[Insurance Category Code]],4,TM[[#All],[Large Provider Entity Code]],A101)/I101,"NA")</f>
        <v>NA</v>
      </c>
      <c r="N101" s="206" t="str">
        <f>IFERROR(SUMIFS(TM[[#All],[Total Truncated Expenses]],TM[[#All],[Reporting Year]],2025,TM[[#All],[Insurance Category Code]],4,TM[[#All],[Large Provider Entity Code]],A101)/I101,"NA")</f>
        <v>NA</v>
      </c>
      <c r="O101" s="169" t="str">
        <f t="shared" si="64"/>
        <v>No</v>
      </c>
      <c r="P101" s="233" t="str">
        <f t="shared" si="65"/>
        <v>NA</v>
      </c>
      <c r="Q101" s="120" t="str">
        <f t="shared" si="66"/>
        <v>NA</v>
      </c>
      <c r="R101" s="120" t="str">
        <f t="shared" si="67"/>
        <v>NA</v>
      </c>
      <c r="S101" s="120" t="str">
        <f t="shared" si="68"/>
        <v>NA</v>
      </c>
      <c r="T101" s="120" t="str">
        <f t="shared" si="69"/>
        <v>NA</v>
      </c>
      <c r="U101" s="120" t="str">
        <f t="shared" si="70"/>
        <v>NA</v>
      </c>
    </row>
    <row r="102" spans="1:21" x14ac:dyDescent="0.4">
      <c r="A102" s="462">
        <v>128</v>
      </c>
      <c r="B102" s="525" t="s">
        <v>641</v>
      </c>
      <c r="C102" s="205">
        <f>SUMIFS(TM[[#All],[Member Months]],TM[[#All],[Reporting Year]],2024,TM[[#All],[Insurance Category Code]],4,TM[[#All],[Large Provider Entity Code]],A102)</f>
        <v>0</v>
      </c>
      <c r="D102" s="7" t="str">
        <f>IFERROR(SUMIFS(TM[[#All],[Total Non-Truncated Claims Spending]],TM[[#All],[Reporting Year]],2024,TM[[#All],[Insurance Category Code]],4,TM[[#All],[Large Provider Entity Code]],A102)/C102,"NA")</f>
        <v>NA</v>
      </c>
      <c r="E102" s="7" t="str">
        <f>IFERROR(SUMIFS(TM[[#All],[Total Non-Claims Spending]],TM[[#All],[Reporting Year]],2024,TM[[#All],[Insurance Category Code]],4,TM[[#All],[Large Provider Entity Code]],A102)/C102,"NA")</f>
        <v>NA</v>
      </c>
      <c r="F102" s="7" t="str">
        <f>IFERROR(SUMIFS(TM[[#All],[Total Non-Truncated Claims and Non-Claims Spending]],TM[[#All],[Reporting Year]],2024,TM[[#All],[Insurance Category Code]],4,TM[[#All],[Large Provider Entity Code]],A102)/C102,"NA")</f>
        <v>NA</v>
      </c>
      <c r="G102" s="7" t="str">
        <f>IFERROR(SUMIFS(TM[[#All],[Total Truncated Claims Spending]],TM[[#All],[Reporting Year]],2024,TM[[#All],[Insurance Category Code]],4,TM[[#All],[Large Provider Entity Code]],A102)/C102,"NA")</f>
        <v>NA</v>
      </c>
      <c r="H102" s="206" t="str">
        <f>IFERROR(SUMIFS(TM[[#All],[Total Truncated Expenses]],TM[[#All],[Reporting Year]],2024,TM[[#All],[Insurance Category Code]],4,TM[[#All],[Large Provider Entity Code]],A102)/C102,"NA")</f>
        <v>NA</v>
      </c>
      <c r="I102" s="205">
        <f>SUMIFS(TM[[#All],[Member Months]],TM[[#All],[Reporting Year]],2025,TM[[#All],[Insurance Category Code]],4,TM[[#All],[Large Provider Entity Code]],A102)</f>
        <v>0</v>
      </c>
      <c r="J102" s="119" t="str">
        <f>IFERROR(SUMIFS(TM[[#All],[Total Non-Truncated Claims Spending]],TM[[#All],[Reporting Year]],2025,TM[[#All],[Insurance Category Code]],4,TM[[#All],[Large Provider Entity Code]],A102)/I102,"NA")</f>
        <v>NA</v>
      </c>
      <c r="K102" s="119" t="str">
        <f>IFERROR(SUMIFS(TM[[#All],[Total Non-Claims Spending]],TM[[#All],[Reporting Year]],2025,TM[[#All],[Insurance Category Code]],4,TM[[#All],[Large Provider Entity Code]],A102)/I102,"NA")</f>
        <v>NA</v>
      </c>
      <c r="L102" s="119" t="str">
        <f>IFERROR(SUMIFS(TM[[#All],[Total Non-Truncated Claims and Non-Claims Spending]],TM[[#All],[Reporting Year]],2025,TM[[#All],[Insurance Category Code]],4,TM[[#All],[Large Provider Entity Code]],A102)/I102,"NA")</f>
        <v>NA</v>
      </c>
      <c r="M102" s="119" t="str">
        <f>IFERROR(SUMIFS(TM[[#All],[Total Truncated Claims Spending]],TM[[#All],[Reporting Year]],2025,TM[[#All],[Insurance Category Code]],4,TM[[#All],[Large Provider Entity Code]],A102)/I102,"NA")</f>
        <v>NA</v>
      </c>
      <c r="N102" s="206" t="str">
        <f>IFERROR(SUMIFS(TM[[#All],[Total Truncated Expenses]],TM[[#All],[Reporting Year]],2025,TM[[#All],[Insurance Category Code]],4,TM[[#All],[Large Provider Entity Code]],A102)/I102,"NA")</f>
        <v>NA</v>
      </c>
      <c r="O102" s="169" t="str">
        <f t="shared" si="64"/>
        <v>No</v>
      </c>
      <c r="P102" s="233" t="str">
        <f t="shared" si="65"/>
        <v>NA</v>
      </c>
      <c r="Q102" s="120" t="str">
        <f t="shared" si="66"/>
        <v>NA</v>
      </c>
      <c r="R102" s="120" t="str">
        <f t="shared" si="67"/>
        <v>NA</v>
      </c>
      <c r="S102" s="120" t="str">
        <f t="shared" si="68"/>
        <v>NA</v>
      </c>
      <c r="T102" s="120" t="str">
        <f t="shared" si="69"/>
        <v>NA</v>
      </c>
      <c r="U102" s="120" t="str">
        <f t="shared" si="70"/>
        <v>NA</v>
      </c>
    </row>
    <row r="103" spans="1:21" x14ac:dyDescent="0.4">
      <c r="A103" s="210">
        <v>999</v>
      </c>
      <c r="B103" s="525" t="s">
        <v>71</v>
      </c>
      <c r="C103" s="205">
        <f>SUMIFS(TM[[#All],[Member Months]],TM[[#All],[Reporting Year]],2024,TM[[#All],[Insurance Category Code]],4,TM[[#All],[Large Provider Entity Code]],A103)</f>
        <v>0</v>
      </c>
      <c r="D103" s="7" t="str">
        <f>IFERROR(SUMIFS(TM[[#All],[Total Non-Truncated Claims Spending]],TM[[#All],[Reporting Year]],2024,TM[[#All],[Insurance Category Code]],4,TM[[#All],[Large Provider Entity Code]],A103)/C103,"NA")</f>
        <v>NA</v>
      </c>
      <c r="E103" s="7" t="str">
        <f>IFERROR(SUMIFS(TM[[#All],[Total Non-Claims Spending]],TM[[#All],[Reporting Year]],2024,TM[[#All],[Insurance Category Code]],4,TM[[#All],[Large Provider Entity Code]],A103)/C103,"NA")</f>
        <v>NA</v>
      </c>
      <c r="F103" s="7" t="str">
        <f>IFERROR(SUMIFS(TM[[#All],[Total Non-Truncated Claims and Non-Claims Spending]],TM[[#All],[Reporting Year]],2024,TM[[#All],[Insurance Category Code]],4,TM[[#All],[Large Provider Entity Code]],A103)/C103,"NA")</f>
        <v>NA</v>
      </c>
      <c r="G103" s="7" t="str">
        <f>IFERROR(SUMIFS(TM[[#All],[Total Truncated Claims Spending]],TM[[#All],[Reporting Year]],2024,TM[[#All],[Insurance Category Code]],4,TM[[#All],[Large Provider Entity Code]],A103)/C103,"NA")</f>
        <v>NA</v>
      </c>
      <c r="H103" s="206" t="str">
        <f>IFERROR(SUMIFS(TM[[#All],[Total Truncated Expenses]],TM[[#All],[Reporting Year]],2024,TM[[#All],[Insurance Category Code]],4,TM[[#All],[Large Provider Entity Code]],A103)/C103,"NA")</f>
        <v>NA</v>
      </c>
      <c r="I103" s="205">
        <f>SUMIFS(TM[[#All],[Member Months]],TM[[#All],[Reporting Year]],2025,TM[[#All],[Insurance Category Code]],4,TM[[#All],[Large Provider Entity Code]],A103)</f>
        <v>0</v>
      </c>
      <c r="J103" s="119" t="str">
        <f>IFERROR(SUMIFS(TM[[#All],[Total Non-Truncated Claims Spending]],TM[[#All],[Reporting Year]],2025,TM[[#All],[Insurance Category Code]],4,TM[[#All],[Large Provider Entity Code]],A103)/I103,"NA")</f>
        <v>NA</v>
      </c>
      <c r="K103" s="119" t="str">
        <f>IFERROR(SUMIFS(TM[[#All],[Total Non-Claims Spending]],TM[[#All],[Reporting Year]],2025,TM[[#All],[Insurance Category Code]],4,TM[[#All],[Large Provider Entity Code]],A103)/I103,"NA")</f>
        <v>NA</v>
      </c>
      <c r="L103" s="119" t="str">
        <f>IFERROR(SUMIFS(TM[[#All],[Total Non-Truncated Claims and Non-Claims Spending]],TM[[#All],[Reporting Year]],2025,TM[[#All],[Insurance Category Code]],4,TM[[#All],[Large Provider Entity Code]],A103)/I103,"NA")</f>
        <v>NA</v>
      </c>
      <c r="M103" s="119" t="str">
        <f>IFERROR(SUMIFS(TM[[#All],[Total Truncated Claims Spending]],TM[[#All],[Reporting Year]],2025,TM[[#All],[Insurance Category Code]],4,TM[[#All],[Large Provider Entity Code]],A103)/I103,"NA")</f>
        <v>NA</v>
      </c>
      <c r="N103" s="90" t="str">
        <f>IFERROR(SUMIFS(TM[[#All],[Total Truncated Expenses]],TM[[#All],[Reporting Year]],2025,TM[[#All],[Insurance Category Code]],4,TM[[#All],[Large Provider Entity Code]],A103)/I103,"NA")</f>
        <v>NA</v>
      </c>
      <c r="O103" s="169" t="str">
        <f>IFERROR(IF(AND(C103&gt;12000,I103&gt;12000),"Yes","No"),"NA")</f>
        <v>No</v>
      </c>
      <c r="P103" s="233" t="str">
        <f t="shared" si="56"/>
        <v>NA</v>
      </c>
      <c r="Q103" s="120" t="str">
        <f t="shared" si="56"/>
        <v>NA</v>
      </c>
      <c r="R103" s="120" t="str">
        <f t="shared" si="56"/>
        <v>NA</v>
      </c>
      <c r="S103" s="120" t="str">
        <f t="shared" si="56"/>
        <v>NA</v>
      </c>
      <c r="T103" s="120" t="str">
        <f t="shared" si="56"/>
        <v>NA</v>
      </c>
      <c r="U103" s="120" t="str">
        <f t="shared" si="56"/>
        <v>NA</v>
      </c>
    </row>
    <row r="104" spans="1:21" ht="30" customHeight="1" x14ac:dyDescent="0.4">
      <c r="A104" s="572" t="s">
        <v>523</v>
      </c>
      <c r="B104" s="573"/>
      <c r="C104" s="158">
        <f>SUM(C80:C103)</f>
        <v>0</v>
      </c>
      <c r="D104" s="124" t="str">
        <f>IFERROR((SUMPRODUCT(D80:D103,C80:C103)/C104),"NA")</f>
        <v>NA</v>
      </c>
      <c r="E104" s="124" t="str">
        <f>IFERROR((SUMPRODUCT(E80:E103,C80:C103)/C104),"NA")</f>
        <v>NA</v>
      </c>
      <c r="F104" s="124" t="str">
        <f>IFERROR((SUMPRODUCT(F80:F103,C80:C103)/C104),"NA")</f>
        <v>NA</v>
      </c>
      <c r="G104" s="124" t="str">
        <f>IFERROR((SUMPRODUCT(G80:G103,C80:C103)/C104),"NA")</f>
        <v>NA</v>
      </c>
      <c r="H104" s="124" t="str">
        <f>IFERROR((SUMPRODUCT(H80:H103,C80:C103)/C104),"NA")</f>
        <v>NA</v>
      </c>
      <c r="I104" s="158">
        <f>SUM(I80:I103)</f>
        <v>0</v>
      </c>
      <c r="J104" s="124" t="str">
        <f>IFERROR((SUMPRODUCT(J80:J103,I80:I103)/I104),"NA")</f>
        <v>NA</v>
      </c>
      <c r="K104" s="124" t="str">
        <f>IFERROR((SUMPRODUCT(K80:K103,I80:I103)/I104),"NA")</f>
        <v>NA</v>
      </c>
      <c r="L104" s="124" t="str">
        <f>IFERROR((SUMPRODUCT(L80:L103,I80:I103)/I104),"NA")</f>
        <v>NA</v>
      </c>
      <c r="M104" s="124" t="str">
        <f>IFERROR((SUMPRODUCT(M80:M103,I80:I103)/I104),"NA")</f>
        <v>NA</v>
      </c>
      <c r="N104" s="198" t="str">
        <f>IFERROR((SUMPRODUCT(N80:N103,I80:I103)/I104),"NA")</f>
        <v>NA</v>
      </c>
      <c r="O104" s="434" t="s">
        <v>470</v>
      </c>
      <c r="P104" s="390" t="s">
        <v>470</v>
      </c>
      <c r="Q104" s="389" t="s">
        <v>470</v>
      </c>
      <c r="R104" s="389" t="s">
        <v>470</v>
      </c>
      <c r="S104" s="389" t="s">
        <v>470</v>
      </c>
      <c r="T104" s="389" t="s">
        <v>470</v>
      </c>
      <c r="U104" s="389" t="s">
        <v>470</v>
      </c>
    </row>
    <row r="105" spans="1:21" x14ac:dyDescent="0.4">
      <c r="A105" s="574" t="s">
        <v>519</v>
      </c>
      <c r="B105" s="575"/>
      <c r="C105" s="158" t="s">
        <v>470</v>
      </c>
      <c r="D105" s="123" t="str">
        <f>IFERROR(((SUMPRODUCT(D79,$C$79))-ABS(SUMIFS(RX[[#All],[Total Medical and Retail Pharmacy Rebate Amount]],RX[[#All],[Reporting Year]],2024,RX[[#All],[Insurance Category Code]],4)))/$C$104,"NA")</f>
        <v>NA</v>
      </c>
      <c r="E105" s="123" t="str">
        <f>IFERROR(((SUMPRODUCT(E79,$C$79))-ABS(SUMIFS(RX[[#All],[Total Medical and Retail Pharmacy Rebate Amount]],RX[[#All],[Reporting Year]],2024,RX[[#All],[Insurance Category Code]],4)))/$C$104,"NA")</f>
        <v>NA</v>
      </c>
      <c r="F105" s="123" t="str">
        <f>IFERROR(((SUMPRODUCT(F79,$C$79))-ABS(SUMIFS(RX[[#All],[Total Medical and Retail Pharmacy Rebate Amount]],RX[[#All],[Reporting Year]],2024,RX[[#All],[Insurance Category Code]],4)))/$C$104,"NA")</f>
        <v>NA</v>
      </c>
      <c r="G105" s="123" t="str">
        <f>IFERROR(((SUMPRODUCT(G79,$C$79))-ABS(SUMIFS(RX[[#All],[Total Medical and Retail Pharmacy Rebate Amount]],RX[[#All],[Reporting Year]],2024,RX[[#All],[Insurance Category Code]],4)))/$C$104,"NA")</f>
        <v>NA</v>
      </c>
      <c r="H105" s="123" t="str">
        <f>IFERROR(((SUMPRODUCT(H79,$C$79))-ABS(SUMIFS(RX[[#All],[Total Medical and Retail Pharmacy Rebate Amount]],RX[[#All],[Reporting Year]],2024,RX[[#All],[Insurance Category Code]],4)))/$C$104,"NA")</f>
        <v>NA</v>
      </c>
      <c r="I105" s="158" t="s">
        <v>470</v>
      </c>
      <c r="J105" s="123" t="str">
        <f>IFERROR(((SUMPRODUCT(J79,$I$79))-ABS(SUMIFS(RX[[#All],[Total Medical and Retail Pharmacy Rebate Amount]],RX[[#All],[Reporting Year]],2025,RX[[#All],[Insurance Category Code]],4)))/$I$104,"NA")</f>
        <v>NA</v>
      </c>
      <c r="K105" s="123" t="str">
        <f>IFERROR(((SUMPRODUCT(K79,$I$79))-ABS(SUMIFS(RX[[#All],[Total Medical and Retail Pharmacy Rebate Amount]],RX[[#All],[Reporting Year]],2025,RX[[#All],[Insurance Category Code]],4)))/$I$104,"NA")</f>
        <v>NA</v>
      </c>
      <c r="L105" s="123" t="str">
        <f>IFERROR(((SUMPRODUCT(L79,$I$79))-ABS(SUMIFS(RX[[#All],[Total Medical and Retail Pharmacy Rebate Amount]],RX[[#All],[Reporting Year]],2025,RX[[#All],[Insurance Category Code]],4)))/$I$104,"NA")</f>
        <v>NA</v>
      </c>
      <c r="M105" s="123" t="str">
        <f>IFERROR(((SUMPRODUCT(M79,$I$79))-ABS(SUMIFS(RX[[#All],[Total Medical and Retail Pharmacy Rebate Amount]],RX[[#All],[Reporting Year]],2025,RX[[#All],[Insurance Category Code]],4)))/$I$104,"NA")</f>
        <v>NA</v>
      </c>
      <c r="N105" s="200" t="str">
        <f>IFERROR(((SUMPRODUCT(N79,$I$79))-ABS(SUMIFS(RX[[#All],[Total Medical and Retail Pharmacy Rebate Amount]],RX[[#All],[Reporting Year]],2025,RX[[#All],[Insurance Category Code]],4)))/$I$104,"NA")</f>
        <v>NA</v>
      </c>
      <c r="O105" s="434" t="s">
        <v>470</v>
      </c>
      <c r="P105" s="390" t="s">
        <v>470</v>
      </c>
      <c r="Q105" s="389" t="s">
        <v>470</v>
      </c>
      <c r="R105" s="389" t="s">
        <v>470</v>
      </c>
      <c r="S105" s="389" t="s">
        <v>470</v>
      </c>
      <c r="T105" s="389" t="s">
        <v>470</v>
      </c>
      <c r="U105" s="389" t="s">
        <v>470</v>
      </c>
    </row>
    <row r="106" spans="1:21" x14ac:dyDescent="0.4">
      <c r="A106" s="558" t="s">
        <v>520</v>
      </c>
      <c r="B106" s="559"/>
      <c r="C106" s="222">
        <f>ABS(C104-C79)</f>
        <v>0</v>
      </c>
      <c r="D106" s="219" t="e">
        <f>ABS(D104-D79)</f>
        <v>#VALUE!</v>
      </c>
      <c r="E106" s="219" t="e">
        <f>ABS(E104-E79)</f>
        <v>#VALUE!</v>
      </c>
      <c r="F106" s="219" t="e">
        <f>ABS(F104-F79)</f>
        <v>#VALUE!</v>
      </c>
      <c r="G106" s="174" t="s">
        <v>470</v>
      </c>
      <c r="H106" s="225" t="s">
        <v>470</v>
      </c>
      <c r="I106" s="222">
        <f>ABS(I104-I79)</f>
        <v>0</v>
      </c>
      <c r="J106" s="224" t="e">
        <f>ABS(J104-J79)</f>
        <v>#VALUE!</v>
      </c>
      <c r="K106" s="224" t="e">
        <f>ABS(K104-K79)</f>
        <v>#VALUE!</v>
      </c>
      <c r="L106" s="224" t="e">
        <f>ABS(L104-L79)</f>
        <v>#VALUE!</v>
      </c>
      <c r="M106" s="174" t="s">
        <v>470</v>
      </c>
      <c r="N106" s="225" t="s">
        <v>470</v>
      </c>
      <c r="O106" s="435" t="s">
        <v>470</v>
      </c>
      <c r="P106" s="436" t="s">
        <v>470</v>
      </c>
      <c r="Q106" s="438" t="s">
        <v>470</v>
      </c>
      <c r="R106" s="438" t="s">
        <v>470</v>
      </c>
      <c r="S106" s="438" t="s">
        <v>470</v>
      </c>
      <c r="T106" s="438" t="s">
        <v>470</v>
      </c>
      <c r="U106" s="438" t="s">
        <v>470</v>
      </c>
    </row>
    <row r="107" spans="1:21" ht="14.4" customHeight="1" x14ac:dyDescent="0.4">
      <c r="A107" s="560" t="s">
        <v>521</v>
      </c>
      <c r="B107" s="561"/>
      <c r="C107" s="243" t="str">
        <f>IF(((ABS(C104-C79))&lt;10),"Yes","No")</f>
        <v>Yes</v>
      </c>
      <c r="D107" s="174" t="e">
        <f>IF(((ABS(D104-D79))&lt;10),"Yes","No")</f>
        <v>#VALUE!</v>
      </c>
      <c r="E107" s="174" t="e">
        <f>IF(((ABS(E104-E79))&lt;10),"Yes","No")</f>
        <v>#VALUE!</v>
      </c>
      <c r="F107" s="174" t="e">
        <f>IF(((ABS(F104-F79))&lt;10),"Yes","No")</f>
        <v>#VALUE!</v>
      </c>
      <c r="G107" s="174" t="s">
        <v>470</v>
      </c>
      <c r="H107" s="225" t="s">
        <v>470</v>
      </c>
      <c r="I107" s="243" t="str">
        <f>IF(((ABS(I104-I79))&lt;10),"Yes","No")</f>
        <v>Yes</v>
      </c>
      <c r="J107" s="240" t="e">
        <f>IF(((ABS(J104-J79))&lt;10),"Yes","No")</f>
        <v>#VALUE!</v>
      </c>
      <c r="K107" s="240" t="e">
        <f>IF(((ABS(K104-K79))&lt;10),"Yes","No")</f>
        <v>#VALUE!</v>
      </c>
      <c r="L107" s="240" t="e">
        <f>IF(((ABS(L104-L79))&lt;10),"Yes","No")</f>
        <v>#VALUE!</v>
      </c>
      <c r="M107" s="174" t="s">
        <v>470</v>
      </c>
      <c r="N107" s="225" t="s">
        <v>470</v>
      </c>
      <c r="O107" s="435" t="s">
        <v>470</v>
      </c>
      <c r="P107" s="436" t="s">
        <v>470</v>
      </c>
      <c r="Q107" s="438" t="s">
        <v>470</v>
      </c>
      <c r="R107" s="438" t="s">
        <v>470</v>
      </c>
      <c r="S107" s="438" t="s">
        <v>470</v>
      </c>
      <c r="T107" s="438" t="s">
        <v>470</v>
      </c>
      <c r="U107" s="438" t="s">
        <v>470</v>
      </c>
    </row>
    <row r="108" spans="1:21" x14ac:dyDescent="0.4">
      <c r="A108"/>
      <c r="B108"/>
      <c r="C108" s="108"/>
      <c r="D108" s="109"/>
      <c r="E108" s="109"/>
      <c r="F108" s="109"/>
      <c r="G108" s="109"/>
      <c r="H108" s="109"/>
      <c r="I108" s="108"/>
      <c r="J108" s="109"/>
      <c r="K108" s="109"/>
      <c r="L108" s="109"/>
      <c r="M108" s="109"/>
      <c r="N108" s="109"/>
      <c r="O108" s="109"/>
      <c r="P108" s="110"/>
      <c r="Q108" s="110"/>
      <c r="R108" s="110"/>
      <c r="S108" s="110"/>
      <c r="T108" s="110"/>
      <c r="U108" s="110"/>
    </row>
    <row r="109" spans="1:21" x14ac:dyDescent="0.4">
      <c r="A109"/>
      <c r="B109"/>
      <c r="C109" s="108"/>
      <c r="D109" s="109"/>
      <c r="E109" s="109"/>
      <c r="F109" s="109"/>
      <c r="G109" s="109"/>
      <c r="H109" s="109"/>
      <c r="I109" s="108"/>
      <c r="J109" s="109"/>
      <c r="K109" s="109"/>
      <c r="L109" s="109"/>
      <c r="M109" s="109"/>
      <c r="N109" s="109"/>
      <c r="O109" s="109"/>
      <c r="P109" s="110"/>
      <c r="Q109" s="110"/>
      <c r="R109" s="110"/>
      <c r="S109" s="110"/>
      <c r="T109" s="110"/>
      <c r="U109" s="110"/>
    </row>
    <row r="110" spans="1:21" x14ac:dyDescent="0.4">
      <c r="A110" s="3" t="s">
        <v>525</v>
      </c>
      <c r="B110"/>
      <c r="C110"/>
      <c r="D110"/>
      <c r="E110"/>
      <c r="F110"/>
      <c r="G110"/>
      <c r="H110"/>
      <c r="I110"/>
      <c r="J110"/>
      <c r="K110"/>
      <c r="L110"/>
      <c r="M110"/>
      <c r="N110"/>
      <c r="O110" s="2"/>
      <c r="P110"/>
      <c r="Q110"/>
      <c r="R110"/>
      <c r="S110"/>
      <c r="T110"/>
      <c r="U110"/>
    </row>
    <row r="111" spans="1:21" ht="15" customHeight="1" x14ac:dyDescent="0.4">
      <c r="A111" s="583" t="s">
        <v>66</v>
      </c>
      <c r="B111" s="584" t="s">
        <v>505</v>
      </c>
      <c r="C111" s="566">
        <v>2024</v>
      </c>
      <c r="D111" s="567"/>
      <c r="E111" s="567"/>
      <c r="F111" s="567"/>
      <c r="G111" s="567"/>
      <c r="H111" s="568"/>
      <c r="I111" s="569">
        <v>2025</v>
      </c>
      <c r="J111" s="570"/>
      <c r="K111" s="570"/>
      <c r="L111" s="570"/>
      <c r="M111" s="570"/>
      <c r="N111" s="571"/>
      <c r="O111" s="576" t="s">
        <v>644</v>
      </c>
      <c r="P111" s="577"/>
      <c r="Q111" s="577"/>
      <c r="R111" s="577"/>
      <c r="S111" s="577"/>
      <c r="T111" s="577"/>
      <c r="U111" s="578"/>
    </row>
    <row r="112" spans="1:21" ht="50.4" x14ac:dyDescent="0.4">
      <c r="A112" s="583"/>
      <c r="B112" s="584"/>
      <c r="C112" s="84" t="s">
        <v>328</v>
      </c>
      <c r="D112" s="85" t="s">
        <v>507</v>
      </c>
      <c r="E112" s="85" t="s">
        <v>508</v>
      </c>
      <c r="F112" s="85" t="s">
        <v>509</v>
      </c>
      <c r="G112" s="85" t="s">
        <v>510</v>
      </c>
      <c r="H112" s="86" t="s">
        <v>511</v>
      </c>
      <c r="I112" s="81" t="s">
        <v>328</v>
      </c>
      <c r="J112" s="82" t="s">
        <v>507</v>
      </c>
      <c r="K112" s="82" t="s">
        <v>508</v>
      </c>
      <c r="L112" s="82" t="s">
        <v>509</v>
      </c>
      <c r="M112" s="82" t="s">
        <v>510</v>
      </c>
      <c r="N112" s="83" t="s">
        <v>511</v>
      </c>
      <c r="O112" s="410" t="s">
        <v>635</v>
      </c>
      <c r="P112" s="230" t="s">
        <v>512</v>
      </c>
      <c r="Q112" s="71" t="s">
        <v>513</v>
      </c>
      <c r="R112" s="71" t="s">
        <v>514</v>
      </c>
      <c r="S112" s="71" t="s">
        <v>515</v>
      </c>
      <c r="T112" s="71" t="s">
        <v>516</v>
      </c>
      <c r="U112" s="209" t="s">
        <v>517</v>
      </c>
    </row>
    <row r="113" spans="1:21" x14ac:dyDescent="0.4">
      <c r="A113" s="211">
        <v>100</v>
      </c>
      <c r="B113" s="525" t="s">
        <v>67</v>
      </c>
      <c r="C113" s="89">
        <f>SUMIFS(TM[[#All],[Member Months]],TM[[#All],[Reporting Year]],2024,TM[[#All],[Insurance Category Code]],7,TM[[#All],[Large Provider Entity Code]],A113)</f>
        <v>0</v>
      </c>
      <c r="D113" s="7" t="str">
        <f>IFERROR(SUMIFS(TM[[#All],[Total Non-Truncated Claims Spending]],TM[[#All],[Reporting Year]],2024,TM[[#All],[Insurance Category Code]],7,TM[[#All],[Large Provider Entity Code]],A113)/C113,"NA")</f>
        <v>NA</v>
      </c>
      <c r="E113" s="7" t="str">
        <f>IFERROR(SUMIFS(TM[[#All],[Total Non-Claims Spending]],TM[[#All],[Reporting Year]],2024,TM[[#All],[Insurance Category Code]],7,TM[[#All],[Large Provider Entity Code]],A113)/C113,"NA")</f>
        <v>NA</v>
      </c>
      <c r="F113" s="7" t="str">
        <f>IFERROR(SUMIFS(TM[[#All],[Total Non-Truncated Claims and Non-Claims Spending]],TM[[#All],[Reporting Year]],2024,TM[[#All],[Insurance Category Code]],7,TM[[#All],[Large Provider Entity Code]],A113)/C113,"NA")</f>
        <v>NA</v>
      </c>
      <c r="G113" s="7" t="str">
        <f>IFERROR(SUMIFS(TM[[#All],[Total Truncated Claims Spending]],TM[[#All],[Reporting Year]],2024,TM[[#All],[Insurance Category Code]],7,TM[[#All],[Large Provider Entity Code]],A113)/C113,"NA")</f>
        <v>NA</v>
      </c>
      <c r="H113" s="90" t="str">
        <f>IFERROR(SUMIFS(TM[[#All],[Total Truncated Expenses]],TM[[#All],[Reporting Year]],2024,TM[[#All],[Insurance Category Code]],7,TM[[#All],[Large Provider Entity Code]],A113)/C113,"NA")</f>
        <v>NA</v>
      </c>
      <c r="I113" s="89">
        <f>SUMIFS(TM[[#All],[Member Months]],TM[[#All],[Reporting Year]],2025,TM[[#All],[Insurance Category Code]],7,TM[[#All],[Large Provider Entity Code]],A113)</f>
        <v>0</v>
      </c>
      <c r="J113" s="7" t="str">
        <f>IFERROR(SUMIFS(TM[[#All],[Total Non-Truncated Claims Spending]],TM[[#All],[Reporting Year]],2025,TM[[#All],[Insurance Category Code]],7,TM[[#All],[Large Provider Entity Code]],A113)/I113,"NA")</f>
        <v>NA</v>
      </c>
      <c r="K113" s="7" t="str">
        <f>IFERROR(SUMIFS(TM[[#All],[Total Non-Claims Spending]],TM[[#All],[Reporting Year]],2025,TM[[#All],[Insurance Category Code]],7,TM[[#All],[Large Provider Entity Code]],A113)/I113,"NA")</f>
        <v>NA</v>
      </c>
      <c r="L113" s="7" t="str">
        <f>IFERROR(SUMIFS(TM[[#All],[Total Non-Truncated Claims and Non-Claims Spending]],TM[[#All],[Reporting Year]],2025,TM[[#All],[Insurance Category Code]],7,TM[[#All],[Large Provider Entity Code]],A113)/I113,"NA")</f>
        <v>NA</v>
      </c>
      <c r="M113" s="7" t="str">
        <f>IFERROR(SUMIFS(TM[[#All],[Total Truncated Claims Spending]],TM[[#All],[Reporting Year]],2025,TM[[#All],[Insurance Category Code]],7,TM[[#All],[Large Provider Entity Code]],A113)/I113,"NA")</f>
        <v>NA</v>
      </c>
      <c r="N113" s="90" t="str">
        <f>IFERROR(SUMIFS(TM[[#All],[Total Truncated Expenses]],TM[[#All],[Reporting Year]],2025,TM[[#All],[Insurance Category Code]],7,TM[[#All],[Large Provider Entity Code]],A113)/I113,"NA")</f>
        <v>NA</v>
      </c>
      <c r="O113" s="169" t="str">
        <f>IFERROR(IF(AND(C113&gt;12000,I113&gt;12000),"Yes","No"),"NA")</f>
        <v>No</v>
      </c>
      <c r="P113" s="231" t="str">
        <f t="shared" ref="P113:U137" si="71">IFERROR((I113/C113-1),"NA")</f>
        <v>NA</v>
      </c>
      <c r="Q113" s="91" t="str">
        <f t="shared" si="71"/>
        <v>NA</v>
      </c>
      <c r="R113" s="91" t="str">
        <f t="shared" si="71"/>
        <v>NA</v>
      </c>
      <c r="S113" s="91" t="str">
        <f t="shared" si="71"/>
        <v>NA</v>
      </c>
      <c r="T113" s="91" t="str">
        <f t="shared" si="71"/>
        <v>NA</v>
      </c>
      <c r="U113" s="91" t="str">
        <f t="shared" si="71"/>
        <v>NA</v>
      </c>
    </row>
    <row r="114" spans="1:21" x14ac:dyDescent="0.4">
      <c r="A114" s="210">
        <v>101</v>
      </c>
      <c r="B114" s="525" t="s">
        <v>562</v>
      </c>
      <c r="C114" s="89">
        <f>SUMIFS(TM[[#All],[Member Months]],TM[[#All],[Reporting Year]],2024,TM[[#All],[Insurance Category Code]],7,TM[[#All],[Large Provider Entity Code]],A114)</f>
        <v>0</v>
      </c>
      <c r="D114" s="7" t="str">
        <f>IFERROR(SUMIFS(TM[[#All],[Total Non-Truncated Claims Spending]],TM[[#All],[Reporting Year]],2024,TM[[#All],[Insurance Category Code]],7,TM[[#All],[Large Provider Entity Code]],A114)/C114,"NA")</f>
        <v>NA</v>
      </c>
      <c r="E114" s="7" t="str">
        <f>IFERROR(SUMIFS(TM[[#All],[Total Non-Claims Spending]],TM[[#All],[Reporting Year]],2024,TM[[#All],[Insurance Category Code]],7,TM[[#All],[Large Provider Entity Code]],A114)/C114,"NA")</f>
        <v>NA</v>
      </c>
      <c r="F114" s="7" t="str">
        <f>IFERROR(SUMIFS(TM[[#All],[Total Non-Truncated Claims and Non-Claims Spending]],TM[[#All],[Reporting Year]],2024,TM[[#All],[Insurance Category Code]],7,TM[[#All],[Large Provider Entity Code]],A114)/C114,"NA")</f>
        <v>NA</v>
      </c>
      <c r="G114" s="7" t="str">
        <f>IFERROR(SUMIFS(TM[[#All],[Total Truncated Claims Spending]],TM[[#All],[Reporting Year]],2024,TM[[#All],[Insurance Category Code]],7,TM[[#All],[Large Provider Entity Code]],A114)/C114,"NA")</f>
        <v>NA</v>
      </c>
      <c r="H114" s="90" t="str">
        <f>IFERROR(SUMIFS(TM[[#All],[Total Truncated Expenses]],TM[[#All],[Reporting Year]],2024,TM[[#All],[Insurance Category Code]],7,TM[[#All],[Large Provider Entity Code]],A114)/C114,"NA")</f>
        <v>NA</v>
      </c>
      <c r="I114" s="89">
        <f>SUMIFS(TM[[#All],[Member Months]],TM[[#All],[Reporting Year]],2025,TM[[#All],[Insurance Category Code]],7,TM[[#All],[Large Provider Entity Code]],A114)</f>
        <v>0</v>
      </c>
      <c r="J114" s="7" t="str">
        <f>IFERROR(SUMIFS(TM[[#All],[Total Non-Truncated Claims Spending]],TM[[#All],[Reporting Year]],2025,TM[[#All],[Insurance Category Code]],7,TM[[#All],[Large Provider Entity Code]],A114)/I114,"NA")</f>
        <v>NA</v>
      </c>
      <c r="K114" s="7" t="str">
        <f>IFERROR(SUMIFS(TM[[#All],[Total Non-Claims Spending]],TM[[#All],[Reporting Year]],2025,TM[[#All],[Insurance Category Code]],7,TM[[#All],[Large Provider Entity Code]],A114)/I114,"NA")</f>
        <v>NA</v>
      </c>
      <c r="L114" s="7" t="str">
        <f>IFERROR(SUMIFS(TM[[#All],[Total Non-Truncated Claims and Non-Claims Spending]],TM[[#All],[Reporting Year]],2025,TM[[#All],[Insurance Category Code]],7,TM[[#All],[Large Provider Entity Code]],A114)/I114,"NA")</f>
        <v>NA</v>
      </c>
      <c r="M114" s="7" t="str">
        <f>IFERROR(SUMIFS(TM[[#All],[Total Truncated Claims Spending]],TM[[#All],[Reporting Year]],2025,TM[[#All],[Insurance Category Code]],7,TM[[#All],[Large Provider Entity Code]],A114)/I114,"NA")</f>
        <v>NA</v>
      </c>
      <c r="N114" s="90" t="str">
        <f>IFERROR(SUMIFS(TM[[#All],[Total Truncated Expenses]],TM[[#All],[Reporting Year]],2025,TM[[#All],[Insurance Category Code]],7,TM[[#All],[Large Provider Entity Code]],A114)/I114,"NA")</f>
        <v>NA</v>
      </c>
      <c r="O114" s="169" t="str">
        <f t="shared" ref="O114:O132" si="72">IFERROR(IF(AND(C114&gt;12000,I114&gt;12000),"Yes","No"),"NA")</f>
        <v>No</v>
      </c>
      <c r="P114" s="231" t="str">
        <f t="shared" si="71"/>
        <v>NA</v>
      </c>
      <c r="Q114" s="91" t="str">
        <f t="shared" si="71"/>
        <v>NA</v>
      </c>
      <c r="R114" s="91" t="str">
        <f t="shared" si="71"/>
        <v>NA</v>
      </c>
      <c r="S114" s="91" t="str">
        <f t="shared" si="71"/>
        <v>NA</v>
      </c>
      <c r="T114" s="91" t="str">
        <f t="shared" si="71"/>
        <v>NA</v>
      </c>
      <c r="U114" s="91" t="str">
        <f t="shared" si="71"/>
        <v>NA</v>
      </c>
    </row>
    <row r="115" spans="1:21" x14ac:dyDescent="0.4">
      <c r="A115" s="210">
        <v>102</v>
      </c>
      <c r="B115" s="525" t="s">
        <v>607</v>
      </c>
      <c r="C115" s="89">
        <f>SUMIFS(TM[[#All],[Member Months]],TM[[#All],[Reporting Year]],2024,TM[[#All],[Insurance Category Code]],7,TM[[#All],[Large Provider Entity Code]],A115)</f>
        <v>0</v>
      </c>
      <c r="D115" s="7" t="str">
        <f>IFERROR(SUMIFS(TM[[#All],[Total Non-Truncated Claims Spending]],TM[[#All],[Reporting Year]],2024,TM[[#All],[Insurance Category Code]],7,TM[[#All],[Large Provider Entity Code]],A115)/C115,"NA")</f>
        <v>NA</v>
      </c>
      <c r="E115" s="7" t="str">
        <f>IFERROR(SUMIFS(TM[[#All],[Total Non-Claims Spending]],TM[[#All],[Reporting Year]],2024,TM[[#All],[Insurance Category Code]],7,TM[[#All],[Large Provider Entity Code]],A115)/C115,"NA")</f>
        <v>NA</v>
      </c>
      <c r="F115" s="7" t="str">
        <f>IFERROR(SUMIFS(TM[[#All],[Total Non-Truncated Claims and Non-Claims Spending]],TM[[#All],[Reporting Year]],2024,TM[[#All],[Insurance Category Code]],7,TM[[#All],[Large Provider Entity Code]],A115)/C115,"NA")</f>
        <v>NA</v>
      </c>
      <c r="G115" s="7" t="str">
        <f>IFERROR(SUMIFS(TM[[#All],[Total Truncated Claims Spending]],TM[[#All],[Reporting Year]],2024,TM[[#All],[Insurance Category Code]],7,TM[[#All],[Large Provider Entity Code]],A115)/C115,"NA")</f>
        <v>NA</v>
      </c>
      <c r="H115" s="90" t="str">
        <f>IFERROR(SUMIFS(TM[[#All],[Total Truncated Expenses]],TM[[#All],[Reporting Year]],2024,TM[[#All],[Insurance Category Code]],7,TM[[#All],[Large Provider Entity Code]],A115)/C115,"NA")</f>
        <v>NA</v>
      </c>
      <c r="I115" s="89">
        <f>SUMIFS(TM[[#All],[Member Months]],TM[[#All],[Reporting Year]],2025,TM[[#All],[Insurance Category Code]],7,TM[[#All],[Large Provider Entity Code]],A115)</f>
        <v>0</v>
      </c>
      <c r="J115" s="7" t="str">
        <f>IFERROR(SUMIFS(TM[[#All],[Total Non-Truncated Claims Spending]],TM[[#All],[Reporting Year]],2025,TM[[#All],[Insurance Category Code]],7,TM[[#All],[Large Provider Entity Code]],A115)/I115,"NA")</f>
        <v>NA</v>
      </c>
      <c r="K115" s="7" t="str">
        <f>IFERROR(SUMIFS(TM[[#All],[Total Non-Claims Spending]],TM[[#All],[Reporting Year]],2025,TM[[#All],[Insurance Category Code]],7,TM[[#All],[Large Provider Entity Code]],A115)/I115,"NA")</f>
        <v>NA</v>
      </c>
      <c r="L115" s="7" t="str">
        <f>IFERROR(SUMIFS(TM[[#All],[Total Non-Truncated Claims and Non-Claims Spending]],TM[[#All],[Reporting Year]],2025,TM[[#All],[Insurance Category Code]],7,TM[[#All],[Large Provider Entity Code]],A115)/I115,"NA")</f>
        <v>NA</v>
      </c>
      <c r="M115" s="7" t="str">
        <f>IFERROR(SUMIFS(TM[[#All],[Total Truncated Claims Spending]],TM[[#All],[Reporting Year]],2025,TM[[#All],[Insurance Category Code]],7,TM[[#All],[Large Provider Entity Code]],A115)/I115,"NA")</f>
        <v>NA</v>
      </c>
      <c r="N115" s="90" t="str">
        <f>IFERROR(SUMIFS(TM[[#All],[Total Truncated Expenses]],TM[[#All],[Reporting Year]],2025,TM[[#All],[Insurance Category Code]],7,TM[[#All],[Large Provider Entity Code]],A115)/I115,"NA")</f>
        <v>NA</v>
      </c>
      <c r="O115" s="169" t="str">
        <f t="shared" si="72"/>
        <v>No</v>
      </c>
      <c r="P115" s="231" t="str">
        <f t="shared" si="71"/>
        <v>NA</v>
      </c>
      <c r="Q115" s="91" t="str">
        <f t="shared" si="71"/>
        <v>NA</v>
      </c>
      <c r="R115" s="91" t="str">
        <f t="shared" si="71"/>
        <v>NA</v>
      </c>
      <c r="S115" s="91" t="str">
        <f t="shared" si="71"/>
        <v>NA</v>
      </c>
      <c r="T115" s="91" t="str">
        <f t="shared" si="71"/>
        <v>NA</v>
      </c>
      <c r="U115" s="91" t="str">
        <f t="shared" si="71"/>
        <v>NA</v>
      </c>
    </row>
    <row r="116" spans="1:21" x14ac:dyDescent="0.4">
      <c r="A116" s="210">
        <v>104</v>
      </c>
      <c r="B116" s="525" t="s">
        <v>608</v>
      </c>
      <c r="C116" s="89">
        <f>SUMIFS(TM[[#All],[Member Months]],TM[[#All],[Reporting Year]],2024,TM[[#All],[Insurance Category Code]],7,TM[[#All],[Large Provider Entity Code]],A116)</f>
        <v>0</v>
      </c>
      <c r="D116" s="7" t="str">
        <f>IFERROR(SUMIFS(TM[[#All],[Total Non-Truncated Claims Spending]],TM[[#All],[Reporting Year]],2024,TM[[#All],[Insurance Category Code]],7,TM[[#All],[Large Provider Entity Code]],A116)/C116,"NA")</f>
        <v>NA</v>
      </c>
      <c r="E116" s="7" t="str">
        <f>IFERROR(SUMIFS(TM[[#All],[Total Non-Claims Spending]],TM[[#All],[Reporting Year]],2024,TM[[#All],[Insurance Category Code]],7,TM[[#All],[Large Provider Entity Code]],A116)/C116,"NA")</f>
        <v>NA</v>
      </c>
      <c r="F116" s="7" t="str">
        <f>IFERROR(SUMIFS(TM[[#All],[Total Non-Truncated Claims and Non-Claims Spending]],TM[[#All],[Reporting Year]],2024,TM[[#All],[Insurance Category Code]],7,TM[[#All],[Large Provider Entity Code]],A116)/C116,"NA")</f>
        <v>NA</v>
      </c>
      <c r="G116" s="7" t="str">
        <f>IFERROR(SUMIFS(TM[[#All],[Total Truncated Claims Spending]],TM[[#All],[Reporting Year]],2024,TM[[#All],[Insurance Category Code]],7,TM[[#All],[Large Provider Entity Code]],A116)/C116,"NA")</f>
        <v>NA</v>
      </c>
      <c r="H116" s="90" t="str">
        <f>IFERROR(SUMIFS(TM[[#All],[Total Truncated Expenses]],TM[[#All],[Reporting Year]],2024,TM[[#All],[Insurance Category Code]],7,TM[[#All],[Large Provider Entity Code]],A116)/C116,"NA")</f>
        <v>NA</v>
      </c>
      <c r="I116" s="89">
        <f>SUMIFS(TM[[#All],[Member Months]],TM[[#All],[Reporting Year]],2025,TM[[#All],[Insurance Category Code]],7,TM[[#All],[Large Provider Entity Code]],A116)</f>
        <v>0</v>
      </c>
      <c r="J116" s="7" t="str">
        <f>IFERROR(SUMIFS(TM[[#All],[Total Non-Truncated Claims Spending]],TM[[#All],[Reporting Year]],2025,TM[[#All],[Insurance Category Code]],7,TM[[#All],[Large Provider Entity Code]],A116)/I116,"NA")</f>
        <v>NA</v>
      </c>
      <c r="K116" s="7" t="str">
        <f>IFERROR(SUMIFS(TM[[#All],[Total Non-Claims Spending]],TM[[#All],[Reporting Year]],2025,TM[[#All],[Insurance Category Code]],7,TM[[#All],[Large Provider Entity Code]],A116)/I116,"NA")</f>
        <v>NA</v>
      </c>
      <c r="L116" s="7" t="str">
        <f>IFERROR(SUMIFS(TM[[#All],[Total Non-Truncated Claims and Non-Claims Spending]],TM[[#All],[Reporting Year]],2025,TM[[#All],[Insurance Category Code]],7,TM[[#All],[Large Provider Entity Code]],A116)/I116,"NA")</f>
        <v>NA</v>
      </c>
      <c r="M116" s="7" t="str">
        <f>IFERROR(SUMIFS(TM[[#All],[Total Truncated Claims Spending]],TM[[#All],[Reporting Year]],2025,TM[[#All],[Insurance Category Code]],7,TM[[#All],[Large Provider Entity Code]],A116)/I116,"NA")</f>
        <v>NA</v>
      </c>
      <c r="N116" s="90" t="str">
        <f>IFERROR(SUMIFS(TM[[#All],[Total Truncated Expenses]],TM[[#All],[Reporting Year]],2025,TM[[#All],[Insurance Category Code]],7,TM[[#All],[Large Provider Entity Code]],A116)/I116,"NA")</f>
        <v>NA</v>
      </c>
      <c r="O116" s="169" t="str">
        <f t="shared" si="72"/>
        <v>No</v>
      </c>
      <c r="P116" s="231" t="str">
        <f t="shared" si="71"/>
        <v>NA</v>
      </c>
      <c r="Q116" s="91" t="str">
        <f t="shared" si="71"/>
        <v>NA</v>
      </c>
      <c r="R116" s="91" t="str">
        <f t="shared" si="71"/>
        <v>NA</v>
      </c>
      <c r="S116" s="91" t="str">
        <f t="shared" si="71"/>
        <v>NA</v>
      </c>
      <c r="T116" s="91" t="str">
        <f t="shared" si="71"/>
        <v>NA</v>
      </c>
      <c r="U116" s="91" t="str">
        <f t="shared" si="71"/>
        <v>NA</v>
      </c>
    </row>
    <row r="117" spans="1:21" ht="33.6" x14ac:dyDescent="0.4">
      <c r="A117" s="210">
        <v>105</v>
      </c>
      <c r="B117" s="525" t="s">
        <v>609</v>
      </c>
      <c r="C117" s="89">
        <f>SUMIFS(TM[[#All],[Member Months]],TM[[#All],[Reporting Year]],2024,TM[[#All],[Insurance Category Code]],7,TM[[#All],[Large Provider Entity Code]],A117)</f>
        <v>0</v>
      </c>
      <c r="D117" s="7" t="str">
        <f>IFERROR(SUMIFS(TM[[#All],[Total Non-Truncated Claims Spending]],TM[[#All],[Reporting Year]],2024,TM[[#All],[Insurance Category Code]],7,TM[[#All],[Large Provider Entity Code]],A117)/C117,"NA")</f>
        <v>NA</v>
      </c>
      <c r="E117" s="7" t="str">
        <f>IFERROR(SUMIFS(TM[[#All],[Total Non-Claims Spending]],TM[[#All],[Reporting Year]],2024,TM[[#All],[Insurance Category Code]],7,TM[[#All],[Large Provider Entity Code]],A117)/C117,"NA")</f>
        <v>NA</v>
      </c>
      <c r="F117" s="7" t="str">
        <f>IFERROR(SUMIFS(TM[[#All],[Total Non-Truncated Claims and Non-Claims Spending]],TM[[#All],[Reporting Year]],2024,TM[[#All],[Insurance Category Code]],7,TM[[#All],[Large Provider Entity Code]],A117)/C117,"NA")</f>
        <v>NA</v>
      </c>
      <c r="G117" s="7" t="str">
        <f>IFERROR(SUMIFS(TM[[#All],[Total Truncated Claims Spending]],TM[[#All],[Reporting Year]],2024,TM[[#All],[Insurance Category Code]],7,TM[[#All],[Large Provider Entity Code]],A117)/C117,"NA")</f>
        <v>NA</v>
      </c>
      <c r="H117" s="90" t="str">
        <f>IFERROR(SUMIFS(TM[[#All],[Total Truncated Expenses]],TM[[#All],[Reporting Year]],2024,TM[[#All],[Insurance Category Code]],7,TM[[#All],[Large Provider Entity Code]],A117)/C117,"NA")</f>
        <v>NA</v>
      </c>
      <c r="I117" s="89">
        <f>SUMIFS(TM[[#All],[Member Months]],TM[[#All],[Reporting Year]],2025,TM[[#All],[Insurance Category Code]],7,TM[[#All],[Large Provider Entity Code]],A117)</f>
        <v>0</v>
      </c>
      <c r="J117" s="7" t="str">
        <f>IFERROR(SUMIFS(TM[[#All],[Total Non-Truncated Claims Spending]],TM[[#All],[Reporting Year]],2025,TM[[#All],[Insurance Category Code]],7,TM[[#All],[Large Provider Entity Code]],A117)/I117,"NA")</f>
        <v>NA</v>
      </c>
      <c r="K117" s="7" t="str">
        <f>IFERROR(SUMIFS(TM[[#All],[Total Non-Claims Spending]],TM[[#All],[Reporting Year]],2025,TM[[#All],[Insurance Category Code]],7,TM[[#All],[Large Provider Entity Code]],A117)/I117,"NA")</f>
        <v>NA</v>
      </c>
      <c r="L117" s="7" t="str">
        <f>IFERROR(SUMIFS(TM[[#All],[Total Non-Truncated Claims and Non-Claims Spending]],TM[[#All],[Reporting Year]],2025,TM[[#All],[Insurance Category Code]],7,TM[[#All],[Large Provider Entity Code]],A117)/I117,"NA")</f>
        <v>NA</v>
      </c>
      <c r="M117" s="7" t="str">
        <f>IFERROR(SUMIFS(TM[[#All],[Total Truncated Claims Spending]],TM[[#All],[Reporting Year]],2025,TM[[#All],[Insurance Category Code]],7,TM[[#All],[Large Provider Entity Code]],A117)/I117,"NA")</f>
        <v>NA</v>
      </c>
      <c r="N117" s="90" t="str">
        <f>IFERROR(SUMIFS(TM[[#All],[Total Truncated Expenses]],TM[[#All],[Reporting Year]],2025,TM[[#All],[Insurance Category Code]],7,TM[[#All],[Large Provider Entity Code]],A117)/I117,"NA")</f>
        <v>NA</v>
      </c>
      <c r="O117" s="169" t="str">
        <f t="shared" si="72"/>
        <v>No</v>
      </c>
      <c r="P117" s="231" t="str">
        <f t="shared" si="71"/>
        <v>NA</v>
      </c>
      <c r="Q117" s="91" t="str">
        <f t="shared" si="71"/>
        <v>NA</v>
      </c>
      <c r="R117" s="91" t="str">
        <f t="shared" si="71"/>
        <v>NA</v>
      </c>
      <c r="S117" s="91" t="str">
        <f t="shared" si="71"/>
        <v>NA</v>
      </c>
      <c r="T117" s="91" t="str">
        <f t="shared" si="71"/>
        <v>NA</v>
      </c>
      <c r="U117" s="91" t="str">
        <f t="shared" si="71"/>
        <v>NA</v>
      </c>
    </row>
    <row r="118" spans="1:21" x14ac:dyDescent="0.4">
      <c r="A118" s="210">
        <v>106</v>
      </c>
      <c r="B118" s="525" t="s">
        <v>613</v>
      </c>
      <c r="C118" s="89">
        <f>SUMIFS(TM[[#All],[Member Months]],TM[[#All],[Reporting Year]],2024,TM[[#All],[Insurance Category Code]],7,TM[[#All],[Large Provider Entity Code]],A118)</f>
        <v>0</v>
      </c>
      <c r="D118" s="7" t="str">
        <f>IFERROR(SUMIFS(TM[[#All],[Total Non-Truncated Claims Spending]],TM[[#All],[Reporting Year]],2024,TM[[#All],[Insurance Category Code]],7,TM[[#All],[Large Provider Entity Code]],A118)/C118,"NA")</f>
        <v>NA</v>
      </c>
      <c r="E118" s="7" t="str">
        <f>IFERROR(SUMIFS(TM[[#All],[Total Non-Claims Spending]],TM[[#All],[Reporting Year]],2024,TM[[#All],[Insurance Category Code]],7,TM[[#All],[Large Provider Entity Code]],A118)/C118,"NA")</f>
        <v>NA</v>
      </c>
      <c r="F118" s="7" t="str">
        <f>IFERROR(SUMIFS(TM[[#All],[Total Non-Truncated Claims and Non-Claims Spending]],TM[[#All],[Reporting Year]],2024,TM[[#All],[Insurance Category Code]],7,TM[[#All],[Large Provider Entity Code]],A118)/C118,"NA")</f>
        <v>NA</v>
      </c>
      <c r="G118" s="7" t="str">
        <f>IFERROR(SUMIFS(TM[[#All],[Total Truncated Claims Spending]],TM[[#All],[Reporting Year]],2024,TM[[#All],[Insurance Category Code]],7,TM[[#All],[Large Provider Entity Code]],A118)/C118,"NA")</f>
        <v>NA</v>
      </c>
      <c r="H118" s="90" t="str">
        <f>IFERROR(SUMIFS(TM[[#All],[Total Truncated Expenses]],TM[[#All],[Reporting Year]],2024,TM[[#All],[Insurance Category Code]],7,TM[[#All],[Large Provider Entity Code]],A118)/C118,"NA")</f>
        <v>NA</v>
      </c>
      <c r="I118" s="89">
        <f>SUMIFS(TM[[#All],[Member Months]],TM[[#All],[Reporting Year]],2025,TM[[#All],[Insurance Category Code]],7,TM[[#All],[Large Provider Entity Code]],A118)</f>
        <v>0</v>
      </c>
      <c r="J118" s="7" t="str">
        <f>IFERROR(SUMIFS(TM[[#All],[Total Non-Truncated Claims Spending]],TM[[#All],[Reporting Year]],2025,TM[[#All],[Insurance Category Code]],7,TM[[#All],[Large Provider Entity Code]],A118)/I118,"NA")</f>
        <v>NA</v>
      </c>
      <c r="K118" s="7" t="str">
        <f>IFERROR(SUMIFS(TM[[#All],[Total Non-Claims Spending]],TM[[#All],[Reporting Year]],2025,TM[[#All],[Insurance Category Code]],7,TM[[#All],[Large Provider Entity Code]],A118)/I118,"NA")</f>
        <v>NA</v>
      </c>
      <c r="L118" s="7" t="str">
        <f>IFERROR(SUMIFS(TM[[#All],[Total Non-Truncated Claims and Non-Claims Spending]],TM[[#All],[Reporting Year]],2025,TM[[#All],[Insurance Category Code]],7,TM[[#All],[Large Provider Entity Code]],A118)/I118,"NA")</f>
        <v>NA</v>
      </c>
      <c r="M118" s="7" t="str">
        <f>IFERROR(SUMIFS(TM[[#All],[Total Truncated Claims Spending]],TM[[#All],[Reporting Year]],2025,TM[[#All],[Insurance Category Code]],7,TM[[#All],[Large Provider Entity Code]],A118)/I118,"NA")</f>
        <v>NA</v>
      </c>
      <c r="N118" s="90" t="str">
        <f>IFERROR(SUMIFS(TM[[#All],[Total Truncated Expenses]],TM[[#All],[Reporting Year]],2025,TM[[#All],[Insurance Category Code]],7,TM[[#All],[Large Provider Entity Code]],A118)/I118,"NA")</f>
        <v>NA</v>
      </c>
      <c r="O118" s="169" t="str">
        <f t="shared" si="72"/>
        <v>No</v>
      </c>
      <c r="P118" s="231" t="str">
        <f t="shared" si="71"/>
        <v>NA</v>
      </c>
      <c r="Q118" s="91" t="str">
        <f t="shared" si="71"/>
        <v>NA</v>
      </c>
      <c r="R118" s="91" t="str">
        <f t="shared" si="71"/>
        <v>NA</v>
      </c>
      <c r="S118" s="91" t="str">
        <f t="shared" si="71"/>
        <v>NA</v>
      </c>
      <c r="T118" s="91" t="str">
        <f t="shared" si="71"/>
        <v>NA</v>
      </c>
      <c r="U118" s="91" t="str">
        <f t="shared" si="71"/>
        <v>NA</v>
      </c>
    </row>
    <row r="119" spans="1:21" x14ac:dyDescent="0.4">
      <c r="A119" s="210">
        <v>107</v>
      </c>
      <c r="B119" s="526" t="s">
        <v>610</v>
      </c>
      <c r="C119" s="89">
        <f>SUMIFS(TM[[#All],[Member Months]],TM[[#All],[Reporting Year]],2024,TM[[#All],[Insurance Category Code]],7,TM[[#All],[Large Provider Entity Code]],A119)</f>
        <v>0</v>
      </c>
      <c r="D119" s="7" t="str">
        <f>IFERROR(SUMIFS(TM[[#All],[Total Non-Truncated Claims Spending]],TM[[#All],[Reporting Year]],2024,TM[[#All],[Insurance Category Code]],7,TM[[#All],[Large Provider Entity Code]],A119)/C119,"NA")</f>
        <v>NA</v>
      </c>
      <c r="E119" s="7" t="str">
        <f>IFERROR(SUMIFS(TM[[#All],[Total Non-Claims Spending]],TM[[#All],[Reporting Year]],2024,TM[[#All],[Insurance Category Code]],7,TM[[#All],[Large Provider Entity Code]],A119)/C119,"NA")</f>
        <v>NA</v>
      </c>
      <c r="F119" s="7" t="str">
        <f>IFERROR(SUMIFS(TM[[#All],[Total Non-Truncated Claims and Non-Claims Spending]],TM[[#All],[Reporting Year]],2024,TM[[#All],[Insurance Category Code]],7,TM[[#All],[Large Provider Entity Code]],A119)/C119,"NA")</f>
        <v>NA</v>
      </c>
      <c r="G119" s="7" t="str">
        <f>IFERROR(SUMIFS(TM[[#All],[Total Truncated Claims Spending]],TM[[#All],[Reporting Year]],2024,TM[[#All],[Insurance Category Code]],7,TM[[#All],[Large Provider Entity Code]],A119)/C119,"NA")</f>
        <v>NA</v>
      </c>
      <c r="H119" s="90" t="str">
        <f>IFERROR(SUMIFS(TM[[#All],[Total Truncated Expenses]],TM[[#All],[Reporting Year]],2024,TM[[#All],[Insurance Category Code]],7,TM[[#All],[Large Provider Entity Code]],A119)/C119,"NA")</f>
        <v>NA</v>
      </c>
      <c r="I119" s="89">
        <f>SUMIFS(TM[[#All],[Member Months]],TM[[#All],[Reporting Year]],2025,TM[[#All],[Insurance Category Code]],7,TM[[#All],[Large Provider Entity Code]],A119)</f>
        <v>0</v>
      </c>
      <c r="J119" s="7" t="str">
        <f>IFERROR(SUMIFS(TM[[#All],[Total Non-Truncated Claims Spending]],TM[[#All],[Reporting Year]],2025,TM[[#All],[Insurance Category Code]],7,TM[[#All],[Large Provider Entity Code]],A119)/I119,"NA")</f>
        <v>NA</v>
      </c>
      <c r="K119" s="7" t="str">
        <f>IFERROR(SUMIFS(TM[[#All],[Total Non-Claims Spending]],TM[[#All],[Reporting Year]],2025,TM[[#All],[Insurance Category Code]],7,TM[[#All],[Large Provider Entity Code]],A119)/I119,"NA")</f>
        <v>NA</v>
      </c>
      <c r="L119" s="7" t="str">
        <f>IFERROR(SUMIFS(TM[[#All],[Total Non-Truncated Claims and Non-Claims Spending]],TM[[#All],[Reporting Year]],2025,TM[[#All],[Insurance Category Code]],7,TM[[#All],[Large Provider Entity Code]],A119)/I119,"NA")</f>
        <v>NA</v>
      </c>
      <c r="M119" s="7" t="str">
        <f>IFERROR(SUMIFS(TM[[#All],[Total Truncated Claims Spending]],TM[[#All],[Reporting Year]],2025,TM[[#All],[Insurance Category Code]],7,TM[[#All],[Large Provider Entity Code]],A119)/I119,"NA")</f>
        <v>NA</v>
      </c>
      <c r="N119" s="90" t="str">
        <f>IFERROR(SUMIFS(TM[[#All],[Total Truncated Expenses]],TM[[#All],[Reporting Year]],2025,TM[[#All],[Insurance Category Code]],7,TM[[#All],[Large Provider Entity Code]],A119)/I119,"NA")</f>
        <v>NA</v>
      </c>
      <c r="O119" s="169" t="str">
        <f t="shared" si="72"/>
        <v>No</v>
      </c>
      <c r="P119" s="231" t="str">
        <f t="shared" si="71"/>
        <v>NA</v>
      </c>
      <c r="Q119" s="91" t="str">
        <f t="shared" si="71"/>
        <v>NA</v>
      </c>
      <c r="R119" s="91" t="str">
        <f t="shared" si="71"/>
        <v>NA</v>
      </c>
      <c r="S119" s="91" t="str">
        <f t="shared" si="71"/>
        <v>NA</v>
      </c>
      <c r="T119" s="91" t="str">
        <f t="shared" si="71"/>
        <v>NA</v>
      </c>
      <c r="U119" s="91" t="str">
        <f t="shared" si="71"/>
        <v>NA</v>
      </c>
    </row>
    <row r="120" spans="1:21" x14ac:dyDescent="0.4">
      <c r="A120" s="210">
        <v>108</v>
      </c>
      <c r="B120" s="526" t="s">
        <v>563</v>
      </c>
      <c r="C120" s="89">
        <f>SUMIFS(TM[[#All],[Member Months]],TM[[#All],[Reporting Year]],2024,TM[[#All],[Insurance Category Code]],7,TM[[#All],[Large Provider Entity Code]],A120)</f>
        <v>0</v>
      </c>
      <c r="D120" s="7" t="str">
        <f>IFERROR(SUMIFS(TM[[#All],[Total Non-Truncated Claims Spending]],TM[[#All],[Reporting Year]],2024,TM[[#All],[Insurance Category Code]],7,TM[[#All],[Large Provider Entity Code]],A120)/C120,"NA")</f>
        <v>NA</v>
      </c>
      <c r="E120" s="7" t="str">
        <f>IFERROR(SUMIFS(TM[[#All],[Total Non-Claims Spending]],TM[[#All],[Reporting Year]],2024,TM[[#All],[Insurance Category Code]],7,TM[[#All],[Large Provider Entity Code]],A120)/C120,"NA")</f>
        <v>NA</v>
      </c>
      <c r="F120" s="7" t="str">
        <f>IFERROR(SUMIFS(TM[[#All],[Total Non-Truncated Claims and Non-Claims Spending]],TM[[#All],[Reporting Year]],2024,TM[[#All],[Insurance Category Code]],7,TM[[#All],[Large Provider Entity Code]],A120)/C120,"NA")</f>
        <v>NA</v>
      </c>
      <c r="G120" s="7" t="str">
        <f>IFERROR(SUMIFS(TM[[#All],[Total Truncated Claims Spending]],TM[[#All],[Reporting Year]],2024,TM[[#All],[Insurance Category Code]],7,TM[[#All],[Large Provider Entity Code]],A120)/C120,"NA")</f>
        <v>NA</v>
      </c>
      <c r="H120" s="90" t="str">
        <f>IFERROR(SUMIFS(TM[[#All],[Total Truncated Expenses]],TM[[#All],[Reporting Year]],2024,TM[[#All],[Insurance Category Code]],7,TM[[#All],[Large Provider Entity Code]],A120)/C120,"NA")</f>
        <v>NA</v>
      </c>
      <c r="I120" s="89">
        <f>SUMIFS(TM[[#All],[Member Months]],TM[[#All],[Reporting Year]],2025,TM[[#All],[Insurance Category Code]],7,TM[[#All],[Large Provider Entity Code]],A120)</f>
        <v>0</v>
      </c>
      <c r="J120" s="7" t="str">
        <f>IFERROR(SUMIFS(TM[[#All],[Total Non-Truncated Claims Spending]],TM[[#All],[Reporting Year]],2025,TM[[#All],[Insurance Category Code]],7,TM[[#All],[Large Provider Entity Code]],A120)/I120,"NA")</f>
        <v>NA</v>
      </c>
      <c r="K120" s="7" t="str">
        <f>IFERROR(SUMIFS(TM[[#All],[Total Non-Claims Spending]],TM[[#All],[Reporting Year]],2025,TM[[#All],[Insurance Category Code]],7,TM[[#All],[Large Provider Entity Code]],A120)/I120,"NA")</f>
        <v>NA</v>
      </c>
      <c r="L120" s="7" t="str">
        <f>IFERROR(SUMIFS(TM[[#All],[Total Non-Truncated Claims and Non-Claims Spending]],TM[[#All],[Reporting Year]],2025,TM[[#All],[Insurance Category Code]],7,TM[[#All],[Large Provider Entity Code]],A120)/I120,"NA")</f>
        <v>NA</v>
      </c>
      <c r="M120" s="7" t="str">
        <f>IFERROR(SUMIFS(TM[[#All],[Total Truncated Claims Spending]],TM[[#All],[Reporting Year]],2025,TM[[#All],[Insurance Category Code]],7,TM[[#All],[Large Provider Entity Code]],A120)/I120,"NA")</f>
        <v>NA</v>
      </c>
      <c r="N120" s="90" t="str">
        <f>IFERROR(SUMIFS(TM[[#All],[Total Truncated Expenses]],TM[[#All],[Reporting Year]],2025,TM[[#All],[Insurance Category Code]],7,TM[[#All],[Large Provider Entity Code]],A120)/I120,"NA")</f>
        <v>NA</v>
      </c>
      <c r="O120" s="169" t="str">
        <f t="shared" si="72"/>
        <v>No</v>
      </c>
      <c r="P120" s="231" t="str">
        <f t="shared" si="71"/>
        <v>NA</v>
      </c>
      <c r="Q120" s="91" t="str">
        <f t="shared" si="71"/>
        <v>NA</v>
      </c>
      <c r="R120" s="91" t="str">
        <f t="shared" si="71"/>
        <v>NA</v>
      </c>
      <c r="S120" s="91" t="str">
        <f t="shared" si="71"/>
        <v>NA</v>
      </c>
      <c r="T120" s="91" t="str">
        <f t="shared" si="71"/>
        <v>NA</v>
      </c>
      <c r="U120" s="91" t="str">
        <f t="shared" si="71"/>
        <v>NA</v>
      </c>
    </row>
    <row r="121" spans="1:21" ht="33.6" x14ac:dyDescent="0.4">
      <c r="A121" s="210">
        <v>109</v>
      </c>
      <c r="B121" s="526" t="s">
        <v>611</v>
      </c>
      <c r="C121" s="89">
        <f>SUMIFS(TM[[#All],[Member Months]],TM[[#All],[Reporting Year]],2024,TM[[#All],[Insurance Category Code]],7,TM[[#All],[Large Provider Entity Code]],A121)</f>
        <v>0</v>
      </c>
      <c r="D121" s="7" t="str">
        <f>IFERROR(SUMIFS(TM[[#All],[Total Non-Truncated Claims Spending]],TM[[#All],[Reporting Year]],2024,TM[[#All],[Insurance Category Code]],7,TM[[#All],[Large Provider Entity Code]],A121)/C121,"NA")</f>
        <v>NA</v>
      </c>
      <c r="E121" s="7" t="str">
        <f>IFERROR(SUMIFS(TM[[#All],[Total Non-Claims Spending]],TM[[#All],[Reporting Year]],2024,TM[[#All],[Insurance Category Code]],7,TM[[#All],[Large Provider Entity Code]],A121)/C121,"NA")</f>
        <v>NA</v>
      </c>
      <c r="F121" s="7" t="str">
        <f>IFERROR(SUMIFS(TM[[#All],[Total Non-Truncated Claims and Non-Claims Spending]],TM[[#All],[Reporting Year]],2024,TM[[#All],[Insurance Category Code]],7,TM[[#All],[Large Provider Entity Code]],A121)/C121,"NA")</f>
        <v>NA</v>
      </c>
      <c r="G121" s="7" t="str">
        <f>IFERROR(SUMIFS(TM[[#All],[Total Truncated Claims Spending]],TM[[#All],[Reporting Year]],2024,TM[[#All],[Insurance Category Code]],7,TM[[#All],[Large Provider Entity Code]],A121)/C121,"NA")</f>
        <v>NA</v>
      </c>
      <c r="H121" s="90" t="str">
        <f>IFERROR(SUMIFS(TM[[#All],[Total Truncated Expenses]],TM[[#All],[Reporting Year]],2024,TM[[#All],[Insurance Category Code]],7,TM[[#All],[Large Provider Entity Code]],A121)/C121,"NA")</f>
        <v>NA</v>
      </c>
      <c r="I121" s="89">
        <f>SUMIFS(TM[[#All],[Member Months]],TM[[#All],[Reporting Year]],2025,TM[[#All],[Insurance Category Code]],7,TM[[#All],[Large Provider Entity Code]],A121)</f>
        <v>0</v>
      </c>
      <c r="J121" s="7" t="str">
        <f>IFERROR(SUMIFS(TM[[#All],[Total Non-Truncated Claims Spending]],TM[[#All],[Reporting Year]],2025,TM[[#All],[Insurance Category Code]],7,TM[[#All],[Large Provider Entity Code]],A121)/I121,"NA")</f>
        <v>NA</v>
      </c>
      <c r="K121" s="7" t="str">
        <f>IFERROR(SUMIFS(TM[[#All],[Total Non-Claims Spending]],TM[[#All],[Reporting Year]],2025,TM[[#All],[Insurance Category Code]],7,TM[[#All],[Large Provider Entity Code]],A121)/I121,"NA")</f>
        <v>NA</v>
      </c>
      <c r="L121" s="7" t="str">
        <f>IFERROR(SUMIFS(TM[[#All],[Total Non-Truncated Claims and Non-Claims Spending]],TM[[#All],[Reporting Year]],2025,TM[[#All],[Insurance Category Code]],7,TM[[#All],[Large Provider Entity Code]],A121)/I121,"NA")</f>
        <v>NA</v>
      </c>
      <c r="M121" s="7" t="str">
        <f>IFERROR(SUMIFS(TM[[#All],[Total Truncated Claims Spending]],TM[[#All],[Reporting Year]],2025,TM[[#All],[Insurance Category Code]],7,TM[[#All],[Large Provider Entity Code]],A121)/I121,"NA")</f>
        <v>NA</v>
      </c>
      <c r="N121" s="90" t="str">
        <f>IFERROR(SUMIFS(TM[[#All],[Total Truncated Expenses]],TM[[#All],[Reporting Year]],2025,TM[[#All],[Insurance Category Code]],7,TM[[#All],[Large Provider Entity Code]],A121)/I121,"NA")</f>
        <v>NA</v>
      </c>
      <c r="O121" s="169" t="str">
        <f t="shared" si="72"/>
        <v>No</v>
      </c>
      <c r="P121" s="231" t="str">
        <f t="shared" si="71"/>
        <v>NA</v>
      </c>
      <c r="Q121" s="91" t="str">
        <f t="shared" si="71"/>
        <v>NA</v>
      </c>
      <c r="R121" s="91" t="str">
        <f t="shared" si="71"/>
        <v>NA</v>
      </c>
      <c r="S121" s="91" t="str">
        <f t="shared" si="71"/>
        <v>NA</v>
      </c>
      <c r="T121" s="91" t="str">
        <f t="shared" si="71"/>
        <v>NA</v>
      </c>
      <c r="U121" s="91" t="str">
        <f t="shared" si="71"/>
        <v>NA</v>
      </c>
    </row>
    <row r="122" spans="1:21" x14ac:dyDescent="0.4">
      <c r="A122" s="210">
        <v>110</v>
      </c>
      <c r="B122" s="526" t="s">
        <v>68</v>
      </c>
      <c r="C122" s="89">
        <f>SUMIFS(TM[[#All],[Member Months]],TM[[#All],[Reporting Year]],2024,TM[[#All],[Insurance Category Code]],7,TM[[#All],[Large Provider Entity Code]],A122)</f>
        <v>0</v>
      </c>
      <c r="D122" s="7" t="str">
        <f>IFERROR(SUMIFS(TM[[#All],[Total Non-Truncated Claims Spending]],TM[[#All],[Reporting Year]],2024,TM[[#All],[Insurance Category Code]],7,TM[[#All],[Large Provider Entity Code]],A122)/C122,"NA")</f>
        <v>NA</v>
      </c>
      <c r="E122" s="7" t="str">
        <f>IFERROR(SUMIFS(TM[[#All],[Total Non-Claims Spending]],TM[[#All],[Reporting Year]],2024,TM[[#All],[Insurance Category Code]],7,TM[[#All],[Large Provider Entity Code]],A122)/C122,"NA")</f>
        <v>NA</v>
      </c>
      <c r="F122" s="7" t="str">
        <f>IFERROR(SUMIFS(TM[[#All],[Total Non-Truncated Claims and Non-Claims Spending]],TM[[#All],[Reporting Year]],2024,TM[[#All],[Insurance Category Code]],7,TM[[#All],[Large Provider Entity Code]],A122)/C122,"NA")</f>
        <v>NA</v>
      </c>
      <c r="G122" s="7" t="str">
        <f>IFERROR(SUMIFS(TM[[#All],[Total Truncated Claims Spending]],TM[[#All],[Reporting Year]],2024,TM[[#All],[Insurance Category Code]],7,TM[[#All],[Large Provider Entity Code]],A122)/C122,"NA")</f>
        <v>NA</v>
      </c>
      <c r="H122" s="90" t="str">
        <f>IFERROR(SUMIFS(TM[[#All],[Total Truncated Expenses]],TM[[#All],[Reporting Year]],2024,TM[[#All],[Insurance Category Code]],7,TM[[#All],[Large Provider Entity Code]],A122)/C122,"NA")</f>
        <v>NA</v>
      </c>
      <c r="I122" s="89">
        <f>SUMIFS(TM[[#All],[Member Months]],TM[[#All],[Reporting Year]],2025,TM[[#All],[Insurance Category Code]],7,TM[[#All],[Large Provider Entity Code]],A122)</f>
        <v>0</v>
      </c>
      <c r="J122" s="7" t="str">
        <f>IFERROR(SUMIFS(TM[[#All],[Total Non-Truncated Claims Spending]],TM[[#All],[Reporting Year]],2025,TM[[#All],[Insurance Category Code]],7,TM[[#All],[Large Provider Entity Code]],A122)/I122,"NA")</f>
        <v>NA</v>
      </c>
      <c r="K122" s="7" t="str">
        <f>IFERROR(SUMIFS(TM[[#All],[Total Non-Claims Spending]],TM[[#All],[Reporting Year]],2025,TM[[#All],[Insurance Category Code]],7,TM[[#All],[Large Provider Entity Code]],A122)/I122,"NA")</f>
        <v>NA</v>
      </c>
      <c r="L122" s="7" t="str">
        <f>IFERROR(SUMIFS(TM[[#All],[Total Non-Truncated Claims and Non-Claims Spending]],TM[[#All],[Reporting Year]],2025,TM[[#All],[Insurance Category Code]],7,TM[[#All],[Large Provider Entity Code]],A122)/I122,"NA")</f>
        <v>NA</v>
      </c>
      <c r="M122" s="7" t="str">
        <f>IFERROR(SUMIFS(TM[[#All],[Total Truncated Claims Spending]],TM[[#All],[Reporting Year]],2025,TM[[#All],[Insurance Category Code]],7,TM[[#All],[Large Provider Entity Code]],A122)/I122,"NA")</f>
        <v>NA</v>
      </c>
      <c r="N122" s="90" t="str">
        <f>IFERROR(SUMIFS(TM[[#All],[Total Truncated Expenses]],TM[[#All],[Reporting Year]],2025,TM[[#All],[Insurance Category Code]],7,TM[[#All],[Large Provider Entity Code]],A122)/I122,"NA")</f>
        <v>NA</v>
      </c>
      <c r="O122" s="169" t="str">
        <f t="shared" si="72"/>
        <v>No</v>
      </c>
      <c r="P122" s="231" t="str">
        <f t="shared" si="71"/>
        <v>NA</v>
      </c>
      <c r="Q122" s="91" t="str">
        <f t="shared" si="71"/>
        <v>NA</v>
      </c>
      <c r="R122" s="91" t="str">
        <f t="shared" si="71"/>
        <v>NA</v>
      </c>
      <c r="S122" s="91" t="str">
        <f t="shared" si="71"/>
        <v>NA</v>
      </c>
      <c r="T122" s="91" t="str">
        <f t="shared" si="71"/>
        <v>NA</v>
      </c>
      <c r="U122" s="91" t="str">
        <f t="shared" si="71"/>
        <v>NA</v>
      </c>
    </row>
    <row r="123" spans="1:21" x14ac:dyDescent="0.4">
      <c r="A123" s="210">
        <v>111</v>
      </c>
      <c r="B123" s="526" t="s">
        <v>69</v>
      </c>
      <c r="C123" s="89">
        <f>SUMIFS(TM[[#All],[Member Months]],TM[[#All],[Reporting Year]],2024,TM[[#All],[Insurance Category Code]],7,TM[[#All],[Large Provider Entity Code]],A123)</f>
        <v>0</v>
      </c>
      <c r="D123" s="7" t="str">
        <f>IFERROR(SUMIFS(TM[[#All],[Total Non-Truncated Claims Spending]],TM[[#All],[Reporting Year]],2024,TM[[#All],[Insurance Category Code]],7,TM[[#All],[Large Provider Entity Code]],A123)/C123,"NA")</f>
        <v>NA</v>
      </c>
      <c r="E123" s="7" t="str">
        <f>IFERROR(SUMIFS(TM[[#All],[Total Non-Claims Spending]],TM[[#All],[Reporting Year]],2024,TM[[#All],[Insurance Category Code]],7,TM[[#All],[Large Provider Entity Code]],A123)/C123,"NA")</f>
        <v>NA</v>
      </c>
      <c r="F123" s="7" t="str">
        <f>IFERROR(SUMIFS(TM[[#All],[Total Non-Truncated Claims and Non-Claims Spending]],TM[[#All],[Reporting Year]],2024,TM[[#All],[Insurance Category Code]],7,TM[[#All],[Large Provider Entity Code]],A123)/C123,"NA")</f>
        <v>NA</v>
      </c>
      <c r="G123" s="7" t="str">
        <f>IFERROR(SUMIFS(TM[[#All],[Total Truncated Claims Spending]],TM[[#All],[Reporting Year]],2024,TM[[#All],[Insurance Category Code]],7,TM[[#All],[Large Provider Entity Code]],A123)/C123,"NA")</f>
        <v>NA</v>
      </c>
      <c r="H123" s="90" t="str">
        <f>IFERROR(SUMIFS(TM[[#All],[Total Truncated Expenses]],TM[[#All],[Reporting Year]],2024,TM[[#All],[Insurance Category Code]],7,TM[[#All],[Large Provider Entity Code]],A123)/C123,"NA")</f>
        <v>NA</v>
      </c>
      <c r="I123" s="89">
        <f>SUMIFS(TM[[#All],[Member Months]],TM[[#All],[Reporting Year]],2025,TM[[#All],[Insurance Category Code]],7,TM[[#All],[Large Provider Entity Code]],A123)</f>
        <v>0</v>
      </c>
      <c r="J123" s="7" t="str">
        <f>IFERROR(SUMIFS(TM[[#All],[Total Non-Truncated Claims Spending]],TM[[#All],[Reporting Year]],2025,TM[[#All],[Insurance Category Code]],7,TM[[#All],[Large Provider Entity Code]],A123)/I123,"NA")</f>
        <v>NA</v>
      </c>
      <c r="K123" s="7" t="str">
        <f>IFERROR(SUMIFS(TM[[#All],[Total Non-Claims Spending]],TM[[#All],[Reporting Year]],2025,TM[[#All],[Insurance Category Code]],7,TM[[#All],[Large Provider Entity Code]],A123)/I123,"NA")</f>
        <v>NA</v>
      </c>
      <c r="L123" s="7" t="str">
        <f>IFERROR(SUMIFS(TM[[#All],[Total Non-Truncated Claims and Non-Claims Spending]],TM[[#All],[Reporting Year]],2025,TM[[#All],[Insurance Category Code]],7,TM[[#All],[Large Provider Entity Code]],A123)/I123,"NA")</f>
        <v>NA</v>
      </c>
      <c r="M123" s="7" t="str">
        <f>IFERROR(SUMIFS(TM[[#All],[Total Truncated Claims Spending]],TM[[#All],[Reporting Year]],2025,TM[[#All],[Insurance Category Code]],7,TM[[#All],[Large Provider Entity Code]],A123)/I123,"NA")</f>
        <v>NA</v>
      </c>
      <c r="N123" s="90" t="str">
        <f>IFERROR(SUMIFS(TM[[#All],[Total Truncated Expenses]],TM[[#All],[Reporting Year]],2025,TM[[#All],[Insurance Category Code]],7,TM[[#All],[Large Provider Entity Code]],A123)/I123,"NA")</f>
        <v>NA</v>
      </c>
      <c r="O123" s="169" t="str">
        <f t="shared" si="72"/>
        <v>No</v>
      </c>
      <c r="P123" s="231" t="str">
        <f t="shared" si="71"/>
        <v>NA</v>
      </c>
      <c r="Q123" s="91" t="str">
        <f t="shared" si="71"/>
        <v>NA</v>
      </c>
      <c r="R123" s="91" t="str">
        <f t="shared" si="71"/>
        <v>NA</v>
      </c>
      <c r="S123" s="91" t="str">
        <f t="shared" si="71"/>
        <v>NA</v>
      </c>
      <c r="T123" s="91" t="str">
        <f t="shared" si="71"/>
        <v>NA</v>
      </c>
      <c r="U123" s="91" t="str">
        <f t="shared" si="71"/>
        <v>NA</v>
      </c>
    </row>
    <row r="124" spans="1:21" x14ac:dyDescent="0.4">
      <c r="A124" s="210">
        <v>112</v>
      </c>
      <c r="B124" s="526" t="s">
        <v>637</v>
      </c>
      <c r="C124" s="89">
        <f>SUMIFS(TM[[#All],[Member Months]],TM[[#All],[Reporting Year]],2024,TM[[#All],[Insurance Category Code]],7,TM[[#All],[Large Provider Entity Code]],A124)</f>
        <v>0</v>
      </c>
      <c r="D124" s="7" t="str">
        <f>IFERROR(SUMIFS(TM[[#All],[Total Non-Truncated Claims Spending]],TM[[#All],[Reporting Year]],2024,TM[[#All],[Insurance Category Code]],7,TM[[#All],[Large Provider Entity Code]],A124)/C124,"NA")</f>
        <v>NA</v>
      </c>
      <c r="E124" s="7" t="str">
        <f>IFERROR(SUMIFS(TM[[#All],[Total Non-Claims Spending]],TM[[#All],[Reporting Year]],2024,TM[[#All],[Insurance Category Code]],7,TM[[#All],[Large Provider Entity Code]],A124)/C124,"NA")</f>
        <v>NA</v>
      </c>
      <c r="F124" s="7" t="str">
        <f>IFERROR(SUMIFS(TM[[#All],[Total Non-Truncated Claims and Non-Claims Spending]],TM[[#All],[Reporting Year]],2024,TM[[#All],[Insurance Category Code]],7,TM[[#All],[Large Provider Entity Code]],A124)/C124,"NA")</f>
        <v>NA</v>
      </c>
      <c r="G124" s="7" t="str">
        <f>IFERROR(SUMIFS(TM[[#All],[Total Truncated Claims Spending]],TM[[#All],[Reporting Year]],2024,TM[[#All],[Insurance Category Code]],7,TM[[#All],[Large Provider Entity Code]],A124)/C124,"NA")</f>
        <v>NA</v>
      </c>
      <c r="H124" s="90" t="str">
        <f>IFERROR(SUMIFS(TM[[#All],[Total Truncated Expenses]],TM[[#All],[Reporting Year]],2024,TM[[#All],[Insurance Category Code]],7,TM[[#All],[Large Provider Entity Code]],A124)/C124,"NA")</f>
        <v>NA</v>
      </c>
      <c r="I124" s="89">
        <f>SUMIFS(TM[[#All],[Member Months]],TM[[#All],[Reporting Year]],2025,TM[[#All],[Insurance Category Code]],7,TM[[#All],[Large Provider Entity Code]],A124)</f>
        <v>0</v>
      </c>
      <c r="J124" s="7" t="str">
        <f>IFERROR(SUMIFS(TM[[#All],[Total Non-Truncated Claims Spending]],TM[[#All],[Reporting Year]],2025,TM[[#All],[Insurance Category Code]],7,TM[[#All],[Large Provider Entity Code]],A124)/I124,"NA")</f>
        <v>NA</v>
      </c>
      <c r="K124" s="7" t="str">
        <f>IFERROR(SUMIFS(TM[[#All],[Total Non-Claims Spending]],TM[[#All],[Reporting Year]],2025,TM[[#All],[Insurance Category Code]],7,TM[[#All],[Large Provider Entity Code]],A124)/I124,"NA")</f>
        <v>NA</v>
      </c>
      <c r="L124" s="7" t="str">
        <f>IFERROR(SUMIFS(TM[[#All],[Total Non-Truncated Claims and Non-Claims Spending]],TM[[#All],[Reporting Year]],2025,TM[[#All],[Insurance Category Code]],7,TM[[#All],[Large Provider Entity Code]],A124)/I124,"NA")</f>
        <v>NA</v>
      </c>
      <c r="M124" s="7" t="str">
        <f>IFERROR(SUMIFS(TM[[#All],[Total Truncated Claims Spending]],TM[[#All],[Reporting Year]],2025,TM[[#All],[Insurance Category Code]],7,TM[[#All],[Large Provider Entity Code]],A124)/I124,"NA")</f>
        <v>NA</v>
      </c>
      <c r="N124" s="90" t="str">
        <f>IFERROR(SUMIFS(TM[[#All],[Total Truncated Expenses]],TM[[#All],[Reporting Year]],2025,TM[[#All],[Insurance Category Code]],7,TM[[#All],[Large Provider Entity Code]],A124)/I124,"NA")</f>
        <v>NA</v>
      </c>
      <c r="O124" s="169" t="str">
        <f t="shared" si="72"/>
        <v>No</v>
      </c>
      <c r="P124" s="231" t="str">
        <f t="shared" si="71"/>
        <v>NA</v>
      </c>
      <c r="Q124" s="91" t="str">
        <f t="shared" si="71"/>
        <v>NA</v>
      </c>
      <c r="R124" s="91" t="str">
        <f t="shared" si="71"/>
        <v>NA</v>
      </c>
      <c r="S124" s="91" t="str">
        <f t="shared" si="71"/>
        <v>NA</v>
      </c>
      <c r="T124" s="91" t="str">
        <f t="shared" si="71"/>
        <v>NA</v>
      </c>
      <c r="U124" s="91" t="str">
        <f t="shared" si="71"/>
        <v>NA</v>
      </c>
    </row>
    <row r="125" spans="1:21" ht="33.6" x14ac:dyDescent="0.4">
      <c r="A125" s="210">
        <v>115</v>
      </c>
      <c r="B125" s="526" t="s">
        <v>612</v>
      </c>
      <c r="C125" s="89">
        <f>SUMIFS(TM[[#All],[Member Months]],TM[[#All],[Reporting Year]],2024,TM[[#All],[Insurance Category Code]],7,TM[[#All],[Large Provider Entity Code]],A125)</f>
        <v>0</v>
      </c>
      <c r="D125" s="7" t="str">
        <f>IFERROR(SUMIFS(TM[[#All],[Total Non-Truncated Claims Spending]],TM[[#All],[Reporting Year]],2024,TM[[#All],[Insurance Category Code]],7,TM[[#All],[Large Provider Entity Code]],A125)/C125,"NA")</f>
        <v>NA</v>
      </c>
      <c r="E125" s="7" t="str">
        <f>IFERROR(SUMIFS(TM[[#All],[Total Non-Claims Spending]],TM[[#All],[Reporting Year]],2024,TM[[#All],[Insurance Category Code]],7,TM[[#All],[Large Provider Entity Code]],A125)/C125,"NA")</f>
        <v>NA</v>
      </c>
      <c r="F125" s="7" t="str">
        <f>IFERROR(SUMIFS(TM[[#All],[Total Non-Truncated Claims and Non-Claims Spending]],TM[[#All],[Reporting Year]],2024,TM[[#All],[Insurance Category Code]],7,TM[[#All],[Large Provider Entity Code]],A125)/C125,"NA")</f>
        <v>NA</v>
      </c>
      <c r="G125" s="7" t="str">
        <f>IFERROR(SUMIFS(TM[[#All],[Total Truncated Claims Spending]],TM[[#All],[Reporting Year]],2024,TM[[#All],[Insurance Category Code]],7,TM[[#All],[Large Provider Entity Code]],A125)/C125,"NA")</f>
        <v>NA</v>
      </c>
      <c r="H125" s="90" t="str">
        <f>IFERROR(SUMIFS(TM[[#All],[Total Truncated Expenses]],TM[[#All],[Reporting Year]],2024,TM[[#All],[Insurance Category Code]],7,TM[[#All],[Large Provider Entity Code]],A125)/C125,"NA")</f>
        <v>NA</v>
      </c>
      <c r="I125" s="89">
        <f>SUMIFS(TM[[#All],[Member Months]],TM[[#All],[Reporting Year]],2025,TM[[#All],[Insurance Category Code]],7,TM[[#All],[Large Provider Entity Code]],A125)</f>
        <v>0</v>
      </c>
      <c r="J125" s="7" t="str">
        <f>IFERROR(SUMIFS(TM[[#All],[Total Non-Truncated Claims Spending]],TM[[#All],[Reporting Year]],2025,TM[[#All],[Insurance Category Code]],7,TM[[#All],[Large Provider Entity Code]],A125)/I125,"NA")</f>
        <v>NA</v>
      </c>
      <c r="K125" s="7" t="str">
        <f>IFERROR(SUMIFS(TM[[#All],[Total Non-Claims Spending]],TM[[#All],[Reporting Year]],2025,TM[[#All],[Insurance Category Code]],7,TM[[#All],[Large Provider Entity Code]],A125)/I125,"NA")</f>
        <v>NA</v>
      </c>
      <c r="L125" s="7" t="str">
        <f>IFERROR(SUMIFS(TM[[#All],[Total Non-Truncated Claims and Non-Claims Spending]],TM[[#All],[Reporting Year]],2025,TM[[#All],[Insurance Category Code]],7,TM[[#All],[Large Provider Entity Code]],A125)/I125,"NA")</f>
        <v>NA</v>
      </c>
      <c r="M125" s="7" t="str">
        <f>IFERROR(SUMIFS(TM[[#All],[Total Truncated Claims Spending]],TM[[#All],[Reporting Year]],2025,TM[[#All],[Insurance Category Code]],7,TM[[#All],[Large Provider Entity Code]],A125)/I125,"NA")</f>
        <v>NA</v>
      </c>
      <c r="N125" s="90" t="str">
        <f>IFERROR(SUMIFS(TM[[#All],[Total Truncated Expenses]],TM[[#All],[Reporting Year]],2025,TM[[#All],[Insurance Category Code]],7,TM[[#All],[Large Provider Entity Code]],A125)/I125,"NA")</f>
        <v>NA</v>
      </c>
      <c r="O125" s="169" t="str">
        <f t="shared" si="72"/>
        <v>No</v>
      </c>
      <c r="P125" s="231" t="str">
        <f t="shared" si="71"/>
        <v>NA</v>
      </c>
      <c r="Q125" s="91" t="str">
        <f t="shared" si="71"/>
        <v>NA</v>
      </c>
      <c r="R125" s="91" t="str">
        <f t="shared" si="71"/>
        <v>NA</v>
      </c>
      <c r="S125" s="91" t="str">
        <f t="shared" si="71"/>
        <v>NA</v>
      </c>
      <c r="T125" s="91" t="str">
        <f t="shared" si="71"/>
        <v>NA</v>
      </c>
      <c r="U125" s="91" t="str">
        <f t="shared" si="71"/>
        <v>NA</v>
      </c>
    </row>
    <row r="126" spans="1:21" x14ac:dyDescent="0.4">
      <c r="A126" s="210">
        <v>116</v>
      </c>
      <c r="B126" s="526" t="s">
        <v>564</v>
      </c>
      <c r="C126" s="89">
        <f>SUMIFS(TM[[#All],[Member Months]],TM[[#All],[Reporting Year]],2024,TM[[#All],[Insurance Category Code]],7,TM[[#All],[Large Provider Entity Code]],A126)</f>
        <v>0</v>
      </c>
      <c r="D126" s="7" t="str">
        <f>IFERROR(SUMIFS(TM[[#All],[Total Non-Truncated Claims Spending]],TM[[#All],[Reporting Year]],2024,TM[[#All],[Insurance Category Code]],7,TM[[#All],[Large Provider Entity Code]],A126)/C126,"NA")</f>
        <v>NA</v>
      </c>
      <c r="E126" s="7" t="str">
        <f>IFERROR(SUMIFS(TM[[#All],[Total Non-Claims Spending]],TM[[#All],[Reporting Year]],2024,TM[[#All],[Insurance Category Code]],7,TM[[#All],[Large Provider Entity Code]],A126)/C126,"NA")</f>
        <v>NA</v>
      </c>
      <c r="F126" s="7" t="str">
        <f>IFERROR(SUMIFS(TM[[#All],[Total Non-Truncated Claims and Non-Claims Spending]],TM[[#All],[Reporting Year]],2024,TM[[#All],[Insurance Category Code]],7,TM[[#All],[Large Provider Entity Code]],A126)/C126,"NA")</f>
        <v>NA</v>
      </c>
      <c r="G126" s="7" t="str">
        <f>IFERROR(SUMIFS(TM[[#All],[Total Truncated Claims Spending]],TM[[#All],[Reporting Year]],2024,TM[[#All],[Insurance Category Code]],7,TM[[#All],[Large Provider Entity Code]],A126)/C126,"NA")</f>
        <v>NA</v>
      </c>
      <c r="H126" s="90" t="str">
        <f>IFERROR(SUMIFS(TM[[#All],[Total Truncated Expenses]],TM[[#All],[Reporting Year]],2024,TM[[#All],[Insurance Category Code]],7,TM[[#All],[Large Provider Entity Code]],A126)/C126,"NA")</f>
        <v>NA</v>
      </c>
      <c r="I126" s="89">
        <f>SUMIFS(TM[[#All],[Member Months]],TM[[#All],[Reporting Year]],2025,TM[[#All],[Insurance Category Code]],7,TM[[#All],[Large Provider Entity Code]],A126)</f>
        <v>0</v>
      </c>
      <c r="J126" s="7" t="str">
        <f>IFERROR(SUMIFS(TM[[#All],[Total Non-Truncated Claims Spending]],TM[[#All],[Reporting Year]],2025,TM[[#All],[Insurance Category Code]],7,TM[[#All],[Large Provider Entity Code]],A126)/I126,"NA")</f>
        <v>NA</v>
      </c>
      <c r="K126" s="7" t="str">
        <f>IFERROR(SUMIFS(TM[[#All],[Total Non-Claims Spending]],TM[[#All],[Reporting Year]],2025,TM[[#All],[Insurance Category Code]],7,TM[[#All],[Large Provider Entity Code]],A126)/I126,"NA")</f>
        <v>NA</v>
      </c>
      <c r="L126" s="7" t="str">
        <f>IFERROR(SUMIFS(TM[[#All],[Total Non-Truncated Claims and Non-Claims Spending]],TM[[#All],[Reporting Year]],2025,TM[[#All],[Insurance Category Code]],7,TM[[#All],[Large Provider Entity Code]],A126)/I126,"NA")</f>
        <v>NA</v>
      </c>
      <c r="M126" s="7" t="str">
        <f>IFERROR(SUMIFS(TM[[#All],[Total Truncated Claims Spending]],TM[[#All],[Reporting Year]],2025,TM[[#All],[Insurance Category Code]],7,TM[[#All],[Large Provider Entity Code]],A126)/I126,"NA")</f>
        <v>NA</v>
      </c>
      <c r="N126" s="90" t="str">
        <f>IFERROR(SUMIFS(TM[[#All],[Total Truncated Expenses]],TM[[#All],[Reporting Year]],2025,TM[[#All],[Insurance Category Code]],7,TM[[#All],[Large Provider Entity Code]],A126)/I126,"NA")</f>
        <v>NA</v>
      </c>
      <c r="O126" s="169" t="str">
        <f t="shared" si="72"/>
        <v>No</v>
      </c>
      <c r="P126" s="231" t="str">
        <f t="shared" si="71"/>
        <v>NA</v>
      </c>
      <c r="Q126" s="91" t="str">
        <f t="shared" si="71"/>
        <v>NA</v>
      </c>
      <c r="R126" s="91" t="str">
        <f t="shared" si="71"/>
        <v>NA</v>
      </c>
      <c r="S126" s="91" t="str">
        <f t="shared" si="71"/>
        <v>NA</v>
      </c>
      <c r="T126" s="91" t="str">
        <f t="shared" si="71"/>
        <v>NA</v>
      </c>
      <c r="U126" s="91" t="str">
        <f t="shared" si="71"/>
        <v>NA</v>
      </c>
    </row>
    <row r="127" spans="1:21" x14ac:dyDescent="0.4">
      <c r="A127" s="210">
        <v>118</v>
      </c>
      <c r="B127" s="526" t="s">
        <v>70</v>
      </c>
      <c r="C127" s="89">
        <f>SUMIFS(TM[[#All],[Member Months]],TM[[#All],[Reporting Year]],2024,TM[[#All],[Insurance Category Code]],7,TM[[#All],[Large Provider Entity Code]],A127)</f>
        <v>0</v>
      </c>
      <c r="D127" s="7" t="str">
        <f>IFERROR(SUMIFS(TM[[#All],[Total Non-Truncated Claims Spending]],TM[[#All],[Reporting Year]],2024,TM[[#All],[Insurance Category Code]],7,TM[[#All],[Large Provider Entity Code]],A127)/C127,"NA")</f>
        <v>NA</v>
      </c>
      <c r="E127" s="7" t="str">
        <f>IFERROR(SUMIFS(TM[[#All],[Total Non-Claims Spending]],TM[[#All],[Reporting Year]],2024,TM[[#All],[Insurance Category Code]],7,TM[[#All],[Large Provider Entity Code]],A127)/C127,"NA")</f>
        <v>NA</v>
      </c>
      <c r="F127" s="7" t="str">
        <f>IFERROR(SUMIFS(TM[[#All],[Total Non-Truncated Claims and Non-Claims Spending]],TM[[#All],[Reporting Year]],2024,TM[[#All],[Insurance Category Code]],7,TM[[#All],[Large Provider Entity Code]],A127)/C127,"NA")</f>
        <v>NA</v>
      </c>
      <c r="G127" s="7" t="str">
        <f>IFERROR(SUMIFS(TM[[#All],[Total Truncated Claims Spending]],TM[[#All],[Reporting Year]],2024,TM[[#All],[Insurance Category Code]],7,TM[[#All],[Large Provider Entity Code]],A127)/C127,"NA")</f>
        <v>NA</v>
      </c>
      <c r="H127" s="90" t="str">
        <f>IFERROR(SUMIFS(TM[[#All],[Total Truncated Expenses]],TM[[#All],[Reporting Year]],2024,TM[[#All],[Insurance Category Code]],7,TM[[#All],[Large Provider Entity Code]],A127)/C127,"NA")</f>
        <v>NA</v>
      </c>
      <c r="I127" s="89">
        <f>SUMIFS(TM[[#All],[Member Months]],TM[[#All],[Reporting Year]],2025,TM[[#All],[Insurance Category Code]],7,TM[[#All],[Large Provider Entity Code]],A127)</f>
        <v>0</v>
      </c>
      <c r="J127" s="7" t="str">
        <f>IFERROR(SUMIFS(TM[[#All],[Total Non-Truncated Claims Spending]],TM[[#All],[Reporting Year]],2025,TM[[#All],[Insurance Category Code]],7,TM[[#All],[Large Provider Entity Code]],A127)/I127,"NA")</f>
        <v>NA</v>
      </c>
      <c r="K127" s="7" t="str">
        <f>IFERROR(SUMIFS(TM[[#All],[Total Non-Claims Spending]],TM[[#All],[Reporting Year]],2025,TM[[#All],[Insurance Category Code]],7,TM[[#All],[Large Provider Entity Code]],A127)/I127,"NA")</f>
        <v>NA</v>
      </c>
      <c r="L127" s="7" t="str">
        <f>IFERROR(SUMIFS(TM[[#All],[Total Non-Truncated Claims and Non-Claims Spending]],TM[[#All],[Reporting Year]],2025,TM[[#All],[Insurance Category Code]],7,TM[[#All],[Large Provider Entity Code]],A127)/I127,"NA")</f>
        <v>NA</v>
      </c>
      <c r="M127" s="7" t="str">
        <f>IFERROR(SUMIFS(TM[[#All],[Total Truncated Claims Spending]],TM[[#All],[Reporting Year]],2025,TM[[#All],[Insurance Category Code]],7,TM[[#All],[Large Provider Entity Code]],A127)/I127,"NA")</f>
        <v>NA</v>
      </c>
      <c r="N127" s="90" t="str">
        <f>IFERROR(SUMIFS(TM[[#All],[Total Truncated Expenses]],TM[[#All],[Reporting Year]],2025,TM[[#All],[Insurance Category Code]],7,TM[[#All],[Large Provider Entity Code]],A127)/I127,"NA")</f>
        <v>NA</v>
      </c>
      <c r="O127" s="169" t="str">
        <f>IFERROR(IF(AND(C127&gt;12000,I127&gt;12000),"Yes","No"),"NA")</f>
        <v>No</v>
      </c>
      <c r="P127" s="231" t="str">
        <f t="shared" si="71"/>
        <v>NA</v>
      </c>
      <c r="Q127" s="91" t="str">
        <f t="shared" si="71"/>
        <v>NA</v>
      </c>
      <c r="R127" s="91" t="str">
        <f t="shared" si="71"/>
        <v>NA</v>
      </c>
      <c r="S127" s="91" t="str">
        <f t="shared" si="71"/>
        <v>NA</v>
      </c>
      <c r="T127" s="91" t="str">
        <f t="shared" si="71"/>
        <v>NA</v>
      </c>
      <c r="U127" s="91" t="str">
        <f t="shared" si="71"/>
        <v>NA</v>
      </c>
    </row>
    <row r="128" spans="1:21" x14ac:dyDescent="0.4">
      <c r="A128" s="210">
        <v>120</v>
      </c>
      <c r="B128" s="526" t="s">
        <v>561</v>
      </c>
      <c r="C128" s="89">
        <f>SUMIFS(TM[[#All],[Member Months]],TM[[#All],[Reporting Year]],2024,TM[[#All],[Insurance Category Code]],7,TM[[#All],[Large Provider Entity Code]],A128)</f>
        <v>0</v>
      </c>
      <c r="D128" s="7" t="str">
        <f>IFERROR(SUMIFS(TM[[#All],[Total Non-Truncated Claims Spending]],TM[[#All],[Reporting Year]],2024,TM[[#All],[Insurance Category Code]],7,TM[[#All],[Large Provider Entity Code]],A128)/C128,"NA")</f>
        <v>NA</v>
      </c>
      <c r="E128" s="7" t="str">
        <f>IFERROR(SUMIFS(TM[[#All],[Total Non-Claims Spending]],TM[[#All],[Reporting Year]],2024,TM[[#All],[Insurance Category Code]],7,TM[[#All],[Large Provider Entity Code]],A128)/C128,"NA")</f>
        <v>NA</v>
      </c>
      <c r="F128" s="7" t="str">
        <f>IFERROR(SUMIFS(TM[[#All],[Total Non-Truncated Claims and Non-Claims Spending]],TM[[#All],[Reporting Year]],2024,TM[[#All],[Insurance Category Code]],7,TM[[#All],[Large Provider Entity Code]],A128)/C128,"NA")</f>
        <v>NA</v>
      </c>
      <c r="G128" s="7" t="str">
        <f>IFERROR(SUMIFS(TM[[#All],[Total Truncated Claims Spending]],TM[[#All],[Reporting Year]],2024,TM[[#All],[Insurance Category Code]],7,TM[[#All],[Large Provider Entity Code]],A128)/C128,"NA")</f>
        <v>NA</v>
      </c>
      <c r="H128" s="90" t="str">
        <f>IFERROR(SUMIFS(TM[[#All],[Total Truncated Expenses]],TM[[#All],[Reporting Year]],2024,TM[[#All],[Insurance Category Code]],7,TM[[#All],[Large Provider Entity Code]],A128)/C128,"NA")</f>
        <v>NA</v>
      </c>
      <c r="I128" s="89">
        <f>SUMIFS(TM[[#All],[Member Months]],TM[[#All],[Reporting Year]],2025,TM[[#All],[Insurance Category Code]],7,TM[[#All],[Large Provider Entity Code]],A128)</f>
        <v>0</v>
      </c>
      <c r="J128" s="7" t="str">
        <f>IFERROR(SUMIFS(TM[[#All],[Total Non-Truncated Claims Spending]],TM[[#All],[Reporting Year]],2025,TM[[#All],[Insurance Category Code]],7,TM[[#All],[Large Provider Entity Code]],A128)/I128,"NA")</f>
        <v>NA</v>
      </c>
      <c r="K128" s="7" t="str">
        <f>IFERROR(SUMIFS(TM[[#All],[Total Non-Claims Spending]],TM[[#All],[Reporting Year]],2025,TM[[#All],[Insurance Category Code]],7,TM[[#All],[Large Provider Entity Code]],A128)/I128,"NA")</f>
        <v>NA</v>
      </c>
      <c r="L128" s="7" t="str">
        <f>IFERROR(SUMIFS(TM[[#All],[Total Non-Truncated Claims and Non-Claims Spending]],TM[[#All],[Reporting Year]],2025,TM[[#All],[Insurance Category Code]],7,TM[[#All],[Large Provider Entity Code]],A128)/I128,"NA")</f>
        <v>NA</v>
      </c>
      <c r="M128" s="7" t="str">
        <f>IFERROR(SUMIFS(TM[[#All],[Total Truncated Claims Spending]],TM[[#All],[Reporting Year]],2025,TM[[#All],[Insurance Category Code]],7,TM[[#All],[Large Provider Entity Code]],A128)/I128,"NA")</f>
        <v>NA</v>
      </c>
      <c r="N128" s="90" t="str">
        <f>IFERROR(SUMIFS(TM[[#All],[Total Truncated Expenses]],TM[[#All],[Reporting Year]],2025,TM[[#All],[Insurance Category Code]],7,TM[[#All],[Large Provider Entity Code]],A128)/I128,"NA")</f>
        <v>NA</v>
      </c>
      <c r="O128" s="169" t="str">
        <f t="shared" si="72"/>
        <v>No</v>
      </c>
      <c r="P128" s="231" t="str">
        <f t="shared" si="71"/>
        <v>NA</v>
      </c>
      <c r="Q128" s="91" t="str">
        <f t="shared" si="71"/>
        <v>NA</v>
      </c>
      <c r="R128" s="91" t="str">
        <f t="shared" si="71"/>
        <v>NA</v>
      </c>
      <c r="S128" s="91" t="str">
        <f t="shared" si="71"/>
        <v>NA</v>
      </c>
      <c r="T128" s="91" t="str">
        <f t="shared" si="71"/>
        <v>NA</v>
      </c>
      <c r="U128" s="91" t="str">
        <f t="shared" si="71"/>
        <v>NA</v>
      </c>
    </row>
    <row r="129" spans="1:21" ht="33.6" x14ac:dyDescent="0.4">
      <c r="A129" s="210">
        <v>121</v>
      </c>
      <c r="B129" s="526" t="s">
        <v>565</v>
      </c>
      <c r="C129" s="89">
        <f>SUMIFS(TM[[#All],[Member Months]],TM[[#All],[Reporting Year]],2024,TM[[#All],[Insurance Category Code]],7,TM[[#All],[Large Provider Entity Code]],A129)</f>
        <v>0</v>
      </c>
      <c r="D129" s="7" t="str">
        <f>IFERROR(SUMIFS(TM[[#All],[Total Non-Truncated Claims Spending]],TM[[#All],[Reporting Year]],2024,TM[[#All],[Insurance Category Code]],7,TM[[#All],[Large Provider Entity Code]],A129)/C129,"NA")</f>
        <v>NA</v>
      </c>
      <c r="E129" s="7" t="str">
        <f>IFERROR(SUMIFS(TM[[#All],[Total Non-Claims Spending]],TM[[#All],[Reporting Year]],2024,TM[[#All],[Insurance Category Code]],7,TM[[#All],[Large Provider Entity Code]],A129)/C129,"NA")</f>
        <v>NA</v>
      </c>
      <c r="F129" s="7" t="str">
        <f>IFERROR(SUMIFS(TM[[#All],[Total Non-Truncated Claims and Non-Claims Spending]],TM[[#All],[Reporting Year]],2024,TM[[#All],[Insurance Category Code]],7,TM[[#All],[Large Provider Entity Code]],A129)/C129,"NA")</f>
        <v>NA</v>
      </c>
      <c r="G129" s="7" t="str">
        <f>IFERROR(SUMIFS(TM[[#All],[Total Truncated Claims Spending]],TM[[#All],[Reporting Year]],2024,TM[[#All],[Insurance Category Code]],7,TM[[#All],[Large Provider Entity Code]],A129)/C129,"NA")</f>
        <v>NA</v>
      </c>
      <c r="H129" s="90" t="str">
        <f>IFERROR(SUMIFS(TM[[#All],[Total Truncated Expenses]],TM[[#All],[Reporting Year]],2024,TM[[#All],[Insurance Category Code]],7,TM[[#All],[Large Provider Entity Code]],A129)/C129,"NA")</f>
        <v>NA</v>
      </c>
      <c r="I129" s="89">
        <f>SUMIFS(TM[[#All],[Member Months]],TM[[#All],[Reporting Year]],2025,TM[[#All],[Insurance Category Code]],7,TM[[#All],[Large Provider Entity Code]],A129)</f>
        <v>0</v>
      </c>
      <c r="J129" s="7" t="str">
        <f>IFERROR(SUMIFS(TM[[#All],[Total Non-Truncated Claims Spending]],TM[[#All],[Reporting Year]],2025,TM[[#All],[Insurance Category Code]],7,TM[[#All],[Large Provider Entity Code]],A129)/I129,"NA")</f>
        <v>NA</v>
      </c>
      <c r="K129" s="7" t="str">
        <f>IFERROR(SUMIFS(TM[[#All],[Total Non-Claims Spending]],TM[[#All],[Reporting Year]],2025,TM[[#All],[Insurance Category Code]],7,TM[[#All],[Large Provider Entity Code]],A129)/I129,"NA")</f>
        <v>NA</v>
      </c>
      <c r="L129" s="7" t="str">
        <f>IFERROR(SUMIFS(TM[[#All],[Total Non-Truncated Claims and Non-Claims Spending]],TM[[#All],[Reporting Year]],2025,TM[[#All],[Insurance Category Code]],7,TM[[#All],[Large Provider Entity Code]],A129)/I129,"NA")</f>
        <v>NA</v>
      </c>
      <c r="M129" s="7" t="str">
        <f>IFERROR(SUMIFS(TM[[#All],[Total Truncated Claims Spending]],TM[[#All],[Reporting Year]],2025,TM[[#All],[Insurance Category Code]],7,TM[[#All],[Large Provider Entity Code]],A129)/I129,"NA")</f>
        <v>NA</v>
      </c>
      <c r="N129" s="90" t="str">
        <f>IFERROR(SUMIFS(TM[[#All],[Total Truncated Expenses]],TM[[#All],[Reporting Year]],2025,TM[[#All],[Insurance Category Code]],7,TM[[#All],[Large Provider Entity Code]],A129)/I129,"NA")</f>
        <v>NA</v>
      </c>
      <c r="O129" s="169" t="str">
        <f t="shared" si="72"/>
        <v>No</v>
      </c>
      <c r="P129" s="231" t="str">
        <f t="shared" si="71"/>
        <v>NA</v>
      </c>
      <c r="Q129" s="91" t="str">
        <f t="shared" si="71"/>
        <v>NA</v>
      </c>
      <c r="R129" s="91" t="str">
        <f t="shared" si="71"/>
        <v>NA</v>
      </c>
      <c r="S129" s="91" t="str">
        <f t="shared" si="71"/>
        <v>NA</v>
      </c>
      <c r="T129" s="91" t="str">
        <f t="shared" si="71"/>
        <v>NA</v>
      </c>
      <c r="U129" s="91" t="str">
        <f t="shared" si="71"/>
        <v>NA</v>
      </c>
    </row>
    <row r="130" spans="1:21" ht="33.6" x14ac:dyDescent="0.4">
      <c r="A130" s="210">
        <v>122</v>
      </c>
      <c r="B130" s="525" t="s">
        <v>647</v>
      </c>
      <c r="C130" s="89">
        <f>SUMIFS(TM[[#All],[Member Months]],TM[[#All],[Reporting Year]],2024,TM[[#All],[Insurance Category Code]],7,TM[[#All],[Large Provider Entity Code]],A130)</f>
        <v>0</v>
      </c>
      <c r="D130" s="7" t="str">
        <f>IFERROR(SUMIFS(TM[[#All],[Total Non-Truncated Claims Spending]],TM[[#All],[Reporting Year]],2024,TM[[#All],[Insurance Category Code]],7,TM[[#All],[Large Provider Entity Code]],A130)/C130,"NA")</f>
        <v>NA</v>
      </c>
      <c r="E130" s="7" t="str">
        <f>IFERROR(SUMIFS(TM[[#All],[Total Non-Claims Spending]],TM[[#All],[Reporting Year]],2024,TM[[#All],[Insurance Category Code]],7,TM[[#All],[Large Provider Entity Code]],A130)/C130,"NA")</f>
        <v>NA</v>
      </c>
      <c r="F130" s="7" t="str">
        <f>IFERROR(SUMIFS(TM[[#All],[Total Non-Truncated Claims and Non-Claims Spending]],TM[[#All],[Reporting Year]],2024,TM[[#All],[Insurance Category Code]],7,TM[[#All],[Large Provider Entity Code]],A130)/C130,"NA")</f>
        <v>NA</v>
      </c>
      <c r="G130" s="7" t="str">
        <f>IFERROR(SUMIFS(TM[[#All],[Total Truncated Claims Spending]],TM[[#All],[Reporting Year]],2024,TM[[#All],[Insurance Category Code]],7,TM[[#All],[Large Provider Entity Code]],A130)/C130,"NA")</f>
        <v>NA</v>
      </c>
      <c r="H130" s="90" t="str">
        <f>IFERROR(SUMIFS(TM[[#All],[Total Truncated Expenses]],TM[[#All],[Reporting Year]],2024,TM[[#All],[Insurance Category Code]],7,TM[[#All],[Large Provider Entity Code]],A130)/C130,"NA")</f>
        <v>NA</v>
      </c>
      <c r="I130" s="89">
        <f>SUMIFS(TM[[#All],[Member Months]],TM[[#All],[Reporting Year]],2025,TM[[#All],[Insurance Category Code]],7,TM[[#All],[Large Provider Entity Code]],A130)</f>
        <v>0</v>
      </c>
      <c r="J130" s="7" t="str">
        <f>IFERROR(SUMIFS(TM[[#All],[Total Non-Truncated Claims Spending]],TM[[#All],[Reporting Year]],2025,TM[[#All],[Insurance Category Code]],7,TM[[#All],[Large Provider Entity Code]],A130)/I130,"NA")</f>
        <v>NA</v>
      </c>
      <c r="K130" s="7" t="str">
        <f>IFERROR(SUMIFS(TM[[#All],[Total Non-Claims Spending]],TM[[#All],[Reporting Year]],2025,TM[[#All],[Insurance Category Code]],7,TM[[#All],[Large Provider Entity Code]],A130)/I130,"NA")</f>
        <v>NA</v>
      </c>
      <c r="L130" s="7" t="str">
        <f>IFERROR(SUMIFS(TM[[#All],[Total Non-Truncated Claims and Non-Claims Spending]],TM[[#All],[Reporting Year]],2025,TM[[#All],[Insurance Category Code]],7,TM[[#All],[Large Provider Entity Code]],A130)/I130,"NA")</f>
        <v>NA</v>
      </c>
      <c r="M130" s="7" t="str">
        <f>IFERROR(SUMIFS(TM[[#All],[Total Truncated Claims Spending]],TM[[#All],[Reporting Year]],2025,TM[[#All],[Insurance Category Code]],7,TM[[#All],[Large Provider Entity Code]],A130)/I130,"NA")</f>
        <v>NA</v>
      </c>
      <c r="N130" s="90" t="str">
        <f>IFERROR(SUMIFS(TM[[#All],[Total Truncated Expenses]],TM[[#All],[Reporting Year]],2025,TM[[#All],[Insurance Category Code]],7,TM[[#All],[Large Provider Entity Code]],A130)/I130,"NA")</f>
        <v>NA</v>
      </c>
      <c r="O130" s="169" t="str">
        <f t="shared" si="72"/>
        <v>No</v>
      </c>
      <c r="P130" s="231" t="str">
        <f t="shared" si="71"/>
        <v>NA</v>
      </c>
      <c r="Q130" s="91" t="str">
        <f t="shared" si="71"/>
        <v>NA</v>
      </c>
      <c r="R130" s="91" t="str">
        <f t="shared" si="71"/>
        <v>NA</v>
      </c>
      <c r="S130" s="91" t="str">
        <f t="shared" si="71"/>
        <v>NA</v>
      </c>
      <c r="T130" s="91" t="str">
        <f t="shared" si="71"/>
        <v>NA</v>
      </c>
      <c r="U130" s="91" t="str">
        <f t="shared" si="71"/>
        <v>NA</v>
      </c>
    </row>
    <row r="131" spans="1:21" ht="33.6" x14ac:dyDescent="0.4">
      <c r="A131" s="210">
        <v>123</v>
      </c>
      <c r="B131" s="525" t="s">
        <v>614</v>
      </c>
      <c r="C131" s="89">
        <f>SUMIFS(TM[[#All],[Member Months]],TM[[#All],[Reporting Year]],2024,TM[[#All],[Insurance Category Code]],7,TM[[#All],[Large Provider Entity Code]],A131)</f>
        <v>0</v>
      </c>
      <c r="D131" s="7" t="str">
        <f>IFERROR(SUMIFS(TM[[#All],[Total Non-Truncated Claims Spending]],TM[[#All],[Reporting Year]],2024,TM[[#All],[Insurance Category Code]],7,TM[[#All],[Large Provider Entity Code]],A131)/C131,"NA")</f>
        <v>NA</v>
      </c>
      <c r="E131" s="7" t="str">
        <f>IFERROR(SUMIFS(TM[[#All],[Total Non-Claims Spending]],TM[[#All],[Reporting Year]],2024,TM[[#All],[Insurance Category Code]],7,TM[[#All],[Large Provider Entity Code]],A131)/C131,"NA")</f>
        <v>NA</v>
      </c>
      <c r="F131" s="7" t="str">
        <f>IFERROR(SUMIFS(TM[[#All],[Total Non-Truncated Claims and Non-Claims Spending]],TM[[#All],[Reporting Year]],2024,TM[[#All],[Insurance Category Code]],7,TM[[#All],[Large Provider Entity Code]],A131)/C131,"NA")</f>
        <v>NA</v>
      </c>
      <c r="G131" s="7" t="str">
        <f>IFERROR(SUMIFS(TM[[#All],[Total Truncated Claims Spending]],TM[[#All],[Reporting Year]],2024,TM[[#All],[Insurance Category Code]],7,TM[[#All],[Large Provider Entity Code]],A131)/C131,"NA")</f>
        <v>NA</v>
      </c>
      <c r="H131" s="90" t="str">
        <f>IFERROR(SUMIFS(TM[[#All],[Total Truncated Expenses]],TM[[#All],[Reporting Year]],2024,TM[[#All],[Insurance Category Code]],7,TM[[#All],[Large Provider Entity Code]],A131)/C131,"NA")</f>
        <v>NA</v>
      </c>
      <c r="I131" s="89">
        <f>SUMIFS(TM[[#All],[Member Months]],TM[[#All],[Reporting Year]],2025,TM[[#All],[Insurance Category Code]],7,TM[[#All],[Large Provider Entity Code]],A131)</f>
        <v>0</v>
      </c>
      <c r="J131" s="7" t="str">
        <f>IFERROR(SUMIFS(TM[[#All],[Total Non-Truncated Claims Spending]],TM[[#All],[Reporting Year]],2025,TM[[#All],[Insurance Category Code]],7,TM[[#All],[Large Provider Entity Code]],A131)/I131,"NA")</f>
        <v>NA</v>
      </c>
      <c r="K131" s="7" t="str">
        <f>IFERROR(SUMIFS(TM[[#All],[Total Non-Claims Spending]],TM[[#All],[Reporting Year]],2025,TM[[#All],[Insurance Category Code]],7,TM[[#All],[Large Provider Entity Code]],A131)/I131,"NA")</f>
        <v>NA</v>
      </c>
      <c r="L131" s="7" t="str">
        <f>IFERROR(SUMIFS(TM[[#All],[Total Non-Truncated Claims and Non-Claims Spending]],TM[[#All],[Reporting Year]],2025,TM[[#All],[Insurance Category Code]],7,TM[[#All],[Large Provider Entity Code]],A131)/I131,"NA")</f>
        <v>NA</v>
      </c>
      <c r="M131" s="7" t="str">
        <f>IFERROR(SUMIFS(TM[[#All],[Total Truncated Claims Spending]],TM[[#All],[Reporting Year]],2025,TM[[#All],[Insurance Category Code]],7,TM[[#All],[Large Provider Entity Code]],A131)/I131,"NA")</f>
        <v>NA</v>
      </c>
      <c r="N131" s="90" t="str">
        <f>IFERROR(SUMIFS(TM[[#All],[Total Truncated Expenses]],TM[[#All],[Reporting Year]],2025,TM[[#All],[Insurance Category Code]],7,TM[[#All],[Large Provider Entity Code]],A131)/I131,"NA")</f>
        <v>NA</v>
      </c>
      <c r="O131" s="169" t="str">
        <f t="shared" si="72"/>
        <v>No</v>
      </c>
      <c r="P131" s="231" t="str">
        <f t="shared" ref="P131:P132" si="73">IFERROR((I131/C131-1),"NA")</f>
        <v>NA</v>
      </c>
      <c r="Q131" s="91" t="str">
        <f t="shared" ref="Q131:Q132" si="74">IFERROR((J131/D131-1),"NA")</f>
        <v>NA</v>
      </c>
      <c r="R131" s="91" t="str">
        <f t="shared" ref="R131:R132" si="75">IFERROR((K131/E131-1),"NA")</f>
        <v>NA</v>
      </c>
      <c r="S131" s="91" t="str">
        <f t="shared" ref="S131:S132" si="76">IFERROR((L131/F131-1),"NA")</f>
        <v>NA</v>
      </c>
      <c r="T131" s="91" t="str">
        <f t="shared" ref="T131:T132" si="77">IFERROR((M131/G131-1),"NA")</f>
        <v>NA</v>
      </c>
      <c r="U131" s="91" t="str">
        <f t="shared" ref="U131:U132" si="78">IFERROR((N131/H131-1),"NA")</f>
        <v>NA</v>
      </c>
    </row>
    <row r="132" spans="1:21" x14ac:dyDescent="0.4">
      <c r="A132" s="210">
        <v>124</v>
      </c>
      <c r="B132" s="525" t="s">
        <v>615</v>
      </c>
      <c r="C132" s="89">
        <f>SUMIFS(TM[[#All],[Member Months]],TM[[#All],[Reporting Year]],2024,TM[[#All],[Insurance Category Code]],7,TM[[#All],[Large Provider Entity Code]],A132)</f>
        <v>0</v>
      </c>
      <c r="D132" s="7" t="str">
        <f>IFERROR(SUMIFS(TM[[#All],[Total Non-Truncated Claims Spending]],TM[[#All],[Reporting Year]],2024,TM[[#All],[Insurance Category Code]],7,TM[[#All],[Large Provider Entity Code]],A132)/C132,"NA")</f>
        <v>NA</v>
      </c>
      <c r="E132" s="7" t="str">
        <f>IFERROR(SUMIFS(TM[[#All],[Total Non-Claims Spending]],TM[[#All],[Reporting Year]],2024,TM[[#All],[Insurance Category Code]],7,TM[[#All],[Large Provider Entity Code]],A132)/C132,"NA")</f>
        <v>NA</v>
      </c>
      <c r="F132" s="7" t="str">
        <f>IFERROR(SUMIFS(TM[[#All],[Total Non-Truncated Claims and Non-Claims Spending]],TM[[#All],[Reporting Year]],2024,TM[[#All],[Insurance Category Code]],7,TM[[#All],[Large Provider Entity Code]],A132)/C132,"NA")</f>
        <v>NA</v>
      </c>
      <c r="G132" s="7" t="str">
        <f>IFERROR(SUMIFS(TM[[#All],[Total Truncated Claims Spending]],TM[[#All],[Reporting Year]],2024,TM[[#All],[Insurance Category Code]],7,TM[[#All],[Large Provider Entity Code]],A132)/C132,"NA")</f>
        <v>NA</v>
      </c>
      <c r="H132" s="90" t="str">
        <f>IFERROR(SUMIFS(TM[[#All],[Total Truncated Expenses]],TM[[#All],[Reporting Year]],2024,TM[[#All],[Insurance Category Code]],7,TM[[#All],[Large Provider Entity Code]],A132)/C132,"NA")</f>
        <v>NA</v>
      </c>
      <c r="I132" s="89">
        <f>SUMIFS(TM[[#All],[Member Months]],TM[[#All],[Reporting Year]],2025,TM[[#All],[Insurance Category Code]],7,TM[[#All],[Large Provider Entity Code]],A132)</f>
        <v>0</v>
      </c>
      <c r="J132" s="7" t="str">
        <f>IFERROR(SUMIFS(TM[[#All],[Total Non-Truncated Claims Spending]],TM[[#All],[Reporting Year]],2025,TM[[#All],[Insurance Category Code]],7,TM[[#All],[Large Provider Entity Code]],A132)/I132,"NA")</f>
        <v>NA</v>
      </c>
      <c r="K132" s="7" t="str">
        <f>IFERROR(SUMIFS(TM[[#All],[Total Non-Claims Spending]],TM[[#All],[Reporting Year]],2025,TM[[#All],[Insurance Category Code]],7,TM[[#All],[Large Provider Entity Code]],A132)/I132,"NA")</f>
        <v>NA</v>
      </c>
      <c r="L132" s="7" t="str">
        <f>IFERROR(SUMIFS(TM[[#All],[Total Non-Truncated Claims and Non-Claims Spending]],TM[[#All],[Reporting Year]],2025,TM[[#All],[Insurance Category Code]],7,TM[[#All],[Large Provider Entity Code]],A132)/I132,"NA")</f>
        <v>NA</v>
      </c>
      <c r="M132" s="7" t="str">
        <f>IFERROR(SUMIFS(TM[[#All],[Total Truncated Claims Spending]],TM[[#All],[Reporting Year]],2025,TM[[#All],[Insurance Category Code]],7,TM[[#All],[Large Provider Entity Code]],A132)/I132,"NA")</f>
        <v>NA</v>
      </c>
      <c r="N132" s="90" t="str">
        <f>IFERROR(SUMIFS(TM[[#All],[Total Truncated Expenses]],TM[[#All],[Reporting Year]],2025,TM[[#All],[Insurance Category Code]],7,TM[[#All],[Large Provider Entity Code]],A132)/I132,"NA")</f>
        <v>NA</v>
      </c>
      <c r="O132" s="169" t="str">
        <f t="shared" si="72"/>
        <v>No</v>
      </c>
      <c r="P132" s="231" t="str">
        <f t="shared" si="73"/>
        <v>NA</v>
      </c>
      <c r="Q132" s="91" t="str">
        <f t="shared" si="74"/>
        <v>NA</v>
      </c>
      <c r="R132" s="91" t="str">
        <f t="shared" si="75"/>
        <v>NA</v>
      </c>
      <c r="S132" s="91" t="str">
        <f t="shared" si="76"/>
        <v>NA</v>
      </c>
      <c r="T132" s="91" t="str">
        <f t="shared" si="77"/>
        <v>NA</v>
      </c>
      <c r="U132" s="91" t="str">
        <f t="shared" si="78"/>
        <v>NA</v>
      </c>
    </row>
    <row r="133" spans="1:21" x14ac:dyDescent="0.4">
      <c r="A133" s="462">
        <v>125</v>
      </c>
      <c r="B133" s="525" t="s">
        <v>638</v>
      </c>
      <c r="C133" s="89">
        <f>SUMIFS(TM[[#All],[Member Months]],TM[[#All],[Reporting Year]],2024,TM[[#All],[Insurance Category Code]],7,TM[[#All],[Large Provider Entity Code]],A133)</f>
        <v>0</v>
      </c>
      <c r="D133" s="7" t="str">
        <f>IFERROR(SUMIFS(TM[[#All],[Total Non-Truncated Claims Spending]],TM[[#All],[Reporting Year]],2024,TM[[#All],[Insurance Category Code]],7,TM[[#All],[Large Provider Entity Code]],A133)/C133,"NA")</f>
        <v>NA</v>
      </c>
      <c r="E133" s="7" t="str">
        <f>IFERROR(SUMIFS(TM[[#All],[Total Non-Claims Spending]],TM[[#All],[Reporting Year]],2024,TM[[#All],[Insurance Category Code]],7,TM[[#All],[Large Provider Entity Code]],A133)/C133,"NA")</f>
        <v>NA</v>
      </c>
      <c r="F133" s="7" t="str">
        <f>IFERROR(SUMIFS(TM[[#All],[Total Non-Truncated Claims and Non-Claims Spending]],TM[[#All],[Reporting Year]],2024,TM[[#All],[Insurance Category Code]],7,TM[[#All],[Large Provider Entity Code]],A133)/C133,"NA")</f>
        <v>NA</v>
      </c>
      <c r="G133" s="7" t="str">
        <f>IFERROR(SUMIFS(TM[[#All],[Total Truncated Claims Spending]],TM[[#All],[Reporting Year]],2024,TM[[#All],[Insurance Category Code]],7,TM[[#All],[Large Provider Entity Code]],A133)/C133,"NA")</f>
        <v>NA</v>
      </c>
      <c r="H133" s="90" t="str">
        <f>IFERROR(SUMIFS(TM[[#All],[Total Truncated Expenses]],TM[[#All],[Reporting Year]],2024,TM[[#All],[Insurance Category Code]],7,TM[[#All],[Large Provider Entity Code]],A133)/C133,"NA")</f>
        <v>NA</v>
      </c>
      <c r="I133" s="89">
        <f>SUMIFS(TM[[#All],[Member Months]],TM[[#All],[Reporting Year]],2025,TM[[#All],[Insurance Category Code]],7,TM[[#All],[Large Provider Entity Code]],A133)</f>
        <v>0</v>
      </c>
      <c r="J133" s="7" t="str">
        <f>IFERROR(SUMIFS(TM[[#All],[Total Non-Truncated Claims Spending]],TM[[#All],[Reporting Year]],2025,TM[[#All],[Insurance Category Code]],7,TM[[#All],[Large Provider Entity Code]],A133)/I133,"NA")</f>
        <v>NA</v>
      </c>
      <c r="K133" s="7" t="str">
        <f>IFERROR(SUMIFS(TM[[#All],[Total Non-Claims Spending]],TM[[#All],[Reporting Year]],2025,TM[[#All],[Insurance Category Code]],7,TM[[#All],[Large Provider Entity Code]],A133)/I133,"NA")</f>
        <v>NA</v>
      </c>
      <c r="L133" s="7" t="str">
        <f>IFERROR(SUMIFS(TM[[#All],[Total Non-Truncated Claims and Non-Claims Spending]],TM[[#All],[Reporting Year]],2025,TM[[#All],[Insurance Category Code]],7,TM[[#All],[Large Provider Entity Code]],A133)/I133,"NA")</f>
        <v>NA</v>
      </c>
      <c r="M133" s="7" t="str">
        <f>IFERROR(SUMIFS(TM[[#All],[Total Truncated Claims Spending]],TM[[#All],[Reporting Year]],2025,TM[[#All],[Insurance Category Code]],7,TM[[#All],[Large Provider Entity Code]],A133)/I133,"NA")</f>
        <v>NA</v>
      </c>
      <c r="N133" s="90" t="str">
        <f>IFERROR(SUMIFS(TM[[#All],[Total Truncated Expenses]],TM[[#All],[Reporting Year]],2025,TM[[#All],[Insurance Category Code]],7,TM[[#All],[Large Provider Entity Code]],A133)/I133,"NA")</f>
        <v>NA</v>
      </c>
      <c r="O133" s="169" t="str">
        <f t="shared" ref="O133:O136" si="79">IFERROR(IF(AND(C133&gt;12000,I133&gt;12000),"Yes","No"),"NA")</f>
        <v>No</v>
      </c>
      <c r="P133" s="231" t="str">
        <f t="shared" ref="P133:P136" si="80">IFERROR((I133/C133-1),"NA")</f>
        <v>NA</v>
      </c>
      <c r="Q133" s="91" t="str">
        <f t="shared" ref="Q133:Q136" si="81">IFERROR((J133/D133-1),"NA")</f>
        <v>NA</v>
      </c>
      <c r="R133" s="91" t="str">
        <f t="shared" ref="R133:R136" si="82">IFERROR((K133/E133-1),"NA")</f>
        <v>NA</v>
      </c>
      <c r="S133" s="91" t="str">
        <f t="shared" ref="S133:S136" si="83">IFERROR((L133/F133-1),"NA")</f>
        <v>NA</v>
      </c>
      <c r="T133" s="91" t="str">
        <f t="shared" ref="T133:T136" si="84">IFERROR((M133/G133-1),"NA")</f>
        <v>NA</v>
      </c>
      <c r="U133" s="91" t="str">
        <f t="shared" ref="U133:U136" si="85">IFERROR((N133/H133-1),"NA")</f>
        <v>NA</v>
      </c>
    </row>
    <row r="134" spans="1:21" x14ac:dyDescent="0.4">
      <c r="A134" s="462">
        <v>126</v>
      </c>
      <c r="B134" s="525" t="s">
        <v>639</v>
      </c>
      <c r="C134" s="89">
        <f>SUMIFS(TM[[#All],[Member Months]],TM[[#All],[Reporting Year]],2024,TM[[#All],[Insurance Category Code]],7,TM[[#All],[Large Provider Entity Code]],A134)</f>
        <v>0</v>
      </c>
      <c r="D134" s="7" t="str">
        <f>IFERROR(SUMIFS(TM[[#All],[Total Non-Truncated Claims Spending]],TM[[#All],[Reporting Year]],2024,TM[[#All],[Insurance Category Code]],7,TM[[#All],[Large Provider Entity Code]],A134)/C134,"NA")</f>
        <v>NA</v>
      </c>
      <c r="E134" s="7" t="str">
        <f>IFERROR(SUMIFS(TM[[#All],[Total Non-Claims Spending]],TM[[#All],[Reporting Year]],2024,TM[[#All],[Insurance Category Code]],7,TM[[#All],[Large Provider Entity Code]],A134)/C134,"NA")</f>
        <v>NA</v>
      </c>
      <c r="F134" s="7" t="str">
        <f>IFERROR(SUMIFS(TM[[#All],[Total Non-Truncated Claims and Non-Claims Spending]],TM[[#All],[Reporting Year]],2024,TM[[#All],[Insurance Category Code]],7,TM[[#All],[Large Provider Entity Code]],A134)/C134,"NA")</f>
        <v>NA</v>
      </c>
      <c r="G134" s="7" t="str">
        <f>IFERROR(SUMIFS(TM[[#All],[Total Truncated Claims Spending]],TM[[#All],[Reporting Year]],2024,TM[[#All],[Insurance Category Code]],7,TM[[#All],[Large Provider Entity Code]],A134)/C134,"NA")</f>
        <v>NA</v>
      </c>
      <c r="H134" s="90" t="str">
        <f>IFERROR(SUMIFS(TM[[#All],[Total Truncated Expenses]],TM[[#All],[Reporting Year]],2024,TM[[#All],[Insurance Category Code]],7,TM[[#All],[Large Provider Entity Code]],A134)/C134,"NA")</f>
        <v>NA</v>
      </c>
      <c r="I134" s="89">
        <f>SUMIFS(TM[[#All],[Member Months]],TM[[#All],[Reporting Year]],2025,TM[[#All],[Insurance Category Code]],7,TM[[#All],[Large Provider Entity Code]],A134)</f>
        <v>0</v>
      </c>
      <c r="J134" s="7" t="str">
        <f>IFERROR(SUMIFS(TM[[#All],[Total Non-Truncated Claims Spending]],TM[[#All],[Reporting Year]],2025,TM[[#All],[Insurance Category Code]],7,TM[[#All],[Large Provider Entity Code]],A134)/I134,"NA")</f>
        <v>NA</v>
      </c>
      <c r="K134" s="7" t="str">
        <f>IFERROR(SUMIFS(TM[[#All],[Total Non-Claims Spending]],TM[[#All],[Reporting Year]],2025,TM[[#All],[Insurance Category Code]],7,TM[[#All],[Large Provider Entity Code]],A134)/I134,"NA")</f>
        <v>NA</v>
      </c>
      <c r="L134" s="7" t="str">
        <f>IFERROR(SUMIFS(TM[[#All],[Total Non-Truncated Claims and Non-Claims Spending]],TM[[#All],[Reporting Year]],2025,TM[[#All],[Insurance Category Code]],7,TM[[#All],[Large Provider Entity Code]],A134)/I134,"NA")</f>
        <v>NA</v>
      </c>
      <c r="M134" s="7" t="str">
        <f>IFERROR(SUMIFS(TM[[#All],[Total Truncated Claims Spending]],TM[[#All],[Reporting Year]],2025,TM[[#All],[Insurance Category Code]],7,TM[[#All],[Large Provider Entity Code]],A134)/I134,"NA")</f>
        <v>NA</v>
      </c>
      <c r="N134" s="90" t="str">
        <f>IFERROR(SUMIFS(TM[[#All],[Total Truncated Expenses]],TM[[#All],[Reporting Year]],2025,TM[[#All],[Insurance Category Code]],7,TM[[#All],[Large Provider Entity Code]],A134)/I134,"NA")</f>
        <v>NA</v>
      </c>
      <c r="O134" s="169" t="str">
        <f t="shared" si="79"/>
        <v>No</v>
      </c>
      <c r="P134" s="231" t="str">
        <f t="shared" si="80"/>
        <v>NA</v>
      </c>
      <c r="Q134" s="91" t="str">
        <f t="shared" si="81"/>
        <v>NA</v>
      </c>
      <c r="R134" s="91" t="str">
        <f t="shared" si="82"/>
        <v>NA</v>
      </c>
      <c r="S134" s="91" t="str">
        <f t="shared" si="83"/>
        <v>NA</v>
      </c>
      <c r="T134" s="91" t="str">
        <f t="shared" si="84"/>
        <v>NA</v>
      </c>
      <c r="U134" s="91" t="str">
        <f t="shared" si="85"/>
        <v>NA</v>
      </c>
    </row>
    <row r="135" spans="1:21" ht="33.6" x14ac:dyDescent="0.4">
      <c r="A135" s="462">
        <v>127</v>
      </c>
      <c r="B135" s="525" t="s">
        <v>640</v>
      </c>
      <c r="C135" s="89">
        <f>SUMIFS(TM[[#All],[Member Months]],TM[[#All],[Reporting Year]],2024,TM[[#All],[Insurance Category Code]],7,TM[[#All],[Large Provider Entity Code]],A135)</f>
        <v>0</v>
      </c>
      <c r="D135" s="7" t="str">
        <f>IFERROR(SUMIFS(TM[[#All],[Total Non-Truncated Claims Spending]],TM[[#All],[Reporting Year]],2024,TM[[#All],[Insurance Category Code]],7,TM[[#All],[Large Provider Entity Code]],A135)/C135,"NA")</f>
        <v>NA</v>
      </c>
      <c r="E135" s="7" t="str">
        <f>IFERROR(SUMIFS(TM[[#All],[Total Non-Claims Spending]],TM[[#All],[Reporting Year]],2024,TM[[#All],[Insurance Category Code]],7,TM[[#All],[Large Provider Entity Code]],A135)/C135,"NA")</f>
        <v>NA</v>
      </c>
      <c r="F135" s="7" t="str">
        <f>IFERROR(SUMIFS(TM[[#All],[Total Non-Truncated Claims and Non-Claims Spending]],TM[[#All],[Reporting Year]],2024,TM[[#All],[Insurance Category Code]],7,TM[[#All],[Large Provider Entity Code]],A135)/C135,"NA")</f>
        <v>NA</v>
      </c>
      <c r="G135" s="7" t="str">
        <f>IFERROR(SUMIFS(TM[[#All],[Total Truncated Claims Spending]],TM[[#All],[Reporting Year]],2024,TM[[#All],[Insurance Category Code]],7,TM[[#All],[Large Provider Entity Code]],A135)/C135,"NA")</f>
        <v>NA</v>
      </c>
      <c r="H135" s="90" t="str">
        <f>IFERROR(SUMIFS(TM[[#All],[Total Truncated Expenses]],TM[[#All],[Reporting Year]],2024,TM[[#All],[Insurance Category Code]],7,TM[[#All],[Large Provider Entity Code]],A135)/C135,"NA")</f>
        <v>NA</v>
      </c>
      <c r="I135" s="89">
        <f>SUMIFS(TM[[#All],[Member Months]],TM[[#All],[Reporting Year]],2025,TM[[#All],[Insurance Category Code]],7,TM[[#All],[Large Provider Entity Code]],A135)</f>
        <v>0</v>
      </c>
      <c r="J135" s="7" t="str">
        <f>IFERROR(SUMIFS(TM[[#All],[Total Non-Truncated Claims Spending]],TM[[#All],[Reporting Year]],2025,TM[[#All],[Insurance Category Code]],7,TM[[#All],[Large Provider Entity Code]],A135)/I135,"NA")</f>
        <v>NA</v>
      </c>
      <c r="K135" s="7" t="str">
        <f>IFERROR(SUMIFS(TM[[#All],[Total Non-Claims Spending]],TM[[#All],[Reporting Year]],2025,TM[[#All],[Insurance Category Code]],7,TM[[#All],[Large Provider Entity Code]],A135)/I135,"NA")</f>
        <v>NA</v>
      </c>
      <c r="L135" s="7" t="str">
        <f>IFERROR(SUMIFS(TM[[#All],[Total Non-Truncated Claims and Non-Claims Spending]],TM[[#All],[Reporting Year]],2025,TM[[#All],[Insurance Category Code]],7,TM[[#All],[Large Provider Entity Code]],A135)/I135,"NA")</f>
        <v>NA</v>
      </c>
      <c r="M135" s="7" t="str">
        <f>IFERROR(SUMIFS(TM[[#All],[Total Truncated Claims Spending]],TM[[#All],[Reporting Year]],2025,TM[[#All],[Insurance Category Code]],7,TM[[#All],[Large Provider Entity Code]],A135)/I135,"NA")</f>
        <v>NA</v>
      </c>
      <c r="N135" s="90" t="str">
        <f>IFERROR(SUMIFS(TM[[#All],[Total Truncated Expenses]],TM[[#All],[Reporting Year]],2025,TM[[#All],[Insurance Category Code]],7,TM[[#All],[Large Provider Entity Code]],A135)/I135,"NA")</f>
        <v>NA</v>
      </c>
      <c r="O135" s="169" t="str">
        <f t="shared" si="79"/>
        <v>No</v>
      </c>
      <c r="P135" s="231" t="str">
        <f t="shared" si="80"/>
        <v>NA</v>
      </c>
      <c r="Q135" s="91" t="str">
        <f t="shared" si="81"/>
        <v>NA</v>
      </c>
      <c r="R135" s="91" t="str">
        <f t="shared" si="82"/>
        <v>NA</v>
      </c>
      <c r="S135" s="91" t="str">
        <f t="shared" si="83"/>
        <v>NA</v>
      </c>
      <c r="T135" s="91" t="str">
        <f t="shared" si="84"/>
        <v>NA</v>
      </c>
      <c r="U135" s="91" t="str">
        <f t="shared" si="85"/>
        <v>NA</v>
      </c>
    </row>
    <row r="136" spans="1:21" x14ac:dyDescent="0.4">
      <c r="A136" s="462">
        <v>128</v>
      </c>
      <c r="B136" s="525" t="s">
        <v>641</v>
      </c>
      <c r="C136" s="89">
        <f>SUMIFS(TM[[#All],[Member Months]],TM[[#All],[Reporting Year]],2024,TM[[#All],[Insurance Category Code]],7,TM[[#All],[Large Provider Entity Code]],A136)</f>
        <v>0</v>
      </c>
      <c r="D136" s="7" t="str">
        <f>IFERROR(SUMIFS(TM[[#All],[Total Non-Truncated Claims Spending]],TM[[#All],[Reporting Year]],2024,TM[[#All],[Insurance Category Code]],7,TM[[#All],[Large Provider Entity Code]],A136)/C136,"NA")</f>
        <v>NA</v>
      </c>
      <c r="E136" s="7" t="str">
        <f>IFERROR(SUMIFS(TM[[#All],[Total Non-Claims Spending]],TM[[#All],[Reporting Year]],2024,TM[[#All],[Insurance Category Code]],7,TM[[#All],[Large Provider Entity Code]],A136)/C136,"NA")</f>
        <v>NA</v>
      </c>
      <c r="F136" s="7" t="str">
        <f>IFERROR(SUMIFS(TM[[#All],[Total Non-Truncated Claims and Non-Claims Spending]],TM[[#All],[Reporting Year]],2024,TM[[#All],[Insurance Category Code]],7,TM[[#All],[Large Provider Entity Code]],A136)/C136,"NA")</f>
        <v>NA</v>
      </c>
      <c r="G136" s="7" t="str">
        <f>IFERROR(SUMIFS(TM[[#All],[Total Truncated Claims Spending]],TM[[#All],[Reporting Year]],2024,TM[[#All],[Insurance Category Code]],7,TM[[#All],[Large Provider Entity Code]],A136)/C136,"NA")</f>
        <v>NA</v>
      </c>
      <c r="H136" s="90" t="str">
        <f>IFERROR(SUMIFS(TM[[#All],[Total Truncated Expenses]],TM[[#All],[Reporting Year]],2024,TM[[#All],[Insurance Category Code]],7,TM[[#All],[Large Provider Entity Code]],A136)/C136,"NA")</f>
        <v>NA</v>
      </c>
      <c r="I136" s="89">
        <f>SUMIFS(TM[[#All],[Member Months]],TM[[#All],[Reporting Year]],2025,TM[[#All],[Insurance Category Code]],7,TM[[#All],[Large Provider Entity Code]],A136)</f>
        <v>0</v>
      </c>
      <c r="J136" s="7" t="str">
        <f>IFERROR(SUMIFS(TM[[#All],[Total Non-Truncated Claims Spending]],TM[[#All],[Reporting Year]],2025,TM[[#All],[Insurance Category Code]],7,TM[[#All],[Large Provider Entity Code]],A136)/I136,"NA")</f>
        <v>NA</v>
      </c>
      <c r="K136" s="7" t="str">
        <f>IFERROR(SUMIFS(TM[[#All],[Total Non-Claims Spending]],TM[[#All],[Reporting Year]],2025,TM[[#All],[Insurance Category Code]],7,TM[[#All],[Large Provider Entity Code]],A136)/I136,"NA")</f>
        <v>NA</v>
      </c>
      <c r="L136" s="7" t="str">
        <f>IFERROR(SUMIFS(TM[[#All],[Total Non-Truncated Claims and Non-Claims Spending]],TM[[#All],[Reporting Year]],2025,TM[[#All],[Insurance Category Code]],7,TM[[#All],[Large Provider Entity Code]],A136)/I136,"NA")</f>
        <v>NA</v>
      </c>
      <c r="M136" s="7" t="str">
        <f>IFERROR(SUMIFS(TM[[#All],[Total Truncated Claims Spending]],TM[[#All],[Reporting Year]],2025,TM[[#All],[Insurance Category Code]],7,TM[[#All],[Large Provider Entity Code]],A136)/I136,"NA")</f>
        <v>NA</v>
      </c>
      <c r="N136" s="90" t="str">
        <f>IFERROR(SUMIFS(TM[[#All],[Total Truncated Expenses]],TM[[#All],[Reporting Year]],2025,TM[[#All],[Insurance Category Code]],7,TM[[#All],[Large Provider Entity Code]],A136)/I136,"NA")</f>
        <v>NA</v>
      </c>
      <c r="O136" s="169" t="str">
        <f t="shared" si="79"/>
        <v>No</v>
      </c>
      <c r="P136" s="231" t="str">
        <f t="shared" si="80"/>
        <v>NA</v>
      </c>
      <c r="Q136" s="91" t="str">
        <f t="shared" si="81"/>
        <v>NA</v>
      </c>
      <c r="R136" s="91" t="str">
        <f t="shared" si="82"/>
        <v>NA</v>
      </c>
      <c r="S136" s="91" t="str">
        <f t="shared" si="83"/>
        <v>NA</v>
      </c>
      <c r="T136" s="91" t="str">
        <f t="shared" si="84"/>
        <v>NA</v>
      </c>
      <c r="U136" s="91" t="str">
        <f t="shared" si="85"/>
        <v>NA</v>
      </c>
    </row>
    <row r="137" spans="1:21" x14ac:dyDescent="0.4">
      <c r="A137" s="210">
        <v>999</v>
      </c>
      <c r="B137" s="525" t="s">
        <v>71</v>
      </c>
      <c r="C137" s="89">
        <f>SUMIFS(TM[[#All],[Member Months]],TM[[#All],[Reporting Year]],2024,TM[[#All],[Insurance Category Code]],7,TM[[#All],[Large Provider Entity Code]],A137)</f>
        <v>0</v>
      </c>
      <c r="D137" s="7" t="str">
        <f>IFERROR(SUMIFS(TM[[#All],[Total Non-Truncated Claims Spending]],TM[[#All],[Reporting Year]],2024,TM[[#All],[Insurance Category Code]],7,TM[[#All],[Large Provider Entity Code]],A137)/C137,"NA")</f>
        <v>NA</v>
      </c>
      <c r="E137" s="7" t="str">
        <f>IFERROR(SUMIFS(TM[[#All],[Total Non-Claims Spending]],TM[[#All],[Reporting Year]],2024,TM[[#All],[Insurance Category Code]],7,TM[[#All],[Large Provider Entity Code]],A137)/C137,"NA")</f>
        <v>NA</v>
      </c>
      <c r="F137" s="7" t="str">
        <f>IFERROR(SUMIFS(TM[[#All],[Total Non-Truncated Claims and Non-Claims Spending]],TM[[#All],[Reporting Year]],2024,TM[[#All],[Insurance Category Code]],7,TM[[#All],[Large Provider Entity Code]],A137)/C137,"NA")</f>
        <v>NA</v>
      </c>
      <c r="G137" s="7" t="str">
        <f>IFERROR(SUMIFS(TM[[#All],[Total Truncated Claims Spending]],TM[[#All],[Reporting Year]],2024,TM[[#All],[Insurance Category Code]],7,TM[[#All],[Large Provider Entity Code]],A137)/C137,"NA")</f>
        <v>NA</v>
      </c>
      <c r="H137" s="90" t="str">
        <f>IFERROR(SUMIFS(TM[[#All],[Total Truncated Expenses]],TM[[#All],[Reporting Year]],2024,TM[[#All],[Insurance Category Code]],7,TM[[#All],[Large Provider Entity Code]],A137)/C137,"NA")</f>
        <v>NA</v>
      </c>
      <c r="I137" s="89">
        <f>SUMIFS(TM[[#All],[Member Months]],TM[[#All],[Reporting Year]],2025,TM[[#All],[Insurance Category Code]],7,TM[[#All],[Large Provider Entity Code]],A137)</f>
        <v>0</v>
      </c>
      <c r="J137" s="7" t="str">
        <f>IFERROR(SUMIFS(TM[[#All],[Total Non-Truncated Claims Spending]],TM[[#All],[Reporting Year]],2025,TM[[#All],[Insurance Category Code]],7,TM[[#All],[Large Provider Entity Code]],A137)/I137,"NA")</f>
        <v>NA</v>
      </c>
      <c r="K137" s="7" t="str">
        <f>IFERROR(SUMIFS(TM[[#All],[Total Non-Claims Spending]],TM[[#All],[Reporting Year]],2025,TM[[#All],[Insurance Category Code]],7,TM[[#All],[Large Provider Entity Code]],A137)/I137,"NA")</f>
        <v>NA</v>
      </c>
      <c r="L137" s="7" t="str">
        <f>IFERROR(SUMIFS(TM[[#All],[Total Non-Truncated Claims and Non-Claims Spending]],TM[[#All],[Reporting Year]],2025,TM[[#All],[Insurance Category Code]],7,TM[[#All],[Large Provider Entity Code]],A137)/I137,"NA")</f>
        <v>NA</v>
      </c>
      <c r="M137" s="7" t="str">
        <f>IFERROR(SUMIFS(TM[[#All],[Total Truncated Claims Spending]],TM[[#All],[Reporting Year]],2025,TM[[#All],[Insurance Category Code]],7,TM[[#All],[Large Provider Entity Code]],A137)/I137,"NA")</f>
        <v>NA</v>
      </c>
      <c r="N137" s="90" t="str">
        <f>IFERROR(SUMIFS(TM[[#All],[Total Truncated Expenses]],TM[[#All],[Reporting Year]],2025,TM[[#All],[Insurance Category Code]],7,TM[[#All],[Large Provider Entity Code]],A137)/I137,"NA")</f>
        <v>NA</v>
      </c>
      <c r="O137" s="169" t="str">
        <f>IFERROR(IF(AND(C137&gt;12000,I137&gt;12000),"Yes","No"),"NA")</f>
        <v>No</v>
      </c>
      <c r="P137" s="231" t="str">
        <f t="shared" si="71"/>
        <v>NA</v>
      </c>
      <c r="Q137" s="91" t="str">
        <f t="shared" si="71"/>
        <v>NA</v>
      </c>
      <c r="R137" s="91" t="str">
        <f t="shared" si="71"/>
        <v>NA</v>
      </c>
      <c r="S137" s="91" t="str">
        <f t="shared" si="71"/>
        <v>NA</v>
      </c>
      <c r="T137" s="91" t="str">
        <f t="shared" si="71"/>
        <v>NA</v>
      </c>
      <c r="U137" s="91" t="str">
        <f t="shared" si="71"/>
        <v>NA</v>
      </c>
    </row>
    <row r="138" spans="1:21" ht="30" customHeight="1" x14ac:dyDescent="0.4">
      <c r="A138" s="572" t="s">
        <v>523</v>
      </c>
      <c r="B138" s="573"/>
      <c r="C138" s="158">
        <f>SUM(C114:C137)</f>
        <v>0</v>
      </c>
      <c r="D138" s="124" t="str">
        <f>IFERROR((SUMPRODUCT(D114:D137,C114:C137)/C138),"NA")</f>
        <v>NA</v>
      </c>
      <c r="E138" s="124" t="str">
        <f>IFERROR((SUMPRODUCT(E114:E137,C114:C137)/C138),"NA")</f>
        <v>NA</v>
      </c>
      <c r="F138" s="124" t="str">
        <f>IFERROR((SUMPRODUCT(F114:F137,C114:C137)/C138),"NA")</f>
        <v>NA</v>
      </c>
      <c r="G138" s="124" t="str">
        <f>IFERROR((SUMPRODUCT(G114:G137,C114:C137)/C138),"NA")</f>
        <v>NA</v>
      </c>
      <c r="H138" s="124" t="str">
        <f>IFERROR((SUMPRODUCT(H114:H137,C114:C137)/C138),"NA")</f>
        <v>NA</v>
      </c>
      <c r="I138" s="158">
        <f>SUM(I114:I137)</f>
        <v>0</v>
      </c>
      <c r="J138" s="124" t="str">
        <f>IFERROR((SUMPRODUCT(J114:J137,I114:I137)/I138),"NA")</f>
        <v>NA</v>
      </c>
      <c r="K138" s="124" t="str">
        <f>IFERROR((SUMPRODUCT(K114:K137,I114:I137)/I138),"NA")</f>
        <v>NA</v>
      </c>
      <c r="L138" s="124" t="str">
        <f>IFERROR((SUMPRODUCT(L114:L137,I114:I137)/I138),"NA")</f>
        <v>NA</v>
      </c>
      <c r="M138" s="124" t="str">
        <f>IFERROR((SUMPRODUCT(M114:M137,I114:I137)/I138),"NA")</f>
        <v>NA</v>
      </c>
      <c r="N138" s="198" t="str">
        <f>IFERROR((SUMPRODUCT(N114:N137,I114:I137)/I138),"NA")</f>
        <v>NA</v>
      </c>
      <c r="O138" s="434" t="s">
        <v>470</v>
      </c>
      <c r="P138" s="386" t="s">
        <v>470</v>
      </c>
      <c r="Q138" s="385" t="s">
        <v>470</v>
      </c>
      <c r="R138" s="385" t="s">
        <v>470</v>
      </c>
      <c r="S138" s="385" t="s">
        <v>470</v>
      </c>
      <c r="T138" s="385" t="s">
        <v>470</v>
      </c>
      <c r="U138" s="385" t="s">
        <v>470</v>
      </c>
    </row>
    <row r="139" spans="1:21" x14ac:dyDescent="0.4">
      <c r="A139" s="574" t="s">
        <v>519</v>
      </c>
      <c r="B139" s="575"/>
      <c r="C139" s="158" t="s">
        <v>470</v>
      </c>
      <c r="D139" s="123" t="str">
        <f>IFERROR(((SUMPRODUCT(D113,$C$113))-ABS(SUMIFS(RX[[#All],[Total Medical and Retail Pharmacy Rebate Amount]],RX[[#All],[Reporting Year]],2024,RX[[#All],[Insurance Category Code]],7)))/$C$138,"NA")</f>
        <v>NA</v>
      </c>
      <c r="E139" s="123" t="str">
        <f>IFERROR(((SUMPRODUCT(E113,$C$113))-ABS(SUMIFS(RX[[#All],[Total Medical and Retail Pharmacy Rebate Amount]],RX[[#All],[Reporting Year]],2024,RX[[#All],[Insurance Category Code]],7)))/$C$138,"NA")</f>
        <v>NA</v>
      </c>
      <c r="F139" s="123" t="str">
        <f>IFERROR(((SUMPRODUCT(F113,$C$113))-ABS(SUMIFS(RX[[#All],[Total Medical and Retail Pharmacy Rebate Amount]],RX[[#All],[Reporting Year]],2024,RX[[#All],[Insurance Category Code]],7)))/$C$138,"NA")</f>
        <v>NA</v>
      </c>
      <c r="G139" s="123" t="str">
        <f>IFERROR(((SUMPRODUCT(G113,$C$113))-ABS(SUMIFS(RX[[#All],[Total Medical and Retail Pharmacy Rebate Amount]],RX[[#All],[Reporting Year]],2024,RX[[#All],[Insurance Category Code]],7)))/$C$138,"NA")</f>
        <v>NA</v>
      </c>
      <c r="H139" s="200" t="str">
        <f>IFERROR(((SUMPRODUCT(H113,$C$113))-ABS(SUMIFS(RX[[#All],[Total Medical and Retail Pharmacy Rebate Amount]],RX[[#All],[Reporting Year]],2024,RX[[#All],[Insurance Category Code]],7)))/$C$138,"NA")</f>
        <v>NA</v>
      </c>
      <c r="I139" s="158" t="s">
        <v>470</v>
      </c>
      <c r="J139" s="123" t="str">
        <f>IFERROR(((SUMPRODUCT(J113,$I$113))-ABS(SUMIFS(RX[[#All],[Total Medical and Retail Pharmacy Rebate Amount]],RX[[#All],[Reporting Year]],2025,RX[[#All],[Insurance Category Code]],7)))/$I$138,"NA")</f>
        <v>NA</v>
      </c>
      <c r="K139" s="123" t="str">
        <f>IFERROR(((SUMPRODUCT(K113,$I$113))-ABS(SUMIFS(RX[[#All],[Total Medical and Retail Pharmacy Rebate Amount]],RX[[#All],[Reporting Year]],2025,RX[[#All],[Insurance Category Code]],7)))/$I$138,"NA")</f>
        <v>NA</v>
      </c>
      <c r="L139" s="123" t="str">
        <f>IFERROR(((SUMPRODUCT(L113,$I$113))-ABS(SUMIFS(RX[[#All],[Total Medical and Retail Pharmacy Rebate Amount]],RX[[#All],[Reporting Year]],2025,RX[[#All],[Insurance Category Code]],7)))/$I$138,"NA")</f>
        <v>NA</v>
      </c>
      <c r="M139" s="123" t="str">
        <f>IFERROR(((SUMPRODUCT(M113,$I$113))-ABS(SUMIFS(RX[[#All],[Total Medical and Retail Pharmacy Rebate Amount]],RX[[#All],[Reporting Year]],2025,RX[[#All],[Insurance Category Code]],7)))/$I$138,"NA")</f>
        <v>NA</v>
      </c>
      <c r="N139" s="200" t="str">
        <f>IFERROR(((SUMPRODUCT(N113,$I$113))-ABS(SUMIFS(RX[[#All],[Total Medical and Retail Pharmacy Rebate Amount]],RX[[#All],[Reporting Year]],2025,RX[[#All],[Insurance Category Code]],7)))/$I$138,"NA")</f>
        <v>NA</v>
      </c>
      <c r="O139" s="434" t="s">
        <v>470</v>
      </c>
      <c r="P139" s="386" t="s">
        <v>470</v>
      </c>
      <c r="Q139" s="385" t="s">
        <v>470</v>
      </c>
      <c r="R139" s="385" t="s">
        <v>470</v>
      </c>
      <c r="S139" s="385" t="s">
        <v>470</v>
      </c>
      <c r="T139" s="385" t="s">
        <v>470</v>
      </c>
      <c r="U139" s="385" t="s">
        <v>470</v>
      </c>
    </row>
    <row r="140" spans="1:21" x14ac:dyDescent="0.4">
      <c r="A140" s="558" t="s">
        <v>520</v>
      </c>
      <c r="B140" s="559"/>
      <c r="C140" s="219">
        <f>ABS(C138-C113)</f>
        <v>0</v>
      </c>
      <c r="D140" s="219" t="e">
        <f>ABS(D138-D113)</f>
        <v>#VALUE!</v>
      </c>
      <c r="E140" s="219" t="e">
        <f>ABS(E138-E113)</f>
        <v>#VALUE!</v>
      </c>
      <c r="F140" s="219" t="e">
        <f>ABS(F138-F113)</f>
        <v>#VALUE!</v>
      </c>
      <c r="G140" s="174" t="s">
        <v>470</v>
      </c>
      <c r="H140" s="225" t="s">
        <v>470</v>
      </c>
      <c r="I140" s="213">
        <f>ABS(I138-I113)</f>
        <v>0</v>
      </c>
      <c r="J140" s="219" t="e">
        <f>ABS(J138-J113)</f>
        <v>#VALUE!</v>
      </c>
      <c r="K140" s="219" t="e">
        <f>ABS(K138-K113)</f>
        <v>#VALUE!</v>
      </c>
      <c r="L140" s="219" t="e">
        <f>ABS(L138-L113)</f>
        <v>#VALUE!</v>
      </c>
      <c r="M140" s="174" t="s">
        <v>470</v>
      </c>
      <c r="N140" s="225" t="s">
        <v>470</v>
      </c>
      <c r="O140" s="435" t="s">
        <v>470</v>
      </c>
      <c r="P140" s="436" t="s">
        <v>470</v>
      </c>
      <c r="Q140" s="438" t="s">
        <v>470</v>
      </c>
      <c r="R140" s="438" t="s">
        <v>470</v>
      </c>
      <c r="S140" s="438" t="s">
        <v>470</v>
      </c>
      <c r="T140" s="438" t="s">
        <v>470</v>
      </c>
      <c r="U140" s="438" t="s">
        <v>470</v>
      </c>
    </row>
    <row r="141" spans="1:21" x14ac:dyDescent="0.4">
      <c r="A141" s="560" t="s">
        <v>521</v>
      </c>
      <c r="B141" s="561"/>
      <c r="C141" s="244" t="str">
        <f>IF(((ABS(C113-C138))&lt;10),"Yes","No")</f>
        <v>Yes</v>
      </c>
      <c r="D141" s="174" t="e">
        <f>IF(((ABS(D113-D138))&lt;10),"Yes","No")</f>
        <v>#VALUE!</v>
      </c>
      <c r="E141" s="174" t="e">
        <f>IF(((ABS(E113-E138))&lt;10),"Yes","No")</f>
        <v>#VALUE!</v>
      </c>
      <c r="F141" s="174" t="e">
        <f>IF(((ABS(F113-F138))&lt;10),"Yes","No")</f>
        <v>#VALUE!</v>
      </c>
      <c r="G141" s="174" t="s">
        <v>470</v>
      </c>
      <c r="H141" s="225" t="s">
        <v>470</v>
      </c>
      <c r="I141" s="242" t="str">
        <f>IF(((ABS(I113-I138))&lt;10),"Yes","No")</f>
        <v>Yes</v>
      </c>
      <c r="J141" s="174" t="e">
        <f>IF(((ABS(J113-J138))&lt;10),"Yes","No")</f>
        <v>#VALUE!</v>
      </c>
      <c r="K141" s="174" t="e">
        <f>IF(((ABS(K113-K138))&lt;10),"Yes","No")</f>
        <v>#VALUE!</v>
      </c>
      <c r="L141" s="174" t="e">
        <f>IF(((ABS(L113-L138))&lt;10),"Yes","No")</f>
        <v>#VALUE!</v>
      </c>
      <c r="M141" s="174" t="s">
        <v>470</v>
      </c>
      <c r="N141" s="225" t="s">
        <v>470</v>
      </c>
      <c r="O141" s="435" t="s">
        <v>470</v>
      </c>
      <c r="P141" s="436" t="s">
        <v>470</v>
      </c>
      <c r="Q141" s="438" t="s">
        <v>470</v>
      </c>
      <c r="R141" s="438" t="s">
        <v>470</v>
      </c>
      <c r="S141" s="438" t="s">
        <v>470</v>
      </c>
      <c r="T141" s="438" t="s">
        <v>470</v>
      </c>
      <c r="U141" s="438" t="s">
        <v>470</v>
      </c>
    </row>
    <row r="142" spans="1:21" x14ac:dyDescent="0.4">
      <c r="A142"/>
      <c r="B142"/>
      <c r="C142" s="108"/>
      <c r="D142" s="109"/>
      <c r="E142" s="109"/>
      <c r="F142" s="109"/>
      <c r="G142" s="109"/>
      <c r="H142" s="109"/>
      <c r="I142" s="108"/>
      <c r="J142" s="109"/>
      <c r="K142" s="109"/>
      <c r="L142" s="109"/>
      <c r="M142" s="109"/>
      <c r="N142" s="109"/>
      <c r="O142" s="109"/>
      <c r="P142" s="110"/>
      <c r="Q142" s="110"/>
      <c r="R142" s="110"/>
      <c r="S142" s="110"/>
      <c r="T142" s="110"/>
      <c r="U142" s="110"/>
    </row>
    <row r="143" spans="1:21" x14ac:dyDescent="0.4">
      <c r="A143"/>
      <c r="B143"/>
      <c r="C143"/>
      <c r="D143"/>
      <c r="E143"/>
      <c r="F143"/>
      <c r="G143"/>
      <c r="H143"/>
      <c r="I143"/>
      <c r="J143"/>
      <c r="K143"/>
      <c r="L143"/>
      <c r="M143"/>
      <c r="N143"/>
      <c r="O143" s="2"/>
      <c r="P143"/>
      <c r="Q143"/>
      <c r="R143"/>
      <c r="S143"/>
      <c r="T143"/>
      <c r="U143"/>
    </row>
    <row r="144" spans="1:21" x14ac:dyDescent="0.4">
      <c r="A144" s="449" t="s">
        <v>526</v>
      </c>
      <c r="B144" s="450"/>
      <c r="C144" s="450"/>
      <c r="D144"/>
      <c r="E144"/>
      <c r="F144"/>
      <c r="G144"/>
      <c r="H144"/>
      <c r="I144"/>
      <c r="J144"/>
      <c r="K144"/>
      <c r="L144"/>
      <c r="M144"/>
      <c r="N144"/>
      <c r="O144" s="2"/>
      <c r="P144"/>
      <c r="Q144"/>
      <c r="R144"/>
      <c r="S144"/>
      <c r="T144"/>
      <c r="U144"/>
    </row>
    <row r="145" spans="1:21" ht="15" customHeight="1" thickBot="1" x14ac:dyDescent="0.45">
      <c r="A145" s="583" t="s">
        <v>66</v>
      </c>
      <c r="B145" s="584" t="s">
        <v>505</v>
      </c>
      <c r="C145" s="566">
        <v>2024</v>
      </c>
      <c r="D145" s="567"/>
      <c r="E145" s="567"/>
      <c r="F145" s="567"/>
      <c r="G145" s="567"/>
      <c r="H145" s="568"/>
      <c r="I145" s="569">
        <v>2025</v>
      </c>
      <c r="J145" s="570"/>
      <c r="K145" s="570"/>
      <c r="L145" s="570"/>
      <c r="M145" s="570"/>
      <c r="N145" s="571"/>
      <c r="O145" s="576" t="s">
        <v>644</v>
      </c>
      <c r="P145" s="577"/>
      <c r="Q145" s="577"/>
      <c r="R145" s="577"/>
      <c r="S145" s="577"/>
      <c r="T145" s="577"/>
      <c r="U145" s="578"/>
    </row>
    <row r="146" spans="1:21" ht="50.4" x14ac:dyDescent="0.4">
      <c r="A146" s="583"/>
      <c r="B146" s="584"/>
      <c r="C146" s="84" t="s">
        <v>328</v>
      </c>
      <c r="D146" s="85" t="s">
        <v>507</v>
      </c>
      <c r="E146" s="85" t="s">
        <v>508</v>
      </c>
      <c r="F146" s="85" t="s">
        <v>509</v>
      </c>
      <c r="G146" s="85" t="s">
        <v>510</v>
      </c>
      <c r="H146" s="86" t="s">
        <v>511</v>
      </c>
      <c r="I146" s="203" t="s">
        <v>328</v>
      </c>
      <c r="J146" s="118" t="s">
        <v>507</v>
      </c>
      <c r="K146" s="118" t="s">
        <v>508</v>
      </c>
      <c r="L146" s="118" t="s">
        <v>509</v>
      </c>
      <c r="M146" s="118" t="s">
        <v>510</v>
      </c>
      <c r="N146" s="204" t="s">
        <v>511</v>
      </c>
      <c r="O146" s="410" t="s">
        <v>635</v>
      </c>
      <c r="P146" s="234" t="s">
        <v>512</v>
      </c>
      <c r="Q146" s="202" t="s">
        <v>513</v>
      </c>
      <c r="R146" s="202" t="s">
        <v>514</v>
      </c>
      <c r="S146" s="202" t="s">
        <v>515</v>
      </c>
      <c r="T146" s="202" t="s">
        <v>516</v>
      </c>
      <c r="U146" s="212" t="s">
        <v>517</v>
      </c>
    </row>
    <row r="147" spans="1:21" x14ac:dyDescent="0.4">
      <c r="A147" s="211">
        <v>100</v>
      </c>
      <c r="B147" s="525" t="s">
        <v>67</v>
      </c>
      <c r="C147" s="89">
        <f t="shared" ref="C147:C166" si="86">C181+C215+C249</f>
        <v>0</v>
      </c>
      <c r="D147" s="7" t="str">
        <f t="shared" ref="D147:H156" si="87">IF($C147=0,"NA",(SUMPRODUCT(D181,$C181)+SUMPRODUCT(D215,$C215)+SUMPRODUCT(D249,$C249))/$C147)</f>
        <v>NA</v>
      </c>
      <c r="E147" s="7" t="str">
        <f t="shared" si="87"/>
        <v>NA</v>
      </c>
      <c r="F147" s="7" t="str">
        <f t="shared" si="87"/>
        <v>NA</v>
      </c>
      <c r="G147" s="7" t="str">
        <f t="shared" si="87"/>
        <v>NA</v>
      </c>
      <c r="H147" s="90" t="str">
        <f t="shared" si="87"/>
        <v>NA</v>
      </c>
      <c r="I147" s="89">
        <f t="shared" ref="I147:I166" si="88">I181+I215+I249</f>
        <v>0</v>
      </c>
      <c r="J147" s="7" t="str">
        <f t="shared" ref="J147:N161" si="89">IF($I147=0,"NA",(SUMPRODUCT(J181,$I181)+SUMPRODUCT(J215,$I215)+SUMPRODUCT(J249,$I249))/$I147)</f>
        <v>NA</v>
      </c>
      <c r="K147" s="7" t="str">
        <f t="shared" si="89"/>
        <v>NA</v>
      </c>
      <c r="L147" s="7" t="str">
        <f t="shared" si="89"/>
        <v>NA</v>
      </c>
      <c r="M147" s="7" t="str">
        <f t="shared" si="89"/>
        <v>NA</v>
      </c>
      <c r="N147" s="90" t="str">
        <f t="shared" si="89"/>
        <v>NA</v>
      </c>
      <c r="O147" s="169" t="str">
        <f>IFERROR(IF(AND(C147&gt;12000,I147&gt;12000),"Yes","No"),"NA")</f>
        <v>No</v>
      </c>
      <c r="P147" s="233" t="str">
        <f t="shared" ref="P147:U164" si="90">IFERROR((I147/C147-1),"NA")</f>
        <v>NA</v>
      </c>
      <c r="Q147" s="120" t="str">
        <f t="shared" si="90"/>
        <v>NA</v>
      </c>
      <c r="R147" s="120" t="str">
        <f t="shared" si="90"/>
        <v>NA</v>
      </c>
      <c r="S147" s="120" t="str">
        <f t="shared" si="90"/>
        <v>NA</v>
      </c>
      <c r="T147" s="120" t="str">
        <f t="shared" si="90"/>
        <v>NA</v>
      </c>
      <c r="U147" s="120" t="str">
        <f t="shared" si="90"/>
        <v>NA</v>
      </c>
    </row>
    <row r="148" spans="1:21" x14ac:dyDescent="0.4">
      <c r="A148" s="210">
        <v>101</v>
      </c>
      <c r="B148" s="525" t="s">
        <v>562</v>
      </c>
      <c r="C148" s="89">
        <f t="shared" si="86"/>
        <v>0</v>
      </c>
      <c r="D148" s="7" t="str">
        <f t="shared" si="87"/>
        <v>NA</v>
      </c>
      <c r="E148" s="7" t="str">
        <f t="shared" si="87"/>
        <v>NA</v>
      </c>
      <c r="F148" s="7" t="str">
        <f t="shared" si="87"/>
        <v>NA</v>
      </c>
      <c r="G148" s="7" t="str">
        <f t="shared" si="87"/>
        <v>NA</v>
      </c>
      <c r="H148" s="90" t="str">
        <f t="shared" si="87"/>
        <v>NA</v>
      </c>
      <c r="I148" s="89">
        <f t="shared" si="88"/>
        <v>0</v>
      </c>
      <c r="J148" s="7" t="str">
        <f t="shared" si="89"/>
        <v>NA</v>
      </c>
      <c r="K148" s="7" t="str">
        <f t="shared" si="89"/>
        <v>NA</v>
      </c>
      <c r="L148" s="7" t="str">
        <f t="shared" si="89"/>
        <v>NA</v>
      </c>
      <c r="M148" s="7" t="str">
        <f t="shared" si="89"/>
        <v>NA</v>
      </c>
      <c r="N148" s="90" t="str">
        <f t="shared" si="89"/>
        <v>NA</v>
      </c>
      <c r="O148" s="169" t="str">
        <f t="shared" ref="O148:O166" si="91">IFERROR(IF(AND(C148&gt;12000,I148&gt;12000),"Yes","No"),"NA")</f>
        <v>No</v>
      </c>
      <c r="P148" s="233" t="str">
        <f t="shared" si="90"/>
        <v>NA</v>
      </c>
      <c r="Q148" s="120" t="str">
        <f t="shared" si="90"/>
        <v>NA</v>
      </c>
      <c r="R148" s="120" t="str">
        <f t="shared" si="90"/>
        <v>NA</v>
      </c>
      <c r="S148" s="120" t="str">
        <f t="shared" si="90"/>
        <v>NA</v>
      </c>
      <c r="T148" s="120" t="str">
        <f t="shared" si="90"/>
        <v>NA</v>
      </c>
      <c r="U148" s="120" t="str">
        <f t="shared" si="90"/>
        <v>NA</v>
      </c>
    </row>
    <row r="149" spans="1:21" x14ac:dyDescent="0.4">
      <c r="A149" s="210">
        <v>102</v>
      </c>
      <c r="B149" s="525" t="s">
        <v>607</v>
      </c>
      <c r="C149" s="89">
        <f t="shared" si="86"/>
        <v>0</v>
      </c>
      <c r="D149" s="7" t="str">
        <f t="shared" si="87"/>
        <v>NA</v>
      </c>
      <c r="E149" s="7" t="str">
        <f t="shared" si="87"/>
        <v>NA</v>
      </c>
      <c r="F149" s="7" t="str">
        <f t="shared" si="87"/>
        <v>NA</v>
      </c>
      <c r="G149" s="7" t="str">
        <f t="shared" si="87"/>
        <v>NA</v>
      </c>
      <c r="H149" s="90" t="str">
        <f t="shared" si="87"/>
        <v>NA</v>
      </c>
      <c r="I149" s="89">
        <f t="shared" si="88"/>
        <v>0</v>
      </c>
      <c r="J149" s="7" t="str">
        <f t="shared" si="89"/>
        <v>NA</v>
      </c>
      <c r="K149" s="7" t="str">
        <f t="shared" si="89"/>
        <v>NA</v>
      </c>
      <c r="L149" s="7" t="str">
        <f t="shared" si="89"/>
        <v>NA</v>
      </c>
      <c r="M149" s="7" t="str">
        <f t="shared" si="89"/>
        <v>NA</v>
      </c>
      <c r="N149" s="90" t="str">
        <f t="shared" si="89"/>
        <v>NA</v>
      </c>
      <c r="O149" s="169" t="str">
        <f t="shared" si="91"/>
        <v>No</v>
      </c>
      <c r="P149" s="233" t="str">
        <f t="shared" si="90"/>
        <v>NA</v>
      </c>
      <c r="Q149" s="120" t="str">
        <f t="shared" si="90"/>
        <v>NA</v>
      </c>
      <c r="R149" s="120" t="str">
        <f t="shared" si="90"/>
        <v>NA</v>
      </c>
      <c r="S149" s="120" t="str">
        <f t="shared" si="90"/>
        <v>NA</v>
      </c>
      <c r="T149" s="120" t="str">
        <f t="shared" si="90"/>
        <v>NA</v>
      </c>
      <c r="U149" s="120" t="str">
        <f t="shared" si="90"/>
        <v>NA</v>
      </c>
    </row>
    <row r="150" spans="1:21" x14ac:dyDescent="0.4">
      <c r="A150" s="210">
        <v>104</v>
      </c>
      <c r="B150" s="525" t="s">
        <v>608</v>
      </c>
      <c r="C150" s="89">
        <f t="shared" si="86"/>
        <v>0</v>
      </c>
      <c r="D150" s="7" t="str">
        <f t="shared" si="87"/>
        <v>NA</v>
      </c>
      <c r="E150" s="7" t="str">
        <f t="shared" si="87"/>
        <v>NA</v>
      </c>
      <c r="F150" s="7" t="str">
        <f t="shared" si="87"/>
        <v>NA</v>
      </c>
      <c r="G150" s="7" t="str">
        <f t="shared" si="87"/>
        <v>NA</v>
      </c>
      <c r="H150" s="90" t="str">
        <f t="shared" si="87"/>
        <v>NA</v>
      </c>
      <c r="I150" s="89">
        <f t="shared" si="88"/>
        <v>0</v>
      </c>
      <c r="J150" s="7" t="str">
        <f t="shared" si="89"/>
        <v>NA</v>
      </c>
      <c r="K150" s="7" t="str">
        <f t="shared" si="89"/>
        <v>NA</v>
      </c>
      <c r="L150" s="7" t="str">
        <f t="shared" si="89"/>
        <v>NA</v>
      </c>
      <c r="M150" s="7" t="str">
        <f t="shared" si="89"/>
        <v>NA</v>
      </c>
      <c r="N150" s="90" t="str">
        <f t="shared" si="89"/>
        <v>NA</v>
      </c>
      <c r="O150" s="169" t="str">
        <f t="shared" si="91"/>
        <v>No</v>
      </c>
      <c r="P150" s="233" t="str">
        <f t="shared" si="90"/>
        <v>NA</v>
      </c>
      <c r="Q150" s="120" t="str">
        <f t="shared" si="90"/>
        <v>NA</v>
      </c>
      <c r="R150" s="120" t="str">
        <f t="shared" si="90"/>
        <v>NA</v>
      </c>
      <c r="S150" s="120" t="str">
        <f t="shared" si="90"/>
        <v>NA</v>
      </c>
      <c r="T150" s="120" t="str">
        <f t="shared" si="90"/>
        <v>NA</v>
      </c>
      <c r="U150" s="120" t="str">
        <f t="shared" si="90"/>
        <v>NA</v>
      </c>
    </row>
    <row r="151" spans="1:21" ht="33.6" x14ac:dyDescent="0.4">
      <c r="A151" s="210">
        <v>105</v>
      </c>
      <c r="B151" s="525" t="s">
        <v>609</v>
      </c>
      <c r="C151" s="89">
        <f t="shared" si="86"/>
        <v>0</v>
      </c>
      <c r="D151" s="7" t="str">
        <f t="shared" si="87"/>
        <v>NA</v>
      </c>
      <c r="E151" s="7" t="str">
        <f t="shared" si="87"/>
        <v>NA</v>
      </c>
      <c r="F151" s="7" t="str">
        <f t="shared" si="87"/>
        <v>NA</v>
      </c>
      <c r="G151" s="7" t="str">
        <f t="shared" si="87"/>
        <v>NA</v>
      </c>
      <c r="H151" s="90" t="str">
        <f t="shared" si="87"/>
        <v>NA</v>
      </c>
      <c r="I151" s="89">
        <f t="shared" si="88"/>
        <v>0</v>
      </c>
      <c r="J151" s="7" t="str">
        <f t="shared" si="89"/>
        <v>NA</v>
      </c>
      <c r="K151" s="7" t="str">
        <f t="shared" si="89"/>
        <v>NA</v>
      </c>
      <c r="L151" s="7" t="str">
        <f t="shared" si="89"/>
        <v>NA</v>
      </c>
      <c r="M151" s="7" t="str">
        <f t="shared" si="89"/>
        <v>NA</v>
      </c>
      <c r="N151" s="90" t="str">
        <f t="shared" si="89"/>
        <v>NA</v>
      </c>
      <c r="O151" s="169" t="str">
        <f t="shared" si="91"/>
        <v>No</v>
      </c>
      <c r="P151" s="233" t="str">
        <f t="shared" si="90"/>
        <v>NA</v>
      </c>
      <c r="Q151" s="120" t="str">
        <f t="shared" si="90"/>
        <v>NA</v>
      </c>
      <c r="R151" s="120" t="str">
        <f t="shared" si="90"/>
        <v>NA</v>
      </c>
      <c r="S151" s="120" t="str">
        <f t="shared" si="90"/>
        <v>NA</v>
      </c>
      <c r="T151" s="120" t="str">
        <f t="shared" si="90"/>
        <v>NA</v>
      </c>
      <c r="U151" s="120" t="str">
        <f t="shared" si="90"/>
        <v>NA</v>
      </c>
    </row>
    <row r="152" spans="1:21" x14ac:dyDescent="0.4">
      <c r="A152" s="210">
        <v>106</v>
      </c>
      <c r="B152" s="525" t="s">
        <v>613</v>
      </c>
      <c r="C152" s="89">
        <f t="shared" si="86"/>
        <v>0</v>
      </c>
      <c r="D152" s="7" t="str">
        <f t="shared" si="87"/>
        <v>NA</v>
      </c>
      <c r="E152" s="7" t="str">
        <f t="shared" si="87"/>
        <v>NA</v>
      </c>
      <c r="F152" s="7" t="str">
        <f t="shared" si="87"/>
        <v>NA</v>
      </c>
      <c r="G152" s="7" t="str">
        <f t="shared" si="87"/>
        <v>NA</v>
      </c>
      <c r="H152" s="90" t="str">
        <f t="shared" si="87"/>
        <v>NA</v>
      </c>
      <c r="I152" s="89">
        <f t="shared" si="88"/>
        <v>0</v>
      </c>
      <c r="J152" s="7" t="str">
        <f t="shared" si="89"/>
        <v>NA</v>
      </c>
      <c r="K152" s="7" t="str">
        <f t="shared" si="89"/>
        <v>NA</v>
      </c>
      <c r="L152" s="7" t="str">
        <f t="shared" si="89"/>
        <v>NA</v>
      </c>
      <c r="M152" s="7" t="str">
        <f t="shared" si="89"/>
        <v>NA</v>
      </c>
      <c r="N152" s="90" t="str">
        <f t="shared" si="89"/>
        <v>NA</v>
      </c>
      <c r="O152" s="169" t="str">
        <f t="shared" si="91"/>
        <v>No</v>
      </c>
      <c r="P152" s="233" t="str">
        <f t="shared" si="90"/>
        <v>NA</v>
      </c>
      <c r="Q152" s="120" t="str">
        <f t="shared" si="90"/>
        <v>NA</v>
      </c>
      <c r="R152" s="120" t="str">
        <f t="shared" si="90"/>
        <v>NA</v>
      </c>
      <c r="S152" s="120" t="str">
        <f t="shared" si="90"/>
        <v>NA</v>
      </c>
      <c r="T152" s="120" t="str">
        <f t="shared" si="90"/>
        <v>NA</v>
      </c>
      <c r="U152" s="120" t="str">
        <f t="shared" si="90"/>
        <v>NA</v>
      </c>
    </row>
    <row r="153" spans="1:21" x14ac:dyDescent="0.4">
      <c r="A153" s="210">
        <v>107</v>
      </c>
      <c r="B153" s="526" t="s">
        <v>610</v>
      </c>
      <c r="C153" s="89">
        <f t="shared" si="86"/>
        <v>0</v>
      </c>
      <c r="D153" s="7" t="str">
        <f t="shared" si="87"/>
        <v>NA</v>
      </c>
      <c r="E153" s="7" t="str">
        <f t="shared" si="87"/>
        <v>NA</v>
      </c>
      <c r="F153" s="7" t="str">
        <f t="shared" si="87"/>
        <v>NA</v>
      </c>
      <c r="G153" s="7" t="str">
        <f t="shared" si="87"/>
        <v>NA</v>
      </c>
      <c r="H153" s="90" t="str">
        <f t="shared" si="87"/>
        <v>NA</v>
      </c>
      <c r="I153" s="89">
        <f t="shared" si="88"/>
        <v>0</v>
      </c>
      <c r="J153" s="7" t="str">
        <f t="shared" si="89"/>
        <v>NA</v>
      </c>
      <c r="K153" s="7" t="str">
        <f t="shared" si="89"/>
        <v>NA</v>
      </c>
      <c r="L153" s="7" t="str">
        <f t="shared" si="89"/>
        <v>NA</v>
      </c>
      <c r="M153" s="7" t="str">
        <f t="shared" si="89"/>
        <v>NA</v>
      </c>
      <c r="N153" s="90" t="str">
        <f t="shared" si="89"/>
        <v>NA</v>
      </c>
      <c r="O153" s="169" t="str">
        <f t="shared" si="91"/>
        <v>No</v>
      </c>
      <c r="P153" s="233" t="str">
        <f t="shared" si="90"/>
        <v>NA</v>
      </c>
      <c r="Q153" s="120" t="str">
        <f t="shared" si="90"/>
        <v>NA</v>
      </c>
      <c r="R153" s="120" t="str">
        <f t="shared" si="90"/>
        <v>NA</v>
      </c>
      <c r="S153" s="120" t="str">
        <f t="shared" si="90"/>
        <v>NA</v>
      </c>
      <c r="T153" s="120" t="str">
        <f t="shared" si="90"/>
        <v>NA</v>
      </c>
      <c r="U153" s="120" t="str">
        <f t="shared" si="90"/>
        <v>NA</v>
      </c>
    </row>
    <row r="154" spans="1:21" x14ac:dyDescent="0.4">
      <c r="A154" s="210">
        <v>108</v>
      </c>
      <c r="B154" s="526" t="s">
        <v>563</v>
      </c>
      <c r="C154" s="89">
        <f t="shared" si="86"/>
        <v>0</v>
      </c>
      <c r="D154" s="7" t="str">
        <f t="shared" si="87"/>
        <v>NA</v>
      </c>
      <c r="E154" s="7" t="str">
        <f t="shared" si="87"/>
        <v>NA</v>
      </c>
      <c r="F154" s="7" t="str">
        <f t="shared" si="87"/>
        <v>NA</v>
      </c>
      <c r="G154" s="7" t="str">
        <f t="shared" si="87"/>
        <v>NA</v>
      </c>
      <c r="H154" s="90" t="str">
        <f t="shared" si="87"/>
        <v>NA</v>
      </c>
      <c r="I154" s="89">
        <f t="shared" si="88"/>
        <v>0</v>
      </c>
      <c r="J154" s="7" t="str">
        <f t="shared" si="89"/>
        <v>NA</v>
      </c>
      <c r="K154" s="7" t="str">
        <f t="shared" si="89"/>
        <v>NA</v>
      </c>
      <c r="L154" s="7" t="str">
        <f t="shared" si="89"/>
        <v>NA</v>
      </c>
      <c r="M154" s="7" t="str">
        <f t="shared" si="89"/>
        <v>NA</v>
      </c>
      <c r="N154" s="90" t="str">
        <f t="shared" si="89"/>
        <v>NA</v>
      </c>
      <c r="O154" s="169" t="str">
        <f t="shared" si="91"/>
        <v>No</v>
      </c>
      <c r="P154" s="233" t="str">
        <f t="shared" si="90"/>
        <v>NA</v>
      </c>
      <c r="Q154" s="120" t="str">
        <f t="shared" si="90"/>
        <v>NA</v>
      </c>
      <c r="R154" s="120" t="str">
        <f t="shared" si="90"/>
        <v>NA</v>
      </c>
      <c r="S154" s="120" t="str">
        <f t="shared" si="90"/>
        <v>NA</v>
      </c>
      <c r="T154" s="120" t="str">
        <f t="shared" si="90"/>
        <v>NA</v>
      </c>
      <c r="U154" s="120" t="str">
        <f t="shared" si="90"/>
        <v>NA</v>
      </c>
    </row>
    <row r="155" spans="1:21" ht="33.6" x14ac:dyDescent="0.4">
      <c r="A155" s="210">
        <v>109</v>
      </c>
      <c r="B155" s="526" t="s">
        <v>611</v>
      </c>
      <c r="C155" s="89">
        <f t="shared" si="86"/>
        <v>0</v>
      </c>
      <c r="D155" s="7" t="str">
        <f t="shared" si="87"/>
        <v>NA</v>
      </c>
      <c r="E155" s="7" t="str">
        <f t="shared" si="87"/>
        <v>NA</v>
      </c>
      <c r="F155" s="7" t="str">
        <f t="shared" si="87"/>
        <v>NA</v>
      </c>
      <c r="G155" s="7" t="str">
        <f t="shared" si="87"/>
        <v>NA</v>
      </c>
      <c r="H155" s="90" t="str">
        <f t="shared" si="87"/>
        <v>NA</v>
      </c>
      <c r="I155" s="89">
        <f t="shared" si="88"/>
        <v>0</v>
      </c>
      <c r="J155" s="7" t="str">
        <f t="shared" si="89"/>
        <v>NA</v>
      </c>
      <c r="K155" s="7" t="str">
        <f t="shared" si="89"/>
        <v>NA</v>
      </c>
      <c r="L155" s="7" t="str">
        <f t="shared" si="89"/>
        <v>NA</v>
      </c>
      <c r="M155" s="7" t="str">
        <f t="shared" si="89"/>
        <v>NA</v>
      </c>
      <c r="N155" s="90" t="str">
        <f t="shared" si="89"/>
        <v>NA</v>
      </c>
      <c r="O155" s="169" t="str">
        <f t="shared" si="91"/>
        <v>No</v>
      </c>
      <c r="P155" s="233" t="str">
        <f t="shared" si="90"/>
        <v>NA</v>
      </c>
      <c r="Q155" s="120" t="str">
        <f t="shared" si="90"/>
        <v>NA</v>
      </c>
      <c r="R155" s="120" t="str">
        <f t="shared" si="90"/>
        <v>NA</v>
      </c>
      <c r="S155" s="120" t="str">
        <f t="shared" si="90"/>
        <v>NA</v>
      </c>
      <c r="T155" s="120" t="str">
        <f t="shared" si="90"/>
        <v>NA</v>
      </c>
      <c r="U155" s="120" t="str">
        <f t="shared" si="90"/>
        <v>NA</v>
      </c>
    </row>
    <row r="156" spans="1:21" x14ac:dyDescent="0.4">
      <c r="A156" s="210">
        <v>110</v>
      </c>
      <c r="B156" s="526" t="s">
        <v>68</v>
      </c>
      <c r="C156" s="89">
        <f t="shared" si="86"/>
        <v>0</v>
      </c>
      <c r="D156" s="7" t="str">
        <f t="shared" si="87"/>
        <v>NA</v>
      </c>
      <c r="E156" s="7" t="str">
        <f t="shared" si="87"/>
        <v>NA</v>
      </c>
      <c r="F156" s="7" t="str">
        <f t="shared" si="87"/>
        <v>NA</v>
      </c>
      <c r="G156" s="7" t="str">
        <f t="shared" si="87"/>
        <v>NA</v>
      </c>
      <c r="H156" s="90" t="str">
        <f t="shared" si="87"/>
        <v>NA</v>
      </c>
      <c r="I156" s="89">
        <f t="shared" si="88"/>
        <v>0</v>
      </c>
      <c r="J156" s="7" t="str">
        <f t="shared" si="89"/>
        <v>NA</v>
      </c>
      <c r="K156" s="7" t="str">
        <f t="shared" si="89"/>
        <v>NA</v>
      </c>
      <c r="L156" s="7" t="str">
        <f t="shared" si="89"/>
        <v>NA</v>
      </c>
      <c r="M156" s="7" t="str">
        <f t="shared" si="89"/>
        <v>NA</v>
      </c>
      <c r="N156" s="90" t="str">
        <f t="shared" si="89"/>
        <v>NA</v>
      </c>
      <c r="O156" s="169" t="str">
        <f t="shared" si="91"/>
        <v>No</v>
      </c>
      <c r="P156" s="233" t="str">
        <f t="shared" si="90"/>
        <v>NA</v>
      </c>
      <c r="Q156" s="120" t="str">
        <f t="shared" si="90"/>
        <v>NA</v>
      </c>
      <c r="R156" s="120" t="str">
        <f t="shared" si="90"/>
        <v>NA</v>
      </c>
      <c r="S156" s="120" t="str">
        <f t="shared" si="90"/>
        <v>NA</v>
      </c>
      <c r="T156" s="120" t="str">
        <f t="shared" si="90"/>
        <v>NA</v>
      </c>
      <c r="U156" s="120" t="str">
        <f t="shared" si="90"/>
        <v>NA</v>
      </c>
    </row>
    <row r="157" spans="1:21" x14ac:dyDescent="0.4">
      <c r="A157" s="210">
        <v>111</v>
      </c>
      <c r="B157" s="526" t="s">
        <v>69</v>
      </c>
      <c r="C157" s="89">
        <f t="shared" si="86"/>
        <v>0</v>
      </c>
      <c r="D157" s="7" t="str">
        <f t="shared" ref="D157:H166" si="92">IF($C157=0,"NA",(SUMPRODUCT(D191,$C191)+SUMPRODUCT(D225,$C225)+SUMPRODUCT(D259,$C259))/$C157)</f>
        <v>NA</v>
      </c>
      <c r="E157" s="7" t="str">
        <f t="shared" si="92"/>
        <v>NA</v>
      </c>
      <c r="F157" s="7" t="str">
        <f t="shared" si="92"/>
        <v>NA</v>
      </c>
      <c r="G157" s="7" t="str">
        <f t="shared" si="92"/>
        <v>NA</v>
      </c>
      <c r="H157" s="90" t="str">
        <f t="shared" si="92"/>
        <v>NA</v>
      </c>
      <c r="I157" s="89">
        <f t="shared" si="88"/>
        <v>0</v>
      </c>
      <c r="J157" s="7" t="str">
        <f t="shared" si="89"/>
        <v>NA</v>
      </c>
      <c r="K157" s="7" t="str">
        <f t="shared" si="89"/>
        <v>NA</v>
      </c>
      <c r="L157" s="7" t="str">
        <f t="shared" si="89"/>
        <v>NA</v>
      </c>
      <c r="M157" s="7" t="str">
        <f t="shared" si="89"/>
        <v>NA</v>
      </c>
      <c r="N157" s="90" t="str">
        <f t="shared" si="89"/>
        <v>NA</v>
      </c>
      <c r="O157" s="169" t="str">
        <f t="shared" si="91"/>
        <v>No</v>
      </c>
      <c r="P157" s="233" t="str">
        <f t="shared" si="90"/>
        <v>NA</v>
      </c>
      <c r="Q157" s="120" t="str">
        <f t="shared" si="90"/>
        <v>NA</v>
      </c>
      <c r="R157" s="120" t="str">
        <f t="shared" si="90"/>
        <v>NA</v>
      </c>
      <c r="S157" s="120" t="str">
        <f t="shared" si="90"/>
        <v>NA</v>
      </c>
      <c r="T157" s="120" t="str">
        <f t="shared" si="90"/>
        <v>NA</v>
      </c>
      <c r="U157" s="120" t="str">
        <f t="shared" si="90"/>
        <v>NA</v>
      </c>
    </row>
    <row r="158" spans="1:21" x14ac:dyDescent="0.4">
      <c r="A158" s="210">
        <v>112</v>
      </c>
      <c r="B158" s="526" t="s">
        <v>637</v>
      </c>
      <c r="C158" s="89">
        <f t="shared" si="86"/>
        <v>0</v>
      </c>
      <c r="D158" s="7" t="str">
        <f t="shared" si="92"/>
        <v>NA</v>
      </c>
      <c r="E158" s="7" t="str">
        <f t="shared" si="92"/>
        <v>NA</v>
      </c>
      <c r="F158" s="7" t="str">
        <f t="shared" si="92"/>
        <v>NA</v>
      </c>
      <c r="G158" s="7" t="str">
        <f t="shared" si="92"/>
        <v>NA</v>
      </c>
      <c r="H158" s="90" t="str">
        <f t="shared" si="92"/>
        <v>NA</v>
      </c>
      <c r="I158" s="89">
        <f t="shared" si="88"/>
        <v>0</v>
      </c>
      <c r="J158" s="7" t="str">
        <f t="shared" si="89"/>
        <v>NA</v>
      </c>
      <c r="K158" s="7" t="str">
        <f t="shared" si="89"/>
        <v>NA</v>
      </c>
      <c r="L158" s="7" t="str">
        <f t="shared" si="89"/>
        <v>NA</v>
      </c>
      <c r="M158" s="7" t="str">
        <f t="shared" si="89"/>
        <v>NA</v>
      </c>
      <c r="N158" s="90" t="str">
        <f t="shared" si="89"/>
        <v>NA</v>
      </c>
      <c r="O158" s="169" t="str">
        <f t="shared" si="91"/>
        <v>No</v>
      </c>
      <c r="P158" s="233" t="str">
        <f t="shared" si="90"/>
        <v>NA</v>
      </c>
      <c r="Q158" s="120" t="str">
        <f t="shared" si="90"/>
        <v>NA</v>
      </c>
      <c r="R158" s="120" t="str">
        <f t="shared" si="90"/>
        <v>NA</v>
      </c>
      <c r="S158" s="120" t="str">
        <f t="shared" si="90"/>
        <v>NA</v>
      </c>
      <c r="T158" s="120" t="str">
        <f t="shared" si="90"/>
        <v>NA</v>
      </c>
      <c r="U158" s="120" t="str">
        <f t="shared" si="90"/>
        <v>NA</v>
      </c>
    </row>
    <row r="159" spans="1:21" ht="33.6" x14ac:dyDescent="0.4">
      <c r="A159" s="210">
        <v>115</v>
      </c>
      <c r="B159" s="526" t="s">
        <v>612</v>
      </c>
      <c r="C159" s="89">
        <f t="shared" si="86"/>
        <v>0</v>
      </c>
      <c r="D159" s="7" t="str">
        <f t="shared" si="92"/>
        <v>NA</v>
      </c>
      <c r="E159" s="7" t="str">
        <f t="shared" si="92"/>
        <v>NA</v>
      </c>
      <c r="F159" s="7" t="str">
        <f t="shared" si="92"/>
        <v>NA</v>
      </c>
      <c r="G159" s="7" t="str">
        <f t="shared" si="92"/>
        <v>NA</v>
      </c>
      <c r="H159" s="90" t="str">
        <f t="shared" si="92"/>
        <v>NA</v>
      </c>
      <c r="I159" s="89">
        <f t="shared" si="88"/>
        <v>0</v>
      </c>
      <c r="J159" s="7" t="str">
        <f t="shared" si="89"/>
        <v>NA</v>
      </c>
      <c r="K159" s="7" t="str">
        <f t="shared" si="89"/>
        <v>NA</v>
      </c>
      <c r="L159" s="7" t="str">
        <f t="shared" si="89"/>
        <v>NA</v>
      </c>
      <c r="M159" s="7" t="str">
        <f t="shared" si="89"/>
        <v>NA</v>
      </c>
      <c r="N159" s="90" t="str">
        <f t="shared" si="89"/>
        <v>NA</v>
      </c>
      <c r="O159" s="169" t="str">
        <f t="shared" si="91"/>
        <v>No</v>
      </c>
      <c r="P159" s="233" t="str">
        <f t="shared" si="90"/>
        <v>NA</v>
      </c>
      <c r="Q159" s="120" t="str">
        <f t="shared" si="90"/>
        <v>NA</v>
      </c>
      <c r="R159" s="120" t="str">
        <f t="shared" si="90"/>
        <v>NA</v>
      </c>
      <c r="S159" s="120" t="str">
        <f t="shared" si="90"/>
        <v>NA</v>
      </c>
      <c r="T159" s="120" t="str">
        <f t="shared" si="90"/>
        <v>NA</v>
      </c>
      <c r="U159" s="120" t="str">
        <f t="shared" si="90"/>
        <v>NA</v>
      </c>
    </row>
    <row r="160" spans="1:21" x14ac:dyDescent="0.4">
      <c r="A160" s="210">
        <v>116</v>
      </c>
      <c r="B160" s="526" t="s">
        <v>564</v>
      </c>
      <c r="C160" s="89">
        <f t="shared" si="86"/>
        <v>0</v>
      </c>
      <c r="D160" s="7" t="str">
        <f t="shared" si="92"/>
        <v>NA</v>
      </c>
      <c r="E160" s="7" t="str">
        <f t="shared" si="92"/>
        <v>NA</v>
      </c>
      <c r="F160" s="7" t="str">
        <f t="shared" si="92"/>
        <v>NA</v>
      </c>
      <c r="G160" s="7" t="str">
        <f t="shared" si="92"/>
        <v>NA</v>
      </c>
      <c r="H160" s="90" t="str">
        <f t="shared" si="92"/>
        <v>NA</v>
      </c>
      <c r="I160" s="89">
        <f t="shared" si="88"/>
        <v>0</v>
      </c>
      <c r="J160" s="7" t="str">
        <f t="shared" si="89"/>
        <v>NA</v>
      </c>
      <c r="K160" s="7" t="str">
        <f t="shared" si="89"/>
        <v>NA</v>
      </c>
      <c r="L160" s="7" t="str">
        <f t="shared" si="89"/>
        <v>NA</v>
      </c>
      <c r="M160" s="7" t="str">
        <f t="shared" si="89"/>
        <v>NA</v>
      </c>
      <c r="N160" s="90" t="str">
        <f t="shared" si="89"/>
        <v>NA</v>
      </c>
      <c r="O160" s="169" t="str">
        <f t="shared" si="91"/>
        <v>No</v>
      </c>
      <c r="P160" s="233" t="str">
        <f t="shared" si="90"/>
        <v>NA</v>
      </c>
      <c r="Q160" s="120" t="str">
        <f t="shared" si="90"/>
        <v>NA</v>
      </c>
      <c r="R160" s="120" t="str">
        <f t="shared" si="90"/>
        <v>NA</v>
      </c>
      <c r="S160" s="120" t="str">
        <f t="shared" si="90"/>
        <v>NA</v>
      </c>
      <c r="T160" s="120" t="str">
        <f t="shared" si="90"/>
        <v>NA</v>
      </c>
      <c r="U160" s="120" t="str">
        <f t="shared" si="90"/>
        <v>NA</v>
      </c>
    </row>
    <row r="161" spans="1:21" x14ac:dyDescent="0.4">
      <c r="A161" s="210">
        <v>118</v>
      </c>
      <c r="B161" s="526" t="s">
        <v>70</v>
      </c>
      <c r="C161" s="89">
        <f t="shared" si="86"/>
        <v>0</v>
      </c>
      <c r="D161" s="7" t="str">
        <f t="shared" si="92"/>
        <v>NA</v>
      </c>
      <c r="E161" s="7" t="str">
        <f t="shared" si="92"/>
        <v>NA</v>
      </c>
      <c r="F161" s="7" t="str">
        <f t="shared" si="92"/>
        <v>NA</v>
      </c>
      <c r="G161" s="7" t="str">
        <f t="shared" si="92"/>
        <v>NA</v>
      </c>
      <c r="H161" s="90" t="str">
        <f t="shared" si="92"/>
        <v>NA</v>
      </c>
      <c r="I161" s="89">
        <f t="shared" si="88"/>
        <v>0</v>
      </c>
      <c r="J161" s="7" t="str">
        <f t="shared" si="89"/>
        <v>NA</v>
      </c>
      <c r="K161" s="7" t="str">
        <f t="shared" si="89"/>
        <v>NA</v>
      </c>
      <c r="L161" s="7" t="str">
        <f t="shared" si="89"/>
        <v>NA</v>
      </c>
      <c r="M161" s="7" t="str">
        <f t="shared" si="89"/>
        <v>NA</v>
      </c>
      <c r="N161" s="90" t="str">
        <f t="shared" si="89"/>
        <v>NA</v>
      </c>
      <c r="O161" s="169" t="str">
        <f>IFERROR(IF(AND(C161&gt;12000,I161&gt;12000),"Yes","No"),"NA")</f>
        <v>No</v>
      </c>
      <c r="P161" s="233" t="str">
        <f t="shared" si="90"/>
        <v>NA</v>
      </c>
      <c r="Q161" s="120" t="str">
        <f t="shared" si="90"/>
        <v>NA</v>
      </c>
      <c r="R161" s="120" t="str">
        <f t="shared" si="90"/>
        <v>NA</v>
      </c>
      <c r="S161" s="120" t="str">
        <f t="shared" si="90"/>
        <v>NA</v>
      </c>
      <c r="T161" s="120" t="str">
        <f t="shared" si="90"/>
        <v>NA</v>
      </c>
      <c r="U161" s="120" t="str">
        <f t="shared" si="90"/>
        <v>NA</v>
      </c>
    </row>
    <row r="162" spans="1:21" x14ac:dyDescent="0.4">
      <c r="A162" s="210">
        <v>120</v>
      </c>
      <c r="B162" s="526" t="s">
        <v>561</v>
      </c>
      <c r="C162" s="89">
        <f t="shared" si="86"/>
        <v>0</v>
      </c>
      <c r="D162" s="7" t="str">
        <f t="shared" si="92"/>
        <v>NA</v>
      </c>
      <c r="E162" s="7" t="str">
        <f t="shared" si="92"/>
        <v>NA</v>
      </c>
      <c r="F162" s="7" t="str">
        <f t="shared" si="92"/>
        <v>NA</v>
      </c>
      <c r="G162" s="7" t="str">
        <f t="shared" si="92"/>
        <v>NA</v>
      </c>
      <c r="H162" s="90" t="str">
        <f t="shared" si="92"/>
        <v>NA</v>
      </c>
      <c r="I162" s="89">
        <f t="shared" si="88"/>
        <v>0</v>
      </c>
      <c r="J162" s="7" t="str">
        <f>IF($I162=0,"NA",(SUMPRODUCT(J196,$I196)+SUMPRODUCT(J230,$I230)+SUMPRODUCT(J264,$I264))/$I162)</f>
        <v>NA</v>
      </c>
      <c r="K162" s="7" t="str">
        <f>IF($I162=0,"NA",(SUMPRODUCT(K196,$I196)+SUMPRODUCT(K230,$I230)+SUMPRODUCT(K264,$CI42))/$I162)</f>
        <v>NA</v>
      </c>
      <c r="L162" s="7" t="str">
        <f t="shared" ref="L162:N166" si="93">IF($I162=0,"NA",(SUMPRODUCT(L196,$I196)+SUMPRODUCT(L230,$I230)+SUMPRODUCT(L264,$I264))/$I162)</f>
        <v>NA</v>
      </c>
      <c r="M162" s="7" t="str">
        <f t="shared" si="93"/>
        <v>NA</v>
      </c>
      <c r="N162" s="90" t="str">
        <f t="shared" si="93"/>
        <v>NA</v>
      </c>
      <c r="O162" s="169" t="str">
        <f t="shared" si="91"/>
        <v>No</v>
      </c>
      <c r="P162" s="233" t="str">
        <f t="shared" si="90"/>
        <v>NA</v>
      </c>
      <c r="Q162" s="120" t="str">
        <f t="shared" si="90"/>
        <v>NA</v>
      </c>
      <c r="R162" s="120" t="str">
        <f t="shared" si="90"/>
        <v>NA</v>
      </c>
      <c r="S162" s="120" t="str">
        <f t="shared" si="90"/>
        <v>NA</v>
      </c>
      <c r="T162" s="120" t="str">
        <f t="shared" si="90"/>
        <v>NA</v>
      </c>
      <c r="U162" s="120" t="str">
        <f t="shared" si="90"/>
        <v>NA</v>
      </c>
    </row>
    <row r="163" spans="1:21" ht="33.6" x14ac:dyDescent="0.4">
      <c r="A163" s="210">
        <v>121</v>
      </c>
      <c r="B163" s="526" t="s">
        <v>565</v>
      </c>
      <c r="C163" s="89">
        <f t="shared" si="86"/>
        <v>0</v>
      </c>
      <c r="D163" s="7" t="str">
        <f t="shared" si="92"/>
        <v>NA</v>
      </c>
      <c r="E163" s="7" t="str">
        <f t="shared" si="92"/>
        <v>NA</v>
      </c>
      <c r="F163" s="7" t="str">
        <f t="shared" si="92"/>
        <v>NA</v>
      </c>
      <c r="G163" s="7" t="str">
        <f t="shared" si="92"/>
        <v>NA</v>
      </c>
      <c r="H163" s="90" t="str">
        <f t="shared" si="92"/>
        <v>NA</v>
      </c>
      <c r="I163" s="89">
        <f t="shared" si="88"/>
        <v>0</v>
      </c>
      <c r="J163" s="7" t="str">
        <f>IF($I163=0,"NA",(SUMPRODUCT(J197,$I197)+SUMPRODUCT(J231,$I231)+SUMPRODUCT(J265,$I265))/$I163)</f>
        <v>NA</v>
      </c>
      <c r="K163" s="7" t="str">
        <f>IF($I163=0,"NA",(SUMPRODUCT(K197,$I197)+SUMPRODUCT(K231,$I231)+SUMPRODUCT(K265,$CI43))/$I163)</f>
        <v>NA</v>
      </c>
      <c r="L163" s="7" t="str">
        <f t="shared" si="93"/>
        <v>NA</v>
      </c>
      <c r="M163" s="7" t="str">
        <f t="shared" si="93"/>
        <v>NA</v>
      </c>
      <c r="N163" s="90" t="str">
        <f t="shared" si="93"/>
        <v>NA</v>
      </c>
      <c r="O163" s="169" t="str">
        <f t="shared" si="91"/>
        <v>No</v>
      </c>
      <c r="P163" s="233" t="str">
        <f t="shared" si="90"/>
        <v>NA</v>
      </c>
      <c r="Q163" s="120" t="str">
        <f t="shared" si="90"/>
        <v>NA</v>
      </c>
      <c r="R163" s="120" t="str">
        <f t="shared" si="90"/>
        <v>NA</v>
      </c>
      <c r="S163" s="120" t="str">
        <f t="shared" si="90"/>
        <v>NA</v>
      </c>
      <c r="T163" s="120" t="str">
        <f t="shared" si="90"/>
        <v>NA</v>
      </c>
      <c r="U163" s="120" t="str">
        <f t="shared" si="90"/>
        <v>NA</v>
      </c>
    </row>
    <row r="164" spans="1:21" ht="33.6" x14ac:dyDescent="0.4">
      <c r="A164" s="210">
        <v>122</v>
      </c>
      <c r="B164" s="525" t="s">
        <v>647</v>
      </c>
      <c r="C164" s="89">
        <f t="shared" si="86"/>
        <v>0</v>
      </c>
      <c r="D164" s="7" t="str">
        <f t="shared" si="92"/>
        <v>NA</v>
      </c>
      <c r="E164" s="7" t="str">
        <f t="shared" si="92"/>
        <v>NA</v>
      </c>
      <c r="F164" s="7" t="str">
        <f t="shared" si="92"/>
        <v>NA</v>
      </c>
      <c r="G164" s="7" t="str">
        <f t="shared" si="92"/>
        <v>NA</v>
      </c>
      <c r="H164" s="90" t="str">
        <f t="shared" si="92"/>
        <v>NA</v>
      </c>
      <c r="I164" s="89">
        <f t="shared" si="88"/>
        <v>0</v>
      </c>
      <c r="J164" s="7" t="str">
        <f>IF($I164=0,"NA",(SUMPRODUCT(J198,$I198)+SUMPRODUCT(J232,$I232)+SUMPRODUCT(J266,$I266))/$I164)</f>
        <v>NA</v>
      </c>
      <c r="K164" s="7" t="str">
        <f>IF($I164=0,"NA",(SUMPRODUCT(K198,$I198)+SUMPRODUCT(K232,$I232)+SUMPRODUCT(K266,$I266))/$I164)</f>
        <v>NA</v>
      </c>
      <c r="L164" s="7" t="str">
        <f t="shared" si="93"/>
        <v>NA</v>
      </c>
      <c r="M164" s="7" t="str">
        <f t="shared" si="93"/>
        <v>NA</v>
      </c>
      <c r="N164" s="90" t="str">
        <f t="shared" si="93"/>
        <v>NA</v>
      </c>
      <c r="O164" s="169" t="str">
        <f t="shared" si="91"/>
        <v>No</v>
      </c>
      <c r="P164" s="233" t="str">
        <f t="shared" si="90"/>
        <v>NA</v>
      </c>
      <c r="Q164" s="120" t="str">
        <f t="shared" si="90"/>
        <v>NA</v>
      </c>
      <c r="R164" s="120" t="str">
        <f t="shared" si="90"/>
        <v>NA</v>
      </c>
      <c r="S164" s="120" t="str">
        <f t="shared" si="90"/>
        <v>NA</v>
      </c>
      <c r="T164" s="120" t="str">
        <f t="shared" si="90"/>
        <v>NA</v>
      </c>
      <c r="U164" s="120" t="str">
        <f t="shared" si="90"/>
        <v>NA</v>
      </c>
    </row>
    <row r="165" spans="1:21" ht="33.6" x14ac:dyDescent="0.4">
      <c r="A165" s="210">
        <v>123</v>
      </c>
      <c r="B165" s="525" t="s">
        <v>614</v>
      </c>
      <c r="C165" s="89">
        <f t="shared" si="86"/>
        <v>0</v>
      </c>
      <c r="D165" s="7" t="str">
        <f t="shared" si="92"/>
        <v>NA</v>
      </c>
      <c r="E165" s="7" t="str">
        <f t="shared" si="92"/>
        <v>NA</v>
      </c>
      <c r="F165" s="7" t="str">
        <f t="shared" si="92"/>
        <v>NA</v>
      </c>
      <c r="G165" s="7" t="str">
        <f t="shared" si="92"/>
        <v>NA</v>
      </c>
      <c r="H165" s="90" t="str">
        <f t="shared" si="92"/>
        <v>NA</v>
      </c>
      <c r="I165" s="89">
        <f t="shared" si="88"/>
        <v>0</v>
      </c>
      <c r="J165" s="7" t="str">
        <f>IF($I165=0,"NA",(SUMPRODUCT(J199,$I199)+SUMPRODUCT(J233,$I233)+SUMPRODUCT(J267,$I267))/$I165)</f>
        <v>NA</v>
      </c>
      <c r="K165" s="7" t="str">
        <f>IF($I165=0,"NA",(SUMPRODUCT(K199,$I199)+SUMPRODUCT(K233,$I233)+SUMPRODUCT(K267,$I267))/$I165)</f>
        <v>NA</v>
      </c>
      <c r="L165" s="7" t="str">
        <f t="shared" si="93"/>
        <v>NA</v>
      </c>
      <c r="M165" s="7" t="str">
        <f t="shared" si="93"/>
        <v>NA</v>
      </c>
      <c r="N165" s="90" t="str">
        <f t="shared" si="93"/>
        <v>NA</v>
      </c>
      <c r="O165" s="169" t="str">
        <f t="shared" si="91"/>
        <v>No</v>
      </c>
      <c r="P165" s="233" t="str">
        <f t="shared" ref="P165:P166" si="94">IFERROR((I165/C165-1),"NA")</f>
        <v>NA</v>
      </c>
      <c r="Q165" s="120" t="str">
        <f t="shared" ref="Q165:Q166" si="95">IFERROR((J165/D165-1),"NA")</f>
        <v>NA</v>
      </c>
      <c r="R165" s="120" t="str">
        <f t="shared" ref="R165:R166" si="96">IFERROR((K165/E165-1),"NA")</f>
        <v>NA</v>
      </c>
      <c r="S165" s="120" t="str">
        <f t="shared" ref="S165:S166" si="97">IFERROR((L165/F165-1),"NA")</f>
        <v>NA</v>
      </c>
      <c r="T165" s="120" t="str">
        <f t="shared" ref="T165:T166" si="98">IFERROR((M165/G165-1),"NA")</f>
        <v>NA</v>
      </c>
      <c r="U165" s="120" t="str">
        <f t="shared" ref="U165:U166" si="99">IFERROR((N165/H165-1),"NA")</f>
        <v>NA</v>
      </c>
    </row>
    <row r="166" spans="1:21" x14ac:dyDescent="0.4">
      <c r="A166" s="210">
        <v>124</v>
      </c>
      <c r="B166" s="525" t="s">
        <v>615</v>
      </c>
      <c r="C166" s="89">
        <f t="shared" si="86"/>
        <v>0</v>
      </c>
      <c r="D166" s="7" t="str">
        <f t="shared" si="92"/>
        <v>NA</v>
      </c>
      <c r="E166" s="7" t="str">
        <f t="shared" si="92"/>
        <v>NA</v>
      </c>
      <c r="F166" s="7" t="str">
        <f t="shared" si="92"/>
        <v>NA</v>
      </c>
      <c r="G166" s="7" t="str">
        <f t="shared" si="92"/>
        <v>NA</v>
      </c>
      <c r="H166" s="90" t="str">
        <f t="shared" si="92"/>
        <v>NA</v>
      </c>
      <c r="I166" s="89">
        <f t="shared" si="88"/>
        <v>0</v>
      </c>
      <c r="J166" s="7" t="str">
        <f>IF($I166=0,"NA",(SUMPRODUCT(J200,$I200)+SUMPRODUCT(J234,$I234)+SUMPRODUCT(J268,$I268))/$I166)</f>
        <v>NA</v>
      </c>
      <c r="K166" s="7" t="str">
        <f>IF($I166=0,"NA",(SUMPRODUCT(K200,$I200)+SUMPRODUCT(K234,$I234)+SUMPRODUCT(K268,$I268))/$I166)</f>
        <v>NA</v>
      </c>
      <c r="L166" s="7" t="str">
        <f t="shared" si="93"/>
        <v>NA</v>
      </c>
      <c r="M166" s="7" t="str">
        <f t="shared" si="93"/>
        <v>NA</v>
      </c>
      <c r="N166" s="90" t="str">
        <f t="shared" si="93"/>
        <v>NA</v>
      </c>
      <c r="O166" s="169" t="str">
        <f t="shared" si="91"/>
        <v>No</v>
      </c>
      <c r="P166" s="233" t="str">
        <f t="shared" si="94"/>
        <v>NA</v>
      </c>
      <c r="Q166" s="120" t="str">
        <f t="shared" si="95"/>
        <v>NA</v>
      </c>
      <c r="R166" s="120" t="str">
        <f t="shared" si="96"/>
        <v>NA</v>
      </c>
      <c r="S166" s="120" t="str">
        <f t="shared" si="97"/>
        <v>NA</v>
      </c>
      <c r="T166" s="120" t="str">
        <f t="shared" si="98"/>
        <v>NA</v>
      </c>
      <c r="U166" s="120" t="str">
        <f t="shared" si="99"/>
        <v>NA</v>
      </c>
    </row>
    <row r="167" spans="1:21" x14ac:dyDescent="0.4">
      <c r="A167" s="462">
        <v>125</v>
      </c>
      <c r="B167" s="525" t="s">
        <v>638</v>
      </c>
      <c r="C167" s="89">
        <f t="shared" ref="C167:C171" si="100">C201+C235+C269</f>
        <v>0</v>
      </c>
      <c r="D167" s="7" t="str">
        <f t="shared" ref="D167:H167" si="101">IF($C167=0,"NA",(SUMPRODUCT(D201,$C201)+SUMPRODUCT(D235,$C235)+SUMPRODUCT(D269,$C269))/$C167)</f>
        <v>NA</v>
      </c>
      <c r="E167" s="7" t="str">
        <f t="shared" si="101"/>
        <v>NA</v>
      </c>
      <c r="F167" s="7" t="str">
        <f t="shared" si="101"/>
        <v>NA</v>
      </c>
      <c r="G167" s="7" t="str">
        <f t="shared" si="101"/>
        <v>NA</v>
      </c>
      <c r="H167" s="90" t="str">
        <f t="shared" si="101"/>
        <v>NA</v>
      </c>
      <c r="I167" s="89">
        <f t="shared" ref="I167:I171" si="102">I201+I235+I269</f>
        <v>0</v>
      </c>
      <c r="J167" s="7" t="str">
        <f t="shared" ref="J167:N167" si="103">IF($I167=0,"NA",(SUMPRODUCT(J201,$I201)+SUMPRODUCT(J235,$I235)+SUMPRODUCT(J269,$I269))/$I167)</f>
        <v>NA</v>
      </c>
      <c r="K167" s="7" t="str">
        <f t="shared" si="103"/>
        <v>NA</v>
      </c>
      <c r="L167" s="7" t="str">
        <f t="shared" si="103"/>
        <v>NA</v>
      </c>
      <c r="M167" s="7" t="str">
        <f t="shared" si="103"/>
        <v>NA</v>
      </c>
      <c r="N167" s="90" t="str">
        <f t="shared" si="103"/>
        <v>NA</v>
      </c>
      <c r="O167" s="169" t="str">
        <f t="shared" ref="O167:O171" si="104">IFERROR(IF(AND(C167&gt;12000,I167&gt;12000),"Yes","No"),"NA")</f>
        <v>No</v>
      </c>
      <c r="P167" s="233" t="str">
        <f t="shared" ref="P167:P171" si="105">IFERROR((I167/C167-1),"NA")</f>
        <v>NA</v>
      </c>
      <c r="Q167" s="120" t="str">
        <f t="shared" ref="Q167:Q171" si="106">IFERROR((J167/D167-1),"NA")</f>
        <v>NA</v>
      </c>
      <c r="R167" s="120" t="str">
        <f t="shared" ref="R167:R171" si="107">IFERROR((K167/E167-1),"NA")</f>
        <v>NA</v>
      </c>
      <c r="S167" s="120" t="str">
        <f t="shared" ref="S167:S171" si="108">IFERROR((L167/F167-1),"NA")</f>
        <v>NA</v>
      </c>
      <c r="T167" s="120" t="str">
        <f t="shared" ref="T167:T171" si="109">IFERROR((M167/G167-1),"NA")</f>
        <v>NA</v>
      </c>
      <c r="U167" s="120" t="str">
        <f t="shared" ref="U167:U171" si="110">IFERROR((N167/H167-1),"NA")</f>
        <v>NA</v>
      </c>
    </row>
    <row r="168" spans="1:21" x14ac:dyDescent="0.4">
      <c r="A168" s="462">
        <v>126</v>
      </c>
      <c r="B168" s="525" t="s">
        <v>639</v>
      </c>
      <c r="C168" s="89">
        <f t="shared" si="100"/>
        <v>0</v>
      </c>
      <c r="D168" s="7" t="str">
        <f t="shared" ref="D168:H168" si="111">IF($C168=0,"NA",(SUMPRODUCT(D202,$C202)+SUMPRODUCT(D236,$C236)+SUMPRODUCT(D270,$C270))/$C168)</f>
        <v>NA</v>
      </c>
      <c r="E168" s="7" t="str">
        <f t="shared" si="111"/>
        <v>NA</v>
      </c>
      <c r="F168" s="7" t="str">
        <f t="shared" si="111"/>
        <v>NA</v>
      </c>
      <c r="G168" s="7" t="str">
        <f t="shared" si="111"/>
        <v>NA</v>
      </c>
      <c r="H168" s="90" t="str">
        <f t="shared" si="111"/>
        <v>NA</v>
      </c>
      <c r="I168" s="89">
        <f t="shared" si="102"/>
        <v>0</v>
      </c>
      <c r="J168" s="7" t="str">
        <f t="shared" ref="J168:N168" si="112">IF($I168=0,"NA",(SUMPRODUCT(J202,$I202)+SUMPRODUCT(J236,$I236)+SUMPRODUCT(J270,$I270))/$I168)</f>
        <v>NA</v>
      </c>
      <c r="K168" s="7" t="str">
        <f t="shared" si="112"/>
        <v>NA</v>
      </c>
      <c r="L168" s="7" t="str">
        <f t="shared" si="112"/>
        <v>NA</v>
      </c>
      <c r="M168" s="7" t="str">
        <f t="shared" si="112"/>
        <v>NA</v>
      </c>
      <c r="N168" s="90" t="str">
        <f t="shared" si="112"/>
        <v>NA</v>
      </c>
      <c r="O168" s="169" t="str">
        <f t="shared" si="104"/>
        <v>No</v>
      </c>
      <c r="P168" s="233" t="str">
        <f t="shared" si="105"/>
        <v>NA</v>
      </c>
      <c r="Q168" s="120" t="str">
        <f t="shared" si="106"/>
        <v>NA</v>
      </c>
      <c r="R168" s="120" t="str">
        <f t="shared" si="107"/>
        <v>NA</v>
      </c>
      <c r="S168" s="120" t="str">
        <f t="shared" si="108"/>
        <v>NA</v>
      </c>
      <c r="T168" s="120" t="str">
        <f t="shared" si="109"/>
        <v>NA</v>
      </c>
      <c r="U168" s="120" t="str">
        <f t="shared" si="110"/>
        <v>NA</v>
      </c>
    </row>
    <row r="169" spans="1:21" ht="33.6" x14ac:dyDescent="0.4">
      <c r="A169" s="462">
        <v>127</v>
      </c>
      <c r="B169" s="525" t="s">
        <v>640</v>
      </c>
      <c r="C169" s="89">
        <f t="shared" si="100"/>
        <v>0</v>
      </c>
      <c r="D169" s="7" t="str">
        <f t="shared" ref="D169:H169" si="113">IF($C169=0,"NA",(SUMPRODUCT(D203,$C203)+SUMPRODUCT(D237,$C237)+SUMPRODUCT(D271,$C271))/$C169)</f>
        <v>NA</v>
      </c>
      <c r="E169" s="7" t="str">
        <f t="shared" si="113"/>
        <v>NA</v>
      </c>
      <c r="F169" s="7" t="str">
        <f t="shared" si="113"/>
        <v>NA</v>
      </c>
      <c r="G169" s="7" t="str">
        <f t="shared" si="113"/>
        <v>NA</v>
      </c>
      <c r="H169" s="90" t="str">
        <f t="shared" si="113"/>
        <v>NA</v>
      </c>
      <c r="I169" s="89">
        <f t="shared" si="102"/>
        <v>0</v>
      </c>
      <c r="J169" s="7" t="str">
        <f t="shared" ref="J169:N169" si="114">IF($I169=0,"NA",(SUMPRODUCT(J203,$I203)+SUMPRODUCT(J237,$I237)+SUMPRODUCT(J271,$I271))/$I169)</f>
        <v>NA</v>
      </c>
      <c r="K169" s="7" t="str">
        <f t="shared" si="114"/>
        <v>NA</v>
      </c>
      <c r="L169" s="7" t="str">
        <f t="shared" si="114"/>
        <v>NA</v>
      </c>
      <c r="M169" s="7" t="str">
        <f t="shared" si="114"/>
        <v>NA</v>
      </c>
      <c r="N169" s="90" t="str">
        <f t="shared" si="114"/>
        <v>NA</v>
      </c>
      <c r="O169" s="169" t="str">
        <f t="shared" si="104"/>
        <v>No</v>
      </c>
      <c r="P169" s="233" t="str">
        <f t="shared" si="105"/>
        <v>NA</v>
      </c>
      <c r="Q169" s="120" t="str">
        <f t="shared" si="106"/>
        <v>NA</v>
      </c>
      <c r="R169" s="120" t="str">
        <f t="shared" si="107"/>
        <v>NA</v>
      </c>
      <c r="S169" s="120" t="str">
        <f t="shared" si="108"/>
        <v>NA</v>
      </c>
      <c r="T169" s="120" t="str">
        <f t="shared" si="109"/>
        <v>NA</v>
      </c>
      <c r="U169" s="120" t="str">
        <f t="shared" si="110"/>
        <v>NA</v>
      </c>
    </row>
    <row r="170" spans="1:21" x14ac:dyDescent="0.4">
      <c r="A170" s="462">
        <v>128</v>
      </c>
      <c r="B170" s="525" t="s">
        <v>641</v>
      </c>
      <c r="C170" s="89">
        <f t="shared" si="100"/>
        <v>0</v>
      </c>
      <c r="D170" s="7" t="str">
        <f t="shared" ref="D170:H170" si="115">IF($C170=0,"NA",(SUMPRODUCT(D204,$C204)+SUMPRODUCT(D238,$C238)+SUMPRODUCT(D272,$C272))/$C170)</f>
        <v>NA</v>
      </c>
      <c r="E170" s="7" t="str">
        <f t="shared" si="115"/>
        <v>NA</v>
      </c>
      <c r="F170" s="7" t="str">
        <f t="shared" si="115"/>
        <v>NA</v>
      </c>
      <c r="G170" s="7" t="str">
        <f t="shared" si="115"/>
        <v>NA</v>
      </c>
      <c r="H170" s="90" t="str">
        <f t="shared" si="115"/>
        <v>NA</v>
      </c>
      <c r="I170" s="89">
        <f t="shared" si="102"/>
        <v>0</v>
      </c>
      <c r="J170" s="7" t="str">
        <f t="shared" ref="J170:N170" si="116">IF($I170=0,"NA",(SUMPRODUCT(J204,$I204)+SUMPRODUCT(J238,$I238)+SUMPRODUCT(J272,$I272))/$I170)</f>
        <v>NA</v>
      </c>
      <c r="K170" s="7" t="str">
        <f t="shared" si="116"/>
        <v>NA</v>
      </c>
      <c r="L170" s="7" t="str">
        <f t="shared" si="116"/>
        <v>NA</v>
      </c>
      <c r="M170" s="7" t="str">
        <f t="shared" si="116"/>
        <v>NA</v>
      </c>
      <c r="N170" s="90" t="str">
        <f t="shared" si="116"/>
        <v>NA</v>
      </c>
      <c r="O170" s="169" t="str">
        <f t="shared" si="104"/>
        <v>No</v>
      </c>
      <c r="P170" s="233" t="str">
        <f t="shared" si="105"/>
        <v>NA</v>
      </c>
      <c r="Q170" s="120" t="str">
        <f t="shared" si="106"/>
        <v>NA</v>
      </c>
      <c r="R170" s="120" t="str">
        <f t="shared" si="107"/>
        <v>NA</v>
      </c>
      <c r="S170" s="120" t="str">
        <f t="shared" si="108"/>
        <v>NA</v>
      </c>
      <c r="T170" s="120" t="str">
        <f t="shared" si="109"/>
        <v>NA</v>
      </c>
      <c r="U170" s="120" t="str">
        <f t="shared" si="110"/>
        <v>NA</v>
      </c>
    </row>
    <row r="171" spans="1:21" x14ac:dyDescent="0.4">
      <c r="A171" s="210">
        <v>999</v>
      </c>
      <c r="B171" s="525" t="s">
        <v>71</v>
      </c>
      <c r="C171" s="89">
        <f t="shared" si="100"/>
        <v>0</v>
      </c>
      <c r="D171" s="7" t="str">
        <f t="shared" ref="D171:H171" si="117">IF($C171=0,"NA",(SUMPRODUCT(D205,$C205)+SUMPRODUCT(D239,$C239)+SUMPRODUCT(D273,$C273))/$C171)</f>
        <v>NA</v>
      </c>
      <c r="E171" s="7" t="str">
        <f t="shared" si="117"/>
        <v>NA</v>
      </c>
      <c r="F171" s="7" t="str">
        <f t="shared" si="117"/>
        <v>NA</v>
      </c>
      <c r="G171" s="7" t="str">
        <f t="shared" si="117"/>
        <v>NA</v>
      </c>
      <c r="H171" s="90" t="str">
        <f t="shared" si="117"/>
        <v>NA</v>
      </c>
      <c r="I171" s="89">
        <f t="shared" si="102"/>
        <v>0</v>
      </c>
      <c r="J171" s="7" t="str">
        <f t="shared" ref="J171:N171" si="118">IF($I171=0,"NA",(SUMPRODUCT(J205,$I205)+SUMPRODUCT(J239,$I239)+SUMPRODUCT(J273,$I273))/$I171)</f>
        <v>NA</v>
      </c>
      <c r="K171" s="7" t="str">
        <f t="shared" si="118"/>
        <v>NA</v>
      </c>
      <c r="L171" s="7" t="str">
        <f t="shared" si="118"/>
        <v>NA</v>
      </c>
      <c r="M171" s="7" t="str">
        <f t="shared" si="118"/>
        <v>NA</v>
      </c>
      <c r="N171" s="90" t="str">
        <f t="shared" si="118"/>
        <v>NA</v>
      </c>
      <c r="O171" s="169" t="str">
        <f t="shared" si="104"/>
        <v>No</v>
      </c>
      <c r="P171" s="233" t="str">
        <f t="shared" si="105"/>
        <v>NA</v>
      </c>
      <c r="Q171" s="120" t="str">
        <f t="shared" si="106"/>
        <v>NA</v>
      </c>
      <c r="R171" s="120" t="str">
        <f t="shared" si="107"/>
        <v>NA</v>
      </c>
      <c r="S171" s="120" t="str">
        <f t="shared" si="108"/>
        <v>NA</v>
      </c>
      <c r="T171" s="120" t="str">
        <f t="shared" si="109"/>
        <v>NA</v>
      </c>
      <c r="U171" s="120" t="str">
        <f t="shared" si="110"/>
        <v>NA</v>
      </c>
    </row>
    <row r="172" spans="1:21" ht="30" customHeight="1" x14ac:dyDescent="0.4">
      <c r="A172" s="572" t="s">
        <v>523</v>
      </c>
      <c r="B172" s="573"/>
      <c r="C172" s="158">
        <f>SUM(C148:C171)</f>
        <v>0</v>
      </c>
      <c r="D172" s="124" t="str">
        <f>IFERROR((SUMPRODUCT(D148:D171,C148:C171)/C172),"NA")</f>
        <v>NA</v>
      </c>
      <c r="E172" s="124" t="str">
        <f>IFERROR((SUMPRODUCT(E148:E171,C148:C171)/C172),"NA")</f>
        <v>NA</v>
      </c>
      <c r="F172" s="124" t="str">
        <f>IFERROR((SUMPRODUCT(F148:F171,C148:C171)/C172),"NA")</f>
        <v>NA</v>
      </c>
      <c r="G172" s="124" t="str">
        <f>IFERROR((SUMPRODUCT(G148:G171,C148:C171)/C172),"NA")</f>
        <v>NA</v>
      </c>
      <c r="H172" s="124" t="str">
        <f>IFERROR((SUMPRODUCT(H148:H171,C148:C171)/C172),"NA")</f>
        <v>NA</v>
      </c>
      <c r="I172" s="158">
        <f>SUM(I148:I171)</f>
        <v>0</v>
      </c>
      <c r="J172" s="124" t="str">
        <f>IFERROR((SUMPRODUCT(J148:J171,I148:I171)/I172),"NA")</f>
        <v>NA</v>
      </c>
      <c r="K172" s="124" t="str">
        <f>IFERROR((SUMPRODUCT(K148:K171,I148:I171)/I172),"NA")</f>
        <v>NA</v>
      </c>
      <c r="L172" s="124" t="str">
        <f>IFERROR((SUMPRODUCT(L148:L171,I148:I171)/I172),"NA")</f>
        <v>NA</v>
      </c>
      <c r="M172" s="124" t="str">
        <f>IFERROR((SUMPRODUCT(M148:M171,I148:I171)/I172),"NA")</f>
        <v>NA</v>
      </c>
      <c r="N172" s="198" t="str">
        <f>IFERROR((SUMPRODUCT(N148:N171,I148:I171)/I172),"NA")</f>
        <v>NA</v>
      </c>
      <c r="O172" s="434" t="s">
        <v>470</v>
      </c>
      <c r="P172" s="386" t="s">
        <v>470</v>
      </c>
      <c r="Q172" s="385" t="s">
        <v>470</v>
      </c>
      <c r="R172" s="385" t="s">
        <v>470</v>
      </c>
      <c r="S172" s="385" t="s">
        <v>470</v>
      </c>
      <c r="T172" s="385" t="s">
        <v>470</v>
      </c>
      <c r="U172" s="385" t="s">
        <v>470</v>
      </c>
    </row>
    <row r="173" spans="1:21" x14ac:dyDescent="0.4">
      <c r="A173" s="574" t="s">
        <v>519</v>
      </c>
      <c r="B173" s="575"/>
      <c r="C173" s="439" t="s">
        <v>470</v>
      </c>
      <c r="D173" s="440" t="str">
        <f>IF($C$172=0,"NA",(SUMPRODUCT(D207,$C$206)+SUMPRODUCT(D241,$C$240)+SUMPRODUCT(D275,$C$274))/$C$172)</f>
        <v>NA</v>
      </c>
      <c r="E173" s="440" t="str">
        <f>IF($C$172=0,"NA",(SUMPRODUCT(E207,$C$206)+SUMPRODUCT(E241,$C$240)+SUMPRODUCT(E275,$C$274))/$C$172)</f>
        <v>NA</v>
      </c>
      <c r="F173" s="440" t="str">
        <f>IF($C$172=0,"NA",(SUMPRODUCT(F207,$C$206)+SUMPRODUCT(F241,$C$240)+SUMPRODUCT(F275,$C$274))/$C$172)</f>
        <v>NA</v>
      </c>
      <c r="G173" s="440" t="str">
        <f>IF($C$172=0,"NA",(SUMPRODUCT(G207,$C$206)+SUMPRODUCT(G241,$C$240)+SUMPRODUCT(G275,$C$274))/$C$172)</f>
        <v>NA</v>
      </c>
      <c r="H173" s="440" t="str">
        <f>IF($C$172=0,"NA",(SUMPRODUCT(H207,$C$206)+SUMPRODUCT(H241,$C$240)+SUMPRODUCT(H275,$C$274))/$C$172)</f>
        <v>NA</v>
      </c>
      <c r="I173" s="439" t="s">
        <v>470</v>
      </c>
      <c r="J173" s="440" t="str">
        <f>IF($I$172=0,"NA",(SUMPRODUCT(J207,$I$206)+SUMPRODUCT(J241,$I$240)+SUMPRODUCT(J275,$I$274))/$I$172)</f>
        <v>NA</v>
      </c>
      <c r="K173" s="440" t="str">
        <f>IF($I$172=0,"NA",(SUMPRODUCT(K207,$I$206)+SUMPRODUCT(K241,$I$240)+SUMPRODUCT(K275,$I$274))/$I$172)</f>
        <v>NA</v>
      </c>
      <c r="L173" s="440" t="str">
        <f>IF($I$172=0,"NA",(SUMPRODUCT(L207,$I$206)+SUMPRODUCT(L241,$I$240)+SUMPRODUCT(L275,$I$274))/$I$172)</f>
        <v>NA</v>
      </c>
      <c r="M173" s="440" t="str">
        <f>IF($I$172=0,"NA",(SUMPRODUCT(M207,$I$206)+SUMPRODUCT(M241,$I$240)+SUMPRODUCT(M275,$I$274))/$I$172)</f>
        <v>NA</v>
      </c>
      <c r="N173" s="441" t="str">
        <f>IF($I$172=0,"NA",(SUMPRODUCT(N207,$I$206)+SUMPRODUCT(N241,$I$240)+SUMPRODUCT(N275,$I$274))/$I$172)</f>
        <v>NA</v>
      </c>
      <c r="O173" s="442" t="s">
        <v>470</v>
      </c>
      <c r="P173" s="443" t="s">
        <v>470</v>
      </c>
      <c r="Q173" s="444" t="s">
        <v>470</v>
      </c>
      <c r="R173" s="444" t="s">
        <v>470</v>
      </c>
      <c r="S173" s="444" t="s">
        <v>470</v>
      </c>
      <c r="T173" s="444" t="s">
        <v>470</v>
      </c>
      <c r="U173" s="444" t="s">
        <v>470</v>
      </c>
    </row>
    <row r="174" spans="1:21" x14ac:dyDescent="0.4">
      <c r="A174" s="558" t="s">
        <v>520</v>
      </c>
      <c r="B174" s="559"/>
      <c r="C174" s="174">
        <f>ABS(C172-C147)</f>
        <v>0</v>
      </c>
      <c r="D174" s="174" t="e">
        <f>ABS(D172-D147)</f>
        <v>#VALUE!</v>
      </c>
      <c r="E174" s="174" t="e">
        <f>ABS(E172-E147)</f>
        <v>#VALUE!</v>
      </c>
      <c r="F174" s="174" t="e">
        <f>ABS(F172-F147)</f>
        <v>#VALUE!</v>
      </c>
      <c r="G174" s="174" t="s">
        <v>470</v>
      </c>
      <c r="H174" s="225" t="s">
        <v>470</v>
      </c>
      <c r="I174" s="175">
        <f>ABS(I172-I147)</f>
        <v>0</v>
      </c>
      <c r="J174" s="174" t="e">
        <f>ABS(J172-J147)</f>
        <v>#VALUE!</v>
      </c>
      <c r="K174" s="174" t="e">
        <f>ABS(K172-K147)</f>
        <v>#VALUE!</v>
      </c>
      <c r="L174" s="174" t="e">
        <f>ABS(L172-L147)</f>
        <v>#VALUE!</v>
      </c>
      <c r="M174" s="174" t="s">
        <v>470</v>
      </c>
      <c r="N174" s="225" t="s">
        <v>470</v>
      </c>
      <c r="O174" s="435" t="s">
        <v>470</v>
      </c>
      <c r="P174" s="436" t="s">
        <v>470</v>
      </c>
      <c r="Q174" s="438" t="s">
        <v>470</v>
      </c>
      <c r="R174" s="438" t="s">
        <v>470</v>
      </c>
      <c r="S174" s="438" t="s">
        <v>470</v>
      </c>
      <c r="T174" s="438" t="s">
        <v>470</v>
      </c>
      <c r="U174" s="438" t="s">
        <v>470</v>
      </c>
    </row>
    <row r="175" spans="1:21" x14ac:dyDescent="0.4">
      <c r="A175" s="560" t="s">
        <v>521</v>
      </c>
      <c r="B175" s="561"/>
      <c r="C175" s="244" t="str">
        <f>IF(((ABS(C147-C172))&lt;10),"Yes","No")</f>
        <v>Yes</v>
      </c>
      <c r="D175" s="174" t="e">
        <f>IF(((ABS(D147-D172))&lt;10),"Yes","No")</f>
        <v>#VALUE!</v>
      </c>
      <c r="E175" s="174" t="e">
        <f>IF(((ABS(E147-E172))&lt;10),"Yes","No")</f>
        <v>#VALUE!</v>
      </c>
      <c r="F175" s="174" t="e">
        <f>IF(((ABS(F147-F172))&lt;10),"Yes","No")</f>
        <v>#VALUE!</v>
      </c>
      <c r="G175" s="174" t="s">
        <v>470</v>
      </c>
      <c r="H175" s="225" t="s">
        <v>470</v>
      </c>
      <c r="I175" s="242" t="str">
        <f>IF(((ABS(I147-I172))&lt;10),"Yes","No")</f>
        <v>Yes</v>
      </c>
      <c r="J175" s="174" t="e">
        <f>IF(((ABS(J147-J172))&lt;10),"Yes","No")</f>
        <v>#VALUE!</v>
      </c>
      <c r="K175" s="174" t="e">
        <f>IF(((ABS(K147-K172))&lt;10),"Yes","No")</f>
        <v>#VALUE!</v>
      </c>
      <c r="L175" s="174" t="e">
        <f>IF(((ABS(L147-L172))&lt;10),"Yes","No")</f>
        <v>#VALUE!</v>
      </c>
      <c r="M175" s="174" t="s">
        <v>470</v>
      </c>
      <c r="N175" s="225" t="s">
        <v>470</v>
      </c>
      <c r="O175" s="435" t="s">
        <v>470</v>
      </c>
      <c r="P175" s="436" t="s">
        <v>470</v>
      </c>
      <c r="Q175" s="438" t="s">
        <v>470</v>
      </c>
      <c r="R175" s="438" t="s">
        <v>470</v>
      </c>
      <c r="S175" s="438" t="s">
        <v>470</v>
      </c>
      <c r="T175" s="438" t="s">
        <v>470</v>
      </c>
      <c r="U175" s="438" t="s">
        <v>470</v>
      </c>
    </row>
    <row r="176" spans="1:21" x14ac:dyDescent="0.4">
      <c r="A176"/>
      <c r="B176"/>
      <c r="C176"/>
      <c r="D176"/>
      <c r="E176"/>
      <c r="F176"/>
      <c r="G176"/>
      <c r="H176"/>
      <c r="I176"/>
      <c r="J176"/>
      <c r="K176"/>
      <c r="L176"/>
      <c r="M176"/>
      <c r="N176"/>
      <c r="O176" s="2"/>
      <c r="P176"/>
      <c r="Q176"/>
      <c r="R176"/>
      <c r="S176"/>
      <c r="T176"/>
      <c r="U176"/>
    </row>
    <row r="177" spans="1:21" x14ac:dyDescent="0.4">
      <c r="A177"/>
      <c r="B177"/>
      <c r="C177"/>
      <c r="D177"/>
      <c r="E177"/>
      <c r="F177"/>
      <c r="G177"/>
      <c r="H177"/>
      <c r="I177"/>
      <c r="J177"/>
      <c r="K177"/>
      <c r="L177"/>
      <c r="M177"/>
      <c r="N177"/>
      <c r="O177" s="2"/>
      <c r="P177"/>
      <c r="Q177"/>
      <c r="R177"/>
      <c r="S177"/>
      <c r="T177"/>
      <c r="U177"/>
    </row>
    <row r="178" spans="1:21" x14ac:dyDescent="0.4">
      <c r="A178" s="3" t="s">
        <v>527</v>
      </c>
      <c r="B178"/>
      <c r="C178"/>
      <c r="D178"/>
      <c r="E178"/>
      <c r="F178"/>
      <c r="G178"/>
      <c r="H178"/>
      <c r="I178"/>
      <c r="J178"/>
      <c r="K178"/>
      <c r="L178"/>
      <c r="M178"/>
      <c r="N178"/>
      <c r="O178" s="2"/>
      <c r="P178"/>
      <c r="Q178"/>
      <c r="R178"/>
      <c r="S178"/>
      <c r="T178"/>
      <c r="U178"/>
    </row>
    <row r="179" spans="1:21" x14ac:dyDescent="0.4">
      <c r="A179" s="579" t="s">
        <v>66</v>
      </c>
      <c r="B179" s="581" t="s">
        <v>505</v>
      </c>
      <c r="C179" s="566">
        <v>2024</v>
      </c>
      <c r="D179" s="567"/>
      <c r="E179" s="567"/>
      <c r="F179" s="567"/>
      <c r="G179" s="567"/>
      <c r="H179" s="568"/>
      <c r="I179" s="569">
        <v>2025</v>
      </c>
      <c r="J179" s="570"/>
      <c r="K179" s="570"/>
      <c r="L179" s="570"/>
      <c r="M179" s="570"/>
      <c r="N179" s="571"/>
      <c r="O179" s="576" t="s">
        <v>644</v>
      </c>
      <c r="P179" s="577"/>
      <c r="Q179" s="577"/>
      <c r="R179" s="577"/>
      <c r="S179" s="577"/>
      <c r="T179" s="577"/>
      <c r="U179" s="578"/>
    </row>
    <row r="180" spans="1:21" ht="50.4" x14ac:dyDescent="0.4">
      <c r="A180" s="580"/>
      <c r="B180" s="582"/>
      <c r="C180" s="207" t="s">
        <v>328</v>
      </c>
      <c r="D180" s="117" t="s">
        <v>507</v>
      </c>
      <c r="E180" s="117" t="s">
        <v>508</v>
      </c>
      <c r="F180" s="117" t="s">
        <v>509</v>
      </c>
      <c r="G180" s="117" t="s">
        <v>510</v>
      </c>
      <c r="H180" s="208" t="s">
        <v>511</v>
      </c>
      <c r="I180" s="203" t="s">
        <v>328</v>
      </c>
      <c r="J180" s="118" t="s">
        <v>507</v>
      </c>
      <c r="K180" s="118" t="s">
        <v>508</v>
      </c>
      <c r="L180" s="118" t="s">
        <v>509</v>
      </c>
      <c r="M180" s="118" t="s">
        <v>510</v>
      </c>
      <c r="N180" s="204" t="s">
        <v>511</v>
      </c>
      <c r="O180" s="410" t="s">
        <v>635</v>
      </c>
      <c r="P180" s="230" t="s">
        <v>512</v>
      </c>
      <c r="Q180" s="71" t="s">
        <v>513</v>
      </c>
      <c r="R180" s="71" t="s">
        <v>514</v>
      </c>
      <c r="S180" s="71" t="s">
        <v>515</v>
      </c>
      <c r="T180" s="71" t="s">
        <v>516</v>
      </c>
      <c r="U180" s="209" t="s">
        <v>517</v>
      </c>
    </row>
    <row r="181" spans="1:21" x14ac:dyDescent="0.4">
      <c r="A181" s="211">
        <v>100</v>
      </c>
      <c r="B181" s="525" t="s">
        <v>67</v>
      </c>
      <c r="C181" s="205">
        <f>SUMIFS(TM[[#All],[Member Months]],TM[[#All],[Reporting Year]],2024,TM[[#All],[Insurance Category Code]],1,TM[[#All],[Large Provider Entity Code]],A181)</f>
        <v>0</v>
      </c>
      <c r="D181" s="119" t="str">
        <f>IFERROR(SUMIFS(TM[[#All],[Total Non-Truncated Claims Spending]],TM[[#All],[Reporting Year]],2024,TM[[#All],[Insurance Category Code]],1,TM[[#All],[Large Provider Entity Code]],A181)/C181,"NA")</f>
        <v>NA</v>
      </c>
      <c r="E181" s="119" t="str">
        <f>IFERROR(SUMIFS(TM[[#All],[Total Non-Claims Spending]],TM[[#All],[Reporting Year]],2024,TM[[#All],[Insurance Category Code]],1,TM[[#All],[Large Provider Entity Code]],A181)/C181,"NA")</f>
        <v>NA</v>
      </c>
      <c r="F181" s="119" t="str">
        <f>IFERROR(SUMIFS(TM[[#All],[Total Non-Truncated Claims and Non-Claims Spending]],TM[[#All],[Reporting Year]],2024,TM[[#All],[Insurance Category Code]],1,TM[[#All],[Large Provider Entity Code]],A181)/C181,"NA")</f>
        <v>NA</v>
      </c>
      <c r="G181" s="119" t="str">
        <f>IFERROR(SUMIFS(TM[[#All],[Total Truncated Claims Spending]],TM[[#All],[Reporting Year]],2024,TM[[#All],[Insurance Category Code]],1,TM[[#All],[Large Provider Entity Code]],A181)/C181,"NA")</f>
        <v>NA</v>
      </c>
      <c r="H181" s="206" t="str">
        <f>IFERROR(SUMIFS(TM[[#All],[Total Truncated Expenses]],TM[[#All],[Reporting Year]],2024,TM[[#All],[Insurance Category Code]],1,TM[[#All],[Large Provider Entity Code]],A181)/C181,"NA")</f>
        <v>NA</v>
      </c>
      <c r="I181" s="205">
        <f>SUMIFS(TM[[#All],[Member Months]],TM[[#All],[Reporting Year]],2025,TM[[#All],[Insurance Category Code]],1,TM[[#All],[Large Provider Entity Code]],A181)</f>
        <v>0</v>
      </c>
      <c r="J181" s="119" t="str">
        <f>IFERROR(SUMIFS(TM[[#All],[Total Non-Truncated Claims Spending]],TM[[#All],[Reporting Year]],2025,TM[[#All],[Insurance Category Code]],1,TM[[#All],[Large Provider Entity Code]],A181)/I181,"NA")</f>
        <v>NA</v>
      </c>
      <c r="K181" s="119" t="str">
        <f>IFERROR(SUMIFS(TM[[#All],[Total Non-Claims Spending]],TM[[#All],[Reporting Year]],2025,TM[[#All],[Insurance Category Code]],1,TM[[#All],[Large Provider Entity Code]],A181)/I181,"NA")</f>
        <v>NA</v>
      </c>
      <c r="L181" s="119" t="str">
        <f>IFERROR(SUMIFS(TM[[#All],[Total Non-Truncated Claims and Non-Claims Spending]],TM[[#All],[Reporting Year]],2025,TM[[#All],[Insurance Category Code]],1,TM[[#All],[Large Provider Entity Code]],A181)/I181,"NA")</f>
        <v>NA</v>
      </c>
      <c r="M181" s="119" t="str">
        <f>IFERROR(SUMIFS(TM[[#All],[Total Truncated Claims Spending]],TM[[#All],[Reporting Year]],2025,TM[[#All],[Insurance Category Code]],1,TM[[#All],[Large Provider Entity Code]],A181)/I181,"NA")</f>
        <v>NA</v>
      </c>
      <c r="N181" s="206" t="str">
        <f>IFERROR(SUMIFS(TM[[#All],[Total Truncated Expenses]],TM[[#All],[Reporting Year]],2025,TM[[#All],[Insurance Category Code]],1,TM[[#All],[Large Provider Entity Code]],A181)/I181,"NA")</f>
        <v>NA</v>
      </c>
      <c r="O181" s="169" t="str">
        <f>IFERROR(IF(AND(C181&gt;12000,I181&gt;12000),"Yes","No"),"NA")</f>
        <v>No</v>
      </c>
      <c r="P181" s="233" t="str">
        <f t="shared" ref="P181:U205" si="119">IFERROR((I181/C181-1),"NA")</f>
        <v>NA</v>
      </c>
      <c r="Q181" s="120" t="str">
        <f t="shared" si="119"/>
        <v>NA</v>
      </c>
      <c r="R181" s="120" t="str">
        <f t="shared" si="119"/>
        <v>NA</v>
      </c>
      <c r="S181" s="120" t="str">
        <f t="shared" si="119"/>
        <v>NA</v>
      </c>
      <c r="T181" s="120" t="str">
        <f t="shared" si="119"/>
        <v>NA</v>
      </c>
      <c r="U181" s="120" t="str">
        <f t="shared" si="119"/>
        <v>NA</v>
      </c>
    </row>
    <row r="182" spans="1:21" x14ac:dyDescent="0.4">
      <c r="A182" s="210">
        <v>101</v>
      </c>
      <c r="B182" s="525" t="s">
        <v>562</v>
      </c>
      <c r="C182" s="205">
        <f>SUMIFS(TM[[#All],[Member Months]],TM[[#All],[Reporting Year]],2024,TM[[#All],[Insurance Category Code]],1,TM[[#All],[Large Provider Entity Code]],A182)</f>
        <v>0</v>
      </c>
      <c r="D182" s="119" t="str">
        <f>IFERROR(SUMIFS(TM[[#All],[Total Non-Truncated Claims Spending]],TM[[#All],[Reporting Year]],2024,TM[[#All],[Insurance Category Code]],1,TM[[#All],[Large Provider Entity Code]],A182)/C182,"NA")</f>
        <v>NA</v>
      </c>
      <c r="E182" s="119" t="str">
        <f>IFERROR(SUMIFS(TM[[#All],[Total Non-Claims Spending]],TM[[#All],[Reporting Year]],2024,TM[[#All],[Insurance Category Code]],1,TM[[#All],[Large Provider Entity Code]],A182)/C182,"NA")</f>
        <v>NA</v>
      </c>
      <c r="F182" s="119" t="str">
        <f>IFERROR(SUMIFS(TM[[#All],[Total Non-Truncated Claims and Non-Claims Spending]],TM[[#All],[Reporting Year]],2024,TM[[#All],[Insurance Category Code]],1,TM[[#All],[Large Provider Entity Code]],A182)/C182,"NA")</f>
        <v>NA</v>
      </c>
      <c r="G182" s="119" t="str">
        <f>IFERROR(SUMIFS(TM[[#All],[Total Truncated Claims Spending]],TM[[#All],[Reporting Year]],2024,TM[[#All],[Insurance Category Code]],1,TM[[#All],[Large Provider Entity Code]],A182)/C182,"NA")</f>
        <v>NA</v>
      </c>
      <c r="H182" s="206" t="str">
        <f>IFERROR(SUMIFS(TM[[#All],[Total Truncated Expenses]],TM[[#All],[Reporting Year]],2024,TM[[#All],[Insurance Category Code]],1,TM[[#All],[Large Provider Entity Code]],A182)/C182,"NA")</f>
        <v>NA</v>
      </c>
      <c r="I182" s="205">
        <f>SUMIFS(TM[[#All],[Member Months]],TM[[#All],[Reporting Year]],2025,TM[[#All],[Insurance Category Code]],1,TM[[#All],[Large Provider Entity Code]],A182)</f>
        <v>0</v>
      </c>
      <c r="J182" s="119" t="str">
        <f>IFERROR(SUMIFS(TM[[#All],[Total Non-Truncated Claims Spending]],TM[[#All],[Reporting Year]],2025,TM[[#All],[Insurance Category Code]],1,TM[[#All],[Large Provider Entity Code]],A182)/I182,"NA")</f>
        <v>NA</v>
      </c>
      <c r="K182" s="119" t="str">
        <f>IFERROR(SUMIFS(TM[[#All],[Total Non-Claims Spending]],TM[[#All],[Reporting Year]],2025,TM[[#All],[Insurance Category Code]],1,TM[[#All],[Large Provider Entity Code]],A182)/I182,"NA")</f>
        <v>NA</v>
      </c>
      <c r="L182" s="119" t="str">
        <f>IFERROR(SUMIFS(TM[[#All],[Total Non-Truncated Claims and Non-Claims Spending]],TM[[#All],[Reporting Year]],2025,TM[[#All],[Insurance Category Code]],1,TM[[#All],[Large Provider Entity Code]],A182)/I182,"NA")</f>
        <v>NA</v>
      </c>
      <c r="M182" s="119" t="str">
        <f>IFERROR(SUMIFS(TM[[#All],[Total Truncated Claims Spending]],TM[[#All],[Reporting Year]],2025,TM[[#All],[Insurance Category Code]],1,TM[[#All],[Large Provider Entity Code]],A182)/I182,"NA")</f>
        <v>NA</v>
      </c>
      <c r="N182" s="206" t="str">
        <f>IFERROR(SUMIFS(TM[[#All],[Total Truncated Expenses]],TM[[#All],[Reporting Year]],2025,TM[[#All],[Insurance Category Code]],1,TM[[#All],[Large Provider Entity Code]],A182)/I182,"NA")</f>
        <v>NA</v>
      </c>
      <c r="O182" s="169" t="str">
        <f t="shared" ref="O182:O200" si="120">IFERROR(IF(AND(C182&gt;12000,I182&gt;12000),"Yes","No"),"NA")</f>
        <v>No</v>
      </c>
      <c r="P182" s="233" t="str">
        <f t="shared" si="119"/>
        <v>NA</v>
      </c>
      <c r="Q182" s="120" t="str">
        <f t="shared" si="119"/>
        <v>NA</v>
      </c>
      <c r="R182" s="120" t="str">
        <f t="shared" si="119"/>
        <v>NA</v>
      </c>
      <c r="S182" s="120" t="str">
        <f t="shared" si="119"/>
        <v>NA</v>
      </c>
      <c r="T182" s="120" t="str">
        <f t="shared" si="119"/>
        <v>NA</v>
      </c>
      <c r="U182" s="120" t="str">
        <f t="shared" si="119"/>
        <v>NA</v>
      </c>
    </row>
    <row r="183" spans="1:21" x14ac:dyDescent="0.4">
      <c r="A183" s="210">
        <v>102</v>
      </c>
      <c r="B183" s="525" t="s">
        <v>607</v>
      </c>
      <c r="C183" s="205">
        <f>SUMIFS(TM[[#All],[Member Months]],TM[[#All],[Reporting Year]],2024,TM[[#All],[Insurance Category Code]],1,TM[[#All],[Large Provider Entity Code]],A183)</f>
        <v>0</v>
      </c>
      <c r="D183" s="119" t="str">
        <f>IFERROR(SUMIFS(TM[[#All],[Total Non-Truncated Claims Spending]],TM[[#All],[Reporting Year]],2024,TM[[#All],[Insurance Category Code]],1,TM[[#All],[Large Provider Entity Code]],A183)/C183,"NA")</f>
        <v>NA</v>
      </c>
      <c r="E183" s="119" t="str">
        <f>IFERROR(SUMIFS(TM[[#All],[Total Non-Claims Spending]],TM[[#All],[Reporting Year]],2024,TM[[#All],[Insurance Category Code]],1,TM[[#All],[Large Provider Entity Code]],A183)/C183,"NA")</f>
        <v>NA</v>
      </c>
      <c r="F183" s="119" t="str">
        <f>IFERROR(SUMIFS(TM[[#All],[Total Non-Truncated Claims and Non-Claims Spending]],TM[[#All],[Reporting Year]],2024,TM[[#All],[Insurance Category Code]],1,TM[[#All],[Large Provider Entity Code]],A183)/C183,"NA")</f>
        <v>NA</v>
      </c>
      <c r="G183" s="119" t="str">
        <f>IFERROR(SUMIFS(TM[[#All],[Total Truncated Claims Spending]],TM[[#All],[Reporting Year]],2024,TM[[#All],[Insurance Category Code]],1,TM[[#All],[Large Provider Entity Code]],A183)/C183,"NA")</f>
        <v>NA</v>
      </c>
      <c r="H183" s="206" t="str">
        <f>IFERROR(SUMIFS(TM[[#All],[Total Truncated Expenses]],TM[[#All],[Reporting Year]],2024,TM[[#All],[Insurance Category Code]],1,TM[[#All],[Large Provider Entity Code]],A183)/C183,"NA")</f>
        <v>NA</v>
      </c>
      <c r="I183" s="205">
        <f>SUMIFS(TM[[#All],[Member Months]],TM[[#All],[Reporting Year]],2025,TM[[#All],[Insurance Category Code]],1,TM[[#All],[Large Provider Entity Code]],A183)</f>
        <v>0</v>
      </c>
      <c r="J183" s="119" t="str">
        <f>IFERROR(SUMIFS(TM[[#All],[Total Non-Truncated Claims Spending]],TM[[#All],[Reporting Year]],2025,TM[[#All],[Insurance Category Code]],1,TM[[#All],[Large Provider Entity Code]],A183)/I183,"NA")</f>
        <v>NA</v>
      </c>
      <c r="K183" s="119" t="str">
        <f>IFERROR(SUMIFS(TM[[#All],[Total Non-Claims Spending]],TM[[#All],[Reporting Year]],2025,TM[[#All],[Insurance Category Code]],1,TM[[#All],[Large Provider Entity Code]],A183)/I183,"NA")</f>
        <v>NA</v>
      </c>
      <c r="L183" s="119" t="str">
        <f>IFERROR(SUMIFS(TM[[#All],[Total Non-Truncated Claims and Non-Claims Spending]],TM[[#All],[Reporting Year]],2025,TM[[#All],[Insurance Category Code]],1,TM[[#All],[Large Provider Entity Code]],A183)/I183,"NA")</f>
        <v>NA</v>
      </c>
      <c r="M183" s="119" t="str">
        <f>IFERROR(SUMIFS(TM[[#All],[Total Truncated Claims Spending]],TM[[#All],[Reporting Year]],2025,TM[[#All],[Insurance Category Code]],1,TM[[#All],[Large Provider Entity Code]],A183)/I183,"NA")</f>
        <v>NA</v>
      </c>
      <c r="N183" s="206" t="str">
        <f>IFERROR(SUMIFS(TM[[#All],[Total Truncated Expenses]],TM[[#All],[Reporting Year]],2025,TM[[#All],[Insurance Category Code]],1,TM[[#All],[Large Provider Entity Code]],A183)/I183,"NA")</f>
        <v>NA</v>
      </c>
      <c r="O183" s="169" t="str">
        <f t="shared" si="120"/>
        <v>No</v>
      </c>
      <c r="P183" s="233" t="str">
        <f t="shared" si="119"/>
        <v>NA</v>
      </c>
      <c r="Q183" s="120" t="str">
        <f t="shared" si="119"/>
        <v>NA</v>
      </c>
      <c r="R183" s="120" t="str">
        <f t="shared" si="119"/>
        <v>NA</v>
      </c>
      <c r="S183" s="120" t="str">
        <f t="shared" si="119"/>
        <v>NA</v>
      </c>
      <c r="T183" s="120" t="str">
        <f t="shared" si="119"/>
        <v>NA</v>
      </c>
      <c r="U183" s="120" t="str">
        <f t="shared" si="119"/>
        <v>NA</v>
      </c>
    </row>
    <row r="184" spans="1:21" x14ac:dyDescent="0.4">
      <c r="A184" s="210">
        <v>104</v>
      </c>
      <c r="B184" s="525" t="s">
        <v>608</v>
      </c>
      <c r="C184" s="205">
        <f>SUMIFS(TM[[#All],[Member Months]],TM[[#All],[Reporting Year]],2024,TM[[#All],[Insurance Category Code]],1,TM[[#All],[Large Provider Entity Code]],A184)</f>
        <v>0</v>
      </c>
      <c r="D184" s="119" t="str">
        <f>IFERROR(SUMIFS(TM[[#All],[Total Non-Truncated Claims Spending]],TM[[#All],[Reporting Year]],2024,TM[[#All],[Insurance Category Code]],1,TM[[#All],[Large Provider Entity Code]],A184)/C184,"NA")</f>
        <v>NA</v>
      </c>
      <c r="E184" s="119" t="str">
        <f>IFERROR(SUMIFS(TM[[#All],[Total Non-Claims Spending]],TM[[#All],[Reporting Year]],2024,TM[[#All],[Insurance Category Code]],1,TM[[#All],[Large Provider Entity Code]],A184)/C184,"NA")</f>
        <v>NA</v>
      </c>
      <c r="F184" s="119" t="str">
        <f>IFERROR(SUMIFS(TM[[#All],[Total Non-Truncated Claims and Non-Claims Spending]],TM[[#All],[Reporting Year]],2024,TM[[#All],[Insurance Category Code]],1,TM[[#All],[Large Provider Entity Code]],A184)/C184,"NA")</f>
        <v>NA</v>
      </c>
      <c r="G184" s="119" t="str">
        <f>IFERROR(SUMIFS(TM[[#All],[Total Truncated Claims Spending]],TM[[#All],[Reporting Year]],2024,TM[[#All],[Insurance Category Code]],1,TM[[#All],[Large Provider Entity Code]],A184)/C184,"NA")</f>
        <v>NA</v>
      </c>
      <c r="H184" s="206" t="str">
        <f>IFERROR(SUMIFS(TM[[#All],[Total Truncated Expenses]],TM[[#All],[Reporting Year]],2024,TM[[#All],[Insurance Category Code]],1,TM[[#All],[Large Provider Entity Code]],A184)/C184,"NA")</f>
        <v>NA</v>
      </c>
      <c r="I184" s="205">
        <f>SUMIFS(TM[[#All],[Member Months]],TM[[#All],[Reporting Year]],2025,TM[[#All],[Insurance Category Code]],1,TM[[#All],[Large Provider Entity Code]],A184)</f>
        <v>0</v>
      </c>
      <c r="J184" s="119" t="str">
        <f>IFERROR(SUMIFS(TM[[#All],[Total Non-Truncated Claims Spending]],TM[[#All],[Reporting Year]],2025,TM[[#All],[Insurance Category Code]],1,TM[[#All],[Large Provider Entity Code]],A184)/I184,"NA")</f>
        <v>NA</v>
      </c>
      <c r="K184" s="119" t="str">
        <f>IFERROR(SUMIFS(TM[[#All],[Total Non-Claims Spending]],TM[[#All],[Reporting Year]],2025,TM[[#All],[Insurance Category Code]],1,TM[[#All],[Large Provider Entity Code]],A184)/I184,"NA")</f>
        <v>NA</v>
      </c>
      <c r="L184" s="119" t="str">
        <f>IFERROR(SUMIFS(TM[[#All],[Total Non-Truncated Claims and Non-Claims Spending]],TM[[#All],[Reporting Year]],2025,TM[[#All],[Insurance Category Code]],1,TM[[#All],[Large Provider Entity Code]],A184)/I184,"NA")</f>
        <v>NA</v>
      </c>
      <c r="M184" s="119" t="str">
        <f>IFERROR(SUMIFS(TM[[#All],[Total Truncated Claims Spending]],TM[[#All],[Reporting Year]],2025,TM[[#All],[Insurance Category Code]],1,TM[[#All],[Large Provider Entity Code]],A184)/I184,"NA")</f>
        <v>NA</v>
      </c>
      <c r="N184" s="206" t="str">
        <f>IFERROR(SUMIFS(TM[[#All],[Total Truncated Expenses]],TM[[#All],[Reporting Year]],2025,TM[[#All],[Insurance Category Code]],1,TM[[#All],[Large Provider Entity Code]],A184)/I184,"NA")</f>
        <v>NA</v>
      </c>
      <c r="O184" s="169" t="str">
        <f t="shared" si="120"/>
        <v>No</v>
      </c>
      <c r="P184" s="233" t="str">
        <f t="shared" si="119"/>
        <v>NA</v>
      </c>
      <c r="Q184" s="120" t="str">
        <f t="shared" si="119"/>
        <v>NA</v>
      </c>
      <c r="R184" s="120" t="str">
        <f t="shared" si="119"/>
        <v>NA</v>
      </c>
      <c r="S184" s="120" t="str">
        <f t="shared" si="119"/>
        <v>NA</v>
      </c>
      <c r="T184" s="120" t="str">
        <f t="shared" si="119"/>
        <v>NA</v>
      </c>
      <c r="U184" s="120" t="str">
        <f t="shared" si="119"/>
        <v>NA</v>
      </c>
    </row>
    <row r="185" spans="1:21" ht="33.6" x14ac:dyDescent="0.4">
      <c r="A185" s="210">
        <v>105</v>
      </c>
      <c r="B185" s="525" t="s">
        <v>609</v>
      </c>
      <c r="C185" s="205">
        <f>SUMIFS(TM[[#All],[Member Months]],TM[[#All],[Reporting Year]],2024,TM[[#All],[Insurance Category Code]],1,TM[[#All],[Large Provider Entity Code]],A185)</f>
        <v>0</v>
      </c>
      <c r="D185" s="119" t="str">
        <f>IFERROR(SUMIFS(TM[[#All],[Total Non-Truncated Claims Spending]],TM[[#All],[Reporting Year]],2024,TM[[#All],[Insurance Category Code]],1,TM[[#All],[Large Provider Entity Code]],A185)/C185,"NA")</f>
        <v>NA</v>
      </c>
      <c r="E185" s="119" t="str">
        <f>IFERROR(SUMIFS(TM[[#All],[Total Non-Claims Spending]],TM[[#All],[Reporting Year]],2024,TM[[#All],[Insurance Category Code]],1,TM[[#All],[Large Provider Entity Code]],A185)/C185,"NA")</f>
        <v>NA</v>
      </c>
      <c r="F185" s="119" t="str">
        <f>IFERROR(SUMIFS(TM[[#All],[Total Non-Truncated Claims and Non-Claims Spending]],TM[[#All],[Reporting Year]],2024,TM[[#All],[Insurance Category Code]],1,TM[[#All],[Large Provider Entity Code]],A185)/C185,"NA")</f>
        <v>NA</v>
      </c>
      <c r="G185" s="119" t="str">
        <f>IFERROR(SUMIFS(TM[[#All],[Total Truncated Claims Spending]],TM[[#All],[Reporting Year]],2024,TM[[#All],[Insurance Category Code]],1,TM[[#All],[Large Provider Entity Code]],A185)/C185,"NA")</f>
        <v>NA</v>
      </c>
      <c r="H185" s="206" t="str">
        <f>IFERROR(SUMIFS(TM[[#All],[Total Truncated Expenses]],TM[[#All],[Reporting Year]],2024,TM[[#All],[Insurance Category Code]],1,TM[[#All],[Large Provider Entity Code]],A185)/C185,"NA")</f>
        <v>NA</v>
      </c>
      <c r="I185" s="205">
        <f>SUMIFS(TM[[#All],[Member Months]],TM[[#All],[Reporting Year]],2025,TM[[#All],[Insurance Category Code]],1,TM[[#All],[Large Provider Entity Code]],A185)</f>
        <v>0</v>
      </c>
      <c r="J185" s="119" t="str">
        <f>IFERROR(SUMIFS(TM[[#All],[Total Non-Truncated Claims Spending]],TM[[#All],[Reporting Year]],2025,TM[[#All],[Insurance Category Code]],1,TM[[#All],[Large Provider Entity Code]],A185)/I185,"NA")</f>
        <v>NA</v>
      </c>
      <c r="K185" s="119" t="str">
        <f>IFERROR(SUMIFS(TM[[#All],[Total Non-Claims Spending]],TM[[#All],[Reporting Year]],2025,TM[[#All],[Insurance Category Code]],1,TM[[#All],[Large Provider Entity Code]],A185)/I185,"NA")</f>
        <v>NA</v>
      </c>
      <c r="L185" s="119" t="str">
        <f>IFERROR(SUMIFS(TM[[#All],[Total Non-Truncated Claims and Non-Claims Spending]],TM[[#All],[Reporting Year]],2025,TM[[#All],[Insurance Category Code]],1,TM[[#All],[Large Provider Entity Code]],A185)/I185,"NA")</f>
        <v>NA</v>
      </c>
      <c r="M185" s="119" t="str">
        <f>IFERROR(SUMIFS(TM[[#All],[Total Truncated Claims Spending]],TM[[#All],[Reporting Year]],2025,TM[[#All],[Insurance Category Code]],1,TM[[#All],[Large Provider Entity Code]],A185)/I185,"NA")</f>
        <v>NA</v>
      </c>
      <c r="N185" s="206" t="str">
        <f>IFERROR(SUMIFS(TM[[#All],[Total Truncated Expenses]],TM[[#All],[Reporting Year]],2025,TM[[#All],[Insurance Category Code]],1,TM[[#All],[Large Provider Entity Code]],A185)/I185,"NA")</f>
        <v>NA</v>
      </c>
      <c r="O185" s="169" t="str">
        <f t="shared" si="120"/>
        <v>No</v>
      </c>
      <c r="P185" s="233" t="str">
        <f t="shared" si="119"/>
        <v>NA</v>
      </c>
      <c r="Q185" s="120" t="str">
        <f t="shared" si="119"/>
        <v>NA</v>
      </c>
      <c r="R185" s="120" t="str">
        <f t="shared" si="119"/>
        <v>NA</v>
      </c>
      <c r="S185" s="120" t="str">
        <f t="shared" si="119"/>
        <v>NA</v>
      </c>
      <c r="T185" s="120" t="str">
        <f t="shared" si="119"/>
        <v>NA</v>
      </c>
      <c r="U185" s="120" t="str">
        <f t="shared" si="119"/>
        <v>NA</v>
      </c>
    </row>
    <row r="186" spans="1:21" x14ac:dyDescent="0.4">
      <c r="A186" s="210">
        <v>106</v>
      </c>
      <c r="B186" s="525" t="s">
        <v>613</v>
      </c>
      <c r="C186" s="205">
        <f>SUMIFS(TM[[#All],[Member Months]],TM[[#All],[Reporting Year]],2024,TM[[#All],[Insurance Category Code]],1,TM[[#All],[Large Provider Entity Code]],A186)</f>
        <v>0</v>
      </c>
      <c r="D186" s="119" t="str">
        <f>IFERROR(SUMIFS(TM[[#All],[Total Non-Truncated Claims Spending]],TM[[#All],[Reporting Year]],2024,TM[[#All],[Insurance Category Code]],1,TM[[#All],[Large Provider Entity Code]],A186)/C186,"NA")</f>
        <v>NA</v>
      </c>
      <c r="E186" s="119" t="str">
        <f>IFERROR(SUMIFS(TM[[#All],[Total Non-Claims Spending]],TM[[#All],[Reporting Year]],2024,TM[[#All],[Insurance Category Code]],1,TM[[#All],[Large Provider Entity Code]],A186)/C186,"NA")</f>
        <v>NA</v>
      </c>
      <c r="F186" s="119" t="str">
        <f>IFERROR(SUMIFS(TM[[#All],[Total Non-Truncated Claims and Non-Claims Spending]],TM[[#All],[Reporting Year]],2024,TM[[#All],[Insurance Category Code]],1,TM[[#All],[Large Provider Entity Code]],A186)/C186,"NA")</f>
        <v>NA</v>
      </c>
      <c r="G186" s="119" t="str">
        <f>IFERROR(SUMIFS(TM[[#All],[Total Truncated Claims Spending]],TM[[#All],[Reporting Year]],2024,TM[[#All],[Insurance Category Code]],1,TM[[#All],[Large Provider Entity Code]],A186)/C186,"NA")</f>
        <v>NA</v>
      </c>
      <c r="H186" s="206" t="str">
        <f>IFERROR(SUMIFS(TM[[#All],[Total Truncated Expenses]],TM[[#All],[Reporting Year]],2024,TM[[#All],[Insurance Category Code]],1,TM[[#All],[Large Provider Entity Code]],A186)/C186,"NA")</f>
        <v>NA</v>
      </c>
      <c r="I186" s="205">
        <f>SUMIFS(TM[[#All],[Member Months]],TM[[#All],[Reporting Year]],2025,TM[[#All],[Insurance Category Code]],1,TM[[#All],[Large Provider Entity Code]],A186)</f>
        <v>0</v>
      </c>
      <c r="J186" s="119" t="str">
        <f>IFERROR(SUMIFS(TM[[#All],[Total Non-Truncated Claims Spending]],TM[[#All],[Reporting Year]],2025,TM[[#All],[Insurance Category Code]],1,TM[[#All],[Large Provider Entity Code]],A186)/I186,"NA")</f>
        <v>NA</v>
      </c>
      <c r="K186" s="119" t="str">
        <f>IFERROR(SUMIFS(TM[[#All],[Total Non-Claims Spending]],TM[[#All],[Reporting Year]],2025,TM[[#All],[Insurance Category Code]],1,TM[[#All],[Large Provider Entity Code]],A186)/I186,"NA")</f>
        <v>NA</v>
      </c>
      <c r="L186" s="119" t="str">
        <f>IFERROR(SUMIFS(TM[[#All],[Total Non-Truncated Claims and Non-Claims Spending]],TM[[#All],[Reporting Year]],2025,TM[[#All],[Insurance Category Code]],1,TM[[#All],[Large Provider Entity Code]],A186)/I186,"NA")</f>
        <v>NA</v>
      </c>
      <c r="M186" s="119" t="str">
        <f>IFERROR(SUMIFS(TM[[#All],[Total Truncated Claims Spending]],TM[[#All],[Reporting Year]],2025,TM[[#All],[Insurance Category Code]],1,TM[[#All],[Large Provider Entity Code]],A186)/I186,"NA")</f>
        <v>NA</v>
      </c>
      <c r="N186" s="206" t="str">
        <f>IFERROR(SUMIFS(TM[[#All],[Total Truncated Expenses]],TM[[#All],[Reporting Year]],2025,TM[[#All],[Insurance Category Code]],1,TM[[#All],[Large Provider Entity Code]],A186)/I186,"NA")</f>
        <v>NA</v>
      </c>
      <c r="O186" s="169" t="str">
        <f t="shared" si="120"/>
        <v>No</v>
      </c>
      <c r="P186" s="233" t="str">
        <f t="shared" si="119"/>
        <v>NA</v>
      </c>
      <c r="Q186" s="120" t="str">
        <f t="shared" si="119"/>
        <v>NA</v>
      </c>
      <c r="R186" s="120" t="str">
        <f t="shared" si="119"/>
        <v>NA</v>
      </c>
      <c r="S186" s="120" t="str">
        <f t="shared" si="119"/>
        <v>NA</v>
      </c>
      <c r="T186" s="120" t="str">
        <f t="shared" si="119"/>
        <v>NA</v>
      </c>
      <c r="U186" s="120" t="str">
        <f t="shared" si="119"/>
        <v>NA</v>
      </c>
    </row>
    <row r="187" spans="1:21" x14ac:dyDescent="0.4">
      <c r="A187" s="210">
        <v>107</v>
      </c>
      <c r="B187" s="526" t="s">
        <v>610</v>
      </c>
      <c r="C187" s="205">
        <f>SUMIFS(TM[[#All],[Member Months]],TM[[#All],[Reporting Year]],2024,TM[[#All],[Insurance Category Code]],1,TM[[#All],[Large Provider Entity Code]],A187)</f>
        <v>0</v>
      </c>
      <c r="D187" s="119" t="str">
        <f>IFERROR(SUMIFS(TM[[#All],[Total Non-Truncated Claims Spending]],TM[[#All],[Reporting Year]],2024,TM[[#All],[Insurance Category Code]],1,TM[[#All],[Large Provider Entity Code]],A187)/C187,"NA")</f>
        <v>NA</v>
      </c>
      <c r="E187" s="119" t="str">
        <f>IFERROR(SUMIFS(TM[[#All],[Total Non-Claims Spending]],TM[[#All],[Reporting Year]],2024,TM[[#All],[Insurance Category Code]],1,TM[[#All],[Large Provider Entity Code]],A187)/C187,"NA")</f>
        <v>NA</v>
      </c>
      <c r="F187" s="119" t="str">
        <f>IFERROR(SUMIFS(TM[[#All],[Total Non-Truncated Claims and Non-Claims Spending]],TM[[#All],[Reporting Year]],2024,TM[[#All],[Insurance Category Code]],1,TM[[#All],[Large Provider Entity Code]],A187)/C187,"NA")</f>
        <v>NA</v>
      </c>
      <c r="G187" s="119" t="str">
        <f>IFERROR(SUMIFS(TM[[#All],[Total Truncated Claims Spending]],TM[[#All],[Reporting Year]],2024,TM[[#All],[Insurance Category Code]],1,TM[[#All],[Large Provider Entity Code]],A187)/C187,"NA")</f>
        <v>NA</v>
      </c>
      <c r="H187" s="206" t="str">
        <f>IFERROR(SUMIFS(TM[[#All],[Total Truncated Expenses]],TM[[#All],[Reporting Year]],2024,TM[[#All],[Insurance Category Code]],1,TM[[#All],[Large Provider Entity Code]],A187)/C187,"NA")</f>
        <v>NA</v>
      </c>
      <c r="I187" s="205">
        <f>SUMIFS(TM[[#All],[Member Months]],TM[[#All],[Reporting Year]],2025,TM[[#All],[Insurance Category Code]],1,TM[[#All],[Large Provider Entity Code]],A187)</f>
        <v>0</v>
      </c>
      <c r="J187" s="119" t="str">
        <f>IFERROR(SUMIFS(TM[[#All],[Total Non-Truncated Claims Spending]],TM[[#All],[Reporting Year]],2025,TM[[#All],[Insurance Category Code]],1,TM[[#All],[Large Provider Entity Code]],A187)/I187,"NA")</f>
        <v>NA</v>
      </c>
      <c r="K187" s="119" t="str">
        <f>IFERROR(SUMIFS(TM[[#All],[Total Non-Claims Spending]],TM[[#All],[Reporting Year]],2025,TM[[#All],[Insurance Category Code]],1,TM[[#All],[Large Provider Entity Code]],A187)/I187,"NA")</f>
        <v>NA</v>
      </c>
      <c r="L187" s="119" t="str">
        <f>IFERROR(SUMIFS(TM[[#All],[Total Non-Truncated Claims and Non-Claims Spending]],TM[[#All],[Reporting Year]],2025,TM[[#All],[Insurance Category Code]],1,TM[[#All],[Large Provider Entity Code]],A187)/I187,"NA")</f>
        <v>NA</v>
      </c>
      <c r="M187" s="119" t="str">
        <f>IFERROR(SUMIFS(TM[[#All],[Total Truncated Claims Spending]],TM[[#All],[Reporting Year]],2025,TM[[#All],[Insurance Category Code]],1,TM[[#All],[Large Provider Entity Code]],A187)/I187,"NA")</f>
        <v>NA</v>
      </c>
      <c r="N187" s="206" t="str">
        <f>IFERROR(SUMIFS(TM[[#All],[Total Truncated Expenses]],TM[[#All],[Reporting Year]],2025,TM[[#All],[Insurance Category Code]],1,TM[[#All],[Large Provider Entity Code]],A187)/I187,"NA")</f>
        <v>NA</v>
      </c>
      <c r="O187" s="169" t="str">
        <f t="shared" si="120"/>
        <v>No</v>
      </c>
      <c r="P187" s="233" t="str">
        <f t="shared" si="119"/>
        <v>NA</v>
      </c>
      <c r="Q187" s="120" t="str">
        <f t="shared" si="119"/>
        <v>NA</v>
      </c>
      <c r="R187" s="120" t="str">
        <f t="shared" si="119"/>
        <v>NA</v>
      </c>
      <c r="S187" s="120" t="str">
        <f t="shared" si="119"/>
        <v>NA</v>
      </c>
      <c r="T187" s="120" t="str">
        <f t="shared" si="119"/>
        <v>NA</v>
      </c>
      <c r="U187" s="120" t="str">
        <f t="shared" si="119"/>
        <v>NA</v>
      </c>
    </row>
    <row r="188" spans="1:21" x14ac:dyDescent="0.4">
      <c r="A188" s="210">
        <v>108</v>
      </c>
      <c r="B188" s="526" t="s">
        <v>563</v>
      </c>
      <c r="C188" s="205">
        <f>SUMIFS(TM[[#All],[Member Months]],TM[[#All],[Reporting Year]],2024,TM[[#All],[Insurance Category Code]],1,TM[[#All],[Large Provider Entity Code]],A188)</f>
        <v>0</v>
      </c>
      <c r="D188" s="119" t="str">
        <f>IFERROR(SUMIFS(TM[[#All],[Total Non-Truncated Claims Spending]],TM[[#All],[Reporting Year]],2024,TM[[#All],[Insurance Category Code]],1,TM[[#All],[Large Provider Entity Code]],A188)/C188,"NA")</f>
        <v>NA</v>
      </c>
      <c r="E188" s="119" t="str">
        <f>IFERROR(SUMIFS(TM[[#All],[Total Non-Claims Spending]],TM[[#All],[Reporting Year]],2024,TM[[#All],[Insurance Category Code]],1,TM[[#All],[Large Provider Entity Code]],A188)/C188,"NA")</f>
        <v>NA</v>
      </c>
      <c r="F188" s="119" t="str">
        <f>IFERROR(SUMIFS(TM[[#All],[Total Non-Truncated Claims and Non-Claims Spending]],TM[[#All],[Reporting Year]],2024,TM[[#All],[Insurance Category Code]],1,TM[[#All],[Large Provider Entity Code]],A188)/C188,"NA")</f>
        <v>NA</v>
      </c>
      <c r="G188" s="119" t="str">
        <f>IFERROR(SUMIFS(TM[[#All],[Total Truncated Claims Spending]],TM[[#All],[Reporting Year]],2024,TM[[#All],[Insurance Category Code]],1,TM[[#All],[Large Provider Entity Code]],A188)/C188,"NA")</f>
        <v>NA</v>
      </c>
      <c r="H188" s="206" t="str">
        <f>IFERROR(SUMIFS(TM[[#All],[Total Truncated Expenses]],TM[[#All],[Reporting Year]],2024,TM[[#All],[Insurance Category Code]],1,TM[[#All],[Large Provider Entity Code]],A188)/C188,"NA")</f>
        <v>NA</v>
      </c>
      <c r="I188" s="205">
        <f>SUMIFS(TM[[#All],[Member Months]],TM[[#All],[Reporting Year]],2025,TM[[#All],[Insurance Category Code]],1,TM[[#All],[Large Provider Entity Code]],A188)</f>
        <v>0</v>
      </c>
      <c r="J188" s="119" t="str">
        <f>IFERROR(SUMIFS(TM[[#All],[Total Non-Truncated Claims Spending]],TM[[#All],[Reporting Year]],2025,TM[[#All],[Insurance Category Code]],1,TM[[#All],[Large Provider Entity Code]],A188)/I188,"NA")</f>
        <v>NA</v>
      </c>
      <c r="K188" s="119" t="str">
        <f>IFERROR(SUMIFS(TM[[#All],[Total Non-Claims Spending]],TM[[#All],[Reporting Year]],2025,TM[[#All],[Insurance Category Code]],1,TM[[#All],[Large Provider Entity Code]],A188)/I188,"NA")</f>
        <v>NA</v>
      </c>
      <c r="L188" s="119" t="str">
        <f>IFERROR(SUMIFS(TM[[#All],[Total Non-Truncated Claims and Non-Claims Spending]],TM[[#All],[Reporting Year]],2025,TM[[#All],[Insurance Category Code]],1,TM[[#All],[Large Provider Entity Code]],A188)/I188,"NA")</f>
        <v>NA</v>
      </c>
      <c r="M188" s="119" t="str">
        <f>IFERROR(SUMIFS(TM[[#All],[Total Truncated Claims Spending]],TM[[#All],[Reporting Year]],2025,TM[[#All],[Insurance Category Code]],1,TM[[#All],[Large Provider Entity Code]],A188)/I188,"NA")</f>
        <v>NA</v>
      </c>
      <c r="N188" s="206" t="str">
        <f>IFERROR(SUMIFS(TM[[#All],[Total Truncated Expenses]],TM[[#All],[Reporting Year]],2025,TM[[#All],[Insurance Category Code]],1,TM[[#All],[Large Provider Entity Code]],A188)/I188,"NA")</f>
        <v>NA</v>
      </c>
      <c r="O188" s="169" t="str">
        <f t="shared" si="120"/>
        <v>No</v>
      </c>
      <c r="P188" s="233" t="str">
        <f t="shared" si="119"/>
        <v>NA</v>
      </c>
      <c r="Q188" s="120" t="str">
        <f t="shared" si="119"/>
        <v>NA</v>
      </c>
      <c r="R188" s="120" t="str">
        <f t="shared" si="119"/>
        <v>NA</v>
      </c>
      <c r="S188" s="120" t="str">
        <f t="shared" si="119"/>
        <v>NA</v>
      </c>
      <c r="T188" s="120" t="str">
        <f t="shared" si="119"/>
        <v>NA</v>
      </c>
      <c r="U188" s="120" t="str">
        <f t="shared" si="119"/>
        <v>NA</v>
      </c>
    </row>
    <row r="189" spans="1:21" ht="33.6" x14ac:dyDescent="0.4">
      <c r="A189" s="210">
        <v>109</v>
      </c>
      <c r="B189" s="526" t="s">
        <v>611</v>
      </c>
      <c r="C189" s="205">
        <f>SUMIFS(TM[[#All],[Member Months]],TM[[#All],[Reporting Year]],2024,TM[[#All],[Insurance Category Code]],1,TM[[#All],[Large Provider Entity Code]],A189)</f>
        <v>0</v>
      </c>
      <c r="D189" s="119" t="str">
        <f>IFERROR(SUMIFS(TM[[#All],[Total Non-Truncated Claims Spending]],TM[[#All],[Reporting Year]],2024,TM[[#All],[Insurance Category Code]],1,TM[[#All],[Large Provider Entity Code]],A189)/C189,"NA")</f>
        <v>NA</v>
      </c>
      <c r="E189" s="119" t="str">
        <f>IFERROR(SUMIFS(TM[[#All],[Total Non-Claims Spending]],TM[[#All],[Reporting Year]],2024,TM[[#All],[Insurance Category Code]],1,TM[[#All],[Large Provider Entity Code]],A189)/C189,"NA")</f>
        <v>NA</v>
      </c>
      <c r="F189" s="119" t="str">
        <f>IFERROR(SUMIFS(TM[[#All],[Total Non-Truncated Claims and Non-Claims Spending]],TM[[#All],[Reporting Year]],2024,TM[[#All],[Insurance Category Code]],1,TM[[#All],[Large Provider Entity Code]],A189)/C189,"NA")</f>
        <v>NA</v>
      </c>
      <c r="G189" s="119" t="str">
        <f>IFERROR(SUMIFS(TM[[#All],[Total Truncated Claims Spending]],TM[[#All],[Reporting Year]],2024,TM[[#All],[Insurance Category Code]],1,TM[[#All],[Large Provider Entity Code]],A189)/C189,"NA")</f>
        <v>NA</v>
      </c>
      <c r="H189" s="206" t="str">
        <f>IFERROR(SUMIFS(TM[[#All],[Total Truncated Expenses]],TM[[#All],[Reporting Year]],2024,TM[[#All],[Insurance Category Code]],1,TM[[#All],[Large Provider Entity Code]],A189)/C189,"NA")</f>
        <v>NA</v>
      </c>
      <c r="I189" s="205">
        <f>SUMIFS(TM[[#All],[Member Months]],TM[[#All],[Reporting Year]],2025,TM[[#All],[Insurance Category Code]],1,TM[[#All],[Large Provider Entity Code]],A189)</f>
        <v>0</v>
      </c>
      <c r="J189" s="119" t="str">
        <f>IFERROR(SUMIFS(TM[[#All],[Total Non-Truncated Claims Spending]],TM[[#All],[Reporting Year]],2025,TM[[#All],[Insurance Category Code]],1,TM[[#All],[Large Provider Entity Code]],A189)/I189,"NA")</f>
        <v>NA</v>
      </c>
      <c r="K189" s="119" t="str">
        <f>IFERROR(SUMIFS(TM[[#All],[Total Non-Claims Spending]],TM[[#All],[Reporting Year]],2025,TM[[#All],[Insurance Category Code]],1,TM[[#All],[Large Provider Entity Code]],A189)/I189,"NA")</f>
        <v>NA</v>
      </c>
      <c r="L189" s="119" t="str">
        <f>IFERROR(SUMIFS(TM[[#All],[Total Non-Truncated Claims and Non-Claims Spending]],TM[[#All],[Reporting Year]],2025,TM[[#All],[Insurance Category Code]],1,TM[[#All],[Large Provider Entity Code]],A189)/I189,"NA")</f>
        <v>NA</v>
      </c>
      <c r="M189" s="119" t="str">
        <f>IFERROR(SUMIFS(TM[[#All],[Total Truncated Claims Spending]],TM[[#All],[Reporting Year]],2025,TM[[#All],[Insurance Category Code]],1,TM[[#All],[Large Provider Entity Code]],A189)/I189,"NA")</f>
        <v>NA</v>
      </c>
      <c r="N189" s="206" t="str">
        <f>IFERROR(SUMIFS(TM[[#All],[Total Truncated Expenses]],TM[[#All],[Reporting Year]],2025,TM[[#All],[Insurance Category Code]],1,TM[[#All],[Large Provider Entity Code]],A189)/I189,"NA")</f>
        <v>NA</v>
      </c>
      <c r="O189" s="169" t="str">
        <f t="shared" si="120"/>
        <v>No</v>
      </c>
      <c r="P189" s="233" t="str">
        <f t="shared" si="119"/>
        <v>NA</v>
      </c>
      <c r="Q189" s="120" t="str">
        <f t="shared" si="119"/>
        <v>NA</v>
      </c>
      <c r="R189" s="120" t="str">
        <f t="shared" si="119"/>
        <v>NA</v>
      </c>
      <c r="S189" s="120" t="str">
        <f t="shared" si="119"/>
        <v>NA</v>
      </c>
      <c r="T189" s="120" t="str">
        <f t="shared" si="119"/>
        <v>NA</v>
      </c>
      <c r="U189" s="120" t="str">
        <f t="shared" si="119"/>
        <v>NA</v>
      </c>
    </row>
    <row r="190" spans="1:21" x14ac:dyDescent="0.4">
      <c r="A190" s="210">
        <v>110</v>
      </c>
      <c r="B190" s="526" t="s">
        <v>68</v>
      </c>
      <c r="C190" s="205">
        <f>SUMIFS(TM[[#All],[Member Months]],TM[[#All],[Reporting Year]],2024,TM[[#All],[Insurance Category Code]],1,TM[[#All],[Large Provider Entity Code]],A190)</f>
        <v>0</v>
      </c>
      <c r="D190" s="119" t="str">
        <f>IFERROR(SUMIFS(TM[[#All],[Total Non-Truncated Claims Spending]],TM[[#All],[Reporting Year]],2024,TM[[#All],[Insurance Category Code]],1,TM[[#All],[Large Provider Entity Code]],A190)/C190,"NA")</f>
        <v>NA</v>
      </c>
      <c r="E190" s="119" t="str">
        <f>IFERROR(SUMIFS(TM[[#All],[Total Non-Claims Spending]],TM[[#All],[Reporting Year]],2024,TM[[#All],[Insurance Category Code]],1,TM[[#All],[Large Provider Entity Code]],A190)/C190,"NA")</f>
        <v>NA</v>
      </c>
      <c r="F190" s="119" t="str">
        <f>IFERROR(SUMIFS(TM[[#All],[Total Non-Truncated Claims and Non-Claims Spending]],TM[[#All],[Reporting Year]],2024,TM[[#All],[Insurance Category Code]],1,TM[[#All],[Large Provider Entity Code]],A190)/C190,"NA")</f>
        <v>NA</v>
      </c>
      <c r="G190" s="119" t="str">
        <f>IFERROR(SUMIFS(TM[[#All],[Total Truncated Claims Spending]],TM[[#All],[Reporting Year]],2024,TM[[#All],[Insurance Category Code]],1,TM[[#All],[Large Provider Entity Code]],A190)/C190,"NA")</f>
        <v>NA</v>
      </c>
      <c r="H190" s="206" t="str">
        <f>IFERROR(SUMIFS(TM[[#All],[Total Truncated Expenses]],TM[[#All],[Reporting Year]],2024,TM[[#All],[Insurance Category Code]],1,TM[[#All],[Large Provider Entity Code]],A190)/C190,"NA")</f>
        <v>NA</v>
      </c>
      <c r="I190" s="205">
        <f>SUMIFS(TM[[#All],[Member Months]],TM[[#All],[Reporting Year]],2025,TM[[#All],[Insurance Category Code]],1,TM[[#All],[Large Provider Entity Code]],A190)</f>
        <v>0</v>
      </c>
      <c r="J190" s="119" t="str">
        <f>IFERROR(SUMIFS(TM[[#All],[Total Non-Truncated Claims Spending]],TM[[#All],[Reporting Year]],2025,TM[[#All],[Insurance Category Code]],1,TM[[#All],[Large Provider Entity Code]],A190)/I190,"NA")</f>
        <v>NA</v>
      </c>
      <c r="K190" s="119" t="str">
        <f>IFERROR(SUMIFS(TM[[#All],[Total Non-Claims Spending]],TM[[#All],[Reporting Year]],2025,TM[[#All],[Insurance Category Code]],1,TM[[#All],[Large Provider Entity Code]],A190)/I190,"NA")</f>
        <v>NA</v>
      </c>
      <c r="L190" s="119" t="str">
        <f>IFERROR(SUMIFS(TM[[#All],[Total Non-Truncated Claims and Non-Claims Spending]],TM[[#All],[Reporting Year]],2025,TM[[#All],[Insurance Category Code]],1,TM[[#All],[Large Provider Entity Code]],A190)/I190,"NA")</f>
        <v>NA</v>
      </c>
      <c r="M190" s="119" t="str">
        <f>IFERROR(SUMIFS(TM[[#All],[Total Truncated Claims Spending]],TM[[#All],[Reporting Year]],2025,TM[[#All],[Insurance Category Code]],1,TM[[#All],[Large Provider Entity Code]],A190)/I190,"NA")</f>
        <v>NA</v>
      </c>
      <c r="N190" s="206" t="str">
        <f>IFERROR(SUMIFS(TM[[#All],[Total Truncated Expenses]],TM[[#All],[Reporting Year]],2025,TM[[#All],[Insurance Category Code]],1,TM[[#All],[Large Provider Entity Code]],A190)/I190,"NA")</f>
        <v>NA</v>
      </c>
      <c r="O190" s="169" t="str">
        <f t="shared" si="120"/>
        <v>No</v>
      </c>
      <c r="P190" s="233" t="str">
        <f t="shared" si="119"/>
        <v>NA</v>
      </c>
      <c r="Q190" s="120" t="str">
        <f t="shared" si="119"/>
        <v>NA</v>
      </c>
      <c r="R190" s="120" t="str">
        <f t="shared" si="119"/>
        <v>NA</v>
      </c>
      <c r="S190" s="120" t="str">
        <f t="shared" si="119"/>
        <v>NA</v>
      </c>
      <c r="T190" s="120" t="str">
        <f t="shared" si="119"/>
        <v>NA</v>
      </c>
      <c r="U190" s="120" t="str">
        <f t="shared" si="119"/>
        <v>NA</v>
      </c>
    </row>
    <row r="191" spans="1:21" x14ac:dyDescent="0.4">
      <c r="A191" s="210">
        <v>111</v>
      </c>
      <c r="B191" s="526" t="s">
        <v>69</v>
      </c>
      <c r="C191" s="205">
        <f>SUMIFS(TM[[#All],[Member Months]],TM[[#All],[Reporting Year]],2024,TM[[#All],[Insurance Category Code]],1,TM[[#All],[Large Provider Entity Code]],A191)</f>
        <v>0</v>
      </c>
      <c r="D191" s="119" t="str">
        <f>IFERROR(SUMIFS(TM[[#All],[Total Non-Truncated Claims Spending]],TM[[#All],[Reporting Year]],2024,TM[[#All],[Insurance Category Code]],1,TM[[#All],[Large Provider Entity Code]],A191)/C191,"NA")</f>
        <v>NA</v>
      </c>
      <c r="E191" s="119" t="str">
        <f>IFERROR(SUMIFS(TM[[#All],[Total Non-Claims Spending]],TM[[#All],[Reporting Year]],2024,TM[[#All],[Insurance Category Code]],1,TM[[#All],[Large Provider Entity Code]],A191)/C191,"NA")</f>
        <v>NA</v>
      </c>
      <c r="F191" s="119" t="str">
        <f>IFERROR(SUMIFS(TM[[#All],[Total Non-Truncated Claims and Non-Claims Spending]],TM[[#All],[Reporting Year]],2024,TM[[#All],[Insurance Category Code]],1,TM[[#All],[Large Provider Entity Code]],A191)/C191,"NA")</f>
        <v>NA</v>
      </c>
      <c r="G191" s="119" t="str">
        <f>IFERROR(SUMIFS(TM[[#All],[Total Truncated Claims Spending]],TM[[#All],[Reporting Year]],2024,TM[[#All],[Insurance Category Code]],1,TM[[#All],[Large Provider Entity Code]],A191)/C191,"NA")</f>
        <v>NA</v>
      </c>
      <c r="H191" s="206" t="str">
        <f>IFERROR(SUMIFS(TM[[#All],[Total Truncated Expenses]],TM[[#All],[Reporting Year]],2024,TM[[#All],[Insurance Category Code]],1,TM[[#All],[Large Provider Entity Code]],A191)/C191,"NA")</f>
        <v>NA</v>
      </c>
      <c r="I191" s="205">
        <f>SUMIFS(TM[[#All],[Member Months]],TM[[#All],[Reporting Year]],2025,TM[[#All],[Insurance Category Code]],1,TM[[#All],[Large Provider Entity Code]],A191)</f>
        <v>0</v>
      </c>
      <c r="J191" s="119" t="str">
        <f>IFERROR(SUMIFS(TM[[#All],[Total Non-Truncated Claims Spending]],TM[[#All],[Reporting Year]],2025,TM[[#All],[Insurance Category Code]],1,TM[[#All],[Large Provider Entity Code]],A191)/I191,"NA")</f>
        <v>NA</v>
      </c>
      <c r="K191" s="119" t="str">
        <f>IFERROR(SUMIFS(TM[[#All],[Total Non-Claims Spending]],TM[[#All],[Reporting Year]],2025,TM[[#All],[Insurance Category Code]],1,TM[[#All],[Large Provider Entity Code]],A191)/I191,"NA")</f>
        <v>NA</v>
      </c>
      <c r="L191" s="119" t="str">
        <f>IFERROR(SUMIFS(TM[[#All],[Total Non-Truncated Claims and Non-Claims Spending]],TM[[#All],[Reporting Year]],2025,TM[[#All],[Insurance Category Code]],1,TM[[#All],[Large Provider Entity Code]],A191)/I191,"NA")</f>
        <v>NA</v>
      </c>
      <c r="M191" s="119" t="str">
        <f>IFERROR(SUMIFS(TM[[#All],[Total Truncated Claims Spending]],TM[[#All],[Reporting Year]],2025,TM[[#All],[Insurance Category Code]],1,TM[[#All],[Large Provider Entity Code]],A191)/I191,"NA")</f>
        <v>NA</v>
      </c>
      <c r="N191" s="206" t="str">
        <f>IFERROR(SUMIFS(TM[[#All],[Total Truncated Expenses]],TM[[#All],[Reporting Year]],2025,TM[[#All],[Insurance Category Code]],1,TM[[#All],[Large Provider Entity Code]],A191)/I191,"NA")</f>
        <v>NA</v>
      </c>
      <c r="O191" s="169" t="str">
        <f t="shared" si="120"/>
        <v>No</v>
      </c>
      <c r="P191" s="233" t="str">
        <f t="shared" si="119"/>
        <v>NA</v>
      </c>
      <c r="Q191" s="120" t="str">
        <f t="shared" si="119"/>
        <v>NA</v>
      </c>
      <c r="R191" s="120" t="str">
        <f t="shared" si="119"/>
        <v>NA</v>
      </c>
      <c r="S191" s="120" t="str">
        <f t="shared" si="119"/>
        <v>NA</v>
      </c>
      <c r="T191" s="120" t="str">
        <f t="shared" si="119"/>
        <v>NA</v>
      </c>
      <c r="U191" s="120" t="str">
        <f t="shared" si="119"/>
        <v>NA</v>
      </c>
    </row>
    <row r="192" spans="1:21" x14ac:dyDescent="0.4">
      <c r="A192" s="210">
        <v>112</v>
      </c>
      <c r="B192" s="526" t="s">
        <v>637</v>
      </c>
      <c r="C192" s="205">
        <f>SUMIFS(TM[[#All],[Member Months]],TM[[#All],[Reporting Year]],2024,TM[[#All],[Insurance Category Code]],1,TM[[#All],[Large Provider Entity Code]],A192)</f>
        <v>0</v>
      </c>
      <c r="D192" s="119" t="str">
        <f>IFERROR(SUMIFS(TM[[#All],[Total Non-Truncated Claims Spending]],TM[[#All],[Reporting Year]],2024,TM[[#All],[Insurance Category Code]],1,TM[[#All],[Large Provider Entity Code]],A192)/C192,"NA")</f>
        <v>NA</v>
      </c>
      <c r="E192" s="119" t="str">
        <f>IFERROR(SUMIFS(TM[[#All],[Total Non-Claims Spending]],TM[[#All],[Reporting Year]],2024,TM[[#All],[Insurance Category Code]],1,TM[[#All],[Large Provider Entity Code]],A192)/C192,"NA")</f>
        <v>NA</v>
      </c>
      <c r="F192" s="119" t="str">
        <f>IFERROR(SUMIFS(TM[[#All],[Total Non-Truncated Claims and Non-Claims Spending]],TM[[#All],[Reporting Year]],2024,TM[[#All],[Insurance Category Code]],1,TM[[#All],[Large Provider Entity Code]],A192)/C192,"NA")</f>
        <v>NA</v>
      </c>
      <c r="G192" s="119" t="str">
        <f>IFERROR(SUMIFS(TM[[#All],[Total Truncated Claims Spending]],TM[[#All],[Reporting Year]],2024,TM[[#All],[Insurance Category Code]],1,TM[[#All],[Large Provider Entity Code]],A192)/C192,"NA")</f>
        <v>NA</v>
      </c>
      <c r="H192" s="206" t="str">
        <f>IFERROR(SUMIFS(TM[[#All],[Total Truncated Expenses]],TM[[#All],[Reporting Year]],2024,TM[[#All],[Insurance Category Code]],1,TM[[#All],[Large Provider Entity Code]],A192)/C192,"NA")</f>
        <v>NA</v>
      </c>
      <c r="I192" s="205">
        <f>SUMIFS(TM[[#All],[Member Months]],TM[[#All],[Reporting Year]],2025,TM[[#All],[Insurance Category Code]],1,TM[[#All],[Large Provider Entity Code]],A192)</f>
        <v>0</v>
      </c>
      <c r="J192" s="119" t="str">
        <f>IFERROR(SUMIFS(TM[[#All],[Total Non-Truncated Claims Spending]],TM[[#All],[Reporting Year]],2025,TM[[#All],[Insurance Category Code]],1,TM[[#All],[Large Provider Entity Code]],A192)/I192,"NA")</f>
        <v>NA</v>
      </c>
      <c r="K192" s="119" t="str">
        <f>IFERROR(SUMIFS(TM[[#All],[Total Non-Claims Spending]],TM[[#All],[Reporting Year]],2025,TM[[#All],[Insurance Category Code]],1,TM[[#All],[Large Provider Entity Code]],A192)/I192,"NA")</f>
        <v>NA</v>
      </c>
      <c r="L192" s="119" t="str">
        <f>IFERROR(SUMIFS(TM[[#All],[Total Non-Truncated Claims and Non-Claims Spending]],TM[[#All],[Reporting Year]],2025,TM[[#All],[Insurance Category Code]],1,TM[[#All],[Large Provider Entity Code]],A192)/I192,"NA")</f>
        <v>NA</v>
      </c>
      <c r="M192" s="119" t="str">
        <f>IFERROR(SUMIFS(TM[[#All],[Total Truncated Claims Spending]],TM[[#All],[Reporting Year]],2025,TM[[#All],[Insurance Category Code]],1,TM[[#All],[Large Provider Entity Code]],A192)/I192,"NA")</f>
        <v>NA</v>
      </c>
      <c r="N192" s="206" t="str">
        <f>IFERROR(SUMIFS(TM[[#All],[Total Truncated Expenses]],TM[[#All],[Reporting Year]],2025,TM[[#All],[Insurance Category Code]],1,TM[[#All],[Large Provider Entity Code]],A192)/I192,"NA")</f>
        <v>NA</v>
      </c>
      <c r="O192" s="169" t="str">
        <f t="shared" si="120"/>
        <v>No</v>
      </c>
      <c r="P192" s="233" t="str">
        <f t="shared" si="119"/>
        <v>NA</v>
      </c>
      <c r="Q192" s="120" t="str">
        <f t="shared" si="119"/>
        <v>NA</v>
      </c>
      <c r="R192" s="120" t="str">
        <f t="shared" si="119"/>
        <v>NA</v>
      </c>
      <c r="S192" s="120" t="str">
        <f t="shared" si="119"/>
        <v>NA</v>
      </c>
      <c r="T192" s="120" t="str">
        <f t="shared" si="119"/>
        <v>NA</v>
      </c>
      <c r="U192" s="120" t="str">
        <f t="shared" si="119"/>
        <v>NA</v>
      </c>
    </row>
    <row r="193" spans="1:21" ht="33.6" x14ac:dyDescent="0.4">
      <c r="A193" s="210">
        <v>115</v>
      </c>
      <c r="B193" s="526" t="s">
        <v>612</v>
      </c>
      <c r="C193" s="205">
        <f>SUMIFS(TM[[#All],[Member Months]],TM[[#All],[Reporting Year]],2024,TM[[#All],[Insurance Category Code]],1,TM[[#All],[Large Provider Entity Code]],A193)</f>
        <v>0</v>
      </c>
      <c r="D193" s="7" t="str">
        <f>IFERROR(SUMIFS(TM[[#All],[Total Non-Truncated Claims Spending]],TM[[#All],[Reporting Year]],2024,TM[[#All],[Insurance Category Code]],1,TM[[#All],[Large Provider Entity Code]],A193)/C193,"NA")</f>
        <v>NA</v>
      </c>
      <c r="E193" s="7" t="str">
        <f>IFERROR(SUMIFS(TM[[#All],[Total Non-Claims Spending]],TM[[#All],[Reporting Year]],2024,TM[[#All],[Insurance Category Code]],1,TM[[#All],[Large Provider Entity Code]],A193)/C193,"NA")</f>
        <v>NA</v>
      </c>
      <c r="F193" s="7" t="str">
        <f>IFERROR(SUMIFS(TM[[#All],[Total Non-Truncated Claims and Non-Claims Spending]],TM[[#All],[Reporting Year]],2024,TM[[#All],[Insurance Category Code]],1,TM[[#All],[Large Provider Entity Code]],A193)/C193,"NA")</f>
        <v>NA</v>
      </c>
      <c r="G193" s="7" t="str">
        <f>IFERROR(SUMIFS(TM[[#All],[Total Truncated Claims Spending]],TM[[#All],[Reporting Year]],2024,TM[[#All],[Insurance Category Code]],1,TM[[#All],[Large Provider Entity Code]],A193)/C193,"NA")</f>
        <v>NA</v>
      </c>
      <c r="H193" s="206" t="str">
        <f>IFERROR(SUMIFS(TM[[#All],[Total Truncated Expenses]],TM[[#All],[Reporting Year]],2024,TM[[#All],[Insurance Category Code]],1,TM[[#All],[Large Provider Entity Code]],A193)/C193,"NA")</f>
        <v>NA</v>
      </c>
      <c r="I193" s="205">
        <f>SUMIFS(TM[[#All],[Member Months]],TM[[#All],[Reporting Year]],2025,TM[[#All],[Insurance Category Code]],1,TM[[#All],[Large Provider Entity Code]],A193)</f>
        <v>0</v>
      </c>
      <c r="J193" s="7" t="str">
        <f>IFERROR(SUMIFS(TM[[#All],[Total Non-Truncated Claims Spending]],TM[[#All],[Reporting Year]],2025,TM[[#All],[Insurance Category Code]],1,TM[[#All],[Large Provider Entity Code]],A193)/I193,"NA")</f>
        <v>NA</v>
      </c>
      <c r="K193" s="7" t="str">
        <f>IFERROR(SUMIFS(TM[[#All],[Total Non-Claims Spending]],TM[[#All],[Reporting Year]],2025,TM[[#All],[Insurance Category Code]],1,TM[[#All],[Large Provider Entity Code]],A193)/I193,"NA")</f>
        <v>NA</v>
      </c>
      <c r="L193" s="7" t="str">
        <f>IFERROR(SUMIFS(TM[[#All],[Total Non-Truncated Claims and Non-Claims Spending]],TM[[#All],[Reporting Year]],2025,TM[[#All],[Insurance Category Code]],1,TM[[#All],[Large Provider Entity Code]],A193)/I193,"NA")</f>
        <v>NA</v>
      </c>
      <c r="M193" s="7" t="str">
        <f>IFERROR(SUMIFS(TM[[#All],[Total Truncated Claims Spending]],TM[[#All],[Reporting Year]],2025,TM[[#All],[Insurance Category Code]],1,TM[[#All],[Large Provider Entity Code]],A193)/I193,"NA")</f>
        <v>NA</v>
      </c>
      <c r="N193" s="206" t="str">
        <f>IFERROR(SUMIFS(TM[[#All],[Total Truncated Expenses]],TM[[#All],[Reporting Year]],2025,TM[[#All],[Insurance Category Code]],1,TM[[#All],[Large Provider Entity Code]],A193)/I193,"NA")</f>
        <v>NA</v>
      </c>
      <c r="O193" s="169" t="str">
        <f t="shared" si="120"/>
        <v>No</v>
      </c>
      <c r="P193" s="233" t="str">
        <f t="shared" si="119"/>
        <v>NA</v>
      </c>
      <c r="Q193" s="120" t="str">
        <f t="shared" si="119"/>
        <v>NA</v>
      </c>
      <c r="R193" s="120" t="str">
        <f t="shared" si="119"/>
        <v>NA</v>
      </c>
      <c r="S193" s="120" t="str">
        <f t="shared" si="119"/>
        <v>NA</v>
      </c>
      <c r="T193" s="120" t="str">
        <f t="shared" si="119"/>
        <v>NA</v>
      </c>
      <c r="U193" s="120" t="str">
        <f t="shared" si="119"/>
        <v>NA</v>
      </c>
    </row>
    <row r="194" spans="1:21" x14ac:dyDescent="0.4">
      <c r="A194" s="210">
        <v>116</v>
      </c>
      <c r="B194" s="526" t="s">
        <v>564</v>
      </c>
      <c r="C194" s="205">
        <f>SUMIFS(TM[[#All],[Member Months]],TM[[#All],[Reporting Year]],2024,TM[[#All],[Insurance Category Code]],1,TM[[#All],[Large Provider Entity Code]],A194)</f>
        <v>0</v>
      </c>
      <c r="D194" s="7" t="str">
        <f>IFERROR(SUMIFS(TM[[#All],[Total Non-Truncated Claims Spending]],TM[[#All],[Reporting Year]],2024,TM[[#All],[Insurance Category Code]],1,TM[[#All],[Large Provider Entity Code]],A194)/C194,"NA")</f>
        <v>NA</v>
      </c>
      <c r="E194" s="7" t="str">
        <f>IFERROR(SUMIFS(TM[[#All],[Total Non-Claims Spending]],TM[[#All],[Reporting Year]],2024,TM[[#All],[Insurance Category Code]],1,TM[[#All],[Large Provider Entity Code]],A194)/C194,"NA")</f>
        <v>NA</v>
      </c>
      <c r="F194" s="7" t="str">
        <f>IFERROR(SUMIFS(TM[[#All],[Total Non-Truncated Claims and Non-Claims Spending]],TM[[#All],[Reporting Year]],2024,TM[[#All],[Insurance Category Code]],1,TM[[#All],[Large Provider Entity Code]],A194)/C194,"NA")</f>
        <v>NA</v>
      </c>
      <c r="G194" s="7" t="str">
        <f>IFERROR(SUMIFS(TM[[#All],[Total Truncated Claims Spending]],TM[[#All],[Reporting Year]],2024,TM[[#All],[Insurance Category Code]],1,TM[[#All],[Large Provider Entity Code]],A194)/C194,"NA")</f>
        <v>NA</v>
      </c>
      <c r="H194" s="206" t="str">
        <f>IFERROR(SUMIFS(TM[[#All],[Total Truncated Expenses]],TM[[#All],[Reporting Year]],2024,TM[[#All],[Insurance Category Code]],1,TM[[#All],[Large Provider Entity Code]],A194)/C194,"NA")</f>
        <v>NA</v>
      </c>
      <c r="I194" s="205">
        <f>SUMIFS(TM[[#All],[Member Months]],TM[[#All],[Reporting Year]],2025,TM[[#All],[Insurance Category Code]],1,TM[[#All],[Large Provider Entity Code]],A194)</f>
        <v>0</v>
      </c>
      <c r="J194" s="7" t="str">
        <f>IFERROR(SUMIFS(TM[[#All],[Total Non-Truncated Claims Spending]],TM[[#All],[Reporting Year]],2025,TM[[#All],[Insurance Category Code]],1,TM[[#All],[Large Provider Entity Code]],A194)/I194,"NA")</f>
        <v>NA</v>
      </c>
      <c r="K194" s="7" t="str">
        <f>IFERROR(SUMIFS(TM[[#All],[Total Non-Claims Spending]],TM[[#All],[Reporting Year]],2025,TM[[#All],[Insurance Category Code]],1,TM[[#All],[Large Provider Entity Code]],A194)/I194,"NA")</f>
        <v>NA</v>
      </c>
      <c r="L194" s="7" t="str">
        <f>IFERROR(SUMIFS(TM[[#All],[Total Non-Truncated Claims and Non-Claims Spending]],TM[[#All],[Reporting Year]],2025,TM[[#All],[Insurance Category Code]],1,TM[[#All],[Large Provider Entity Code]],A194)/I194,"NA")</f>
        <v>NA</v>
      </c>
      <c r="M194" s="7" t="str">
        <f>IFERROR(SUMIFS(TM[[#All],[Total Truncated Claims Spending]],TM[[#All],[Reporting Year]],2025,TM[[#All],[Insurance Category Code]],1,TM[[#All],[Large Provider Entity Code]],A194)/I194,"NA")</f>
        <v>NA</v>
      </c>
      <c r="N194" s="206" t="str">
        <f>IFERROR(SUMIFS(TM[[#All],[Total Truncated Expenses]],TM[[#All],[Reporting Year]],2025,TM[[#All],[Insurance Category Code]],1,TM[[#All],[Large Provider Entity Code]],A194)/I194,"NA")</f>
        <v>NA</v>
      </c>
      <c r="O194" s="169" t="str">
        <f t="shared" si="120"/>
        <v>No</v>
      </c>
      <c r="P194" s="233" t="str">
        <f t="shared" si="119"/>
        <v>NA</v>
      </c>
      <c r="Q194" s="120" t="str">
        <f t="shared" si="119"/>
        <v>NA</v>
      </c>
      <c r="R194" s="120" t="str">
        <f t="shared" si="119"/>
        <v>NA</v>
      </c>
      <c r="S194" s="120" t="str">
        <f t="shared" si="119"/>
        <v>NA</v>
      </c>
      <c r="T194" s="120" t="str">
        <f t="shared" si="119"/>
        <v>NA</v>
      </c>
      <c r="U194" s="120" t="str">
        <f t="shared" si="119"/>
        <v>NA</v>
      </c>
    </row>
    <row r="195" spans="1:21" x14ac:dyDescent="0.4">
      <c r="A195" s="210">
        <v>118</v>
      </c>
      <c r="B195" s="526" t="s">
        <v>70</v>
      </c>
      <c r="C195" s="205">
        <f>SUMIFS(TM[[#All],[Member Months]],TM[[#All],[Reporting Year]],2024,TM[[#All],[Insurance Category Code]],1,TM[[#All],[Large Provider Entity Code]],A195)</f>
        <v>0</v>
      </c>
      <c r="D195" s="7" t="str">
        <f>IFERROR(SUMIFS(TM[[#All],[Total Non-Truncated Claims Spending]],TM[[#All],[Reporting Year]],2024,TM[[#All],[Insurance Category Code]],1,TM[[#All],[Large Provider Entity Code]],A195)/C195,"NA")</f>
        <v>NA</v>
      </c>
      <c r="E195" s="7" t="str">
        <f>IFERROR(SUMIFS(TM[[#All],[Total Non-Claims Spending]],TM[[#All],[Reporting Year]],2024,TM[[#All],[Insurance Category Code]],1,TM[[#All],[Large Provider Entity Code]],A195)/C195,"NA")</f>
        <v>NA</v>
      </c>
      <c r="F195" s="7" t="str">
        <f>IFERROR(SUMIFS(TM[[#All],[Total Non-Truncated Claims and Non-Claims Spending]],TM[[#All],[Reporting Year]],2024,TM[[#All],[Insurance Category Code]],1,TM[[#All],[Large Provider Entity Code]],A195)/C195,"NA")</f>
        <v>NA</v>
      </c>
      <c r="G195" s="7" t="str">
        <f>IFERROR(SUMIFS(TM[[#All],[Total Truncated Claims Spending]],TM[[#All],[Reporting Year]],2024,TM[[#All],[Insurance Category Code]],1,TM[[#All],[Large Provider Entity Code]],A195)/C195,"NA")</f>
        <v>NA</v>
      </c>
      <c r="H195" s="206" t="str">
        <f>IFERROR(SUMIFS(TM[[#All],[Total Truncated Expenses]],TM[[#All],[Reporting Year]],2024,TM[[#All],[Insurance Category Code]],1,TM[[#All],[Large Provider Entity Code]],A195)/C195,"NA")</f>
        <v>NA</v>
      </c>
      <c r="I195" s="205">
        <f>SUMIFS(TM[[#All],[Member Months]],TM[[#All],[Reporting Year]],2025,TM[[#All],[Insurance Category Code]],1,TM[[#All],[Large Provider Entity Code]],A195)</f>
        <v>0</v>
      </c>
      <c r="J195" s="7" t="str">
        <f>IFERROR(SUMIFS(TM[[#All],[Total Non-Truncated Claims Spending]],TM[[#All],[Reporting Year]],2025,TM[[#All],[Insurance Category Code]],1,TM[[#All],[Large Provider Entity Code]],A195)/I195,"NA")</f>
        <v>NA</v>
      </c>
      <c r="K195" s="7" t="str">
        <f>IFERROR(SUMIFS(TM[[#All],[Total Non-Claims Spending]],TM[[#All],[Reporting Year]],2025,TM[[#All],[Insurance Category Code]],1,TM[[#All],[Large Provider Entity Code]],A195)/I195,"NA")</f>
        <v>NA</v>
      </c>
      <c r="L195" s="7" t="str">
        <f>IFERROR(SUMIFS(TM[[#All],[Total Non-Truncated Claims and Non-Claims Spending]],TM[[#All],[Reporting Year]],2025,TM[[#All],[Insurance Category Code]],1,TM[[#All],[Large Provider Entity Code]],A195)/I195,"NA")</f>
        <v>NA</v>
      </c>
      <c r="M195" s="7" t="str">
        <f>IFERROR(SUMIFS(TM[[#All],[Total Truncated Claims Spending]],TM[[#All],[Reporting Year]],2025,TM[[#All],[Insurance Category Code]],1,TM[[#All],[Large Provider Entity Code]],A195)/I195,"NA")</f>
        <v>NA</v>
      </c>
      <c r="N195" s="206" t="str">
        <f>IFERROR(SUMIFS(TM[[#All],[Total Truncated Expenses]],TM[[#All],[Reporting Year]],2025,TM[[#All],[Insurance Category Code]],1,TM[[#All],[Large Provider Entity Code]],A195)/I195,"NA")</f>
        <v>NA</v>
      </c>
      <c r="O195" s="169" t="str">
        <f>IFERROR(IF(AND(C195&gt;12000,I195&gt;12000),"Yes","No"),"NA")</f>
        <v>No</v>
      </c>
      <c r="P195" s="233" t="str">
        <f t="shared" si="119"/>
        <v>NA</v>
      </c>
      <c r="Q195" s="120" t="str">
        <f t="shared" si="119"/>
        <v>NA</v>
      </c>
      <c r="R195" s="120" t="str">
        <f t="shared" si="119"/>
        <v>NA</v>
      </c>
      <c r="S195" s="120" t="str">
        <f t="shared" si="119"/>
        <v>NA</v>
      </c>
      <c r="T195" s="120" t="str">
        <f t="shared" si="119"/>
        <v>NA</v>
      </c>
      <c r="U195" s="120" t="str">
        <f t="shared" si="119"/>
        <v>NA</v>
      </c>
    </row>
    <row r="196" spans="1:21" x14ac:dyDescent="0.4">
      <c r="A196" s="210">
        <v>120</v>
      </c>
      <c r="B196" s="526" t="s">
        <v>561</v>
      </c>
      <c r="C196" s="205">
        <f>SUMIFS(TM[[#All],[Member Months]],TM[[#All],[Reporting Year]],2024,TM[[#All],[Insurance Category Code]],1,TM[[#All],[Large Provider Entity Code]],A196)</f>
        <v>0</v>
      </c>
      <c r="D196" s="7" t="str">
        <f>IFERROR(SUMIFS(TM[[#All],[Total Non-Truncated Claims Spending]],TM[[#All],[Reporting Year]],2024,TM[[#All],[Insurance Category Code]],1,TM[[#All],[Large Provider Entity Code]],A196)/C196,"NA")</f>
        <v>NA</v>
      </c>
      <c r="E196" s="7" t="str">
        <f>IFERROR(SUMIFS(TM[[#All],[Total Non-Claims Spending]],TM[[#All],[Reporting Year]],2024,TM[[#All],[Insurance Category Code]],1,TM[[#All],[Large Provider Entity Code]],A196)/C196,"NA")</f>
        <v>NA</v>
      </c>
      <c r="F196" s="7" t="str">
        <f>IFERROR(SUMIFS(TM[[#All],[Total Non-Truncated Claims and Non-Claims Spending]],TM[[#All],[Reporting Year]],2024,TM[[#All],[Insurance Category Code]],1,TM[[#All],[Large Provider Entity Code]],A196)/C196,"NA")</f>
        <v>NA</v>
      </c>
      <c r="G196" s="7" t="str">
        <f>IFERROR(SUMIFS(TM[[#All],[Total Truncated Claims Spending]],TM[[#All],[Reporting Year]],2024,TM[[#All],[Insurance Category Code]],1,TM[[#All],[Large Provider Entity Code]],A196)/C196,"NA")</f>
        <v>NA</v>
      </c>
      <c r="H196" s="206" t="str">
        <f>IFERROR(SUMIFS(TM[[#All],[Total Truncated Expenses]],TM[[#All],[Reporting Year]],2024,TM[[#All],[Insurance Category Code]],1,TM[[#All],[Large Provider Entity Code]],A196)/C196,"NA")</f>
        <v>NA</v>
      </c>
      <c r="I196" s="205">
        <f>SUMIFS(TM[[#All],[Member Months]],TM[[#All],[Reporting Year]],2025,TM[[#All],[Insurance Category Code]],1,TM[[#All],[Large Provider Entity Code]],A196)</f>
        <v>0</v>
      </c>
      <c r="J196" s="7" t="str">
        <f>IFERROR(SUMIFS(TM[[#All],[Total Non-Truncated Claims Spending]],TM[[#All],[Reporting Year]],2025,TM[[#All],[Insurance Category Code]],1,TM[[#All],[Large Provider Entity Code]],A196)/I196,"NA")</f>
        <v>NA</v>
      </c>
      <c r="K196" s="7" t="str">
        <f>IFERROR(SUMIFS(TM[[#All],[Total Non-Claims Spending]],TM[[#All],[Reporting Year]],2025,TM[[#All],[Insurance Category Code]],1,TM[[#All],[Large Provider Entity Code]],A196)/I196,"NA")</f>
        <v>NA</v>
      </c>
      <c r="L196" s="7" t="str">
        <f>IFERROR(SUMIFS(TM[[#All],[Total Non-Truncated Claims and Non-Claims Spending]],TM[[#All],[Reporting Year]],2025,TM[[#All],[Insurance Category Code]],1,TM[[#All],[Large Provider Entity Code]],A196)/I196,"NA")</f>
        <v>NA</v>
      </c>
      <c r="M196" s="7" t="str">
        <f>IFERROR(SUMIFS(TM[[#All],[Total Truncated Claims Spending]],TM[[#All],[Reporting Year]],2025,TM[[#All],[Insurance Category Code]],1,TM[[#All],[Large Provider Entity Code]],A196)/I196,"NA")</f>
        <v>NA</v>
      </c>
      <c r="N196" s="206" t="str">
        <f>IFERROR(SUMIFS(TM[[#All],[Total Truncated Expenses]],TM[[#All],[Reporting Year]],2025,TM[[#All],[Insurance Category Code]],1,TM[[#All],[Large Provider Entity Code]],A196)/I196,"NA")</f>
        <v>NA</v>
      </c>
      <c r="O196" s="169" t="str">
        <f t="shared" si="120"/>
        <v>No</v>
      </c>
      <c r="P196" s="233" t="str">
        <f t="shared" si="119"/>
        <v>NA</v>
      </c>
      <c r="Q196" s="120" t="str">
        <f t="shared" si="119"/>
        <v>NA</v>
      </c>
      <c r="R196" s="120" t="str">
        <f t="shared" si="119"/>
        <v>NA</v>
      </c>
      <c r="S196" s="120" t="str">
        <f t="shared" si="119"/>
        <v>NA</v>
      </c>
      <c r="T196" s="120" t="str">
        <f t="shared" si="119"/>
        <v>NA</v>
      </c>
      <c r="U196" s="120" t="str">
        <f t="shared" si="119"/>
        <v>NA</v>
      </c>
    </row>
    <row r="197" spans="1:21" ht="33.6" x14ac:dyDescent="0.4">
      <c r="A197" s="210">
        <v>121</v>
      </c>
      <c r="B197" s="526" t="s">
        <v>565</v>
      </c>
      <c r="C197" s="205">
        <f>SUMIFS(TM[[#All],[Member Months]],TM[[#All],[Reporting Year]],2024,TM[[#All],[Insurance Category Code]],1,TM[[#All],[Large Provider Entity Code]],A197)</f>
        <v>0</v>
      </c>
      <c r="D197" s="7" t="str">
        <f>IFERROR(SUMIFS(TM[[#All],[Total Non-Truncated Claims Spending]],TM[[#All],[Reporting Year]],2024,TM[[#All],[Insurance Category Code]],1,TM[[#All],[Large Provider Entity Code]],A197)/C197,"NA")</f>
        <v>NA</v>
      </c>
      <c r="E197" s="7" t="str">
        <f>IFERROR(SUMIFS(TM[[#All],[Total Non-Claims Spending]],TM[[#All],[Reporting Year]],2024,TM[[#All],[Insurance Category Code]],1,TM[[#All],[Large Provider Entity Code]],A197)/C197,"NA")</f>
        <v>NA</v>
      </c>
      <c r="F197" s="7" t="str">
        <f>IFERROR(SUMIFS(TM[[#All],[Total Non-Truncated Claims and Non-Claims Spending]],TM[[#All],[Reporting Year]],2024,TM[[#All],[Insurance Category Code]],1,TM[[#All],[Large Provider Entity Code]],A197)/C197,"NA")</f>
        <v>NA</v>
      </c>
      <c r="G197" s="7" t="str">
        <f>IFERROR(SUMIFS(TM[[#All],[Total Truncated Claims Spending]],TM[[#All],[Reporting Year]],2024,TM[[#All],[Insurance Category Code]],1,TM[[#All],[Large Provider Entity Code]],A197)/C197,"NA")</f>
        <v>NA</v>
      </c>
      <c r="H197" s="206" t="str">
        <f>IFERROR(SUMIFS(TM[[#All],[Total Truncated Expenses]],TM[[#All],[Reporting Year]],2024,TM[[#All],[Insurance Category Code]],1,TM[[#All],[Large Provider Entity Code]],A197)/C197,"NA")</f>
        <v>NA</v>
      </c>
      <c r="I197" s="205">
        <f>SUMIFS(TM[[#All],[Member Months]],TM[[#All],[Reporting Year]],2025,TM[[#All],[Insurance Category Code]],1,TM[[#All],[Large Provider Entity Code]],A197)</f>
        <v>0</v>
      </c>
      <c r="J197" s="7" t="str">
        <f>IFERROR(SUMIFS(TM[[#All],[Total Non-Truncated Claims Spending]],TM[[#All],[Reporting Year]],2025,TM[[#All],[Insurance Category Code]],1,TM[[#All],[Large Provider Entity Code]],A197)/I197,"NA")</f>
        <v>NA</v>
      </c>
      <c r="K197" s="7" t="str">
        <f>IFERROR(SUMIFS(TM[[#All],[Total Non-Claims Spending]],TM[[#All],[Reporting Year]],2025,TM[[#All],[Insurance Category Code]],1,TM[[#All],[Large Provider Entity Code]],A197)/I197,"NA")</f>
        <v>NA</v>
      </c>
      <c r="L197" s="7" t="str">
        <f>IFERROR(SUMIFS(TM[[#All],[Total Non-Truncated Claims and Non-Claims Spending]],TM[[#All],[Reporting Year]],2025,TM[[#All],[Insurance Category Code]],1,TM[[#All],[Large Provider Entity Code]],A197)/I197,"NA")</f>
        <v>NA</v>
      </c>
      <c r="M197" s="7" t="str">
        <f>IFERROR(SUMIFS(TM[[#All],[Total Truncated Claims Spending]],TM[[#All],[Reporting Year]],2025,TM[[#All],[Insurance Category Code]],1,TM[[#All],[Large Provider Entity Code]],A197)/I197,"NA")</f>
        <v>NA</v>
      </c>
      <c r="N197" s="206" t="str">
        <f>IFERROR(SUMIFS(TM[[#All],[Total Truncated Expenses]],TM[[#All],[Reporting Year]],2025,TM[[#All],[Insurance Category Code]],1,TM[[#All],[Large Provider Entity Code]],A197)/I197,"NA")</f>
        <v>NA</v>
      </c>
      <c r="O197" s="169" t="str">
        <f t="shared" si="120"/>
        <v>No</v>
      </c>
      <c r="P197" s="233" t="str">
        <f t="shared" si="119"/>
        <v>NA</v>
      </c>
      <c r="Q197" s="120" t="str">
        <f t="shared" si="119"/>
        <v>NA</v>
      </c>
      <c r="R197" s="120" t="str">
        <f t="shared" si="119"/>
        <v>NA</v>
      </c>
      <c r="S197" s="120" t="str">
        <f t="shared" si="119"/>
        <v>NA</v>
      </c>
      <c r="T197" s="120" t="str">
        <f t="shared" si="119"/>
        <v>NA</v>
      </c>
      <c r="U197" s="120" t="str">
        <f t="shared" si="119"/>
        <v>NA</v>
      </c>
    </row>
    <row r="198" spans="1:21" ht="33.6" x14ac:dyDescent="0.4">
      <c r="A198" s="210">
        <v>122</v>
      </c>
      <c r="B198" s="525" t="s">
        <v>647</v>
      </c>
      <c r="C198" s="205">
        <f>SUMIFS(TM[[#All],[Member Months]],TM[[#All],[Reporting Year]],2024,TM[[#All],[Insurance Category Code]],1,TM[[#All],[Large Provider Entity Code]],A198)</f>
        <v>0</v>
      </c>
      <c r="D198" s="7" t="str">
        <f>IFERROR(SUMIFS(TM[[#All],[Total Non-Truncated Claims Spending]],TM[[#All],[Reporting Year]],2024,TM[[#All],[Insurance Category Code]],1,TM[[#All],[Large Provider Entity Code]],A198)/C198,"NA")</f>
        <v>NA</v>
      </c>
      <c r="E198" s="7" t="str">
        <f>IFERROR(SUMIFS(TM[[#All],[Total Non-Claims Spending]],TM[[#All],[Reporting Year]],2024,TM[[#All],[Insurance Category Code]],1,TM[[#All],[Large Provider Entity Code]],A198)/C198,"NA")</f>
        <v>NA</v>
      </c>
      <c r="F198" s="7" t="str">
        <f>IFERROR(SUMIFS(TM[[#All],[Total Non-Truncated Claims and Non-Claims Spending]],TM[[#All],[Reporting Year]],2024,TM[[#All],[Insurance Category Code]],1,TM[[#All],[Large Provider Entity Code]],A198)/C198,"NA")</f>
        <v>NA</v>
      </c>
      <c r="G198" s="7" t="str">
        <f>IFERROR(SUMIFS(TM[[#All],[Total Truncated Claims Spending]],TM[[#All],[Reporting Year]],2024,TM[[#All],[Insurance Category Code]],1,TM[[#All],[Large Provider Entity Code]],A198)/C198,"NA")</f>
        <v>NA</v>
      </c>
      <c r="H198" s="206" t="str">
        <f>IFERROR(SUMIFS(TM[[#All],[Total Truncated Expenses]],TM[[#All],[Reporting Year]],2024,TM[[#All],[Insurance Category Code]],1,TM[[#All],[Large Provider Entity Code]],A198)/C198,"NA")</f>
        <v>NA</v>
      </c>
      <c r="I198" s="205">
        <f>SUMIFS(TM[[#All],[Member Months]],TM[[#All],[Reporting Year]],2025,TM[[#All],[Insurance Category Code]],1,TM[[#All],[Large Provider Entity Code]],A198)</f>
        <v>0</v>
      </c>
      <c r="J198" s="7" t="str">
        <f>IFERROR(SUMIFS(TM[[#All],[Total Non-Truncated Claims Spending]],TM[[#All],[Reporting Year]],2025,TM[[#All],[Insurance Category Code]],1,TM[[#All],[Large Provider Entity Code]],A198)/I198,"NA")</f>
        <v>NA</v>
      </c>
      <c r="K198" s="7" t="str">
        <f>IFERROR(SUMIFS(TM[[#All],[Total Non-Claims Spending]],TM[[#All],[Reporting Year]],2025,TM[[#All],[Insurance Category Code]],1,TM[[#All],[Large Provider Entity Code]],A198)/I198,"NA")</f>
        <v>NA</v>
      </c>
      <c r="L198" s="7" t="str">
        <f>IFERROR(SUMIFS(TM[[#All],[Total Non-Truncated Claims and Non-Claims Spending]],TM[[#All],[Reporting Year]],2025,TM[[#All],[Insurance Category Code]],1,TM[[#All],[Large Provider Entity Code]],A198)/I198,"NA")</f>
        <v>NA</v>
      </c>
      <c r="M198" s="7" t="str">
        <f>IFERROR(SUMIFS(TM[[#All],[Total Truncated Claims Spending]],TM[[#All],[Reporting Year]],2025,TM[[#All],[Insurance Category Code]],1,TM[[#All],[Large Provider Entity Code]],A198)/I198,"NA")</f>
        <v>NA</v>
      </c>
      <c r="N198" s="206" t="str">
        <f>IFERROR(SUMIFS(TM[[#All],[Total Truncated Expenses]],TM[[#All],[Reporting Year]],2025,TM[[#All],[Insurance Category Code]],1,TM[[#All],[Large Provider Entity Code]],A198)/I198,"NA")</f>
        <v>NA</v>
      </c>
      <c r="O198" s="169" t="str">
        <f t="shared" si="120"/>
        <v>No</v>
      </c>
      <c r="P198" s="233" t="str">
        <f t="shared" si="119"/>
        <v>NA</v>
      </c>
      <c r="Q198" s="120" t="str">
        <f t="shared" si="119"/>
        <v>NA</v>
      </c>
      <c r="R198" s="120" t="str">
        <f t="shared" si="119"/>
        <v>NA</v>
      </c>
      <c r="S198" s="120" t="str">
        <f t="shared" si="119"/>
        <v>NA</v>
      </c>
      <c r="T198" s="120" t="str">
        <f t="shared" si="119"/>
        <v>NA</v>
      </c>
      <c r="U198" s="120" t="str">
        <f t="shared" si="119"/>
        <v>NA</v>
      </c>
    </row>
    <row r="199" spans="1:21" ht="33.6" x14ac:dyDescent="0.4">
      <c r="A199" s="210">
        <v>123</v>
      </c>
      <c r="B199" s="525" t="s">
        <v>614</v>
      </c>
      <c r="C199" s="205">
        <f>SUMIFS(TM[[#All],[Member Months]],TM[[#All],[Reporting Year]],2024,TM[[#All],[Insurance Category Code]],1,TM[[#All],[Large Provider Entity Code]],A199)</f>
        <v>0</v>
      </c>
      <c r="D199" s="7" t="str">
        <f>IFERROR(SUMIFS(TM[[#All],[Total Non-Truncated Claims Spending]],TM[[#All],[Reporting Year]],2024,TM[[#All],[Insurance Category Code]],1,TM[[#All],[Large Provider Entity Code]],A199)/C199,"NA")</f>
        <v>NA</v>
      </c>
      <c r="E199" s="7" t="str">
        <f>IFERROR(SUMIFS(TM[[#All],[Total Non-Claims Spending]],TM[[#All],[Reporting Year]],2024,TM[[#All],[Insurance Category Code]],1,TM[[#All],[Large Provider Entity Code]],A199)/C199,"NA")</f>
        <v>NA</v>
      </c>
      <c r="F199" s="7" t="str">
        <f>IFERROR(SUMIFS(TM[[#All],[Total Non-Truncated Claims and Non-Claims Spending]],TM[[#All],[Reporting Year]],2024,TM[[#All],[Insurance Category Code]],1,TM[[#All],[Large Provider Entity Code]],A199)/C199,"NA")</f>
        <v>NA</v>
      </c>
      <c r="G199" s="7" t="str">
        <f>IFERROR(SUMIFS(TM[[#All],[Total Truncated Claims Spending]],TM[[#All],[Reporting Year]],2024,TM[[#All],[Insurance Category Code]],1,TM[[#All],[Large Provider Entity Code]],A199)/C199,"NA")</f>
        <v>NA</v>
      </c>
      <c r="H199" s="206" t="str">
        <f>IFERROR(SUMIFS(TM[[#All],[Total Truncated Expenses]],TM[[#All],[Reporting Year]],2024,TM[[#All],[Insurance Category Code]],1,TM[[#All],[Large Provider Entity Code]],A199)/C199,"NA")</f>
        <v>NA</v>
      </c>
      <c r="I199" s="205">
        <f>SUMIFS(TM[[#All],[Member Months]],TM[[#All],[Reporting Year]],2025,TM[[#All],[Insurance Category Code]],1,TM[[#All],[Large Provider Entity Code]],A199)</f>
        <v>0</v>
      </c>
      <c r="J199" s="7" t="str">
        <f>IFERROR(SUMIFS(TM[[#All],[Total Non-Truncated Claims Spending]],TM[[#All],[Reporting Year]],2025,TM[[#All],[Insurance Category Code]],1,TM[[#All],[Large Provider Entity Code]],A199)/I199,"NA")</f>
        <v>NA</v>
      </c>
      <c r="K199" s="7" t="str">
        <f>IFERROR(SUMIFS(TM[[#All],[Total Non-Claims Spending]],TM[[#All],[Reporting Year]],2025,TM[[#All],[Insurance Category Code]],1,TM[[#All],[Large Provider Entity Code]],A199)/I199,"NA")</f>
        <v>NA</v>
      </c>
      <c r="L199" s="7" t="str">
        <f>IFERROR(SUMIFS(TM[[#All],[Total Non-Truncated Claims and Non-Claims Spending]],TM[[#All],[Reporting Year]],2025,TM[[#All],[Insurance Category Code]],1,TM[[#All],[Large Provider Entity Code]],A199)/I199,"NA")</f>
        <v>NA</v>
      </c>
      <c r="M199" s="7" t="str">
        <f>IFERROR(SUMIFS(TM[[#All],[Total Truncated Claims Spending]],TM[[#All],[Reporting Year]],2025,TM[[#All],[Insurance Category Code]],1,TM[[#All],[Large Provider Entity Code]],A199)/I199,"NA")</f>
        <v>NA</v>
      </c>
      <c r="N199" s="206" t="str">
        <f>IFERROR(SUMIFS(TM[[#All],[Total Truncated Expenses]],TM[[#All],[Reporting Year]],2025,TM[[#All],[Insurance Category Code]],1,TM[[#All],[Large Provider Entity Code]],A199)/I199,"NA")</f>
        <v>NA</v>
      </c>
      <c r="O199" s="169" t="str">
        <f t="shared" si="120"/>
        <v>No</v>
      </c>
      <c r="P199" s="233" t="str">
        <f t="shared" ref="P199:P200" si="121">IFERROR((I199/C199-1),"NA")</f>
        <v>NA</v>
      </c>
      <c r="Q199" s="120" t="str">
        <f t="shared" ref="Q199:Q200" si="122">IFERROR((J199/D199-1),"NA")</f>
        <v>NA</v>
      </c>
      <c r="R199" s="120" t="str">
        <f t="shared" ref="R199:R200" si="123">IFERROR((K199/E199-1),"NA")</f>
        <v>NA</v>
      </c>
      <c r="S199" s="120" t="str">
        <f t="shared" ref="S199:S200" si="124">IFERROR((L199/F199-1),"NA")</f>
        <v>NA</v>
      </c>
      <c r="T199" s="120" t="str">
        <f t="shared" ref="T199:T200" si="125">IFERROR((M199/G199-1),"NA")</f>
        <v>NA</v>
      </c>
      <c r="U199" s="120" t="str">
        <f t="shared" ref="U199:U200" si="126">IFERROR((N199/H199-1),"NA")</f>
        <v>NA</v>
      </c>
    </row>
    <row r="200" spans="1:21" x14ac:dyDescent="0.4">
      <c r="A200" s="210">
        <v>124</v>
      </c>
      <c r="B200" s="525" t="s">
        <v>615</v>
      </c>
      <c r="C200" s="205">
        <f>SUMIFS(TM[[#All],[Member Months]],TM[[#All],[Reporting Year]],2024,TM[[#All],[Insurance Category Code]],1,TM[[#All],[Large Provider Entity Code]],A200)</f>
        <v>0</v>
      </c>
      <c r="D200" s="7" t="str">
        <f>IFERROR(SUMIFS(TM[[#All],[Total Non-Truncated Claims Spending]],TM[[#All],[Reporting Year]],2024,TM[[#All],[Insurance Category Code]],1,TM[[#All],[Large Provider Entity Code]],A200)/C200,"NA")</f>
        <v>NA</v>
      </c>
      <c r="E200" s="7" t="str">
        <f>IFERROR(SUMIFS(TM[[#All],[Total Non-Claims Spending]],TM[[#All],[Reporting Year]],2024,TM[[#All],[Insurance Category Code]],1,TM[[#All],[Large Provider Entity Code]],A200)/C200,"NA")</f>
        <v>NA</v>
      </c>
      <c r="F200" s="7" t="str">
        <f>IFERROR(SUMIFS(TM[[#All],[Total Non-Truncated Claims and Non-Claims Spending]],TM[[#All],[Reporting Year]],2024,TM[[#All],[Insurance Category Code]],1,TM[[#All],[Large Provider Entity Code]],A200)/C200,"NA")</f>
        <v>NA</v>
      </c>
      <c r="G200" s="7" t="str">
        <f>IFERROR(SUMIFS(TM[[#All],[Total Truncated Claims Spending]],TM[[#All],[Reporting Year]],2024,TM[[#All],[Insurance Category Code]],1,TM[[#All],[Large Provider Entity Code]],A200)/C200,"NA")</f>
        <v>NA</v>
      </c>
      <c r="H200" s="206" t="str">
        <f>IFERROR(SUMIFS(TM[[#All],[Total Truncated Expenses]],TM[[#All],[Reporting Year]],2024,TM[[#All],[Insurance Category Code]],1,TM[[#All],[Large Provider Entity Code]],A200)/C200,"NA")</f>
        <v>NA</v>
      </c>
      <c r="I200" s="205">
        <f>SUMIFS(TM[[#All],[Member Months]],TM[[#All],[Reporting Year]],2025,TM[[#All],[Insurance Category Code]],1,TM[[#All],[Large Provider Entity Code]],A200)</f>
        <v>0</v>
      </c>
      <c r="J200" s="7" t="str">
        <f>IFERROR(SUMIFS(TM[[#All],[Total Non-Truncated Claims Spending]],TM[[#All],[Reporting Year]],2025,TM[[#All],[Insurance Category Code]],1,TM[[#All],[Large Provider Entity Code]],A200)/I200,"NA")</f>
        <v>NA</v>
      </c>
      <c r="K200" s="7" t="str">
        <f>IFERROR(SUMIFS(TM[[#All],[Total Non-Claims Spending]],TM[[#All],[Reporting Year]],2025,TM[[#All],[Insurance Category Code]],1,TM[[#All],[Large Provider Entity Code]],A200)/I200,"NA")</f>
        <v>NA</v>
      </c>
      <c r="L200" s="7" t="str">
        <f>IFERROR(SUMIFS(TM[[#All],[Total Non-Truncated Claims and Non-Claims Spending]],TM[[#All],[Reporting Year]],2025,TM[[#All],[Insurance Category Code]],1,TM[[#All],[Large Provider Entity Code]],A200)/I200,"NA")</f>
        <v>NA</v>
      </c>
      <c r="M200" s="7" t="str">
        <f>IFERROR(SUMIFS(TM[[#All],[Total Truncated Claims Spending]],TM[[#All],[Reporting Year]],2025,TM[[#All],[Insurance Category Code]],1,TM[[#All],[Large Provider Entity Code]],A200)/I200,"NA")</f>
        <v>NA</v>
      </c>
      <c r="N200" s="206" t="str">
        <f>IFERROR(SUMIFS(TM[[#All],[Total Truncated Expenses]],TM[[#All],[Reporting Year]],2025,TM[[#All],[Insurance Category Code]],1,TM[[#All],[Large Provider Entity Code]],A200)/I200,"NA")</f>
        <v>NA</v>
      </c>
      <c r="O200" s="169" t="str">
        <f t="shared" si="120"/>
        <v>No</v>
      </c>
      <c r="P200" s="233" t="str">
        <f t="shared" si="121"/>
        <v>NA</v>
      </c>
      <c r="Q200" s="120" t="str">
        <f t="shared" si="122"/>
        <v>NA</v>
      </c>
      <c r="R200" s="120" t="str">
        <f t="shared" si="123"/>
        <v>NA</v>
      </c>
      <c r="S200" s="120" t="str">
        <f t="shared" si="124"/>
        <v>NA</v>
      </c>
      <c r="T200" s="120" t="str">
        <f t="shared" si="125"/>
        <v>NA</v>
      </c>
      <c r="U200" s="120" t="str">
        <f t="shared" si="126"/>
        <v>NA</v>
      </c>
    </row>
    <row r="201" spans="1:21" x14ac:dyDescent="0.4">
      <c r="A201" s="462">
        <v>125</v>
      </c>
      <c r="B201" s="525" t="s">
        <v>638</v>
      </c>
      <c r="C201" s="205">
        <f>SUMIFS(TM[[#All],[Member Months]],TM[[#All],[Reporting Year]],2024,TM[[#All],[Insurance Category Code]],1,TM[[#All],[Large Provider Entity Code]],A201)</f>
        <v>0</v>
      </c>
      <c r="D201" s="7" t="str">
        <f>IFERROR(SUMIFS(TM[[#All],[Total Non-Truncated Claims Spending]],TM[[#All],[Reporting Year]],2024,TM[[#All],[Insurance Category Code]],1,TM[[#All],[Large Provider Entity Code]],A201)/C201,"NA")</f>
        <v>NA</v>
      </c>
      <c r="E201" s="7" t="str">
        <f>IFERROR(SUMIFS(TM[[#All],[Total Non-Claims Spending]],TM[[#All],[Reporting Year]],2024,TM[[#All],[Insurance Category Code]],1,TM[[#All],[Large Provider Entity Code]],A201)/C201,"NA")</f>
        <v>NA</v>
      </c>
      <c r="F201" s="7" t="str">
        <f>IFERROR(SUMIFS(TM[[#All],[Total Non-Truncated Claims and Non-Claims Spending]],TM[[#All],[Reporting Year]],2024,TM[[#All],[Insurance Category Code]],1,TM[[#All],[Large Provider Entity Code]],A201)/C201,"NA")</f>
        <v>NA</v>
      </c>
      <c r="G201" s="7" t="str">
        <f>IFERROR(SUMIFS(TM[[#All],[Total Truncated Claims Spending]],TM[[#All],[Reporting Year]],2024,TM[[#All],[Insurance Category Code]],1,TM[[#All],[Large Provider Entity Code]],A201)/C201,"NA")</f>
        <v>NA</v>
      </c>
      <c r="H201" s="206" t="str">
        <f>IFERROR(SUMIFS(TM[[#All],[Total Truncated Expenses]],TM[[#All],[Reporting Year]],2024,TM[[#All],[Insurance Category Code]],1,TM[[#All],[Large Provider Entity Code]],A201)/C201,"NA")</f>
        <v>NA</v>
      </c>
      <c r="I201" s="205">
        <f>SUMIFS(TM[[#All],[Member Months]],TM[[#All],[Reporting Year]],2025,TM[[#All],[Insurance Category Code]],1,TM[[#All],[Large Provider Entity Code]],A201)</f>
        <v>0</v>
      </c>
      <c r="J201" s="7" t="str">
        <f>IFERROR(SUMIFS(TM[[#All],[Total Non-Truncated Claims Spending]],TM[[#All],[Reporting Year]],2025,TM[[#All],[Insurance Category Code]],1,TM[[#All],[Large Provider Entity Code]],A201)/I201,"NA")</f>
        <v>NA</v>
      </c>
      <c r="K201" s="7" t="str">
        <f>IFERROR(SUMIFS(TM[[#All],[Total Non-Claims Spending]],TM[[#All],[Reporting Year]],2025,TM[[#All],[Insurance Category Code]],1,TM[[#All],[Large Provider Entity Code]],A201)/I201,"NA")</f>
        <v>NA</v>
      </c>
      <c r="L201" s="7" t="str">
        <f>IFERROR(SUMIFS(TM[[#All],[Total Non-Truncated Claims and Non-Claims Spending]],TM[[#All],[Reporting Year]],2025,TM[[#All],[Insurance Category Code]],1,TM[[#All],[Large Provider Entity Code]],A201)/I201,"NA")</f>
        <v>NA</v>
      </c>
      <c r="M201" s="7" t="str">
        <f>IFERROR(SUMIFS(TM[[#All],[Total Truncated Claims Spending]],TM[[#All],[Reporting Year]],2025,TM[[#All],[Insurance Category Code]],1,TM[[#All],[Large Provider Entity Code]],A201)/I201,"NA")</f>
        <v>NA</v>
      </c>
      <c r="N201" s="206" t="str">
        <f>IFERROR(SUMIFS(TM[[#All],[Total Truncated Expenses]],TM[[#All],[Reporting Year]],2025,TM[[#All],[Insurance Category Code]],1,TM[[#All],[Large Provider Entity Code]],A201)/I201,"NA")</f>
        <v>NA</v>
      </c>
      <c r="O201" s="169" t="str">
        <f t="shared" ref="O201:O204" si="127">IFERROR(IF(AND(C201&gt;12000,I201&gt;12000),"Yes","No"),"NA")</f>
        <v>No</v>
      </c>
      <c r="P201" s="233" t="str">
        <f t="shared" ref="P201:P204" si="128">IFERROR((I201/C201-1),"NA")</f>
        <v>NA</v>
      </c>
      <c r="Q201" s="120" t="str">
        <f t="shared" ref="Q201:Q204" si="129">IFERROR((J201/D201-1),"NA")</f>
        <v>NA</v>
      </c>
      <c r="R201" s="120" t="str">
        <f t="shared" ref="R201:R204" si="130">IFERROR((K201/E201-1),"NA")</f>
        <v>NA</v>
      </c>
      <c r="S201" s="120" t="str">
        <f t="shared" ref="S201:S204" si="131">IFERROR((L201/F201-1),"NA")</f>
        <v>NA</v>
      </c>
      <c r="T201" s="120" t="str">
        <f t="shared" ref="T201:T204" si="132">IFERROR((M201/G201-1),"NA")</f>
        <v>NA</v>
      </c>
      <c r="U201" s="120" t="str">
        <f t="shared" ref="U201:U204" si="133">IFERROR((N201/H201-1),"NA")</f>
        <v>NA</v>
      </c>
    </row>
    <row r="202" spans="1:21" x14ac:dyDescent="0.4">
      <c r="A202" s="462">
        <v>126</v>
      </c>
      <c r="B202" s="525" t="s">
        <v>639</v>
      </c>
      <c r="C202" s="205">
        <f>SUMIFS(TM[[#All],[Member Months]],TM[[#All],[Reporting Year]],2024,TM[[#All],[Insurance Category Code]],1,TM[[#All],[Large Provider Entity Code]],A202)</f>
        <v>0</v>
      </c>
      <c r="D202" s="7" t="str">
        <f>IFERROR(SUMIFS(TM[[#All],[Total Non-Truncated Claims Spending]],TM[[#All],[Reporting Year]],2024,TM[[#All],[Insurance Category Code]],1,TM[[#All],[Large Provider Entity Code]],A202)/C202,"NA")</f>
        <v>NA</v>
      </c>
      <c r="E202" s="7" t="str">
        <f>IFERROR(SUMIFS(TM[[#All],[Total Non-Claims Spending]],TM[[#All],[Reporting Year]],2024,TM[[#All],[Insurance Category Code]],1,TM[[#All],[Large Provider Entity Code]],A202)/C202,"NA")</f>
        <v>NA</v>
      </c>
      <c r="F202" s="7" t="str">
        <f>IFERROR(SUMIFS(TM[[#All],[Total Non-Truncated Claims and Non-Claims Spending]],TM[[#All],[Reporting Year]],2024,TM[[#All],[Insurance Category Code]],1,TM[[#All],[Large Provider Entity Code]],A202)/C202,"NA")</f>
        <v>NA</v>
      </c>
      <c r="G202" s="7" t="str">
        <f>IFERROR(SUMIFS(TM[[#All],[Total Truncated Claims Spending]],TM[[#All],[Reporting Year]],2024,TM[[#All],[Insurance Category Code]],1,TM[[#All],[Large Provider Entity Code]],A202)/C202,"NA")</f>
        <v>NA</v>
      </c>
      <c r="H202" s="206" t="str">
        <f>IFERROR(SUMIFS(TM[[#All],[Total Truncated Expenses]],TM[[#All],[Reporting Year]],2024,TM[[#All],[Insurance Category Code]],1,TM[[#All],[Large Provider Entity Code]],A202)/C202,"NA")</f>
        <v>NA</v>
      </c>
      <c r="I202" s="205">
        <f>SUMIFS(TM[[#All],[Member Months]],TM[[#All],[Reporting Year]],2025,TM[[#All],[Insurance Category Code]],1,TM[[#All],[Large Provider Entity Code]],A202)</f>
        <v>0</v>
      </c>
      <c r="J202" s="7" t="str">
        <f>IFERROR(SUMIFS(TM[[#All],[Total Non-Truncated Claims Spending]],TM[[#All],[Reporting Year]],2025,TM[[#All],[Insurance Category Code]],1,TM[[#All],[Large Provider Entity Code]],A202)/I202,"NA")</f>
        <v>NA</v>
      </c>
      <c r="K202" s="7" t="str">
        <f>IFERROR(SUMIFS(TM[[#All],[Total Non-Claims Spending]],TM[[#All],[Reporting Year]],2025,TM[[#All],[Insurance Category Code]],1,TM[[#All],[Large Provider Entity Code]],A202)/I202,"NA")</f>
        <v>NA</v>
      </c>
      <c r="L202" s="7" t="str">
        <f>IFERROR(SUMIFS(TM[[#All],[Total Non-Truncated Claims and Non-Claims Spending]],TM[[#All],[Reporting Year]],2025,TM[[#All],[Insurance Category Code]],1,TM[[#All],[Large Provider Entity Code]],A202)/I202,"NA")</f>
        <v>NA</v>
      </c>
      <c r="M202" s="7" t="str">
        <f>IFERROR(SUMIFS(TM[[#All],[Total Truncated Claims Spending]],TM[[#All],[Reporting Year]],2025,TM[[#All],[Insurance Category Code]],1,TM[[#All],[Large Provider Entity Code]],A202)/I202,"NA")</f>
        <v>NA</v>
      </c>
      <c r="N202" s="206" t="str">
        <f>IFERROR(SUMIFS(TM[[#All],[Total Truncated Expenses]],TM[[#All],[Reporting Year]],2025,TM[[#All],[Insurance Category Code]],1,TM[[#All],[Large Provider Entity Code]],A202)/I202,"NA")</f>
        <v>NA</v>
      </c>
      <c r="O202" s="169" t="str">
        <f t="shared" si="127"/>
        <v>No</v>
      </c>
      <c r="P202" s="233" t="str">
        <f t="shared" si="128"/>
        <v>NA</v>
      </c>
      <c r="Q202" s="120" t="str">
        <f t="shared" si="129"/>
        <v>NA</v>
      </c>
      <c r="R202" s="120" t="str">
        <f t="shared" si="130"/>
        <v>NA</v>
      </c>
      <c r="S202" s="120" t="str">
        <f t="shared" si="131"/>
        <v>NA</v>
      </c>
      <c r="T202" s="120" t="str">
        <f t="shared" si="132"/>
        <v>NA</v>
      </c>
      <c r="U202" s="120" t="str">
        <f t="shared" si="133"/>
        <v>NA</v>
      </c>
    </row>
    <row r="203" spans="1:21" ht="33.6" x14ac:dyDescent="0.4">
      <c r="A203" s="462">
        <v>127</v>
      </c>
      <c r="B203" s="525" t="s">
        <v>640</v>
      </c>
      <c r="C203" s="205">
        <f>SUMIFS(TM[[#All],[Member Months]],TM[[#All],[Reporting Year]],2024,TM[[#All],[Insurance Category Code]],1,TM[[#All],[Large Provider Entity Code]],A203)</f>
        <v>0</v>
      </c>
      <c r="D203" s="7" t="str">
        <f>IFERROR(SUMIFS(TM[[#All],[Total Non-Truncated Claims Spending]],TM[[#All],[Reporting Year]],2024,TM[[#All],[Insurance Category Code]],1,TM[[#All],[Large Provider Entity Code]],A203)/C203,"NA")</f>
        <v>NA</v>
      </c>
      <c r="E203" s="7" t="str">
        <f>IFERROR(SUMIFS(TM[[#All],[Total Non-Claims Spending]],TM[[#All],[Reporting Year]],2024,TM[[#All],[Insurance Category Code]],1,TM[[#All],[Large Provider Entity Code]],A203)/C203,"NA")</f>
        <v>NA</v>
      </c>
      <c r="F203" s="7" t="str">
        <f>IFERROR(SUMIFS(TM[[#All],[Total Non-Truncated Claims and Non-Claims Spending]],TM[[#All],[Reporting Year]],2024,TM[[#All],[Insurance Category Code]],1,TM[[#All],[Large Provider Entity Code]],A203)/C203,"NA")</f>
        <v>NA</v>
      </c>
      <c r="G203" s="7" t="str">
        <f>IFERROR(SUMIFS(TM[[#All],[Total Truncated Claims Spending]],TM[[#All],[Reporting Year]],2024,TM[[#All],[Insurance Category Code]],1,TM[[#All],[Large Provider Entity Code]],A203)/C203,"NA")</f>
        <v>NA</v>
      </c>
      <c r="H203" s="206" t="str">
        <f>IFERROR(SUMIFS(TM[[#All],[Total Truncated Expenses]],TM[[#All],[Reporting Year]],2024,TM[[#All],[Insurance Category Code]],1,TM[[#All],[Large Provider Entity Code]],A203)/C203,"NA")</f>
        <v>NA</v>
      </c>
      <c r="I203" s="205">
        <f>SUMIFS(TM[[#All],[Member Months]],TM[[#All],[Reporting Year]],2025,TM[[#All],[Insurance Category Code]],1,TM[[#All],[Large Provider Entity Code]],A203)</f>
        <v>0</v>
      </c>
      <c r="J203" s="7" t="str">
        <f>IFERROR(SUMIFS(TM[[#All],[Total Non-Truncated Claims Spending]],TM[[#All],[Reporting Year]],2025,TM[[#All],[Insurance Category Code]],1,TM[[#All],[Large Provider Entity Code]],A203)/I203,"NA")</f>
        <v>NA</v>
      </c>
      <c r="K203" s="7" t="str">
        <f>IFERROR(SUMIFS(TM[[#All],[Total Non-Claims Spending]],TM[[#All],[Reporting Year]],2025,TM[[#All],[Insurance Category Code]],1,TM[[#All],[Large Provider Entity Code]],A203)/I203,"NA")</f>
        <v>NA</v>
      </c>
      <c r="L203" s="7" t="str">
        <f>IFERROR(SUMIFS(TM[[#All],[Total Non-Truncated Claims and Non-Claims Spending]],TM[[#All],[Reporting Year]],2025,TM[[#All],[Insurance Category Code]],1,TM[[#All],[Large Provider Entity Code]],A203)/I203,"NA")</f>
        <v>NA</v>
      </c>
      <c r="M203" s="7" t="str">
        <f>IFERROR(SUMIFS(TM[[#All],[Total Truncated Claims Spending]],TM[[#All],[Reporting Year]],2025,TM[[#All],[Insurance Category Code]],1,TM[[#All],[Large Provider Entity Code]],A203)/I203,"NA")</f>
        <v>NA</v>
      </c>
      <c r="N203" s="206" t="str">
        <f>IFERROR(SUMIFS(TM[[#All],[Total Truncated Expenses]],TM[[#All],[Reporting Year]],2025,TM[[#All],[Insurance Category Code]],1,TM[[#All],[Large Provider Entity Code]],A203)/I203,"NA")</f>
        <v>NA</v>
      </c>
      <c r="O203" s="169" t="str">
        <f t="shared" si="127"/>
        <v>No</v>
      </c>
      <c r="P203" s="233" t="str">
        <f t="shared" si="128"/>
        <v>NA</v>
      </c>
      <c r="Q203" s="120" t="str">
        <f t="shared" si="129"/>
        <v>NA</v>
      </c>
      <c r="R203" s="120" t="str">
        <f t="shared" si="130"/>
        <v>NA</v>
      </c>
      <c r="S203" s="120" t="str">
        <f t="shared" si="131"/>
        <v>NA</v>
      </c>
      <c r="T203" s="120" t="str">
        <f t="shared" si="132"/>
        <v>NA</v>
      </c>
      <c r="U203" s="120" t="str">
        <f t="shared" si="133"/>
        <v>NA</v>
      </c>
    </row>
    <row r="204" spans="1:21" x14ac:dyDescent="0.4">
      <c r="A204" s="462">
        <v>128</v>
      </c>
      <c r="B204" s="525" t="s">
        <v>641</v>
      </c>
      <c r="C204" s="205">
        <f>SUMIFS(TM[[#All],[Member Months]],TM[[#All],[Reporting Year]],2024,TM[[#All],[Insurance Category Code]],1,TM[[#All],[Large Provider Entity Code]],A204)</f>
        <v>0</v>
      </c>
      <c r="D204" s="7" t="str">
        <f>IFERROR(SUMIFS(TM[[#All],[Total Non-Truncated Claims Spending]],TM[[#All],[Reporting Year]],2024,TM[[#All],[Insurance Category Code]],1,TM[[#All],[Large Provider Entity Code]],A204)/C204,"NA")</f>
        <v>NA</v>
      </c>
      <c r="E204" s="7" t="str">
        <f>IFERROR(SUMIFS(TM[[#All],[Total Non-Claims Spending]],TM[[#All],[Reporting Year]],2024,TM[[#All],[Insurance Category Code]],1,TM[[#All],[Large Provider Entity Code]],A204)/C204,"NA")</f>
        <v>NA</v>
      </c>
      <c r="F204" s="7" t="str">
        <f>IFERROR(SUMIFS(TM[[#All],[Total Non-Truncated Claims and Non-Claims Spending]],TM[[#All],[Reporting Year]],2024,TM[[#All],[Insurance Category Code]],1,TM[[#All],[Large Provider Entity Code]],A204)/C204,"NA")</f>
        <v>NA</v>
      </c>
      <c r="G204" s="7" t="str">
        <f>IFERROR(SUMIFS(TM[[#All],[Total Truncated Claims Spending]],TM[[#All],[Reporting Year]],2024,TM[[#All],[Insurance Category Code]],1,TM[[#All],[Large Provider Entity Code]],A204)/C204,"NA")</f>
        <v>NA</v>
      </c>
      <c r="H204" s="206" t="str">
        <f>IFERROR(SUMIFS(TM[[#All],[Total Truncated Expenses]],TM[[#All],[Reporting Year]],2024,TM[[#All],[Insurance Category Code]],1,TM[[#All],[Large Provider Entity Code]],A204)/C204,"NA")</f>
        <v>NA</v>
      </c>
      <c r="I204" s="205">
        <f>SUMIFS(TM[[#All],[Member Months]],TM[[#All],[Reporting Year]],2025,TM[[#All],[Insurance Category Code]],1,TM[[#All],[Large Provider Entity Code]],A204)</f>
        <v>0</v>
      </c>
      <c r="J204" s="7" t="str">
        <f>IFERROR(SUMIFS(TM[[#All],[Total Non-Truncated Claims Spending]],TM[[#All],[Reporting Year]],2025,TM[[#All],[Insurance Category Code]],1,TM[[#All],[Large Provider Entity Code]],A204)/I204,"NA")</f>
        <v>NA</v>
      </c>
      <c r="K204" s="7" t="str">
        <f>IFERROR(SUMIFS(TM[[#All],[Total Non-Claims Spending]],TM[[#All],[Reporting Year]],2025,TM[[#All],[Insurance Category Code]],1,TM[[#All],[Large Provider Entity Code]],A204)/I204,"NA")</f>
        <v>NA</v>
      </c>
      <c r="L204" s="7" t="str">
        <f>IFERROR(SUMIFS(TM[[#All],[Total Non-Truncated Claims and Non-Claims Spending]],TM[[#All],[Reporting Year]],2025,TM[[#All],[Insurance Category Code]],1,TM[[#All],[Large Provider Entity Code]],A204)/I204,"NA")</f>
        <v>NA</v>
      </c>
      <c r="M204" s="7" t="str">
        <f>IFERROR(SUMIFS(TM[[#All],[Total Truncated Claims Spending]],TM[[#All],[Reporting Year]],2025,TM[[#All],[Insurance Category Code]],1,TM[[#All],[Large Provider Entity Code]],A204)/I204,"NA")</f>
        <v>NA</v>
      </c>
      <c r="N204" s="206" t="str">
        <f>IFERROR(SUMIFS(TM[[#All],[Total Truncated Expenses]],TM[[#All],[Reporting Year]],2025,TM[[#All],[Insurance Category Code]],1,TM[[#All],[Large Provider Entity Code]],A204)/I204,"NA")</f>
        <v>NA</v>
      </c>
      <c r="O204" s="169" t="str">
        <f t="shared" si="127"/>
        <v>No</v>
      </c>
      <c r="P204" s="233" t="str">
        <f t="shared" si="128"/>
        <v>NA</v>
      </c>
      <c r="Q204" s="120" t="str">
        <f t="shared" si="129"/>
        <v>NA</v>
      </c>
      <c r="R204" s="120" t="str">
        <f t="shared" si="130"/>
        <v>NA</v>
      </c>
      <c r="S204" s="120" t="str">
        <f t="shared" si="131"/>
        <v>NA</v>
      </c>
      <c r="T204" s="120" t="str">
        <f t="shared" si="132"/>
        <v>NA</v>
      </c>
      <c r="U204" s="120" t="str">
        <f t="shared" si="133"/>
        <v>NA</v>
      </c>
    </row>
    <row r="205" spans="1:21" x14ac:dyDescent="0.4">
      <c r="A205" s="210">
        <v>999</v>
      </c>
      <c r="B205" s="525" t="s">
        <v>71</v>
      </c>
      <c r="C205" s="205">
        <f>SUMIFS(TM[[#All],[Member Months]],TM[[#All],[Reporting Year]],2024,TM[[#All],[Insurance Category Code]],1,TM[[#All],[Large Provider Entity Code]],A205)</f>
        <v>0</v>
      </c>
      <c r="D205" s="7" t="str">
        <f>IFERROR(SUMIFS(TM[[#All],[Total Non-Truncated Claims Spending]],TM[[#All],[Reporting Year]],2024,TM[[#All],[Insurance Category Code]],1,TM[[#All],[Large Provider Entity Code]],A205)/C205,"NA")</f>
        <v>NA</v>
      </c>
      <c r="E205" s="7" t="str">
        <f>IFERROR(SUMIFS(TM[[#All],[Total Non-Claims Spending]],TM[[#All],[Reporting Year]],2024,TM[[#All],[Insurance Category Code]],1,TM[[#All],[Large Provider Entity Code]],A205)/C205,"NA")</f>
        <v>NA</v>
      </c>
      <c r="F205" s="7" t="str">
        <f>IFERROR(SUMIFS(TM[[#All],[Total Non-Truncated Claims and Non-Claims Spending]],TM[[#All],[Reporting Year]],2024,TM[[#All],[Insurance Category Code]],1,TM[[#All],[Large Provider Entity Code]],A205)/C205,"NA")</f>
        <v>NA</v>
      </c>
      <c r="G205" s="7" t="str">
        <f>IFERROR(SUMIFS(TM[[#All],[Total Truncated Claims Spending]],TM[[#All],[Reporting Year]],2024,TM[[#All],[Insurance Category Code]],1,TM[[#All],[Large Provider Entity Code]],A205)/C205,"NA")</f>
        <v>NA</v>
      </c>
      <c r="H205" s="206" t="str">
        <f>IFERROR(SUMIFS(TM[[#All],[Total Truncated Expenses]],TM[[#All],[Reporting Year]],2024,TM[[#All],[Insurance Category Code]],1,TM[[#All],[Large Provider Entity Code]],A205)/C205,"NA")</f>
        <v>NA</v>
      </c>
      <c r="I205" s="205">
        <f>SUMIFS(TM[[#All],[Member Months]],TM[[#All],[Reporting Year]],2025,TM[[#All],[Insurance Category Code]],1,TM[[#All],[Large Provider Entity Code]],A205)</f>
        <v>0</v>
      </c>
      <c r="J205" s="7" t="str">
        <f>IFERROR(SUMIFS(TM[[#All],[Total Non-Truncated Claims Spending]],TM[[#All],[Reporting Year]],2025,TM[[#All],[Insurance Category Code]],1,TM[[#All],[Large Provider Entity Code]],A205)/I205,"NA")</f>
        <v>NA</v>
      </c>
      <c r="K205" s="7" t="str">
        <f>IFERROR(SUMIFS(TM[[#All],[Total Non-Claims Spending]],TM[[#All],[Reporting Year]],2025,TM[[#All],[Insurance Category Code]],1,TM[[#All],[Large Provider Entity Code]],A205)/I205,"NA")</f>
        <v>NA</v>
      </c>
      <c r="L205" s="7" t="str">
        <f>IFERROR(SUMIFS(TM[[#All],[Total Non-Truncated Claims and Non-Claims Spending]],TM[[#All],[Reporting Year]],2025,TM[[#All],[Insurance Category Code]],1,TM[[#All],[Large Provider Entity Code]],A205)/I205,"NA")</f>
        <v>NA</v>
      </c>
      <c r="M205" s="7" t="str">
        <f>IFERROR(SUMIFS(TM[[#All],[Total Truncated Claims Spending]],TM[[#All],[Reporting Year]],2025,TM[[#All],[Insurance Category Code]],1,TM[[#All],[Large Provider Entity Code]],A205)/I205,"NA")</f>
        <v>NA</v>
      </c>
      <c r="N205" s="90" t="str">
        <f>IFERROR(SUMIFS(TM[[#All],[Total Truncated Expenses]],TM[[#All],[Reporting Year]],2025,TM[[#All],[Insurance Category Code]],1,TM[[#All],[Large Provider Entity Code]],A205)/I205,"NA")</f>
        <v>NA</v>
      </c>
      <c r="O205" s="169" t="str">
        <f>IFERROR(IF(AND(C205&gt;12000,I205&gt;12000),"Yes","No"),"NA")</f>
        <v>No</v>
      </c>
      <c r="P205" s="233" t="str">
        <f t="shared" si="119"/>
        <v>NA</v>
      </c>
      <c r="Q205" s="120" t="str">
        <f t="shared" si="119"/>
        <v>NA</v>
      </c>
      <c r="R205" s="120" t="str">
        <f t="shared" si="119"/>
        <v>NA</v>
      </c>
      <c r="S205" s="120" t="str">
        <f t="shared" si="119"/>
        <v>NA</v>
      </c>
      <c r="T205" s="120" t="str">
        <f t="shared" si="119"/>
        <v>NA</v>
      </c>
      <c r="U205" s="120" t="str">
        <f t="shared" si="119"/>
        <v>NA</v>
      </c>
    </row>
    <row r="206" spans="1:21" ht="30" customHeight="1" x14ac:dyDescent="0.4">
      <c r="A206" s="572" t="s">
        <v>523</v>
      </c>
      <c r="B206" s="573"/>
      <c r="C206" s="158">
        <f>SUM(C182:C205)</f>
        <v>0</v>
      </c>
      <c r="D206" s="124" t="str">
        <f>IFERROR((SUMPRODUCT(D182:D205,C182:C205)/C206),"NA")</f>
        <v>NA</v>
      </c>
      <c r="E206" s="124" t="str">
        <f>IFERROR((SUMPRODUCT(E182:E205,C182:C205)/C206),"NA")</f>
        <v>NA</v>
      </c>
      <c r="F206" s="124" t="str">
        <f>IFERROR((SUMPRODUCT(F182:F205,C182:C205)/C206),"NA")</f>
        <v>NA</v>
      </c>
      <c r="G206" s="124" t="str">
        <f>IFERROR((SUMPRODUCT(G182:G205,C182:C205)/C206),"NA")</f>
        <v>NA</v>
      </c>
      <c r="H206" s="124" t="str">
        <f>IFERROR((SUMPRODUCT(H182:H205,C182:C205)/C206),"NA")</f>
        <v>NA</v>
      </c>
      <c r="I206" s="220">
        <f>SUM(I182:I205)</f>
        <v>0</v>
      </c>
      <c r="J206" s="124" t="str">
        <f>IFERROR((SUMPRODUCT(J182:J205,I182:I205)/I206),"NA")</f>
        <v>NA</v>
      </c>
      <c r="K206" s="124" t="str">
        <f>IFERROR((SUMPRODUCT(K182:K205,I182:I205)/I206),"NA")</f>
        <v>NA</v>
      </c>
      <c r="L206" s="124" t="str">
        <f>IFERROR((SUMPRODUCT(L182:L205,I182:I205)/I206),"NA")</f>
        <v>NA</v>
      </c>
      <c r="M206" s="124" t="str">
        <f>IFERROR((SUMPRODUCT(M182:M205,I182:I205)/I206),"NA")</f>
        <v>NA</v>
      </c>
      <c r="N206" s="198" t="str">
        <f>IFERROR((SUMPRODUCT(N182:N205,I182:I205)/I206),"NA")</f>
        <v>NA</v>
      </c>
      <c r="O206" s="434" t="s">
        <v>470</v>
      </c>
      <c r="P206" s="386" t="s">
        <v>470</v>
      </c>
      <c r="Q206" s="385" t="s">
        <v>470</v>
      </c>
      <c r="R206" s="385" t="s">
        <v>470</v>
      </c>
      <c r="S206" s="385" t="s">
        <v>470</v>
      </c>
      <c r="T206" s="385" t="s">
        <v>470</v>
      </c>
      <c r="U206" s="385" t="s">
        <v>470</v>
      </c>
    </row>
    <row r="207" spans="1:21" x14ac:dyDescent="0.4">
      <c r="A207" s="574" t="s">
        <v>519</v>
      </c>
      <c r="B207" s="575"/>
      <c r="C207" s="158" t="s">
        <v>470</v>
      </c>
      <c r="D207" s="123" t="str">
        <f>IFERROR(((SUMPRODUCT(D181,$C$181))-ABS(SUMIFS(RX[[#All],[Total Medical and Retail Pharmacy Rebate Amount]],RX[[#All],[Reporting Year]],2024,RX[[#All],[Insurance Category Code]],1)))/$C$206,"NA")</f>
        <v>NA</v>
      </c>
      <c r="E207" s="123" t="str">
        <f>IFERROR(((SUMPRODUCT(E181,$C$181))-ABS(SUMIFS(RX[[#All],[Total Medical and Retail Pharmacy Rebate Amount]],RX[[#All],[Reporting Year]],2024,RX[[#All],[Insurance Category Code]],1)))/$C$206,"NA")</f>
        <v>NA</v>
      </c>
      <c r="F207" s="123" t="str">
        <f>IFERROR(((SUMPRODUCT(F181,$C$181))-ABS(SUMIFS(RX[[#All],[Total Medical and Retail Pharmacy Rebate Amount]],RX[[#All],[Reporting Year]],2024,RX[[#All],[Insurance Category Code]],1)))/$C$206,"NA")</f>
        <v>NA</v>
      </c>
      <c r="G207" s="123" t="str">
        <f>IFERROR(((SUMPRODUCT(G181,$C$181))-ABS(SUMIFS(RX[[#All],[Total Medical and Retail Pharmacy Rebate Amount]],RX[[#All],[Reporting Year]],2024,RX[[#All],[Insurance Category Code]],1)))/$C$206,"NA")</f>
        <v>NA</v>
      </c>
      <c r="H207" s="200" t="str">
        <f>IFERROR(((SUMPRODUCT(H181,$C$181))-ABS(SUMIFS(RX[[#All],[Total Medical and Retail Pharmacy Rebate Amount]],RX[[#All],[Reporting Year]],2024,RX[[#All],[Insurance Category Code]],1)))/$C$206,"NA")</f>
        <v>NA</v>
      </c>
      <c r="I207" s="158" t="s">
        <v>470</v>
      </c>
      <c r="J207" s="123" t="str">
        <f>IFERROR(((SUMPRODUCT(J181,$I$181))-ABS(SUMIFS(RX[[#All],[Total Medical and Retail Pharmacy Rebate Amount]],RX[[#All],[Reporting Year]],2025,RX[[#All],[Insurance Category Code]],1)))/$I$206,"NA")</f>
        <v>NA</v>
      </c>
      <c r="K207" s="123" t="str">
        <f>IFERROR(((SUMPRODUCT(K181,$I$181))-ABS(SUMIFS(RX[[#All],[Total Medical and Retail Pharmacy Rebate Amount]],RX[[#All],[Reporting Year]],2025,RX[[#All],[Insurance Category Code]],1)))/$I$206,"NA")</f>
        <v>NA</v>
      </c>
      <c r="L207" s="123" t="str">
        <f>IFERROR(((SUMPRODUCT(L181,$I$181))-ABS(SUMIFS(RX[[#All],[Total Medical and Retail Pharmacy Rebate Amount]],RX[[#All],[Reporting Year]],2025,RX[[#All],[Insurance Category Code]],1)))/$I$206,"NA")</f>
        <v>NA</v>
      </c>
      <c r="M207" s="123" t="str">
        <f>IFERROR(((SUMPRODUCT(M181,$I$181))-ABS(SUMIFS(RX[[#All],[Total Medical and Retail Pharmacy Rebate Amount]],RX[[#All],[Reporting Year]],2025,RX[[#All],[Insurance Category Code]],1)))/$I$206,"NA")</f>
        <v>NA</v>
      </c>
      <c r="N207" s="200" t="str">
        <f>IFERROR(((SUMPRODUCT(N181,$I$181))-ABS(SUMIFS(RX[[#All],[Total Medical and Retail Pharmacy Rebate Amount]],RX[[#All],[Reporting Year]],2025,RX[[#All],[Insurance Category Code]],1)))/$I$206,"NA")</f>
        <v>NA</v>
      </c>
      <c r="O207" s="434" t="s">
        <v>470</v>
      </c>
      <c r="P207" s="386" t="s">
        <v>470</v>
      </c>
      <c r="Q207" s="385" t="s">
        <v>470</v>
      </c>
      <c r="R207" s="385" t="s">
        <v>470</v>
      </c>
      <c r="S207" s="385" t="s">
        <v>470</v>
      </c>
      <c r="T207" s="385" t="s">
        <v>470</v>
      </c>
      <c r="U207" s="385" t="s">
        <v>470</v>
      </c>
    </row>
    <row r="208" spans="1:21" x14ac:dyDescent="0.4">
      <c r="A208" s="558" t="s">
        <v>520</v>
      </c>
      <c r="B208" s="559"/>
      <c r="C208" s="219">
        <f>ABS(C206-C181)</f>
        <v>0</v>
      </c>
      <c r="D208" s="219" t="e">
        <f>ABS(D206-D181)</f>
        <v>#VALUE!</v>
      </c>
      <c r="E208" s="219" t="e">
        <f>ABS(E206-E181)</f>
        <v>#VALUE!</v>
      </c>
      <c r="F208" s="219" t="e">
        <f>ABS(F206-F181)</f>
        <v>#VALUE!</v>
      </c>
      <c r="G208" s="219" t="s">
        <v>470</v>
      </c>
      <c r="H208" s="223" t="s">
        <v>470</v>
      </c>
      <c r="I208" s="213">
        <f>ABS(I206-I181)</f>
        <v>0</v>
      </c>
      <c r="J208" s="219" t="e">
        <f>ABS(J206-J181)</f>
        <v>#VALUE!</v>
      </c>
      <c r="K208" s="219" t="e">
        <f>ABS(K206-K181)</f>
        <v>#VALUE!</v>
      </c>
      <c r="L208" s="219" t="e">
        <f>ABS(L206-L181)</f>
        <v>#VALUE!</v>
      </c>
      <c r="M208" s="219" t="s">
        <v>470</v>
      </c>
      <c r="N208" s="223" t="s">
        <v>470</v>
      </c>
      <c r="O208" s="435" t="s">
        <v>470</v>
      </c>
      <c r="P208" s="436" t="s">
        <v>470</v>
      </c>
      <c r="Q208" s="438" t="s">
        <v>470</v>
      </c>
      <c r="R208" s="438" t="s">
        <v>470</v>
      </c>
      <c r="S208" s="438" t="s">
        <v>470</v>
      </c>
      <c r="T208" s="438" t="s">
        <v>470</v>
      </c>
      <c r="U208" s="438" t="s">
        <v>470</v>
      </c>
    </row>
    <row r="209" spans="1:21" x14ac:dyDescent="0.4">
      <c r="A209" s="560" t="s">
        <v>521</v>
      </c>
      <c r="B209" s="561"/>
      <c r="C209" s="244" t="str">
        <f>IF(((ABS(C181-C206))&lt;10),"Yes","No")</f>
        <v>Yes</v>
      </c>
      <c r="D209" s="174" t="e">
        <f>IF(((ABS(D181-D206))&lt;10),"Yes","No")</f>
        <v>#VALUE!</v>
      </c>
      <c r="E209" s="174" t="e">
        <f>IF(((ABS(E181-E206))&lt;10),"Yes","No")</f>
        <v>#VALUE!</v>
      </c>
      <c r="F209" s="174" t="e">
        <f>IF(((ABS(F181-F206))&lt;10),"Yes","No")</f>
        <v>#VALUE!</v>
      </c>
      <c r="G209" s="174" t="s">
        <v>470</v>
      </c>
      <c r="H209" s="225" t="s">
        <v>470</v>
      </c>
      <c r="I209" s="242" t="str">
        <f>IF(((ABS(I181-I206))&lt;10),"Yes","No")</f>
        <v>Yes</v>
      </c>
      <c r="J209" s="174" t="e">
        <f>IF(((ABS(J181-J206))&lt;10),"Yes","No")</f>
        <v>#VALUE!</v>
      </c>
      <c r="K209" s="174" t="e">
        <f>IF(((ABS(K181-K206))&lt;10),"Yes","No")</f>
        <v>#VALUE!</v>
      </c>
      <c r="L209" s="174" t="e">
        <f>IF(((ABS(L181-L206))&lt;10),"Yes","No")</f>
        <v>#VALUE!</v>
      </c>
      <c r="M209" s="174" t="s">
        <v>470</v>
      </c>
      <c r="N209" s="225" t="s">
        <v>470</v>
      </c>
      <c r="O209" s="435" t="s">
        <v>470</v>
      </c>
      <c r="P209" s="436" t="s">
        <v>470</v>
      </c>
      <c r="Q209" s="438" t="s">
        <v>470</v>
      </c>
      <c r="R209" s="438" t="s">
        <v>470</v>
      </c>
      <c r="S209" s="438" t="s">
        <v>470</v>
      </c>
      <c r="T209" s="438" t="s">
        <v>470</v>
      </c>
      <c r="U209" s="438" t="s">
        <v>470</v>
      </c>
    </row>
    <row r="210" spans="1:21" x14ac:dyDescent="0.4">
      <c r="A210"/>
      <c r="B210"/>
      <c r="C210"/>
      <c r="D210"/>
      <c r="E210"/>
      <c r="F210"/>
      <c r="G210"/>
      <c r="H210"/>
      <c r="I210"/>
      <c r="J210"/>
      <c r="K210"/>
      <c r="L210"/>
      <c r="M210"/>
      <c r="N210"/>
      <c r="O210" s="2"/>
      <c r="P210"/>
      <c r="Q210"/>
      <c r="R210"/>
      <c r="S210"/>
      <c r="T210"/>
      <c r="U210"/>
    </row>
    <row r="211" spans="1:21" x14ac:dyDescent="0.4">
      <c r="A211"/>
      <c r="B211"/>
      <c r="C211"/>
      <c r="D211"/>
      <c r="E211"/>
      <c r="F211"/>
      <c r="G211"/>
      <c r="H211"/>
      <c r="I211"/>
      <c r="J211"/>
      <c r="K211"/>
      <c r="L211"/>
      <c r="M211"/>
      <c r="N211"/>
      <c r="O211" s="2"/>
      <c r="P211"/>
      <c r="Q211"/>
      <c r="R211"/>
      <c r="S211"/>
      <c r="T211"/>
      <c r="U211"/>
    </row>
    <row r="212" spans="1:21" x14ac:dyDescent="0.4">
      <c r="A212" s="3" t="s">
        <v>528</v>
      </c>
      <c r="B212"/>
      <c r="C212"/>
      <c r="D212"/>
      <c r="E212"/>
      <c r="F212"/>
      <c r="G212"/>
      <c r="H212"/>
      <c r="I212"/>
      <c r="J212"/>
      <c r="K212"/>
      <c r="L212"/>
      <c r="M212"/>
      <c r="N212"/>
      <c r="O212" s="2"/>
      <c r="P212"/>
      <c r="Q212"/>
      <c r="R212"/>
      <c r="S212"/>
      <c r="T212"/>
      <c r="U212"/>
    </row>
    <row r="213" spans="1:21" x14ac:dyDescent="0.4">
      <c r="A213" s="562" t="s">
        <v>66</v>
      </c>
      <c r="B213" s="564" t="s">
        <v>505</v>
      </c>
      <c r="C213" s="566">
        <v>2024</v>
      </c>
      <c r="D213" s="567"/>
      <c r="E213" s="567"/>
      <c r="F213" s="567"/>
      <c r="G213" s="567"/>
      <c r="H213" s="568"/>
      <c r="I213" s="569">
        <v>2025</v>
      </c>
      <c r="J213" s="570"/>
      <c r="K213" s="570"/>
      <c r="L213" s="570"/>
      <c r="M213" s="570"/>
      <c r="N213" s="571"/>
      <c r="O213" s="576" t="s">
        <v>644</v>
      </c>
      <c r="P213" s="577"/>
      <c r="Q213" s="577"/>
      <c r="R213" s="577"/>
      <c r="S213" s="577"/>
      <c r="T213" s="577"/>
      <c r="U213" s="578"/>
    </row>
    <row r="214" spans="1:21" ht="50.4" x14ac:dyDescent="0.4">
      <c r="A214" s="563"/>
      <c r="B214" s="565"/>
      <c r="C214" s="84" t="s">
        <v>328</v>
      </c>
      <c r="D214" s="85" t="s">
        <v>507</v>
      </c>
      <c r="E214" s="85" t="s">
        <v>508</v>
      </c>
      <c r="F214" s="85" t="s">
        <v>509</v>
      </c>
      <c r="G214" s="85" t="s">
        <v>510</v>
      </c>
      <c r="H214" s="197" t="s">
        <v>511</v>
      </c>
      <c r="I214" s="81" t="s">
        <v>328</v>
      </c>
      <c r="J214" s="82" t="s">
        <v>507</v>
      </c>
      <c r="K214" s="82" t="s">
        <v>508</v>
      </c>
      <c r="L214" s="82" t="s">
        <v>509</v>
      </c>
      <c r="M214" s="82" t="s">
        <v>510</v>
      </c>
      <c r="N214" s="83" t="s">
        <v>511</v>
      </c>
      <c r="O214" s="410" t="s">
        <v>635</v>
      </c>
      <c r="P214" s="230" t="s">
        <v>512</v>
      </c>
      <c r="Q214" s="71" t="s">
        <v>513</v>
      </c>
      <c r="R214" s="71" t="s">
        <v>514</v>
      </c>
      <c r="S214" s="71" t="s">
        <v>515</v>
      </c>
      <c r="T214" s="71" t="s">
        <v>516</v>
      </c>
      <c r="U214" s="209" t="s">
        <v>517</v>
      </c>
    </row>
    <row r="215" spans="1:21" x14ac:dyDescent="0.4">
      <c r="A215" s="211">
        <v>100</v>
      </c>
      <c r="B215" s="525" t="s">
        <v>67</v>
      </c>
      <c r="C215" s="89">
        <f>SUMIFS(TM[[#All],[Member Months]],TM[[#All],[Reporting Year]],2024,TM[[#All],[Insurance Category Code]],5,TM[[#All],[Large Provider Entity Code]],A215)</f>
        <v>0</v>
      </c>
      <c r="D215" s="7" t="str">
        <f>IFERROR(SUMIFS(TM[[#All],[Total Non-Truncated Claims Spending]],TM[[#All],[Reporting Year]],2024,TM[[#All],[Insurance Category Code]],5,TM[[#All],[Large Provider Entity Code]],A215)/C215,"NA")</f>
        <v>NA</v>
      </c>
      <c r="E215" s="7" t="str">
        <f>IFERROR(SUMIFS(TM[[#All],[Total Non-Claims Spending]],TM[[#All],[Reporting Year]],2024,TM[[#All],[Insurance Category Code]],5,TM[[#All],[Large Provider Entity Code]],A215)/C215,"NA")</f>
        <v>NA</v>
      </c>
      <c r="F215" s="7" t="str">
        <f>IFERROR(SUMIFS(TM[[#All],[Total Non-Truncated Claims and Non-Claims Spending]],TM[[#All],[Reporting Year]],2024,TM[[#All],[Insurance Category Code]],5,TM[[#All],[Large Provider Entity Code]],A215)/C215,"NA")</f>
        <v>NA</v>
      </c>
      <c r="G215" s="7" t="str">
        <f>IFERROR(SUMIFS(TM[[#All],[Total Truncated Claims Spending]],TM[[#All],[Reporting Year]],2024,TM[[#All],[Insurance Category Code]],5,TM[[#All],[Large Provider Entity Code]],A215)/C215,"NA")</f>
        <v>NA</v>
      </c>
      <c r="H215" s="196" t="str">
        <f>IFERROR(SUMIFS(TM[[#All],[Total Truncated Expenses]],TM[[#All],[Reporting Year]],2024,TM[[#All],[Insurance Category Code]],5,TM[[#All],[Large Provider Entity Code]],A215)/C215,"NA")</f>
        <v>NA</v>
      </c>
      <c r="I215" s="89">
        <f>SUMIFS(TM[[#All],[Member Months]],TM[[#All],[Reporting Year]],2025,TM[[#All],[Insurance Category Code]],5,TM[[#All],[Large Provider Entity Code]],A215)</f>
        <v>0</v>
      </c>
      <c r="J215" s="7" t="str">
        <f>IFERROR(SUMIFS(TM[[#All],[Total Non-Truncated Claims Spending]],TM[[#All],[Reporting Year]],2025,TM[[#All],[Insurance Category Code]],5,TM[[#All],[Large Provider Entity Code]],A215)/I215,"NA")</f>
        <v>NA</v>
      </c>
      <c r="K215" s="7" t="str">
        <f>IFERROR(SUMIFS(TM[[#All],[Total Non-Claims Spending]],TM[[#All],[Reporting Year]],2025,TM[[#All],[Insurance Category Code]],5,TM[[#All],[Large Provider Entity Code]],A215)/I215,"NA")</f>
        <v>NA</v>
      </c>
      <c r="L215" s="7" t="str">
        <f>IFERROR(SUMIFS(TM[[#All],[Total Non-Truncated Claims and Non-Claims Spending]],TM[[#All],[Reporting Year]],2025,TM[[#All],[Insurance Category Code]],5,TM[[#All],[Large Provider Entity Code]],A215)/I215,"NA")</f>
        <v>NA</v>
      </c>
      <c r="M215" s="7" t="str">
        <f>IFERROR(SUMIFS(TM[[#All],[Total Truncated Claims Spending]],TM[[#All],[Reporting Year]],2025,TM[[#All],[Insurance Category Code]],5,TM[[#All],[Large Provider Entity Code]],A215)/I215,"NA")</f>
        <v>NA</v>
      </c>
      <c r="N215" s="90" t="str">
        <f>IFERROR(SUMIFS(TM[[#All],[Total Truncated Expenses]],TM[[#All],[Reporting Year]],2025,TM[[#All],[Insurance Category Code]],5,TM[[#All],[Large Provider Entity Code]],A215)/I215,"NA")</f>
        <v>NA</v>
      </c>
      <c r="O215" s="169" t="str">
        <f>IFERROR(IF(AND(C215&gt;12000,I215&gt;12000),"Yes","No"),"NA")</f>
        <v>No</v>
      </c>
      <c r="P215" s="231" t="str">
        <f t="shared" ref="P215:U239" si="134">IFERROR((I215/C215-1),"NA")</f>
        <v>NA</v>
      </c>
      <c r="Q215" s="91" t="str">
        <f t="shared" si="134"/>
        <v>NA</v>
      </c>
      <c r="R215" s="91" t="str">
        <f t="shared" si="134"/>
        <v>NA</v>
      </c>
      <c r="S215" s="91" t="str">
        <f t="shared" si="134"/>
        <v>NA</v>
      </c>
      <c r="T215" s="91" t="str">
        <f t="shared" si="134"/>
        <v>NA</v>
      </c>
      <c r="U215" s="91" t="str">
        <f t="shared" si="134"/>
        <v>NA</v>
      </c>
    </row>
    <row r="216" spans="1:21" x14ac:dyDescent="0.4">
      <c r="A216" s="210">
        <v>101</v>
      </c>
      <c r="B216" s="525" t="s">
        <v>562</v>
      </c>
      <c r="C216" s="89">
        <f>SUMIFS(TM[[#All],[Member Months]],TM[[#All],[Reporting Year]],2024,TM[[#All],[Insurance Category Code]],5,TM[[#All],[Large Provider Entity Code]],A216)</f>
        <v>0</v>
      </c>
      <c r="D216" s="7" t="str">
        <f>IFERROR(SUMIFS(TM[[#All],[Total Non-Truncated Claims Spending]],TM[[#All],[Reporting Year]],2024,TM[[#All],[Insurance Category Code]],5,TM[[#All],[Large Provider Entity Code]],A216)/C216,"NA")</f>
        <v>NA</v>
      </c>
      <c r="E216" s="7" t="str">
        <f>IFERROR(SUMIFS(TM[[#All],[Total Non-Claims Spending]],TM[[#All],[Reporting Year]],2024,TM[[#All],[Insurance Category Code]],5,TM[[#All],[Large Provider Entity Code]],A216)/C216,"NA")</f>
        <v>NA</v>
      </c>
      <c r="F216" s="7" t="str">
        <f>IFERROR(SUMIFS(TM[[#All],[Total Non-Truncated Claims and Non-Claims Spending]],TM[[#All],[Reporting Year]],2024,TM[[#All],[Insurance Category Code]],5,TM[[#All],[Large Provider Entity Code]],A216)/C216,"NA")</f>
        <v>NA</v>
      </c>
      <c r="G216" s="7" t="str">
        <f>IFERROR(SUMIFS(TM[[#All],[Total Truncated Claims Spending]],TM[[#All],[Reporting Year]],2024,TM[[#All],[Insurance Category Code]],5,TM[[#All],[Large Provider Entity Code]],A216)/C216,"NA")</f>
        <v>NA</v>
      </c>
      <c r="H216" s="196" t="str">
        <f>IFERROR(SUMIFS(TM[[#All],[Total Truncated Expenses]],TM[[#All],[Reporting Year]],2024,TM[[#All],[Insurance Category Code]],5,TM[[#All],[Large Provider Entity Code]],A216)/C216,"NA")</f>
        <v>NA</v>
      </c>
      <c r="I216" s="89">
        <f>SUMIFS(TM[[#All],[Member Months]],TM[[#All],[Reporting Year]],2025,TM[[#All],[Insurance Category Code]],5,TM[[#All],[Large Provider Entity Code]],A216)</f>
        <v>0</v>
      </c>
      <c r="J216" s="7" t="str">
        <f>IFERROR(SUMIFS(TM[[#All],[Total Non-Truncated Claims Spending]],TM[[#All],[Reporting Year]],2025,TM[[#All],[Insurance Category Code]],5,TM[[#All],[Large Provider Entity Code]],A216)/I216,"NA")</f>
        <v>NA</v>
      </c>
      <c r="K216" s="7" t="str">
        <f>IFERROR(SUMIFS(TM[[#All],[Total Non-Claims Spending]],TM[[#All],[Reporting Year]],2025,TM[[#All],[Insurance Category Code]],5,TM[[#All],[Large Provider Entity Code]],A216)/I216,"NA")</f>
        <v>NA</v>
      </c>
      <c r="L216" s="7" t="str">
        <f>IFERROR(SUMIFS(TM[[#All],[Total Non-Truncated Claims and Non-Claims Spending]],TM[[#All],[Reporting Year]],2025,TM[[#All],[Insurance Category Code]],5,TM[[#All],[Large Provider Entity Code]],A216)/I216,"NA")</f>
        <v>NA</v>
      </c>
      <c r="M216" s="7" t="str">
        <f>IFERROR(SUMIFS(TM[[#All],[Total Truncated Claims Spending]],TM[[#All],[Reporting Year]],2025,TM[[#All],[Insurance Category Code]],5,TM[[#All],[Large Provider Entity Code]],A216)/I216,"NA")</f>
        <v>NA</v>
      </c>
      <c r="N216" s="90" t="str">
        <f>IFERROR(SUMIFS(TM[[#All],[Total Truncated Expenses]],TM[[#All],[Reporting Year]],2025,TM[[#All],[Insurance Category Code]],5,TM[[#All],[Large Provider Entity Code]],A216)/I216,"NA")</f>
        <v>NA</v>
      </c>
      <c r="O216" s="169" t="str">
        <f t="shared" ref="O216:O234" si="135">IFERROR(IF(AND(C216&gt;12000,I216&gt;12000),"Yes","No"),"NA")</f>
        <v>No</v>
      </c>
      <c r="P216" s="231" t="str">
        <f t="shared" si="134"/>
        <v>NA</v>
      </c>
      <c r="Q216" s="91" t="str">
        <f t="shared" si="134"/>
        <v>NA</v>
      </c>
      <c r="R216" s="91" t="str">
        <f t="shared" si="134"/>
        <v>NA</v>
      </c>
      <c r="S216" s="91" t="str">
        <f t="shared" si="134"/>
        <v>NA</v>
      </c>
      <c r="T216" s="91" t="str">
        <f t="shared" si="134"/>
        <v>NA</v>
      </c>
      <c r="U216" s="91" t="str">
        <f t="shared" si="134"/>
        <v>NA</v>
      </c>
    </row>
    <row r="217" spans="1:21" x14ac:dyDescent="0.4">
      <c r="A217" s="210">
        <v>102</v>
      </c>
      <c r="B217" s="525" t="s">
        <v>607</v>
      </c>
      <c r="C217" s="89">
        <f>SUMIFS(TM[[#All],[Member Months]],TM[[#All],[Reporting Year]],2024,TM[[#All],[Insurance Category Code]],5,TM[[#All],[Large Provider Entity Code]],A217)</f>
        <v>0</v>
      </c>
      <c r="D217" s="7" t="str">
        <f>IFERROR(SUMIFS(TM[[#All],[Total Non-Truncated Claims Spending]],TM[[#All],[Reporting Year]],2024,TM[[#All],[Insurance Category Code]],5,TM[[#All],[Large Provider Entity Code]],A217)/C217,"NA")</f>
        <v>NA</v>
      </c>
      <c r="E217" s="7" t="str">
        <f>IFERROR(SUMIFS(TM[[#All],[Total Non-Claims Spending]],TM[[#All],[Reporting Year]],2024,TM[[#All],[Insurance Category Code]],5,TM[[#All],[Large Provider Entity Code]],A217)/C217,"NA")</f>
        <v>NA</v>
      </c>
      <c r="F217" s="7" t="str">
        <f>IFERROR(SUMIFS(TM[[#All],[Total Non-Truncated Claims and Non-Claims Spending]],TM[[#All],[Reporting Year]],2024,TM[[#All],[Insurance Category Code]],5,TM[[#All],[Large Provider Entity Code]],A217)/C217,"NA")</f>
        <v>NA</v>
      </c>
      <c r="G217" s="7" t="str">
        <f>IFERROR(SUMIFS(TM[[#All],[Total Truncated Claims Spending]],TM[[#All],[Reporting Year]],2024,TM[[#All],[Insurance Category Code]],5,TM[[#All],[Large Provider Entity Code]],A217)/C217,"NA")</f>
        <v>NA</v>
      </c>
      <c r="H217" s="196" t="str">
        <f>IFERROR(SUMIFS(TM[[#All],[Total Truncated Expenses]],TM[[#All],[Reporting Year]],2024,TM[[#All],[Insurance Category Code]],5,TM[[#All],[Large Provider Entity Code]],A217)/C217,"NA")</f>
        <v>NA</v>
      </c>
      <c r="I217" s="89">
        <f>SUMIFS(TM[[#All],[Member Months]],TM[[#All],[Reporting Year]],2025,TM[[#All],[Insurance Category Code]],5,TM[[#All],[Large Provider Entity Code]],A217)</f>
        <v>0</v>
      </c>
      <c r="J217" s="7" t="str">
        <f>IFERROR(SUMIFS(TM[[#All],[Total Non-Truncated Claims Spending]],TM[[#All],[Reporting Year]],2025,TM[[#All],[Insurance Category Code]],5,TM[[#All],[Large Provider Entity Code]],A217)/I217,"NA")</f>
        <v>NA</v>
      </c>
      <c r="K217" s="7" t="str">
        <f>IFERROR(SUMIFS(TM[[#All],[Total Non-Claims Spending]],TM[[#All],[Reporting Year]],2025,TM[[#All],[Insurance Category Code]],5,TM[[#All],[Large Provider Entity Code]],A217)/I217,"NA")</f>
        <v>NA</v>
      </c>
      <c r="L217" s="7" t="str">
        <f>IFERROR(SUMIFS(TM[[#All],[Total Non-Truncated Claims and Non-Claims Spending]],TM[[#All],[Reporting Year]],2025,TM[[#All],[Insurance Category Code]],5,TM[[#All],[Large Provider Entity Code]],A217)/I217,"NA")</f>
        <v>NA</v>
      </c>
      <c r="M217" s="7" t="str">
        <f>IFERROR(SUMIFS(TM[[#All],[Total Truncated Claims Spending]],TM[[#All],[Reporting Year]],2025,TM[[#All],[Insurance Category Code]],5,TM[[#All],[Large Provider Entity Code]],A217)/I217,"NA")</f>
        <v>NA</v>
      </c>
      <c r="N217" s="90" t="str">
        <f>IFERROR(SUMIFS(TM[[#All],[Total Truncated Expenses]],TM[[#All],[Reporting Year]],2025,TM[[#All],[Insurance Category Code]],5,TM[[#All],[Large Provider Entity Code]],A217)/I217,"NA")</f>
        <v>NA</v>
      </c>
      <c r="O217" s="169" t="str">
        <f t="shared" si="135"/>
        <v>No</v>
      </c>
      <c r="P217" s="231" t="str">
        <f t="shared" si="134"/>
        <v>NA</v>
      </c>
      <c r="Q217" s="91" t="str">
        <f t="shared" si="134"/>
        <v>NA</v>
      </c>
      <c r="R217" s="91" t="str">
        <f t="shared" si="134"/>
        <v>NA</v>
      </c>
      <c r="S217" s="91" t="str">
        <f t="shared" si="134"/>
        <v>NA</v>
      </c>
      <c r="T217" s="91" t="str">
        <f t="shared" si="134"/>
        <v>NA</v>
      </c>
      <c r="U217" s="91" t="str">
        <f t="shared" si="134"/>
        <v>NA</v>
      </c>
    </row>
    <row r="218" spans="1:21" x14ac:dyDescent="0.4">
      <c r="A218" s="210">
        <v>104</v>
      </c>
      <c r="B218" s="525" t="s">
        <v>608</v>
      </c>
      <c r="C218" s="89">
        <f>SUMIFS(TM[[#All],[Member Months]],TM[[#All],[Reporting Year]],2024,TM[[#All],[Insurance Category Code]],5,TM[[#All],[Large Provider Entity Code]],A218)</f>
        <v>0</v>
      </c>
      <c r="D218" s="7" t="str">
        <f>IFERROR(SUMIFS(TM[[#All],[Total Non-Truncated Claims Spending]],TM[[#All],[Reporting Year]],2024,TM[[#All],[Insurance Category Code]],5,TM[[#All],[Large Provider Entity Code]],A218)/C218,"NA")</f>
        <v>NA</v>
      </c>
      <c r="E218" s="7" t="str">
        <f>IFERROR(SUMIFS(TM[[#All],[Total Non-Claims Spending]],TM[[#All],[Reporting Year]],2024,TM[[#All],[Insurance Category Code]],5,TM[[#All],[Large Provider Entity Code]],A218)/C218,"NA")</f>
        <v>NA</v>
      </c>
      <c r="F218" s="7" t="str">
        <f>IFERROR(SUMIFS(TM[[#All],[Total Non-Truncated Claims and Non-Claims Spending]],TM[[#All],[Reporting Year]],2024,TM[[#All],[Insurance Category Code]],5,TM[[#All],[Large Provider Entity Code]],A218)/C218,"NA")</f>
        <v>NA</v>
      </c>
      <c r="G218" s="7" t="str">
        <f>IFERROR(SUMIFS(TM[[#All],[Total Truncated Claims Spending]],TM[[#All],[Reporting Year]],2024,TM[[#All],[Insurance Category Code]],5,TM[[#All],[Large Provider Entity Code]],A218)/C218,"NA")</f>
        <v>NA</v>
      </c>
      <c r="H218" s="196" t="str">
        <f>IFERROR(SUMIFS(TM[[#All],[Total Truncated Expenses]],TM[[#All],[Reporting Year]],2024,TM[[#All],[Insurance Category Code]],5,TM[[#All],[Large Provider Entity Code]],A218)/C218,"NA")</f>
        <v>NA</v>
      </c>
      <c r="I218" s="89">
        <f>SUMIFS(TM[[#All],[Member Months]],TM[[#All],[Reporting Year]],2025,TM[[#All],[Insurance Category Code]],5,TM[[#All],[Large Provider Entity Code]],A218)</f>
        <v>0</v>
      </c>
      <c r="J218" s="7" t="str">
        <f>IFERROR(SUMIFS(TM[[#All],[Total Non-Truncated Claims Spending]],TM[[#All],[Reporting Year]],2025,TM[[#All],[Insurance Category Code]],5,TM[[#All],[Large Provider Entity Code]],A218)/I218,"NA")</f>
        <v>NA</v>
      </c>
      <c r="K218" s="7" t="str">
        <f>IFERROR(SUMIFS(TM[[#All],[Total Non-Claims Spending]],TM[[#All],[Reporting Year]],2025,TM[[#All],[Insurance Category Code]],5,TM[[#All],[Large Provider Entity Code]],A218)/I218,"NA")</f>
        <v>NA</v>
      </c>
      <c r="L218" s="7" t="str">
        <f>IFERROR(SUMIFS(TM[[#All],[Total Non-Truncated Claims and Non-Claims Spending]],TM[[#All],[Reporting Year]],2025,TM[[#All],[Insurance Category Code]],5,TM[[#All],[Large Provider Entity Code]],A218)/I218,"NA")</f>
        <v>NA</v>
      </c>
      <c r="M218" s="7" t="str">
        <f>IFERROR(SUMIFS(TM[[#All],[Total Truncated Claims Spending]],TM[[#All],[Reporting Year]],2025,TM[[#All],[Insurance Category Code]],5,TM[[#All],[Large Provider Entity Code]],A218)/I218,"NA")</f>
        <v>NA</v>
      </c>
      <c r="N218" s="90" t="str">
        <f>IFERROR(SUMIFS(TM[[#All],[Total Truncated Expenses]],TM[[#All],[Reporting Year]],2025,TM[[#All],[Insurance Category Code]],5,TM[[#All],[Large Provider Entity Code]],A218)/I218,"NA")</f>
        <v>NA</v>
      </c>
      <c r="O218" s="169" t="str">
        <f t="shared" si="135"/>
        <v>No</v>
      </c>
      <c r="P218" s="231" t="str">
        <f t="shared" si="134"/>
        <v>NA</v>
      </c>
      <c r="Q218" s="91" t="str">
        <f t="shared" si="134"/>
        <v>NA</v>
      </c>
      <c r="R218" s="91" t="str">
        <f t="shared" si="134"/>
        <v>NA</v>
      </c>
      <c r="S218" s="91" t="str">
        <f t="shared" si="134"/>
        <v>NA</v>
      </c>
      <c r="T218" s="91" t="str">
        <f t="shared" si="134"/>
        <v>NA</v>
      </c>
      <c r="U218" s="91" t="str">
        <f t="shared" si="134"/>
        <v>NA</v>
      </c>
    </row>
    <row r="219" spans="1:21" ht="33.6" x14ac:dyDescent="0.4">
      <c r="A219" s="210">
        <v>105</v>
      </c>
      <c r="B219" s="525" t="s">
        <v>609</v>
      </c>
      <c r="C219" s="89">
        <f>SUMIFS(TM[[#All],[Member Months]],TM[[#All],[Reporting Year]],2024,TM[[#All],[Insurance Category Code]],5,TM[[#All],[Large Provider Entity Code]],A219)</f>
        <v>0</v>
      </c>
      <c r="D219" s="7" t="str">
        <f>IFERROR(SUMIFS(TM[[#All],[Total Non-Truncated Claims Spending]],TM[[#All],[Reporting Year]],2024,TM[[#All],[Insurance Category Code]],5,TM[[#All],[Large Provider Entity Code]],A219)/C219,"NA")</f>
        <v>NA</v>
      </c>
      <c r="E219" s="7" t="str">
        <f>IFERROR(SUMIFS(TM[[#All],[Total Non-Claims Spending]],TM[[#All],[Reporting Year]],2024,TM[[#All],[Insurance Category Code]],5,TM[[#All],[Large Provider Entity Code]],A219)/C219,"NA")</f>
        <v>NA</v>
      </c>
      <c r="F219" s="7" t="str">
        <f>IFERROR(SUMIFS(TM[[#All],[Total Non-Truncated Claims and Non-Claims Spending]],TM[[#All],[Reporting Year]],2024,TM[[#All],[Insurance Category Code]],5,TM[[#All],[Large Provider Entity Code]],A219)/C219,"NA")</f>
        <v>NA</v>
      </c>
      <c r="G219" s="7" t="str">
        <f>IFERROR(SUMIFS(TM[[#All],[Total Truncated Claims Spending]],TM[[#All],[Reporting Year]],2024,TM[[#All],[Insurance Category Code]],5,TM[[#All],[Large Provider Entity Code]],A219)/C219,"NA")</f>
        <v>NA</v>
      </c>
      <c r="H219" s="196" t="str">
        <f>IFERROR(SUMIFS(TM[[#All],[Total Truncated Expenses]],TM[[#All],[Reporting Year]],2024,TM[[#All],[Insurance Category Code]],5,TM[[#All],[Large Provider Entity Code]],A219)/C219,"NA")</f>
        <v>NA</v>
      </c>
      <c r="I219" s="89">
        <f>SUMIFS(TM[[#All],[Member Months]],TM[[#All],[Reporting Year]],2025,TM[[#All],[Insurance Category Code]],5,TM[[#All],[Large Provider Entity Code]],A219)</f>
        <v>0</v>
      </c>
      <c r="J219" s="7" t="str">
        <f>IFERROR(SUMIFS(TM[[#All],[Total Non-Truncated Claims Spending]],TM[[#All],[Reporting Year]],2025,TM[[#All],[Insurance Category Code]],5,TM[[#All],[Large Provider Entity Code]],A219)/I219,"NA")</f>
        <v>NA</v>
      </c>
      <c r="K219" s="7" t="str">
        <f>IFERROR(SUMIFS(TM[[#All],[Total Non-Claims Spending]],TM[[#All],[Reporting Year]],2025,TM[[#All],[Insurance Category Code]],5,TM[[#All],[Large Provider Entity Code]],A219)/I219,"NA")</f>
        <v>NA</v>
      </c>
      <c r="L219" s="7" t="str">
        <f>IFERROR(SUMIFS(TM[[#All],[Total Non-Truncated Claims and Non-Claims Spending]],TM[[#All],[Reporting Year]],2025,TM[[#All],[Insurance Category Code]],5,TM[[#All],[Large Provider Entity Code]],A219)/I219,"NA")</f>
        <v>NA</v>
      </c>
      <c r="M219" s="7" t="str">
        <f>IFERROR(SUMIFS(TM[[#All],[Total Truncated Claims Spending]],TM[[#All],[Reporting Year]],2025,TM[[#All],[Insurance Category Code]],5,TM[[#All],[Large Provider Entity Code]],A219)/I219,"NA")</f>
        <v>NA</v>
      </c>
      <c r="N219" s="90" t="str">
        <f>IFERROR(SUMIFS(TM[[#All],[Total Truncated Expenses]],TM[[#All],[Reporting Year]],2025,TM[[#All],[Insurance Category Code]],5,TM[[#All],[Large Provider Entity Code]],A219)/I219,"NA")</f>
        <v>NA</v>
      </c>
      <c r="O219" s="169" t="str">
        <f t="shared" si="135"/>
        <v>No</v>
      </c>
      <c r="P219" s="231" t="str">
        <f t="shared" si="134"/>
        <v>NA</v>
      </c>
      <c r="Q219" s="91" t="str">
        <f t="shared" si="134"/>
        <v>NA</v>
      </c>
      <c r="R219" s="91" t="str">
        <f t="shared" si="134"/>
        <v>NA</v>
      </c>
      <c r="S219" s="91" t="str">
        <f t="shared" si="134"/>
        <v>NA</v>
      </c>
      <c r="T219" s="91" t="str">
        <f t="shared" si="134"/>
        <v>NA</v>
      </c>
      <c r="U219" s="91" t="str">
        <f t="shared" si="134"/>
        <v>NA</v>
      </c>
    </row>
    <row r="220" spans="1:21" x14ac:dyDescent="0.4">
      <c r="A220" s="210">
        <v>106</v>
      </c>
      <c r="B220" s="525" t="s">
        <v>613</v>
      </c>
      <c r="C220" s="89">
        <f>SUMIFS(TM[[#All],[Member Months]],TM[[#All],[Reporting Year]],2024,TM[[#All],[Insurance Category Code]],5,TM[[#All],[Large Provider Entity Code]],A220)</f>
        <v>0</v>
      </c>
      <c r="D220" s="7" t="str">
        <f>IFERROR(SUMIFS(TM[[#All],[Total Non-Truncated Claims Spending]],TM[[#All],[Reporting Year]],2024,TM[[#All],[Insurance Category Code]],5,TM[[#All],[Large Provider Entity Code]],A220)/C220,"NA")</f>
        <v>NA</v>
      </c>
      <c r="E220" s="7" t="str">
        <f>IFERROR(SUMIFS(TM[[#All],[Total Non-Claims Spending]],TM[[#All],[Reporting Year]],2024,TM[[#All],[Insurance Category Code]],5,TM[[#All],[Large Provider Entity Code]],A220)/C220,"NA")</f>
        <v>NA</v>
      </c>
      <c r="F220" s="7" t="str">
        <f>IFERROR(SUMIFS(TM[[#All],[Total Non-Truncated Claims and Non-Claims Spending]],TM[[#All],[Reporting Year]],2024,TM[[#All],[Insurance Category Code]],5,TM[[#All],[Large Provider Entity Code]],A220)/C220,"NA")</f>
        <v>NA</v>
      </c>
      <c r="G220" s="7" t="str">
        <f>IFERROR(SUMIFS(TM[[#All],[Total Truncated Claims Spending]],TM[[#All],[Reporting Year]],2024,TM[[#All],[Insurance Category Code]],5,TM[[#All],[Large Provider Entity Code]],A220)/C220,"NA")</f>
        <v>NA</v>
      </c>
      <c r="H220" s="196" t="str">
        <f>IFERROR(SUMIFS(TM[[#All],[Total Truncated Expenses]],TM[[#All],[Reporting Year]],2024,TM[[#All],[Insurance Category Code]],5,TM[[#All],[Large Provider Entity Code]],A220)/C220,"NA")</f>
        <v>NA</v>
      </c>
      <c r="I220" s="89">
        <f>SUMIFS(TM[[#All],[Member Months]],TM[[#All],[Reporting Year]],2025,TM[[#All],[Insurance Category Code]],5,TM[[#All],[Large Provider Entity Code]],A220)</f>
        <v>0</v>
      </c>
      <c r="J220" s="7" t="str">
        <f>IFERROR(SUMIFS(TM[[#All],[Total Non-Truncated Claims Spending]],TM[[#All],[Reporting Year]],2025,TM[[#All],[Insurance Category Code]],5,TM[[#All],[Large Provider Entity Code]],A220)/I220,"NA")</f>
        <v>NA</v>
      </c>
      <c r="K220" s="7" t="str">
        <f>IFERROR(SUMIFS(TM[[#All],[Total Non-Claims Spending]],TM[[#All],[Reporting Year]],2025,TM[[#All],[Insurance Category Code]],5,TM[[#All],[Large Provider Entity Code]],A220)/I220,"NA")</f>
        <v>NA</v>
      </c>
      <c r="L220" s="7" t="str">
        <f>IFERROR(SUMIFS(TM[[#All],[Total Non-Truncated Claims and Non-Claims Spending]],TM[[#All],[Reporting Year]],2025,TM[[#All],[Insurance Category Code]],5,TM[[#All],[Large Provider Entity Code]],A220)/I220,"NA")</f>
        <v>NA</v>
      </c>
      <c r="M220" s="7" t="str">
        <f>IFERROR(SUMIFS(TM[[#All],[Total Truncated Claims Spending]],TM[[#All],[Reporting Year]],2025,TM[[#All],[Insurance Category Code]],5,TM[[#All],[Large Provider Entity Code]],A220)/I220,"NA")</f>
        <v>NA</v>
      </c>
      <c r="N220" s="90" t="str">
        <f>IFERROR(SUMIFS(TM[[#All],[Total Truncated Expenses]],TM[[#All],[Reporting Year]],2025,TM[[#All],[Insurance Category Code]],5,TM[[#All],[Large Provider Entity Code]],A220)/I220,"NA")</f>
        <v>NA</v>
      </c>
      <c r="O220" s="169" t="str">
        <f t="shared" si="135"/>
        <v>No</v>
      </c>
      <c r="P220" s="231" t="str">
        <f t="shared" si="134"/>
        <v>NA</v>
      </c>
      <c r="Q220" s="91" t="str">
        <f t="shared" si="134"/>
        <v>NA</v>
      </c>
      <c r="R220" s="91" t="str">
        <f t="shared" si="134"/>
        <v>NA</v>
      </c>
      <c r="S220" s="91" t="str">
        <f t="shared" si="134"/>
        <v>NA</v>
      </c>
      <c r="T220" s="91" t="str">
        <f t="shared" si="134"/>
        <v>NA</v>
      </c>
      <c r="U220" s="91" t="str">
        <f t="shared" si="134"/>
        <v>NA</v>
      </c>
    </row>
    <row r="221" spans="1:21" x14ac:dyDescent="0.4">
      <c r="A221" s="210">
        <v>107</v>
      </c>
      <c r="B221" s="526" t="s">
        <v>610</v>
      </c>
      <c r="C221" s="89">
        <f>SUMIFS(TM[[#All],[Member Months]],TM[[#All],[Reporting Year]],2024,TM[[#All],[Insurance Category Code]],5,TM[[#All],[Large Provider Entity Code]],A221)</f>
        <v>0</v>
      </c>
      <c r="D221" s="7" t="str">
        <f>IFERROR(SUMIFS(TM[[#All],[Total Non-Truncated Claims Spending]],TM[[#All],[Reporting Year]],2024,TM[[#All],[Insurance Category Code]],5,TM[[#All],[Large Provider Entity Code]],A221)/C221,"NA")</f>
        <v>NA</v>
      </c>
      <c r="E221" s="7" t="str">
        <f>IFERROR(SUMIFS(TM[[#All],[Total Non-Claims Spending]],TM[[#All],[Reporting Year]],2024,TM[[#All],[Insurance Category Code]],5,TM[[#All],[Large Provider Entity Code]],A221)/C221,"NA")</f>
        <v>NA</v>
      </c>
      <c r="F221" s="7" t="str">
        <f>IFERROR(SUMIFS(TM[[#All],[Total Non-Truncated Claims and Non-Claims Spending]],TM[[#All],[Reporting Year]],2024,TM[[#All],[Insurance Category Code]],5,TM[[#All],[Large Provider Entity Code]],A221)/C221,"NA")</f>
        <v>NA</v>
      </c>
      <c r="G221" s="7" t="str">
        <f>IFERROR(SUMIFS(TM[[#All],[Total Truncated Claims Spending]],TM[[#All],[Reporting Year]],2024,TM[[#All],[Insurance Category Code]],5,TM[[#All],[Large Provider Entity Code]],A221)/C221,"NA")</f>
        <v>NA</v>
      </c>
      <c r="H221" s="196" t="str">
        <f>IFERROR(SUMIFS(TM[[#All],[Total Truncated Expenses]],TM[[#All],[Reporting Year]],2024,TM[[#All],[Insurance Category Code]],5,TM[[#All],[Large Provider Entity Code]],A221)/C221,"NA")</f>
        <v>NA</v>
      </c>
      <c r="I221" s="89">
        <f>SUMIFS(TM[[#All],[Member Months]],TM[[#All],[Reporting Year]],2025,TM[[#All],[Insurance Category Code]],5,TM[[#All],[Large Provider Entity Code]],A221)</f>
        <v>0</v>
      </c>
      <c r="J221" s="7" t="str">
        <f>IFERROR(SUMIFS(TM[[#All],[Total Non-Truncated Claims Spending]],TM[[#All],[Reporting Year]],2025,TM[[#All],[Insurance Category Code]],5,TM[[#All],[Large Provider Entity Code]],A221)/I221,"NA")</f>
        <v>NA</v>
      </c>
      <c r="K221" s="7" t="str">
        <f>IFERROR(SUMIFS(TM[[#All],[Total Non-Claims Spending]],TM[[#All],[Reporting Year]],2025,TM[[#All],[Insurance Category Code]],5,TM[[#All],[Large Provider Entity Code]],A221)/I221,"NA")</f>
        <v>NA</v>
      </c>
      <c r="L221" s="7" t="str">
        <f>IFERROR(SUMIFS(TM[[#All],[Total Non-Truncated Claims and Non-Claims Spending]],TM[[#All],[Reporting Year]],2025,TM[[#All],[Insurance Category Code]],5,TM[[#All],[Large Provider Entity Code]],A221)/I221,"NA")</f>
        <v>NA</v>
      </c>
      <c r="M221" s="7" t="str">
        <f>IFERROR(SUMIFS(TM[[#All],[Total Truncated Claims Spending]],TM[[#All],[Reporting Year]],2025,TM[[#All],[Insurance Category Code]],5,TM[[#All],[Large Provider Entity Code]],A221)/I221,"NA")</f>
        <v>NA</v>
      </c>
      <c r="N221" s="90" t="str">
        <f>IFERROR(SUMIFS(TM[[#All],[Total Truncated Expenses]],TM[[#All],[Reporting Year]],2025,TM[[#All],[Insurance Category Code]],5,TM[[#All],[Large Provider Entity Code]],A221)/I221,"NA")</f>
        <v>NA</v>
      </c>
      <c r="O221" s="169" t="str">
        <f t="shared" si="135"/>
        <v>No</v>
      </c>
      <c r="P221" s="231" t="str">
        <f t="shared" si="134"/>
        <v>NA</v>
      </c>
      <c r="Q221" s="91" t="str">
        <f t="shared" si="134"/>
        <v>NA</v>
      </c>
      <c r="R221" s="91" t="str">
        <f t="shared" si="134"/>
        <v>NA</v>
      </c>
      <c r="S221" s="91" t="str">
        <f t="shared" si="134"/>
        <v>NA</v>
      </c>
      <c r="T221" s="91" t="str">
        <f t="shared" si="134"/>
        <v>NA</v>
      </c>
      <c r="U221" s="91" t="str">
        <f t="shared" si="134"/>
        <v>NA</v>
      </c>
    </row>
    <row r="222" spans="1:21" x14ac:dyDescent="0.4">
      <c r="A222" s="210">
        <v>108</v>
      </c>
      <c r="B222" s="526" t="s">
        <v>563</v>
      </c>
      <c r="C222" s="89">
        <f>SUMIFS(TM[[#All],[Member Months]],TM[[#All],[Reporting Year]],2024,TM[[#All],[Insurance Category Code]],5,TM[[#All],[Large Provider Entity Code]],A222)</f>
        <v>0</v>
      </c>
      <c r="D222" s="7" t="str">
        <f>IFERROR(SUMIFS(TM[[#All],[Total Non-Truncated Claims Spending]],TM[[#All],[Reporting Year]],2024,TM[[#All],[Insurance Category Code]],5,TM[[#All],[Large Provider Entity Code]],A222)/C222,"NA")</f>
        <v>NA</v>
      </c>
      <c r="E222" s="7" t="str">
        <f>IFERROR(SUMIFS(TM[[#All],[Total Non-Claims Spending]],TM[[#All],[Reporting Year]],2024,TM[[#All],[Insurance Category Code]],5,TM[[#All],[Large Provider Entity Code]],A222)/C222,"NA")</f>
        <v>NA</v>
      </c>
      <c r="F222" s="7" t="str">
        <f>IFERROR(SUMIFS(TM[[#All],[Total Non-Truncated Claims and Non-Claims Spending]],TM[[#All],[Reporting Year]],2024,TM[[#All],[Insurance Category Code]],5,TM[[#All],[Large Provider Entity Code]],A222)/C222,"NA")</f>
        <v>NA</v>
      </c>
      <c r="G222" s="7" t="str">
        <f>IFERROR(SUMIFS(TM[[#All],[Total Truncated Claims Spending]],TM[[#All],[Reporting Year]],2024,TM[[#All],[Insurance Category Code]],5,TM[[#All],[Large Provider Entity Code]],A222)/C222,"NA")</f>
        <v>NA</v>
      </c>
      <c r="H222" s="196" t="str">
        <f>IFERROR(SUMIFS(TM[[#All],[Total Truncated Expenses]],TM[[#All],[Reporting Year]],2024,TM[[#All],[Insurance Category Code]],5,TM[[#All],[Large Provider Entity Code]],A222)/C222,"NA")</f>
        <v>NA</v>
      </c>
      <c r="I222" s="89">
        <f>SUMIFS(TM[[#All],[Member Months]],TM[[#All],[Reporting Year]],2025,TM[[#All],[Insurance Category Code]],5,TM[[#All],[Large Provider Entity Code]],A222)</f>
        <v>0</v>
      </c>
      <c r="J222" s="7" t="str">
        <f>IFERROR(SUMIFS(TM[[#All],[Total Non-Truncated Claims Spending]],TM[[#All],[Reporting Year]],2025,TM[[#All],[Insurance Category Code]],5,TM[[#All],[Large Provider Entity Code]],A222)/I222,"NA")</f>
        <v>NA</v>
      </c>
      <c r="K222" s="7" t="str">
        <f>IFERROR(SUMIFS(TM[[#All],[Total Non-Claims Spending]],TM[[#All],[Reporting Year]],2025,TM[[#All],[Insurance Category Code]],5,TM[[#All],[Large Provider Entity Code]],A222)/I222,"NA")</f>
        <v>NA</v>
      </c>
      <c r="L222" s="7" t="str">
        <f>IFERROR(SUMIFS(TM[[#All],[Total Non-Truncated Claims and Non-Claims Spending]],TM[[#All],[Reporting Year]],2025,TM[[#All],[Insurance Category Code]],5,TM[[#All],[Large Provider Entity Code]],A222)/I222,"NA")</f>
        <v>NA</v>
      </c>
      <c r="M222" s="7" t="str">
        <f>IFERROR(SUMIFS(TM[[#All],[Total Truncated Claims Spending]],TM[[#All],[Reporting Year]],2025,TM[[#All],[Insurance Category Code]],5,TM[[#All],[Large Provider Entity Code]],A222)/I222,"NA")</f>
        <v>NA</v>
      </c>
      <c r="N222" s="90" t="str">
        <f>IFERROR(SUMIFS(TM[[#All],[Total Truncated Expenses]],TM[[#All],[Reporting Year]],2025,TM[[#All],[Insurance Category Code]],5,TM[[#All],[Large Provider Entity Code]],A222)/I222,"NA")</f>
        <v>NA</v>
      </c>
      <c r="O222" s="169" t="str">
        <f t="shared" si="135"/>
        <v>No</v>
      </c>
      <c r="P222" s="231" t="str">
        <f t="shared" si="134"/>
        <v>NA</v>
      </c>
      <c r="Q222" s="91" t="str">
        <f t="shared" si="134"/>
        <v>NA</v>
      </c>
      <c r="R222" s="91" t="str">
        <f t="shared" si="134"/>
        <v>NA</v>
      </c>
      <c r="S222" s="91" t="str">
        <f t="shared" si="134"/>
        <v>NA</v>
      </c>
      <c r="T222" s="91" t="str">
        <f t="shared" si="134"/>
        <v>NA</v>
      </c>
      <c r="U222" s="91" t="str">
        <f t="shared" si="134"/>
        <v>NA</v>
      </c>
    </row>
    <row r="223" spans="1:21" ht="33.6" x14ac:dyDescent="0.4">
      <c r="A223" s="210">
        <v>109</v>
      </c>
      <c r="B223" s="526" t="s">
        <v>611</v>
      </c>
      <c r="C223" s="89">
        <f>SUMIFS(TM[[#All],[Member Months]],TM[[#All],[Reporting Year]],2024,TM[[#All],[Insurance Category Code]],5,TM[[#All],[Large Provider Entity Code]],A223)</f>
        <v>0</v>
      </c>
      <c r="D223" s="7" t="str">
        <f>IFERROR(SUMIFS(TM[[#All],[Total Non-Truncated Claims Spending]],TM[[#All],[Reporting Year]],2024,TM[[#All],[Insurance Category Code]],5,TM[[#All],[Large Provider Entity Code]],A223)/C223,"NA")</f>
        <v>NA</v>
      </c>
      <c r="E223" s="7" t="str">
        <f>IFERROR(SUMIFS(TM[[#All],[Total Non-Claims Spending]],TM[[#All],[Reporting Year]],2024,TM[[#All],[Insurance Category Code]],5,TM[[#All],[Large Provider Entity Code]],A223)/C223,"NA")</f>
        <v>NA</v>
      </c>
      <c r="F223" s="7" t="str">
        <f>IFERROR(SUMIFS(TM[[#All],[Total Non-Truncated Claims and Non-Claims Spending]],TM[[#All],[Reporting Year]],2024,TM[[#All],[Insurance Category Code]],5,TM[[#All],[Large Provider Entity Code]],A223)/C223,"NA")</f>
        <v>NA</v>
      </c>
      <c r="G223" s="7" t="str">
        <f>IFERROR(SUMIFS(TM[[#All],[Total Truncated Claims Spending]],TM[[#All],[Reporting Year]],2024,TM[[#All],[Insurance Category Code]],5,TM[[#All],[Large Provider Entity Code]],A223)/C223,"NA")</f>
        <v>NA</v>
      </c>
      <c r="H223" s="196" t="str">
        <f>IFERROR(SUMIFS(TM[[#All],[Total Truncated Expenses]],TM[[#All],[Reporting Year]],2024,TM[[#All],[Insurance Category Code]],5,TM[[#All],[Large Provider Entity Code]],A223)/C223,"NA")</f>
        <v>NA</v>
      </c>
      <c r="I223" s="89">
        <f>SUMIFS(TM[[#All],[Member Months]],TM[[#All],[Reporting Year]],2025,TM[[#All],[Insurance Category Code]],5,TM[[#All],[Large Provider Entity Code]],A223)</f>
        <v>0</v>
      </c>
      <c r="J223" s="7" t="str">
        <f>IFERROR(SUMIFS(TM[[#All],[Total Non-Truncated Claims Spending]],TM[[#All],[Reporting Year]],2025,TM[[#All],[Insurance Category Code]],5,TM[[#All],[Large Provider Entity Code]],A223)/I223,"NA")</f>
        <v>NA</v>
      </c>
      <c r="K223" s="7" t="str">
        <f>IFERROR(SUMIFS(TM[[#All],[Total Non-Claims Spending]],TM[[#All],[Reporting Year]],2025,TM[[#All],[Insurance Category Code]],5,TM[[#All],[Large Provider Entity Code]],A223)/I223,"NA")</f>
        <v>NA</v>
      </c>
      <c r="L223" s="7" t="str">
        <f>IFERROR(SUMIFS(TM[[#All],[Total Non-Truncated Claims and Non-Claims Spending]],TM[[#All],[Reporting Year]],2025,TM[[#All],[Insurance Category Code]],5,TM[[#All],[Large Provider Entity Code]],A223)/I223,"NA")</f>
        <v>NA</v>
      </c>
      <c r="M223" s="7" t="str">
        <f>IFERROR(SUMIFS(TM[[#All],[Total Truncated Claims Spending]],TM[[#All],[Reporting Year]],2025,TM[[#All],[Insurance Category Code]],5,TM[[#All],[Large Provider Entity Code]],A223)/I223,"NA")</f>
        <v>NA</v>
      </c>
      <c r="N223" s="90" t="str">
        <f>IFERROR(SUMIFS(TM[[#All],[Total Truncated Expenses]],TM[[#All],[Reporting Year]],2025,TM[[#All],[Insurance Category Code]],5,TM[[#All],[Large Provider Entity Code]],A223)/I223,"NA")</f>
        <v>NA</v>
      </c>
      <c r="O223" s="169" t="str">
        <f t="shared" si="135"/>
        <v>No</v>
      </c>
      <c r="P223" s="231" t="str">
        <f t="shared" si="134"/>
        <v>NA</v>
      </c>
      <c r="Q223" s="91" t="str">
        <f t="shared" si="134"/>
        <v>NA</v>
      </c>
      <c r="R223" s="91" t="str">
        <f t="shared" si="134"/>
        <v>NA</v>
      </c>
      <c r="S223" s="91" t="str">
        <f t="shared" si="134"/>
        <v>NA</v>
      </c>
      <c r="T223" s="91" t="str">
        <f t="shared" si="134"/>
        <v>NA</v>
      </c>
      <c r="U223" s="91" t="str">
        <f t="shared" si="134"/>
        <v>NA</v>
      </c>
    </row>
    <row r="224" spans="1:21" x14ac:dyDescent="0.4">
      <c r="A224" s="210">
        <v>110</v>
      </c>
      <c r="B224" s="526" t="s">
        <v>68</v>
      </c>
      <c r="C224" s="89">
        <f>SUMIFS(TM[[#All],[Member Months]],TM[[#All],[Reporting Year]],2024,TM[[#All],[Insurance Category Code]],5,TM[[#All],[Large Provider Entity Code]],A224)</f>
        <v>0</v>
      </c>
      <c r="D224" s="7" t="str">
        <f>IFERROR(SUMIFS(TM[[#All],[Total Non-Truncated Claims Spending]],TM[[#All],[Reporting Year]],2024,TM[[#All],[Insurance Category Code]],5,TM[[#All],[Large Provider Entity Code]],A224)/C224,"NA")</f>
        <v>NA</v>
      </c>
      <c r="E224" s="7" t="str">
        <f>IFERROR(SUMIFS(TM[[#All],[Total Non-Claims Spending]],TM[[#All],[Reporting Year]],2024,TM[[#All],[Insurance Category Code]],5,TM[[#All],[Large Provider Entity Code]],A224)/C224,"NA")</f>
        <v>NA</v>
      </c>
      <c r="F224" s="7" t="str">
        <f>IFERROR(SUMIFS(TM[[#All],[Total Non-Truncated Claims and Non-Claims Spending]],TM[[#All],[Reporting Year]],2024,TM[[#All],[Insurance Category Code]],5,TM[[#All],[Large Provider Entity Code]],A224)/C224,"NA")</f>
        <v>NA</v>
      </c>
      <c r="G224" s="7" t="str">
        <f>IFERROR(SUMIFS(TM[[#All],[Total Truncated Claims Spending]],TM[[#All],[Reporting Year]],2024,TM[[#All],[Insurance Category Code]],5,TM[[#All],[Large Provider Entity Code]],A224)/C224,"NA")</f>
        <v>NA</v>
      </c>
      <c r="H224" s="196" t="str">
        <f>IFERROR(SUMIFS(TM[[#All],[Total Truncated Expenses]],TM[[#All],[Reporting Year]],2024,TM[[#All],[Insurance Category Code]],5,TM[[#All],[Large Provider Entity Code]],A224)/C224,"NA")</f>
        <v>NA</v>
      </c>
      <c r="I224" s="89">
        <f>SUMIFS(TM[[#All],[Member Months]],TM[[#All],[Reporting Year]],2025,TM[[#All],[Insurance Category Code]],5,TM[[#All],[Large Provider Entity Code]],A224)</f>
        <v>0</v>
      </c>
      <c r="J224" s="7" t="str">
        <f>IFERROR(SUMIFS(TM[[#All],[Total Non-Truncated Claims Spending]],TM[[#All],[Reporting Year]],2025,TM[[#All],[Insurance Category Code]],5,TM[[#All],[Large Provider Entity Code]],A224)/I224,"NA")</f>
        <v>NA</v>
      </c>
      <c r="K224" s="7" t="str">
        <f>IFERROR(SUMIFS(TM[[#All],[Total Non-Claims Spending]],TM[[#All],[Reporting Year]],2025,TM[[#All],[Insurance Category Code]],5,TM[[#All],[Large Provider Entity Code]],A224)/I224,"NA")</f>
        <v>NA</v>
      </c>
      <c r="L224" s="7" t="str">
        <f>IFERROR(SUMIFS(TM[[#All],[Total Non-Truncated Claims and Non-Claims Spending]],TM[[#All],[Reporting Year]],2025,TM[[#All],[Insurance Category Code]],5,TM[[#All],[Large Provider Entity Code]],A224)/I224,"NA")</f>
        <v>NA</v>
      </c>
      <c r="M224" s="7" t="str">
        <f>IFERROR(SUMIFS(TM[[#All],[Total Truncated Claims Spending]],TM[[#All],[Reporting Year]],2025,TM[[#All],[Insurance Category Code]],5,TM[[#All],[Large Provider Entity Code]],A224)/I224,"NA")</f>
        <v>NA</v>
      </c>
      <c r="N224" s="90" t="str">
        <f>IFERROR(SUMIFS(TM[[#All],[Total Truncated Expenses]],TM[[#All],[Reporting Year]],2025,TM[[#All],[Insurance Category Code]],5,TM[[#All],[Large Provider Entity Code]],A224)/I224,"NA")</f>
        <v>NA</v>
      </c>
      <c r="O224" s="169" t="str">
        <f t="shared" si="135"/>
        <v>No</v>
      </c>
      <c r="P224" s="231" t="str">
        <f t="shared" si="134"/>
        <v>NA</v>
      </c>
      <c r="Q224" s="91" t="str">
        <f t="shared" si="134"/>
        <v>NA</v>
      </c>
      <c r="R224" s="91" t="str">
        <f t="shared" si="134"/>
        <v>NA</v>
      </c>
      <c r="S224" s="91" t="str">
        <f t="shared" si="134"/>
        <v>NA</v>
      </c>
      <c r="T224" s="91" t="str">
        <f t="shared" si="134"/>
        <v>NA</v>
      </c>
      <c r="U224" s="91" t="str">
        <f t="shared" si="134"/>
        <v>NA</v>
      </c>
    </row>
    <row r="225" spans="1:21" x14ac:dyDescent="0.4">
      <c r="A225" s="210">
        <v>111</v>
      </c>
      <c r="B225" s="526" t="s">
        <v>69</v>
      </c>
      <c r="C225" s="89">
        <f>SUMIFS(TM[[#All],[Member Months]],TM[[#All],[Reporting Year]],2024,TM[[#All],[Insurance Category Code]],5,TM[[#All],[Large Provider Entity Code]],A225)</f>
        <v>0</v>
      </c>
      <c r="D225" s="7" t="str">
        <f>IFERROR(SUMIFS(TM[[#All],[Total Non-Truncated Claims Spending]],TM[[#All],[Reporting Year]],2024,TM[[#All],[Insurance Category Code]],5,TM[[#All],[Large Provider Entity Code]],A225)/C225,"NA")</f>
        <v>NA</v>
      </c>
      <c r="E225" s="7" t="str">
        <f>IFERROR(SUMIFS(TM[[#All],[Total Non-Claims Spending]],TM[[#All],[Reporting Year]],2024,TM[[#All],[Insurance Category Code]],5,TM[[#All],[Large Provider Entity Code]],A225)/C225,"NA")</f>
        <v>NA</v>
      </c>
      <c r="F225" s="7" t="str">
        <f>IFERROR(SUMIFS(TM[[#All],[Total Non-Truncated Claims and Non-Claims Spending]],TM[[#All],[Reporting Year]],2024,TM[[#All],[Insurance Category Code]],5,TM[[#All],[Large Provider Entity Code]],A225)/C225,"NA")</f>
        <v>NA</v>
      </c>
      <c r="G225" s="7" t="str">
        <f>IFERROR(SUMIFS(TM[[#All],[Total Truncated Claims Spending]],TM[[#All],[Reporting Year]],2024,TM[[#All],[Insurance Category Code]],5,TM[[#All],[Large Provider Entity Code]],A225)/C225,"NA")</f>
        <v>NA</v>
      </c>
      <c r="H225" s="196" t="str">
        <f>IFERROR(SUMIFS(TM[[#All],[Total Truncated Expenses]],TM[[#All],[Reporting Year]],2024,TM[[#All],[Insurance Category Code]],5,TM[[#All],[Large Provider Entity Code]],A225)/C225,"NA")</f>
        <v>NA</v>
      </c>
      <c r="I225" s="89">
        <f>SUMIFS(TM[[#All],[Member Months]],TM[[#All],[Reporting Year]],2025,TM[[#All],[Insurance Category Code]],5,TM[[#All],[Large Provider Entity Code]],A225)</f>
        <v>0</v>
      </c>
      <c r="J225" s="7" t="str">
        <f>IFERROR(SUMIFS(TM[[#All],[Total Non-Truncated Claims Spending]],TM[[#All],[Reporting Year]],2025,TM[[#All],[Insurance Category Code]],5,TM[[#All],[Large Provider Entity Code]],A225)/I225,"NA")</f>
        <v>NA</v>
      </c>
      <c r="K225" s="7" t="str">
        <f>IFERROR(SUMIFS(TM[[#All],[Total Non-Claims Spending]],TM[[#All],[Reporting Year]],2025,TM[[#All],[Insurance Category Code]],5,TM[[#All],[Large Provider Entity Code]],A225)/I225,"NA")</f>
        <v>NA</v>
      </c>
      <c r="L225" s="7" t="str">
        <f>IFERROR(SUMIFS(TM[[#All],[Total Non-Truncated Claims and Non-Claims Spending]],TM[[#All],[Reporting Year]],2025,TM[[#All],[Insurance Category Code]],5,TM[[#All],[Large Provider Entity Code]],A225)/I225,"NA")</f>
        <v>NA</v>
      </c>
      <c r="M225" s="7" t="str">
        <f>IFERROR(SUMIFS(TM[[#All],[Total Truncated Claims Spending]],TM[[#All],[Reporting Year]],2025,TM[[#All],[Insurance Category Code]],5,TM[[#All],[Large Provider Entity Code]],A225)/I225,"NA")</f>
        <v>NA</v>
      </c>
      <c r="N225" s="90" t="str">
        <f>IFERROR(SUMIFS(TM[[#All],[Total Truncated Expenses]],TM[[#All],[Reporting Year]],2025,TM[[#All],[Insurance Category Code]],5,TM[[#All],[Large Provider Entity Code]],A225)/I225,"NA")</f>
        <v>NA</v>
      </c>
      <c r="O225" s="169" t="str">
        <f t="shared" si="135"/>
        <v>No</v>
      </c>
      <c r="P225" s="231" t="str">
        <f t="shared" si="134"/>
        <v>NA</v>
      </c>
      <c r="Q225" s="91" t="str">
        <f t="shared" si="134"/>
        <v>NA</v>
      </c>
      <c r="R225" s="91" t="str">
        <f t="shared" si="134"/>
        <v>NA</v>
      </c>
      <c r="S225" s="91" t="str">
        <f t="shared" si="134"/>
        <v>NA</v>
      </c>
      <c r="T225" s="91" t="str">
        <f t="shared" si="134"/>
        <v>NA</v>
      </c>
      <c r="U225" s="91" t="str">
        <f t="shared" si="134"/>
        <v>NA</v>
      </c>
    </row>
    <row r="226" spans="1:21" x14ac:dyDescent="0.4">
      <c r="A226" s="210">
        <v>112</v>
      </c>
      <c r="B226" s="526" t="s">
        <v>637</v>
      </c>
      <c r="C226" s="89">
        <f>SUMIFS(TM[[#All],[Member Months]],TM[[#All],[Reporting Year]],2024,TM[[#All],[Insurance Category Code]],5,TM[[#All],[Large Provider Entity Code]],A226)</f>
        <v>0</v>
      </c>
      <c r="D226" s="7" t="str">
        <f>IFERROR(SUMIFS(TM[[#All],[Total Non-Truncated Claims Spending]],TM[[#All],[Reporting Year]],2024,TM[[#All],[Insurance Category Code]],5,TM[[#All],[Large Provider Entity Code]],A226)/C226,"NA")</f>
        <v>NA</v>
      </c>
      <c r="E226" s="7" t="str">
        <f>IFERROR(SUMIFS(TM[[#All],[Total Non-Claims Spending]],TM[[#All],[Reporting Year]],2024,TM[[#All],[Insurance Category Code]],5,TM[[#All],[Large Provider Entity Code]],A226)/C226,"NA")</f>
        <v>NA</v>
      </c>
      <c r="F226" s="7" t="str">
        <f>IFERROR(SUMIFS(TM[[#All],[Total Non-Truncated Claims and Non-Claims Spending]],TM[[#All],[Reporting Year]],2024,TM[[#All],[Insurance Category Code]],5,TM[[#All],[Large Provider Entity Code]],A226)/C226,"NA")</f>
        <v>NA</v>
      </c>
      <c r="G226" s="7" t="str">
        <f>IFERROR(SUMIFS(TM[[#All],[Total Truncated Claims Spending]],TM[[#All],[Reporting Year]],2024,TM[[#All],[Insurance Category Code]],5,TM[[#All],[Large Provider Entity Code]],A226)/C226,"NA")</f>
        <v>NA</v>
      </c>
      <c r="H226" s="196" t="str">
        <f>IFERROR(SUMIFS(TM[[#All],[Total Truncated Expenses]],TM[[#All],[Reporting Year]],2024,TM[[#All],[Insurance Category Code]],5,TM[[#All],[Large Provider Entity Code]],A226)/C226,"NA")</f>
        <v>NA</v>
      </c>
      <c r="I226" s="89">
        <f>SUMIFS(TM[[#All],[Member Months]],TM[[#All],[Reporting Year]],2025,TM[[#All],[Insurance Category Code]],5,TM[[#All],[Large Provider Entity Code]],A226)</f>
        <v>0</v>
      </c>
      <c r="J226" s="7" t="str">
        <f>IFERROR(SUMIFS(TM[[#All],[Total Non-Truncated Claims Spending]],TM[[#All],[Reporting Year]],2025,TM[[#All],[Insurance Category Code]],5,TM[[#All],[Large Provider Entity Code]],A226)/I226,"NA")</f>
        <v>NA</v>
      </c>
      <c r="K226" s="7" t="str">
        <f>IFERROR(SUMIFS(TM[[#All],[Total Non-Claims Spending]],TM[[#All],[Reporting Year]],2025,TM[[#All],[Insurance Category Code]],5,TM[[#All],[Large Provider Entity Code]],A226)/I226,"NA")</f>
        <v>NA</v>
      </c>
      <c r="L226" s="7" t="str">
        <f>IFERROR(SUMIFS(TM[[#All],[Total Non-Truncated Claims and Non-Claims Spending]],TM[[#All],[Reporting Year]],2025,TM[[#All],[Insurance Category Code]],5,TM[[#All],[Large Provider Entity Code]],A226)/I226,"NA")</f>
        <v>NA</v>
      </c>
      <c r="M226" s="7" t="str">
        <f>IFERROR(SUMIFS(TM[[#All],[Total Truncated Claims Spending]],TM[[#All],[Reporting Year]],2025,TM[[#All],[Insurance Category Code]],5,TM[[#All],[Large Provider Entity Code]],A226)/I226,"NA")</f>
        <v>NA</v>
      </c>
      <c r="N226" s="90" t="str">
        <f>IFERROR(SUMIFS(TM[[#All],[Total Truncated Expenses]],TM[[#All],[Reporting Year]],2025,TM[[#All],[Insurance Category Code]],5,TM[[#All],[Large Provider Entity Code]],A226)/I226,"NA")</f>
        <v>NA</v>
      </c>
      <c r="O226" s="169" t="str">
        <f t="shared" si="135"/>
        <v>No</v>
      </c>
      <c r="P226" s="231" t="str">
        <f t="shared" si="134"/>
        <v>NA</v>
      </c>
      <c r="Q226" s="91" t="str">
        <f t="shared" si="134"/>
        <v>NA</v>
      </c>
      <c r="R226" s="91" t="str">
        <f t="shared" si="134"/>
        <v>NA</v>
      </c>
      <c r="S226" s="91" t="str">
        <f t="shared" si="134"/>
        <v>NA</v>
      </c>
      <c r="T226" s="91" t="str">
        <f t="shared" si="134"/>
        <v>NA</v>
      </c>
      <c r="U226" s="91" t="str">
        <f t="shared" si="134"/>
        <v>NA</v>
      </c>
    </row>
    <row r="227" spans="1:21" ht="33.6" x14ac:dyDescent="0.4">
      <c r="A227" s="210">
        <v>115</v>
      </c>
      <c r="B227" s="526" t="s">
        <v>612</v>
      </c>
      <c r="C227" s="89">
        <f>SUMIFS(TM[[#All],[Member Months]],TM[[#All],[Reporting Year]],2024,TM[[#All],[Insurance Category Code]],5,TM[[#All],[Large Provider Entity Code]],A227)</f>
        <v>0</v>
      </c>
      <c r="D227" s="7" t="str">
        <f>IFERROR(SUMIFS(TM[[#All],[Total Non-Truncated Claims Spending]],TM[[#All],[Reporting Year]],2024,TM[[#All],[Insurance Category Code]],5,TM[[#All],[Large Provider Entity Code]],A227)/C227,"NA")</f>
        <v>NA</v>
      </c>
      <c r="E227" s="7" t="str">
        <f>IFERROR(SUMIFS(TM[[#All],[Total Non-Claims Spending]],TM[[#All],[Reporting Year]],2024,TM[[#All],[Insurance Category Code]],5,TM[[#All],[Large Provider Entity Code]],A227)/C227,"NA")</f>
        <v>NA</v>
      </c>
      <c r="F227" s="7" t="str">
        <f>IFERROR(SUMIFS(TM[[#All],[Total Non-Truncated Claims and Non-Claims Spending]],TM[[#All],[Reporting Year]],2024,TM[[#All],[Insurance Category Code]],5,TM[[#All],[Large Provider Entity Code]],A227)/C227,"NA")</f>
        <v>NA</v>
      </c>
      <c r="G227" s="7" t="str">
        <f>IFERROR(SUMIFS(TM[[#All],[Total Truncated Claims Spending]],TM[[#All],[Reporting Year]],2024,TM[[#All],[Insurance Category Code]],5,TM[[#All],[Large Provider Entity Code]],A227)/C227,"NA")</f>
        <v>NA</v>
      </c>
      <c r="H227" s="196" t="str">
        <f>IFERROR(SUMIFS(TM[[#All],[Total Truncated Expenses]],TM[[#All],[Reporting Year]],2024,TM[[#All],[Insurance Category Code]],5,TM[[#All],[Large Provider Entity Code]],A227)/C227,"NA")</f>
        <v>NA</v>
      </c>
      <c r="I227" s="89">
        <f>SUMIFS(TM[[#All],[Member Months]],TM[[#All],[Reporting Year]],2025,TM[[#All],[Insurance Category Code]],5,TM[[#All],[Large Provider Entity Code]],A227)</f>
        <v>0</v>
      </c>
      <c r="J227" s="7" t="str">
        <f>IFERROR(SUMIFS(TM[[#All],[Total Non-Truncated Claims Spending]],TM[[#All],[Reporting Year]],2025,TM[[#All],[Insurance Category Code]],5,TM[[#All],[Large Provider Entity Code]],A227)/I227,"NA")</f>
        <v>NA</v>
      </c>
      <c r="K227" s="7" t="str">
        <f>IFERROR(SUMIFS(TM[[#All],[Total Non-Claims Spending]],TM[[#All],[Reporting Year]],2025,TM[[#All],[Insurance Category Code]],5,TM[[#All],[Large Provider Entity Code]],A227)/I227,"NA")</f>
        <v>NA</v>
      </c>
      <c r="L227" s="7" t="str">
        <f>IFERROR(SUMIFS(TM[[#All],[Total Non-Truncated Claims and Non-Claims Spending]],TM[[#All],[Reporting Year]],2025,TM[[#All],[Insurance Category Code]],5,TM[[#All],[Large Provider Entity Code]],A227)/I227,"NA")</f>
        <v>NA</v>
      </c>
      <c r="M227" s="7" t="str">
        <f>IFERROR(SUMIFS(TM[[#All],[Total Truncated Claims Spending]],TM[[#All],[Reporting Year]],2025,TM[[#All],[Insurance Category Code]],5,TM[[#All],[Large Provider Entity Code]],A227)/I227,"NA")</f>
        <v>NA</v>
      </c>
      <c r="N227" s="90" t="str">
        <f>IFERROR(SUMIFS(TM[[#All],[Total Truncated Expenses]],TM[[#All],[Reporting Year]],2025,TM[[#All],[Insurance Category Code]],5,TM[[#All],[Large Provider Entity Code]],A227)/I227,"NA")</f>
        <v>NA</v>
      </c>
      <c r="O227" s="169" t="str">
        <f t="shared" si="135"/>
        <v>No</v>
      </c>
      <c r="P227" s="231" t="str">
        <f t="shared" si="134"/>
        <v>NA</v>
      </c>
      <c r="Q227" s="91" t="str">
        <f t="shared" si="134"/>
        <v>NA</v>
      </c>
      <c r="R227" s="91" t="str">
        <f t="shared" si="134"/>
        <v>NA</v>
      </c>
      <c r="S227" s="91" t="str">
        <f t="shared" si="134"/>
        <v>NA</v>
      </c>
      <c r="T227" s="91" t="str">
        <f t="shared" si="134"/>
        <v>NA</v>
      </c>
      <c r="U227" s="91" t="str">
        <f t="shared" si="134"/>
        <v>NA</v>
      </c>
    </row>
    <row r="228" spans="1:21" x14ac:dyDescent="0.4">
      <c r="A228" s="210">
        <v>116</v>
      </c>
      <c r="B228" s="526" t="s">
        <v>564</v>
      </c>
      <c r="C228" s="89">
        <f>SUMIFS(TM[[#All],[Member Months]],TM[[#All],[Reporting Year]],2024,TM[[#All],[Insurance Category Code]],5,TM[[#All],[Large Provider Entity Code]],A228)</f>
        <v>0</v>
      </c>
      <c r="D228" s="7" t="str">
        <f>IFERROR(SUMIFS(TM[[#All],[Total Non-Truncated Claims Spending]],TM[[#All],[Reporting Year]],2024,TM[[#All],[Insurance Category Code]],5,TM[[#All],[Large Provider Entity Code]],A228)/C228,"NA")</f>
        <v>NA</v>
      </c>
      <c r="E228" s="7" t="str">
        <f>IFERROR(SUMIFS(TM[[#All],[Total Non-Claims Spending]],TM[[#All],[Reporting Year]],2024,TM[[#All],[Insurance Category Code]],5,TM[[#All],[Large Provider Entity Code]],A228)/C228,"NA")</f>
        <v>NA</v>
      </c>
      <c r="F228" s="7" t="str">
        <f>IFERROR(SUMIFS(TM[[#All],[Total Non-Truncated Claims and Non-Claims Spending]],TM[[#All],[Reporting Year]],2024,TM[[#All],[Insurance Category Code]],5,TM[[#All],[Large Provider Entity Code]],A228)/C228,"NA")</f>
        <v>NA</v>
      </c>
      <c r="G228" s="7" t="str">
        <f>IFERROR(SUMIFS(TM[[#All],[Total Truncated Claims Spending]],TM[[#All],[Reporting Year]],2024,TM[[#All],[Insurance Category Code]],5,TM[[#All],[Large Provider Entity Code]],A228)/C228,"NA")</f>
        <v>NA</v>
      </c>
      <c r="H228" s="196" t="str">
        <f>IFERROR(SUMIFS(TM[[#All],[Total Truncated Expenses]],TM[[#All],[Reporting Year]],2024,TM[[#All],[Insurance Category Code]],5,TM[[#All],[Large Provider Entity Code]],A228)/C228,"NA")</f>
        <v>NA</v>
      </c>
      <c r="I228" s="89">
        <f>SUMIFS(TM[[#All],[Member Months]],TM[[#All],[Reporting Year]],2025,TM[[#All],[Insurance Category Code]],5,TM[[#All],[Large Provider Entity Code]],A228)</f>
        <v>0</v>
      </c>
      <c r="J228" s="7" t="str">
        <f>IFERROR(SUMIFS(TM[[#All],[Total Non-Truncated Claims Spending]],TM[[#All],[Reporting Year]],2025,TM[[#All],[Insurance Category Code]],5,TM[[#All],[Large Provider Entity Code]],A228)/I228,"NA")</f>
        <v>NA</v>
      </c>
      <c r="K228" s="7" t="str">
        <f>IFERROR(SUMIFS(TM[[#All],[Total Non-Claims Spending]],TM[[#All],[Reporting Year]],2025,TM[[#All],[Insurance Category Code]],5,TM[[#All],[Large Provider Entity Code]],A228)/I228,"NA")</f>
        <v>NA</v>
      </c>
      <c r="L228" s="7" t="str">
        <f>IFERROR(SUMIFS(TM[[#All],[Total Non-Truncated Claims and Non-Claims Spending]],TM[[#All],[Reporting Year]],2025,TM[[#All],[Insurance Category Code]],5,TM[[#All],[Large Provider Entity Code]],A228)/I228,"NA")</f>
        <v>NA</v>
      </c>
      <c r="M228" s="7" t="str">
        <f>IFERROR(SUMIFS(TM[[#All],[Total Truncated Claims Spending]],TM[[#All],[Reporting Year]],2025,TM[[#All],[Insurance Category Code]],5,TM[[#All],[Large Provider Entity Code]],A228)/I228,"NA")</f>
        <v>NA</v>
      </c>
      <c r="N228" s="90" t="str">
        <f>IFERROR(SUMIFS(TM[[#All],[Total Truncated Expenses]],TM[[#All],[Reporting Year]],2025,TM[[#All],[Insurance Category Code]],5,TM[[#All],[Large Provider Entity Code]],A228)/I228,"NA")</f>
        <v>NA</v>
      </c>
      <c r="O228" s="169" t="str">
        <f t="shared" si="135"/>
        <v>No</v>
      </c>
      <c r="P228" s="231" t="str">
        <f t="shared" si="134"/>
        <v>NA</v>
      </c>
      <c r="Q228" s="91" t="str">
        <f t="shared" si="134"/>
        <v>NA</v>
      </c>
      <c r="R228" s="91" t="str">
        <f t="shared" si="134"/>
        <v>NA</v>
      </c>
      <c r="S228" s="91" t="str">
        <f t="shared" si="134"/>
        <v>NA</v>
      </c>
      <c r="T228" s="91" t="str">
        <f t="shared" si="134"/>
        <v>NA</v>
      </c>
      <c r="U228" s="91" t="str">
        <f t="shared" si="134"/>
        <v>NA</v>
      </c>
    </row>
    <row r="229" spans="1:21" x14ac:dyDescent="0.4">
      <c r="A229" s="210">
        <v>118</v>
      </c>
      <c r="B229" s="526" t="s">
        <v>70</v>
      </c>
      <c r="C229" s="89">
        <f>SUMIFS(TM[[#All],[Member Months]],TM[[#All],[Reporting Year]],2024,TM[[#All],[Insurance Category Code]],5,TM[[#All],[Large Provider Entity Code]],A229)</f>
        <v>0</v>
      </c>
      <c r="D229" s="7" t="str">
        <f>IFERROR(SUMIFS(TM[[#All],[Total Non-Truncated Claims Spending]],TM[[#All],[Reporting Year]],2024,TM[[#All],[Insurance Category Code]],5,TM[[#All],[Large Provider Entity Code]],A229)/C229,"NA")</f>
        <v>NA</v>
      </c>
      <c r="E229" s="7" t="str">
        <f>IFERROR(SUMIFS(TM[[#All],[Total Non-Claims Spending]],TM[[#All],[Reporting Year]],2024,TM[[#All],[Insurance Category Code]],5,TM[[#All],[Large Provider Entity Code]],A229)/C229,"NA")</f>
        <v>NA</v>
      </c>
      <c r="F229" s="7" t="str">
        <f>IFERROR(SUMIFS(TM[[#All],[Total Non-Truncated Claims and Non-Claims Spending]],TM[[#All],[Reporting Year]],2024,TM[[#All],[Insurance Category Code]],5,TM[[#All],[Large Provider Entity Code]],A229)/C229,"NA")</f>
        <v>NA</v>
      </c>
      <c r="G229" s="7" t="str">
        <f>IFERROR(SUMIFS(TM[[#All],[Total Truncated Claims Spending]],TM[[#All],[Reporting Year]],2024,TM[[#All],[Insurance Category Code]],5,TM[[#All],[Large Provider Entity Code]],A229)/C229,"NA")</f>
        <v>NA</v>
      </c>
      <c r="H229" s="196" t="str">
        <f>IFERROR(SUMIFS(TM[[#All],[Total Truncated Expenses]],TM[[#All],[Reporting Year]],2024,TM[[#All],[Insurance Category Code]],5,TM[[#All],[Large Provider Entity Code]],A229)/C229,"NA")</f>
        <v>NA</v>
      </c>
      <c r="I229" s="89">
        <f>SUMIFS(TM[[#All],[Member Months]],TM[[#All],[Reporting Year]],2025,TM[[#All],[Insurance Category Code]],5,TM[[#All],[Large Provider Entity Code]],A229)</f>
        <v>0</v>
      </c>
      <c r="J229" s="7" t="str">
        <f>IFERROR(SUMIFS(TM[[#All],[Total Non-Truncated Claims Spending]],TM[[#All],[Reporting Year]],2025,TM[[#All],[Insurance Category Code]],5,TM[[#All],[Large Provider Entity Code]],A229)/I229,"NA")</f>
        <v>NA</v>
      </c>
      <c r="K229" s="7" t="str">
        <f>IFERROR(SUMIFS(TM[[#All],[Total Non-Claims Spending]],TM[[#All],[Reporting Year]],2025,TM[[#All],[Insurance Category Code]],5,TM[[#All],[Large Provider Entity Code]],A229)/I229,"NA")</f>
        <v>NA</v>
      </c>
      <c r="L229" s="7" t="str">
        <f>IFERROR(SUMIFS(TM[[#All],[Total Non-Truncated Claims and Non-Claims Spending]],TM[[#All],[Reporting Year]],2025,TM[[#All],[Insurance Category Code]],5,TM[[#All],[Large Provider Entity Code]],A229)/I229,"NA")</f>
        <v>NA</v>
      </c>
      <c r="M229" s="7" t="str">
        <f>IFERROR(SUMIFS(TM[[#All],[Total Truncated Claims Spending]],TM[[#All],[Reporting Year]],2025,TM[[#All],[Insurance Category Code]],5,TM[[#All],[Large Provider Entity Code]],A229)/I229,"NA")</f>
        <v>NA</v>
      </c>
      <c r="N229" s="90" t="str">
        <f>IFERROR(SUMIFS(TM[[#All],[Total Truncated Expenses]],TM[[#All],[Reporting Year]],2025,TM[[#All],[Insurance Category Code]],5,TM[[#All],[Large Provider Entity Code]],A229)/I229,"NA")</f>
        <v>NA</v>
      </c>
      <c r="O229" s="169" t="str">
        <f>IFERROR(IF(AND(C229&gt;12000,I229&gt;12000),"Yes","No"),"NA")</f>
        <v>No</v>
      </c>
      <c r="P229" s="231" t="str">
        <f t="shared" si="134"/>
        <v>NA</v>
      </c>
      <c r="Q229" s="91" t="str">
        <f t="shared" si="134"/>
        <v>NA</v>
      </c>
      <c r="R229" s="91" t="str">
        <f t="shared" si="134"/>
        <v>NA</v>
      </c>
      <c r="S229" s="91" t="str">
        <f t="shared" si="134"/>
        <v>NA</v>
      </c>
      <c r="T229" s="91" t="str">
        <f t="shared" si="134"/>
        <v>NA</v>
      </c>
      <c r="U229" s="91" t="str">
        <f t="shared" si="134"/>
        <v>NA</v>
      </c>
    </row>
    <row r="230" spans="1:21" x14ac:dyDescent="0.4">
      <c r="A230" s="210">
        <v>120</v>
      </c>
      <c r="B230" s="526" t="s">
        <v>561</v>
      </c>
      <c r="C230" s="89">
        <f>SUMIFS(TM[[#All],[Member Months]],TM[[#All],[Reporting Year]],2024,TM[[#All],[Insurance Category Code]],5,TM[[#All],[Large Provider Entity Code]],A230)</f>
        <v>0</v>
      </c>
      <c r="D230" s="7" t="str">
        <f>IFERROR(SUMIFS(TM[[#All],[Total Non-Truncated Claims Spending]],TM[[#All],[Reporting Year]],2024,TM[[#All],[Insurance Category Code]],5,TM[[#All],[Large Provider Entity Code]],A230)/C230,"NA")</f>
        <v>NA</v>
      </c>
      <c r="E230" s="7" t="str">
        <f>IFERROR(SUMIFS(TM[[#All],[Total Non-Claims Spending]],TM[[#All],[Reporting Year]],2024,TM[[#All],[Insurance Category Code]],5,TM[[#All],[Large Provider Entity Code]],A230)/C230,"NA")</f>
        <v>NA</v>
      </c>
      <c r="F230" s="7" t="str">
        <f>IFERROR(SUMIFS(TM[[#All],[Total Non-Truncated Claims and Non-Claims Spending]],TM[[#All],[Reporting Year]],2024,TM[[#All],[Insurance Category Code]],5,TM[[#All],[Large Provider Entity Code]],A230)/C230,"NA")</f>
        <v>NA</v>
      </c>
      <c r="G230" s="7" t="str">
        <f>IFERROR(SUMIFS(TM[[#All],[Total Truncated Claims Spending]],TM[[#All],[Reporting Year]],2024,TM[[#All],[Insurance Category Code]],5,TM[[#All],[Large Provider Entity Code]],A230)/C230,"NA")</f>
        <v>NA</v>
      </c>
      <c r="H230" s="196" t="str">
        <f>IFERROR(SUMIFS(TM[[#All],[Total Truncated Expenses]],TM[[#All],[Reporting Year]],2024,TM[[#All],[Insurance Category Code]],5,TM[[#All],[Large Provider Entity Code]],A230)/C230,"NA")</f>
        <v>NA</v>
      </c>
      <c r="I230" s="89">
        <f>SUMIFS(TM[[#All],[Member Months]],TM[[#All],[Reporting Year]],2025,TM[[#All],[Insurance Category Code]],5,TM[[#All],[Large Provider Entity Code]],A230)</f>
        <v>0</v>
      </c>
      <c r="J230" s="7" t="str">
        <f>IFERROR(SUMIFS(TM[[#All],[Total Non-Truncated Claims Spending]],TM[[#All],[Reporting Year]],2025,TM[[#All],[Insurance Category Code]],5,TM[[#All],[Large Provider Entity Code]],A230)/I230,"NA")</f>
        <v>NA</v>
      </c>
      <c r="K230" s="7" t="str">
        <f>IFERROR(SUMIFS(TM[[#All],[Total Non-Claims Spending]],TM[[#All],[Reporting Year]],2025,TM[[#All],[Insurance Category Code]],5,TM[[#All],[Large Provider Entity Code]],A230)/I230,"NA")</f>
        <v>NA</v>
      </c>
      <c r="L230" s="7" t="str">
        <f>IFERROR(SUMIFS(TM[[#All],[Total Non-Truncated Claims and Non-Claims Spending]],TM[[#All],[Reporting Year]],2025,TM[[#All],[Insurance Category Code]],5,TM[[#All],[Large Provider Entity Code]],A230)/I230,"NA")</f>
        <v>NA</v>
      </c>
      <c r="M230" s="7" t="str">
        <f>IFERROR(SUMIFS(TM[[#All],[Total Truncated Claims Spending]],TM[[#All],[Reporting Year]],2025,TM[[#All],[Insurance Category Code]],5,TM[[#All],[Large Provider Entity Code]],A230)/I230,"NA")</f>
        <v>NA</v>
      </c>
      <c r="N230" s="90" t="str">
        <f>IFERROR(SUMIFS(TM[[#All],[Total Truncated Expenses]],TM[[#All],[Reporting Year]],2025,TM[[#All],[Insurance Category Code]],5,TM[[#All],[Large Provider Entity Code]],A230)/I230,"NA")</f>
        <v>NA</v>
      </c>
      <c r="O230" s="169" t="str">
        <f t="shared" si="135"/>
        <v>No</v>
      </c>
      <c r="P230" s="231" t="str">
        <f t="shared" si="134"/>
        <v>NA</v>
      </c>
      <c r="Q230" s="91" t="str">
        <f t="shared" si="134"/>
        <v>NA</v>
      </c>
      <c r="R230" s="91" t="str">
        <f t="shared" si="134"/>
        <v>NA</v>
      </c>
      <c r="S230" s="91" t="str">
        <f t="shared" si="134"/>
        <v>NA</v>
      </c>
      <c r="T230" s="91" t="str">
        <f t="shared" si="134"/>
        <v>NA</v>
      </c>
      <c r="U230" s="91" t="str">
        <f t="shared" si="134"/>
        <v>NA</v>
      </c>
    </row>
    <row r="231" spans="1:21" ht="33.6" x14ac:dyDescent="0.4">
      <c r="A231" s="210">
        <v>121</v>
      </c>
      <c r="B231" s="526" t="s">
        <v>565</v>
      </c>
      <c r="C231" s="89">
        <f>SUMIFS(TM[[#All],[Member Months]],TM[[#All],[Reporting Year]],2024,TM[[#All],[Insurance Category Code]],5,TM[[#All],[Large Provider Entity Code]],A231)</f>
        <v>0</v>
      </c>
      <c r="D231" s="7" t="str">
        <f>IFERROR(SUMIFS(TM[[#All],[Total Non-Truncated Claims Spending]],TM[[#All],[Reporting Year]],2024,TM[[#All],[Insurance Category Code]],5,TM[[#All],[Large Provider Entity Code]],A231)/C231,"NA")</f>
        <v>NA</v>
      </c>
      <c r="E231" s="7" t="str">
        <f>IFERROR(SUMIFS(TM[[#All],[Total Non-Claims Spending]],TM[[#All],[Reporting Year]],2024,TM[[#All],[Insurance Category Code]],5,TM[[#All],[Large Provider Entity Code]],A231)/C231,"NA")</f>
        <v>NA</v>
      </c>
      <c r="F231" s="7" t="str">
        <f>IFERROR(SUMIFS(TM[[#All],[Total Non-Truncated Claims and Non-Claims Spending]],TM[[#All],[Reporting Year]],2024,TM[[#All],[Insurance Category Code]],5,TM[[#All],[Large Provider Entity Code]],A231)/C231,"NA")</f>
        <v>NA</v>
      </c>
      <c r="G231" s="7" t="str">
        <f>IFERROR(SUMIFS(TM[[#All],[Total Truncated Claims Spending]],TM[[#All],[Reporting Year]],2024,TM[[#All],[Insurance Category Code]],5,TM[[#All],[Large Provider Entity Code]],A231)/C231,"NA")</f>
        <v>NA</v>
      </c>
      <c r="H231" s="196" t="str">
        <f>IFERROR(SUMIFS(TM[[#All],[Total Truncated Expenses]],TM[[#All],[Reporting Year]],2024,TM[[#All],[Insurance Category Code]],5,TM[[#All],[Large Provider Entity Code]],A231)/C231,"NA")</f>
        <v>NA</v>
      </c>
      <c r="I231" s="89">
        <f>SUMIFS(TM[[#All],[Member Months]],TM[[#All],[Reporting Year]],2025,TM[[#All],[Insurance Category Code]],5,TM[[#All],[Large Provider Entity Code]],A231)</f>
        <v>0</v>
      </c>
      <c r="J231" s="7" t="str">
        <f>IFERROR(SUMIFS(TM[[#All],[Total Non-Truncated Claims Spending]],TM[[#All],[Reporting Year]],2025,TM[[#All],[Insurance Category Code]],5,TM[[#All],[Large Provider Entity Code]],A231)/I231,"NA")</f>
        <v>NA</v>
      </c>
      <c r="K231" s="7" t="str">
        <f>IFERROR(SUMIFS(TM[[#All],[Total Non-Claims Spending]],TM[[#All],[Reporting Year]],2025,TM[[#All],[Insurance Category Code]],5,TM[[#All],[Large Provider Entity Code]],A231)/I231,"NA")</f>
        <v>NA</v>
      </c>
      <c r="L231" s="7" t="str">
        <f>IFERROR(SUMIFS(TM[[#All],[Total Non-Truncated Claims and Non-Claims Spending]],TM[[#All],[Reporting Year]],2025,TM[[#All],[Insurance Category Code]],5,TM[[#All],[Large Provider Entity Code]],A231)/I231,"NA")</f>
        <v>NA</v>
      </c>
      <c r="M231" s="7" t="str">
        <f>IFERROR(SUMIFS(TM[[#All],[Total Truncated Claims Spending]],TM[[#All],[Reporting Year]],2025,TM[[#All],[Insurance Category Code]],5,TM[[#All],[Large Provider Entity Code]],A231)/I231,"NA")</f>
        <v>NA</v>
      </c>
      <c r="N231" s="90" t="str">
        <f>IFERROR(SUMIFS(TM[[#All],[Total Truncated Expenses]],TM[[#All],[Reporting Year]],2025,TM[[#All],[Insurance Category Code]],5,TM[[#All],[Large Provider Entity Code]],A231)/I231,"NA")</f>
        <v>NA</v>
      </c>
      <c r="O231" s="169" t="str">
        <f t="shared" si="135"/>
        <v>No</v>
      </c>
      <c r="P231" s="231" t="str">
        <f t="shared" si="134"/>
        <v>NA</v>
      </c>
      <c r="Q231" s="91" t="str">
        <f t="shared" si="134"/>
        <v>NA</v>
      </c>
      <c r="R231" s="91" t="str">
        <f t="shared" si="134"/>
        <v>NA</v>
      </c>
      <c r="S231" s="91" t="str">
        <f t="shared" si="134"/>
        <v>NA</v>
      </c>
      <c r="T231" s="91" t="str">
        <f t="shared" si="134"/>
        <v>NA</v>
      </c>
      <c r="U231" s="91" t="str">
        <f t="shared" si="134"/>
        <v>NA</v>
      </c>
    </row>
    <row r="232" spans="1:21" ht="33.6" x14ac:dyDescent="0.4">
      <c r="A232" s="210">
        <v>122</v>
      </c>
      <c r="B232" s="525" t="s">
        <v>647</v>
      </c>
      <c r="C232" s="89">
        <f>SUMIFS(TM[[#All],[Member Months]],TM[[#All],[Reporting Year]],2024,TM[[#All],[Insurance Category Code]],5,TM[[#All],[Large Provider Entity Code]],A232)</f>
        <v>0</v>
      </c>
      <c r="D232" s="7" t="str">
        <f>IFERROR(SUMIFS(TM[[#All],[Total Non-Truncated Claims Spending]],TM[[#All],[Reporting Year]],2024,TM[[#All],[Insurance Category Code]],5,TM[[#All],[Large Provider Entity Code]],A232)/C232,"NA")</f>
        <v>NA</v>
      </c>
      <c r="E232" s="7" t="str">
        <f>IFERROR(SUMIFS(TM[[#All],[Total Non-Claims Spending]],TM[[#All],[Reporting Year]],2024,TM[[#All],[Insurance Category Code]],5,TM[[#All],[Large Provider Entity Code]],A232)/C232,"NA")</f>
        <v>NA</v>
      </c>
      <c r="F232" s="7" t="str">
        <f>IFERROR(SUMIFS(TM[[#All],[Total Non-Truncated Claims and Non-Claims Spending]],TM[[#All],[Reporting Year]],2024,TM[[#All],[Insurance Category Code]],5,TM[[#All],[Large Provider Entity Code]],A232)/C232,"NA")</f>
        <v>NA</v>
      </c>
      <c r="G232" s="7" t="str">
        <f>IFERROR(SUMIFS(TM[[#All],[Total Truncated Claims Spending]],TM[[#All],[Reporting Year]],2024,TM[[#All],[Insurance Category Code]],5,TM[[#All],[Large Provider Entity Code]],A232)/C232,"NA")</f>
        <v>NA</v>
      </c>
      <c r="H232" s="196" t="str">
        <f>IFERROR(SUMIFS(TM[[#All],[Total Truncated Expenses]],TM[[#All],[Reporting Year]],2024,TM[[#All],[Insurance Category Code]],5,TM[[#All],[Large Provider Entity Code]],A232)/C232,"NA")</f>
        <v>NA</v>
      </c>
      <c r="I232" s="89">
        <f>SUMIFS(TM[[#All],[Member Months]],TM[[#All],[Reporting Year]],2025,TM[[#All],[Insurance Category Code]],5,TM[[#All],[Large Provider Entity Code]],A232)</f>
        <v>0</v>
      </c>
      <c r="J232" s="7" t="str">
        <f>IFERROR(SUMIFS(TM[[#All],[Total Non-Truncated Claims Spending]],TM[[#All],[Reporting Year]],2025,TM[[#All],[Insurance Category Code]],5,TM[[#All],[Large Provider Entity Code]],A232)/I232,"NA")</f>
        <v>NA</v>
      </c>
      <c r="K232" s="7" t="str">
        <f>IFERROR(SUMIFS(TM[[#All],[Total Non-Claims Spending]],TM[[#All],[Reporting Year]],2025,TM[[#All],[Insurance Category Code]],5,TM[[#All],[Large Provider Entity Code]],A232)/I232,"NA")</f>
        <v>NA</v>
      </c>
      <c r="L232" s="7" t="str">
        <f>IFERROR(SUMIFS(TM[[#All],[Total Non-Truncated Claims and Non-Claims Spending]],TM[[#All],[Reporting Year]],2025,TM[[#All],[Insurance Category Code]],5,TM[[#All],[Large Provider Entity Code]],A232)/I232,"NA")</f>
        <v>NA</v>
      </c>
      <c r="M232" s="7" t="str">
        <f>IFERROR(SUMIFS(TM[[#All],[Total Truncated Claims Spending]],TM[[#All],[Reporting Year]],2025,TM[[#All],[Insurance Category Code]],5,TM[[#All],[Large Provider Entity Code]],A232)/I232,"NA")</f>
        <v>NA</v>
      </c>
      <c r="N232" s="90" t="str">
        <f>IFERROR(SUMIFS(TM[[#All],[Total Truncated Expenses]],TM[[#All],[Reporting Year]],2025,TM[[#All],[Insurance Category Code]],5,TM[[#All],[Large Provider Entity Code]],A232)/I232,"NA")</f>
        <v>NA</v>
      </c>
      <c r="O232" s="169" t="str">
        <f t="shared" si="135"/>
        <v>No</v>
      </c>
      <c r="P232" s="231" t="str">
        <f t="shared" si="134"/>
        <v>NA</v>
      </c>
      <c r="Q232" s="91" t="str">
        <f t="shared" si="134"/>
        <v>NA</v>
      </c>
      <c r="R232" s="91" t="str">
        <f t="shared" si="134"/>
        <v>NA</v>
      </c>
      <c r="S232" s="91" t="str">
        <f t="shared" si="134"/>
        <v>NA</v>
      </c>
      <c r="T232" s="91" t="str">
        <f t="shared" si="134"/>
        <v>NA</v>
      </c>
      <c r="U232" s="91" t="str">
        <f t="shared" si="134"/>
        <v>NA</v>
      </c>
    </row>
    <row r="233" spans="1:21" ht="33.6" x14ac:dyDescent="0.4">
      <c r="A233" s="210">
        <v>123</v>
      </c>
      <c r="B233" s="525" t="s">
        <v>614</v>
      </c>
      <c r="C233" s="89">
        <f>SUMIFS(TM[[#All],[Member Months]],TM[[#All],[Reporting Year]],2024,TM[[#All],[Insurance Category Code]],5,TM[[#All],[Large Provider Entity Code]],A233)</f>
        <v>0</v>
      </c>
      <c r="D233" s="7" t="str">
        <f>IFERROR(SUMIFS(TM[[#All],[Total Non-Truncated Claims Spending]],TM[[#All],[Reporting Year]],2024,TM[[#All],[Insurance Category Code]],5,TM[[#All],[Large Provider Entity Code]],A233)/C233,"NA")</f>
        <v>NA</v>
      </c>
      <c r="E233" s="7" t="str">
        <f>IFERROR(SUMIFS(TM[[#All],[Total Non-Claims Spending]],TM[[#All],[Reporting Year]],2024,TM[[#All],[Insurance Category Code]],5,TM[[#All],[Large Provider Entity Code]],A233)/C233,"NA")</f>
        <v>NA</v>
      </c>
      <c r="F233" s="7" t="str">
        <f>IFERROR(SUMIFS(TM[[#All],[Total Non-Truncated Claims and Non-Claims Spending]],TM[[#All],[Reporting Year]],2024,TM[[#All],[Insurance Category Code]],5,TM[[#All],[Large Provider Entity Code]],A233)/C233,"NA")</f>
        <v>NA</v>
      </c>
      <c r="G233" s="7" t="str">
        <f>IFERROR(SUMIFS(TM[[#All],[Total Truncated Claims Spending]],TM[[#All],[Reporting Year]],2024,TM[[#All],[Insurance Category Code]],5,TM[[#All],[Large Provider Entity Code]],A233)/C233,"NA")</f>
        <v>NA</v>
      </c>
      <c r="H233" s="196" t="str">
        <f>IFERROR(SUMIFS(TM[[#All],[Total Truncated Expenses]],TM[[#All],[Reporting Year]],2024,TM[[#All],[Insurance Category Code]],5,TM[[#All],[Large Provider Entity Code]],A233)/C233,"NA")</f>
        <v>NA</v>
      </c>
      <c r="I233" s="89">
        <f>SUMIFS(TM[[#All],[Member Months]],TM[[#All],[Reporting Year]],2025,TM[[#All],[Insurance Category Code]],5,TM[[#All],[Large Provider Entity Code]],A233)</f>
        <v>0</v>
      </c>
      <c r="J233" s="7" t="str">
        <f>IFERROR(SUMIFS(TM[[#All],[Total Non-Truncated Claims Spending]],TM[[#All],[Reporting Year]],2025,TM[[#All],[Insurance Category Code]],5,TM[[#All],[Large Provider Entity Code]],A233)/I233,"NA")</f>
        <v>NA</v>
      </c>
      <c r="K233" s="7" t="str">
        <f>IFERROR(SUMIFS(TM[[#All],[Total Non-Claims Spending]],TM[[#All],[Reporting Year]],2025,TM[[#All],[Insurance Category Code]],5,TM[[#All],[Large Provider Entity Code]],A233)/I233,"NA")</f>
        <v>NA</v>
      </c>
      <c r="L233" s="7" t="str">
        <f>IFERROR(SUMIFS(TM[[#All],[Total Non-Truncated Claims and Non-Claims Spending]],TM[[#All],[Reporting Year]],2025,TM[[#All],[Insurance Category Code]],5,TM[[#All],[Large Provider Entity Code]],A233)/I233,"NA")</f>
        <v>NA</v>
      </c>
      <c r="M233" s="7" t="str">
        <f>IFERROR(SUMIFS(TM[[#All],[Total Truncated Claims Spending]],TM[[#All],[Reporting Year]],2025,TM[[#All],[Insurance Category Code]],5,TM[[#All],[Large Provider Entity Code]],A233)/I233,"NA")</f>
        <v>NA</v>
      </c>
      <c r="N233" s="90" t="str">
        <f>IFERROR(SUMIFS(TM[[#All],[Total Truncated Expenses]],TM[[#All],[Reporting Year]],2025,TM[[#All],[Insurance Category Code]],5,TM[[#All],[Large Provider Entity Code]],A233)/I233,"NA")</f>
        <v>NA</v>
      </c>
      <c r="O233" s="169" t="str">
        <f t="shared" si="135"/>
        <v>No</v>
      </c>
      <c r="P233" s="231" t="str">
        <f t="shared" ref="P233:P234" si="136">IFERROR((I233/C233-1),"NA")</f>
        <v>NA</v>
      </c>
      <c r="Q233" s="91" t="str">
        <f t="shared" ref="Q233:Q234" si="137">IFERROR((J233/D233-1),"NA")</f>
        <v>NA</v>
      </c>
      <c r="R233" s="91" t="str">
        <f t="shared" ref="R233:R234" si="138">IFERROR((K233/E233-1),"NA")</f>
        <v>NA</v>
      </c>
      <c r="S233" s="91" t="str">
        <f t="shared" ref="S233:S234" si="139">IFERROR((L233/F233-1),"NA")</f>
        <v>NA</v>
      </c>
      <c r="T233" s="91" t="str">
        <f t="shared" ref="T233:T234" si="140">IFERROR((M233/G233-1),"NA")</f>
        <v>NA</v>
      </c>
      <c r="U233" s="91" t="str">
        <f t="shared" ref="U233:U234" si="141">IFERROR((N233/H233-1),"NA")</f>
        <v>NA</v>
      </c>
    </row>
    <row r="234" spans="1:21" x14ac:dyDescent="0.4">
      <c r="A234" s="210">
        <v>124</v>
      </c>
      <c r="B234" s="525" t="s">
        <v>615</v>
      </c>
      <c r="C234" s="89">
        <f>SUMIFS(TM[[#All],[Member Months]],TM[[#All],[Reporting Year]],2024,TM[[#All],[Insurance Category Code]],5,TM[[#All],[Large Provider Entity Code]],A234)</f>
        <v>0</v>
      </c>
      <c r="D234" s="7" t="str">
        <f>IFERROR(SUMIFS(TM[[#All],[Total Non-Truncated Claims Spending]],TM[[#All],[Reporting Year]],2024,TM[[#All],[Insurance Category Code]],5,TM[[#All],[Large Provider Entity Code]],A234)/C234,"NA")</f>
        <v>NA</v>
      </c>
      <c r="E234" s="7" t="str">
        <f>IFERROR(SUMIFS(TM[[#All],[Total Non-Claims Spending]],TM[[#All],[Reporting Year]],2024,TM[[#All],[Insurance Category Code]],5,TM[[#All],[Large Provider Entity Code]],A234)/C234,"NA")</f>
        <v>NA</v>
      </c>
      <c r="F234" s="7" t="str">
        <f>IFERROR(SUMIFS(TM[[#All],[Total Non-Truncated Claims and Non-Claims Spending]],TM[[#All],[Reporting Year]],2024,TM[[#All],[Insurance Category Code]],5,TM[[#All],[Large Provider Entity Code]],A234)/C234,"NA")</f>
        <v>NA</v>
      </c>
      <c r="G234" s="7" t="str">
        <f>IFERROR(SUMIFS(TM[[#All],[Total Truncated Claims Spending]],TM[[#All],[Reporting Year]],2024,TM[[#All],[Insurance Category Code]],5,TM[[#All],[Large Provider Entity Code]],A234)/C234,"NA")</f>
        <v>NA</v>
      </c>
      <c r="H234" s="196" t="str">
        <f>IFERROR(SUMIFS(TM[[#All],[Total Truncated Expenses]],TM[[#All],[Reporting Year]],2024,TM[[#All],[Insurance Category Code]],5,TM[[#All],[Large Provider Entity Code]],A234)/C234,"NA")</f>
        <v>NA</v>
      </c>
      <c r="I234" s="89">
        <f>SUMIFS(TM[[#All],[Member Months]],TM[[#All],[Reporting Year]],2025,TM[[#All],[Insurance Category Code]],5,TM[[#All],[Large Provider Entity Code]],A234)</f>
        <v>0</v>
      </c>
      <c r="J234" s="7" t="str">
        <f>IFERROR(SUMIFS(TM[[#All],[Total Non-Truncated Claims Spending]],TM[[#All],[Reporting Year]],2025,TM[[#All],[Insurance Category Code]],5,TM[[#All],[Large Provider Entity Code]],A234)/I234,"NA")</f>
        <v>NA</v>
      </c>
      <c r="K234" s="7" t="str">
        <f>IFERROR(SUMIFS(TM[[#All],[Total Non-Claims Spending]],TM[[#All],[Reporting Year]],2025,TM[[#All],[Insurance Category Code]],5,TM[[#All],[Large Provider Entity Code]],A234)/I234,"NA")</f>
        <v>NA</v>
      </c>
      <c r="L234" s="7" t="str">
        <f>IFERROR(SUMIFS(TM[[#All],[Total Non-Truncated Claims and Non-Claims Spending]],TM[[#All],[Reporting Year]],2025,TM[[#All],[Insurance Category Code]],5,TM[[#All],[Large Provider Entity Code]],A234)/I234,"NA")</f>
        <v>NA</v>
      </c>
      <c r="M234" s="7" t="str">
        <f>IFERROR(SUMIFS(TM[[#All],[Total Truncated Claims Spending]],TM[[#All],[Reporting Year]],2025,TM[[#All],[Insurance Category Code]],5,TM[[#All],[Large Provider Entity Code]],A234)/I234,"NA")</f>
        <v>NA</v>
      </c>
      <c r="N234" s="90" t="str">
        <f>IFERROR(SUMIFS(TM[[#All],[Total Truncated Expenses]],TM[[#All],[Reporting Year]],2025,TM[[#All],[Insurance Category Code]],5,TM[[#All],[Large Provider Entity Code]],A234)/I234,"NA")</f>
        <v>NA</v>
      </c>
      <c r="O234" s="169" t="str">
        <f t="shared" si="135"/>
        <v>No</v>
      </c>
      <c r="P234" s="231" t="str">
        <f t="shared" si="136"/>
        <v>NA</v>
      </c>
      <c r="Q234" s="91" t="str">
        <f t="shared" si="137"/>
        <v>NA</v>
      </c>
      <c r="R234" s="91" t="str">
        <f t="shared" si="138"/>
        <v>NA</v>
      </c>
      <c r="S234" s="91" t="str">
        <f t="shared" si="139"/>
        <v>NA</v>
      </c>
      <c r="T234" s="91" t="str">
        <f t="shared" si="140"/>
        <v>NA</v>
      </c>
      <c r="U234" s="91" t="str">
        <f t="shared" si="141"/>
        <v>NA</v>
      </c>
    </row>
    <row r="235" spans="1:21" x14ac:dyDescent="0.4">
      <c r="A235" s="462">
        <v>125</v>
      </c>
      <c r="B235" s="525" t="s">
        <v>638</v>
      </c>
      <c r="C235" s="89">
        <f>SUMIFS(TM[[#All],[Member Months]],TM[[#All],[Reporting Year]],2024,TM[[#All],[Insurance Category Code]],5,TM[[#All],[Large Provider Entity Code]],A235)</f>
        <v>0</v>
      </c>
      <c r="D235" s="7" t="str">
        <f>IFERROR(SUMIFS(TM[[#All],[Total Non-Truncated Claims Spending]],TM[[#All],[Reporting Year]],2024,TM[[#All],[Insurance Category Code]],5,TM[[#All],[Large Provider Entity Code]],A235)/C235,"NA")</f>
        <v>NA</v>
      </c>
      <c r="E235" s="7" t="str">
        <f>IFERROR(SUMIFS(TM[[#All],[Total Non-Claims Spending]],TM[[#All],[Reporting Year]],2024,TM[[#All],[Insurance Category Code]],5,TM[[#All],[Large Provider Entity Code]],A235)/C235,"NA")</f>
        <v>NA</v>
      </c>
      <c r="F235" s="7" t="str">
        <f>IFERROR(SUMIFS(TM[[#All],[Total Non-Truncated Claims and Non-Claims Spending]],TM[[#All],[Reporting Year]],2024,TM[[#All],[Insurance Category Code]],5,TM[[#All],[Large Provider Entity Code]],A235)/C235,"NA")</f>
        <v>NA</v>
      </c>
      <c r="G235" s="7" t="str">
        <f>IFERROR(SUMIFS(TM[[#All],[Total Truncated Claims Spending]],TM[[#All],[Reporting Year]],2024,TM[[#All],[Insurance Category Code]],5,TM[[#All],[Large Provider Entity Code]],A235)/C235,"NA")</f>
        <v>NA</v>
      </c>
      <c r="H235" s="196" t="str">
        <f>IFERROR(SUMIFS(TM[[#All],[Total Truncated Expenses]],TM[[#All],[Reporting Year]],2024,TM[[#All],[Insurance Category Code]],5,TM[[#All],[Large Provider Entity Code]],A235)/C235,"NA")</f>
        <v>NA</v>
      </c>
      <c r="I235" s="89">
        <f>SUMIFS(TM[[#All],[Member Months]],TM[[#All],[Reporting Year]],2025,TM[[#All],[Insurance Category Code]],5,TM[[#All],[Large Provider Entity Code]],A235)</f>
        <v>0</v>
      </c>
      <c r="J235" s="7" t="str">
        <f>IFERROR(SUMIFS(TM[[#All],[Total Non-Truncated Claims Spending]],TM[[#All],[Reporting Year]],2025,TM[[#All],[Insurance Category Code]],5,TM[[#All],[Large Provider Entity Code]],A235)/I235,"NA")</f>
        <v>NA</v>
      </c>
      <c r="K235" s="7" t="str">
        <f>IFERROR(SUMIFS(TM[[#All],[Total Non-Claims Spending]],TM[[#All],[Reporting Year]],2025,TM[[#All],[Insurance Category Code]],5,TM[[#All],[Large Provider Entity Code]],A235)/I235,"NA")</f>
        <v>NA</v>
      </c>
      <c r="L235" s="7" t="str">
        <f>IFERROR(SUMIFS(TM[[#All],[Total Non-Truncated Claims and Non-Claims Spending]],TM[[#All],[Reporting Year]],2025,TM[[#All],[Insurance Category Code]],5,TM[[#All],[Large Provider Entity Code]],A235)/I235,"NA")</f>
        <v>NA</v>
      </c>
      <c r="M235" s="7" t="str">
        <f>IFERROR(SUMIFS(TM[[#All],[Total Truncated Claims Spending]],TM[[#All],[Reporting Year]],2025,TM[[#All],[Insurance Category Code]],5,TM[[#All],[Large Provider Entity Code]],A235)/I235,"NA")</f>
        <v>NA</v>
      </c>
      <c r="N235" s="90" t="str">
        <f>IFERROR(SUMIFS(TM[[#All],[Total Truncated Expenses]],TM[[#All],[Reporting Year]],2025,TM[[#All],[Insurance Category Code]],5,TM[[#All],[Large Provider Entity Code]],A235)/I235,"NA")</f>
        <v>NA</v>
      </c>
      <c r="O235" s="169" t="str">
        <f t="shared" ref="O235:O238" si="142">IFERROR(IF(AND(C235&gt;12000,I235&gt;12000),"Yes","No"),"NA")</f>
        <v>No</v>
      </c>
      <c r="P235" s="231" t="str">
        <f t="shared" ref="P235:P238" si="143">IFERROR((I235/C235-1),"NA")</f>
        <v>NA</v>
      </c>
      <c r="Q235" s="91" t="str">
        <f t="shared" ref="Q235:Q238" si="144">IFERROR((J235/D235-1),"NA")</f>
        <v>NA</v>
      </c>
      <c r="R235" s="91" t="str">
        <f t="shared" ref="R235:R238" si="145">IFERROR((K235/E235-1),"NA")</f>
        <v>NA</v>
      </c>
      <c r="S235" s="91" t="str">
        <f t="shared" ref="S235:S238" si="146">IFERROR((L235/F235-1),"NA")</f>
        <v>NA</v>
      </c>
      <c r="T235" s="91" t="str">
        <f t="shared" ref="T235:T238" si="147">IFERROR((M235/G235-1),"NA")</f>
        <v>NA</v>
      </c>
      <c r="U235" s="91" t="str">
        <f t="shared" ref="U235:U238" si="148">IFERROR((N235/H235-1),"NA")</f>
        <v>NA</v>
      </c>
    </row>
    <row r="236" spans="1:21" x14ac:dyDescent="0.4">
      <c r="A236" s="462">
        <v>126</v>
      </c>
      <c r="B236" s="525" t="s">
        <v>639</v>
      </c>
      <c r="C236" s="89">
        <f>SUMIFS(TM[[#All],[Member Months]],TM[[#All],[Reporting Year]],2024,TM[[#All],[Insurance Category Code]],5,TM[[#All],[Large Provider Entity Code]],A236)</f>
        <v>0</v>
      </c>
      <c r="D236" s="7" t="str">
        <f>IFERROR(SUMIFS(TM[[#All],[Total Non-Truncated Claims Spending]],TM[[#All],[Reporting Year]],2024,TM[[#All],[Insurance Category Code]],5,TM[[#All],[Large Provider Entity Code]],A236)/C236,"NA")</f>
        <v>NA</v>
      </c>
      <c r="E236" s="7" t="str">
        <f>IFERROR(SUMIFS(TM[[#All],[Total Non-Claims Spending]],TM[[#All],[Reporting Year]],2024,TM[[#All],[Insurance Category Code]],5,TM[[#All],[Large Provider Entity Code]],A236)/C236,"NA")</f>
        <v>NA</v>
      </c>
      <c r="F236" s="7" t="str">
        <f>IFERROR(SUMIFS(TM[[#All],[Total Non-Truncated Claims and Non-Claims Spending]],TM[[#All],[Reporting Year]],2024,TM[[#All],[Insurance Category Code]],5,TM[[#All],[Large Provider Entity Code]],A236)/C236,"NA")</f>
        <v>NA</v>
      </c>
      <c r="G236" s="7" t="str">
        <f>IFERROR(SUMIFS(TM[[#All],[Total Truncated Claims Spending]],TM[[#All],[Reporting Year]],2024,TM[[#All],[Insurance Category Code]],5,TM[[#All],[Large Provider Entity Code]],A236)/C236,"NA")</f>
        <v>NA</v>
      </c>
      <c r="H236" s="196" t="str">
        <f>IFERROR(SUMIFS(TM[[#All],[Total Truncated Expenses]],TM[[#All],[Reporting Year]],2024,TM[[#All],[Insurance Category Code]],5,TM[[#All],[Large Provider Entity Code]],A236)/C236,"NA")</f>
        <v>NA</v>
      </c>
      <c r="I236" s="89">
        <f>SUMIFS(TM[[#All],[Member Months]],TM[[#All],[Reporting Year]],2025,TM[[#All],[Insurance Category Code]],5,TM[[#All],[Large Provider Entity Code]],A236)</f>
        <v>0</v>
      </c>
      <c r="J236" s="7" t="str">
        <f>IFERROR(SUMIFS(TM[[#All],[Total Non-Truncated Claims Spending]],TM[[#All],[Reporting Year]],2025,TM[[#All],[Insurance Category Code]],5,TM[[#All],[Large Provider Entity Code]],A236)/I236,"NA")</f>
        <v>NA</v>
      </c>
      <c r="K236" s="7" t="str">
        <f>IFERROR(SUMIFS(TM[[#All],[Total Non-Claims Spending]],TM[[#All],[Reporting Year]],2025,TM[[#All],[Insurance Category Code]],5,TM[[#All],[Large Provider Entity Code]],A236)/I236,"NA")</f>
        <v>NA</v>
      </c>
      <c r="L236" s="7" t="str">
        <f>IFERROR(SUMIFS(TM[[#All],[Total Non-Truncated Claims and Non-Claims Spending]],TM[[#All],[Reporting Year]],2025,TM[[#All],[Insurance Category Code]],5,TM[[#All],[Large Provider Entity Code]],A236)/I236,"NA")</f>
        <v>NA</v>
      </c>
      <c r="M236" s="7" t="str">
        <f>IFERROR(SUMIFS(TM[[#All],[Total Truncated Claims Spending]],TM[[#All],[Reporting Year]],2025,TM[[#All],[Insurance Category Code]],5,TM[[#All],[Large Provider Entity Code]],A236)/I236,"NA")</f>
        <v>NA</v>
      </c>
      <c r="N236" s="90" t="str">
        <f>IFERROR(SUMIFS(TM[[#All],[Total Truncated Expenses]],TM[[#All],[Reporting Year]],2025,TM[[#All],[Insurance Category Code]],5,TM[[#All],[Large Provider Entity Code]],A236)/I236,"NA")</f>
        <v>NA</v>
      </c>
      <c r="O236" s="169" t="str">
        <f t="shared" si="142"/>
        <v>No</v>
      </c>
      <c r="P236" s="231" t="str">
        <f t="shared" si="143"/>
        <v>NA</v>
      </c>
      <c r="Q236" s="91" t="str">
        <f t="shared" si="144"/>
        <v>NA</v>
      </c>
      <c r="R236" s="91" t="str">
        <f t="shared" si="145"/>
        <v>NA</v>
      </c>
      <c r="S236" s="91" t="str">
        <f t="shared" si="146"/>
        <v>NA</v>
      </c>
      <c r="T236" s="91" t="str">
        <f t="shared" si="147"/>
        <v>NA</v>
      </c>
      <c r="U236" s="91" t="str">
        <f t="shared" si="148"/>
        <v>NA</v>
      </c>
    </row>
    <row r="237" spans="1:21" ht="33.6" x14ac:dyDescent="0.4">
      <c r="A237" s="462">
        <v>127</v>
      </c>
      <c r="B237" s="525" t="s">
        <v>640</v>
      </c>
      <c r="C237" s="89">
        <f>SUMIFS(TM[[#All],[Member Months]],TM[[#All],[Reporting Year]],2024,TM[[#All],[Insurance Category Code]],5,TM[[#All],[Large Provider Entity Code]],A237)</f>
        <v>0</v>
      </c>
      <c r="D237" s="7" t="str">
        <f>IFERROR(SUMIFS(TM[[#All],[Total Non-Truncated Claims Spending]],TM[[#All],[Reporting Year]],2024,TM[[#All],[Insurance Category Code]],5,TM[[#All],[Large Provider Entity Code]],A237)/C237,"NA")</f>
        <v>NA</v>
      </c>
      <c r="E237" s="7" t="str">
        <f>IFERROR(SUMIFS(TM[[#All],[Total Non-Claims Spending]],TM[[#All],[Reporting Year]],2024,TM[[#All],[Insurance Category Code]],5,TM[[#All],[Large Provider Entity Code]],A237)/C237,"NA")</f>
        <v>NA</v>
      </c>
      <c r="F237" s="7" t="str">
        <f>IFERROR(SUMIFS(TM[[#All],[Total Non-Truncated Claims and Non-Claims Spending]],TM[[#All],[Reporting Year]],2024,TM[[#All],[Insurance Category Code]],5,TM[[#All],[Large Provider Entity Code]],A237)/C237,"NA")</f>
        <v>NA</v>
      </c>
      <c r="G237" s="7" t="str">
        <f>IFERROR(SUMIFS(TM[[#All],[Total Truncated Claims Spending]],TM[[#All],[Reporting Year]],2024,TM[[#All],[Insurance Category Code]],5,TM[[#All],[Large Provider Entity Code]],A237)/C237,"NA")</f>
        <v>NA</v>
      </c>
      <c r="H237" s="196" t="str">
        <f>IFERROR(SUMIFS(TM[[#All],[Total Truncated Expenses]],TM[[#All],[Reporting Year]],2024,TM[[#All],[Insurance Category Code]],5,TM[[#All],[Large Provider Entity Code]],A237)/C237,"NA")</f>
        <v>NA</v>
      </c>
      <c r="I237" s="89">
        <f>SUMIFS(TM[[#All],[Member Months]],TM[[#All],[Reporting Year]],2025,TM[[#All],[Insurance Category Code]],5,TM[[#All],[Large Provider Entity Code]],A237)</f>
        <v>0</v>
      </c>
      <c r="J237" s="7" t="str">
        <f>IFERROR(SUMIFS(TM[[#All],[Total Non-Truncated Claims Spending]],TM[[#All],[Reporting Year]],2025,TM[[#All],[Insurance Category Code]],5,TM[[#All],[Large Provider Entity Code]],A237)/I237,"NA")</f>
        <v>NA</v>
      </c>
      <c r="K237" s="7" t="str">
        <f>IFERROR(SUMIFS(TM[[#All],[Total Non-Claims Spending]],TM[[#All],[Reporting Year]],2025,TM[[#All],[Insurance Category Code]],5,TM[[#All],[Large Provider Entity Code]],A237)/I237,"NA")</f>
        <v>NA</v>
      </c>
      <c r="L237" s="7" t="str">
        <f>IFERROR(SUMIFS(TM[[#All],[Total Non-Truncated Claims and Non-Claims Spending]],TM[[#All],[Reporting Year]],2025,TM[[#All],[Insurance Category Code]],5,TM[[#All],[Large Provider Entity Code]],A237)/I237,"NA")</f>
        <v>NA</v>
      </c>
      <c r="M237" s="7" t="str">
        <f>IFERROR(SUMIFS(TM[[#All],[Total Truncated Claims Spending]],TM[[#All],[Reporting Year]],2025,TM[[#All],[Insurance Category Code]],5,TM[[#All],[Large Provider Entity Code]],A237)/I237,"NA")</f>
        <v>NA</v>
      </c>
      <c r="N237" s="90" t="str">
        <f>IFERROR(SUMIFS(TM[[#All],[Total Truncated Expenses]],TM[[#All],[Reporting Year]],2025,TM[[#All],[Insurance Category Code]],5,TM[[#All],[Large Provider Entity Code]],A237)/I237,"NA")</f>
        <v>NA</v>
      </c>
      <c r="O237" s="169" t="str">
        <f t="shared" si="142"/>
        <v>No</v>
      </c>
      <c r="P237" s="231" t="str">
        <f t="shared" si="143"/>
        <v>NA</v>
      </c>
      <c r="Q237" s="91" t="str">
        <f t="shared" si="144"/>
        <v>NA</v>
      </c>
      <c r="R237" s="91" t="str">
        <f t="shared" si="145"/>
        <v>NA</v>
      </c>
      <c r="S237" s="91" t="str">
        <f t="shared" si="146"/>
        <v>NA</v>
      </c>
      <c r="T237" s="91" t="str">
        <f t="shared" si="147"/>
        <v>NA</v>
      </c>
      <c r="U237" s="91" t="str">
        <f t="shared" si="148"/>
        <v>NA</v>
      </c>
    </row>
    <row r="238" spans="1:21" x14ac:dyDescent="0.4">
      <c r="A238" s="462">
        <v>128</v>
      </c>
      <c r="B238" s="525" t="s">
        <v>641</v>
      </c>
      <c r="C238" s="89">
        <f>SUMIFS(TM[[#All],[Member Months]],TM[[#All],[Reporting Year]],2024,TM[[#All],[Insurance Category Code]],5,TM[[#All],[Large Provider Entity Code]],A238)</f>
        <v>0</v>
      </c>
      <c r="D238" s="7" t="str">
        <f>IFERROR(SUMIFS(TM[[#All],[Total Non-Truncated Claims Spending]],TM[[#All],[Reporting Year]],2024,TM[[#All],[Insurance Category Code]],5,TM[[#All],[Large Provider Entity Code]],A238)/C238,"NA")</f>
        <v>NA</v>
      </c>
      <c r="E238" s="7" t="str">
        <f>IFERROR(SUMIFS(TM[[#All],[Total Non-Claims Spending]],TM[[#All],[Reporting Year]],2024,TM[[#All],[Insurance Category Code]],5,TM[[#All],[Large Provider Entity Code]],A238)/C238,"NA")</f>
        <v>NA</v>
      </c>
      <c r="F238" s="7" t="str">
        <f>IFERROR(SUMIFS(TM[[#All],[Total Non-Truncated Claims and Non-Claims Spending]],TM[[#All],[Reporting Year]],2024,TM[[#All],[Insurance Category Code]],5,TM[[#All],[Large Provider Entity Code]],A238)/C238,"NA")</f>
        <v>NA</v>
      </c>
      <c r="G238" s="7" t="str">
        <f>IFERROR(SUMIFS(TM[[#All],[Total Truncated Claims Spending]],TM[[#All],[Reporting Year]],2024,TM[[#All],[Insurance Category Code]],5,TM[[#All],[Large Provider Entity Code]],A238)/C238,"NA")</f>
        <v>NA</v>
      </c>
      <c r="H238" s="196" t="str">
        <f>IFERROR(SUMIFS(TM[[#All],[Total Truncated Expenses]],TM[[#All],[Reporting Year]],2024,TM[[#All],[Insurance Category Code]],5,TM[[#All],[Large Provider Entity Code]],A238)/C238,"NA")</f>
        <v>NA</v>
      </c>
      <c r="I238" s="89">
        <f>SUMIFS(TM[[#All],[Member Months]],TM[[#All],[Reporting Year]],2025,TM[[#All],[Insurance Category Code]],5,TM[[#All],[Large Provider Entity Code]],A238)</f>
        <v>0</v>
      </c>
      <c r="J238" s="7" t="str">
        <f>IFERROR(SUMIFS(TM[[#All],[Total Non-Truncated Claims Spending]],TM[[#All],[Reporting Year]],2025,TM[[#All],[Insurance Category Code]],5,TM[[#All],[Large Provider Entity Code]],A238)/I238,"NA")</f>
        <v>NA</v>
      </c>
      <c r="K238" s="7" t="str">
        <f>IFERROR(SUMIFS(TM[[#All],[Total Non-Claims Spending]],TM[[#All],[Reporting Year]],2025,TM[[#All],[Insurance Category Code]],5,TM[[#All],[Large Provider Entity Code]],A238)/I238,"NA")</f>
        <v>NA</v>
      </c>
      <c r="L238" s="7" t="str">
        <f>IFERROR(SUMIFS(TM[[#All],[Total Non-Truncated Claims and Non-Claims Spending]],TM[[#All],[Reporting Year]],2025,TM[[#All],[Insurance Category Code]],5,TM[[#All],[Large Provider Entity Code]],A238)/I238,"NA")</f>
        <v>NA</v>
      </c>
      <c r="M238" s="7" t="str">
        <f>IFERROR(SUMIFS(TM[[#All],[Total Truncated Claims Spending]],TM[[#All],[Reporting Year]],2025,TM[[#All],[Insurance Category Code]],5,TM[[#All],[Large Provider Entity Code]],A238)/I238,"NA")</f>
        <v>NA</v>
      </c>
      <c r="N238" s="90" t="str">
        <f>IFERROR(SUMIFS(TM[[#All],[Total Truncated Expenses]],TM[[#All],[Reporting Year]],2025,TM[[#All],[Insurance Category Code]],5,TM[[#All],[Large Provider Entity Code]],A238)/I238,"NA")</f>
        <v>NA</v>
      </c>
      <c r="O238" s="169" t="str">
        <f t="shared" si="142"/>
        <v>No</v>
      </c>
      <c r="P238" s="231" t="str">
        <f t="shared" si="143"/>
        <v>NA</v>
      </c>
      <c r="Q238" s="91" t="str">
        <f t="shared" si="144"/>
        <v>NA</v>
      </c>
      <c r="R238" s="91" t="str">
        <f t="shared" si="145"/>
        <v>NA</v>
      </c>
      <c r="S238" s="91" t="str">
        <f t="shared" si="146"/>
        <v>NA</v>
      </c>
      <c r="T238" s="91" t="str">
        <f t="shared" si="147"/>
        <v>NA</v>
      </c>
      <c r="U238" s="91" t="str">
        <f t="shared" si="148"/>
        <v>NA</v>
      </c>
    </row>
    <row r="239" spans="1:21" x14ac:dyDescent="0.4">
      <c r="A239" s="210">
        <v>999</v>
      </c>
      <c r="B239" s="525" t="s">
        <v>71</v>
      </c>
      <c r="C239" s="89">
        <f>SUMIFS(TM[[#All],[Member Months]],TM[[#All],[Reporting Year]],2024,TM[[#All],[Insurance Category Code]],5,TM[[#All],[Large Provider Entity Code]],A239)</f>
        <v>0</v>
      </c>
      <c r="D239" s="7" t="str">
        <f>IFERROR(SUMIFS(TM[[#All],[Total Non-Truncated Claims Spending]],TM[[#All],[Reporting Year]],2024,TM[[#All],[Insurance Category Code]],5,TM[[#All],[Large Provider Entity Code]],A239)/C239,"NA")</f>
        <v>NA</v>
      </c>
      <c r="E239" s="7" t="str">
        <f>IFERROR(SUMIFS(TM[[#All],[Total Non-Claims Spending]],TM[[#All],[Reporting Year]],2024,TM[[#All],[Insurance Category Code]],5,TM[[#All],[Large Provider Entity Code]],A239)/C239,"NA")</f>
        <v>NA</v>
      </c>
      <c r="F239" s="7" t="str">
        <f>IFERROR(SUMIFS(TM[[#All],[Total Non-Truncated Claims and Non-Claims Spending]],TM[[#All],[Reporting Year]],2024,TM[[#All],[Insurance Category Code]],5,TM[[#All],[Large Provider Entity Code]],A239)/C239,"NA")</f>
        <v>NA</v>
      </c>
      <c r="G239" s="7" t="str">
        <f>IFERROR(SUMIFS(TM[[#All],[Total Truncated Claims Spending]],TM[[#All],[Reporting Year]],2024,TM[[#All],[Insurance Category Code]],5,TM[[#All],[Large Provider Entity Code]],A239)/C239,"NA")</f>
        <v>NA</v>
      </c>
      <c r="H239" s="196" t="str">
        <f>IFERROR(SUMIFS(TM[[#All],[Total Truncated Expenses]],TM[[#All],[Reporting Year]],2024,TM[[#All],[Insurance Category Code]],5,TM[[#All],[Large Provider Entity Code]],A239)/C239,"NA")</f>
        <v>NA</v>
      </c>
      <c r="I239" s="89">
        <f>SUMIFS(TM[[#All],[Member Months]],TM[[#All],[Reporting Year]],2025,TM[[#All],[Insurance Category Code]],5,TM[[#All],[Large Provider Entity Code]],A239)</f>
        <v>0</v>
      </c>
      <c r="J239" s="7" t="str">
        <f>IFERROR(SUMIFS(TM[[#All],[Total Non-Truncated Claims Spending]],TM[[#All],[Reporting Year]],2025,TM[[#All],[Insurance Category Code]],5,TM[[#All],[Large Provider Entity Code]],A239)/I239,"NA")</f>
        <v>NA</v>
      </c>
      <c r="K239" s="7" t="str">
        <f>IFERROR(SUMIFS(TM[[#All],[Total Non-Claims Spending]],TM[[#All],[Reporting Year]],2025,TM[[#All],[Insurance Category Code]],5,TM[[#All],[Large Provider Entity Code]],A239)/I239,"NA")</f>
        <v>NA</v>
      </c>
      <c r="L239" s="7" t="str">
        <f>IFERROR(SUMIFS(TM[[#All],[Total Non-Truncated Claims and Non-Claims Spending]],TM[[#All],[Reporting Year]],2025,TM[[#All],[Insurance Category Code]],5,TM[[#All],[Large Provider Entity Code]],A239)/I239,"NA")</f>
        <v>NA</v>
      </c>
      <c r="M239" s="7" t="str">
        <f>IFERROR(SUMIFS(TM[[#All],[Total Truncated Claims Spending]],TM[[#All],[Reporting Year]],2025,TM[[#All],[Insurance Category Code]],5,TM[[#All],[Large Provider Entity Code]],A239)/I239,"NA")</f>
        <v>NA</v>
      </c>
      <c r="N239" s="90" t="str">
        <f>IFERROR(SUMIFS(TM[[#All],[Total Truncated Expenses]],TM[[#All],[Reporting Year]],2025,TM[[#All],[Insurance Category Code]],5,TM[[#All],[Large Provider Entity Code]],A239)/I239,"NA")</f>
        <v>NA</v>
      </c>
      <c r="O239" s="169" t="str">
        <f>IFERROR(IF(AND(C239&gt;12000,I239&gt;12000),"Yes","No"),"NA")</f>
        <v>No</v>
      </c>
      <c r="P239" s="231" t="str">
        <f t="shared" si="134"/>
        <v>NA</v>
      </c>
      <c r="Q239" s="91" t="str">
        <f t="shared" si="134"/>
        <v>NA</v>
      </c>
      <c r="R239" s="91" t="str">
        <f t="shared" si="134"/>
        <v>NA</v>
      </c>
      <c r="S239" s="91" t="str">
        <f t="shared" si="134"/>
        <v>NA</v>
      </c>
      <c r="T239" s="91" t="str">
        <f t="shared" si="134"/>
        <v>NA</v>
      </c>
      <c r="U239" s="91" t="str">
        <f t="shared" si="134"/>
        <v>NA</v>
      </c>
    </row>
    <row r="240" spans="1:21" ht="30" customHeight="1" x14ac:dyDescent="0.4">
      <c r="A240" s="572" t="s">
        <v>523</v>
      </c>
      <c r="B240" s="573"/>
      <c r="C240" s="158">
        <f>SUM(C216:C239)</f>
        <v>0</v>
      </c>
      <c r="D240" s="124" t="str">
        <f>IFERROR((SUMPRODUCT(D216:D239,C216:C239)/C240),"NA")</f>
        <v>NA</v>
      </c>
      <c r="E240" s="124" t="str">
        <f>IFERROR((SUMPRODUCT(E216:E239,C216:C239)/C240),"NA")</f>
        <v>NA</v>
      </c>
      <c r="F240" s="124" t="str">
        <f>IFERROR((SUMPRODUCT(F216:F239,C216:C239)/C240),"NA")</f>
        <v>NA</v>
      </c>
      <c r="G240" s="124" t="str">
        <f>IFERROR((SUMPRODUCT(G216:G239,C216:C239)/C240),"NA")</f>
        <v>NA</v>
      </c>
      <c r="H240" s="124" t="str">
        <f>IFERROR((SUMPRODUCT(H216:H239,C216:C239)/C240),"NA")</f>
        <v>NA</v>
      </c>
      <c r="I240" s="218">
        <f>SUM(I216:I239)</f>
        <v>0</v>
      </c>
      <c r="J240" s="124" t="str">
        <f>IFERROR((SUMPRODUCT(J216:J239,I216:I239)/I240),"NA")</f>
        <v>NA</v>
      </c>
      <c r="K240" s="124" t="str">
        <f>IFERROR((SUMPRODUCT(K216:K239,I216:I239)/I240),"NA")</f>
        <v>NA</v>
      </c>
      <c r="L240" s="124" t="str">
        <f>IFERROR((SUMPRODUCT(L216:L239,I216:I239)/I240),"NA")</f>
        <v>NA</v>
      </c>
      <c r="M240" s="124" t="str">
        <f>IFERROR((SUMPRODUCT(M216:M239,I216:I239)/I240),"NA")</f>
        <v>NA</v>
      </c>
      <c r="N240" s="198" t="str">
        <f>IFERROR((SUMPRODUCT(N216:N239,I216:I239)/I240),"NA")</f>
        <v>NA</v>
      </c>
      <c r="O240" s="434" t="s">
        <v>470</v>
      </c>
      <c r="P240" s="386" t="s">
        <v>470</v>
      </c>
      <c r="Q240" s="385" t="s">
        <v>470</v>
      </c>
      <c r="R240" s="385" t="s">
        <v>470</v>
      </c>
      <c r="S240" s="385" t="s">
        <v>470</v>
      </c>
      <c r="T240" s="385" t="s">
        <v>470</v>
      </c>
      <c r="U240" s="385" t="s">
        <v>470</v>
      </c>
    </row>
    <row r="241" spans="1:21" x14ac:dyDescent="0.4">
      <c r="A241" s="574" t="s">
        <v>519</v>
      </c>
      <c r="B241" s="575"/>
      <c r="C241" s="158" t="s">
        <v>470</v>
      </c>
      <c r="D241" s="123" t="str">
        <f>IFERROR(((SUMPRODUCT(D215,$C$215))-ABS(SUMIFS(RX[[#All],[Total Medical and Retail Pharmacy Rebate Amount]],RX[[#All],[Reporting Year]],2024,RX[[#All],[Insurance Category Code]],5)))/$C$240,"NA")</f>
        <v>NA</v>
      </c>
      <c r="E241" s="123" t="str">
        <f>IFERROR(((SUMPRODUCT(E215,$C$215))-ABS(SUMIFS(RX[[#All],[Total Medical and Retail Pharmacy Rebate Amount]],RX[[#All],[Reporting Year]],2024,RX[[#All],[Insurance Category Code]],5)))/$C$240,"NA")</f>
        <v>NA</v>
      </c>
      <c r="F241" s="123" t="str">
        <f>IFERROR(((SUMPRODUCT(F215,$C$215))-ABS(SUMIFS(RX[[#All],[Total Medical and Retail Pharmacy Rebate Amount]],RX[[#All],[Reporting Year]],2024,RX[[#All],[Insurance Category Code]],5)))/$C$240,"NA")</f>
        <v>NA</v>
      </c>
      <c r="G241" s="123" t="str">
        <f>IFERROR(((SUMPRODUCT(G215,$C$215))-ABS(SUMIFS(RX[[#All],[Total Medical and Retail Pharmacy Rebate Amount]],RX[[#All],[Reporting Year]],2024,RX[[#All],[Insurance Category Code]],5)))/$C$240,"NA")</f>
        <v>NA</v>
      </c>
      <c r="H241" s="200" t="str">
        <f>IFERROR(((SUMPRODUCT(H215,$C$215))-ABS(SUMIFS(RX[[#All],[Total Medical and Retail Pharmacy Rebate Amount]],RX[[#All],[Reporting Year]],2024,RX[[#All],[Insurance Category Code]],5)))/$C$240,"NA")</f>
        <v>NA</v>
      </c>
      <c r="I241" s="158" t="s">
        <v>470</v>
      </c>
      <c r="J241" s="123" t="str">
        <f>IFERROR(((SUMPRODUCT(J215,$I$215))-ABS(SUMIFS(RX[[#All],[Total Medical and Retail Pharmacy Rebate Amount]],RX[[#All],[Reporting Year]],2025,RX[[#All],[Insurance Category Code]],5)))/$I$240,"NA")</f>
        <v>NA</v>
      </c>
      <c r="K241" s="123" t="str">
        <f>IFERROR(((SUMPRODUCT(K215,$I$215))-ABS(SUMIFS(RX[[#All],[Total Medical and Retail Pharmacy Rebate Amount]],RX[[#All],[Reporting Year]],2025,RX[[#All],[Insurance Category Code]],5)))/$I$240,"NA")</f>
        <v>NA</v>
      </c>
      <c r="L241" s="123" t="str">
        <f>IFERROR(((SUMPRODUCT(L215,$I$215))-ABS(SUMIFS(RX[[#All],[Total Medical and Retail Pharmacy Rebate Amount]],RX[[#All],[Reporting Year]],2025,RX[[#All],[Insurance Category Code]],5)))/$I$240,"NA")</f>
        <v>NA</v>
      </c>
      <c r="M241" s="123" t="str">
        <f>IFERROR(((SUMPRODUCT(M215,$I$215))-ABS(SUMIFS(RX[[#All],[Total Medical and Retail Pharmacy Rebate Amount]],RX[[#All],[Reporting Year]],2025,RX[[#All],[Insurance Category Code]],5)))/$I$240,"NA")</f>
        <v>NA</v>
      </c>
      <c r="N241" s="200" t="str">
        <f>IFERROR(((SUMPRODUCT(N215,$I$215))-ABS(SUMIFS(RX[[#All],[Total Medical and Retail Pharmacy Rebate Amount]],RX[[#All],[Reporting Year]],2025,RX[[#All],[Insurance Category Code]],5)))/$I$240,"NA")</f>
        <v>NA</v>
      </c>
      <c r="O241" s="434" t="s">
        <v>470</v>
      </c>
      <c r="P241" s="386" t="s">
        <v>470</v>
      </c>
      <c r="Q241" s="385" t="s">
        <v>470</v>
      </c>
      <c r="R241" s="385" t="s">
        <v>470</v>
      </c>
      <c r="S241" s="385" t="s">
        <v>470</v>
      </c>
      <c r="T241" s="385" t="s">
        <v>470</v>
      </c>
      <c r="U241" s="385" t="s">
        <v>470</v>
      </c>
    </row>
    <row r="242" spans="1:21" x14ac:dyDescent="0.4">
      <c r="A242" s="558" t="s">
        <v>520</v>
      </c>
      <c r="B242" s="559"/>
      <c r="C242" s="219">
        <f>ABS(C240-C215)</f>
        <v>0</v>
      </c>
      <c r="D242" s="219" t="e">
        <f>ABS(D240-D215)</f>
        <v>#VALUE!</v>
      </c>
      <c r="E242" s="219" t="e">
        <f>ABS(E240-E215)</f>
        <v>#VALUE!</v>
      </c>
      <c r="F242" s="219" t="e">
        <f>ABS(F240-F215)</f>
        <v>#VALUE!</v>
      </c>
      <c r="G242" s="219" t="s">
        <v>470</v>
      </c>
      <c r="H242" s="223" t="s">
        <v>470</v>
      </c>
      <c r="I242" s="213">
        <f>ABS(I240-I215)</f>
        <v>0</v>
      </c>
      <c r="J242" s="219" t="e">
        <f>ABS(J240-J215)</f>
        <v>#VALUE!</v>
      </c>
      <c r="K242" s="219" t="e">
        <f>ABS(K240-K215)</f>
        <v>#VALUE!</v>
      </c>
      <c r="L242" s="219" t="e">
        <f>ABS(L240-L215)</f>
        <v>#VALUE!</v>
      </c>
      <c r="M242" s="219" t="s">
        <v>470</v>
      </c>
      <c r="N242" s="223" t="s">
        <v>470</v>
      </c>
      <c r="O242" s="435" t="s">
        <v>470</v>
      </c>
      <c r="P242" s="436" t="s">
        <v>470</v>
      </c>
      <c r="Q242" s="438" t="s">
        <v>470</v>
      </c>
      <c r="R242" s="438" t="s">
        <v>470</v>
      </c>
      <c r="S242" s="438" t="s">
        <v>470</v>
      </c>
      <c r="T242" s="438" t="s">
        <v>470</v>
      </c>
      <c r="U242" s="438" t="s">
        <v>470</v>
      </c>
    </row>
    <row r="243" spans="1:21" x14ac:dyDescent="0.4">
      <c r="A243" s="560" t="s">
        <v>521</v>
      </c>
      <c r="B243" s="561"/>
      <c r="C243" s="244" t="str">
        <f>IF(((ABS(C215-C240))&lt;10),"Yes","No")</f>
        <v>Yes</v>
      </c>
      <c r="D243" s="174" t="e">
        <f>IF(((ABS(D215-D240))&lt;10),"Yes","No")</f>
        <v>#VALUE!</v>
      </c>
      <c r="E243" s="174" t="e">
        <f>IF(((ABS(E215-E240))&lt;10),"Yes","No")</f>
        <v>#VALUE!</v>
      </c>
      <c r="F243" s="174" t="e">
        <f>IF(((ABS(F215-F240))&lt;10),"Yes","No")</f>
        <v>#VALUE!</v>
      </c>
      <c r="G243" s="174" t="s">
        <v>470</v>
      </c>
      <c r="H243" s="225" t="s">
        <v>470</v>
      </c>
      <c r="I243" s="242" t="str">
        <f>IF(((ABS(I215-I240))&lt;10),"Yes","No")</f>
        <v>Yes</v>
      </c>
      <c r="J243" s="174" t="e">
        <f>IF(((ABS(J215-J240))&lt;10),"Yes","No")</f>
        <v>#VALUE!</v>
      </c>
      <c r="K243" s="174" t="e">
        <f>IF(((ABS(K215-K240))&lt;10),"Yes","No")</f>
        <v>#VALUE!</v>
      </c>
      <c r="L243" s="174" t="e">
        <f>IF(((ABS(L215-L240))&lt;10),"Yes","No")</f>
        <v>#VALUE!</v>
      </c>
      <c r="M243" s="174" t="s">
        <v>470</v>
      </c>
      <c r="N243" s="225" t="s">
        <v>470</v>
      </c>
      <c r="O243" s="435" t="s">
        <v>470</v>
      </c>
      <c r="P243" s="436" t="s">
        <v>470</v>
      </c>
      <c r="Q243" s="438" t="s">
        <v>470</v>
      </c>
      <c r="R243" s="438" t="s">
        <v>470</v>
      </c>
      <c r="S243" s="438" t="s">
        <v>470</v>
      </c>
      <c r="T243" s="438" t="s">
        <v>470</v>
      </c>
      <c r="U243" s="438" t="s">
        <v>470</v>
      </c>
    </row>
    <row r="244" spans="1:21" x14ac:dyDescent="0.4">
      <c r="A244"/>
      <c r="B244"/>
      <c r="C244"/>
      <c r="D244"/>
      <c r="E244"/>
      <c r="F244"/>
      <c r="G244"/>
      <c r="H244"/>
      <c r="I244"/>
      <c r="J244"/>
      <c r="K244"/>
      <c r="L244"/>
      <c r="M244"/>
      <c r="N244"/>
      <c r="O244" s="2"/>
      <c r="P244"/>
      <c r="Q244"/>
      <c r="R244"/>
      <c r="S244"/>
      <c r="T244"/>
      <c r="U244"/>
    </row>
    <row r="245" spans="1:21" x14ac:dyDescent="0.4">
      <c r="A245"/>
      <c r="B245"/>
      <c r="C245" s="108"/>
      <c r="D245" s="109"/>
      <c r="E245" s="109"/>
      <c r="F245" s="109"/>
      <c r="G245" s="109"/>
      <c r="H245" s="109"/>
      <c r="I245" s="108"/>
      <c r="J245" s="109"/>
      <c r="K245" s="109"/>
      <c r="L245" s="109"/>
      <c r="M245" s="109"/>
      <c r="N245" s="109"/>
      <c r="O245" s="109"/>
      <c r="P245" s="110"/>
      <c r="Q245" s="110"/>
      <c r="R245" s="110"/>
      <c r="S245" s="110"/>
      <c r="T245" s="110"/>
      <c r="U245" s="110"/>
    </row>
    <row r="246" spans="1:21" x14ac:dyDescent="0.4">
      <c r="A246" s="3" t="s">
        <v>529</v>
      </c>
      <c r="B246"/>
      <c r="C246"/>
      <c r="D246"/>
      <c r="E246"/>
      <c r="F246"/>
      <c r="G246"/>
      <c r="H246"/>
      <c r="I246"/>
      <c r="J246"/>
      <c r="K246"/>
      <c r="L246"/>
      <c r="M246"/>
      <c r="N246"/>
      <c r="O246" s="2"/>
      <c r="P246"/>
      <c r="Q246"/>
      <c r="R246"/>
      <c r="S246"/>
      <c r="T246"/>
      <c r="U246"/>
    </row>
    <row r="247" spans="1:21" ht="15" customHeight="1" x14ac:dyDescent="0.4">
      <c r="A247" s="562" t="s">
        <v>66</v>
      </c>
      <c r="B247" s="564" t="s">
        <v>505</v>
      </c>
      <c r="C247" s="566">
        <v>2024</v>
      </c>
      <c r="D247" s="567"/>
      <c r="E247" s="567"/>
      <c r="F247" s="567"/>
      <c r="G247" s="567"/>
      <c r="H247" s="568"/>
      <c r="I247" s="569">
        <v>2025</v>
      </c>
      <c r="J247" s="570"/>
      <c r="K247" s="570"/>
      <c r="L247" s="570"/>
      <c r="M247" s="570"/>
      <c r="N247" s="571"/>
      <c r="O247" s="576" t="s">
        <v>644</v>
      </c>
      <c r="P247" s="577"/>
      <c r="Q247" s="577"/>
      <c r="R247" s="577"/>
      <c r="S247" s="577"/>
      <c r="T247" s="577"/>
      <c r="U247" s="578"/>
    </row>
    <row r="248" spans="1:21" ht="50.4" x14ac:dyDescent="0.4">
      <c r="A248" s="563"/>
      <c r="B248" s="565"/>
      <c r="C248" s="85" t="s">
        <v>328</v>
      </c>
      <c r="D248" s="85" t="s">
        <v>507</v>
      </c>
      <c r="E248" s="85" t="s">
        <v>508</v>
      </c>
      <c r="F248" s="85" t="s">
        <v>509</v>
      </c>
      <c r="G248" s="85" t="s">
        <v>510</v>
      </c>
      <c r="H248" s="197" t="s">
        <v>511</v>
      </c>
      <c r="I248" s="81" t="s">
        <v>328</v>
      </c>
      <c r="J248" s="82" t="s">
        <v>507</v>
      </c>
      <c r="K248" s="82" t="s">
        <v>508</v>
      </c>
      <c r="L248" s="82" t="s">
        <v>509</v>
      </c>
      <c r="M248" s="82" t="s">
        <v>510</v>
      </c>
      <c r="N248" s="83" t="s">
        <v>511</v>
      </c>
      <c r="O248" s="410" t="s">
        <v>635</v>
      </c>
      <c r="P248" s="230" t="s">
        <v>512</v>
      </c>
      <c r="Q248" s="71" t="s">
        <v>513</v>
      </c>
      <c r="R248" s="71" t="s">
        <v>514</v>
      </c>
      <c r="S248" s="71" t="s">
        <v>515</v>
      </c>
      <c r="T248" s="71" t="s">
        <v>516</v>
      </c>
      <c r="U248" s="209" t="s">
        <v>517</v>
      </c>
    </row>
    <row r="249" spans="1:21" x14ac:dyDescent="0.4">
      <c r="A249" s="211">
        <v>100</v>
      </c>
      <c r="B249" s="525" t="s">
        <v>67</v>
      </c>
      <c r="C249" s="8">
        <f>SUMIFS(TM[[#All],[Member Months]],TM[[#All],[Reporting Year]],2024,TM[[#All],[Insurance Category Code]],8,TM[[#All],[Large Provider Entity Code]],A249)</f>
        <v>0</v>
      </c>
      <c r="D249" s="7" t="str">
        <f>IFERROR(SUMIFS(TM[[#All],[Total Non-Truncated Claims Spending]],TM[[#All],[Reporting Year]],2024,TM[[#All],[Insurance Category Code]],8,TM[[#All],[Large Provider Entity Code]],A249)/C249,"NA")</f>
        <v>NA</v>
      </c>
      <c r="E249" s="7" t="str">
        <f>IFERROR(SUMIFS(TM[[#All],[Total Non-Claims Spending]],TM[[#All],[Reporting Year]],2024,TM[[#All],[Insurance Category Code]],8,TM[[#All],[Large Provider Entity Code]],A249)/C249,"NA")</f>
        <v>NA</v>
      </c>
      <c r="F249" s="7" t="str">
        <f>IFERROR(SUMIFS(TM[[#All],[Total Non-Truncated Claims and Non-Claims Spending]],TM[[#All],[Reporting Year]],2024,TM[[#All],[Insurance Category Code]],8,TM[[#All],[Large Provider Entity Code]],A249)/C249,"NA")</f>
        <v>NA</v>
      </c>
      <c r="G249" s="7" t="str">
        <f>IFERROR(SUMIFS(TM[[#All],[Total Truncated Claims Spending]],TM[[#All],[Reporting Year]],2024,TM[[#All],[Insurance Category Code]],8,TM[[#All],[Large Provider Entity Code]],A249)/C249,"NA")</f>
        <v>NA</v>
      </c>
      <c r="H249" s="196" t="str">
        <f>IFERROR(SUMIFS(TM[[#All],[Total Truncated Expenses]],TM[[#All],[Reporting Year]],2024,TM[[#All],[Insurance Category Code]],8,TM[[#All],[Large Provider Entity Code]],A249)/C249,"NA")</f>
        <v>NA</v>
      </c>
      <c r="I249" s="89">
        <f>SUMIFS(TM[[#All],[Member Months]],TM[[#All],[Reporting Year]],2025,TM[[#All],[Insurance Category Code]],8,TM[[#All],[Large Provider Entity Code]],A249)</f>
        <v>0</v>
      </c>
      <c r="J249" s="7" t="str">
        <f>IFERROR(SUMIFS(TM[[#All],[Total Non-Truncated Claims Spending]],TM[[#All],[Reporting Year]],2025,TM[[#All],[Insurance Category Code]],8,TM[[#All],[Large Provider Entity Code]],A249)/I249,"NA")</f>
        <v>NA</v>
      </c>
      <c r="K249" s="7" t="str">
        <f>IFERROR(SUMIFS(TM[[#All],[Total Non-Claims Spending]],TM[[#All],[Reporting Year]],2025,TM[[#All],[Insurance Category Code]],8,TM[[#All],[Large Provider Entity Code]],A249)/I249,"NA")</f>
        <v>NA</v>
      </c>
      <c r="L249" s="7" t="str">
        <f>IFERROR(SUMIFS(TM[[#All],[Total Non-Truncated Claims and Non-Claims Spending]],TM[[#All],[Reporting Year]],2025,TM[[#All],[Insurance Category Code]],8,TM[[#All],[Large Provider Entity Code]],A249)/I249,"NA")</f>
        <v>NA</v>
      </c>
      <c r="M249" s="7" t="str">
        <f>IFERROR(SUMIFS(TM[[#All],[Total Truncated Claims Spending]],TM[[#All],[Reporting Year]],2025,TM[[#All],[Insurance Category Code]],8,TM[[#All],[Large Provider Entity Code]],A249)/I249,"NA")</f>
        <v>NA</v>
      </c>
      <c r="N249" s="90" t="str">
        <f>IFERROR(SUMIFS(TM[[#All],[Total Truncated Expenses]],TM[[#All],[Reporting Year]],2025,TM[[#All],[Insurance Category Code]],8,TM[[#All],[Large Provider Entity Code]],A249)/I249,"NA")</f>
        <v>NA</v>
      </c>
      <c r="O249" s="169" t="str">
        <f>IFERROR(IF(AND(C249&gt;12000,I249&gt;12000),"Yes","No"),"NA")</f>
        <v>No</v>
      </c>
      <c r="P249" s="231" t="str">
        <f t="shared" ref="P249:U273" si="149">IFERROR((I249/C249-1),"NA")</f>
        <v>NA</v>
      </c>
      <c r="Q249" s="91" t="str">
        <f t="shared" si="149"/>
        <v>NA</v>
      </c>
      <c r="R249" s="91" t="str">
        <f t="shared" si="149"/>
        <v>NA</v>
      </c>
      <c r="S249" s="91" t="str">
        <f t="shared" si="149"/>
        <v>NA</v>
      </c>
      <c r="T249" s="91" t="str">
        <f t="shared" si="149"/>
        <v>NA</v>
      </c>
      <c r="U249" s="91" t="str">
        <f t="shared" si="149"/>
        <v>NA</v>
      </c>
    </row>
    <row r="250" spans="1:21" x14ac:dyDescent="0.4">
      <c r="A250" s="210">
        <v>101</v>
      </c>
      <c r="B250" s="525" t="s">
        <v>562</v>
      </c>
      <c r="C250" s="8">
        <f>SUMIFS(TM[[#All],[Member Months]],TM[[#All],[Reporting Year]],2024,TM[[#All],[Insurance Category Code]],8,TM[[#All],[Large Provider Entity Code]],A250)</f>
        <v>0</v>
      </c>
      <c r="D250" s="7" t="str">
        <f>IFERROR(SUMIFS(TM[[#All],[Total Non-Truncated Claims Spending]],TM[[#All],[Reporting Year]],2024,TM[[#All],[Insurance Category Code]],8,TM[[#All],[Large Provider Entity Code]],A250)/C250,"NA")</f>
        <v>NA</v>
      </c>
      <c r="E250" s="7" t="str">
        <f>IFERROR(SUMIFS(TM[[#All],[Total Non-Claims Spending]],TM[[#All],[Reporting Year]],2024,TM[[#All],[Insurance Category Code]],8,TM[[#All],[Large Provider Entity Code]],A250)/C250,"NA")</f>
        <v>NA</v>
      </c>
      <c r="F250" s="7" t="str">
        <f>IFERROR(SUMIFS(TM[[#All],[Total Non-Truncated Claims and Non-Claims Spending]],TM[[#All],[Reporting Year]],2024,TM[[#All],[Insurance Category Code]],8,TM[[#All],[Large Provider Entity Code]],A250)/C250,"NA")</f>
        <v>NA</v>
      </c>
      <c r="G250" s="7" t="str">
        <f>IFERROR(SUMIFS(TM[[#All],[Total Truncated Claims Spending]],TM[[#All],[Reporting Year]],2024,TM[[#All],[Insurance Category Code]],8,TM[[#All],[Large Provider Entity Code]],A250)/C250,"NA")</f>
        <v>NA</v>
      </c>
      <c r="H250" s="196" t="str">
        <f>IFERROR(SUMIFS(TM[[#All],[Total Truncated Expenses]],TM[[#All],[Reporting Year]],2024,TM[[#All],[Insurance Category Code]],8,TM[[#All],[Large Provider Entity Code]],A250)/C250,"NA")</f>
        <v>NA</v>
      </c>
      <c r="I250" s="89">
        <f>SUMIFS(TM[[#All],[Member Months]],TM[[#All],[Reporting Year]],2025,TM[[#All],[Insurance Category Code]],8,TM[[#All],[Large Provider Entity Code]],A250)</f>
        <v>0</v>
      </c>
      <c r="J250" s="7" t="str">
        <f>IFERROR(SUMIFS(TM[[#All],[Total Non-Truncated Claims Spending]],TM[[#All],[Reporting Year]],2025,TM[[#All],[Insurance Category Code]],8,TM[[#All],[Large Provider Entity Code]],A250)/I250,"NA")</f>
        <v>NA</v>
      </c>
      <c r="K250" s="7" t="str">
        <f>IFERROR(SUMIFS(TM[[#All],[Total Non-Claims Spending]],TM[[#All],[Reporting Year]],2025,TM[[#All],[Insurance Category Code]],8,TM[[#All],[Large Provider Entity Code]],A250)/I250,"NA")</f>
        <v>NA</v>
      </c>
      <c r="L250" s="7" t="str">
        <f>IFERROR(SUMIFS(TM[[#All],[Total Non-Truncated Claims and Non-Claims Spending]],TM[[#All],[Reporting Year]],2025,TM[[#All],[Insurance Category Code]],8,TM[[#All],[Large Provider Entity Code]],A250)/I250,"NA")</f>
        <v>NA</v>
      </c>
      <c r="M250" s="7" t="str">
        <f>IFERROR(SUMIFS(TM[[#All],[Total Truncated Claims Spending]],TM[[#All],[Reporting Year]],2025,TM[[#All],[Insurance Category Code]],8,TM[[#All],[Large Provider Entity Code]],A250)/I250,"NA")</f>
        <v>NA</v>
      </c>
      <c r="N250" s="90" t="str">
        <f>IFERROR(SUMIFS(TM[[#All],[Total Truncated Expenses]],TM[[#All],[Reporting Year]],2025,TM[[#All],[Insurance Category Code]],8,TM[[#All],[Large Provider Entity Code]],A250)/I250,"NA")</f>
        <v>NA</v>
      </c>
      <c r="O250" s="169" t="str">
        <f t="shared" ref="O250:O268" si="150">IFERROR(IF(AND(C250&gt;12000,I250&gt;12000),"Yes","No"),"NA")</f>
        <v>No</v>
      </c>
      <c r="P250" s="231" t="str">
        <f t="shared" si="149"/>
        <v>NA</v>
      </c>
      <c r="Q250" s="91" t="str">
        <f t="shared" si="149"/>
        <v>NA</v>
      </c>
      <c r="R250" s="91" t="str">
        <f t="shared" si="149"/>
        <v>NA</v>
      </c>
      <c r="S250" s="91" t="str">
        <f t="shared" si="149"/>
        <v>NA</v>
      </c>
      <c r="T250" s="91" t="str">
        <f t="shared" si="149"/>
        <v>NA</v>
      </c>
      <c r="U250" s="91" t="str">
        <f t="shared" si="149"/>
        <v>NA</v>
      </c>
    </row>
    <row r="251" spans="1:21" x14ac:dyDescent="0.4">
      <c r="A251" s="210">
        <v>102</v>
      </c>
      <c r="B251" s="525" t="s">
        <v>607</v>
      </c>
      <c r="C251" s="8">
        <f>SUMIFS(TM[[#All],[Member Months]],TM[[#All],[Reporting Year]],2024,TM[[#All],[Insurance Category Code]],8,TM[[#All],[Large Provider Entity Code]],A251)</f>
        <v>0</v>
      </c>
      <c r="D251" s="7" t="str">
        <f>IFERROR(SUMIFS(TM[[#All],[Total Non-Truncated Claims Spending]],TM[[#All],[Reporting Year]],2024,TM[[#All],[Insurance Category Code]],8,TM[[#All],[Large Provider Entity Code]],A251)/C251,"NA")</f>
        <v>NA</v>
      </c>
      <c r="E251" s="7" t="str">
        <f>IFERROR(SUMIFS(TM[[#All],[Total Non-Claims Spending]],TM[[#All],[Reporting Year]],2024,TM[[#All],[Insurance Category Code]],8,TM[[#All],[Large Provider Entity Code]],A251)/C251,"NA")</f>
        <v>NA</v>
      </c>
      <c r="F251" s="7" t="str">
        <f>IFERROR(SUMIFS(TM[[#All],[Total Non-Truncated Claims and Non-Claims Spending]],TM[[#All],[Reporting Year]],2024,TM[[#All],[Insurance Category Code]],8,TM[[#All],[Large Provider Entity Code]],A251)/C251,"NA")</f>
        <v>NA</v>
      </c>
      <c r="G251" s="7" t="str">
        <f>IFERROR(SUMIFS(TM[[#All],[Total Truncated Claims Spending]],TM[[#All],[Reporting Year]],2024,TM[[#All],[Insurance Category Code]],8,TM[[#All],[Large Provider Entity Code]],A251)/C251,"NA")</f>
        <v>NA</v>
      </c>
      <c r="H251" s="196" t="str">
        <f>IFERROR(SUMIFS(TM[[#All],[Total Truncated Expenses]],TM[[#All],[Reporting Year]],2024,TM[[#All],[Insurance Category Code]],8,TM[[#All],[Large Provider Entity Code]],A251)/C251,"NA")</f>
        <v>NA</v>
      </c>
      <c r="I251" s="89">
        <f>SUMIFS(TM[[#All],[Member Months]],TM[[#All],[Reporting Year]],2025,TM[[#All],[Insurance Category Code]],8,TM[[#All],[Large Provider Entity Code]],A251)</f>
        <v>0</v>
      </c>
      <c r="J251" s="7" t="str">
        <f>IFERROR(SUMIFS(TM[[#All],[Total Non-Truncated Claims Spending]],TM[[#All],[Reporting Year]],2025,TM[[#All],[Insurance Category Code]],8,TM[[#All],[Large Provider Entity Code]],A251)/I251,"NA")</f>
        <v>NA</v>
      </c>
      <c r="K251" s="7" t="str">
        <f>IFERROR(SUMIFS(TM[[#All],[Total Non-Claims Spending]],TM[[#All],[Reporting Year]],2025,TM[[#All],[Insurance Category Code]],8,TM[[#All],[Large Provider Entity Code]],A251)/I251,"NA")</f>
        <v>NA</v>
      </c>
      <c r="L251" s="7" t="str">
        <f>IFERROR(SUMIFS(TM[[#All],[Total Non-Truncated Claims and Non-Claims Spending]],TM[[#All],[Reporting Year]],2025,TM[[#All],[Insurance Category Code]],8,TM[[#All],[Large Provider Entity Code]],A251)/I251,"NA")</f>
        <v>NA</v>
      </c>
      <c r="M251" s="7" t="str">
        <f>IFERROR(SUMIFS(TM[[#All],[Total Truncated Claims Spending]],TM[[#All],[Reporting Year]],2025,TM[[#All],[Insurance Category Code]],8,TM[[#All],[Large Provider Entity Code]],A251)/I251,"NA")</f>
        <v>NA</v>
      </c>
      <c r="N251" s="90" t="str">
        <f>IFERROR(SUMIFS(TM[[#All],[Total Truncated Expenses]],TM[[#All],[Reporting Year]],2025,TM[[#All],[Insurance Category Code]],8,TM[[#All],[Large Provider Entity Code]],A251)/I251,"NA")</f>
        <v>NA</v>
      </c>
      <c r="O251" s="169" t="str">
        <f t="shared" si="150"/>
        <v>No</v>
      </c>
      <c r="P251" s="231" t="str">
        <f t="shared" si="149"/>
        <v>NA</v>
      </c>
      <c r="Q251" s="91" t="str">
        <f t="shared" si="149"/>
        <v>NA</v>
      </c>
      <c r="R251" s="91" t="str">
        <f t="shared" si="149"/>
        <v>NA</v>
      </c>
      <c r="S251" s="91" t="str">
        <f t="shared" si="149"/>
        <v>NA</v>
      </c>
      <c r="T251" s="91" t="str">
        <f t="shared" si="149"/>
        <v>NA</v>
      </c>
      <c r="U251" s="91" t="str">
        <f t="shared" si="149"/>
        <v>NA</v>
      </c>
    </row>
    <row r="252" spans="1:21" x14ac:dyDescent="0.4">
      <c r="A252" s="210">
        <v>104</v>
      </c>
      <c r="B252" s="525" t="s">
        <v>608</v>
      </c>
      <c r="C252" s="8">
        <f>SUMIFS(TM[[#All],[Member Months]],TM[[#All],[Reporting Year]],2024,TM[[#All],[Insurance Category Code]],8,TM[[#All],[Large Provider Entity Code]],A252)</f>
        <v>0</v>
      </c>
      <c r="D252" s="7" t="str">
        <f>IFERROR(SUMIFS(TM[[#All],[Total Non-Truncated Claims Spending]],TM[[#All],[Reporting Year]],2024,TM[[#All],[Insurance Category Code]],8,TM[[#All],[Large Provider Entity Code]],A252)/C252,"NA")</f>
        <v>NA</v>
      </c>
      <c r="E252" s="7" t="str">
        <f>IFERROR(SUMIFS(TM[[#All],[Total Non-Claims Spending]],TM[[#All],[Reporting Year]],2024,TM[[#All],[Insurance Category Code]],8,TM[[#All],[Large Provider Entity Code]],A252)/C252,"NA")</f>
        <v>NA</v>
      </c>
      <c r="F252" s="7" t="str">
        <f>IFERROR(SUMIFS(TM[[#All],[Total Non-Truncated Claims and Non-Claims Spending]],TM[[#All],[Reporting Year]],2024,TM[[#All],[Insurance Category Code]],8,TM[[#All],[Large Provider Entity Code]],A252)/C252,"NA")</f>
        <v>NA</v>
      </c>
      <c r="G252" s="7" t="str">
        <f>IFERROR(SUMIFS(TM[[#All],[Total Truncated Claims Spending]],TM[[#All],[Reporting Year]],2024,TM[[#All],[Insurance Category Code]],8,TM[[#All],[Large Provider Entity Code]],A252)/C252,"NA")</f>
        <v>NA</v>
      </c>
      <c r="H252" s="196" t="str">
        <f>IFERROR(SUMIFS(TM[[#All],[Total Truncated Expenses]],TM[[#All],[Reporting Year]],2024,TM[[#All],[Insurance Category Code]],8,TM[[#All],[Large Provider Entity Code]],A252)/C252,"NA")</f>
        <v>NA</v>
      </c>
      <c r="I252" s="89">
        <f>SUMIFS(TM[[#All],[Member Months]],TM[[#All],[Reporting Year]],2025,TM[[#All],[Insurance Category Code]],8,TM[[#All],[Large Provider Entity Code]],A252)</f>
        <v>0</v>
      </c>
      <c r="J252" s="7" t="str">
        <f>IFERROR(SUMIFS(TM[[#All],[Total Non-Truncated Claims Spending]],TM[[#All],[Reporting Year]],2025,TM[[#All],[Insurance Category Code]],8,TM[[#All],[Large Provider Entity Code]],A252)/I252,"NA")</f>
        <v>NA</v>
      </c>
      <c r="K252" s="7" t="str">
        <f>IFERROR(SUMIFS(TM[[#All],[Total Non-Claims Spending]],TM[[#All],[Reporting Year]],2025,TM[[#All],[Insurance Category Code]],8,TM[[#All],[Large Provider Entity Code]],A252)/I252,"NA")</f>
        <v>NA</v>
      </c>
      <c r="L252" s="7" t="str">
        <f>IFERROR(SUMIFS(TM[[#All],[Total Non-Truncated Claims and Non-Claims Spending]],TM[[#All],[Reporting Year]],2025,TM[[#All],[Insurance Category Code]],8,TM[[#All],[Large Provider Entity Code]],A252)/I252,"NA")</f>
        <v>NA</v>
      </c>
      <c r="M252" s="7" t="str">
        <f>IFERROR(SUMIFS(TM[[#All],[Total Truncated Claims Spending]],TM[[#All],[Reporting Year]],2025,TM[[#All],[Insurance Category Code]],8,TM[[#All],[Large Provider Entity Code]],A252)/I252,"NA")</f>
        <v>NA</v>
      </c>
      <c r="N252" s="90" t="str">
        <f>IFERROR(SUMIFS(TM[[#All],[Total Truncated Expenses]],TM[[#All],[Reporting Year]],2025,TM[[#All],[Insurance Category Code]],8,TM[[#All],[Large Provider Entity Code]],A252)/I252,"NA")</f>
        <v>NA</v>
      </c>
      <c r="O252" s="169" t="str">
        <f t="shared" si="150"/>
        <v>No</v>
      </c>
      <c r="P252" s="231" t="str">
        <f t="shared" si="149"/>
        <v>NA</v>
      </c>
      <c r="Q252" s="91" t="str">
        <f t="shared" si="149"/>
        <v>NA</v>
      </c>
      <c r="R252" s="91" t="str">
        <f t="shared" si="149"/>
        <v>NA</v>
      </c>
      <c r="S252" s="91" t="str">
        <f t="shared" si="149"/>
        <v>NA</v>
      </c>
      <c r="T252" s="91" t="str">
        <f t="shared" si="149"/>
        <v>NA</v>
      </c>
      <c r="U252" s="91" t="str">
        <f t="shared" si="149"/>
        <v>NA</v>
      </c>
    </row>
    <row r="253" spans="1:21" ht="33.6" x14ac:dyDescent="0.4">
      <c r="A253" s="210">
        <v>105</v>
      </c>
      <c r="B253" s="525" t="s">
        <v>609</v>
      </c>
      <c r="C253" s="8">
        <f>SUMIFS(TM[[#All],[Member Months]],TM[[#All],[Reporting Year]],2024,TM[[#All],[Insurance Category Code]],8,TM[[#All],[Large Provider Entity Code]],A253)</f>
        <v>0</v>
      </c>
      <c r="D253" s="7" t="str">
        <f>IFERROR(SUMIFS(TM[[#All],[Total Non-Truncated Claims Spending]],TM[[#All],[Reporting Year]],2024,TM[[#All],[Insurance Category Code]],8,TM[[#All],[Large Provider Entity Code]],A253)/C253,"NA")</f>
        <v>NA</v>
      </c>
      <c r="E253" s="7" t="str">
        <f>IFERROR(SUMIFS(TM[[#All],[Total Non-Claims Spending]],TM[[#All],[Reporting Year]],2024,TM[[#All],[Insurance Category Code]],8,TM[[#All],[Large Provider Entity Code]],A253)/C253,"NA")</f>
        <v>NA</v>
      </c>
      <c r="F253" s="7" t="str">
        <f>IFERROR(SUMIFS(TM[[#All],[Total Non-Truncated Claims and Non-Claims Spending]],TM[[#All],[Reporting Year]],2024,TM[[#All],[Insurance Category Code]],8,TM[[#All],[Large Provider Entity Code]],A253)/C253,"NA")</f>
        <v>NA</v>
      </c>
      <c r="G253" s="7" t="str">
        <f>IFERROR(SUMIFS(TM[[#All],[Total Truncated Claims Spending]],TM[[#All],[Reporting Year]],2024,TM[[#All],[Insurance Category Code]],8,TM[[#All],[Large Provider Entity Code]],A253)/C253,"NA")</f>
        <v>NA</v>
      </c>
      <c r="H253" s="196" t="str">
        <f>IFERROR(SUMIFS(TM[[#All],[Total Truncated Expenses]],TM[[#All],[Reporting Year]],2024,TM[[#All],[Insurance Category Code]],8,TM[[#All],[Large Provider Entity Code]],A253)/C253,"NA")</f>
        <v>NA</v>
      </c>
      <c r="I253" s="89">
        <f>SUMIFS(TM[[#All],[Member Months]],TM[[#All],[Reporting Year]],2025,TM[[#All],[Insurance Category Code]],8,TM[[#All],[Large Provider Entity Code]],A253)</f>
        <v>0</v>
      </c>
      <c r="J253" s="7" t="str">
        <f>IFERROR(SUMIFS(TM[[#All],[Total Non-Truncated Claims Spending]],TM[[#All],[Reporting Year]],2025,TM[[#All],[Insurance Category Code]],8,TM[[#All],[Large Provider Entity Code]],A253)/I253,"NA")</f>
        <v>NA</v>
      </c>
      <c r="K253" s="7" t="str">
        <f>IFERROR(SUMIFS(TM[[#All],[Total Non-Claims Spending]],TM[[#All],[Reporting Year]],2025,TM[[#All],[Insurance Category Code]],8,TM[[#All],[Large Provider Entity Code]],A253)/I253,"NA")</f>
        <v>NA</v>
      </c>
      <c r="L253" s="7" t="str">
        <f>IFERROR(SUMIFS(TM[[#All],[Total Non-Truncated Claims and Non-Claims Spending]],TM[[#All],[Reporting Year]],2025,TM[[#All],[Insurance Category Code]],8,TM[[#All],[Large Provider Entity Code]],A253)/I253,"NA")</f>
        <v>NA</v>
      </c>
      <c r="M253" s="7" t="str">
        <f>IFERROR(SUMIFS(TM[[#All],[Total Truncated Claims Spending]],TM[[#All],[Reporting Year]],2025,TM[[#All],[Insurance Category Code]],8,TM[[#All],[Large Provider Entity Code]],A253)/I253,"NA")</f>
        <v>NA</v>
      </c>
      <c r="N253" s="90" t="str">
        <f>IFERROR(SUMIFS(TM[[#All],[Total Truncated Expenses]],TM[[#All],[Reporting Year]],2025,TM[[#All],[Insurance Category Code]],8,TM[[#All],[Large Provider Entity Code]],A253)/I253,"NA")</f>
        <v>NA</v>
      </c>
      <c r="O253" s="169" t="str">
        <f t="shared" si="150"/>
        <v>No</v>
      </c>
      <c r="P253" s="231" t="str">
        <f t="shared" si="149"/>
        <v>NA</v>
      </c>
      <c r="Q253" s="91" t="str">
        <f t="shared" si="149"/>
        <v>NA</v>
      </c>
      <c r="R253" s="91" t="str">
        <f t="shared" si="149"/>
        <v>NA</v>
      </c>
      <c r="S253" s="91" t="str">
        <f t="shared" si="149"/>
        <v>NA</v>
      </c>
      <c r="T253" s="91" t="str">
        <f t="shared" si="149"/>
        <v>NA</v>
      </c>
      <c r="U253" s="91" t="str">
        <f t="shared" si="149"/>
        <v>NA</v>
      </c>
    </row>
    <row r="254" spans="1:21" x14ac:dyDescent="0.4">
      <c r="A254" s="210">
        <v>106</v>
      </c>
      <c r="B254" s="525" t="s">
        <v>613</v>
      </c>
      <c r="C254" s="8">
        <f>SUMIFS(TM[[#All],[Member Months]],TM[[#All],[Reporting Year]],2024,TM[[#All],[Insurance Category Code]],8,TM[[#All],[Large Provider Entity Code]],A254)</f>
        <v>0</v>
      </c>
      <c r="D254" s="7" t="str">
        <f>IFERROR(SUMIFS(TM[[#All],[Total Non-Truncated Claims Spending]],TM[[#All],[Reporting Year]],2024,TM[[#All],[Insurance Category Code]],8,TM[[#All],[Large Provider Entity Code]],A254)/C254,"NA")</f>
        <v>NA</v>
      </c>
      <c r="E254" s="7" t="str">
        <f>IFERROR(SUMIFS(TM[[#All],[Total Non-Claims Spending]],TM[[#All],[Reporting Year]],2024,TM[[#All],[Insurance Category Code]],8,TM[[#All],[Large Provider Entity Code]],A254)/C254,"NA")</f>
        <v>NA</v>
      </c>
      <c r="F254" s="7" t="str">
        <f>IFERROR(SUMIFS(TM[[#All],[Total Non-Truncated Claims and Non-Claims Spending]],TM[[#All],[Reporting Year]],2024,TM[[#All],[Insurance Category Code]],8,TM[[#All],[Large Provider Entity Code]],A254)/C254,"NA")</f>
        <v>NA</v>
      </c>
      <c r="G254" s="7" t="str">
        <f>IFERROR(SUMIFS(TM[[#All],[Total Truncated Claims Spending]],TM[[#All],[Reporting Year]],2024,TM[[#All],[Insurance Category Code]],8,TM[[#All],[Large Provider Entity Code]],A254)/C254,"NA")</f>
        <v>NA</v>
      </c>
      <c r="H254" s="196" t="str">
        <f>IFERROR(SUMIFS(TM[[#All],[Total Truncated Expenses]],TM[[#All],[Reporting Year]],2024,TM[[#All],[Insurance Category Code]],8,TM[[#All],[Large Provider Entity Code]],A254)/C254,"NA")</f>
        <v>NA</v>
      </c>
      <c r="I254" s="89">
        <f>SUMIFS(TM[[#All],[Member Months]],TM[[#All],[Reporting Year]],2025,TM[[#All],[Insurance Category Code]],8,TM[[#All],[Large Provider Entity Code]],A254)</f>
        <v>0</v>
      </c>
      <c r="J254" s="7" t="str">
        <f>IFERROR(SUMIFS(TM[[#All],[Total Non-Truncated Claims Spending]],TM[[#All],[Reporting Year]],2025,TM[[#All],[Insurance Category Code]],8,TM[[#All],[Large Provider Entity Code]],A254)/I254,"NA")</f>
        <v>NA</v>
      </c>
      <c r="K254" s="7" t="str">
        <f>IFERROR(SUMIFS(TM[[#All],[Total Non-Claims Spending]],TM[[#All],[Reporting Year]],2025,TM[[#All],[Insurance Category Code]],8,TM[[#All],[Large Provider Entity Code]],A254)/I254,"NA")</f>
        <v>NA</v>
      </c>
      <c r="L254" s="7" t="str">
        <f>IFERROR(SUMIFS(TM[[#All],[Total Non-Truncated Claims and Non-Claims Spending]],TM[[#All],[Reporting Year]],2025,TM[[#All],[Insurance Category Code]],8,TM[[#All],[Large Provider Entity Code]],A254)/I254,"NA")</f>
        <v>NA</v>
      </c>
      <c r="M254" s="7" t="str">
        <f>IFERROR(SUMIFS(TM[[#All],[Total Truncated Claims Spending]],TM[[#All],[Reporting Year]],2025,TM[[#All],[Insurance Category Code]],8,TM[[#All],[Large Provider Entity Code]],A254)/I254,"NA")</f>
        <v>NA</v>
      </c>
      <c r="N254" s="90" t="str">
        <f>IFERROR(SUMIFS(TM[[#All],[Total Truncated Expenses]],TM[[#All],[Reporting Year]],2025,TM[[#All],[Insurance Category Code]],8,TM[[#All],[Large Provider Entity Code]],A254)/I254,"NA")</f>
        <v>NA</v>
      </c>
      <c r="O254" s="169" t="str">
        <f t="shared" si="150"/>
        <v>No</v>
      </c>
      <c r="P254" s="231" t="str">
        <f t="shared" si="149"/>
        <v>NA</v>
      </c>
      <c r="Q254" s="91" t="str">
        <f t="shared" si="149"/>
        <v>NA</v>
      </c>
      <c r="R254" s="91" t="str">
        <f t="shared" si="149"/>
        <v>NA</v>
      </c>
      <c r="S254" s="91" t="str">
        <f t="shared" si="149"/>
        <v>NA</v>
      </c>
      <c r="T254" s="91" t="str">
        <f t="shared" si="149"/>
        <v>NA</v>
      </c>
      <c r="U254" s="91" t="str">
        <f t="shared" si="149"/>
        <v>NA</v>
      </c>
    </row>
    <row r="255" spans="1:21" x14ac:dyDescent="0.4">
      <c r="A255" s="210">
        <v>107</v>
      </c>
      <c r="B255" s="526" t="s">
        <v>610</v>
      </c>
      <c r="C255" s="8">
        <f>SUMIFS(TM[[#All],[Member Months]],TM[[#All],[Reporting Year]],2024,TM[[#All],[Insurance Category Code]],8,TM[[#All],[Large Provider Entity Code]],A255)</f>
        <v>0</v>
      </c>
      <c r="D255" s="7" t="str">
        <f>IFERROR(SUMIFS(TM[[#All],[Total Non-Truncated Claims Spending]],TM[[#All],[Reporting Year]],2024,TM[[#All],[Insurance Category Code]],8,TM[[#All],[Large Provider Entity Code]],A255)/C255,"NA")</f>
        <v>NA</v>
      </c>
      <c r="E255" s="7" t="str">
        <f>IFERROR(SUMIFS(TM[[#All],[Total Non-Claims Spending]],TM[[#All],[Reporting Year]],2024,TM[[#All],[Insurance Category Code]],8,TM[[#All],[Large Provider Entity Code]],A255)/C255,"NA")</f>
        <v>NA</v>
      </c>
      <c r="F255" s="7" t="str">
        <f>IFERROR(SUMIFS(TM[[#All],[Total Non-Truncated Claims and Non-Claims Spending]],TM[[#All],[Reporting Year]],2024,TM[[#All],[Insurance Category Code]],8,TM[[#All],[Large Provider Entity Code]],A255)/C255,"NA")</f>
        <v>NA</v>
      </c>
      <c r="G255" s="7" t="str">
        <f>IFERROR(SUMIFS(TM[[#All],[Total Truncated Claims Spending]],TM[[#All],[Reporting Year]],2024,TM[[#All],[Insurance Category Code]],8,TM[[#All],[Large Provider Entity Code]],A255)/C255,"NA")</f>
        <v>NA</v>
      </c>
      <c r="H255" s="196" t="str">
        <f>IFERROR(SUMIFS(TM[[#All],[Total Truncated Expenses]],TM[[#All],[Reporting Year]],2024,TM[[#All],[Insurance Category Code]],8,TM[[#All],[Large Provider Entity Code]],A255)/C255,"NA")</f>
        <v>NA</v>
      </c>
      <c r="I255" s="89">
        <f>SUMIFS(TM[[#All],[Member Months]],TM[[#All],[Reporting Year]],2025,TM[[#All],[Insurance Category Code]],8,TM[[#All],[Large Provider Entity Code]],A255)</f>
        <v>0</v>
      </c>
      <c r="J255" s="7" t="str">
        <f>IFERROR(SUMIFS(TM[[#All],[Total Non-Truncated Claims Spending]],TM[[#All],[Reporting Year]],2025,TM[[#All],[Insurance Category Code]],8,TM[[#All],[Large Provider Entity Code]],A255)/I255,"NA")</f>
        <v>NA</v>
      </c>
      <c r="K255" s="7" t="str">
        <f>IFERROR(SUMIFS(TM[[#All],[Total Non-Claims Spending]],TM[[#All],[Reporting Year]],2025,TM[[#All],[Insurance Category Code]],8,TM[[#All],[Large Provider Entity Code]],A255)/I255,"NA")</f>
        <v>NA</v>
      </c>
      <c r="L255" s="7" t="str">
        <f>IFERROR(SUMIFS(TM[[#All],[Total Non-Truncated Claims and Non-Claims Spending]],TM[[#All],[Reporting Year]],2025,TM[[#All],[Insurance Category Code]],8,TM[[#All],[Large Provider Entity Code]],A255)/I255,"NA")</f>
        <v>NA</v>
      </c>
      <c r="M255" s="7" t="str">
        <f>IFERROR(SUMIFS(TM[[#All],[Total Truncated Claims Spending]],TM[[#All],[Reporting Year]],2025,TM[[#All],[Insurance Category Code]],8,TM[[#All],[Large Provider Entity Code]],A255)/I255,"NA")</f>
        <v>NA</v>
      </c>
      <c r="N255" s="90" t="str">
        <f>IFERROR(SUMIFS(TM[[#All],[Total Truncated Expenses]],TM[[#All],[Reporting Year]],2025,TM[[#All],[Insurance Category Code]],8,TM[[#All],[Large Provider Entity Code]],A255)/I255,"NA")</f>
        <v>NA</v>
      </c>
      <c r="O255" s="169" t="str">
        <f t="shared" si="150"/>
        <v>No</v>
      </c>
      <c r="P255" s="231" t="str">
        <f t="shared" si="149"/>
        <v>NA</v>
      </c>
      <c r="Q255" s="91" t="str">
        <f t="shared" si="149"/>
        <v>NA</v>
      </c>
      <c r="R255" s="91" t="str">
        <f t="shared" si="149"/>
        <v>NA</v>
      </c>
      <c r="S255" s="91" t="str">
        <f t="shared" si="149"/>
        <v>NA</v>
      </c>
      <c r="T255" s="91" t="str">
        <f t="shared" si="149"/>
        <v>NA</v>
      </c>
      <c r="U255" s="91" t="str">
        <f t="shared" si="149"/>
        <v>NA</v>
      </c>
    </row>
    <row r="256" spans="1:21" x14ac:dyDescent="0.4">
      <c r="A256" s="210">
        <v>108</v>
      </c>
      <c r="B256" s="526" t="s">
        <v>563</v>
      </c>
      <c r="C256" s="8">
        <f>SUMIFS(TM[[#All],[Member Months]],TM[[#All],[Reporting Year]],2024,TM[[#All],[Insurance Category Code]],8,TM[[#All],[Large Provider Entity Code]],A256)</f>
        <v>0</v>
      </c>
      <c r="D256" s="7" t="str">
        <f>IFERROR(SUMIFS(TM[[#All],[Total Non-Truncated Claims Spending]],TM[[#All],[Reporting Year]],2024,TM[[#All],[Insurance Category Code]],8,TM[[#All],[Large Provider Entity Code]],A256)/C256,"NA")</f>
        <v>NA</v>
      </c>
      <c r="E256" s="7" t="str">
        <f>IFERROR(SUMIFS(TM[[#All],[Total Non-Claims Spending]],TM[[#All],[Reporting Year]],2024,TM[[#All],[Insurance Category Code]],8,TM[[#All],[Large Provider Entity Code]],A256)/C256,"NA")</f>
        <v>NA</v>
      </c>
      <c r="F256" s="7" t="str">
        <f>IFERROR(SUMIFS(TM[[#All],[Total Non-Truncated Claims and Non-Claims Spending]],TM[[#All],[Reporting Year]],2024,TM[[#All],[Insurance Category Code]],8,TM[[#All],[Large Provider Entity Code]],A256)/C256,"NA")</f>
        <v>NA</v>
      </c>
      <c r="G256" s="7" t="str">
        <f>IFERROR(SUMIFS(TM[[#All],[Total Truncated Claims Spending]],TM[[#All],[Reporting Year]],2024,TM[[#All],[Insurance Category Code]],8,TM[[#All],[Large Provider Entity Code]],A256)/C256,"NA")</f>
        <v>NA</v>
      </c>
      <c r="H256" s="196" t="str">
        <f>IFERROR(SUMIFS(TM[[#All],[Total Truncated Expenses]],TM[[#All],[Reporting Year]],2024,TM[[#All],[Insurance Category Code]],8,TM[[#All],[Large Provider Entity Code]],A256)/C256,"NA")</f>
        <v>NA</v>
      </c>
      <c r="I256" s="89">
        <f>SUMIFS(TM[[#All],[Member Months]],TM[[#All],[Reporting Year]],2025,TM[[#All],[Insurance Category Code]],8,TM[[#All],[Large Provider Entity Code]],A256)</f>
        <v>0</v>
      </c>
      <c r="J256" s="7" t="str">
        <f>IFERROR(SUMIFS(TM[[#All],[Total Non-Truncated Claims Spending]],TM[[#All],[Reporting Year]],2025,TM[[#All],[Insurance Category Code]],8,TM[[#All],[Large Provider Entity Code]],A256)/I256,"NA")</f>
        <v>NA</v>
      </c>
      <c r="K256" s="7" t="str">
        <f>IFERROR(SUMIFS(TM[[#All],[Total Non-Claims Spending]],TM[[#All],[Reporting Year]],2025,TM[[#All],[Insurance Category Code]],8,TM[[#All],[Large Provider Entity Code]],A256)/I256,"NA")</f>
        <v>NA</v>
      </c>
      <c r="L256" s="7" t="str">
        <f>IFERROR(SUMIFS(TM[[#All],[Total Non-Truncated Claims and Non-Claims Spending]],TM[[#All],[Reporting Year]],2025,TM[[#All],[Insurance Category Code]],8,TM[[#All],[Large Provider Entity Code]],A256)/I256,"NA")</f>
        <v>NA</v>
      </c>
      <c r="M256" s="7" t="str">
        <f>IFERROR(SUMIFS(TM[[#All],[Total Truncated Claims Spending]],TM[[#All],[Reporting Year]],2025,TM[[#All],[Insurance Category Code]],8,TM[[#All],[Large Provider Entity Code]],A256)/I256,"NA")</f>
        <v>NA</v>
      </c>
      <c r="N256" s="90" t="str">
        <f>IFERROR(SUMIFS(TM[[#All],[Total Truncated Expenses]],TM[[#All],[Reporting Year]],2025,TM[[#All],[Insurance Category Code]],8,TM[[#All],[Large Provider Entity Code]],A256)/I256,"NA")</f>
        <v>NA</v>
      </c>
      <c r="O256" s="169" t="str">
        <f t="shared" si="150"/>
        <v>No</v>
      </c>
      <c r="P256" s="231" t="str">
        <f t="shared" si="149"/>
        <v>NA</v>
      </c>
      <c r="Q256" s="91" t="str">
        <f t="shared" si="149"/>
        <v>NA</v>
      </c>
      <c r="R256" s="91" t="str">
        <f t="shared" si="149"/>
        <v>NA</v>
      </c>
      <c r="S256" s="91" t="str">
        <f t="shared" si="149"/>
        <v>NA</v>
      </c>
      <c r="T256" s="91" t="str">
        <f t="shared" si="149"/>
        <v>NA</v>
      </c>
      <c r="U256" s="91" t="str">
        <f t="shared" si="149"/>
        <v>NA</v>
      </c>
    </row>
    <row r="257" spans="1:21" ht="33.6" x14ac:dyDescent="0.4">
      <c r="A257" s="210">
        <v>109</v>
      </c>
      <c r="B257" s="526" t="s">
        <v>611</v>
      </c>
      <c r="C257" s="8">
        <f>SUMIFS(TM[[#All],[Member Months]],TM[[#All],[Reporting Year]],2024,TM[[#All],[Insurance Category Code]],8,TM[[#All],[Large Provider Entity Code]],A257)</f>
        <v>0</v>
      </c>
      <c r="D257" s="7" t="str">
        <f>IFERROR(SUMIFS(TM[[#All],[Total Non-Truncated Claims Spending]],TM[[#All],[Reporting Year]],2024,TM[[#All],[Insurance Category Code]],8,TM[[#All],[Large Provider Entity Code]],A257)/C257,"NA")</f>
        <v>NA</v>
      </c>
      <c r="E257" s="7" t="str">
        <f>IFERROR(SUMIFS(TM[[#All],[Total Non-Claims Spending]],TM[[#All],[Reporting Year]],2024,TM[[#All],[Insurance Category Code]],8,TM[[#All],[Large Provider Entity Code]],A257)/C257,"NA")</f>
        <v>NA</v>
      </c>
      <c r="F257" s="7" t="str">
        <f>IFERROR(SUMIFS(TM[[#All],[Total Non-Truncated Claims and Non-Claims Spending]],TM[[#All],[Reporting Year]],2024,TM[[#All],[Insurance Category Code]],8,TM[[#All],[Large Provider Entity Code]],A257)/C257,"NA")</f>
        <v>NA</v>
      </c>
      <c r="G257" s="7" t="str">
        <f>IFERROR(SUMIFS(TM[[#All],[Total Truncated Claims Spending]],TM[[#All],[Reporting Year]],2024,TM[[#All],[Insurance Category Code]],8,TM[[#All],[Large Provider Entity Code]],A257)/C257,"NA")</f>
        <v>NA</v>
      </c>
      <c r="H257" s="196" t="str">
        <f>IFERROR(SUMIFS(TM[[#All],[Total Truncated Expenses]],TM[[#All],[Reporting Year]],2024,TM[[#All],[Insurance Category Code]],8,TM[[#All],[Large Provider Entity Code]],A257)/C257,"NA")</f>
        <v>NA</v>
      </c>
      <c r="I257" s="89">
        <f>SUMIFS(TM[[#All],[Member Months]],TM[[#All],[Reporting Year]],2025,TM[[#All],[Insurance Category Code]],8,TM[[#All],[Large Provider Entity Code]],A257)</f>
        <v>0</v>
      </c>
      <c r="J257" s="7" t="str">
        <f>IFERROR(SUMIFS(TM[[#All],[Total Non-Truncated Claims Spending]],TM[[#All],[Reporting Year]],2025,TM[[#All],[Insurance Category Code]],8,TM[[#All],[Large Provider Entity Code]],A257)/I257,"NA")</f>
        <v>NA</v>
      </c>
      <c r="K257" s="7" t="str">
        <f>IFERROR(SUMIFS(TM[[#All],[Total Non-Claims Spending]],TM[[#All],[Reporting Year]],2025,TM[[#All],[Insurance Category Code]],8,TM[[#All],[Large Provider Entity Code]],A257)/I257,"NA")</f>
        <v>NA</v>
      </c>
      <c r="L257" s="7" t="str">
        <f>IFERROR(SUMIFS(TM[[#All],[Total Non-Truncated Claims and Non-Claims Spending]],TM[[#All],[Reporting Year]],2025,TM[[#All],[Insurance Category Code]],8,TM[[#All],[Large Provider Entity Code]],A257)/I257,"NA")</f>
        <v>NA</v>
      </c>
      <c r="M257" s="7" t="str">
        <f>IFERROR(SUMIFS(TM[[#All],[Total Truncated Claims Spending]],TM[[#All],[Reporting Year]],2025,TM[[#All],[Insurance Category Code]],8,TM[[#All],[Large Provider Entity Code]],A257)/I257,"NA")</f>
        <v>NA</v>
      </c>
      <c r="N257" s="90" t="str">
        <f>IFERROR(SUMIFS(TM[[#All],[Total Truncated Expenses]],TM[[#All],[Reporting Year]],2025,TM[[#All],[Insurance Category Code]],8,TM[[#All],[Large Provider Entity Code]],A257)/I257,"NA")</f>
        <v>NA</v>
      </c>
      <c r="O257" s="169" t="str">
        <f t="shared" si="150"/>
        <v>No</v>
      </c>
      <c r="P257" s="231" t="str">
        <f t="shared" si="149"/>
        <v>NA</v>
      </c>
      <c r="Q257" s="91" t="str">
        <f t="shared" si="149"/>
        <v>NA</v>
      </c>
      <c r="R257" s="91" t="str">
        <f t="shared" si="149"/>
        <v>NA</v>
      </c>
      <c r="S257" s="91" t="str">
        <f t="shared" si="149"/>
        <v>NA</v>
      </c>
      <c r="T257" s="91" t="str">
        <f t="shared" si="149"/>
        <v>NA</v>
      </c>
      <c r="U257" s="91" t="str">
        <f t="shared" si="149"/>
        <v>NA</v>
      </c>
    </row>
    <row r="258" spans="1:21" x14ac:dyDescent="0.4">
      <c r="A258" s="210">
        <v>110</v>
      </c>
      <c r="B258" s="526" t="s">
        <v>68</v>
      </c>
      <c r="C258" s="8">
        <f>SUMIFS(TM[[#All],[Member Months]],TM[[#All],[Reporting Year]],2024,TM[[#All],[Insurance Category Code]],8,TM[[#All],[Large Provider Entity Code]],A258)</f>
        <v>0</v>
      </c>
      <c r="D258" s="7" t="str">
        <f>IFERROR(SUMIFS(TM[[#All],[Total Non-Truncated Claims Spending]],TM[[#All],[Reporting Year]],2024,TM[[#All],[Insurance Category Code]],8,TM[[#All],[Large Provider Entity Code]],A258)/C258,"NA")</f>
        <v>NA</v>
      </c>
      <c r="E258" s="7" t="str">
        <f>IFERROR(SUMIFS(TM[[#All],[Total Non-Claims Spending]],TM[[#All],[Reporting Year]],2024,TM[[#All],[Insurance Category Code]],8,TM[[#All],[Large Provider Entity Code]],A258)/C258,"NA")</f>
        <v>NA</v>
      </c>
      <c r="F258" s="7" t="str">
        <f>IFERROR(SUMIFS(TM[[#All],[Total Non-Truncated Claims and Non-Claims Spending]],TM[[#All],[Reporting Year]],2024,TM[[#All],[Insurance Category Code]],8,TM[[#All],[Large Provider Entity Code]],A258)/C258,"NA")</f>
        <v>NA</v>
      </c>
      <c r="G258" s="7" t="str">
        <f>IFERROR(SUMIFS(TM[[#All],[Total Truncated Claims Spending]],TM[[#All],[Reporting Year]],2024,TM[[#All],[Insurance Category Code]],8,TM[[#All],[Large Provider Entity Code]],A258)/C258,"NA")</f>
        <v>NA</v>
      </c>
      <c r="H258" s="196" t="str">
        <f>IFERROR(SUMIFS(TM[[#All],[Total Truncated Expenses]],TM[[#All],[Reporting Year]],2024,TM[[#All],[Insurance Category Code]],8,TM[[#All],[Large Provider Entity Code]],A258)/C258,"NA")</f>
        <v>NA</v>
      </c>
      <c r="I258" s="89">
        <f>SUMIFS(TM[[#All],[Member Months]],TM[[#All],[Reporting Year]],2025,TM[[#All],[Insurance Category Code]],8,TM[[#All],[Large Provider Entity Code]],A258)</f>
        <v>0</v>
      </c>
      <c r="J258" s="7" t="str">
        <f>IFERROR(SUMIFS(TM[[#All],[Total Non-Truncated Claims Spending]],TM[[#All],[Reporting Year]],2025,TM[[#All],[Insurance Category Code]],8,TM[[#All],[Large Provider Entity Code]],A258)/I258,"NA")</f>
        <v>NA</v>
      </c>
      <c r="K258" s="7" t="str">
        <f>IFERROR(SUMIFS(TM[[#All],[Total Non-Claims Spending]],TM[[#All],[Reporting Year]],2025,TM[[#All],[Insurance Category Code]],8,TM[[#All],[Large Provider Entity Code]],A258)/I258,"NA")</f>
        <v>NA</v>
      </c>
      <c r="L258" s="7" t="str">
        <f>IFERROR(SUMIFS(TM[[#All],[Total Non-Truncated Claims and Non-Claims Spending]],TM[[#All],[Reporting Year]],2025,TM[[#All],[Insurance Category Code]],8,TM[[#All],[Large Provider Entity Code]],A258)/I258,"NA")</f>
        <v>NA</v>
      </c>
      <c r="M258" s="7" t="str">
        <f>IFERROR(SUMIFS(TM[[#All],[Total Truncated Claims Spending]],TM[[#All],[Reporting Year]],2025,TM[[#All],[Insurance Category Code]],8,TM[[#All],[Large Provider Entity Code]],A258)/I258,"NA")</f>
        <v>NA</v>
      </c>
      <c r="N258" s="90" t="str">
        <f>IFERROR(SUMIFS(TM[[#All],[Total Truncated Expenses]],TM[[#All],[Reporting Year]],2025,TM[[#All],[Insurance Category Code]],8,TM[[#All],[Large Provider Entity Code]],A258)/I258,"NA")</f>
        <v>NA</v>
      </c>
      <c r="O258" s="169" t="str">
        <f t="shared" si="150"/>
        <v>No</v>
      </c>
      <c r="P258" s="231" t="str">
        <f t="shared" si="149"/>
        <v>NA</v>
      </c>
      <c r="Q258" s="91" t="str">
        <f t="shared" si="149"/>
        <v>NA</v>
      </c>
      <c r="R258" s="91" t="str">
        <f t="shared" si="149"/>
        <v>NA</v>
      </c>
      <c r="S258" s="91" t="str">
        <f t="shared" si="149"/>
        <v>NA</v>
      </c>
      <c r="T258" s="91" t="str">
        <f t="shared" si="149"/>
        <v>NA</v>
      </c>
      <c r="U258" s="91" t="str">
        <f t="shared" si="149"/>
        <v>NA</v>
      </c>
    </row>
    <row r="259" spans="1:21" x14ac:dyDescent="0.4">
      <c r="A259" s="210">
        <v>111</v>
      </c>
      <c r="B259" s="526" t="s">
        <v>69</v>
      </c>
      <c r="C259" s="8">
        <f>SUMIFS(TM[[#All],[Member Months]],TM[[#All],[Reporting Year]],2024,TM[[#All],[Insurance Category Code]],8,TM[[#All],[Large Provider Entity Code]],A259)</f>
        <v>0</v>
      </c>
      <c r="D259" s="7" t="str">
        <f>IFERROR(SUMIFS(TM[[#All],[Total Non-Truncated Claims Spending]],TM[[#All],[Reporting Year]],2024,TM[[#All],[Insurance Category Code]],8,TM[[#All],[Large Provider Entity Code]],A259)/C259,"NA")</f>
        <v>NA</v>
      </c>
      <c r="E259" s="7" t="str">
        <f>IFERROR(SUMIFS(TM[[#All],[Total Non-Claims Spending]],TM[[#All],[Reporting Year]],2024,TM[[#All],[Insurance Category Code]],8,TM[[#All],[Large Provider Entity Code]],A259)/C259,"NA")</f>
        <v>NA</v>
      </c>
      <c r="F259" s="7" t="str">
        <f>IFERROR(SUMIFS(TM[[#All],[Total Non-Truncated Claims and Non-Claims Spending]],TM[[#All],[Reporting Year]],2024,TM[[#All],[Insurance Category Code]],8,TM[[#All],[Large Provider Entity Code]],A259)/C259,"NA")</f>
        <v>NA</v>
      </c>
      <c r="G259" s="7" t="str">
        <f>IFERROR(SUMIFS(TM[[#All],[Total Truncated Claims Spending]],TM[[#All],[Reporting Year]],2024,TM[[#All],[Insurance Category Code]],8,TM[[#All],[Large Provider Entity Code]],A259)/C259,"NA")</f>
        <v>NA</v>
      </c>
      <c r="H259" s="196" t="str">
        <f>IFERROR(SUMIFS(TM[[#All],[Total Truncated Expenses]],TM[[#All],[Reporting Year]],2024,TM[[#All],[Insurance Category Code]],8,TM[[#All],[Large Provider Entity Code]],A259)/C259,"NA")</f>
        <v>NA</v>
      </c>
      <c r="I259" s="89">
        <f>SUMIFS(TM[[#All],[Member Months]],TM[[#All],[Reporting Year]],2025,TM[[#All],[Insurance Category Code]],8,TM[[#All],[Large Provider Entity Code]],A259)</f>
        <v>0</v>
      </c>
      <c r="J259" s="7" t="str">
        <f>IFERROR(SUMIFS(TM[[#All],[Total Non-Truncated Claims Spending]],TM[[#All],[Reporting Year]],2025,TM[[#All],[Insurance Category Code]],8,TM[[#All],[Large Provider Entity Code]],A259)/I259,"NA")</f>
        <v>NA</v>
      </c>
      <c r="K259" s="7" t="str">
        <f>IFERROR(SUMIFS(TM[[#All],[Total Non-Claims Spending]],TM[[#All],[Reporting Year]],2025,TM[[#All],[Insurance Category Code]],8,TM[[#All],[Large Provider Entity Code]],A259)/I259,"NA")</f>
        <v>NA</v>
      </c>
      <c r="L259" s="7" t="str">
        <f>IFERROR(SUMIFS(TM[[#All],[Total Non-Truncated Claims and Non-Claims Spending]],TM[[#All],[Reporting Year]],2025,TM[[#All],[Insurance Category Code]],8,TM[[#All],[Large Provider Entity Code]],A259)/I259,"NA")</f>
        <v>NA</v>
      </c>
      <c r="M259" s="7" t="str">
        <f>IFERROR(SUMIFS(TM[[#All],[Total Truncated Claims Spending]],TM[[#All],[Reporting Year]],2025,TM[[#All],[Insurance Category Code]],8,TM[[#All],[Large Provider Entity Code]],A259)/I259,"NA")</f>
        <v>NA</v>
      </c>
      <c r="N259" s="90" t="str">
        <f>IFERROR(SUMIFS(TM[[#All],[Total Truncated Expenses]],TM[[#All],[Reporting Year]],2025,TM[[#All],[Insurance Category Code]],8,TM[[#All],[Large Provider Entity Code]],A259)/I259,"NA")</f>
        <v>NA</v>
      </c>
      <c r="O259" s="169" t="str">
        <f t="shared" si="150"/>
        <v>No</v>
      </c>
      <c r="P259" s="231" t="str">
        <f t="shared" si="149"/>
        <v>NA</v>
      </c>
      <c r="Q259" s="91" t="str">
        <f t="shared" si="149"/>
        <v>NA</v>
      </c>
      <c r="R259" s="91" t="str">
        <f t="shared" si="149"/>
        <v>NA</v>
      </c>
      <c r="S259" s="91" t="str">
        <f t="shared" si="149"/>
        <v>NA</v>
      </c>
      <c r="T259" s="91" t="str">
        <f t="shared" si="149"/>
        <v>NA</v>
      </c>
      <c r="U259" s="91" t="str">
        <f t="shared" si="149"/>
        <v>NA</v>
      </c>
    </row>
    <row r="260" spans="1:21" x14ac:dyDescent="0.4">
      <c r="A260" s="210">
        <v>112</v>
      </c>
      <c r="B260" s="526" t="s">
        <v>637</v>
      </c>
      <c r="C260" s="8">
        <f>SUMIFS(TM[[#All],[Member Months]],TM[[#All],[Reporting Year]],2024,TM[[#All],[Insurance Category Code]],8,TM[[#All],[Large Provider Entity Code]],A260)</f>
        <v>0</v>
      </c>
      <c r="D260" s="7" t="str">
        <f>IFERROR(SUMIFS(TM[[#All],[Total Non-Truncated Claims Spending]],TM[[#All],[Reporting Year]],2024,TM[[#All],[Insurance Category Code]],8,TM[[#All],[Large Provider Entity Code]],A260)/C260,"NA")</f>
        <v>NA</v>
      </c>
      <c r="E260" s="7" t="str">
        <f>IFERROR(SUMIFS(TM[[#All],[Total Non-Claims Spending]],TM[[#All],[Reporting Year]],2024,TM[[#All],[Insurance Category Code]],8,TM[[#All],[Large Provider Entity Code]],A260)/C260,"NA")</f>
        <v>NA</v>
      </c>
      <c r="F260" s="7" t="str">
        <f>IFERROR(SUMIFS(TM[[#All],[Total Non-Truncated Claims and Non-Claims Spending]],TM[[#All],[Reporting Year]],2024,TM[[#All],[Insurance Category Code]],8,TM[[#All],[Large Provider Entity Code]],A260)/C260,"NA")</f>
        <v>NA</v>
      </c>
      <c r="G260" s="7" t="str">
        <f>IFERROR(SUMIFS(TM[[#All],[Total Truncated Claims Spending]],TM[[#All],[Reporting Year]],2024,TM[[#All],[Insurance Category Code]],8,TM[[#All],[Large Provider Entity Code]],A260)/C260,"NA")</f>
        <v>NA</v>
      </c>
      <c r="H260" s="196" t="str">
        <f>IFERROR(SUMIFS(TM[[#All],[Total Truncated Expenses]],TM[[#All],[Reporting Year]],2024,TM[[#All],[Insurance Category Code]],8,TM[[#All],[Large Provider Entity Code]],A260)/C260,"NA")</f>
        <v>NA</v>
      </c>
      <c r="I260" s="89">
        <f>SUMIFS(TM[[#All],[Member Months]],TM[[#All],[Reporting Year]],2025,TM[[#All],[Insurance Category Code]],8,TM[[#All],[Large Provider Entity Code]],A260)</f>
        <v>0</v>
      </c>
      <c r="J260" s="7" t="str">
        <f>IFERROR(SUMIFS(TM[[#All],[Total Non-Truncated Claims Spending]],TM[[#All],[Reporting Year]],2025,TM[[#All],[Insurance Category Code]],8,TM[[#All],[Large Provider Entity Code]],A260)/I260,"NA")</f>
        <v>NA</v>
      </c>
      <c r="K260" s="7" t="str">
        <f>IFERROR(SUMIFS(TM[[#All],[Total Non-Claims Spending]],TM[[#All],[Reporting Year]],2025,TM[[#All],[Insurance Category Code]],8,TM[[#All],[Large Provider Entity Code]],A260)/I260,"NA")</f>
        <v>NA</v>
      </c>
      <c r="L260" s="7" t="str">
        <f>IFERROR(SUMIFS(TM[[#All],[Total Non-Truncated Claims and Non-Claims Spending]],TM[[#All],[Reporting Year]],2025,TM[[#All],[Insurance Category Code]],8,TM[[#All],[Large Provider Entity Code]],A260)/I260,"NA")</f>
        <v>NA</v>
      </c>
      <c r="M260" s="7" t="str">
        <f>IFERROR(SUMIFS(TM[[#All],[Total Truncated Claims Spending]],TM[[#All],[Reporting Year]],2025,TM[[#All],[Insurance Category Code]],8,TM[[#All],[Large Provider Entity Code]],A260)/I260,"NA")</f>
        <v>NA</v>
      </c>
      <c r="N260" s="90" t="str">
        <f>IFERROR(SUMIFS(TM[[#All],[Total Truncated Expenses]],TM[[#All],[Reporting Year]],2025,TM[[#All],[Insurance Category Code]],8,TM[[#All],[Large Provider Entity Code]],A260)/I260,"NA")</f>
        <v>NA</v>
      </c>
      <c r="O260" s="169" t="str">
        <f t="shared" si="150"/>
        <v>No</v>
      </c>
      <c r="P260" s="231" t="str">
        <f t="shared" si="149"/>
        <v>NA</v>
      </c>
      <c r="Q260" s="91" t="str">
        <f t="shared" si="149"/>
        <v>NA</v>
      </c>
      <c r="R260" s="91" t="str">
        <f t="shared" si="149"/>
        <v>NA</v>
      </c>
      <c r="S260" s="91" t="str">
        <f t="shared" si="149"/>
        <v>NA</v>
      </c>
      <c r="T260" s="91" t="str">
        <f t="shared" si="149"/>
        <v>NA</v>
      </c>
      <c r="U260" s="91" t="str">
        <f t="shared" si="149"/>
        <v>NA</v>
      </c>
    </row>
    <row r="261" spans="1:21" ht="33.6" x14ac:dyDescent="0.4">
      <c r="A261" s="210">
        <v>115</v>
      </c>
      <c r="B261" s="526" t="s">
        <v>612</v>
      </c>
      <c r="C261" s="8">
        <f>SUMIFS(TM[[#All],[Member Months]],TM[[#All],[Reporting Year]],2024,TM[[#All],[Insurance Category Code]],8,TM[[#All],[Large Provider Entity Code]],A261)</f>
        <v>0</v>
      </c>
      <c r="D261" s="7" t="str">
        <f>IFERROR(SUMIFS(TM[[#All],[Total Non-Truncated Claims Spending]],TM[[#All],[Reporting Year]],2024,TM[[#All],[Insurance Category Code]],8,TM[[#All],[Large Provider Entity Code]],A261)/C261,"NA")</f>
        <v>NA</v>
      </c>
      <c r="E261" s="7" t="str">
        <f>IFERROR(SUMIFS(TM[[#All],[Total Non-Claims Spending]],TM[[#All],[Reporting Year]],2024,TM[[#All],[Insurance Category Code]],8,TM[[#All],[Large Provider Entity Code]],A261)/C261,"NA")</f>
        <v>NA</v>
      </c>
      <c r="F261" s="7" t="str">
        <f>IFERROR(SUMIFS(TM[[#All],[Total Non-Truncated Claims and Non-Claims Spending]],TM[[#All],[Reporting Year]],2024,TM[[#All],[Insurance Category Code]],8,TM[[#All],[Large Provider Entity Code]],A261)/C261,"NA")</f>
        <v>NA</v>
      </c>
      <c r="G261" s="7" t="str">
        <f>IFERROR(SUMIFS(TM[[#All],[Total Truncated Claims Spending]],TM[[#All],[Reporting Year]],2024,TM[[#All],[Insurance Category Code]],8,TM[[#All],[Large Provider Entity Code]],A261)/C261,"NA")</f>
        <v>NA</v>
      </c>
      <c r="H261" s="196" t="str">
        <f>IFERROR(SUMIFS(TM[[#All],[Total Truncated Expenses]],TM[[#All],[Reporting Year]],2024,TM[[#All],[Insurance Category Code]],8,TM[[#All],[Large Provider Entity Code]],A261)/C261,"NA")</f>
        <v>NA</v>
      </c>
      <c r="I261" s="89">
        <f>SUMIFS(TM[[#All],[Member Months]],TM[[#All],[Reporting Year]],2025,TM[[#All],[Insurance Category Code]],8,TM[[#All],[Large Provider Entity Code]],A261)</f>
        <v>0</v>
      </c>
      <c r="J261" s="7" t="str">
        <f>IFERROR(SUMIFS(TM[[#All],[Total Non-Truncated Claims Spending]],TM[[#All],[Reporting Year]],2025,TM[[#All],[Insurance Category Code]],8,TM[[#All],[Large Provider Entity Code]],A261)/I261,"NA")</f>
        <v>NA</v>
      </c>
      <c r="K261" s="7" t="str">
        <f>IFERROR(SUMIFS(TM[[#All],[Total Non-Claims Spending]],TM[[#All],[Reporting Year]],2025,TM[[#All],[Insurance Category Code]],8,TM[[#All],[Large Provider Entity Code]],A261)/I261,"NA")</f>
        <v>NA</v>
      </c>
      <c r="L261" s="7" t="str">
        <f>IFERROR(SUMIFS(TM[[#All],[Total Non-Truncated Claims and Non-Claims Spending]],TM[[#All],[Reporting Year]],2025,TM[[#All],[Insurance Category Code]],8,TM[[#All],[Large Provider Entity Code]],A261)/I261,"NA")</f>
        <v>NA</v>
      </c>
      <c r="M261" s="7" t="str">
        <f>IFERROR(SUMIFS(TM[[#All],[Total Truncated Claims Spending]],TM[[#All],[Reporting Year]],2025,TM[[#All],[Insurance Category Code]],8,TM[[#All],[Large Provider Entity Code]],A261)/I261,"NA")</f>
        <v>NA</v>
      </c>
      <c r="N261" s="90" t="str">
        <f>IFERROR(SUMIFS(TM[[#All],[Total Truncated Expenses]],TM[[#All],[Reporting Year]],2025,TM[[#All],[Insurance Category Code]],8,TM[[#All],[Large Provider Entity Code]],A261)/I261,"NA")</f>
        <v>NA</v>
      </c>
      <c r="O261" s="169" t="str">
        <f t="shared" si="150"/>
        <v>No</v>
      </c>
      <c r="P261" s="231" t="str">
        <f t="shared" si="149"/>
        <v>NA</v>
      </c>
      <c r="Q261" s="91" t="str">
        <f t="shared" si="149"/>
        <v>NA</v>
      </c>
      <c r="R261" s="91" t="str">
        <f t="shared" si="149"/>
        <v>NA</v>
      </c>
      <c r="S261" s="91" t="str">
        <f t="shared" si="149"/>
        <v>NA</v>
      </c>
      <c r="T261" s="91" t="str">
        <f t="shared" si="149"/>
        <v>NA</v>
      </c>
      <c r="U261" s="91" t="str">
        <f t="shared" si="149"/>
        <v>NA</v>
      </c>
    </row>
    <row r="262" spans="1:21" x14ac:dyDescent="0.4">
      <c r="A262" s="210">
        <v>116</v>
      </c>
      <c r="B262" s="526" t="s">
        <v>564</v>
      </c>
      <c r="C262" s="8">
        <f>SUMIFS(TM[[#All],[Member Months]],TM[[#All],[Reporting Year]],2024,TM[[#All],[Insurance Category Code]],8,TM[[#All],[Large Provider Entity Code]],A262)</f>
        <v>0</v>
      </c>
      <c r="D262" s="7" t="str">
        <f>IFERROR(SUMIFS(TM[[#All],[Total Non-Truncated Claims Spending]],TM[[#All],[Reporting Year]],2024,TM[[#All],[Insurance Category Code]],8,TM[[#All],[Large Provider Entity Code]],A262)/C262,"NA")</f>
        <v>NA</v>
      </c>
      <c r="E262" s="7" t="str">
        <f>IFERROR(SUMIFS(TM[[#All],[Total Non-Claims Spending]],TM[[#All],[Reporting Year]],2024,TM[[#All],[Insurance Category Code]],8,TM[[#All],[Large Provider Entity Code]],A262)/C262,"NA")</f>
        <v>NA</v>
      </c>
      <c r="F262" s="7" t="str">
        <f>IFERROR(SUMIFS(TM[[#All],[Total Non-Truncated Claims and Non-Claims Spending]],TM[[#All],[Reporting Year]],2024,TM[[#All],[Insurance Category Code]],8,TM[[#All],[Large Provider Entity Code]],A262)/C262,"NA")</f>
        <v>NA</v>
      </c>
      <c r="G262" s="7" t="str">
        <f>IFERROR(SUMIFS(TM[[#All],[Total Truncated Claims Spending]],TM[[#All],[Reporting Year]],2024,TM[[#All],[Insurance Category Code]],8,TM[[#All],[Large Provider Entity Code]],A262)/C262,"NA")</f>
        <v>NA</v>
      </c>
      <c r="H262" s="196" t="str">
        <f>IFERROR(SUMIFS(TM[[#All],[Total Truncated Expenses]],TM[[#All],[Reporting Year]],2024,TM[[#All],[Insurance Category Code]],8,TM[[#All],[Large Provider Entity Code]],A262)/C262,"NA")</f>
        <v>NA</v>
      </c>
      <c r="I262" s="89">
        <f>SUMIFS(TM[[#All],[Member Months]],TM[[#All],[Reporting Year]],2025,TM[[#All],[Insurance Category Code]],8,TM[[#All],[Large Provider Entity Code]],A262)</f>
        <v>0</v>
      </c>
      <c r="J262" s="7" t="str">
        <f>IFERROR(SUMIFS(TM[[#All],[Total Non-Truncated Claims Spending]],TM[[#All],[Reporting Year]],2025,TM[[#All],[Insurance Category Code]],8,TM[[#All],[Large Provider Entity Code]],A262)/I262,"NA")</f>
        <v>NA</v>
      </c>
      <c r="K262" s="7" t="str">
        <f>IFERROR(SUMIFS(TM[[#All],[Total Non-Claims Spending]],TM[[#All],[Reporting Year]],2025,TM[[#All],[Insurance Category Code]],8,TM[[#All],[Large Provider Entity Code]],A262)/I262,"NA")</f>
        <v>NA</v>
      </c>
      <c r="L262" s="7" t="str">
        <f>IFERROR(SUMIFS(TM[[#All],[Total Non-Truncated Claims and Non-Claims Spending]],TM[[#All],[Reporting Year]],2025,TM[[#All],[Insurance Category Code]],8,TM[[#All],[Large Provider Entity Code]],A262)/I262,"NA")</f>
        <v>NA</v>
      </c>
      <c r="M262" s="7" t="str">
        <f>IFERROR(SUMIFS(TM[[#All],[Total Truncated Claims Spending]],TM[[#All],[Reporting Year]],2025,TM[[#All],[Insurance Category Code]],8,TM[[#All],[Large Provider Entity Code]],A262)/I262,"NA")</f>
        <v>NA</v>
      </c>
      <c r="N262" s="90" t="str">
        <f>IFERROR(SUMIFS(TM[[#All],[Total Truncated Expenses]],TM[[#All],[Reporting Year]],2025,TM[[#All],[Insurance Category Code]],8,TM[[#All],[Large Provider Entity Code]],A262)/I262,"NA")</f>
        <v>NA</v>
      </c>
      <c r="O262" s="169" t="str">
        <f t="shared" si="150"/>
        <v>No</v>
      </c>
      <c r="P262" s="231" t="str">
        <f t="shared" si="149"/>
        <v>NA</v>
      </c>
      <c r="Q262" s="91" t="str">
        <f t="shared" si="149"/>
        <v>NA</v>
      </c>
      <c r="R262" s="91" t="str">
        <f t="shared" si="149"/>
        <v>NA</v>
      </c>
      <c r="S262" s="91" t="str">
        <f t="shared" si="149"/>
        <v>NA</v>
      </c>
      <c r="T262" s="91" t="str">
        <f t="shared" si="149"/>
        <v>NA</v>
      </c>
      <c r="U262" s="91" t="str">
        <f t="shared" si="149"/>
        <v>NA</v>
      </c>
    </row>
    <row r="263" spans="1:21" x14ac:dyDescent="0.4">
      <c r="A263" s="210">
        <v>118</v>
      </c>
      <c r="B263" s="526" t="s">
        <v>70</v>
      </c>
      <c r="C263" s="8">
        <f>SUMIFS(TM[[#All],[Member Months]],TM[[#All],[Reporting Year]],2024,TM[[#All],[Insurance Category Code]],8,TM[[#All],[Large Provider Entity Code]],A263)</f>
        <v>0</v>
      </c>
      <c r="D263" s="7" t="str">
        <f>IFERROR(SUMIFS(TM[[#All],[Total Non-Truncated Claims Spending]],TM[[#All],[Reporting Year]],2024,TM[[#All],[Insurance Category Code]],8,TM[[#All],[Large Provider Entity Code]],A263)/C263,"NA")</f>
        <v>NA</v>
      </c>
      <c r="E263" s="7" t="str">
        <f>IFERROR(SUMIFS(TM[[#All],[Total Non-Claims Spending]],TM[[#All],[Reporting Year]],2024,TM[[#All],[Insurance Category Code]],8,TM[[#All],[Large Provider Entity Code]],A263)/C263,"NA")</f>
        <v>NA</v>
      </c>
      <c r="F263" s="7" t="str">
        <f>IFERROR(SUMIFS(TM[[#All],[Total Non-Truncated Claims and Non-Claims Spending]],TM[[#All],[Reporting Year]],2024,TM[[#All],[Insurance Category Code]],8,TM[[#All],[Large Provider Entity Code]],A263)/C263,"NA")</f>
        <v>NA</v>
      </c>
      <c r="G263" s="7" t="str">
        <f>IFERROR(SUMIFS(TM[[#All],[Total Truncated Claims Spending]],TM[[#All],[Reporting Year]],2024,TM[[#All],[Insurance Category Code]],8,TM[[#All],[Large Provider Entity Code]],A263)/C263,"NA")</f>
        <v>NA</v>
      </c>
      <c r="H263" s="196" t="str">
        <f>IFERROR(SUMIFS(TM[[#All],[Total Truncated Expenses]],TM[[#All],[Reporting Year]],2024,TM[[#All],[Insurance Category Code]],8,TM[[#All],[Large Provider Entity Code]],A263)/C263,"NA")</f>
        <v>NA</v>
      </c>
      <c r="I263" s="89">
        <f>SUMIFS(TM[[#All],[Member Months]],TM[[#All],[Reporting Year]],2025,TM[[#All],[Insurance Category Code]],8,TM[[#All],[Large Provider Entity Code]],A263)</f>
        <v>0</v>
      </c>
      <c r="J263" s="7" t="str">
        <f>IFERROR(SUMIFS(TM[[#All],[Total Non-Truncated Claims Spending]],TM[[#All],[Reporting Year]],2025,TM[[#All],[Insurance Category Code]],8,TM[[#All],[Large Provider Entity Code]],A263)/I263,"NA")</f>
        <v>NA</v>
      </c>
      <c r="K263" s="7" t="str">
        <f>IFERROR(SUMIFS(TM[[#All],[Total Non-Claims Spending]],TM[[#All],[Reporting Year]],2025,TM[[#All],[Insurance Category Code]],8,TM[[#All],[Large Provider Entity Code]],A263)/I263,"NA")</f>
        <v>NA</v>
      </c>
      <c r="L263" s="7" t="str">
        <f>IFERROR(SUMIFS(TM[[#All],[Total Non-Truncated Claims and Non-Claims Spending]],TM[[#All],[Reporting Year]],2025,TM[[#All],[Insurance Category Code]],8,TM[[#All],[Large Provider Entity Code]],A263)/I263,"NA")</f>
        <v>NA</v>
      </c>
      <c r="M263" s="7" t="str">
        <f>IFERROR(SUMIFS(TM[[#All],[Total Truncated Claims Spending]],TM[[#All],[Reporting Year]],2025,TM[[#All],[Insurance Category Code]],8,TM[[#All],[Large Provider Entity Code]],A263)/I263,"NA")</f>
        <v>NA</v>
      </c>
      <c r="N263" s="90" t="str">
        <f>IFERROR(SUMIFS(TM[[#All],[Total Truncated Expenses]],TM[[#All],[Reporting Year]],2025,TM[[#All],[Insurance Category Code]],8,TM[[#All],[Large Provider Entity Code]],A263)/I263,"NA")</f>
        <v>NA</v>
      </c>
      <c r="O263" s="169" t="str">
        <f>IFERROR(IF(AND(C263&gt;12000,I263&gt;12000),"Yes","No"),"NA")</f>
        <v>No</v>
      </c>
      <c r="P263" s="231" t="str">
        <f t="shared" si="149"/>
        <v>NA</v>
      </c>
      <c r="Q263" s="91" t="str">
        <f t="shared" si="149"/>
        <v>NA</v>
      </c>
      <c r="R263" s="91" t="str">
        <f t="shared" si="149"/>
        <v>NA</v>
      </c>
      <c r="S263" s="91" t="str">
        <f t="shared" si="149"/>
        <v>NA</v>
      </c>
      <c r="T263" s="91" t="str">
        <f t="shared" si="149"/>
        <v>NA</v>
      </c>
      <c r="U263" s="91" t="str">
        <f t="shared" si="149"/>
        <v>NA</v>
      </c>
    </row>
    <row r="264" spans="1:21" x14ac:dyDescent="0.4">
      <c r="A264" s="210">
        <v>120</v>
      </c>
      <c r="B264" s="526" t="s">
        <v>561</v>
      </c>
      <c r="C264" s="89">
        <f>SUMIFS(TM[[#All],[Member Months]],TM[[#All],[Reporting Year]],2024,TM[[#All],[Insurance Category Code]],8,TM[[#All],[Large Provider Entity Code]],A264)</f>
        <v>0</v>
      </c>
      <c r="D264" s="7" t="str">
        <f>IFERROR(SUMIFS(TM[[#All],[Total Non-Truncated Claims Spending]],TM[[#All],[Reporting Year]],2024,TM[[#All],[Insurance Category Code]],8,TM[[#All],[Large Provider Entity Code]],A264)/C264,"NA")</f>
        <v>NA</v>
      </c>
      <c r="E264" s="7" t="str">
        <f>IFERROR(SUMIFS(TM[[#All],[Total Non-Claims Spending]],TM[[#All],[Reporting Year]],2024,TM[[#All],[Insurance Category Code]],8,TM[[#All],[Large Provider Entity Code]],A264)/C264,"NA")</f>
        <v>NA</v>
      </c>
      <c r="F264" s="7" t="str">
        <f>IFERROR(SUMIFS(TM[[#All],[Total Non-Truncated Claims and Non-Claims Spending]],TM[[#All],[Reporting Year]],2024,TM[[#All],[Insurance Category Code]],8,TM[[#All],[Large Provider Entity Code]],A264)/C264,"NA")</f>
        <v>NA</v>
      </c>
      <c r="G264" s="7" t="str">
        <f>IFERROR(SUMIFS(TM[[#All],[Total Truncated Claims Spending]],TM[[#All],[Reporting Year]],2024,TM[[#All],[Insurance Category Code]],8,TM[[#All],[Large Provider Entity Code]],A264)/C264,"NA")</f>
        <v>NA</v>
      </c>
      <c r="H264" s="196" t="str">
        <f>IFERROR(SUMIFS(TM[[#All],[Total Truncated Expenses]],TM[[#All],[Reporting Year]],2024,TM[[#All],[Insurance Category Code]],8,TM[[#All],[Large Provider Entity Code]],A264)/C264,"NA")</f>
        <v>NA</v>
      </c>
      <c r="I264" s="89">
        <f>SUMIFS(TM[[#All],[Member Months]],TM[[#All],[Reporting Year]],2025,TM[[#All],[Insurance Category Code]],8,TM[[#All],[Large Provider Entity Code]],A264)</f>
        <v>0</v>
      </c>
      <c r="J264" s="7" t="str">
        <f>IFERROR(SUMIFS(TM[[#All],[Total Non-Truncated Claims Spending]],TM[[#All],[Reporting Year]],2025,TM[[#All],[Insurance Category Code]],8,TM[[#All],[Large Provider Entity Code]],A264)/I264,"NA")</f>
        <v>NA</v>
      </c>
      <c r="K264" s="7" t="str">
        <f>IFERROR(SUMIFS(TM[[#All],[Total Non-Claims Spending]],TM[[#All],[Reporting Year]],2025,TM[[#All],[Insurance Category Code]],8,TM[[#All],[Large Provider Entity Code]],A264)/I264,"NA")</f>
        <v>NA</v>
      </c>
      <c r="L264" s="7" t="str">
        <f>IFERROR(SUMIFS(TM[[#All],[Total Non-Truncated Claims and Non-Claims Spending]],TM[[#All],[Reporting Year]],2025,TM[[#All],[Insurance Category Code]],8,TM[[#All],[Large Provider Entity Code]],A264)/I264,"NA")</f>
        <v>NA</v>
      </c>
      <c r="M264" s="7" t="str">
        <f>IFERROR(SUMIFS(TM[[#All],[Total Truncated Claims Spending]],TM[[#All],[Reporting Year]],2025,TM[[#All],[Insurance Category Code]],8,TM[[#All],[Large Provider Entity Code]],A264)/I264,"NA")</f>
        <v>NA</v>
      </c>
      <c r="N264" s="90" t="str">
        <f>IFERROR(SUMIFS(TM[[#All],[Total Truncated Expenses]],TM[[#All],[Reporting Year]],2025,TM[[#All],[Insurance Category Code]],8,TM[[#All],[Large Provider Entity Code]],A264)/I264,"NA")</f>
        <v>NA</v>
      </c>
      <c r="O264" s="169" t="str">
        <f t="shared" si="150"/>
        <v>No</v>
      </c>
      <c r="P264" s="231" t="str">
        <f t="shared" si="149"/>
        <v>NA</v>
      </c>
      <c r="Q264" s="91" t="str">
        <f>IFERROR((J264/D264-1),"NA")</f>
        <v>NA</v>
      </c>
      <c r="R264" s="91" t="str">
        <f t="shared" si="149"/>
        <v>NA</v>
      </c>
      <c r="S264" s="91" t="str">
        <f t="shared" si="149"/>
        <v>NA</v>
      </c>
      <c r="T264" s="91" t="str">
        <f t="shared" si="149"/>
        <v>NA</v>
      </c>
      <c r="U264" s="91" t="str">
        <f t="shared" si="149"/>
        <v>NA</v>
      </c>
    </row>
    <row r="265" spans="1:21" ht="33.6" x14ac:dyDescent="0.4">
      <c r="A265" s="210">
        <v>121</v>
      </c>
      <c r="B265" s="526" t="s">
        <v>565</v>
      </c>
      <c r="C265" s="89">
        <f>SUMIFS(TM[[#All],[Member Months]],TM[[#All],[Reporting Year]],2024,TM[[#All],[Insurance Category Code]],8,TM[[#All],[Large Provider Entity Code]],A265)</f>
        <v>0</v>
      </c>
      <c r="D265" s="7" t="str">
        <f>IFERROR(SUMIFS(TM[[#All],[Total Non-Truncated Claims Spending]],TM[[#All],[Reporting Year]],2024,TM[[#All],[Insurance Category Code]],8,TM[[#All],[Large Provider Entity Code]],A265)/C265,"NA")</f>
        <v>NA</v>
      </c>
      <c r="E265" s="7" t="str">
        <f>IFERROR(SUMIFS(TM[[#All],[Total Non-Claims Spending]],TM[[#All],[Reporting Year]],2024,TM[[#All],[Insurance Category Code]],8,TM[[#All],[Large Provider Entity Code]],A265)/C265,"NA")</f>
        <v>NA</v>
      </c>
      <c r="F265" s="7" t="str">
        <f>IFERROR(SUMIFS(TM[[#All],[Total Non-Truncated Claims and Non-Claims Spending]],TM[[#All],[Reporting Year]],2024,TM[[#All],[Insurance Category Code]],8,TM[[#All],[Large Provider Entity Code]],A265)/C265,"NA")</f>
        <v>NA</v>
      </c>
      <c r="G265" s="7" t="str">
        <f>IFERROR(SUMIFS(TM[[#All],[Total Truncated Claims Spending]],TM[[#All],[Reporting Year]],2024,TM[[#All],[Insurance Category Code]],8,TM[[#All],[Large Provider Entity Code]],A265)/C265,"NA")</f>
        <v>NA</v>
      </c>
      <c r="H265" s="196" t="str">
        <f>IFERROR(SUMIFS(TM[[#All],[Total Truncated Expenses]],TM[[#All],[Reporting Year]],2024,TM[[#All],[Insurance Category Code]],8,TM[[#All],[Large Provider Entity Code]],A265)/C265,"NA")</f>
        <v>NA</v>
      </c>
      <c r="I265" s="89">
        <f>SUMIFS(TM[[#All],[Member Months]],TM[[#All],[Reporting Year]],2025,TM[[#All],[Insurance Category Code]],8,TM[[#All],[Large Provider Entity Code]],A265)</f>
        <v>0</v>
      </c>
      <c r="J265" s="7" t="str">
        <f>IFERROR(SUMIFS(TM[[#All],[Total Non-Truncated Claims Spending]],TM[[#All],[Reporting Year]],2025,TM[[#All],[Insurance Category Code]],8,TM[[#All],[Large Provider Entity Code]],A265)/I265,"NA")</f>
        <v>NA</v>
      </c>
      <c r="K265" s="7" t="str">
        <f>IFERROR(SUMIFS(TM[[#All],[Total Non-Claims Spending]],TM[[#All],[Reporting Year]],2025,TM[[#All],[Insurance Category Code]],8,TM[[#All],[Large Provider Entity Code]],A265)/I265,"NA")</f>
        <v>NA</v>
      </c>
      <c r="L265" s="7" t="str">
        <f>IFERROR(SUMIFS(TM[[#All],[Total Non-Truncated Claims and Non-Claims Spending]],TM[[#All],[Reporting Year]],2025,TM[[#All],[Insurance Category Code]],8,TM[[#All],[Large Provider Entity Code]],A265)/I265,"NA")</f>
        <v>NA</v>
      </c>
      <c r="M265" s="7" t="str">
        <f>IFERROR(SUMIFS(TM[[#All],[Total Truncated Claims Spending]],TM[[#All],[Reporting Year]],2025,TM[[#All],[Insurance Category Code]],8,TM[[#All],[Large Provider Entity Code]],A265)/I265,"NA")</f>
        <v>NA</v>
      </c>
      <c r="N265" s="90" t="str">
        <f>IFERROR(SUMIFS(TM[[#All],[Total Truncated Expenses]],TM[[#All],[Reporting Year]],2025,TM[[#All],[Insurance Category Code]],8,TM[[#All],[Large Provider Entity Code]],A265)/I265,"NA")</f>
        <v>NA</v>
      </c>
      <c r="O265" s="169" t="str">
        <f t="shared" si="150"/>
        <v>No</v>
      </c>
      <c r="P265" s="231" t="str">
        <f t="shared" si="149"/>
        <v>NA</v>
      </c>
      <c r="Q265" s="91" t="str">
        <f t="shared" si="149"/>
        <v>NA</v>
      </c>
      <c r="R265" s="91" t="str">
        <f t="shared" si="149"/>
        <v>NA</v>
      </c>
      <c r="S265" s="91" t="str">
        <f t="shared" si="149"/>
        <v>NA</v>
      </c>
      <c r="T265" s="91" t="str">
        <f t="shared" si="149"/>
        <v>NA</v>
      </c>
      <c r="U265" s="91" t="str">
        <f t="shared" si="149"/>
        <v>NA</v>
      </c>
    </row>
    <row r="266" spans="1:21" ht="33.6" x14ac:dyDescent="0.4">
      <c r="A266" s="210">
        <v>122</v>
      </c>
      <c r="B266" s="525" t="s">
        <v>647</v>
      </c>
      <c r="C266" s="89">
        <f>SUMIFS(TM[[#All],[Member Months]],TM[[#All],[Reporting Year]],2024,TM[[#All],[Insurance Category Code]],8,TM[[#All],[Large Provider Entity Code]],A266)</f>
        <v>0</v>
      </c>
      <c r="D266" s="7" t="str">
        <f>IFERROR(SUMIFS(TM[[#All],[Total Non-Truncated Claims Spending]],TM[[#All],[Reporting Year]],2024,TM[[#All],[Insurance Category Code]],8,TM[[#All],[Large Provider Entity Code]],A266)/C266,"NA")</f>
        <v>NA</v>
      </c>
      <c r="E266" s="7" t="str">
        <f>IFERROR(SUMIFS(TM[[#All],[Total Non-Claims Spending]],TM[[#All],[Reporting Year]],2024,TM[[#All],[Insurance Category Code]],8,TM[[#All],[Large Provider Entity Code]],A266)/C266,"NA")</f>
        <v>NA</v>
      </c>
      <c r="F266" s="7" t="str">
        <f>IFERROR(SUMIFS(TM[[#All],[Total Non-Truncated Claims and Non-Claims Spending]],TM[[#All],[Reporting Year]],2024,TM[[#All],[Insurance Category Code]],8,TM[[#All],[Large Provider Entity Code]],A266)/C266,"NA")</f>
        <v>NA</v>
      </c>
      <c r="G266" s="7" t="str">
        <f>IFERROR(SUMIFS(TM[[#All],[Total Truncated Claims Spending]],TM[[#All],[Reporting Year]],2024,TM[[#All],[Insurance Category Code]],8,TM[[#All],[Large Provider Entity Code]],A266)/C266,"NA")</f>
        <v>NA</v>
      </c>
      <c r="H266" s="196" t="str">
        <f>IFERROR(SUMIFS(TM[[#All],[Total Truncated Expenses]],TM[[#All],[Reporting Year]],2024,TM[[#All],[Insurance Category Code]],8,TM[[#All],[Large Provider Entity Code]],A266)/C266,"NA")</f>
        <v>NA</v>
      </c>
      <c r="I266" s="89">
        <f>SUMIFS(TM[[#All],[Member Months]],TM[[#All],[Reporting Year]],2025,TM[[#All],[Insurance Category Code]],8,TM[[#All],[Large Provider Entity Code]],A266)</f>
        <v>0</v>
      </c>
      <c r="J266" s="7" t="str">
        <f>IFERROR(SUMIFS(TM[[#All],[Total Non-Truncated Claims Spending]],TM[[#All],[Reporting Year]],2025,TM[[#All],[Insurance Category Code]],8,TM[[#All],[Large Provider Entity Code]],A266)/I266,"NA")</f>
        <v>NA</v>
      </c>
      <c r="K266" s="7" t="str">
        <f>IFERROR(SUMIFS(TM[[#All],[Total Non-Claims Spending]],TM[[#All],[Reporting Year]],2025,TM[[#All],[Insurance Category Code]],8,TM[[#All],[Large Provider Entity Code]],A266)/I266,"NA")</f>
        <v>NA</v>
      </c>
      <c r="L266" s="7" t="str">
        <f>IFERROR(SUMIFS(TM[[#All],[Total Non-Truncated Claims and Non-Claims Spending]],TM[[#All],[Reporting Year]],2025,TM[[#All],[Insurance Category Code]],8,TM[[#All],[Large Provider Entity Code]],A266)/I266,"NA")</f>
        <v>NA</v>
      </c>
      <c r="M266" s="7" t="str">
        <f>IFERROR(SUMIFS(TM[[#All],[Total Truncated Claims Spending]],TM[[#All],[Reporting Year]],2025,TM[[#All],[Insurance Category Code]],8,TM[[#All],[Large Provider Entity Code]],A266)/I266,"NA")</f>
        <v>NA</v>
      </c>
      <c r="N266" s="90" t="str">
        <f>IFERROR(SUMIFS(TM[[#All],[Total Truncated Expenses]],TM[[#All],[Reporting Year]],2025,TM[[#All],[Insurance Category Code]],8,TM[[#All],[Large Provider Entity Code]],A266)/I266,"NA")</f>
        <v>NA</v>
      </c>
      <c r="O266" s="169" t="str">
        <f t="shared" si="150"/>
        <v>No</v>
      </c>
      <c r="P266" s="231" t="str">
        <f t="shared" si="149"/>
        <v>NA</v>
      </c>
      <c r="Q266" s="91" t="str">
        <f t="shared" si="149"/>
        <v>NA</v>
      </c>
      <c r="R266" s="91" t="str">
        <f t="shared" si="149"/>
        <v>NA</v>
      </c>
      <c r="S266" s="91" t="str">
        <f t="shared" si="149"/>
        <v>NA</v>
      </c>
      <c r="T266" s="91" t="str">
        <f t="shared" si="149"/>
        <v>NA</v>
      </c>
      <c r="U266" s="91" t="str">
        <f t="shared" si="149"/>
        <v>NA</v>
      </c>
    </row>
    <row r="267" spans="1:21" ht="33.6" x14ac:dyDescent="0.4">
      <c r="A267" s="210">
        <v>123</v>
      </c>
      <c r="B267" s="525" t="s">
        <v>614</v>
      </c>
      <c r="C267" s="89">
        <f>SUMIFS(TM[[#All],[Member Months]],TM[[#All],[Reporting Year]],2024,TM[[#All],[Insurance Category Code]],8,TM[[#All],[Large Provider Entity Code]],A267)</f>
        <v>0</v>
      </c>
      <c r="D267" s="7" t="str">
        <f>IFERROR(SUMIFS(TM[[#All],[Total Non-Truncated Claims Spending]],TM[[#All],[Reporting Year]],2024,TM[[#All],[Insurance Category Code]],8,TM[[#All],[Large Provider Entity Code]],A267)/C267,"NA")</f>
        <v>NA</v>
      </c>
      <c r="E267" s="7" t="str">
        <f>IFERROR(SUMIFS(TM[[#All],[Total Non-Claims Spending]],TM[[#All],[Reporting Year]],2024,TM[[#All],[Insurance Category Code]],8,TM[[#All],[Large Provider Entity Code]],A267)/C267,"NA")</f>
        <v>NA</v>
      </c>
      <c r="F267" s="7" t="str">
        <f>IFERROR(SUMIFS(TM[[#All],[Total Non-Truncated Claims and Non-Claims Spending]],TM[[#All],[Reporting Year]],2024,TM[[#All],[Insurance Category Code]],8,TM[[#All],[Large Provider Entity Code]],A267)/C267,"NA")</f>
        <v>NA</v>
      </c>
      <c r="G267" s="7" t="str">
        <f>IFERROR(SUMIFS(TM[[#All],[Total Truncated Claims Spending]],TM[[#All],[Reporting Year]],2024,TM[[#All],[Insurance Category Code]],8,TM[[#All],[Large Provider Entity Code]],A267)/C267,"NA")</f>
        <v>NA</v>
      </c>
      <c r="H267" s="196" t="str">
        <f>IFERROR(SUMIFS(TM[[#All],[Total Truncated Expenses]],TM[[#All],[Reporting Year]],2024,TM[[#All],[Insurance Category Code]],8,TM[[#All],[Large Provider Entity Code]],A267)/C267,"NA")</f>
        <v>NA</v>
      </c>
      <c r="I267" s="89">
        <f>SUMIFS(TM[[#All],[Member Months]],TM[[#All],[Reporting Year]],2025,TM[[#All],[Insurance Category Code]],8,TM[[#All],[Large Provider Entity Code]],A267)</f>
        <v>0</v>
      </c>
      <c r="J267" s="7" t="str">
        <f>IFERROR(SUMIFS(TM[[#All],[Total Non-Truncated Claims Spending]],TM[[#All],[Reporting Year]],2025,TM[[#All],[Insurance Category Code]],8,TM[[#All],[Large Provider Entity Code]],A267)/I267,"NA")</f>
        <v>NA</v>
      </c>
      <c r="K267" s="7" t="str">
        <f>IFERROR(SUMIFS(TM[[#All],[Total Non-Claims Spending]],TM[[#All],[Reporting Year]],2025,TM[[#All],[Insurance Category Code]],8,TM[[#All],[Large Provider Entity Code]],A267)/I267,"NA")</f>
        <v>NA</v>
      </c>
      <c r="L267" s="7" t="str">
        <f>IFERROR(SUMIFS(TM[[#All],[Total Non-Truncated Claims and Non-Claims Spending]],TM[[#All],[Reporting Year]],2025,TM[[#All],[Insurance Category Code]],8,TM[[#All],[Large Provider Entity Code]],A267)/I267,"NA")</f>
        <v>NA</v>
      </c>
      <c r="M267" s="7" t="str">
        <f>IFERROR(SUMIFS(TM[[#All],[Total Truncated Claims Spending]],TM[[#All],[Reporting Year]],2025,TM[[#All],[Insurance Category Code]],8,TM[[#All],[Large Provider Entity Code]],A267)/I267,"NA")</f>
        <v>NA</v>
      </c>
      <c r="N267" s="90" t="str">
        <f>IFERROR(SUMIFS(TM[[#All],[Total Truncated Expenses]],TM[[#All],[Reporting Year]],2025,TM[[#All],[Insurance Category Code]],8,TM[[#All],[Large Provider Entity Code]],A267)/I267,"NA")</f>
        <v>NA</v>
      </c>
      <c r="O267" s="169" t="str">
        <f t="shared" si="150"/>
        <v>No</v>
      </c>
      <c r="P267" s="231" t="str">
        <f t="shared" ref="P267:P268" si="151">IFERROR((I267/C267-1),"NA")</f>
        <v>NA</v>
      </c>
      <c r="Q267" s="91" t="str">
        <f t="shared" ref="Q267:Q268" si="152">IFERROR((J267/D267-1),"NA")</f>
        <v>NA</v>
      </c>
      <c r="R267" s="91" t="str">
        <f t="shared" ref="R267:R268" si="153">IFERROR((K267/E267-1),"NA")</f>
        <v>NA</v>
      </c>
      <c r="S267" s="91" t="str">
        <f t="shared" ref="S267:S268" si="154">IFERROR((L267/F267-1),"NA")</f>
        <v>NA</v>
      </c>
      <c r="T267" s="91" t="str">
        <f t="shared" ref="T267:T268" si="155">IFERROR((M267/G267-1),"NA")</f>
        <v>NA</v>
      </c>
      <c r="U267" s="91" t="str">
        <f t="shared" ref="U267:U268" si="156">IFERROR((N267/H267-1),"NA")</f>
        <v>NA</v>
      </c>
    </row>
    <row r="268" spans="1:21" x14ac:dyDescent="0.4">
      <c r="A268" s="210">
        <v>124</v>
      </c>
      <c r="B268" s="525" t="s">
        <v>615</v>
      </c>
      <c r="C268" s="89">
        <f>SUMIFS(TM[[#All],[Member Months]],TM[[#All],[Reporting Year]],2024,TM[[#All],[Insurance Category Code]],8,TM[[#All],[Large Provider Entity Code]],A268)</f>
        <v>0</v>
      </c>
      <c r="D268" s="7" t="str">
        <f>IFERROR(SUMIFS(TM[[#All],[Total Non-Truncated Claims Spending]],TM[[#All],[Reporting Year]],2024,TM[[#All],[Insurance Category Code]],8,TM[[#All],[Large Provider Entity Code]],A268)/C268,"NA")</f>
        <v>NA</v>
      </c>
      <c r="E268" s="7" t="str">
        <f>IFERROR(SUMIFS(TM[[#All],[Total Non-Claims Spending]],TM[[#All],[Reporting Year]],2024,TM[[#All],[Insurance Category Code]],8,TM[[#All],[Large Provider Entity Code]],A268)/C268,"NA")</f>
        <v>NA</v>
      </c>
      <c r="F268" s="7" t="str">
        <f>IFERROR(SUMIFS(TM[[#All],[Total Non-Truncated Claims and Non-Claims Spending]],TM[[#All],[Reporting Year]],2024,TM[[#All],[Insurance Category Code]],8,TM[[#All],[Large Provider Entity Code]],A268)/C268,"NA")</f>
        <v>NA</v>
      </c>
      <c r="G268" s="7" t="str">
        <f>IFERROR(SUMIFS(TM[[#All],[Total Truncated Claims Spending]],TM[[#All],[Reporting Year]],2024,TM[[#All],[Insurance Category Code]],8,TM[[#All],[Large Provider Entity Code]],A268)/C268,"NA")</f>
        <v>NA</v>
      </c>
      <c r="H268" s="196" t="str">
        <f>IFERROR(SUMIFS(TM[[#All],[Total Truncated Expenses]],TM[[#All],[Reporting Year]],2024,TM[[#All],[Insurance Category Code]],8,TM[[#All],[Large Provider Entity Code]],A268)/C268,"NA")</f>
        <v>NA</v>
      </c>
      <c r="I268" s="89">
        <f>SUMIFS(TM[[#All],[Member Months]],TM[[#All],[Reporting Year]],2025,TM[[#All],[Insurance Category Code]],8,TM[[#All],[Large Provider Entity Code]],A268)</f>
        <v>0</v>
      </c>
      <c r="J268" s="7" t="str">
        <f>IFERROR(SUMIFS(TM[[#All],[Total Non-Truncated Claims Spending]],TM[[#All],[Reporting Year]],2025,TM[[#All],[Insurance Category Code]],8,TM[[#All],[Large Provider Entity Code]],A268)/I268,"NA")</f>
        <v>NA</v>
      </c>
      <c r="K268" s="7" t="str">
        <f>IFERROR(SUMIFS(TM[[#All],[Total Non-Claims Spending]],TM[[#All],[Reporting Year]],2025,TM[[#All],[Insurance Category Code]],8,TM[[#All],[Large Provider Entity Code]],A268)/I268,"NA")</f>
        <v>NA</v>
      </c>
      <c r="L268" s="7" t="str">
        <f>IFERROR(SUMIFS(TM[[#All],[Total Non-Truncated Claims and Non-Claims Spending]],TM[[#All],[Reporting Year]],2025,TM[[#All],[Insurance Category Code]],8,TM[[#All],[Large Provider Entity Code]],A268)/I268,"NA")</f>
        <v>NA</v>
      </c>
      <c r="M268" s="7" t="str">
        <f>IFERROR(SUMIFS(TM[[#All],[Total Truncated Claims Spending]],TM[[#All],[Reporting Year]],2025,TM[[#All],[Insurance Category Code]],8,TM[[#All],[Large Provider Entity Code]],A268)/I268,"NA")</f>
        <v>NA</v>
      </c>
      <c r="N268" s="90" t="str">
        <f>IFERROR(SUMIFS(TM[[#All],[Total Truncated Expenses]],TM[[#All],[Reporting Year]],2025,TM[[#All],[Insurance Category Code]],8,TM[[#All],[Large Provider Entity Code]],A268)/I268,"NA")</f>
        <v>NA</v>
      </c>
      <c r="O268" s="169" t="str">
        <f t="shared" si="150"/>
        <v>No</v>
      </c>
      <c r="P268" s="231" t="str">
        <f t="shared" si="151"/>
        <v>NA</v>
      </c>
      <c r="Q268" s="91" t="str">
        <f t="shared" si="152"/>
        <v>NA</v>
      </c>
      <c r="R268" s="91" t="str">
        <f t="shared" si="153"/>
        <v>NA</v>
      </c>
      <c r="S268" s="91" t="str">
        <f t="shared" si="154"/>
        <v>NA</v>
      </c>
      <c r="T268" s="91" t="str">
        <f t="shared" si="155"/>
        <v>NA</v>
      </c>
      <c r="U268" s="91" t="str">
        <f t="shared" si="156"/>
        <v>NA</v>
      </c>
    </row>
    <row r="269" spans="1:21" x14ac:dyDescent="0.4">
      <c r="A269" s="462">
        <v>125</v>
      </c>
      <c r="B269" s="525" t="s">
        <v>638</v>
      </c>
      <c r="C269" s="89">
        <f>SUMIFS(TM[[#All],[Member Months]],TM[[#All],[Reporting Year]],2024,TM[[#All],[Insurance Category Code]],8,TM[[#All],[Large Provider Entity Code]],A269)</f>
        <v>0</v>
      </c>
      <c r="D269" s="7" t="str">
        <f>IFERROR(SUMIFS(TM[[#All],[Total Non-Truncated Claims Spending]],TM[[#All],[Reporting Year]],2024,TM[[#All],[Insurance Category Code]],8,TM[[#All],[Large Provider Entity Code]],A269)/C269,"NA")</f>
        <v>NA</v>
      </c>
      <c r="E269" s="7" t="str">
        <f>IFERROR(SUMIFS(TM[[#All],[Total Non-Claims Spending]],TM[[#All],[Reporting Year]],2024,TM[[#All],[Insurance Category Code]],8,TM[[#All],[Large Provider Entity Code]],A269)/C269,"NA")</f>
        <v>NA</v>
      </c>
      <c r="F269" s="7" t="str">
        <f>IFERROR(SUMIFS(TM[[#All],[Total Non-Truncated Claims and Non-Claims Spending]],TM[[#All],[Reporting Year]],2024,TM[[#All],[Insurance Category Code]],8,TM[[#All],[Large Provider Entity Code]],A269)/C269,"NA")</f>
        <v>NA</v>
      </c>
      <c r="G269" s="7" t="str">
        <f>IFERROR(SUMIFS(TM[[#All],[Total Truncated Claims Spending]],TM[[#All],[Reporting Year]],2024,TM[[#All],[Insurance Category Code]],8,TM[[#All],[Large Provider Entity Code]],A269)/C269,"NA")</f>
        <v>NA</v>
      </c>
      <c r="H269" s="196" t="str">
        <f>IFERROR(SUMIFS(TM[[#All],[Total Truncated Expenses]],TM[[#All],[Reporting Year]],2024,TM[[#All],[Insurance Category Code]],8,TM[[#All],[Large Provider Entity Code]],A269)/C269,"NA")</f>
        <v>NA</v>
      </c>
      <c r="I269" s="89">
        <f>SUMIFS(TM[[#All],[Member Months]],TM[[#All],[Reporting Year]],2025,TM[[#All],[Insurance Category Code]],8,TM[[#All],[Large Provider Entity Code]],A269)</f>
        <v>0</v>
      </c>
      <c r="J269" s="7" t="str">
        <f>IFERROR(SUMIFS(TM[[#All],[Total Non-Truncated Claims Spending]],TM[[#All],[Reporting Year]],2025,TM[[#All],[Insurance Category Code]],8,TM[[#All],[Large Provider Entity Code]],A269)/I269,"NA")</f>
        <v>NA</v>
      </c>
      <c r="K269" s="7" t="str">
        <f>IFERROR(SUMIFS(TM[[#All],[Total Non-Claims Spending]],TM[[#All],[Reporting Year]],2025,TM[[#All],[Insurance Category Code]],8,TM[[#All],[Large Provider Entity Code]],A269)/I269,"NA")</f>
        <v>NA</v>
      </c>
      <c r="L269" s="7" t="str">
        <f>IFERROR(SUMIFS(TM[[#All],[Total Non-Truncated Claims and Non-Claims Spending]],TM[[#All],[Reporting Year]],2025,TM[[#All],[Insurance Category Code]],8,TM[[#All],[Large Provider Entity Code]],A269)/I269,"NA")</f>
        <v>NA</v>
      </c>
      <c r="M269" s="7" t="str">
        <f>IFERROR(SUMIFS(TM[[#All],[Total Truncated Claims Spending]],TM[[#All],[Reporting Year]],2025,TM[[#All],[Insurance Category Code]],8,TM[[#All],[Large Provider Entity Code]],A269)/I269,"NA")</f>
        <v>NA</v>
      </c>
      <c r="N269" s="90" t="str">
        <f>IFERROR(SUMIFS(TM[[#All],[Total Truncated Expenses]],TM[[#All],[Reporting Year]],2025,TM[[#All],[Insurance Category Code]],8,TM[[#All],[Large Provider Entity Code]],A269)/I269,"NA")</f>
        <v>NA</v>
      </c>
      <c r="O269" s="169" t="str">
        <f t="shared" ref="O269:O272" si="157">IFERROR(IF(AND(C269&gt;12000,I269&gt;12000),"Yes","No"),"NA")</f>
        <v>No</v>
      </c>
      <c r="P269" s="231" t="str">
        <f t="shared" ref="P269:P272" si="158">IFERROR((I269/C269-1),"NA")</f>
        <v>NA</v>
      </c>
      <c r="Q269" s="91" t="str">
        <f t="shared" ref="Q269:Q272" si="159">IFERROR((J269/D269-1),"NA")</f>
        <v>NA</v>
      </c>
      <c r="R269" s="91" t="str">
        <f t="shared" ref="R269:R272" si="160">IFERROR((K269/E269-1),"NA")</f>
        <v>NA</v>
      </c>
      <c r="S269" s="91" t="str">
        <f t="shared" ref="S269:S272" si="161">IFERROR((L269/F269-1),"NA")</f>
        <v>NA</v>
      </c>
      <c r="T269" s="91" t="str">
        <f t="shared" ref="T269:T272" si="162">IFERROR((M269/G269-1),"NA")</f>
        <v>NA</v>
      </c>
      <c r="U269" s="91" t="str">
        <f t="shared" ref="U269:U272" si="163">IFERROR((N269/H269-1),"NA")</f>
        <v>NA</v>
      </c>
    </row>
    <row r="270" spans="1:21" x14ac:dyDescent="0.4">
      <c r="A270" s="462">
        <v>126</v>
      </c>
      <c r="B270" s="525" t="s">
        <v>639</v>
      </c>
      <c r="C270" s="89">
        <f>SUMIFS(TM[[#All],[Member Months]],TM[[#All],[Reporting Year]],2024,TM[[#All],[Insurance Category Code]],8,TM[[#All],[Large Provider Entity Code]],A270)</f>
        <v>0</v>
      </c>
      <c r="D270" s="7" t="str">
        <f>IFERROR(SUMIFS(TM[[#All],[Total Non-Truncated Claims Spending]],TM[[#All],[Reporting Year]],2024,TM[[#All],[Insurance Category Code]],8,TM[[#All],[Large Provider Entity Code]],A270)/C270,"NA")</f>
        <v>NA</v>
      </c>
      <c r="E270" s="7" t="str">
        <f>IFERROR(SUMIFS(TM[[#All],[Total Non-Claims Spending]],TM[[#All],[Reporting Year]],2024,TM[[#All],[Insurance Category Code]],8,TM[[#All],[Large Provider Entity Code]],A270)/C270,"NA")</f>
        <v>NA</v>
      </c>
      <c r="F270" s="7" t="str">
        <f>IFERROR(SUMIFS(TM[[#All],[Total Non-Truncated Claims and Non-Claims Spending]],TM[[#All],[Reporting Year]],2024,TM[[#All],[Insurance Category Code]],8,TM[[#All],[Large Provider Entity Code]],A270)/C270,"NA")</f>
        <v>NA</v>
      </c>
      <c r="G270" s="7" t="str">
        <f>IFERROR(SUMIFS(TM[[#All],[Total Truncated Claims Spending]],TM[[#All],[Reporting Year]],2024,TM[[#All],[Insurance Category Code]],8,TM[[#All],[Large Provider Entity Code]],A270)/C270,"NA")</f>
        <v>NA</v>
      </c>
      <c r="H270" s="196" t="str">
        <f>IFERROR(SUMIFS(TM[[#All],[Total Truncated Expenses]],TM[[#All],[Reporting Year]],2024,TM[[#All],[Insurance Category Code]],8,TM[[#All],[Large Provider Entity Code]],A270)/C270,"NA")</f>
        <v>NA</v>
      </c>
      <c r="I270" s="89">
        <f>SUMIFS(TM[[#All],[Member Months]],TM[[#All],[Reporting Year]],2025,TM[[#All],[Insurance Category Code]],8,TM[[#All],[Large Provider Entity Code]],A270)</f>
        <v>0</v>
      </c>
      <c r="J270" s="7" t="str">
        <f>IFERROR(SUMIFS(TM[[#All],[Total Non-Truncated Claims Spending]],TM[[#All],[Reporting Year]],2025,TM[[#All],[Insurance Category Code]],8,TM[[#All],[Large Provider Entity Code]],A270)/I270,"NA")</f>
        <v>NA</v>
      </c>
      <c r="K270" s="7" t="str">
        <f>IFERROR(SUMIFS(TM[[#All],[Total Non-Claims Spending]],TM[[#All],[Reporting Year]],2025,TM[[#All],[Insurance Category Code]],8,TM[[#All],[Large Provider Entity Code]],A270)/I270,"NA")</f>
        <v>NA</v>
      </c>
      <c r="L270" s="7" t="str">
        <f>IFERROR(SUMIFS(TM[[#All],[Total Non-Truncated Claims and Non-Claims Spending]],TM[[#All],[Reporting Year]],2025,TM[[#All],[Insurance Category Code]],8,TM[[#All],[Large Provider Entity Code]],A270)/I270,"NA")</f>
        <v>NA</v>
      </c>
      <c r="M270" s="7" t="str">
        <f>IFERROR(SUMIFS(TM[[#All],[Total Truncated Claims Spending]],TM[[#All],[Reporting Year]],2025,TM[[#All],[Insurance Category Code]],8,TM[[#All],[Large Provider Entity Code]],A270)/I270,"NA")</f>
        <v>NA</v>
      </c>
      <c r="N270" s="90" t="str">
        <f>IFERROR(SUMIFS(TM[[#All],[Total Truncated Expenses]],TM[[#All],[Reporting Year]],2025,TM[[#All],[Insurance Category Code]],8,TM[[#All],[Large Provider Entity Code]],A270)/I270,"NA")</f>
        <v>NA</v>
      </c>
      <c r="O270" s="169" t="str">
        <f t="shared" si="157"/>
        <v>No</v>
      </c>
      <c r="P270" s="231" t="str">
        <f t="shared" si="158"/>
        <v>NA</v>
      </c>
      <c r="Q270" s="91" t="str">
        <f t="shared" si="159"/>
        <v>NA</v>
      </c>
      <c r="R270" s="91" t="str">
        <f t="shared" si="160"/>
        <v>NA</v>
      </c>
      <c r="S270" s="91" t="str">
        <f t="shared" si="161"/>
        <v>NA</v>
      </c>
      <c r="T270" s="91" t="str">
        <f t="shared" si="162"/>
        <v>NA</v>
      </c>
      <c r="U270" s="91" t="str">
        <f t="shared" si="163"/>
        <v>NA</v>
      </c>
    </row>
    <row r="271" spans="1:21" ht="33.6" x14ac:dyDescent="0.4">
      <c r="A271" s="462">
        <v>127</v>
      </c>
      <c r="B271" s="525" t="s">
        <v>640</v>
      </c>
      <c r="C271" s="89">
        <f>SUMIFS(TM[[#All],[Member Months]],TM[[#All],[Reporting Year]],2024,TM[[#All],[Insurance Category Code]],8,TM[[#All],[Large Provider Entity Code]],A271)</f>
        <v>0</v>
      </c>
      <c r="D271" s="7" t="str">
        <f>IFERROR(SUMIFS(TM[[#All],[Total Non-Truncated Claims Spending]],TM[[#All],[Reporting Year]],2024,TM[[#All],[Insurance Category Code]],8,TM[[#All],[Large Provider Entity Code]],A271)/C271,"NA")</f>
        <v>NA</v>
      </c>
      <c r="E271" s="7" t="str">
        <f>IFERROR(SUMIFS(TM[[#All],[Total Non-Claims Spending]],TM[[#All],[Reporting Year]],2024,TM[[#All],[Insurance Category Code]],8,TM[[#All],[Large Provider Entity Code]],A271)/C271,"NA")</f>
        <v>NA</v>
      </c>
      <c r="F271" s="7" t="str">
        <f>IFERROR(SUMIFS(TM[[#All],[Total Non-Truncated Claims and Non-Claims Spending]],TM[[#All],[Reporting Year]],2024,TM[[#All],[Insurance Category Code]],8,TM[[#All],[Large Provider Entity Code]],A271)/C271,"NA")</f>
        <v>NA</v>
      </c>
      <c r="G271" s="7" t="str">
        <f>IFERROR(SUMIFS(TM[[#All],[Total Truncated Claims Spending]],TM[[#All],[Reporting Year]],2024,TM[[#All],[Insurance Category Code]],8,TM[[#All],[Large Provider Entity Code]],A271)/C271,"NA")</f>
        <v>NA</v>
      </c>
      <c r="H271" s="196" t="str">
        <f>IFERROR(SUMIFS(TM[[#All],[Total Truncated Expenses]],TM[[#All],[Reporting Year]],2024,TM[[#All],[Insurance Category Code]],8,TM[[#All],[Large Provider Entity Code]],A271)/C271,"NA")</f>
        <v>NA</v>
      </c>
      <c r="I271" s="89">
        <f>SUMIFS(TM[[#All],[Member Months]],TM[[#All],[Reporting Year]],2025,TM[[#All],[Insurance Category Code]],8,TM[[#All],[Large Provider Entity Code]],A271)</f>
        <v>0</v>
      </c>
      <c r="J271" s="7" t="str">
        <f>IFERROR(SUMIFS(TM[[#All],[Total Non-Truncated Claims Spending]],TM[[#All],[Reporting Year]],2025,TM[[#All],[Insurance Category Code]],8,TM[[#All],[Large Provider Entity Code]],A271)/I271,"NA")</f>
        <v>NA</v>
      </c>
      <c r="K271" s="7" t="str">
        <f>IFERROR(SUMIFS(TM[[#All],[Total Non-Claims Spending]],TM[[#All],[Reporting Year]],2025,TM[[#All],[Insurance Category Code]],8,TM[[#All],[Large Provider Entity Code]],A271)/I271,"NA")</f>
        <v>NA</v>
      </c>
      <c r="L271" s="7" t="str">
        <f>IFERROR(SUMIFS(TM[[#All],[Total Non-Truncated Claims and Non-Claims Spending]],TM[[#All],[Reporting Year]],2025,TM[[#All],[Insurance Category Code]],8,TM[[#All],[Large Provider Entity Code]],A271)/I271,"NA")</f>
        <v>NA</v>
      </c>
      <c r="M271" s="7" t="str">
        <f>IFERROR(SUMIFS(TM[[#All],[Total Truncated Claims Spending]],TM[[#All],[Reporting Year]],2025,TM[[#All],[Insurance Category Code]],8,TM[[#All],[Large Provider Entity Code]],A271)/I271,"NA")</f>
        <v>NA</v>
      </c>
      <c r="N271" s="90" t="str">
        <f>IFERROR(SUMIFS(TM[[#All],[Total Truncated Expenses]],TM[[#All],[Reporting Year]],2025,TM[[#All],[Insurance Category Code]],8,TM[[#All],[Large Provider Entity Code]],A271)/I271,"NA")</f>
        <v>NA</v>
      </c>
      <c r="O271" s="169" t="str">
        <f t="shared" si="157"/>
        <v>No</v>
      </c>
      <c r="P271" s="231" t="str">
        <f t="shared" si="158"/>
        <v>NA</v>
      </c>
      <c r="Q271" s="91" t="str">
        <f t="shared" si="159"/>
        <v>NA</v>
      </c>
      <c r="R271" s="91" t="str">
        <f t="shared" si="160"/>
        <v>NA</v>
      </c>
      <c r="S271" s="91" t="str">
        <f t="shared" si="161"/>
        <v>NA</v>
      </c>
      <c r="T271" s="91" t="str">
        <f t="shared" si="162"/>
        <v>NA</v>
      </c>
      <c r="U271" s="91" t="str">
        <f t="shared" si="163"/>
        <v>NA</v>
      </c>
    </row>
    <row r="272" spans="1:21" x14ac:dyDescent="0.4">
      <c r="A272" s="462">
        <v>128</v>
      </c>
      <c r="B272" s="525" t="s">
        <v>641</v>
      </c>
      <c r="C272" s="89">
        <f>SUMIFS(TM[[#All],[Member Months]],TM[[#All],[Reporting Year]],2024,TM[[#All],[Insurance Category Code]],8,TM[[#All],[Large Provider Entity Code]],A272)</f>
        <v>0</v>
      </c>
      <c r="D272" s="7" t="str">
        <f>IFERROR(SUMIFS(TM[[#All],[Total Non-Truncated Claims Spending]],TM[[#All],[Reporting Year]],2024,TM[[#All],[Insurance Category Code]],8,TM[[#All],[Large Provider Entity Code]],A272)/C272,"NA")</f>
        <v>NA</v>
      </c>
      <c r="E272" s="7" t="str">
        <f>IFERROR(SUMIFS(TM[[#All],[Total Non-Claims Spending]],TM[[#All],[Reporting Year]],2024,TM[[#All],[Insurance Category Code]],8,TM[[#All],[Large Provider Entity Code]],A272)/C272,"NA")</f>
        <v>NA</v>
      </c>
      <c r="F272" s="7" t="str">
        <f>IFERROR(SUMIFS(TM[[#All],[Total Non-Truncated Claims and Non-Claims Spending]],TM[[#All],[Reporting Year]],2024,TM[[#All],[Insurance Category Code]],8,TM[[#All],[Large Provider Entity Code]],A272)/C272,"NA")</f>
        <v>NA</v>
      </c>
      <c r="G272" s="7" t="str">
        <f>IFERROR(SUMIFS(TM[[#All],[Total Truncated Claims Spending]],TM[[#All],[Reporting Year]],2024,TM[[#All],[Insurance Category Code]],8,TM[[#All],[Large Provider Entity Code]],A272)/C272,"NA")</f>
        <v>NA</v>
      </c>
      <c r="H272" s="196" t="str">
        <f>IFERROR(SUMIFS(TM[[#All],[Total Truncated Expenses]],TM[[#All],[Reporting Year]],2024,TM[[#All],[Insurance Category Code]],8,TM[[#All],[Large Provider Entity Code]],A272)/C272,"NA")</f>
        <v>NA</v>
      </c>
      <c r="I272" s="89">
        <f>SUMIFS(TM[[#All],[Member Months]],TM[[#All],[Reporting Year]],2025,TM[[#All],[Insurance Category Code]],8,TM[[#All],[Large Provider Entity Code]],A272)</f>
        <v>0</v>
      </c>
      <c r="J272" s="7" t="str">
        <f>IFERROR(SUMIFS(TM[[#All],[Total Non-Truncated Claims Spending]],TM[[#All],[Reporting Year]],2025,TM[[#All],[Insurance Category Code]],8,TM[[#All],[Large Provider Entity Code]],A272)/I272,"NA")</f>
        <v>NA</v>
      </c>
      <c r="K272" s="7" t="str">
        <f>IFERROR(SUMIFS(TM[[#All],[Total Non-Claims Spending]],TM[[#All],[Reporting Year]],2025,TM[[#All],[Insurance Category Code]],8,TM[[#All],[Large Provider Entity Code]],A272)/I272,"NA")</f>
        <v>NA</v>
      </c>
      <c r="L272" s="7" t="str">
        <f>IFERROR(SUMIFS(TM[[#All],[Total Non-Truncated Claims and Non-Claims Spending]],TM[[#All],[Reporting Year]],2025,TM[[#All],[Insurance Category Code]],8,TM[[#All],[Large Provider Entity Code]],A272)/I272,"NA")</f>
        <v>NA</v>
      </c>
      <c r="M272" s="7" t="str">
        <f>IFERROR(SUMIFS(TM[[#All],[Total Truncated Claims Spending]],TM[[#All],[Reporting Year]],2025,TM[[#All],[Insurance Category Code]],8,TM[[#All],[Large Provider Entity Code]],A272)/I272,"NA")</f>
        <v>NA</v>
      </c>
      <c r="N272" s="90" t="str">
        <f>IFERROR(SUMIFS(TM[[#All],[Total Truncated Expenses]],TM[[#All],[Reporting Year]],2025,TM[[#All],[Insurance Category Code]],8,TM[[#All],[Large Provider Entity Code]],A272)/I272,"NA")</f>
        <v>NA</v>
      </c>
      <c r="O272" s="169" t="str">
        <f t="shared" si="157"/>
        <v>No</v>
      </c>
      <c r="P272" s="231" t="str">
        <f t="shared" si="158"/>
        <v>NA</v>
      </c>
      <c r="Q272" s="91" t="str">
        <f t="shared" si="159"/>
        <v>NA</v>
      </c>
      <c r="R272" s="91" t="str">
        <f t="shared" si="160"/>
        <v>NA</v>
      </c>
      <c r="S272" s="91" t="str">
        <f t="shared" si="161"/>
        <v>NA</v>
      </c>
      <c r="T272" s="91" t="str">
        <f t="shared" si="162"/>
        <v>NA</v>
      </c>
      <c r="U272" s="91" t="str">
        <f t="shared" si="163"/>
        <v>NA</v>
      </c>
    </row>
    <row r="273" spans="1:21" x14ac:dyDescent="0.4">
      <c r="A273" s="210">
        <v>999</v>
      </c>
      <c r="B273" s="525" t="s">
        <v>71</v>
      </c>
      <c r="C273" s="156">
        <f>SUMIFS(TM[[#All],[Member Months]],TM[[#All],[Reporting Year]],2024,TM[[#All],[Insurance Category Code]],8,TM[[#All],[Large Provider Entity Code]],A273)</f>
        <v>0</v>
      </c>
      <c r="D273" s="7" t="str">
        <f>IFERROR(SUMIFS(TM[[#All],[Total Non-Truncated Claims Spending]],TM[[#All],[Reporting Year]],2024,TM[[#All],[Insurance Category Code]],8,TM[[#All],[Large Provider Entity Code]],A273)/C273,"NA")</f>
        <v>NA</v>
      </c>
      <c r="E273" s="7" t="str">
        <f>IFERROR(SUMIFS(TM[[#All],[Total Non-Claims Spending]],TM[[#All],[Reporting Year]],2024,TM[[#All],[Insurance Category Code]],8,TM[[#All],[Large Provider Entity Code]],A273)/C273,"NA")</f>
        <v>NA</v>
      </c>
      <c r="F273" s="7" t="str">
        <f>IFERROR(SUMIFS(TM[[#All],[Total Non-Truncated Claims and Non-Claims Spending]],TM[[#All],[Reporting Year]],2024,TM[[#All],[Insurance Category Code]],8,TM[[#All],[Large Provider Entity Code]],A273)/C273,"NA")</f>
        <v>NA</v>
      </c>
      <c r="G273" s="7" t="str">
        <f>IFERROR(SUMIFS(TM[[#All],[Total Truncated Claims Spending]],TM[[#All],[Reporting Year]],2024,TM[[#All],[Insurance Category Code]],8,TM[[#All],[Large Provider Entity Code]],A273)/C273,"NA")</f>
        <v>NA</v>
      </c>
      <c r="H273" s="196" t="str">
        <f>IFERROR(SUMIFS(TM[[#All],[Total Truncated Expenses]],TM[[#All],[Reporting Year]],2024,TM[[#All],[Insurance Category Code]],8,TM[[#All],[Large Provider Entity Code]],A273)/C273,"NA")</f>
        <v>NA</v>
      </c>
      <c r="I273" s="89">
        <f>SUMIFS(TM[[#All],[Member Months]],TM[[#All],[Reporting Year]],2025,TM[[#All],[Insurance Category Code]],8,TM[[#All],[Large Provider Entity Code]],A273)</f>
        <v>0</v>
      </c>
      <c r="J273" s="7" t="str">
        <f>IFERROR(SUMIFS(TM[[#All],[Total Non-Truncated Claims Spending]],TM[[#All],[Reporting Year]],2025,TM[[#All],[Insurance Category Code]],8,TM[[#All],[Large Provider Entity Code]],A273)/I273,"NA")</f>
        <v>NA</v>
      </c>
      <c r="K273" s="7" t="str">
        <f>IFERROR(SUMIFS(TM[[#All],[Total Non-Claims Spending]],TM[[#All],[Reporting Year]],2025,TM[[#All],[Insurance Category Code]],8,TM[[#All],[Large Provider Entity Code]],A273)/I273,"NA")</f>
        <v>NA</v>
      </c>
      <c r="L273" s="7" t="str">
        <f>IFERROR(SUMIFS(TM[[#All],[Total Non-Truncated Claims and Non-Claims Spending]],TM[[#All],[Reporting Year]],2025,TM[[#All],[Insurance Category Code]],8,TM[[#All],[Large Provider Entity Code]],A273)/I273,"NA")</f>
        <v>NA</v>
      </c>
      <c r="M273" s="7" t="str">
        <f>IFERROR(SUMIFS(TM[[#All],[Total Truncated Claims Spending]],TM[[#All],[Reporting Year]],2025,TM[[#All],[Insurance Category Code]],8,TM[[#All],[Large Provider Entity Code]],A273)/I273,"NA")</f>
        <v>NA</v>
      </c>
      <c r="N273" s="90" t="str">
        <f>IFERROR(SUMIFS(TM[[#All],[Total Truncated Expenses]],TM[[#All],[Reporting Year]],2025,TM[[#All],[Insurance Category Code]],8,TM[[#All],[Large Provider Entity Code]],A273)/I273,"NA")</f>
        <v>NA</v>
      </c>
      <c r="O273" s="169" t="str">
        <f>IFERROR(IF(AND(C273&gt;12000,I273&gt;12000),"Yes","No"),"NA")</f>
        <v>No</v>
      </c>
      <c r="P273" s="231" t="str">
        <f t="shared" si="149"/>
        <v>NA</v>
      </c>
      <c r="Q273" s="91" t="str">
        <f t="shared" si="149"/>
        <v>NA</v>
      </c>
      <c r="R273" s="91" t="str">
        <f t="shared" si="149"/>
        <v>NA</v>
      </c>
      <c r="S273" s="91" t="str">
        <f t="shared" si="149"/>
        <v>NA</v>
      </c>
      <c r="T273" s="91" t="str">
        <f t="shared" si="149"/>
        <v>NA</v>
      </c>
      <c r="U273" s="91" t="str">
        <f t="shared" si="149"/>
        <v>NA</v>
      </c>
    </row>
    <row r="274" spans="1:21" ht="30" customHeight="1" x14ac:dyDescent="0.4">
      <c r="A274" s="572" t="s">
        <v>523</v>
      </c>
      <c r="B274" s="573"/>
      <c r="C274" s="157">
        <f>SUM(C250:C273)</f>
        <v>0</v>
      </c>
      <c r="D274" s="124" t="str">
        <f>IFERROR((SUMPRODUCT(D250:D273,C250:C273)/C274),"NA")</f>
        <v>NA</v>
      </c>
      <c r="E274" s="124" t="str">
        <f>IFERROR((SUMPRODUCT(E250:E273,C250:C273)/C274),"NA")</f>
        <v>NA</v>
      </c>
      <c r="F274" s="124" t="str">
        <f>IFERROR((SUMPRODUCT(F250:F273,C250:C273)/C274),"NA")</f>
        <v>NA</v>
      </c>
      <c r="G274" s="124" t="str">
        <f>IFERROR((SUMPRODUCT(G250:G273,C250:C273)/C274),"NA")</f>
        <v>NA</v>
      </c>
      <c r="H274" s="124" t="str">
        <f>IFERROR((SUMPRODUCT(H250:H273,C250:C273)/C274),"NA")</f>
        <v>NA</v>
      </c>
      <c r="I274" s="158">
        <f>SUM(I250:I273)</f>
        <v>0</v>
      </c>
      <c r="J274" s="124" t="str">
        <f>IFERROR((SUMPRODUCT(J250:J273,I250:I273)/I274),"NA")</f>
        <v>NA</v>
      </c>
      <c r="K274" s="124" t="str">
        <f>IFERROR((SUMPRODUCT(K250:K273,I250:I273)/I274),"NA")</f>
        <v>NA</v>
      </c>
      <c r="L274" s="124" t="str">
        <f>IFERROR((SUMPRODUCT(L250:L273,I250:I273)/I274),"NA")</f>
        <v>NA</v>
      </c>
      <c r="M274" s="124" t="str">
        <f>IFERROR((SUMPRODUCT(M250:M273,I250:I273)/I274),"NA")</f>
        <v>NA</v>
      </c>
      <c r="N274" s="198" t="str">
        <f>IFERROR((SUMPRODUCT(N250:N273,I250:I273)/I274),"NA")</f>
        <v>NA</v>
      </c>
      <c r="O274" s="434" t="s">
        <v>470</v>
      </c>
      <c r="P274" s="386" t="s">
        <v>470</v>
      </c>
      <c r="Q274" s="385" t="s">
        <v>470</v>
      </c>
      <c r="R274" s="385" t="s">
        <v>470</v>
      </c>
      <c r="S274" s="385" t="s">
        <v>470</v>
      </c>
      <c r="T274" s="385" t="s">
        <v>470</v>
      </c>
      <c r="U274" s="385" t="s">
        <v>470</v>
      </c>
    </row>
    <row r="275" spans="1:21" x14ac:dyDescent="0.4">
      <c r="A275" s="574" t="s">
        <v>519</v>
      </c>
      <c r="B275" s="575"/>
      <c r="C275" s="157" t="s">
        <v>470</v>
      </c>
      <c r="D275" s="123" t="str">
        <f>IFERROR(((SUMPRODUCT(D249,$C$249))-ABS(SUMIFS(RX[[#All],[Total Medical and Retail Pharmacy Rebate Amount]],RX[[#All],[Reporting Year]],2024,RX[[#All],[Insurance Category Code]],8)))/$C$274,"NA")</f>
        <v>NA</v>
      </c>
      <c r="E275" s="123" t="str">
        <f>IFERROR(((SUMPRODUCT(E249,$C$249))-ABS(SUMIFS(RX[[#All],[Total Medical and Retail Pharmacy Rebate Amount]],RX[[#All],[Reporting Year]],2024,RX[[#All],[Insurance Category Code]],8)))/$C$274,"NA")</f>
        <v>NA</v>
      </c>
      <c r="F275" s="123" t="str">
        <f>IFERROR(((SUMPRODUCT(F249,$C$249))-ABS(SUMIFS(RX[[#All],[Total Medical and Retail Pharmacy Rebate Amount]],RX[[#All],[Reporting Year]],2024,RX[[#All],[Insurance Category Code]],8)))/$C$274,"NA")</f>
        <v>NA</v>
      </c>
      <c r="G275" s="123" t="str">
        <f>IFERROR(((SUMPRODUCT(G249,$C$249))-ABS(SUMIFS(RX[[#All],[Total Medical and Retail Pharmacy Rebate Amount]],RX[[#All],[Reporting Year]],2024,RX[[#All],[Insurance Category Code]],8)))/$C$274,"NA")</f>
        <v>NA</v>
      </c>
      <c r="H275" s="201" t="str">
        <f>IFERROR(((SUMPRODUCT(H249,$C$249))-ABS(SUMIFS(RX[[#All],[Total Medical and Retail Pharmacy Rebate Amount]],RX[[#All],[Reporting Year]],2024,RX[[#All],[Insurance Category Code]],8)))/$C$274,"NA")</f>
        <v>NA</v>
      </c>
      <c r="I275" s="158" t="s">
        <v>470</v>
      </c>
      <c r="J275" s="123" t="str">
        <f>IFERROR(((SUMPRODUCT(J249,$I$249))-ABS(SUMIFS(RX[[#All],[Total Medical and Retail Pharmacy Rebate Amount]],RX[[#All],[Reporting Year]],2025,RX[[#All],[Insurance Category Code]],8)))/$I$274,"NA")</f>
        <v>NA</v>
      </c>
      <c r="K275" s="123" t="str">
        <f>IFERROR(((SUMPRODUCT(K249,$I$249))-ABS(SUMIFS(RX[[#All],[Total Medical and Retail Pharmacy Rebate Amount]],RX[[#All],[Reporting Year]],2025,RX[[#All],[Insurance Category Code]],8)))/$I$274,"NA")</f>
        <v>NA</v>
      </c>
      <c r="L275" s="123" t="str">
        <f>IFERROR(((SUMPRODUCT(L249,$I$249))-ABS(SUMIFS(RX[[#All],[Total Medical and Retail Pharmacy Rebate Amount]],RX[[#All],[Reporting Year]],2025,RX[[#All],[Insurance Category Code]],8)))/$I$274,"NA")</f>
        <v>NA</v>
      </c>
      <c r="M275" s="123" t="str">
        <f>IFERROR(((SUMPRODUCT(M249,$I$249))-ABS(SUMIFS(RX[[#All],[Total Medical and Retail Pharmacy Rebate Amount]],RX[[#All],[Reporting Year]],2025,RX[[#All],[Insurance Category Code]],8)))/$I$274,"NA")</f>
        <v>NA</v>
      </c>
      <c r="N275" s="200" t="str">
        <f>IFERROR(((SUMPRODUCT(N249,$I$249))-ABS(SUMIFS(RX[[#All],[Total Medical and Retail Pharmacy Rebate Amount]],RX[[#All],[Reporting Year]],2025,RX[[#All],[Insurance Category Code]],8)))/$I$274,"NA")</f>
        <v>NA</v>
      </c>
      <c r="O275" s="434" t="s">
        <v>470</v>
      </c>
      <c r="P275" s="386" t="s">
        <v>470</v>
      </c>
      <c r="Q275" s="385" t="s">
        <v>470</v>
      </c>
      <c r="R275" s="385" t="s">
        <v>470</v>
      </c>
      <c r="S275" s="385" t="s">
        <v>470</v>
      </c>
      <c r="T275" s="385" t="s">
        <v>470</v>
      </c>
      <c r="U275" s="385" t="s">
        <v>470</v>
      </c>
    </row>
    <row r="276" spans="1:21" x14ac:dyDescent="0.4">
      <c r="A276" s="558" t="s">
        <v>520</v>
      </c>
      <c r="B276" s="559"/>
      <c r="C276" s="219">
        <f>ABS(C274-C249)</f>
        <v>0</v>
      </c>
      <c r="D276" s="219" t="e">
        <f>ABS(D274-D249)</f>
        <v>#VALUE!</v>
      </c>
      <c r="E276" s="219" t="e">
        <f>ABS(E274-E249)</f>
        <v>#VALUE!</v>
      </c>
      <c r="F276" s="219" t="e">
        <f>ABS(F274-F249)</f>
        <v>#VALUE!</v>
      </c>
      <c r="G276" s="219" t="s">
        <v>470</v>
      </c>
      <c r="H276" s="223" t="s">
        <v>470</v>
      </c>
      <c r="I276" s="213">
        <f>ABS(I274-I249)</f>
        <v>0</v>
      </c>
      <c r="J276" s="219" t="e">
        <f>ABS(J274-J249)</f>
        <v>#VALUE!</v>
      </c>
      <c r="K276" s="219" t="e">
        <f>ABS(K274-K249)</f>
        <v>#VALUE!</v>
      </c>
      <c r="L276" s="219" t="e">
        <f>ABS(L274-L249)</f>
        <v>#VALUE!</v>
      </c>
      <c r="M276" s="219" t="s">
        <v>470</v>
      </c>
      <c r="N276" s="223" t="s">
        <v>470</v>
      </c>
      <c r="O276" s="435" t="s">
        <v>470</v>
      </c>
      <c r="P276" s="436" t="s">
        <v>470</v>
      </c>
      <c r="Q276" s="438" t="s">
        <v>470</v>
      </c>
      <c r="R276" s="438" t="s">
        <v>470</v>
      </c>
      <c r="S276" s="438" t="s">
        <v>470</v>
      </c>
      <c r="T276" s="438" t="s">
        <v>470</v>
      </c>
      <c r="U276" s="438" t="s">
        <v>470</v>
      </c>
    </row>
    <row r="277" spans="1:21" x14ac:dyDescent="0.4">
      <c r="A277" s="560" t="s">
        <v>521</v>
      </c>
      <c r="B277" s="561"/>
      <c r="C277" s="244" t="str">
        <f>IF(((ABS(C249-C274))&lt;10),"Yes","No")</f>
        <v>Yes</v>
      </c>
      <c r="D277" s="174" t="e">
        <f>IF(((ABS(D249-D274))&lt;10),"Yes","No")</f>
        <v>#VALUE!</v>
      </c>
      <c r="E277" s="174" t="e">
        <f>IF(((ABS(E249-E274))&lt;10),"Yes","No")</f>
        <v>#VALUE!</v>
      </c>
      <c r="F277" s="174" t="e">
        <f>IF(((ABS(F249-F274))&lt;10),"Yes","No")</f>
        <v>#VALUE!</v>
      </c>
      <c r="G277" s="174" t="s">
        <v>470</v>
      </c>
      <c r="H277" s="225" t="s">
        <v>470</v>
      </c>
      <c r="I277" s="242" t="str">
        <f>IF(((ABS(I249-I274))&lt;10),"Yes","No")</f>
        <v>Yes</v>
      </c>
      <c r="J277" s="174" t="e">
        <f>IF(((ABS(J249-J274))&lt;10),"Yes","No")</f>
        <v>#VALUE!</v>
      </c>
      <c r="K277" s="174" t="e">
        <f>IF(((ABS(K249-K274))&lt;10),"Yes","No")</f>
        <v>#VALUE!</v>
      </c>
      <c r="L277" s="174" t="e">
        <f>IF(((ABS(L249-L274))&lt;10),"Yes","No")</f>
        <v>#VALUE!</v>
      </c>
      <c r="M277" s="174" t="s">
        <v>470</v>
      </c>
      <c r="N277" s="225" t="s">
        <v>470</v>
      </c>
      <c r="O277" s="435" t="s">
        <v>470</v>
      </c>
      <c r="P277" s="436" t="s">
        <v>470</v>
      </c>
      <c r="Q277" s="438" t="s">
        <v>470</v>
      </c>
      <c r="R277" s="438" t="s">
        <v>470</v>
      </c>
      <c r="S277" s="438" t="s">
        <v>470</v>
      </c>
      <c r="T277" s="438" t="s">
        <v>470</v>
      </c>
      <c r="U277" s="438" t="s">
        <v>470</v>
      </c>
    </row>
    <row r="278" spans="1:21" x14ac:dyDescent="0.4">
      <c r="A278"/>
      <c r="B278"/>
      <c r="C278" s="108"/>
      <c r="D278" s="109"/>
      <c r="E278" s="109"/>
      <c r="F278" s="109"/>
      <c r="G278" s="109"/>
      <c r="H278" s="109"/>
      <c r="I278" s="108"/>
      <c r="J278" s="109"/>
      <c r="K278" s="109"/>
      <c r="L278" s="109"/>
      <c r="M278" s="109"/>
      <c r="N278" s="109"/>
      <c r="O278" s="109"/>
      <c r="P278" s="110"/>
      <c r="Q278" s="110"/>
      <c r="R278" s="110"/>
      <c r="S278" s="110"/>
      <c r="T278" s="110"/>
      <c r="U278" s="110"/>
    </row>
    <row r="279" spans="1:21" x14ac:dyDescent="0.4">
      <c r="A279"/>
      <c r="B279"/>
      <c r="C279"/>
      <c r="D279"/>
      <c r="E279"/>
      <c r="F279"/>
      <c r="G279"/>
      <c r="H279"/>
      <c r="I279"/>
      <c r="J279"/>
      <c r="K279"/>
      <c r="L279"/>
      <c r="M279"/>
      <c r="N279"/>
      <c r="O279" s="2"/>
      <c r="P279"/>
      <c r="Q279"/>
      <c r="R279"/>
      <c r="S279"/>
      <c r="T279"/>
      <c r="U279"/>
    </row>
    <row r="280" spans="1:21" x14ac:dyDescent="0.4">
      <c r="A280" s="449" t="s">
        <v>530</v>
      </c>
      <c r="B280" s="450"/>
      <c r="C280"/>
      <c r="D280"/>
      <c r="E280"/>
      <c r="F280"/>
      <c r="G280"/>
      <c r="H280"/>
      <c r="I280"/>
      <c r="J280"/>
      <c r="K280"/>
      <c r="L280"/>
      <c r="M280"/>
      <c r="N280"/>
      <c r="O280" s="2"/>
      <c r="P280"/>
      <c r="Q280"/>
      <c r="R280"/>
      <c r="S280"/>
      <c r="T280"/>
      <c r="U280"/>
    </row>
    <row r="281" spans="1:21" x14ac:dyDescent="0.4">
      <c r="A281" s="562" t="s">
        <v>66</v>
      </c>
      <c r="B281" s="564" t="s">
        <v>505</v>
      </c>
      <c r="C281" s="566">
        <v>2024</v>
      </c>
      <c r="D281" s="567"/>
      <c r="E281" s="567"/>
      <c r="F281" s="567"/>
      <c r="G281" s="567"/>
      <c r="H281" s="568"/>
      <c r="I281" s="569">
        <v>2025</v>
      </c>
      <c r="J281" s="570"/>
      <c r="K281" s="570"/>
      <c r="L281" s="570"/>
      <c r="M281" s="570"/>
      <c r="N281" s="571"/>
      <c r="O281" s="576" t="s">
        <v>644</v>
      </c>
      <c r="P281" s="577"/>
      <c r="Q281" s="577"/>
      <c r="R281" s="577"/>
      <c r="S281" s="577"/>
      <c r="T281" s="577"/>
      <c r="U281" s="578"/>
    </row>
    <row r="282" spans="1:21" ht="50.4" x14ac:dyDescent="0.4">
      <c r="A282" s="563"/>
      <c r="B282" s="565"/>
      <c r="C282" s="85" t="s">
        <v>328</v>
      </c>
      <c r="D282" s="85" t="s">
        <v>507</v>
      </c>
      <c r="E282" s="85" t="s">
        <v>508</v>
      </c>
      <c r="F282" s="85" t="s">
        <v>509</v>
      </c>
      <c r="G282" s="85" t="s">
        <v>510</v>
      </c>
      <c r="H282" s="197" t="s">
        <v>511</v>
      </c>
      <c r="I282" s="81" t="s">
        <v>328</v>
      </c>
      <c r="J282" s="82" t="s">
        <v>507</v>
      </c>
      <c r="K282" s="82" t="s">
        <v>508</v>
      </c>
      <c r="L282" s="82" t="s">
        <v>509</v>
      </c>
      <c r="M282" s="82" t="s">
        <v>510</v>
      </c>
      <c r="N282" s="83" t="s">
        <v>511</v>
      </c>
      <c r="O282" s="410" t="s">
        <v>635</v>
      </c>
      <c r="P282" s="235" t="s">
        <v>171</v>
      </c>
      <c r="Q282" s="71" t="s">
        <v>513</v>
      </c>
      <c r="R282" s="71" t="s">
        <v>514</v>
      </c>
      <c r="S282" s="71" t="s">
        <v>515</v>
      </c>
      <c r="T282" s="71" t="s">
        <v>516</v>
      </c>
      <c r="U282" s="209" t="s">
        <v>517</v>
      </c>
    </row>
    <row r="283" spans="1:21" x14ac:dyDescent="0.4">
      <c r="A283" s="211">
        <v>100</v>
      </c>
      <c r="B283" s="525" t="s">
        <v>67</v>
      </c>
      <c r="C283" s="8">
        <f t="shared" ref="C283:C302" si="164">C317+C351</f>
        <v>0</v>
      </c>
      <c r="D283" s="7" t="str">
        <f t="shared" ref="D283:D302" si="165">IF(C283=0,"NA",(SUMPRODUCT(D317,C317)+SUMPRODUCT(D351,C351))/C283)</f>
        <v>NA</v>
      </c>
      <c r="E283" s="7" t="str">
        <f t="shared" ref="E283:E302" si="166">IF(C283=0,"NA",(SUMPRODUCT(E317,C317)+SUMPRODUCT(E351,C351))/C283)</f>
        <v>NA</v>
      </c>
      <c r="F283" s="7" t="str">
        <f t="shared" ref="F283:F302" si="167">IF(C283=0,"NA",(SUMPRODUCT(F317,C317)+SUMPRODUCT(F351,C351))/C283)</f>
        <v>NA</v>
      </c>
      <c r="G283" s="7" t="str">
        <f t="shared" ref="G283:G302" si="168">IF(C283=0,"NA",(SUMPRODUCT(G317,C317)+SUMPRODUCT(G351,C351))/C283)</f>
        <v>NA</v>
      </c>
      <c r="H283" s="196" t="str">
        <f t="shared" ref="H283:H302" si="169">IF(C283=0,"NA",(SUMPRODUCT(H317,C317)+SUMPRODUCT(H351,C351))/C283)</f>
        <v>NA</v>
      </c>
      <c r="I283" s="89">
        <f t="shared" ref="I283:I302" si="170">I317+I351</f>
        <v>0</v>
      </c>
      <c r="J283" s="7" t="str">
        <f t="shared" ref="J283:J302" si="171">IF(I283=0,"NA",(SUMPRODUCT(J317,I317)+SUMPRODUCT(J351,I351))/I283)</f>
        <v>NA</v>
      </c>
      <c r="K283" s="7" t="str">
        <f t="shared" ref="K283:K302" si="172">IF(I283=0,"NA",(SUMPRODUCT(K317,I317)+SUMPRODUCT(K351,I351))/I283)</f>
        <v>NA</v>
      </c>
      <c r="L283" s="7" t="str">
        <f t="shared" ref="L283:L302" si="173">IF(I283=0,"NA",(SUMPRODUCT(L317,I317)+SUMPRODUCT(L351,I351))/I283)</f>
        <v>NA</v>
      </c>
      <c r="M283" s="7" t="str">
        <f t="shared" ref="M283:M302" si="174">IF(I283=0,"NA",(SUMPRODUCT(M317,I317)+SUMPRODUCT(M351,I351))/I283)</f>
        <v>NA</v>
      </c>
      <c r="N283" s="90" t="str">
        <f t="shared" ref="N283:N302" si="175">IF(I283=0,"NA",(SUMPRODUCT(N317,I317)+SUMPRODUCT(N351,I351))/I283)</f>
        <v>NA</v>
      </c>
      <c r="O283" s="169" t="str">
        <f>IFERROR(IF(AND(C283&gt;12000,I283&gt;12000),"Yes","No"),"NA")</f>
        <v>No</v>
      </c>
      <c r="P283" s="231" t="str">
        <f t="shared" ref="P283:U307" si="176">IFERROR((I283/C283-1),"NA")</f>
        <v>NA</v>
      </c>
      <c r="Q283" s="91" t="str">
        <f t="shared" si="176"/>
        <v>NA</v>
      </c>
      <c r="R283" s="91" t="str">
        <f t="shared" si="176"/>
        <v>NA</v>
      </c>
      <c r="S283" s="91" t="str">
        <f t="shared" si="176"/>
        <v>NA</v>
      </c>
      <c r="T283" s="91" t="str">
        <f t="shared" si="176"/>
        <v>NA</v>
      </c>
      <c r="U283" s="91" t="str">
        <f t="shared" si="176"/>
        <v>NA</v>
      </c>
    </row>
    <row r="284" spans="1:21" x14ac:dyDescent="0.4">
      <c r="A284" s="210">
        <v>101</v>
      </c>
      <c r="B284" s="525" t="s">
        <v>562</v>
      </c>
      <c r="C284" s="8">
        <f t="shared" si="164"/>
        <v>0</v>
      </c>
      <c r="D284" s="7" t="str">
        <f t="shared" si="165"/>
        <v>NA</v>
      </c>
      <c r="E284" s="7" t="str">
        <f t="shared" si="166"/>
        <v>NA</v>
      </c>
      <c r="F284" s="7" t="str">
        <f t="shared" si="167"/>
        <v>NA</v>
      </c>
      <c r="G284" s="7" t="str">
        <f t="shared" si="168"/>
        <v>NA</v>
      </c>
      <c r="H284" s="196" t="str">
        <f t="shared" si="169"/>
        <v>NA</v>
      </c>
      <c r="I284" s="89">
        <f t="shared" si="170"/>
        <v>0</v>
      </c>
      <c r="J284" s="7" t="str">
        <f t="shared" si="171"/>
        <v>NA</v>
      </c>
      <c r="K284" s="7" t="str">
        <f t="shared" si="172"/>
        <v>NA</v>
      </c>
      <c r="L284" s="7" t="str">
        <f t="shared" si="173"/>
        <v>NA</v>
      </c>
      <c r="M284" s="7" t="str">
        <f t="shared" si="174"/>
        <v>NA</v>
      </c>
      <c r="N284" s="90" t="str">
        <f t="shared" si="175"/>
        <v>NA</v>
      </c>
      <c r="O284" s="169" t="str">
        <f t="shared" ref="O284:O302" si="177">IFERROR(IF(AND(C284&gt;12000,I284&gt;12000),"Yes","No"),"NA")</f>
        <v>No</v>
      </c>
      <c r="P284" s="231" t="str">
        <f t="shared" si="176"/>
        <v>NA</v>
      </c>
      <c r="Q284" s="91" t="str">
        <f t="shared" si="176"/>
        <v>NA</v>
      </c>
      <c r="R284" s="91" t="str">
        <f t="shared" si="176"/>
        <v>NA</v>
      </c>
      <c r="S284" s="91" t="str">
        <f t="shared" si="176"/>
        <v>NA</v>
      </c>
      <c r="T284" s="91" t="str">
        <f t="shared" si="176"/>
        <v>NA</v>
      </c>
      <c r="U284" s="91" t="str">
        <f t="shared" si="176"/>
        <v>NA</v>
      </c>
    </row>
    <row r="285" spans="1:21" x14ac:dyDescent="0.4">
      <c r="A285" s="210">
        <v>102</v>
      </c>
      <c r="B285" s="525" t="s">
        <v>607</v>
      </c>
      <c r="C285" s="8">
        <f t="shared" si="164"/>
        <v>0</v>
      </c>
      <c r="D285" s="7" t="str">
        <f t="shared" si="165"/>
        <v>NA</v>
      </c>
      <c r="E285" s="7" t="str">
        <f t="shared" si="166"/>
        <v>NA</v>
      </c>
      <c r="F285" s="7" t="str">
        <f t="shared" si="167"/>
        <v>NA</v>
      </c>
      <c r="G285" s="7" t="str">
        <f t="shared" si="168"/>
        <v>NA</v>
      </c>
      <c r="H285" s="196" t="str">
        <f t="shared" si="169"/>
        <v>NA</v>
      </c>
      <c r="I285" s="89">
        <f t="shared" si="170"/>
        <v>0</v>
      </c>
      <c r="J285" s="7" t="str">
        <f t="shared" si="171"/>
        <v>NA</v>
      </c>
      <c r="K285" s="7" t="str">
        <f t="shared" si="172"/>
        <v>NA</v>
      </c>
      <c r="L285" s="7" t="str">
        <f t="shared" si="173"/>
        <v>NA</v>
      </c>
      <c r="M285" s="7" t="str">
        <f t="shared" si="174"/>
        <v>NA</v>
      </c>
      <c r="N285" s="90" t="str">
        <f t="shared" si="175"/>
        <v>NA</v>
      </c>
      <c r="O285" s="169" t="str">
        <f t="shared" si="177"/>
        <v>No</v>
      </c>
      <c r="P285" s="231" t="str">
        <f t="shared" si="176"/>
        <v>NA</v>
      </c>
      <c r="Q285" s="91" t="str">
        <f t="shared" si="176"/>
        <v>NA</v>
      </c>
      <c r="R285" s="91" t="str">
        <f t="shared" si="176"/>
        <v>NA</v>
      </c>
      <c r="S285" s="91" t="str">
        <f t="shared" si="176"/>
        <v>NA</v>
      </c>
      <c r="T285" s="91" t="str">
        <f t="shared" si="176"/>
        <v>NA</v>
      </c>
      <c r="U285" s="91" t="str">
        <f t="shared" si="176"/>
        <v>NA</v>
      </c>
    </row>
    <row r="286" spans="1:21" x14ac:dyDescent="0.4">
      <c r="A286" s="210">
        <v>104</v>
      </c>
      <c r="B286" s="525" t="s">
        <v>608</v>
      </c>
      <c r="C286" s="8">
        <f t="shared" si="164"/>
        <v>0</v>
      </c>
      <c r="D286" s="7" t="str">
        <f t="shared" si="165"/>
        <v>NA</v>
      </c>
      <c r="E286" s="7" t="str">
        <f t="shared" si="166"/>
        <v>NA</v>
      </c>
      <c r="F286" s="7" t="str">
        <f t="shared" si="167"/>
        <v>NA</v>
      </c>
      <c r="G286" s="7" t="str">
        <f t="shared" si="168"/>
        <v>NA</v>
      </c>
      <c r="H286" s="196" t="str">
        <f t="shared" si="169"/>
        <v>NA</v>
      </c>
      <c r="I286" s="89">
        <f t="shared" si="170"/>
        <v>0</v>
      </c>
      <c r="J286" s="7" t="str">
        <f t="shared" si="171"/>
        <v>NA</v>
      </c>
      <c r="K286" s="7" t="str">
        <f t="shared" si="172"/>
        <v>NA</v>
      </c>
      <c r="L286" s="7" t="str">
        <f t="shared" si="173"/>
        <v>NA</v>
      </c>
      <c r="M286" s="7" t="str">
        <f t="shared" si="174"/>
        <v>NA</v>
      </c>
      <c r="N286" s="90" t="str">
        <f t="shared" si="175"/>
        <v>NA</v>
      </c>
      <c r="O286" s="169" t="str">
        <f t="shared" si="177"/>
        <v>No</v>
      </c>
      <c r="P286" s="231" t="str">
        <f t="shared" si="176"/>
        <v>NA</v>
      </c>
      <c r="Q286" s="91" t="str">
        <f t="shared" si="176"/>
        <v>NA</v>
      </c>
      <c r="R286" s="91" t="str">
        <f t="shared" si="176"/>
        <v>NA</v>
      </c>
      <c r="S286" s="91" t="str">
        <f t="shared" si="176"/>
        <v>NA</v>
      </c>
      <c r="T286" s="91" t="str">
        <f t="shared" si="176"/>
        <v>NA</v>
      </c>
      <c r="U286" s="91" t="str">
        <f t="shared" si="176"/>
        <v>NA</v>
      </c>
    </row>
    <row r="287" spans="1:21" ht="33.6" x14ac:dyDescent="0.4">
      <c r="A287" s="210">
        <v>105</v>
      </c>
      <c r="B287" s="525" t="s">
        <v>609</v>
      </c>
      <c r="C287" s="8">
        <f t="shared" si="164"/>
        <v>0</v>
      </c>
      <c r="D287" s="7" t="str">
        <f t="shared" si="165"/>
        <v>NA</v>
      </c>
      <c r="E287" s="7" t="str">
        <f t="shared" si="166"/>
        <v>NA</v>
      </c>
      <c r="F287" s="7" t="str">
        <f t="shared" si="167"/>
        <v>NA</v>
      </c>
      <c r="G287" s="7" t="str">
        <f t="shared" si="168"/>
        <v>NA</v>
      </c>
      <c r="H287" s="196" t="str">
        <f t="shared" si="169"/>
        <v>NA</v>
      </c>
      <c r="I287" s="89">
        <f t="shared" si="170"/>
        <v>0</v>
      </c>
      <c r="J287" s="7" t="str">
        <f t="shared" si="171"/>
        <v>NA</v>
      </c>
      <c r="K287" s="7" t="str">
        <f t="shared" si="172"/>
        <v>NA</v>
      </c>
      <c r="L287" s="7" t="str">
        <f t="shared" si="173"/>
        <v>NA</v>
      </c>
      <c r="M287" s="7" t="str">
        <f t="shared" si="174"/>
        <v>NA</v>
      </c>
      <c r="N287" s="90" t="str">
        <f t="shared" si="175"/>
        <v>NA</v>
      </c>
      <c r="O287" s="169" t="str">
        <f t="shared" si="177"/>
        <v>No</v>
      </c>
      <c r="P287" s="231" t="str">
        <f t="shared" si="176"/>
        <v>NA</v>
      </c>
      <c r="Q287" s="91" t="str">
        <f t="shared" si="176"/>
        <v>NA</v>
      </c>
      <c r="R287" s="91" t="str">
        <f t="shared" si="176"/>
        <v>NA</v>
      </c>
      <c r="S287" s="91" t="str">
        <f t="shared" si="176"/>
        <v>NA</v>
      </c>
      <c r="T287" s="91" t="str">
        <f t="shared" si="176"/>
        <v>NA</v>
      </c>
      <c r="U287" s="91" t="str">
        <f t="shared" si="176"/>
        <v>NA</v>
      </c>
    </row>
    <row r="288" spans="1:21" x14ac:dyDescent="0.4">
      <c r="A288" s="210">
        <v>106</v>
      </c>
      <c r="B288" s="525" t="s">
        <v>613</v>
      </c>
      <c r="C288" s="8">
        <f t="shared" si="164"/>
        <v>0</v>
      </c>
      <c r="D288" s="7" t="str">
        <f t="shared" si="165"/>
        <v>NA</v>
      </c>
      <c r="E288" s="7" t="str">
        <f t="shared" si="166"/>
        <v>NA</v>
      </c>
      <c r="F288" s="7" t="str">
        <f t="shared" si="167"/>
        <v>NA</v>
      </c>
      <c r="G288" s="7" t="str">
        <f t="shared" si="168"/>
        <v>NA</v>
      </c>
      <c r="H288" s="196" t="str">
        <f t="shared" si="169"/>
        <v>NA</v>
      </c>
      <c r="I288" s="89">
        <f t="shared" si="170"/>
        <v>0</v>
      </c>
      <c r="J288" s="7" t="str">
        <f t="shared" si="171"/>
        <v>NA</v>
      </c>
      <c r="K288" s="7" t="str">
        <f t="shared" si="172"/>
        <v>NA</v>
      </c>
      <c r="L288" s="7" t="str">
        <f t="shared" si="173"/>
        <v>NA</v>
      </c>
      <c r="M288" s="7" t="str">
        <f t="shared" si="174"/>
        <v>NA</v>
      </c>
      <c r="N288" s="90" t="str">
        <f t="shared" si="175"/>
        <v>NA</v>
      </c>
      <c r="O288" s="169" t="str">
        <f t="shared" si="177"/>
        <v>No</v>
      </c>
      <c r="P288" s="231" t="str">
        <f t="shared" si="176"/>
        <v>NA</v>
      </c>
      <c r="Q288" s="91" t="str">
        <f t="shared" si="176"/>
        <v>NA</v>
      </c>
      <c r="R288" s="91" t="str">
        <f t="shared" si="176"/>
        <v>NA</v>
      </c>
      <c r="S288" s="91" t="str">
        <f t="shared" si="176"/>
        <v>NA</v>
      </c>
      <c r="T288" s="91" t="str">
        <f t="shared" si="176"/>
        <v>NA</v>
      </c>
      <c r="U288" s="91" t="str">
        <f t="shared" si="176"/>
        <v>NA</v>
      </c>
    </row>
    <row r="289" spans="1:21" x14ac:dyDescent="0.4">
      <c r="A289" s="210">
        <v>107</v>
      </c>
      <c r="B289" s="526" t="s">
        <v>610</v>
      </c>
      <c r="C289" s="8">
        <f t="shared" si="164"/>
        <v>0</v>
      </c>
      <c r="D289" s="7" t="str">
        <f t="shared" si="165"/>
        <v>NA</v>
      </c>
      <c r="E289" s="7" t="str">
        <f t="shared" si="166"/>
        <v>NA</v>
      </c>
      <c r="F289" s="7" t="str">
        <f t="shared" si="167"/>
        <v>NA</v>
      </c>
      <c r="G289" s="7" t="str">
        <f t="shared" si="168"/>
        <v>NA</v>
      </c>
      <c r="H289" s="196" t="str">
        <f t="shared" si="169"/>
        <v>NA</v>
      </c>
      <c r="I289" s="89">
        <f t="shared" si="170"/>
        <v>0</v>
      </c>
      <c r="J289" s="7" t="str">
        <f t="shared" si="171"/>
        <v>NA</v>
      </c>
      <c r="K289" s="7" t="str">
        <f t="shared" si="172"/>
        <v>NA</v>
      </c>
      <c r="L289" s="7" t="str">
        <f t="shared" si="173"/>
        <v>NA</v>
      </c>
      <c r="M289" s="7" t="str">
        <f t="shared" si="174"/>
        <v>NA</v>
      </c>
      <c r="N289" s="90" t="str">
        <f t="shared" si="175"/>
        <v>NA</v>
      </c>
      <c r="O289" s="169" t="str">
        <f t="shared" si="177"/>
        <v>No</v>
      </c>
      <c r="P289" s="231" t="str">
        <f t="shared" si="176"/>
        <v>NA</v>
      </c>
      <c r="Q289" s="91" t="str">
        <f t="shared" si="176"/>
        <v>NA</v>
      </c>
      <c r="R289" s="91" t="str">
        <f t="shared" si="176"/>
        <v>NA</v>
      </c>
      <c r="S289" s="91" t="str">
        <f t="shared" si="176"/>
        <v>NA</v>
      </c>
      <c r="T289" s="91" t="str">
        <f t="shared" si="176"/>
        <v>NA</v>
      </c>
      <c r="U289" s="91" t="str">
        <f t="shared" si="176"/>
        <v>NA</v>
      </c>
    </row>
    <row r="290" spans="1:21" x14ac:dyDescent="0.4">
      <c r="A290" s="210">
        <v>108</v>
      </c>
      <c r="B290" s="526" t="s">
        <v>563</v>
      </c>
      <c r="C290" s="8">
        <f t="shared" si="164"/>
        <v>0</v>
      </c>
      <c r="D290" s="7" t="str">
        <f t="shared" si="165"/>
        <v>NA</v>
      </c>
      <c r="E290" s="7" t="str">
        <f t="shared" si="166"/>
        <v>NA</v>
      </c>
      <c r="F290" s="7" t="str">
        <f t="shared" si="167"/>
        <v>NA</v>
      </c>
      <c r="G290" s="7" t="str">
        <f t="shared" si="168"/>
        <v>NA</v>
      </c>
      <c r="H290" s="196" t="str">
        <f t="shared" si="169"/>
        <v>NA</v>
      </c>
      <c r="I290" s="89">
        <f t="shared" si="170"/>
        <v>0</v>
      </c>
      <c r="J290" s="7" t="str">
        <f t="shared" si="171"/>
        <v>NA</v>
      </c>
      <c r="K290" s="7" t="str">
        <f t="shared" si="172"/>
        <v>NA</v>
      </c>
      <c r="L290" s="7" t="str">
        <f t="shared" si="173"/>
        <v>NA</v>
      </c>
      <c r="M290" s="7" t="str">
        <f t="shared" si="174"/>
        <v>NA</v>
      </c>
      <c r="N290" s="90" t="str">
        <f t="shared" si="175"/>
        <v>NA</v>
      </c>
      <c r="O290" s="169" t="str">
        <f t="shared" si="177"/>
        <v>No</v>
      </c>
      <c r="P290" s="231" t="str">
        <f t="shared" si="176"/>
        <v>NA</v>
      </c>
      <c r="Q290" s="91" t="str">
        <f t="shared" si="176"/>
        <v>NA</v>
      </c>
      <c r="R290" s="91" t="str">
        <f t="shared" si="176"/>
        <v>NA</v>
      </c>
      <c r="S290" s="91" t="str">
        <f t="shared" si="176"/>
        <v>NA</v>
      </c>
      <c r="T290" s="91" t="str">
        <f t="shared" si="176"/>
        <v>NA</v>
      </c>
      <c r="U290" s="91" t="str">
        <f t="shared" si="176"/>
        <v>NA</v>
      </c>
    </row>
    <row r="291" spans="1:21" ht="33.6" x14ac:dyDescent="0.4">
      <c r="A291" s="210">
        <v>109</v>
      </c>
      <c r="B291" s="526" t="s">
        <v>611</v>
      </c>
      <c r="C291" s="8">
        <f t="shared" si="164"/>
        <v>0</v>
      </c>
      <c r="D291" s="7" t="str">
        <f t="shared" si="165"/>
        <v>NA</v>
      </c>
      <c r="E291" s="7" t="str">
        <f t="shared" si="166"/>
        <v>NA</v>
      </c>
      <c r="F291" s="7" t="str">
        <f t="shared" si="167"/>
        <v>NA</v>
      </c>
      <c r="G291" s="7" t="str">
        <f t="shared" si="168"/>
        <v>NA</v>
      </c>
      <c r="H291" s="196" t="str">
        <f t="shared" si="169"/>
        <v>NA</v>
      </c>
      <c r="I291" s="89">
        <f t="shared" si="170"/>
        <v>0</v>
      </c>
      <c r="J291" s="7" t="str">
        <f t="shared" si="171"/>
        <v>NA</v>
      </c>
      <c r="K291" s="7" t="str">
        <f t="shared" si="172"/>
        <v>NA</v>
      </c>
      <c r="L291" s="7" t="str">
        <f t="shared" si="173"/>
        <v>NA</v>
      </c>
      <c r="M291" s="7" t="str">
        <f t="shared" si="174"/>
        <v>NA</v>
      </c>
      <c r="N291" s="90" t="str">
        <f t="shared" si="175"/>
        <v>NA</v>
      </c>
      <c r="O291" s="169" t="str">
        <f t="shared" si="177"/>
        <v>No</v>
      </c>
      <c r="P291" s="231" t="str">
        <f t="shared" si="176"/>
        <v>NA</v>
      </c>
      <c r="Q291" s="91" t="str">
        <f t="shared" si="176"/>
        <v>NA</v>
      </c>
      <c r="R291" s="91" t="str">
        <f t="shared" si="176"/>
        <v>NA</v>
      </c>
      <c r="S291" s="91" t="str">
        <f t="shared" si="176"/>
        <v>NA</v>
      </c>
      <c r="T291" s="91" t="str">
        <f t="shared" si="176"/>
        <v>NA</v>
      </c>
      <c r="U291" s="91" t="str">
        <f t="shared" si="176"/>
        <v>NA</v>
      </c>
    </row>
    <row r="292" spans="1:21" x14ac:dyDescent="0.4">
      <c r="A292" s="210">
        <v>110</v>
      </c>
      <c r="B292" s="526" t="s">
        <v>68</v>
      </c>
      <c r="C292" s="8">
        <f t="shared" si="164"/>
        <v>0</v>
      </c>
      <c r="D292" s="7" t="str">
        <f t="shared" si="165"/>
        <v>NA</v>
      </c>
      <c r="E292" s="7" t="str">
        <f t="shared" si="166"/>
        <v>NA</v>
      </c>
      <c r="F292" s="7" t="str">
        <f t="shared" si="167"/>
        <v>NA</v>
      </c>
      <c r="G292" s="7" t="str">
        <f t="shared" si="168"/>
        <v>NA</v>
      </c>
      <c r="H292" s="196" t="str">
        <f t="shared" si="169"/>
        <v>NA</v>
      </c>
      <c r="I292" s="89">
        <f t="shared" si="170"/>
        <v>0</v>
      </c>
      <c r="J292" s="7" t="str">
        <f t="shared" si="171"/>
        <v>NA</v>
      </c>
      <c r="K292" s="7" t="str">
        <f t="shared" si="172"/>
        <v>NA</v>
      </c>
      <c r="L292" s="7" t="str">
        <f t="shared" si="173"/>
        <v>NA</v>
      </c>
      <c r="M292" s="7" t="str">
        <f t="shared" si="174"/>
        <v>NA</v>
      </c>
      <c r="N292" s="90" t="str">
        <f t="shared" si="175"/>
        <v>NA</v>
      </c>
      <c r="O292" s="169" t="str">
        <f t="shared" si="177"/>
        <v>No</v>
      </c>
      <c r="P292" s="231" t="str">
        <f t="shared" si="176"/>
        <v>NA</v>
      </c>
      <c r="Q292" s="91" t="str">
        <f t="shared" si="176"/>
        <v>NA</v>
      </c>
      <c r="R292" s="91" t="str">
        <f t="shared" si="176"/>
        <v>NA</v>
      </c>
      <c r="S292" s="91" t="str">
        <f t="shared" si="176"/>
        <v>NA</v>
      </c>
      <c r="T292" s="91" t="str">
        <f t="shared" si="176"/>
        <v>NA</v>
      </c>
      <c r="U292" s="91" t="str">
        <f t="shared" si="176"/>
        <v>NA</v>
      </c>
    </row>
    <row r="293" spans="1:21" x14ac:dyDescent="0.4">
      <c r="A293" s="210">
        <v>111</v>
      </c>
      <c r="B293" s="526" t="s">
        <v>69</v>
      </c>
      <c r="C293" s="8">
        <f t="shared" si="164"/>
        <v>0</v>
      </c>
      <c r="D293" s="7" t="str">
        <f t="shared" si="165"/>
        <v>NA</v>
      </c>
      <c r="E293" s="7" t="str">
        <f t="shared" si="166"/>
        <v>NA</v>
      </c>
      <c r="F293" s="7" t="str">
        <f t="shared" si="167"/>
        <v>NA</v>
      </c>
      <c r="G293" s="7" t="str">
        <f t="shared" si="168"/>
        <v>NA</v>
      </c>
      <c r="H293" s="196" t="str">
        <f t="shared" si="169"/>
        <v>NA</v>
      </c>
      <c r="I293" s="89">
        <f t="shared" si="170"/>
        <v>0</v>
      </c>
      <c r="J293" s="7" t="str">
        <f t="shared" si="171"/>
        <v>NA</v>
      </c>
      <c r="K293" s="7" t="str">
        <f t="shared" si="172"/>
        <v>NA</v>
      </c>
      <c r="L293" s="7" t="str">
        <f t="shared" si="173"/>
        <v>NA</v>
      </c>
      <c r="M293" s="7" t="str">
        <f t="shared" si="174"/>
        <v>NA</v>
      </c>
      <c r="N293" s="90" t="str">
        <f t="shared" si="175"/>
        <v>NA</v>
      </c>
      <c r="O293" s="169" t="str">
        <f t="shared" si="177"/>
        <v>No</v>
      </c>
      <c r="P293" s="231" t="str">
        <f t="shared" si="176"/>
        <v>NA</v>
      </c>
      <c r="Q293" s="91" t="str">
        <f t="shared" si="176"/>
        <v>NA</v>
      </c>
      <c r="R293" s="91" t="str">
        <f t="shared" si="176"/>
        <v>NA</v>
      </c>
      <c r="S293" s="91" t="str">
        <f t="shared" si="176"/>
        <v>NA</v>
      </c>
      <c r="T293" s="91" t="str">
        <f t="shared" si="176"/>
        <v>NA</v>
      </c>
      <c r="U293" s="91" t="str">
        <f t="shared" si="176"/>
        <v>NA</v>
      </c>
    </row>
    <row r="294" spans="1:21" x14ac:dyDescent="0.4">
      <c r="A294" s="210">
        <v>112</v>
      </c>
      <c r="B294" s="526" t="s">
        <v>637</v>
      </c>
      <c r="C294" s="8">
        <f t="shared" si="164"/>
        <v>0</v>
      </c>
      <c r="D294" s="7" t="str">
        <f t="shared" si="165"/>
        <v>NA</v>
      </c>
      <c r="E294" s="7" t="str">
        <f t="shared" si="166"/>
        <v>NA</v>
      </c>
      <c r="F294" s="7" t="str">
        <f t="shared" si="167"/>
        <v>NA</v>
      </c>
      <c r="G294" s="7" t="str">
        <f t="shared" si="168"/>
        <v>NA</v>
      </c>
      <c r="H294" s="196" t="str">
        <f t="shared" si="169"/>
        <v>NA</v>
      </c>
      <c r="I294" s="89">
        <f t="shared" si="170"/>
        <v>0</v>
      </c>
      <c r="J294" s="7" t="str">
        <f t="shared" si="171"/>
        <v>NA</v>
      </c>
      <c r="K294" s="7" t="str">
        <f t="shared" si="172"/>
        <v>NA</v>
      </c>
      <c r="L294" s="7" t="str">
        <f t="shared" si="173"/>
        <v>NA</v>
      </c>
      <c r="M294" s="7" t="str">
        <f t="shared" si="174"/>
        <v>NA</v>
      </c>
      <c r="N294" s="90" t="str">
        <f t="shared" si="175"/>
        <v>NA</v>
      </c>
      <c r="O294" s="169" t="str">
        <f t="shared" si="177"/>
        <v>No</v>
      </c>
      <c r="P294" s="231" t="str">
        <f t="shared" si="176"/>
        <v>NA</v>
      </c>
      <c r="Q294" s="91" t="str">
        <f t="shared" si="176"/>
        <v>NA</v>
      </c>
      <c r="R294" s="91" t="str">
        <f t="shared" si="176"/>
        <v>NA</v>
      </c>
      <c r="S294" s="91" t="str">
        <f t="shared" si="176"/>
        <v>NA</v>
      </c>
      <c r="T294" s="91" t="str">
        <f t="shared" si="176"/>
        <v>NA</v>
      </c>
      <c r="U294" s="91" t="str">
        <f t="shared" si="176"/>
        <v>NA</v>
      </c>
    </row>
    <row r="295" spans="1:21" ht="33.6" x14ac:dyDescent="0.4">
      <c r="A295" s="210">
        <v>115</v>
      </c>
      <c r="B295" s="526" t="s">
        <v>612</v>
      </c>
      <c r="C295" s="8">
        <f t="shared" si="164"/>
        <v>0</v>
      </c>
      <c r="D295" s="7" t="str">
        <f t="shared" si="165"/>
        <v>NA</v>
      </c>
      <c r="E295" s="7" t="str">
        <f t="shared" si="166"/>
        <v>NA</v>
      </c>
      <c r="F295" s="7" t="str">
        <f t="shared" si="167"/>
        <v>NA</v>
      </c>
      <c r="G295" s="7" t="str">
        <f t="shared" si="168"/>
        <v>NA</v>
      </c>
      <c r="H295" s="196" t="str">
        <f t="shared" si="169"/>
        <v>NA</v>
      </c>
      <c r="I295" s="89">
        <f t="shared" si="170"/>
        <v>0</v>
      </c>
      <c r="J295" s="7" t="str">
        <f t="shared" si="171"/>
        <v>NA</v>
      </c>
      <c r="K295" s="7" t="str">
        <f t="shared" si="172"/>
        <v>NA</v>
      </c>
      <c r="L295" s="7" t="str">
        <f t="shared" si="173"/>
        <v>NA</v>
      </c>
      <c r="M295" s="7" t="str">
        <f t="shared" si="174"/>
        <v>NA</v>
      </c>
      <c r="N295" s="90" t="str">
        <f t="shared" si="175"/>
        <v>NA</v>
      </c>
      <c r="O295" s="169" t="str">
        <f t="shared" si="177"/>
        <v>No</v>
      </c>
      <c r="P295" s="231" t="str">
        <f t="shared" si="176"/>
        <v>NA</v>
      </c>
      <c r="Q295" s="91" t="str">
        <f t="shared" si="176"/>
        <v>NA</v>
      </c>
      <c r="R295" s="91" t="str">
        <f t="shared" si="176"/>
        <v>NA</v>
      </c>
      <c r="S295" s="91" t="str">
        <f t="shared" si="176"/>
        <v>NA</v>
      </c>
      <c r="T295" s="91" t="str">
        <f t="shared" si="176"/>
        <v>NA</v>
      </c>
      <c r="U295" s="91" t="str">
        <f t="shared" si="176"/>
        <v>NA</v>
      </c>
    </row>
    <row r="296" spans="1:21" x14ac:dyDescent="0.4">
      <c r="A296" s="210">
        <v>116</v>
      </c>
      <c r="B296" s="526" t="s">
        <v>564</v>
      </c>
      <c r="C296" s="8">
        <f t="shared" si="164"/>
        <v>0</v>
      </c>
      <c r="D296" s="7" t="str">
        <f t="shared" si="165"/>
        <v>NA</v>
      </c>
      <c r="E296" s="7" t="str">
        <f t="shared" si="166"/>
        <v>NA</v>
      </c>
      <c r="F296" s="7" t="str">
        <f t="shared" si="167"/>
        <v>NA</v>
      </c>
      <c r="G296" s="7" t="str">
        <f t="shared" si="168"/>
        <v>NA</v>
      </c>
      <c r="H296" s="196" t="str">
        <f t="shared" si="169"/>
        <v>NA</v>
      </c>
      <c r="I296" s="89">
        <f t="shared" si="170"/>
        <v>0</v>
      </c>
      <c r="J296" s="7" t="str">
        <f t="shared" si="171"/>
        <v>NA</v>
      </c>
      <c r="K296" s="7" t="str">
        <f t="shared" si="172"/>
        <v>NA</v>
      </c>
      <c r="L296" s="7" t="str">
        <f t="shared" si="173"/>
        <v>NA</v>
      </c>
      <c r="M296" s="7" t="str">
        <f t="shared" si="174"/>
        <v>NA</v>
      </c>
      <c r="N296" s="90" t="str">
        <f t="shared" si="175"/>
        <v>NA</v>
      </c>
      <c r="O296" s="169" t="str">
        <f t="shared" si="177"/>
        <v>No</v>
      </c>
      <c r="P296" s="231" t="str">
        <f t="shared" si="176"/>
        <v>NA</v>
      </c>
      <c r="Q296" s="91" t="str">
        <f t="shared" si="176"/>
        <v>NA</v>
      </c>
      <c r="R296" s="91" t="str">
        <f t="shared" si="176"/>
        <v>NA</v>
      </c>
      <c r="S296" s="91" t="str">
        <f t="shared" si="176"/>
        <v>NA</v>
      </c>
      <c r="T296" s="91" t="str">
        <f t="shared" si="176"/>
        <v>NA</v>
      </c>
      <c r="U296" s="91" t="str">
        <f t="shared" si="176"/>
        <v>NA</v>
      </c>
    </row>
    <row r="297" spans="1:21" x14ac:dyDescent="0.4">
      <c r="A297" s="210">
        <v>118</v>
      </c>
      <c r="B297" s="526" t="s">
        <v>70</v>
      </c>
      <c r="C297" s="8">
        <f t="shared" si="164"/>
        <v>0</v>
      </c>
      <c r="D297" s="7" t="str">
        <f t="shared" si="165"/>
        <v>NA</v>
      </c>
      <c r="E297" s="7" t="str">
        <f t="shared" si="166"/>
        <v>NA</v>
      </c>
      <c r="F297" s="7" t="str">
        <f t="shared" si="167"/>
        <v>NA</v>
      </c>
      <c r="G297" s="7" t="str">
        <f t="shared" si="168"/>
        <v>NA</v>
      </c>
      <c r="H297" s="196" t="str">
        <f t="shared" si="169"/>
        <v>NA</v>
      </c>
      <c r="I297" s="89">
        <f t="shared" si="170"/>
        <v>0</v>
      </c>
      <c r="J297" s="7" t="str">
        <f t="shared" si="171"/>
        <v>NA</v>
      </c>
      <c r="K297" s="7" t="str">
        <f t="shared" si="172"/>
        <v>NA</v>
      </c>
      <c r="L297" s="7" t="str">
        <f t="shared" si="173"/>
        <v>NA</v>
      </c>
      <c r="M297" s="7" t="str">
        <f t="shared" si="174"/>
        <v>NA</v>
      </c>
      <c r="N297" s="90" t="str">
        <f t="shared" si="175"/>
        <v>NA</v>
      </c>
      <c r="O297" s="169" t="str">
        <f>IFERROR(IF(AND(C297&gt;12000,I297&gt;12000),"Yes","No"),"NA")</f>
        <v>No</v>
      </c>
      <c r="P297" s="231" t="str">
        <f t="shared" si="176"/>
        <v>NA</v>
      </c>
      <c r="Q297" s="91" t="str">
        <f t="shared" si="176"/>
        <v>NA</v>
      </c>
      <c r="R297" s="91" t="str">
        <f t="shared" si="176"/>
        <v>NA</v>
      </c>
      <c r="S297" s="91" t="str">
        <f t="shared" si="176"/>
        <v>NA</v>
      </c>
      <c r="T297" s="91" t="str">
        <f t="shared" si="176"/>
        <v>NA</v>
      </c>
      <c r="U297" s="91" t="str">
        <f t="shared" si="176"/>
        <v>NA</v>
      </c>
    </row>
    <row r="298" spans="1:21" x14ac:dyDescent="0.4">
      <c r="A298" s="210">
        <v>120</v>
      </c>
      <c r="B298" s="526" t="s">
        <v>561</v>
      </c>
      <c r="C298" s="156">
        <f t="shared" si="164"/>
        <v>0</v>
      </c>
      <c r="D298" s="7" t="str">
        <f t="shared" si="165"/>
        <v>NA</v>
      </c>
      <c r="E298" s="7" t="str">
        <f t="shared" si="166"/>
        <v>NA</v>
      </c>
      <c r="F298" s="7" t="str">
        <f t="shared" si="167"/>
        <v>NA</v>
      </c>
      <c r="G298" s="7" t="str">
        <f t="shared" si="168"/>
        <v>NA</v>
      </c>
      <c r="H298" s="196" t="str">
        <f t="shared" si="169"/>
        <v>NA</v>
      </c>
      <c r="I298" s="89">
        <f t="shared" si="170"/>
        <v>0</v>
      </c>
      <c r="J298" s="7" t="str">
        <f t="shared" si="171"/>
        <v>NA</v>
      </c>
      <c r="K298" s="7" t="str">
        <f t="shared" si="172"/>
        <v>NA</v>
      </c>
      <c r="L298" s="7" t="str">
        <f t="shared" si="173"/>
        <v>NA</v>
      </c>
      <c r="M298" s="7" t="str">
        <f t="shared" si="174"/>
        <v>NA</v>
      </c>
      <c r="N298" s="90" t="str">
        <f t="shared" si="175"/>
        <v>NA</v>
      </c>
      <c r="O298" s="169" t="str">
        <f t="shared" si="177"/>
        <v>No</v>
      </c>
      <c r="P298" s="231" t="str">
        <f t="shared" si="176"/>
        <v>NA</v>
      </c>
      <c r="Q298" s="91" t="str">
        <f t="shared" si="176"/>
        <v>NA</v>
      </c>
      <c r="R298" s="91" t="str">
        <f t="shared" si="176"/>
        <v>NA</v>
      </c>
      <c r="S298" s="91" t="str">
        <f t="shared" si="176"/>
        <v>NA</v>
      </c>
      <c r="T298" s="91" t="str">
        <f t="shared" si="176"/>
        <v>NA</v>
      </c>
      <c r="U298" s="91" t="str">
        <f t="shared" si="176"/>
        <v>NA</v>
      </c>
    </row>
    <row r="299" spans="1:21" ht="33.6" x14ac:dyDescent="0.4">
      <c r="A299" s="210">
        <v>121</v>
      </c>
      <c r="B299" s="526" t="s">
        <v>565</v>
      </c>
      <c r="C299" s="156">
        <f t="shared" si="164"/>
        <v>0</v>
      </c>
      <c r="D299" s="7" t="str">
        <f t="shared" si="165"/>
        <v>NA</v>
      </c>
      <c r="E299" s="7" t="str">
        <f t="shared" si="166"/>
        <v>NA</v>
      </c>
      <c r="F299" s="7" t="str">
        <f t="shared" si="167"/>
        <v>NA</v>
      </c>
      <c r="G299" s="7" t="str">
        <f t="shared" si="168"/>
        <v>NA</v>
      </c>
      <c r="H299" s="196" t="str">
        <f t="shared" si="169"/>
        <v>NA</v>
      </c>
      <c r="I299" s="89">
        <f t="shared" si="170"/>
        <v>0</v>
      </c>
      <c r="J299" s="7" t="str">
        <f t="shared" si="171"/>
        <v>NA</v>
      </c>
      <c r="K299" s="7" t="str">
        <f t="shared" si="172"/>
        <v>NA</v>
      </c>
      <c r="L299" s="7" t="str">
        <f t="shared" si="173"/>
        <v>NA</v>
      </c>
      <c r="M299" s="7" t="str">
        <f t="shared" si="174"/>
        <v>NA</v>
      </c>
      <c r="N299" s="90" t="str">
        <f t="shared" si="175"/>
        <v>NA</v>
      </c>
      <c r="O299" s="169" t="str">
        <f t="shared" si="177"/>
        <v>No</v>
      </c>
      <c r="P299" s="231" t="str">
        <f t="shared" si="176"/>
        <v>NA</v>
      </c>
      <c r="Q299" s="91" t="str">
        <f t="shared" si="176"/>
        <v>NA</v>
      </c>
      <c r="R299" s="91" t="str">
        <f t="shared" si="176"/>
        <v>NA</v>
      </c>
      <c r="S299" s="91" t="str">
        <f t="shared" si="176"/>
        <v>NA</v>
      </c>
      <c r="T299" s="91" t="str">
        <f t="shared" si="176"/>
        <v>NA</v>
      </c>
      <c r="U299" s="91" t="str">
        <f t="shared" si="176"/>
        <v>NA</v>
      </c>
    </row>
    <row r="300" spans="1:21" ht="33.6" x14ac:dyDescent="0.4">
      <c r="A300" s="210">
        <v>122</v>
      </c>
      <c r="B300" s="525" t="s">
        <v>647</v>
      </c>
      <c r="C300" s="156">
        <f t="shared" si="164"/>
        <v>0</v>
      </c>
      <c r="D300" s="7" t="str">
        <f t="shared" si="165"/>
        <v>NA</v>
      </c>
      <c r="E300" s="7" t="str">
        <f t="shared" si="166"/>
        <v>NA</v>
      </c>
      <c r="F300" s="7" t="str">
        <f t="shared" si="167"/>
        <v>NA</v>
      </c>
      <c r="G300" s="7" t="str">
        <f t="shared" si="168"/>
        <v>NA</v>
      </c>
      <c r="H300" s="196" t="str">
        <f t="shared" si="169"/>
        <v>NA</v>
      </c>
      <c r="I300" s="89">
        <f t="shared" si="170"/>
        <v>0</v>
      </c>
      <c r="J300" s="7" t="str">
        <f t="shared" si="171"/>
        <v>NA</v>
      </c>
      <c r="K300" s="7" t="str">
        <f t="shared" si="172"/>
        <v>NA</v>
      </c>
      <c r="L300" s="7" t="str">
        <f t="shared" si="173"/>
        <v>NA</v>
      </c>
      <c r="M300" s="7" t="str">
        <f t="shared" si="174"/>
        <v>NA</v>
      </c>
      <c r="N300" s="90" t="str">
        <f t="shared" si="175"/>
        <v>NA</v>
      </c>
      <c r="O300" s="169" t="str">
        <f t="shared" si="177"/>
        <v>No</v>
      </c>
      <c r="P300" s="231" t="str">
        <f t="shared" si="176"/>
        <v>NA</v>
      </c>
      <c r="Q300" s="91" t="str">
        <f t="shared" si="176"/>
        <v>NA</v>
      </c>
      <c r="R300" s="91" t="str">
        <f t="shared" si="176"/>
        <v>NA</v>
      </c>
      <c r="S300" s="91" t="str">
        <f t="shared" si="176"/>
        <v>NA</v>
      </c>
      <c r="T300" s="91" t="str">
        <f t="shared" si="176"/>
        <v>NA</v>
      </c>
      <c r="U300" s="91" t="str">
        <f t="shared" si="176"/>
        <v>NA</v>
      </c>
    </row>
    <row r="301" spans="1:21" ht="33.6" x14ac:dyDescent="0.4">
      <c r="A301" s="210">
        <v>123</v>
      </c>
      <c r="B301" s="525" t="s">
        <v>614</v>
      </c>
      <c r="C301" s="156">
        <f t="shared" si="164"/>
        <v>0</v>
      </c>
      <c r="D301" s="7" t="str">
        <f t="shared" si="165"/>
        <v>NA</v>
      </c>
      <c r="E301" s="7" t="str">
        <f t="shared" si="166"/>
        <v>NA</v>
      </c>
      <c r="F301" s="7" t="str">
        <f t="shared" si="167"/>
        <v>NA</v>
      </c>
      <c r="G301" s="7" t="str">
        <f t="shared" si="168"/>
        <v>NA</v>
      </c>
      <c r="H301" s="196" t="str">
        <f t="shared" si="169"/>
        <v>NA</v>
      </c>
      <c r="I301" s="89">
        <f t="shared" si="170"/>
        <v>0</v>
      </c>
      <c r="J301" s="7" t="str">
        <f t="shared" si="171"/>
        <v>NA</v>
      </c>
      <c r="K301" s="7" t="str">
        <f t="shared" si="172"/>
        <v>NA</v>
      </c>
      <c r="L301" s="7" t="str">
        <f t="shared" si="173"/>
        <v>NA</v>
      </c>
      <c r="M301" s="7" t="str">
        <f t="shared" si="174"/>
        <v>NA</v>
      </c>
      <c r="N301" s="90" t="str">
        <f t="shared" si="175"/>
        <v>NA</v>
      </c>
      <c r="O301" s="169" t="str">
        <f t="shared" si="177"/>
        <v>No</v>
      </c>
      <c r="P301" s="231" t="str">
        <f t="shared" ref="P301:P302" si="178">IFERROR((I301/C301-1),"NA")</f>
        <v>NA</v>
      </c>
      <c r="Q301" s="91" t="str">
        <f t="shared" ref="Q301:Q302" si="179">IFERROR((J301/D301-1),"NA")</f>
        <v>NA</v>
      </c>
      <c r="R301" s="91" t="str">
        <f t="shared" ref="R301:R302" si="180">IFERROR((K301/E301-1),"NA")</f>
        <v>NA</v>
      </c>
      <c r="S301" s="91" t="str">
        <f t="shared" ref="S301:S302" si="181">IFERROR((L301/F301-1),"NA")</f>
        <v>NA</v>
      </c>
      <c r="T301" s="91" t="str">
        <f t="shared" ref="T301:T302" si="182">IFERROR((M301/G301-1),"NA")</f>
        <v>NA</v>
      </c>
      <c r="U301" s="91" t="str">
        <f t="shared" ref="U301:U302" si="183">IFERROR((N301/H301-1),"NA")</f>
        <v>NA</v>
      </c>
    </row>
    <row r="302" spans="1:21" x14ac:dyDescent="0.4">
      <c r="A302" s="210">
        <v>124</v>
      </c>
      <c r="B302" s="525" t="s">
        <v>615</v>
      </c>
      <c r="C302" s="156">
        <f t="shared" si="164"/>
        <v>0</v>
      </c>
      <c r="D302" s="7" t="str">
        <f t="shared" si="165"/>
        <v>NA</v>
      </c>
      <c r="E302" s="7" t="str">
        <f t="shared" si="166"/>
        <v>NA</v>
      </c>
      <c r="F302" s="7" t="str">
        <f t="shared" si="167"/>
        <v>NA</v>
      </c>
      <c r="G302" s="7" t="str">
        <f t="shared" si="168"/>
        <v>NA</v>
      </c>
      <c r="H302" s="196" t="str">
        <f t="shared" si="169"/>
        <v>NA</v>
      </c>
      <c r="I302" s="89">
        <f t="shared" si="170"/>
        <v>0</v>
      </c>
      <c r="J302" s="7" t="str">
        <f t="shared" si="171"/>
        <v>NA</v>
      </c>
      <c r="K302" s="7" t="str">
        <f t="shared" si="172"/>
        <v>NA</v>
      </c>
      <c r="L302" s="7" t="str">
        <f t="shared" si="173"/>
        <v>NA</v>
      </c>
      <c r="M302" s="7" t="str">
        <f t="shared" si="174"/>
        <v>NA</v>
      </c>
      <c r="N302" s="90" t="str">
        <f t="shared" si="175"/>
        <v>NA</v>
      </c>
      <c r="O302" s="169" t="str">
        <f t="shared" si="177"/>
        <v>No</v>
      </c>
      <c r="P302" s="231" t="str">
        <f t="shared" si="178"/>
        <v>NA</v>
      </c>
      <c r="Q302" s="91" t="str">
        <f t="shared" si="179"/>
        <v>NA</v>
      </c>
      <c r="R302" s="91" t="str">
        <f t="shared" si="180"/>
        <v>NA</v>
      </c>
      <c r="S302" s="91" t="str">
        <f t="shared" si="181"/>
        <v>NA</v>
      </c>
      <c r="T302" s="91" t="str">
        <f t="shared" si="182"/>
        <v>NA</v>
      </c>
      <c r="U302" s="91" t="str">
        <f t="shared" si="183"/>
        <v>NA</v>
      </c>
    </row>
    <row r="303" spans="1:21" x14ac:dyDescent="0.4">
      <c r="A303" s="462">
        <v>125</v>
      </c>
      <c r="B303" s="525" t="s">
        <v>638</v>
      </c>
      <c r="C303" s="156">
        <f t="shared" ref="C303:C306" si="184">C337+C371</f>
        <v>0</v>
      </c>
      <c r="D303" s="7" t="str">
        <f t="shared" ref="D303:D306" si="185">IF(C303=0,"NA",(SUMPRODUCT(D337,C337)+SUMPRODUCT(D371,C371))/C303)</f>
        <v>NA</v>
      </c>
      <c r="E303" s="7" t="str">
        <f t="shared" ref="E303:E306" si="186">IF(C303=0,"NA",(SUMPRODUCT(E337,C337)+SUMPRODUCT(E371,C371))/C303)</f>
        <v>NA</v>
      </c>
      <c r="F303" s="7" t="str">
        <f t="shared" ref="F303:F306" si="187">IF(C303=0,"NA",(SUMPRODUCT(F337,C337)+SUMPRODUCT(F371,C371))/C303)</f>
        <v>NA</v>
      </c>
      <c r="G303" s="7" t="str">
        <f t="shared" ref="G303:G306" si="188">IF(C303=0,"NA",(SUMPRODUCT(G337,C337)+SUMPRODUCT(G371,C371))/C303)</f>
        <v>NA</v>
      </c>
      <c r="H303" s="196" t="str">
        <f t="shared" ref="H303:H306" si="189">IF(C303=0,"NA",(SUMPRODUCT(H337,C337)+SUMPRODUCT(H371,C371))/C303)</f>
        <v>NA</v>
      </c>
      <c r="I303" s="89">
        <f t="shared" ref="I303:I306" si="190">I337+I371</f>
        <v>0</v>
      </c>
      <c r="J303" s="7" t="str">
        <f t="shared" ref="J303:J306" si="191">IF(I303=0,"NA",(SUMPRODUCT(J337,I337)+SUMPRODUCT(J371,I371))/I303)</f>
        <v>NA</v>
      </c>
      <c r="K303" s="7" t="str">
        <f t="shared" ref="K303:K306" si="192">IF(I303=0,"NA",(SUMPRODUCT(K337,I337)+SUMPRODUCT(K371,I371))/I303)</f>
        <v>NA</v>
      </c>
      <c r="L303" s="7" t="str">
        <f t="shared" ref="L303:L306" si="193">IF(I303=0,"NA",(SUMPRODUCT(L337,I337)+SUMPRODUCT(L371,I371))/I303)</f>
        <v>NA</v>
      </c>
      <c r="M303" s="7" t="str">
        <f t="shared" ref="M303:M306" si="194">IF(I303=0,"NA",(SUMPRODUCT(M337,I337)+SUMPRODUCT(M371,I371))/I303)</f>
        <v>NA</v>
      </c>
      <c r="N303" s="90" t="str">
        <f t="shared" ref="N303:N306" si="195">IF(I303=0,"NA",(SUMPRODUCT(N337,I337)+SUMPRODUCT(N371,I371))/I303)</f>
        <v>NA</v>
      </c>
      <c r="O303" s="169" t="str">
        <f t="shared" ref="O303:O306" si="196">IFERROR(IF(AND(C303&gt;12000,I303&gt;12000),"Yes","No"),"NA")</f>
        <v>No</v>
      </c>
      <c r="P303" s="231" t="str">
        <f t="shared" ref="P303:P306" si="197">IFERROR((I303/C303-1),"NA")</f>
        <v>NA</v>
      </c>
      <c r="Q303" s="91" t="str">
        <f t="shared" ref="Q303:Q306" si="198">IFERROR((J303/D303-1),"NA")</f>
        <v>NA</v>
      </c>
      <c r="R303" s="91" t="str">
        <f t="shared" ref="R303:R306" si="199">IFERROR((K303/E303-1),"NA")</f>
        <v>NA</v>
      </c>
      <c r="S303" s="91" t="str">
        <f t="shared" ref="S303:S306" si="200">IFERROR((L303/F303-1),"NA")</f>
        <v>NA</v>
      </c>
      <c r="T303" s="91" t="str">
        <f t="shared" ref="T303:T306" si="201">IFERROR((M303/G303-1),"NA")</f>
        <v>NA</v>
      </c>
      <c r="U303" s="91" t="str">
        <f t="shared" ref="U303:U306" si="202">IFERROR((N303/H303-1),"NA")</f>
        <v>NA</v>
      </c>
    </row>
    <row r="304" spans="1:21" x14ac:dyDescent="0.4">
      <c r="A304" s="462">
        <v>126</v>
      </c>
      <c r="B304" s="525" t="s">
        <v>639</v>
      </c>
      <c r="C304" s="156">
        <f t="shared" si="184"/>
        <v>0</v>
      </c>
      <c r="D304" s="7" t="str">
        <f t="shared" si="185"/>
        <v>NA</v>
      </c>
      <c r="E304" s="7" t="str">
        <f t="shared" si="186"/>
        <v>NA</v>
      </c>
      <c r="F304" s="7" t="str">
        <f t="shared" si="187"/>
        <v>NA</v>
      </c>
      <c r="G304" s="7" t="str">
        <f t="shared" si="188"/>
        <v>NA</v>
      </c>
      <c r="H304" s="196" t="str">
        <f t="shared" si="189"/>
        <v>NA</v>
      </c>
      <c r="I304" s="89">
        <f t="shared" si="190"/>
        <v>0</v>
      </c>
      <c r="J304" s="7" t="str">
        <f t="shared" si="191"/>
        <v>NA</v>
      </c>
      <c r="K304" s="7" t="str">
        <f t="shared" si="192"/>
        <v>NA</v>
      </c>
      <c r="L304" s="7" t="str">
        <f t="shared" si="193"/>
        <v>NA</v>
      </c>
      <c r="M304" s="7" t="str">
        <f t="shared" si="194"/>
        <v>NA</v>
      </c>
      <c r="N304" s="90" t="str">
        <f t="shared" si="195"/>
        <v>NA</v>
      </c>
      <c r="O304" s="169" t="str">
        <f t="shared" si="196"/>
        <v>No</v>
      </c>
      <c r="P304" s="231" t="str">
        <f t="shared" si="197"/>
        <v>NA</v>
      </c>
      <c r="Q304" s="91" t="str">
        <f t="shared" si="198"/>
        <v>NA</v>
      </c>
      <c r="R304" s="91" t="str">
        <f t="shared" si="199"/>
        <v>NA</v>
      </c>
      <c r="S304" s="91" t="str">
        <f t="shared" si="200"/>
        <v>NA</v>
      </c>
      <c r="T304" s="91" t="str">
        <f t="shared" si="201"/>
        <v>NA</v>
      </c>
      <c r="U304" s="91" t="str">
        <f t="shared" si="202"/>
        <v>NA</v>
      </c>
    </row>
    <row r="305" spans="1:21" ht="33.6" x14ac:dyDescent="0.4">
      <c r="A305" s="462">
        <v>127</v>
      </c>
      <c r="B305" s="525" t="s">
        <v>640</v>
      </c>
      <c r="C305" s="156">
        <f t="shared" si="184"/>
        <v>0</v>
      </c>
      <c r="D305" s="7" t="str">
        <f t="shared" si="185"/>
        <v>NA</v>
      </c>
      <c r="E305" s="7" t="str">
        <f t="shared" si="186"/>
        <v>NA</v>
      </c>
      <c r="F305" s="7" t="str">
        <f t="shared" si="187"/>
        <v>NA</v>
      </c>
      <c r="G305" s="7" t="str">
        <f t="shared" si="188"/>
        <v>NA</v>
      </c>
      <c r="H305" s="196" t="str">
        <f t="shared" si="189"/>
        <v>NA</v>
      </c>
      <c r="I305" s="89">
        <f t="shared" si="190"/>
        <v>0</v>
      </c>
      <c r="J305" s="7" t="str">
        <f t="shared" si="191"/>
        <v>NA</v>
      </c>
      <c r="K305" s="7" t="str">
        <f t="shared" si="192"/>
        <v>NA</v>
      </c>
      <c r="L305" s="7" t="str">
        <f t="shared" si="193"/>
        <v>NA</v>
      </c>
      <c r="M305" s="7" t="str">
        <f t="shared" si="194"/>
        <v>NA</v>
      </c>
      <c r="N305" s="90" t="str">
        <f t="shared" si="195"/>
        <v>NA</v>
      </c>
      <c r="O305" s="169" t="str">
        <f t="shared" si="196"/>
        <v>No</v>
      </c>
      <c r="P305" s="231" t="str">
        <f t="shared" si="197"/>
        <v>NA</v>
      </c>
      <c r="Q305" s="91" t="str">
        <f t="shared" si="198"/>
        <v>NA</v>
      </c>
      <c r="R305" s="91" t="str">
        <f t="shared" si="199"/>
        <v>NA</v>
      </c>
      <c r="S305" s="91" t="str">
        <f t="shared" si="200"/>
        <v>NA</v>
      </c>
      <c r="T305" s="91" t="str">
        <f t="shared" si="201"/>
        <v>NA</v>
      </c>
      <c r="U305" s="91" t="str">
        <f t="shared" si="202"/>
        <v>NA</v>
      </c>
    </row>
    <row r="306" spans="1:21" x14ac:dyDescent="0.4">
      <c r="A306" s="462">
        <v>128</v>
      </c>
      <c r="B306" s="525" t="s">
        <v>641</v>
      </c>
      <c r="C306" s="156">
        <f t="shared" si="184"/>
        <v>0</v>
      </c>
      <c r="D306" s="7" t="str">
        <f t="shared" si="185"/>
        <v>NA</v>
      </c>
      <c r="E306" s="7" t="str">
        <f t="shared" si="186"/>
        <v>NA</v>
      </c>
      <c r="F306" s="7" t="str">
        <f t="shared" si="187"/>
        <v>NA</v>
      </c>
      <c r="G306" s="7" t="str">
        <f t="shared" si="188"/>
        <v>NA</v>
      </c>
      <c r="H306" s="196" t="str">
        <f t="shared" si="189"/>
        <v>NA</v>
      </c>
      <c r="I306" s="89">
        <f t="shared" si="190"/>
        <v>0</v>
      </c>
      <c r="J306" s="7" t="str">
        <f t="shared" si="191"/>
        <v>NA</v>
      </c>
      <c r="K306" s="7" t="str">
        <f t="shared" si="192"/>
        <v>NA</v>
      </c>
      <c r="L306" s="7" t="str">
        <f t="shared" si="193"/>
        <v>NA</v>
      </c>
      <c r="M306" s="7" t="str">
        <f t="shared" si="194"/>
        <v>NA</v>
      </c>
      <c r="N306" s="90" t="str">
        <f t="shared" si="195"/>
        <v>NA</v>
      </c>
      <c r="O306" s="169" t="str">
        <f t="shared" si="196"/>
        <v>No</v>
      </c>
      <c r="P306" s="231" t="str">
        <f t="shared" si="197"/>
        <v>NA</v>
      </c>
      <c r="Q306" s="91" t="str">
        <f t="shared" si="198"/>
        <v>NA</v>
      </c>
      <c r="R306" s="91" t="str">
        <f t="shared" si="199"/>
        <v>NA</v>
      </c>
      <c r="S306" s="91" t="str">
        <f t="shared" si="200"/>
        <v>NA</v>
      </c>
      <c r="T306" s="91" t="str">
        <f t="shared" si="201"/>
        <v>NA</v>
      </c>
      <c r="U306" s="91" t="str">
        <f t="shared" si="202"/>
        <v>NA</v>
      </c>
    </row>
    <row r="307" spans="1:21" x14ac:dyDescent="0.4">
      <c r="A307" s="210">
        <v>999</v>
      </c>
      <c r="B307" s="525" t="s">
        <v>71</v>
      </c>
      <c r="C307" s="156">
        <f>C341+C375</f>
        <v>0</v>
      </c>
      <c r="D307" s="7" t="str">
        <f>IF(C307=0,"NA",(SUMPRODUCT(D341,C341)+SUMPRODUCT(D375,C375))/C307)</f>
        <v>NA</v>
      </c>
      <c r="E307" s="7" t="str">
        <f>IF(C307=0,"NA",(SUMPRODUCT(E341,C341)+SUMPRODUCT(E375,C375))/C307)</f>
        <v>NA</v>
      </c>
      <c r="F307" s="7" t="str">
        <f>IF(C307=0,"NA",(SUMPRODUCT(F341,C341)+SUMPRODUCT(F375,C375))/C307)</f>
        <v>NA</v>
      </c>
      <c r="G307" s="7" t="str">
        <f>IF(C307=0,"NA",(SUMPRODUCT(G341,C341)+SUMPRODUCT(G375,C375))/C307)</f>
        <v>NA</v>
      </c>
      <c r="H307" s="196" t="str">
        <f>IF(C307=0,"NA",(SUMPRODUCT(H341,C341)+SUMPRODUCT(H375,C375))/C307)</f>
        <v>NA</v>
      </c>
      <c r="I307" s="89">
        <f>I341+I375</f>
        <v>0</v>
      </c>
      <c r="J307" s="7" t="str">
        <f>IF(I307=0,"NA",(SUMPRODUCT(J341,I341)+SUMPRODUCT(J375,I375))/I307)</f>
        <v>NA</v>
      </c>
      <c r="K307" s="7" t="str">
        <f>IF(I307=0,"NA",(SUMPRODUCT(K341,I341)+SUMPRODUCT(K375,I375))/I307)</f>
        <v>NA</v>
      </c>
      <c r="L307" s="7" t="str">
        <f>IF(I307=0,"NA",(SUMPRODUCT(L341,I341)+SUMPRODUCT(L375,I375))/I307)</f>
        <v>NA</v>
      </c>
      <c r="M307" s="7" t="str">
        <f>IF(I307=0,"NA",(SUMPRODUCT(M341,I341)+SUMPRODUCT(M375,I375))/I307)</f>
        <v>NA</v>
      </c>
      <c r="N307" s="246" t="str">
        <f>IF(I307=0,"NA",(SUMPRODUCT(N341,I341)+SUMPRODUCT(N375,I375))/I307)</f>
        <v>NA</v>
      </c>
      <c r="O307" s="169" t="str">
        <f>IFERROR(IF(AND(C307&gt;12000,I307&gt;12000),"Yes","No"),"NA")</f>
        <v>No</v>
      </c>
      <c r="P307" s="231" t="str">
        <f t="shared" si="176"/>
        <v>NA</v>
      </c>
      <c r="Q307" s="91" t="str">
        <f t="shared" si="176"/>
        <v>NA</v>
      </c>
      <c r="R307" s="91" t="str">
        <f t="shared" si="176"/>
        <v>NA</v>
      </c>
      <c r="S307" s="91" t="str">
        <f t="shared" si="176"/>
        <v>NA</v>
      </c>
      <c r="T307" s="91" t="str">
        <f t="shared" si="176"/>
        <v>NA</v>
      </c>
      <c r="U307" s="91" t="str">
        <f t="shared" si="176"/>
        <v>NA</v>
      </c>
    </row>
    <row r="308" spans="1:21" ht="30" customHeight="1" x14ac:dyDescent="0.4">
      <c r="A308" s="572" t="s">
        <v>523</v>
      </c>
      <c r="B308" s="573"/>
      <c r="C308" s="157">
        <f>SUM(C284:C307)</f>
        <v>0</v>
      </c>
      <c r="D308" s="124" t="str">
        <f>IFERROR((SUMPRODUCT(D284:D307,C284:C307)/C308),"NA")</f>
        <v>NA</v>
      </c>
      <c r="E308" s="124" t="str">
        <f>IFERROR((SUMPRODUCT(E284:E307,C284:C307)/C308),"NA")</f>
        <v>NA</v>
      </c>
      <c r="F308" s="124" t="str">
        <f>IFERROR((SUMPRODUCT(F284:F307,C284:C307)/C308),"NA")</f>
        <v>NA</v>
      </c>
      <c r="G308" s="124" t="str">
        <f>IFERROR((SUMPRODUCT(G284:G307,C284:C307)/C308),"NA")</f>
        <v>NA</v>
      </c>
      <c r="H308" s="124" t="str">
        <f>IFERROR((SUMPRODUCT(H284:H307,C284:C307)/C308),"NA")</f>
        <v>NA</v>
      </c>
      <c r="I308" s="158">
        <f>SUM(I284:I307)</f>
        <v>0</v>
      </c>
      <c r="J308" s="124" t="str">
        <f>IFERROR((SUMPRODUCT(J284:J307,I284:I307)/I308),"NA")</f>
        <v>NA</v>
      </c>
      <c r="K308" s="124" t="str">
        <f>IFERROR((SUMPRODUCT(K284:K307,I284:I307)/I308),"NA")</f>
        <v>NA</v>
      </c>
      <c r="L308" s="124" t="str">
        <f>IFERROR((SUMPRODUCT(L284:L307,I284:I307)/I308),"NA")</f>
        <v>NA</v>
      </c>
      <c r="M308" s="239" t="str">
        <f>IFERROR((SUMPRODUCT(M284:M307,I284:I307)/I308),"NA")</f>
        <v>NA</v>
      </c>
      <c r="N308" s="198" t="str">
        <f>IFERROR((SUMPRODUCT(N284:N307,I284:I307)/I308),"NA")</f>
        <v>NA</v>
      </c>
      <c r="O308" s="434" t="s">
        <v>470</v>
      </c>
      <c r="P308" s="386" t="s">
        <v>470</v>
      </c>
      <c r="Q308" s="385" t="s">
        <v>470</v>
      </c>
      <c r="R308" s="385" t="s">
        <v>470</v>
      </c>
      <c r="S308" s="385" t="s">
        <v>470</v>
      </c>
      <c r="T308" s="385" t="s">
        <v>470</v>
      </c>
      <c r="U308" s="385" t="s">
        <v>470</v>
      </c>
    </row>
    <row r="309" spans="1:21" x14ac:dyDescent="0.4">
      <c r="A309" s="574" t="s">
        <v>519</v>
      </c>
      <c r="B309" s="575"/>
      <c r="C309" s="157" t="s">
        <v>470</v>
      </c>
      <c r="D309" s="123" t="str">
        <f>IF($C$308=0,"NA",(SUMPRODUCT(D343,$C$342)+SUMPRODUCT(D377,$C$376))/$C$308)</f>
        <v>NA</v>
      </c>
      <c r="E309" s="123" t="str">
        <f>IF($C$308=0,"NA",(SUMPRODUCT(E343,$C$342)+SUMPRODUCT(E377,$C$376))/$C$308)</f>
        <v>NA</v>
      </c>
      <c r="F309" s="123" t="str">
        <f>IF($C$308=0,"NA",(SUMPRODUCT(F343,$C$342)+SUMPRODUCT(F377,$C$376))/$C$308)</f>
        <v>NA</v>
      </c>
      <c r="G309" s="123" t="str">
        <f>IF($C$308=0,"NA",(SUMPRODUCT(G343,$C$342)+SUMPRODUCT(G377,$C$376))/$C$308)</f>
        <v>NA</v>
      </c>
      <c r="H309" s="123" t="str">
        <f>IF($C$308=0,"NA",(SUMPRODUCT(H343,$C$342)+SUMPRODUCT(H377,$C$376))/$C$308)</f>
        <v>NA</v>
      </c>
      <c r="I309" s="158" t="s">
        <v>470</v>
      </c>
      <c r="J309" s="123" t="str">
        <f>IF($I$308=0,"NA",(SUMPRODUCT(J343,$I$342)+SUMPRODUCT(J377,$I$376))/$I$308)</f>
        <v>NA</v>
      </c>
      <c r="K309" s="123" t="str">
        <f>IF($I$308=0,"NA",(SUMPRODUCT(K343,$I$342)+SUMPRODUCT(K377,$I$376))/$I$308)</f>
        <v>NA</v>
      </c>
      <c r="L309" s="123" t="str">
        <f>IF($I$308=0,"NA",(SUMPRODUCT(L343,$I$342)+SUMPRODUCT(L377,$I$376))/$I$308)</f>
        <v>NA</v>
      </c>
      <c r="M309" s="123" t="str">
        <f>IF($I$308=0,"NA",(SUMPRODUCT(M343,$I$342)+SUMPRODUCT(M377,$I$376))/$I$308)</f>
        <v>NA</v>
      </c>
      <c r="N309" s="247" t="str">
        <f>IF($I$308=0,"NA",(SUMPRODUCT(N343,$I$342)+SUMPRODUCT(N377,$I$376))/$I$308)</f>
        <v>NA</v>
      </c>
      <c r="O309" s="434" t="s">
        <v>470</v>
      </c>
      <c r="P309" s="386" t="s">
        <v>470</v>
      </c>
      <c r="Q309" s="385" t="s">
        <v>470</v>
      </c>
      <c r="R309" s="385" t="s">
        <v>470</v>
      </c>
      <c r="S309" s="385" t="s">
        <v>470</v>
      </c>
      <c r="T309" s="385" t="s">
        <v>470</v>
      </c>
      <c r="U309" s="385" t="s">
        <v>470</v>
      </c>
    </row>
    <row r="310" spans="1:21" x14ac:dyDescent="0.4">
      <c r="A310" s="558" t="s">
        <v>520</v>
      </c>
      <c r="B310" s="559"/>
      <c r="C310" s="173">
        <f>ABS(C308-C283)</f>
        <v>0</v>
      </c>
      <c r="D310" s="174" t="e">
        <f>ABS(D308-D283)</f>
        <v>#VALUE!</v>
      </c>
      <c r="E310" s="174" t="e">
        <f>ABS(E308-E283)</f>
        <v>#VALUE!</v>
      </c>
      <c r="F310" s="174" t="e">
        <f>ABS(F308-F283)</f>
        <v>#VALUE!</v>
      </c>
      <c r="G310" s="174" t="s">
        <v>470</v>
      </c>
      <c r="H310" s="225" t="s">
        <v>470</v>
      </c>
      <c r="I310" s="175">
        <f>ABS(I308-I283)</f>
        <v>0</v>
      </c>
      <c r="J310" s="174" t="e">
        <f>ABS(J308-J283)</f>
        <v>#VALUE!</v>
      </c>
      <c r="K310" s="174" t="e">
        <f>ABS(K308-K283)</f>
        <v>#VALUE!</v>
      </c>
      <c r="L310" s="174" t="e">
        <f>ABS(L308-L283)</f>
        <v>#VALUE!</v>
      </c>
      <c r="M310" s="174" t="s">
        <v>470</v>
      </c>
      <c r="N310" s="225" t="s">
        <v>470</v>
      </c>
      <c r="O310" s="435" t="s">
        <v>470</v>
      </c>
      <c r="P310" s="436" t="s">
        <v>470</v>
      </c>
      <c r="Q310" s="438" t="s">
        <v>470</v>
      </c>
      <c r="R310" s="438" t="s">
        <v>470</v>
      </c>
      <c r="S310" s="438" t="s">
        <v>470</v>
      </c>
      <c r="T310" s="438" t="s">
        <v>470</v>
      </c>
      <c r="U310" s="438" t="s">
        <v>470</v>
      </c>
    </row>
    <row r="311" spans="1:21" x14ac:dyDescent="0.4">
      <c r="A311" s="560" t="s">
        <v>521</v>
      </c>
      <c r="B311" s="561"/>
      <c r="C311" s="245" t="str">
        <f>IF(((ABS(C283-C308))&lt;10),"Yes","No")</f>
        <v>Yes</v>
      </c>
      <c r="D311" s="174" t="e">
        <f>IF(((ABS(D283-D308))&lt;10),"Yes","No")</f>
        <v>#VALUE!</v>
      </c>
      <c r="E311" s="174" t="e">
        <f>IF(((ABS(E283-E308))&lt;10),"Yes","No")</f>
        <v>#VALUE!</v>
      </c>
      <c r="F311" s="174" t="e">
        <f>IF(((ABS(F283-F308))&lt;10),"Yes","No")</f>
        <v>#VALUE!</v>
      </c>
      <c r="G311" s="174" t="s">
        <v>470</v>
      </c>
      <c r="H311" s="225" t="s">
        <v>470</v>
      </c>
      <c r="I311" s="242" t="str">
        <f>IF(((ABS(I283-I308))&lt;10),"Yes","No")</f>
        <v>Yes</v>
      </c>
      <c r="J311" s="174" t="e">
        <f>IF(((ABS(J283-J308))&lt;10),"Yes","No")</f>
        <v>#VALUE!</v>
      </c>
      <c r="K311" s="174" t="e">
        <f>IF(((ABS(K283-K308))&lt;10),"Yes","No")</f>
        <v>#VALUE!</v>
      </c>
      <c r="L311" s="174" t="e">
        <f>IF(((ABS(L283-L308))&lt;10),"Yes","No")</f>
        <v>#VALUE!</v>
      </c>
      <c r="M311" s="174" t="s">
        <v>470</v>
      </c>
      <c r="N311" s="225" t="s">
        <v>470</v>
      </c>
      <c r="O311" s="435" t="s">
        <v>470</v>
      </c>
      <c r="P311" s="436" t="s">
        <v>470</v>
      </c>
      <c r="Q311" s="438" t="s">
        <v>470</v>
      </c>
      <c r="R311" s="438" t="s">
        <v>470</v>
      </c>
      <c r="S311" s="438" t="s">
        <v>470</v>
      </c>
      <c r="T311" s="438" t="s">
        <v>470</v>
      </c>
      <c r="U311" s="438" t="s">
        <v>470</v>
      </c>
    </row>
    <row r="312" spans="1:21" x14ac:dyDescent="0.4">
      <c r="A312"/>
      <c r="B312"/>
      <c r="C312"/>
      <c r="D312"/>
      <c r="E312"/>
      <c r="F312"/>
      <c r="G312"/>
      <c r="H312"/>
      <c r="I312"/>
      <c r="J312"/>
      <c r="K312"/>
      <c r="L312"/>
      <c r="M312"/>
      <c r="N312"/>
      <c r="O312" s="2"/>
      <c r="P312"/>
      <c r="Q312"/>
      <c r="R312"/>
      <c r="S312"/>
      <c r="T312"/>
      <c r="U312"/>
    </row>
    <row r="313" spans="1:21" x14ac:dyDescent="0.4">
      <c r="A313"/>
      <c r="B313"/>
      <c r="C313"/>
      <c r="D313"/>
      <c r="E313"/>
      <c r="F313"/>
      <c r="G313"/>
      <c r="H313"/>
      <c r="I313"/>
      <c r="J313"/>
      <c r="K313"/>
      <c r="L313"/>
      <c r="M313"/>
      <c r="N313"/>
      <c r="O313" s="2"/>
      <c r="P313"/>
      <c r="Q313"/>
      <c r="R313"/>
      <c r="S313"/>
      <c r="T313"/>
      <c r="U313"/>
    </row>
    <row r="314" spans="1:21" x14ac:dyDescent="0.4">
      <c r="A314" s="3" t="s">
        <v>531</v>
      </c>
      <c r="B314"/>
      <c r="C314"/>
      <c r="D314"/>
      <c r="E314"/>
      <c r="F314"/>
      <c r="G314"/>
      <c r="H314"/>
      <c r="I314"/>
      <c r="J314"/>
      <c r="K314"/>
      <c r="L314"/>
      <c r="M314"/>
      <c r="N314"/>
      <c r="O314" s="2"/>
      <c r="P314"/>
      <c r="Q314"/>
      <c r="R314"/>
      <c r="S314"/>
      <c r="T314"/>
      <c r="U314"/>
    </row>
    <row r="315" spans="1:21" x14ac:dyDescent="0.4">
      <c r="A315" s="562" t="s">
        <v>66</v>
      </c>
      <c r="B315" s="564" t="s">
        <v>505</v>
      </c>
      <c r="C315" s="566">
        <v>2024</v>
      </c>
      <c r="D315" s="567"/>
      <c r="E315" s="567"/>
      <c r="F315" s="567"/>
      <c r="G315" s="567"/>
      <c r="H315" s="568"/>
      <c r="I315" s="569">
        <v>2025</v>
      </c>
      <c r="J315" s="570"/>
      <c r="K315" s="570"/>
      <c r="L315" s="570"/>
      <c r="M315" s="570"/>
      <c r="N315" s="571"/>
      <c r="O315" s="576" t="s">
        <v>644</v>
      </c>
      <c r="P315" s="577"/>
      <c r="Q315" s="577"/>
      <c r="R315" s="577"/>
      <c r="S315" s="577"/>
      <c r="T315" s="577"/>
      <c r="U315" s="578"/>
    </row>
    <row r="316" spans="1:21" ht="50.4" x14ac:dyDescent="0.4">
      <c r="A316" s="563"/>
      <c r="B316" s="565"/>
      <c r="C316" s="85" t="s">
        <v>328</v>
      </c>
      <c r="D316" s="85" t="s">
        <v>507</v>
      </c>
      <c r="E316" s="85" t="s">
        <v>508</v>
      </c>
      <c r="F316" s="85" t="s">
        <v>509</v>
      </c>
      <c r="G316" s="85" t="s">
        <v>510</v>
      </c>
      <c r="H316" s="197" t="s">
        <v>511</v>
      </c>
      <c r="I316" s="81" t="s">
        <v>328</v>
      </c>
      <c r="J316" s="82" t="s">
        <v>507</v>
      </c>
      <c r="K316" s="82" t="s">
        <v>508</v>
      </c>
      <c r="L316" s="82" t="s">
        <v>509</v>
      </c>
      <c r="M316" s="82" t="s">
        <v>510</v>
      </c>
      <c r="N316" s="83" t="s">
        <v>511</v>
      </c>
      <c r="O316" s="410" t="s">
        <v>635</v>
      </c>
      <c r="P316" s="230" t="s">
        <v>512</v>
      </c>
      <c r="Q316" s="71" t="s">
        <v>513</v>
      </c>
      <c r="R316" s="71" t="s">
        <v>514</v>
      </c>
      <c r="S316" s="71" t="s">
        <v>515</v>
      </c>
      <c r="T316" s="71" t="s">
        <v>516</v>
      </c>
      <c r="U316" s="209" t="s">
        <v>517</v>
      </c>
    </row>
    <row r="317" spans="1:21" x14ac:dyDescent="0.4">
      <c r="A317" s="211">
        <v>100</v>
      </c>
      <c r="B317" s="525" t="s">
        <v>67</v>
      </c>
      <c r="C317" s="8">
        <f>SUMIFS(TM[[#All],[Member Months]],TM[[#All],[Reporting Year]],2024,TM[[#All],[Insurance Category Code]],2,TM[[#All],[Large Provider Entity Code]],A317)</f>
        <v>0</v>
      </c>
      <c r="D317" s="7" t="str">
        <f>IFERROR(SUMIFS(TM[[#All],[Total Non-Truncated Claims Spending]],TM[[#All],[Reporting Year]],2024,TM[[#All],[Insurance Category Code]],2,TM[[#All],[Large Provider Entity Code]],A317)/C317,"NA")</f>
        <v>NA</v>
      </c>
      <c r="E317" s="7" t="str">
        <f>IFERROR(SUMIFS(TM[[#All],[Total Non-Claims Spending]],TM[[#All],[Reporting Year]],2024,TM[[#All],[Insurance Category Code]],2,TM[[#All],[Large Provider Entity Code]],A317)/C317,"NA")</f>
        <v>NA</v>
      </c>
      <c r="F317" s="7" t="str">
        <f>IFERROR(SUMIFS(TM[[#All],[Total Non-Truncated Claims and Non-Claims Spending]],TM[[#All],[Reporting Year]],2024,TM[[#All],[Insurance Category Code]],2,TM[[#All],[Large Provider Entity Code]],A317)/C317,"NA")</f>
        <v>NA</v>
      </c>
      <c r="G317" s="7" t="str">
        <f>IFERROR(SUMIFS(TM[[#All],[Total Truncated Claims Spending]],TM[[#All],[Reporting Year]],2024,TM[[#All],[Insurance Category Code]],2,TM[[#All],[Large Provider Entity Code]],A317)/C317,"NA")</f>
        <v>NA</v>
      </c>
      <c r="H317" s="196" t="str">
        <f>IFERROR(SUMIFS(TM[[#All],[Total Truncated Expenses]],TM[[#All],[Reporting Year]],2024,TM[[#All],[Insurance Category Code]],2,TM[[#All],[Large Provider Entity Code]],A317)/C317,"NA")</f>
        <v>NA</v>
      </c>
      <c r="I317" s="89">
        <f>SUMIFS(TM[[#All],[Member Months]],TM[[#All],[Reporting Year]],2025,TM[[#All],[Insurance Category Code]],2,TM[[#All],[Large Provider Entity Code]],A317)</f>
        <v>0</v>
      </c>
      <c r="J317" s="7" t="str">
        <f>IFERROR(SUMIFS(TM[[#All],[Total Non-Truncated Claims Spending]],TM[[#All],[Reporting Year]],2025,TM[[#All],[Insurance Category Code]],2,TM[[#All],[Large Provider Entity Code]],A317)/I317,"NA")</f>
        <v>NA</v>
      </c>
      <c r="K317" s="7" t="str">
        <f>IFERROR(SUMIFS(TM[[#All],[Total Non-Claims Spending]],TM[[#All],[Reporting Year]],2025,TM[[#All],[Insurance Category Code]],2,TM[[#All],[Large Provider Entity Code]],A317)/I317,"NA")</f>
        <v>NA</v>
      </c>
      <c r="L317" s="7" t="str">
        <f>IFERROR(SUMIFS(TM[[#All],[Total Non-Truncated Claims and Non-Claims Spending]],TM[[#All],[Reporting Year]],2025,TM[[#All],[Insurance Category Code]],2,TM[[#All],[Large Provider Entity Code]],A317)/I317,"NA")</f>
        <v>NA</v>
      </c>
      <c r="M317" s="7" t="str">
        <f>IFERROR(SUMIFS(TM[[#All],[Total Truncated Claims Spending]],TM[[#All],[Reporting Year]],2025,TM[[#All],[Insurance Category Code]],2,TM[[#All],[Large Provider Entity Code]],A317)/I317,"NA")</f>
        <v>NA</v>
      </c>
      <c r="N317" s="90" t="str">
        <f>IFERROR(SUMIFS(TM[[#All],[Total Truncated Expenses]],TM[[#All],[Reporting Year]],2025,TM[[#All],[Insurance Category Code]],2,TM[[#All],[Large Provider Entity Code]],A317)/I317,"NA")</f>
        <v>NA</v>
      </c>
      <c r="O317" s="169" t="str">
        <f>IFERROR(IF(AND(C317&gt;12000,I317&gt;12000),"Yes","No"),"NA")</f>
        <v>No</v>
      </c>
      <c r="P317" s="231" t="str">
        <f t="shared" ref="P317:U341" si="203">IFERROR((I317/C317-1),"NA")</f>
        <v>NA</v>
      </c>
      <c r="Q317" s="91" t="str">
        <f t="shared" si="203"/>
        <v>NA</v>
      </c>
      <c r="R317" s="91" t="str">
        <f t="shared" si="203"/>
        <v>NA</v>
      </c>
      <c r="S317" s="91" t="str">
        <f t="shared" si="203"/>
        <v>NA</v>
      </c>
      <c r="T317" s="91" t="str">
        <f t="shared" si="203"/>
        <v>NA</v>
      </c>
      <c r="U317" s="91" t="str">
        <f t="shared" si="203"/>
        <v>NA</v>
      </c>
    </row>
    <row r="318" spans="1:21" x14ac:dyDescent="0.4">
      <c r="A318" s="210">
        <v>101</v>
      </c>
      <c r="B318" s="525" t="s">
        <v>562</v>
      </c>
      <c r="C318" s="8">
        <f>SUMIFS(TM[[#All],[Member Months]],TM[[#All],[Reporting Year]],2024,TM[[#All],[Insurance Category Code]],2,TM[[#All],[Large Provider Entity Code]],A318)</f>
        <v>0</v>
      </c>
      <c r="D318" s="7" t="str">
        <f>IFERROR(SUMIFS(TM[[#All],[Total Non-Truncated Claims Spending]],TM[[#All],[Reporting Year]],2024,TM[[#All],[Insurance Category Code]],2,TM[[#All],[Large Provider Entity Code]],A318)/C318,"NA")</f>
        <v>NA</v>
      </c>
      <c r="E318" s="7" t="str">
        <f>IFERROR(SUMIFS(TM[[#All],[Total Non-Claims Spending]],TM[[#All],[Reporting Year]],2024,TM[[#All],[Insurance Category Code]],2,TM[[#All],[Large Provider Entity Code]],A318)/C318,"NA")</f>
        <v>NA</v>
      </c>
      <c r="F318" s="7" t="str">
        <f>IFERROR(SUMIFS(TM[[#All],[Total Non-Truncated Claims and Non-Claims Spending]],TM[[#All],[Reporting Year]],2024,TM[[#All],[Insurance Category Code]],2,TM[[#All],[Large Provider Entity Code]],A318)/C318,"NA")</f>
        <v>NA</v>
      </c>
      <c r="G318" s="7" t="str">
        <f>IFERROR(SUMIFS(TM[[#All],[Total Truncated Claims Spending]],TM[[#All],[Reporting Year]],2024,TM[[#All],[Insurance Category Code]],2,TM[[#All],[Large Provider Entity Code]],A318)/C318,"NA")</f>
        <v>NA</v>
      </c>
      <c r="H318" s="196" t="str">
        <f>IFERROR(SUMIFS(TM[[#All],[Total Truncated Expenses]],TM[[#All],[Reporting Year]],2024,TM[[#All],[Insurance Category Code]],2,TM[[#All],[Large Provider Entity Code]],A318)/C318,"NA")</f>
        <v>NA</v>
      </c>
      <c r="I318" s="89">
        <f>SUMIFS(TM[[#All],[Member Months]],TM[[#All],[Reporting Year]],2025,TM[[#All],[Insurance Category Code]],2,TM[[#All],[Large Provider Entity Code]],A318)</f>
        <v>0</v>
      </c>
      <c r="J318" s="7" t="str">
        <f>IFERROR(SUMIFS(TM[[#All],[Total Non-Truncated Claims Spending]],TM[[#All],[Reporting Year]],2025,TM[[#All],[Insurance Category Code]],2,TM[[#All],[Large Provider Entity Code]],A318)/I318,"NA")</f>
        <v>NA</v>
      </c>
      <c r="K318" s="7" t="str">
        <f>IFERROR(SUMIFS(TM[[#All],[Total Non-Claims Spending]],TM[[#All],[Reporting Year]],2025,TM[[#All],[Insurance Category Code]],2,TM[[#All],[Large Provider Entity Code]],A318)/I318,"NA")</f>
        <v>NA</v>
      </c>
      <c r="L318" s="7" t="str">
        <f>IFERROR(SUMIFS(TM[[#All],[Total Non-Truncated Claims and Non-Claims Spending]],TM[[#All],[Reporting Year]],2025,TM[[#All],[Insurance Category Code]],2,TM[[#All],[Large Provider Entity Code]],A318)/I318,"NA")</f>
        <v>NA</v>
      </c>
      <c r="M318" s="7" t="str">
        <f>IFERROR(SUMIFS(TM[[#All],[Total Truncated Claims Spending]],TM[[#All],[Reporting Year]],2025,TM[[#All],[Insurance Category Code]],2,TM[[#All],[Large Provider Entity Code]],A318)/I318,"NA")</f>
        <v>NA</v>
      </c>
      <c r="N318" s="90" t="str">
        <f>IFERROR(SUMIFS(TM[[#All],[Total Truncated Expenses]],TM[[#All],[Reporting Year]],2025,TM[[#All],[Insurance Category Code]],2,TM[[#All],[Large Provider Entity Code]],A318)/I318,"NA")</f>
        <v>NA</v>
      </c>
      <c r="O318" s="169" t="str">
        <f t="shared" ref="O318:O336" si="204">IFERROR(IF(AND(C318&gt;12000,I318&gt;12000),"Yes","No"),"NA")</f>
        <v>No</v>
      </c>
      <c r="P318" s="231" t="str">
        <f t="shared" si="203"/>
        <v>NA</v>
      </c>
      <c r="Q318" s="91" t="str">
        <f t="shared" si="203"/>
        <v>NA</v>
      </c>
      <c r="R318" s="91" t="str">
        <f t="shared" si="203"/>
        <v>NA</v>
      </c>
      <c r="S318" s="91" t="str">
        <f t="shared" si="203"/>
        <v>NA</v>
      </c>
      <c r="T318" s="91" t="str">
        <f t="shared" si="203"/>
        <v>NA</v>
      </c>
      <c r="U318" s="91" t="str">
        <f t="shared" si="203"/>
        <v>NA</v>
      </c>
    </row>
    <row r="319" spans="1:21" x14ac:dyDescent="0.4">
      <c r="A319" s="210">
        <v>102</v>
      </c>
      <c r="B319" s="525" t="s">
        <v>607</v>
      </c>
      <c r="C319" s="8">
        <f>SUMIFS(TM[[#All],[Member Months]],TM[[#All],[Reporting Year]],2024,TM[[#All],[Insurance Category Code]],2,TM[[#All],[Large Provider Entity Code]],A319)</f>
        <v>0</v>
      </c>
      <c r="D319" s="7" t="str">
        <f>IFERROR(SUMIFS(TM[[#All],[Total Non-Truncated Claims Spending]],TM[[#All],[Reporting Year]],2024,TM[[#All],[Insurance Category Code]],2,TM[[#All],[Large Provider Entity Code]],A319)/C319,"NA")</f>
        <v>NA</v>
      </c>
      <c r="E319" s="7" t="str">
        <f>IFERROR(SUMIFS(TM[[#All],[Total Non-Claims Spending]],TM[[#All],[Reporting Year]],2024,TM[[#All],[Insurance Category Code]],2,TM[[#All],[Large Provider Entity Code]],A319)/C319,"NA")</f>
        <v>NA</v>
      </c>
      <c r="F319" s="7" t="str">
        <f>IFERROR(SUMIFS(TM[[#All],[Total Non-Truncated Claims and Non-Claims Spending]],TM[[#All],[Reporting Year]],2024,TM[[#All],[Insurance Category Code]],2,TM[[#All],[Large Provider Entity Code]],A319)/C319,"NA")</f>
        <v>NA</v>
      </c>
      <c r="G319" s="7" t="str">
        <f>IFERROR(SUMIFS(TM[[#All],[Total Truncated Claims Spending]],TM[[#All],[Reporting Year]],2024,TM[[#All],[Insurance Category Code]],2,TM[[#All],[Large Provider Entity Code]],A319)/C319,"NA")</f>
        <v>NA</v>
      </c>
      <c r="H319" s="196" t="str">
        <f>IFERROR(SUMIFS(TM[[#All],[Total Truncated Expenses]],TM[[#All],[Reporting Year]],2024,TM[[#All],[Insurance Category Code]],2,TM[[#All],[Large Provider Entity Code]],A319)/C319,"NA")</f>
        <v>NA</v>
      </c>
      <c r="I319" s="89">
        <f>SUMIFS(TM[[#All],[Member Months]],TM[[#All],[Reporting Year]],2025,TM[[#All],[Insurance Category Code]],2,TM[[#All],[Large Provider Entity Code]],A319)</f>
        <v>0</v>
      </c>
      <c r="J319" s="7" t="str">
        <f>IFERROR(SUMIFS(TM[[#All],[Total Non-Truncated Claims Spending]],TM[[#All],[Reporting Year]],2025,TM[[#All],[Insurance Category Code]],2,TM[[#All],[Large Provider Entity Code]],A319)/I319,"NA")</f>
        <v>NA</v>
      </c>
      <c r="K319" s="7" t="str">
        <f>IFERROR(SUMIFS(TM[[#All],[Total Non-Claims Spending]],TM[[#All],[Reporting Year]],2025,TM[[#All],[Insurance Category Code]],2,TM[[#All],[Large Provider Entity Code]],A319)/I319,"NA")</f>
        <v>NA</v>
      </c>
      <c r="L319" s="7" t="str">
        <f>IFERROR(SUMIFS(TM[[#All],[Total Non-Truncated Claims and Non-Claims Spending]],TM[[#All],[Reporting Year]],2025,TM[[#All],[Insurance Category Code]],2,TM[[#All],[Large Provider Entity Code]],A319)/I319,"NA")</f>
        <v>NA</v>
      </c>
      <c r="M319" s="7" t="str">
        <f>IFERROR(SUMIFS(TM[[#All],[Total Truncated Claims Spending]],TM[[#All],[Reporting Year]],2025,TM[[#All],[Insurance Category Code]],2,TM[[#All],[Large Provider Entity Code]],A319)/I319,"NA")</f>
        <v>NA</v>
      </c>
      <c r="N319" s="90" t="str">
        <f>IFERROR(SUMIFS(TM[[#All],[Total Truncated Expenses]],TM[[#All],[Reporting Year]],2025,TM[[#All],[Insurance Category Code]],2,TM[[#All],[Large Provider Entity Code]],A319)/I319,"NA")</f>
        <v>NA</v>
      </c>
      <c r="O319" s="169" t="str">
        <f t="shared" si="204"/>
        <v>No</v>
      </c>
      <c r="P319" s="231" t="str">
        <f t="shared" si="203"/>
        <v>NA</v>
      </c>
      <c r="Q319" s="91" t="str">
        <f t="shared" si="203"/>
        <v>NA</v>
      </c>
      <c r="R319" s="91" t="str">
        <f t="shared" si="203"/>
        <v>NA</v>
      </c>
      <c r="S319" s="91" t="str">
        <f t="shared" si="203"/>
        <v>NA</v>
      </c>
      <c r="T319" s="91" t="str">
        <f t="shared" si="203"/>
        <v>NA</v>
      </c>
      <c r="U319" s="91" t="str">
        <f t="shared" si="203"/>
        <v>NA</v>
      </c>
    </row>
    <row r="320" spans="1:21" x14ac:dyDescent="0.4">
      <c r="A320" s="210">
        <v>104</v>
      </c>
      <c r="B320" s="525" t="s">
        <v>608</v>
      </c>
      <c r="C320" s="8">
        <f>SUMIFS(TM[[#All],[Member Months]],TM[[#All],[Reporting Year]],2024,TM[[#All],[Insurance Category Code]],2,TM[[#All],[Large Provider Entity Code]],A320)</f>
        <v>0</v>
      </c>
      <c r="D320" s="7" t="str">
        <f>IFERROR(SUMIFS(TM[[#All],[Total Non-Truncated Claims Spending]],TM[[#All],[Reporting Year]],2024,TM[[#All],[Insurance Category Code]],2,TM[[#All],[Large Provider Entity Code]],A320)/C320,"NA")</f>
        <v>NA</v>
      </c>
      <c r="E320" s="7" t="str">
        <f>IFERROR(SUMIFS(TM[[#All],[Total Non-Claims Spending]],TM[[#All],[Reporting Year]],2024,TM[[#All],[Insurance Category Code]],2,TM[[#All],[Large Provider Entity Code]],A320)/C320,"NA")</f>
        <v>NA</v>
      </c>
      <c r="F320" s="7" t="str">
        <f>IFERROR(SUMIFS(TM[[#All],[Total Non-Truncated Claims and Non-Claims Spending]],TM[[#All],[Reporting Year]],2024,TM[[#All],[Insurance Category Code]],2,TM[[#All],[Large Provider Entity Code]],A320)/C320,"NA")</f>
        <v>NA</v>
      </c>
      <c r="G320" s="7" t="str">
        <f>IFERROR(SUMIFS(TM[[#All],[Total Truncated Claims Spending]],TM[[#All],[Reporting Year]],2024,TM[[#All],[Insurance Category Code]],2,TM[[#All],[Large Provider Entity Code]],A320)/C320,"NA")</f>
        <v>NA</v>
      </c>
      <c r="H320" s="196" t="str">
        <f>IFERROR(SUMIFS(TM[[#All],[Total Truncated Expenses]],TM[[#All],[Reporting Year]],2024,TM[[#All],[Insurance Category Code]],2,TM[[#All],[Large Provider Entity Code]],A320)/C320,"NA")</f>
        <v>NA</v>
      </c>
      <c r="I320" s="89">
        <f>SUMIFS(TM[[#All],[Member Months]],TM[[#All],[Reporting Year]],2025,TM[[#All],[Insurance Category Code]],2,TM[[#All],[Large Provider Entity Code]],A320)</f>
        <v>0</v>
      </c>
      <c r="J320" s="7" t="str">
        <f>IFERROR(SUMIFS(TM[[#All],[Total Non-Truncated Claims Spending]],TM[[#All],[Reporting Year]],2025,TM[[#All],[Insurance Category Code]],2,TM[[#All],[Large Provider Entity Code]],A320)/I320,"NA")</f>
        <v>NA</v>
      </c>
      <c r="K320" s="7" t="str">
        <f>IFERROR(SUMIFS(TM[[#All],[Total Non-Claims Spending]],TM[[#All],[Reporting Year]],2025,TM[[#All],[Insurance Category Code]],2,TM[[#All],[Large Provider Entity Code]],A320)/I320,"NA")</f>
        <v>NA</v>
      </c>
      <c r="L320" s="7" t="str">
        <f>IFERROR(SUMIFS(TM[[#All],[Total Non-Truncated Claims and Non-Claims Spending]],TM[[#All],[Reporting Year]],2025,TM[[#All],[Insurance Category Code]],2,TM[[#All],[Large Provider Entity Code]],A320)/I320,"NA")</f>
        <v>NA</v>
      </c>
      <c r="M320" s="7" t="str">
        <f>IFERROR(SUMIFS(TM[[#All],[Total Truncated Claims Spending]],TM[[#All],[Reporting Year]],2025,TM[[#All],[Insurance Category Code]],2,TM[[#All],[Large Provider Entity Code]],A320)/I320,"NA")</f>
        <v>NA</v>
      </c>
      <c r="N320" s="90" t="str">
        <f>IFERROR(SUMIFS(TM[[#All],[Total Truncated Expenses]],TM[[#All],[Reporting Year]],2025,TM[[#All],[Insurance Category Code]],2,TM[[#All],[Large Provider Entity Code]],A320)/I320,"NA")</f>
        <v>NA</v>
      </c>
      <c r="O320" s="169" t="str">
        <f t="shared" si="204"/>
        <v>No</v>
      </c>
      <c r="P320" s="231" t="str">
        <f t="shared" si="203"/>
        <v>NA</v>
      </c>
      <c r="Q320" s="91" t="str">
        <f t="shared" si="203"/>
        <v>NA</v>
      </c>
      <c r="R320" s="91" t="str">
        <f t="shared" si="203"/>
        <v>NA</v>
      </c>
      <c r="S320" s="91" t="str">
        <f t="shared" si="203"/>
        <v>NA</v>
      </c>
      <c r="T320" s="91" t="str">
        <f t="shared" si="203"/>
        <v>NA</v>
      </c>
      <c r="U320" s="91" t="str">
        <f t="shared" si="203"/>
        <v>NA</v>
      </c>
    </row>
    <row r="321" spans="1:21" ht="33.6" x14ac:dyDescent="0.4">
      <c r="A321" s="210">
        <v>105</v>
      </c>
      <c r="B321" s="525" t="s">
        <v>609</v>
      </c>
      <c r="C321" s="8">
        <f>SUMIFS(TM[[#All],[Member Months]],TM[[#All],[Reporting Year]],2024,TM[[#All],[Insurance Category Code]],2,TM[[#All],[Large Provider Entity Code]],A321)</f>
        <v>0</v>
      </c>
      <c r="D321" s="7" t="str">
        <f>IFERROR(SUMIFS(TM[[#All],[Total Non-Truncated Claims Spending]],TM[[#All],[Reporting Year]],2024,TM[[#All],[Insurance Category Code]],2,TM[[#All],[Large Provider Entity Code]],A321)/C321,"NA")</f>
        <v>NA</v>
      </c>
      <c r="E321" s="7" t="str">
        <f>IFERROR(SUMIFS(TM[[#All],[Total Non-Claims Spending]],TM[[#All],[Reporting Year]],2024,TM[[#All],[Insurance Category Code]],2,TM[[#All],[Large Provider Entity Code]],A321)/C321,"NA")</f>
        <v>NA</v>
      </c>
      <c r="F321" s="7" t="str">
        <f>IFERROR(SUMIFS(TM[[#All],[Total Non-Truncated Claims and Non-Claims Spending]],TM[[#All],[Reporting Year]],2024,TM[[#All],[Insurance Category Code]],2,TM[[#All],[Large Provider Entity Code]],A321)/C321,"NA")</f>
        <v>NA</v>
      </c>
      <c r="G321" s="7" t="str">
        <f>IFERROR(SUMIFS(TM[[#All],[Total Truncated Claims Spending]],TM[[#All],[Reporting Year]],2024,TM[[#All],[Insurance Category Code]],2,TM[[#All],[Large Provider Entity Code]],A321)/C321,"NA")</f>
        <v>NA</v>
      </c>
      <c r="H321" s="196" t="str">
        <f>IFERROR(SUMIFS(TM[[#All],[Total Truncated Expenses]],TM[[#All],[Reporting Year]],2024,TM[[#All],[Insurance Category Code]],2,TM[[#All],[Large Provider Entity Code]],A321)/C321,"NA")</f>
        <v>NA</v>
      </c>
      <c r="I321" s="89">
        <f>SUMIFS(TM[[#All],[Member Months]],TM[[#All],[Reporting Year]],2025,TM[[#All],[Insurance Category Code]],2,TM[[#All],[Large Provider Entity Code]],A321)</f>
        <v>0</v>
      </c>
      <c r="J321" s="7" t="str">
        <f>IFERROR(SUMIFS(TM[[#All],[Total Non-Truncated Claims Spending]],TM[[#All],[Reporting Year]],2025,TM[[#All],[Insurance Category Code]],2,TM[[#All],[Large Provider Entity Code]],A321)/I321,"NA")</f>
        <v>NA</v>
      </c>
      <c r="K321" s="7" t="str">
        <f>IFERROR(SUMIFS(TM[[#All],[Total Non-Claims Spending]],TM[[#All],[Reporting Year]],2025,TM[[#All],[Insurance Category Code]],2,TM[[#All],[Large Provider Entity Code]],A321)/I321,"NA")</f>
        <v>NA</v>
      </c>
      <c r="L321" s="7" t="str">
        <f>IFERROR(SUMIFS(TM[[#All],[Total Non-Truncated Claims and Non-Claims Spending]],TM[[#All],[Reporting Year]],2025,TM[[#All],[Insurance Category Code]],2,TM[[#All],[Large Provider Entity Code]],A321)/I321,"NA")</f>
        <v>NA</v>
      </c>
      <c r="M321" s="7" t="str">
        <f>IFERROR(SUMIFS(TM[[#All],[Total Truncated Claims Spending]],TM[[#All],[Reporting Year]],2025,TM[[#All],[Insurance Category Code]],2,TM[[#All],[Large Provider Entity Code]],A321)/I321,"NA")</f>
        <v>NA</v>
      </c>
      <c r="N321" s="90" t="str">
        <f>IFERROR(SUMIFS(TM[[#All],[Total Truncated Expenses]],TM[[#All],[Reporting Year]],2025,TM[[#All],[Insurance Category Code]],2,TM[[#All],[Large Provider Entity Code]],A321)/I321,"NA")</f>
        <v>NA</v>
      </c>
      <c r="O321" s="169" t="str">
        <f t="shared" si="204"/>
        <v>No</v>
      </c>
      <c r="P321" s="231" t="str">
        <f t="shared" si="203"/>
        <v>NA</v>
      </c>
      <c r="Q321" s="91" t="str">
        <f t="shared" si="203"/>
        <v>NA</v>
      </c>
      <c r="R321" s="91" t="str">
        <f t="shared" si="203"/>
        <v>NA</v>
      </c>
      <c r="S321" s="91" t="str">
        <f t="shared" si="203"/>
        <v>NA</v>
      </c>
      <c r="T321" s="91" t="str">
        <f t="shared" si="203"/>
        <v>NA</v>
      </c>
      <c r="U321" s="91" t="str">
        <f t="shared" si="203"/>
        <v>NA</v>
      </c>
    </row>
    <row r="322" spans="1:21" x14ac:dyDescent="0.4">
      <c r="A322" s="210">
        <v>106</v>
      </c>
      <c r="B322" s="525" t="s">
        <v>613</v>
      </c>
      <c r="C322" s="8">
        <f>SUMIFS(TM[[#All],[Member Months]],TM[[#All],[Reporting Year]],2024,TM[[#All],[Insurance Category Code]],2,TM[[#All],[Large Provider Entity Code]],A322)</f>
        <v>0</v>
      </c>
      <c r="D322" s="7" t="str">
        <f>IFERROR(SUMIFS(TM[[#All],[Total Non-Truncated Claims Spending]],TM[[#All],[Reporting Year]],2024,TM[[#All],[Insurance Category Code]],2,TM[[#All],[Large Provider Entity Code]],A322)/C322,"NA")</f>
        <v>NA</v>
      </c>
      <c r="E322" s="7" t="str">
        <f>IFERROR(SUMIFS(TM[[#All],[Total Non-Claims Spending]],TM[[#All],[Reporting Year]],2024,TM[[#All],[Insurance Category Code]],2,TM[[#All],[Large Provider Entity Code]],A322)/C322,"NA")</f>
        <v>NA</v>
      </c>
      <c r="F322" s="7" t="str">
        <f>IFERROR(SUMIFS(TM[[#All],[Total Non-Truncated Claims and Non-Claims Spending]],TM[[#All],[Reporting Year]],2024,TM[[#All],[Insurance Category Code]],2,TM[[#All],[Large Provider Entity Code]],A322)/C322,"NA")</f>
        <v>NA</v>
      </c>
      <c r="G322" s="7" t="str">
        <f>IFERROR(SUMIFS(TM[[#All],[Total Truncated Claims Spending]],TM[[#All],[Reporting Year]],2024,TM[[#All],[Insurance Category Code]],2,TM[[#All],[Large Provider Entity Code]],A322)/C322,"NA")</f>
        <v>NA</v>
      </c>
      <c r="H322" s="196" t="str">
        <f>IFERROR(SUMIFS(TM[[#All],[Total Truncated Expenses]],TM[[#All],[Reporting Year]],2024,TM[[#All],[Insurance Category Code]],2,TM[[#All],[Large Provider Entity Code]],A322)/C322,"NA")</f>
        <v>NA</v>
      </c>
      <c r="I322" s="89">
        <f>SUMIFS(TM[[#All],[Member Months]],TM[[#All],[Reporting Year]],2025,TM[[#All],[Insurance Category Code]],2,TM[[#All],[Large Provider Entity Code]],A322)</f>
        <v>0</v>
      </c>
      <c r="J322" s="7" t="str">
        <f>IFERROR(SUMIFS(TM[[#All],[Total Non-Truncated Claims Spending]],TM[[#All],[Reporting Year]],2025,TM[[#All],[Insurance Category Code]],2,TM[[#All],[Large Provider Entity Code]],A322)/I322,"NA")</f>
        <v>NA</v>
      </c>
      <c r="K322" s="7" t="str">
        <f>IFERROR(SUMIFS(TM[[#All],[Total Non-Claims Spending]],TM[[#All],[Reporting Year]],2025,TM[[#All],[Insurance Category Code]],2,TM[[#All],[Large Provider Entity Code]],A322)/I322,"NA")</f>
        <v>NA</v>
      </c>
      <c r="L322" s="7" t="str">
        <f>IFERROR(SUMIFS(TM[[#All],[Total Non-Truncated Claims and Non-Claims Spending]],TM[[#All],[Reporting Year]],2025,TM[[#All],[Insurance Category Code]],2,TM[[#All],[Large Provider Entity Code]],A322)/I322,"NA")</f>
        <v>NA</v>
      </c>
      <c r="M322" s="7" t="str">
        <f>IFERROR(SUMIFS(TM[[#All],[Total Truncated Claims Spending]],TM[[#All],[Reporting Year]],2025,TM[[#All],[Insurance Category Code]],2,TM[[#All],[Large Provider Entity Code]],A322)/I322,"NA")</f>
        <v>NA</v>
      </c>
      <c r="N322" s="90" t="str">
        <f>IFERROR(SUMIFS(TM[[#All],[Total Truncated Expenses]],TM[[#All],[Reporting Year]],2025,TM[[#All],[Insurance Category Code]],2,TM[[#All],[Large Provider Entity Code]],A322)/I322,"NA")</f>
        <v>NA</v>
      </c>
      <c r="O322" s="169" t="str">
        <f t="shared" si="204"/>
        <v>No</v>
      </c>
      <c r="P322" s="231" t="str">
        <f t="shared" si="203"/>
        <v>NA</v>
      </c>
      <c r="Q322" s="91" t="str">
        <f t="shared" si="203"/>
        <v>NA</v>
      </c>
      <c r="R322" s="91" t="str">
        <f t="shared" si="203"/>
        <v>NA</v>
      </c>
      <c r="S322" s="91" t="str">
        <f t="shared" si="203"/>
        <v>NA</v>
      </c>
      <c r="T322" s="91" t="str">
        <f t="shared" si="203"/>
        <v>NA</v>
      </c>
      <c r="U322" s="91" t="str">
        <f t="shared" si="203"/>
        <v>NA</v>
      </c>
    </row>
    <row r="323" spans="1:21" x14ac:dyDescent="0.4">
      <c r="A323" s="210">
        <v>107</v>
      </c>
      <c r="B323" s="526" t="s">
        <v>610</v>
      </c>
      <c r="C323" s="8">
        <f>SUMIFS(TM[[#All],[Member Months]],TM[[#All],[Reporting Year]],2024,TM[[#All],[Insurance Category Code]],2,TM[[#All],[Large Provider Entity Code]],A323)</f>
        <v>0</v>
      </c>
      <c r="D323" s="7" t="str">
        <f>IFERROR(SUMIFS(TM[[#All],[Total Non-Truncated Claims Spending]],TM[[#All],[Reporting Year]],2024,TM[[#All],[Insurance Category Code]],2,TM[[#All],[Large Provider Entity Code]],A323)/C323,"NA")</f>
        <v>NA</v>
      </c>
      <c r="E323" s="7" t="str">
        <f>IFERROR(SUMIFS(TM[[#All],[Total Non-Claims Spending]],TM[[#All],[Reporting Year]],2024,TM[[#All],[Insurance Category Code]],2,TM[[#All],[Large Provider Entity Code]],A323)/C323,"NA")</f>
        <v>NA</v>
      </c>
      <c r="F323" s="7" t="str">
        <f>IFERROR(SUMIFS(TM[[#All],[Total Non-Truncated Claims and Non-Claims Spending]],TM[[#All],[Reporting Year]],2024,TM[[#All],[Insurance Category Code]],2,TM[[#All],[Large Provider Entity Code]],A323)/C323,"NA")</f>
        <v>NA</v>
      </c>
      <c r="G323" s="7" t="str">
        <f>IFERROR(SUMIFS(TM[[#All],[Total Truncated Claims Spending]],TM[[#All],[Reporting Year]],2024,TM[[#All],[Insurance Category Code]],2,TM[[#All],[Large Provider Entity Code]],A323)/C323,"NA")</f>
        <v>NA</v>
      </c>
      <c r="H323" s="196" t="str">
        <f>IFERROR(SUMIFS(TM[[#All],[Total Truncated Expenses]],TM[[#All],[Reporting Year]],2024,TM[[#All],[Insurance Category Code]],2,TM[[#All],[Large Provider Entity Code]],A323)/C323,"NA")</f>
        <v>NA</v>
      </c>
      <c r="I323" s="89">
        <f>SUMIFS(TM[[#All],[Member Months]],TM[[#All],[Reporting Year]],2025,TM[[#All],[Insurance Category Code]],2,TM[[#All],[Large Provider Entity Code]],A323)</f>
        <v>0</v>
      </c>
      <c r="J323" s="7" t="str">
        <f>IFERROR(SUMIFS(TM[[#All],[Total Non-Truncated Claims Spending]],TM[[#All],[Reporting Year]],2025,TM[[#All],[Insurance Category Code]],2,TM[[#All],[Large Provider Entity Code]],A323)/I323,"NA")</f>
        <v>NA</v>
      </c>
      <c r="K323" s="7" t="str">
        <f>IFERROR(SUMIFS(TM[[#All],[Total Non-Claims Spending]],TM[[#All],[Reporting Year]],2025,TM[[#All],[Insurance Category Code]],2,TM[[#All],[Large Provider Entity Code]],A323)/I323,"NA")</f>
        <v>NA</v>
      </c>
      <c r="L323" s="7" t="str">
        <f>IFERROR(SUMIFS(TM[[#All],[Total Non-Truncated Claims and Non-Claims Spending]],TM[[#All],[Reporting Year]],2025,TM[[#All],[Insurance Category Code]],2,TM[[#All],[Large Provider Entity Code]],A323)/I323,"NA")</f>
        <v>NA</v>
      </c>
      <c r="M323" s="7" t="str">
        <f>IFERROR(SUMIFS(TM[[#All],[Total Truncated Claims Spending]],TM[[#All],[Reporting Year]],2025,TM[[#All],[Insurance Category Code]],2,TM[[#All],[Large Provider Entity Code]],A323)/I323,"NA")</f>
        <v>NA</v>
      </c>
      <c r="N323" s="90" t="str">
        <f>IFERROR(SUMIFS(TM[[#All],[Total Truncated Expenses]],TM[[#All],[Reporting Year]],2025,TM[[#All],[Insurance Category Code]],2,TM[[#All],[Large Provider Entity Code]],A323)/I323,"NA")</f>
        <v>NA</v>
      </c>
      <c r="O323" s="169" t="str">
        <f t="shared" si="204"/>
        <v>No</v>
      </c>
      <c r="P323" s="231" t="str">
        <f t="shared" si="203"/>
        <v>NA</v>
      </c>
      <c r="Q323" s="91" t="str">
        <f t="shared" si="203"/>
        <v>NA</v>
      </c>
      <c r="R323" s="91" t="str">
        <f t="shared" si="203"/>
        <v>NA</v>
      </c>
      <c r="S323" s="91" t="str">
        <f t="shared" si="203"/>
        <v>NA</v>
      </c>
      <c r="T323" s="91" t="str">
        <f t="shared" si="203"/>
        <v>NA</v>
      </c>
      <c r="U323" s="91" t="str">
        <f t="shared" si="203"/>
        <v>NA</v>
      </c>
    </row>
    <row r="324" spans="1:21" x14ac:dyDescent="0.4">
      <c r="A324" s="210">
        <v>108</v>
      </c>
      <c r="B324" s="526" t="s">
        <v>563</v>
      </c>
      <c r="C324" s="8">
        <f>SUMIFS(TM[[#All],[Member Months]],TM[[#All],[Reporting Year]],2024,TM[[#All],[Insurance Category Code]],2,TM[[#All],[Large Provider Entity Code]],A324)</f>
        <v>0</v>
      </c>
      <c r="D324" s="7" t="str">
        <f>IFERROR(SUMIFS(TM[[#All],[Total Non-Truncated Claims Spending]],TM[[#All],[Reporting Year]],2024,TM[[#All],[Insurance Category Code]],2,TM[[#All],[Large Provider Entity Code]],A324)/C324,"NA")</f>
        <v>NA</v>
      </c>
      <c r="E324" s="7" t="str">
        <f>IFERROR(SUMIFS(TM[[#All],[Total Non-Claims Spending]],TM[[#All],[Reporting Year]],2024,TM[[#All],[Insurance Category Code]],2,TM[[#All],[Large Provider Entity Code]],A324)/C324,"NA")</f>
        <v>NA</v>
      </c>
      <c r="F324" s="7" t="str">
        <f>IFERROR(SUMIFS(TM[[#All],[Total Non-Truncated Claims and Non-Claims Spending]],TM[[#All],[Reporting Year]],2024,TM[[#All],[Insurance Category Code]],2,TM[[#All],[Large Provider Entity Code]],A324)/C324,"NA")</f>
        <v>NA</v>
      </c>
      <c r="G324" s="7" t="str">
        <f>IFERROR(SUMIFS(TM[[#All],[Total Truncated Claims Spending]],TM[[#All],[Reporting Year]],2024,TM[[#All],[Insurance Category Code]],2,TM[[#All],[Large Provider Entity Code]],A324)/C324,"NA")</f>
        <v>NA</v>
      </c>
      <c r="H324" s="196" t="str">
        <f>IFERROR(SUMIFS(TM[[#All],[Total Truncated Expenses]],TM[[#All],[Reporting Year]],2024,TM[[#All],[Insurance Category Code]],2,TM[[#All],[Large Provider Entity Code]],A324)/C324,"NA")</f>
        <v>NA</v>
      </c>
      <c r="I324" s="89">
        <f>SUMIFS(TM[[#All],[Member Months]],TM[[#All],[Reporting Year]],2025,TM[[#All],[Insurance Category Code]],2,TM[[#All],[Large Provider Entity Code]],A324)</f>
        <v>0</v>
      </c>
      <c r="J324" s="7" t="str">
        <f>IFERROR(SUMIFS(TM[[#All],[Total Non-Truncated Claims Spending]],TM[[#All],[Reporting Year]],2025,TM[[#All],[Insurance Category Code]],2,TM[[#All],[Large Provider Entity Code]],A324)/I324,"NA")</f>
        <v>NA</v>
      </c>
      <c r="K324" s="7" t="str">
        <f>IFERROR(SUMIFS(TM[[#All],[Total Non-Claims Spending]],TM[[#All],[Reporting Year]],2025,TM[[#All],[Insurance Category Code]],2,TM[[#All],[Large Provider Entity Code]],A324)/I324,"NA")</f>
        <v>NA</v>
      </c>
      <c r="L324" s="7" t="str">
        <f>IFERROR(SUMIFS(TM[[#All],[Total Non-Truncated Claims and Non-Claims Spending]],TM[[#All],[Reporting Year]],2025,TM[[#All],[Insurance Category Code]],2,TM[[#All],[Large Provider Entity Code]],A324)/I324,"NA")</f>
        <v>NA</v>
      </c>
      <c r="M324" s="7" t="str">
        <f>IFERROR(SUMIFS(TM[[#All],[Total Truncated Claims Spending]],TM[[#All],[Reporting Year]],2025,TM[[#All],[Insurance Category Code]],2,TM[[#All],[Large Provider Entity Code]],A324)/I324,"NA")</f>
        <v>NA</v>
      </c>
      <c r="N324" s="90" t="str">
        <f>IFERROR(SUMIFS(TM[[#All],[Total Truncated Expenses]],TM[[#All],[Reporting Year]],2025,TM[[#All],[Insurance Category Code]],2,TM[[#All],[Large Provider Entity Code]],A324)/I324,"NA")</f>
        <v>NA</v>
      </c>
      <c r="O324" s="169" t="str">
        <f t="shared" si="204"/>
        <v>No</v>
      </c>
      <c r="P324" s="231" t="str">
        <f t="shared" si="203"/>
        <v>NA</v>
      </c>
      <c r="Q324" s="91" t="str">
        <f t="shared" si="203"/>
        <v>NA</v>
      </c>
      <c r="R324" s="91" t="str">
        <f t="shared" si="203"/>
        <v>NA</v>
      </c>
      <c r="S324" s="91" t="str">
        <f t="shared" si="203"/>
        <v>NA</v>
      </c>
      <c r="T324" s="91" t="str">
        <f t="shared" si="203"/>
        <v>NA</v>
      </c>
      <c r="U324" s="91" t="str">
        <f t="shared" si="203"/>
        <v>NA</v>
      </c>
    </row>
    <row r="325" spans="1:21" ht="33.6" x14ac:dyDescent="0.4">
      <c r="A325" s="210">
        <v>109</v>
      </c>
      <c r="B325" s="526" t="s">
        <v>611</v>
      </c>
      <c r="C325" s="8">
        <f>SUMIFS(TM[[#All],[Member Months]],TM[[#All],[Reporting Year]],2024,TM[[#All],[Insurance Category Code]],2,TM[[#All],[Large Provider Entity Code]],A325)</f>
        <v>0</v>
      </c>
      <c r="D325" s="7" t="str">
        <f>IFERROR(SUMIFS(TM[[#All],[Total Non-Truncated Claims Spending]],TM[[#All],[Reporting Year]],2024,TM[[#All],[Insurance Category Code]],2,TM[[#All],[Large Provider Entity Code]],A325)/C325,"NA")</f>
        <v>NA</v>
      </c>
      <c r="E325" s="7" t="str">
        <f>IFERROR(SUMIFS(TM[[#All],[Total Non-Claims Spending]],TM[[#All],[Reporting Year]],2024,TM[[#All],[Insurance Category Code]],2,TM[[#All],[Large Provider Entity Code]],A325)/C325,"NA")</f>
        <v>NA</v>
      </c>
      <c r="F325" s="7" t="str">
        <f>IFERROR(SUMIFS(TM[[#All],[Total Non-Truncated Claims and Non-Claims Spending]],TM[[#All],[Reporting Year]],2024,TM[[#All],[Insurance Category Code]],2,TM[[#All],[Large Provider Entity Code]],A325)/C325,"NA")</f>
        <v>NA</v>
      </c>
      <c r="G325" s="7" t="str">
        <f>IFERROR(SUMIFS(TM[[#All],[Total Truncated Claims Spending]],TM[[#All],[Reporting Year]],2024,TM[[#All],[Insurance Category Code]],2,TM[[#All],[Large Provider Entity Code]],A325)/C325,"NA")</f>
        <v>NA</v>
      </c>
      <c r="H325" s="196" t="str">
        <f>IFERROR(SUMIFS(TM[[#All],[Total Truncated Expenses]],TM[[#All],[Reporting Year]],2024,TM[[#All],[Insurance Category Code]],2,TM[[#All],[Large Provider Entity Code]],A325)/C325,"NA")</f>
        <v>NA</v>
      </c>
      <c r="I325" s="89">
        <f>SUMIFS(TM[[#All],[Member Months]],TM[[#All],[Reporting Year]],2025,TM[[#All],[Insurance Category Code]],2,TM[[#All],[Large Provider Entity Code]],A325)</f>
        <v>0</v>
      </c>
      <c r="J325" s="7" t="str">
        <f>IFERROR(SUMIFS(TM[[#All],[Total Non-Truncated Claims Spending]],TM[[#All],[Reporting Year]],2025,TM[[#All],[Insurance Category Code]],2,TM[[#All],[Large Provider Entity Code]],A325)/I325,"NA")</f>
        <v>NA</v>
      </c>
      <c r="K325" s="7" t="str">
        <f>IFERROR(SUMIFS(TM[[#All],[Total Non-Claims Spending]],TM[[#All],[Reporting Year]],2025,TM[[#All],[Insurance Category Code]],2,TM[[#All],[Large Provider Entity Code]],A325)/I325,"NA")</f>
        <v>NA</v>
      </c>
      <c r="L325" s="7" t="str">
        <f>IFERROR(SUMIFS(TM[[#All],[Total Non-Truncated Claims and Non-Claims Spending]],TM[[#All],[Reporting Year]],2025,TM[[#All],[Insurance Category Code]],2,TM[[#All],[Large Provider Entity Code]],A325)/I325,"NA")</f>
        <v>NA</v>
      </c>
      <c r="M325" s="7" t="str">
        <f>IFERROR(SUMIFS(TM[[#All],[Total Truncated Claims Spending]],TM[[#All],[Reporting Year]],2025,TM[[#All],[Insurance Category Code]],2,TM[[#All],[Large Provider Entity Code]],A325)/I325,"NA")</f>
        <v>NA</v>
      </c>
      <c r="N325" s="90" t="str">
        <f>IFERROR(SUMIFS(TM[[#All],[Total Truncated Expenses]],TM[[#All],[Reporting Year]],2025,TM[[#All],[Insurance Category Code]],2,TM[[#All],[Large Provider Entity Code]],A325)/I325,"NA")</f>
        <v>NA</v>
      </c>
      <c r="O325" s="169" t="str">
        <f t="shared" si="204"/>
        <v>No</v>
      </c>
      <c r="P325" s="231" t="str">
        <f t="shared" si="203"/>
        <v>NA</v>
      </c>
      <c r="Q325" s="91" t="str">
        <f t="shared" si="203"/>
        <v>NA</v>
      </c>
      <c r="R325" s="91" t="str">
        <f t="shared" si="203"/>
        <v>NA</v>
      </c>
      <c r="S325" s="91" t="str">
        <f t="shared" si="203"/>
        <v>NA</v>
      </c>
      <c r="T325" s="91" t="str">
        <f t="shared" si="203"/>
        <v>NA</v>
      </c>
      <c r="U325" s="91" t="str">
        <f t="shared" si="203"/>
        <v>NA</v>
      </c>
    </row>
    <row r="326" spans="1:21" x14ac:dyDescent="0.4">
      <c r="A326" s="210">
        <v>110</v>
      </c>
      <c r="B326" s="526" t="s">
        <v>68</v>
      </c>
      <c r="C326" s="8">
        <f>SUMIFS(TM[[#All],[Member Months]],TM[[#All],[Reporting Year]],2024,TM[[#All],[Insurance Category Code]],2,TM[[#All],[Large Provider Entity Code]],A326)</f>
        <v>0</v>
      </c>
      <c r="D326" s="7" t="str">
        <f>IFERROR(SUMIFS(TM[[#All],[Total Non-Truncated Claims Spending]],TM[[#All],[Reporting Year]],2024,TM[[#All],[Insurance Category Code]],2,TM[[#All],[Large Provider Entity Code]],A326)/C326,"NA")</f>
        <v>NA</v>
      </c>
      <c r="E326" s="7" t="str">
        <f>IFERROR(SUMIFS(TM[[#All],[Total Non-Claims Spending]],TM[[#All],[Reporting Year]],2024,TM[[#All],[Insurance Category Code]],2,TM[[#All],[Large Provider Entity Code]],A326)/C326,"NA")</f>
        <v>NA</v>
      </c>
      <c r="F326" s="7" t="str">
        <f>IFERROR(SUMIFS(TM[[#All],[Total Non-Truncated Claims and Non-Claims Spending]],TM[[#All],[Reporting Year]],2024,TM[[#All],[Insurance Category Code]],2,TM[[#All],[Large Provider Entity Code]],A326)/C326,"NA")</f>
        <v>NA</v>
      </c>
      <c r="G326" s="7" t="str">
        <f>IFERROR(SUMIFS(TM[[#All],[Total Truncated Claims Spending]],TM[[#All],[Reporting Year]],2024,TM[[#All],[Insurance Category Code]],2,TM[[#All],[Large Provider Entity Code]],A326)/C326,"NA")</f>
        <v>NA</v>
      </c>
      <c r="H326" s="196" t="str">
        <f>IFERROR(SUMIFS(TM[[#All],[Total Truncated Expenses]],TM[[#All],[Reporting Year]],2024,TM[[#All],[Insurance Category Code]],2,TM[[#All],[Large Provider Entity Code]],A326)/C326,"NA")</f>
        <v>NA</v>
      </c>
      <c r="I326" s="89">
        <f>SUMIFS(TM[[#All],[Member Months]],TM[[#All],[Reporting Year]],2025,TM[[#All],[Insurance Category Code]],2,TM[[#All],[Large Provider Entity Code]],A326)</f>
        <v>0</v>
      </c>
      <c r="J326" s="7" t="str">
        <f>IFERROR(SUMIFS(TM[[#All],[Total Non-Truncated Claims Spending]],TM[[#All],[Reporting Year]],2025,TM[[#All],[Insurance Category Code]],2,TM[[#All],[Large Provider Entity Code]],A326)/I326,"NA")</f>
        <v>NA</v>
      </c>
      <c r="K326" s="7" t="str">
        <f>IFERROR(SUMIFS(TM[[#All],[Total Non-Claims Spending]],TM[[#All],[Reporting Year]],2025,TM[[#All],[Insurance Category Code]],2,TM[[#All],[Large Provider Entity Code]],A326)/I326,"NA")</f>
        <v>NA</v>
      </c>
      <c r="L326" s="7" t="str">
        <f>IFERROR(SUMIFS(TM[[#All],[Total Non-Truncated Claims and Non-Claims Spending]],TM[[#All],[Reporting Year]],2025,TM[[#All],[Insurance Category Code]],2,TM[[#All],[Large Provider Entity Code]],A326)/I326,"NA")</f>
        <v>NA</v>
      </c>
      <c r="M326" s="7" t="str">
        <f>IFERROR(SUMIFS(TM[[#All],[Total Truncated Claims Spending]],TM[[#All],[Reporting Year]],2025,TM[[#All],[Insurance Category Code]],2,TM[[#All],[Large Provider Entity Code]],A326)/I326,"NA")</f>
        <v>NA</v>
      </c>
      <c r="N326" s="90" t="str">
        <f>IFERROR(SUMIFS(TM[[#All],[Total Truncated Expenses]],TM[[#All],[Reporting Year]],2025,TM[[#All],[Insurance Category Code]],2,TM[[#All],[Large Provider Entity Code]],A326)/I326,"NA")</f>
        <v>NA</v>
      </c>
      <c r="O326" s="169" t="str">
        <f t="shared" si="204"/>
        <v>No</v>
      </c>
      <c r="P326" s="231" t="str">
        <f t="shared" si="203"/>
        <v>NA</v>
      </c>
      <c r="Q326" s="91" t="str">
        <f t="shared" si="203"/>
        <v>NA</v>
      </c>
      <c r="R326" s="91" t="str">
        <f t="shared" si="203"/>
        <v>NA</v>
      </c>
      <c r="S326" s="91" t="str">
        <f t="shared" si="203"/>
        <v>NA</v>
      </c>
      <c r="T326" s="91" t="str">
        <f t="shared" si="203"/>
        <v>NA</v>
      </c>
      <c r="U326" s="91" t="str">
        <f t="shared" si="203"/>
        <v>NA</v>
      </c>
    </row>
    <row r="327" spans="1:21" x14ac:dyDescent="0.4">
      <c r="A327" s="210">
        <v>111</v>
      </c>
      <c r="B327" s="526" t="s">
        <v>69</v>
      </c>
      <c r="C327" s="8">
        <f>SUMIFS(TM[[#All],[Member Months]],TM[[#All],[Reporting Year]],2024,TM[[#All],[Insurance Category Code]],2,TM[[#All],[Large Provider Entity Code]],A327)</f>
        <v>0</v>
      </c>
      <c r="D327" s="7" t="str">
        <f>IFERROR(SUMIFS(TM[[#All],[Total Non-Truncated Claims Spending]],TM[[#All],[Reporting Year]],2024,TM[[#All],[Insurance Category Code]],2,TM[[#All],[Large Provider Entity Code]],A327)/C327,"NA")</f>
        <v>NA</v>
      </c>
      <c r="E327" s="7" t="str">
        <f>IFERROR(SUMIFS(TM[[#All],[Total Non-Claims Spending]],TM[[#All],[Reporting Year]],2024,TM[[#All],[Insurance Category Code]],2,TM[[#All],[Large Provider Entity Code]],A327)/C327,"NA")</f>
        <v>NA</v>
      </c>
      <c r="F327" s="7" t="str">
        <f>IFERROR(SUMIFS(TM[[#All],[Total Non-Truncated Claims and Non-Claims Spending]],TM[[#All],[Reporting Year]],2024,TM[[#All],[Insurance Category Code]],2,TM[[#All],[Large Provider Entity Code]],A327)/C327,"NA")</f>
        <v>NA</v>
      </c>
      <c r="G327" s="7" t="str">
        <f>IFERROR(SUMIFS(TM[[#All],[Total Truncated Claims Spending]],TM[[#All],[Reporting Year]],2024,TM[[#All],[Insurance Category Code]],2,TM[[#All],[Large Provider Entity Code]],A327)/C327,"NA")</f>
        <v>NA</v>
      </c>
      <c r="H327" s="196" t="str">
        <f>IFERROR(SUMIFS(TM[[#All],[Total Truncated Expenses]],TM[[#All],[Reporting Year]],2024,TM[[#All],[Insurance Category Code]],2,TM[[#All],[Large Provider Entity Code]],A327)/C327,"NA")</f>
        <v>NA</v>
      </c>
      <c r="I327" s="89">
        <f>SUMIFS(TM[[#All],[Member Months]],TM[[#All],[Reporting Year]],2025,TM[[#All],[Insurance Category Code]],2,TM[[#All],[Large Provider Entity Code]],A327)</f>
        <v>0</v>
      </c>
      <c r="J327" s="7" t="str">
        <f>IFERROR(SUMIFS(TM[[#All],[Total Non-Truncated Claims Spending]],TM[[#All],[Reporting Year]],2025,TM[[#All],[Insurance Category Code]],2,TM[[#All],[Large Provider Entity Code]],A327)/I327,"NA")</f>
        <v>NA</v>
      </c>
      <c r="K327" s="7" t="str">
        <f>IFERROR(SUMIFS(TM[[#All],[Total Non-Claims Spending]],TM[[#All],[Reporting Year]],2025,TM[[#All],[Insurance Category Code]],2,TM[[#All],[Large Provider Entity Code]],A327)/I327,"NA")</f>
        <v>NA</v>
      </c>
      <c r="L327" s="7" t="str">
        <f>IFERROR(SUMIFS(TM[[#All],[Total Non-Truncated Claims and Non-Claims Spending]],TM[[#All],[Reporting Year]],2025,TM[[#All],[Insurance Category Code]],2,TM[[#All],[Large Provider Entity Code]],A327)/I327,"NA")</f>
        <v>NA</v>
      </c>
      <c r="M327" s="7" t="str">
        <f>IFERROR(SUMIFS(TM[[#All],[Total Truncated Claims Spending]],TM[[#All],[Reporting Year]],2025,TM[[#All],[Insurance Category Code]],2,TM[[#All],[Large Provider Entity Code]],A327)/I327,"NA")</f>
        <v>NA</v>
      </c>
      <c r="N327" s="90" t="str">
        <f>IFERROR(SUMIFS(TM[[#All],[Total Truncated Expenses]],TM[[#All],[Reporting Year]],2025,TM[[#All],[Insurance Category Code]],2,TM[[#All],[Large Provider Entity Code]],A327)/I327,"NA")</f>
        <v>NA</v>
      </c>
      <c r="O327" s="169" t="str">
        <f t="shared" si="204"/>
        <v>No</v>
      </c>
      <c r="P327" s="231" t="str">
        <f t="shared" si="203"/>
        <v>NA</v>
      </c>
      <c r="Q327" s="91" t="str">
        <f t="shared" si="203"/>
        <v>NA</v>
      </c>
      <c r="R327" s="91" t="str">
        <f t="shared" si="203"/>
        <v>NA</v>
      </c>
      <c r="S327" s="91" t="str">
        <f t="shared" si="203"/>
        <v>NA</v>
      </c>
      <c r="T327" s="91" t="str">
        <f t="shared" si="203"/>
        <v>NA</v>
      </c>
      <c r="U327" s="91" t="str">
        <f t="shared" si="203"/>
        <v>NA</v>
      </c>
    </row>
    <row r="328" spans="1:21" x14ac:dyDescent="0.4">
      <c r="A328" s="210">
        <v>112</v>
      </c>
      <c r="B328" s="526" t="s">
        <v>637</v>
      </c>
      <c r="C328" s="8">
        <f>SUMIFS(TM[[#All],[Member Months]],TM[[#All],[Reporting Year]],2024,TM[[#All],[Insurance Category Code]],2,TM[[#All],[Large Provider Entity Code]],A328)</f>
        <v>0</v>
      </c>
      <c r="D328" s="7" t="str">
        <f>IFERROR(SUMIFS(TM[[#All],[Total Non-Truncated Claims Spending]],TM[[#All],[Reporting Year]],2024,TM[[#All],[Insurance Category Code]],2,TM[[#All],[Large Provider Entity Code]],A328)/C328,"NA")</f>
        <v>NA</v>
      </c>
      <c r="E328" s="7" t="str">
        <f>IFERROR(SUMIFS(TM[[#All],[Total Non-Claims Spending]],TM[[#All],[Reporting Year]],2024,TM[[#All],[Insurance Category Code]],2,TM[[#All],[Large Provider Entity Code]],A328)/C328,"NA")</f>
        <v>NA</v>
      </c>
      <c r="F328" s="7" t="str">
        <f>IFERROR(SUMIFS(TM[[#All],[Total Non-Truncated Claims and Non-Claims Spending]],TM[[#All],[Reporting Year]],2024,TM[[#All],[Insurance Category Code]],2,TM[[#All],[Large Provider Entity Code]],A328)/C328,"NA")</f>
        <v>NA</v>
      </c>
      <c r="G328" s="7" t="str">
        <f>IFERROR(SUMIFS(TM[[#All],[Total Truncated Claims Spending]],TM[[#All],[Reporting Year]],2024,TM[[#All],[Insurance Category Code]],2,TM[[#All],[Large Provider Entity Code]],A328)/C328,"NA")</f>
        <v>NA</v>
      </c>
      <c r="H328" s="196" t="str">
        <f>IFERROR(SUMIFS(TM[[#All],[Total Truncated Expenses]],TM[[#All],[Reporting Year]],2024,TM[[#All],[Insurance Category Code]],2,TM[[#All],[Large Provider Entity Code]],A328)/C328,"NA")</f>
        <v>NA</v>
      </c>
      <c r="I328" s="89">
        <f>SUMIFS(TM[[#All],[Member Months]],TM[[#All],[Reporting Year]],2025,TM[[#All],[Insurance Category Code]],2,TM[[#All],[Large Provider Entity Code]],A328)</f>
        <v>0</v>
      </c>
      <c r="J328" s="7" t="str">
        <f>IFERROR(SUMIFS(TM[[#All],[Total Non-Truncated Claims Spending]],TM[[#All],[Reporting Year]],2025,TM[[#All],[Insurance Category Code]],2,TM[[#All],[Large Provider Entity Code]],A328)/I328,"NA")</f>
        <v>NA</v>
      </c>
      <c r="K328" s="7" t="str">
        <f>IFERROR(SUMIFS(TM[[#All],[Total Non-Claims Spending]],TM[[#All],[Reporting Year]],2025,TM[[#All],[Insurance Category Code]],2,TM[[#All],[Large Provider Entity Code]],A328)/I328,"NA")</f>
        <v>NA</v>
      </c>
      <c r="L328" s="7" t="str">
        <f>IFERROR(SUMIFS(TM[[#All],[Total Non-Truncated Claims and Non-Claims Spending]],TM[[#All],[Reporting Year]],2025,TM[[#All],[Insurance Category Code]],2,TM[[#All],[Large Provider Entity Code]],A328)/I328,"NA")</f>
        <v>NA</v>
      </c>
      <c r="M328" s="7" t="str">
        <f>IFERROR(SUMIFS(TM[[#All],[Total Truncated Claims Spending]],TM[[#All],[Reporting Year]],2025,TM[[#All],[Insurance Category Code]],2,TM[[#All],[Large Provider Entity Code]],A328)/I328,"NA")</f>
        <v>NA</v>
      </c>
      <c r="N328" s="90" t="str">
        <f>IFERROR(SUMIFS(TM[[#All],[Total Truncated Expenses]],TM[[#All],[Reporting Year]],2025,TM[[#All],[Insurance Category Code]],2,TM[[#All],[Large Provider Entity Code]],A328)/I328,"NA")</f>
        <v>NA</v>
      </c>
      <c r="O328" s="169" t="str">
        <f t="shared" si="204"/>
        <v>No</v>
      </c>
      <c r="P328" s="231" t="str">
        <f t="shared" si="203"/>
        <v>NA</v>
      </c>
      <c r="Q328" s="91" t="str">
        <f t="shared" si="203"/>
        <v>NA</v>
      </c>
      <c r="R328" s="91" t="str">
        <f t="shared" si="203"/>
        <v>NA</v>
      </c>
      <c r="S328" s="91" t="str">
        <f t="shared" si="203"/>
        <v>NA</v>
      </c>
      <c r="T328" s="91" t="str">
        <f t="shared" si="203"/>
        <v>NA</v>
      </c>
      <c r="U328" s="91" t="str">
        <f t="shared" si="203"/>
        <v>NA</v>
      </c>
    </row>
    <row r="329" spans="1:21" ht="33.6" x14ac:dyDescent="0.4">
      <c r="A329" s="210">
        <v>115</v>
      </c>
      <c r="B329" s="526" t="s">
        <v>612</v>
      </c>
      <c r="C329" s="8">
        <f>SUMIFS(TM[[#All],[Member Months]],TM[[#All],[Reporting Year]],2024,TM[[#All],[Insurance Category Code]],2,TM[[#All],[Large Provider Entity Code]],A329)</f>
        <v>0</v>
      </c>
      <c r="D329" s="7" t="str">
        <f>IFERROR(SUMIFS(TM[[#All],[Total Non-Truncated Claims Spending]],TM[[#All],[Reporting Year]],2024,TM[[#All],[Insurance Category Code]],2,TM[[#All],[Large Provider Entity Code]],A329)/C329,"NA")</f>
        <v>NA</v>
      </c>
      <c r="E329" s="7" t="str">
        <f>IFERROR(SUMIFS(TM[[#All],[Total Non-Claims Spending]],TM[[#All],[Reporting Year]],2024,TM[[#All],[Insurance Category Code]],2,TM[[#All],[Large Provider Entity Code]],A329)/C329,"NA")</f>
        <v>NA</v>
      </c>
      <c r="F329" s="7" t="str">
        <f>IFERROR(SUMIFS(TM[[#All],[Total Non-Truncated Claims and Non-Claims Spending]],TM[[#All],[Reporting Year]],2024,TM[[#All],[Insurance Category Code]],2,TM[[#All],[Large Provider Entity Code]],A329)/C329,"NA")</f>
        <v>NA</v>
      </c>
      <c r="G329" s="7" t="str">
        <f>IFERROR(SUMIFS(TM[[#All],[Total Truncated Claims Spending]],TM[[#All],[Reporting Year]],2024,TM[[#All],[Insurance Category Code]],2,TM[[#All],[Large Provider Entity Code]],A329)/C329,"NA")</f>
        <v>NA</v>
      </c>
      <c r="H329" s="196" t="str">
        <f>IFERROR(SUMIFS(TM[[#All],[Total Truncated Expenses]],TM[[#All],[Reporting Year]],2024,TM[[#All],[Insurance Category Code]],2,TM[[#All],[Large Provider Entity Code]],A329)/C329,"NA")</f>
        <v>NA</v>
      </c>
      <c r="I329" s="89">
        <f>SUMIFS(TM[[#All],[Member Months]],TM[[#All],[Reporting Year]],2025,TM[[#All],[Insurance Category Code]],2,TM[[#All],[Large Provider Entity Code]],A329)</f>
        <v>0</v>
      </c>
      <c r="J329" s="7" t="str">
        <f>IFERROR(SUMIFS(TM[[#All],[Total Non-Truncated Claims Spending]],TM[[#All],[Reporting Year]],2025,TM[[#All],[Insurance Category Code]],2,TM[[#All],[Large Provider Entity Code]],A329)/I329,"NA")</f>
        <v>NA</v>
      </c>
      <c r="K329" s="7" t="str">
        <f>IFERROR(SUMIFS(TM[[#All],[Total Non-Claims Spending]],TM[[#All],[Reporting Year]],2025,TM[[#All],[Insurance Category Code]],2,TM[[#All],[Large Provider Entity Code]],A329)/I329,"NA")</f>
        <v>NA</v>
      </c>
      <c r="L329" s="7" t="str">
        <f>IFERROR(SUMIFS(TM[[#All],[Total Non-Truncated Claims and Non-Claims Spending]],TM[[#All],[Reporting Year]],2025,TM[[#All],[Insurance Category Code]],2,TM[[#All],[Large Provider Entity Code]],A329)/I329,"NA")</f>
        <v>NA</v>
      </c>
      <c r="M329" s="7" t="str">
        <f>IFERROR(SUMIFS(TM[[#All],[Total Truncated Claims Spending]],TM[[#All],[Reporting Year]],2025,TM[[#All],[Insurance Category Code]],2,TM[[#All],[Large Provider Entity Code]],A329)/I329,"NA")</f>
        <v>NA</v>
      </c>
      <c r="N329" s="90" t="str">
        <f>IFERROR(SUMIFS(TM[[#All],[Total Truncated Expenses]],TM[[#All],[Reporting Year]],2025,TM[[#All],[Insurance Category Code]],2,TM[[#All],[Large Provider Entity Code]],A329)/I329,"NA")</f>
        <v>NA</v>
      </c>
      <c r="O329" s="169" t="str">
        <f t="shared" si="204"/>
        <v>No</v>
      </c>
      <c r="P329" s="231" t="str">
        <f t="shared" si="203"/>
        <v>NA</v>
      </c>
      <c r="Q329" s="91" t="str">
        <f t="shared" si="203"/>
        <v>NA</v>
      </c>
      <c r="R329" s="91" t="str">
        <f t="shared" si="203"/>
        <v>NA</v>
      </c>
      <c r="S329" s="91" t="str">
        <f t="shared" si="203"/>
        <v>NA</v>
      </c>
      <c r="T329" s="91" t="str">
        <f t="shared" si="203"/>
        <v>NA</v>
      </c>
      <c r="U329" s="91" t="str">
        <f t="shared" si="203"/>
        <v>NA</v>
      </c>
    </row>
    <row r="330" spans="1:21" x14ac:dyDescent="0.4">
      <c r="A330" s="210">
        <v>116</v>
      </c>
      <c r="B330" s="526" t="s">
        <v>564</v>
      </c>
      <c r="C330" s="8">
        <f>SUMIFS(TM[[#All],[Member Months]],TM[[#All],[Reporting Year]],2024,TM[[#All],[Insurance Category Code]],2,TM[[#All],[Large Provider Entity Code]],A330)</f>
        <v>0</v>
      </c>
      <c r="D330" s="7" t="str">
        <f>IFERROR(SUMIFS(TM[[#All],[Total Non-Truncated Claims Spending]],TM[[#All],[Reporting Year]],2024,TM[[#All],[Insurance Category Code]],2,TM[[#All],[Large Provider Entity Code]],A330)/C330,"NA")</f>
        <v>NA</v>
      </c>
      <c r="E330" s="7" t="str">
        <f>IFERROR(SUMIFS(TM[[#All],[Total Non-Claims Spending]],TM[[#All],[Reporting Year]],2024,TM[[#All],[Insurance Category Code]],2,TM[[#All],[Large Provider Entity Code]],A330)/C330,"NA")</f>
        <v>NA</v>
      </c>
      <c r="F330" s="7" t="str">
        <f>IFERROR(SUMIFS(TM[[#All],[Total Non-Truncated Claims and Non-Claims Spending]],TM[[#All],[Reporting Year]],2024,TM[[#All],[Insurance Category Code]],2,TM[[#All],[Large Provider Entity Code]],A330)/C330,"NA")</f>
        <v>NA</v>
      </c>
      <c r="G330" s="7" t="str">
        <f>IFERROR(SUMIFS(TM[[#All],[Total Truncated Claims Spending]],TM[[#All],[Reporting Year]],2024,TM[[#All],[Insurance Category Code]],2,TM[[#All],[Large Provider Entity Code]],A330)/C330,"NA")</f>
        <v>NA</v>
      </c>
      <c r="H330" s="196" t="str">
        <f>IFERROR(SUMIFS(TM[[#All],[Total Truncated Expenses]],TM[[#All],[Reporting Year]],2024,TM[[#All],[Insurance Category Code]],2,TM[[#All],[Large Provider Entity Code]],A330)/C330,"NA")</f>
        <v>NA</v>
      </c>
      <c r="I330" s="89">
        <f>SUMIFS(TM[[#All],[Member Months]],TM[[#All],[Reporting Year]],2025,TM[[#All],[Insurance Category Code]],2,TM[[#All],[Large Provider Entity Code]],A330)</f>
        <v>0</v>
      </c>
      <c r="J330" s="7" t="str">
        <f>IFERROR(SUMIFS(TM[[#All],[Total Non-Truncated Claims Spending]],TM[[#All],[Reporting Year]],2025,TM[[#All],[Insurance Category Code]],2,TM[[#All],[Large Provider Entity Code]],A330)/I330,"NA")</f>
        <v>NA</v>
      </c>
      <c r="K330" s="7" t="str">
        <f>IFERROR(SUMIFS(TM[[#All],[Total Non-Claims Spending]],TM[[#All],[Reporting Year]],2025,TM[[#All],[Insurance Category Code]],2,TM[[#All],[Large Provider Entity Code]],A330)/I330,"NA")</f>
        <v>NA</v>
      </c>
      <c r="L330" s="7" t="str">
        <f>IFERROR(SUMIFS(TM[[#All],[Total Non-Truncated Claims and Non-Claims Spending]],TM[[#All],[Reporting Year]],2025,TM[[#All],[Insurance Category Code]],2,TM[[#All],[Large Provider Entity Code]],A330)/I330,"NA")</f>
        <v>NA</v>
      </c>
      <c r="M330" s="7" t="str">
        <f>IFERROR(SUMIFS(TM[[#All],[Total Truncated Claims Spending]],TM[[#All],[Reporting Year]],2025,TM[[#All],[Insurance Category Code]],2,TM[[#All],[Large Provider Entity Code]],A330)/I330,"NA")</f>
        <v>NA</v>
      </c>
      <c r="N330" s="90" t="str">
        <f>IFERROR(SUMIFS(TM[[#All],[Total Truncated Expenses]],TM[[#All],[Reporting Year]],2025,TM[[#All],[Insurance Category Code]],2,TM[[#All],[Large Provider Entity Code]],A330)/I330,"NA")</f>
        <v>NA</v>
      </c>
      <c r="O330" s="169" t="str">
        <f t="shared" si="204"/>
        <v>No</v>
      </c>
      <c r="P330" s="231" t="str">
        <f t="shared" si="203"/>
        <v>NA</v>
      </c>
      <c r="Q330" s="91" t="str">
        <f t="shared" si="203"/>
        <v>NA</v>
      </c>
      <c r="R330" s="91" t="str">
        <f t="shared" si="203"/>
        <v>NA</v>
      </c>
      <c r="S330" s="91" t="str">
        <f t="shared" si="203"/>
        <v>NA</v>
      </c>
      <c r="T330" s="91" t="str">
        <f t="shared" si="203"/>
        <v>NA</v>
      </c>
      <c r="U330" s="91" t="str">
        <f t="shared" si="203"/>
        <v>NA</v>
      </c>
    </row>
    <row r="331" spans="1:21" x14ac:dyDescent="0.4">
      <c r="A331" s="210">
        <v>118</v>
      </c>
      <c r="B331" s="526" t="s">
        <v>70</v>
      </c>
      <c r="C331" s="8">
        <f>SUMIFS(TM[[#All],[Member Months]],TM[[#All],[Reporting Year]],2024,TM[[#All],[Insurance Category Code]],2,TM[[#All],[Large Provider Entity Code]],A331)</f>
        <v>0</v>
      </c>
      <c r="D331" s="7" t="str">
        <f>IFERROR(SUMIFS(TM[[#All],[Total Non-Truncated Claims Spending]],TM[[#All],[Reporting Year]],2024,TM[[#All],[Insurance Category Code]],2,TM[[#All],[Large Provider Entity Code]],A331)/C331,"NA")</f>
        <v>NA</v>
      </c>
      <c r="E331" s="7" t="str">
        <f>IFERROR(SUMIFS(TM[[#All],[Total Non-Claims Spending]],TM[[#All],[Reporting Year]],2024,TM[[#All],[Insurance Category Code]],2,TM[[#All],[Large Provider Entity Code]],A331)/C331,"NA")</f>
        <v>NA</v>
      </c>
      <c r="F331" s="7" t="str">
        <f>IFERROR(SUMIFS(TM[[#All],[Total Non-Truncated Claims and Non-Claims Spending]],TM[[#All],[Reporting Year]],2024,TM[[#All],[Insurance Category Code]],2,TM[[#All],[Large Provider Entity Code]],A331)/C331,"NA")</f>
        <v>NA</v>
      </c>
      <c r="G331" s="7" t="str">
        <f>IFERROR(SUMIFS(TM[[#All],[Total Truncated Claims Spending]],TM[[#All],[Reporting Year]],2024,TM[[#All],[Insurance Category Code]],2,TM[[#All],[Large Provider Entity Code]],A331)/C331,"NA")</f>
        <v>NA</v>
      </c>
      <c r="H331" s="196" t="str">
        <f>IFERROR(SUMIFS(TM[[#All],[Total Truncated Expenses]],TM[[#All],[Reporting Year]],2024,TM[[#All],[Insurance Category Code]],2,TM[[#All],[Large Provider Entity Code]],A331)/C331,"NA")</f>
        <v>NA</v>
      </c>
      <c r="I331" s="89">
        <f>SUMIFS(TM[[#All],[Member Months]],TM[[#All],[Reporting Year]],2025,TM[[#All],[Insurance Category Code]],2,TM[[#All],[Large Provider Entity Code]],A331)</f>
        <v>0</v>
      </c>
      <c r="J331" s="7" t="str">
        <f>IFERROR(SUMIFS(TM[[#All],[Total Non-Truncated Claims Spending]],TM[[#All],[Reporting Year]],2025,TM[[#All],[Insurance Category Code]],2,TM[[#All],[Large Provider Entity Code]],A331)/I331,"NA")</f>
        <v>NA</v>
      </c>
      <c r="K331" s="7" t="str">
        <f>IFERROR(SUMIFS(TM[[#All],[Total Non-Claims Spending]],TM[[#All],[Reporting Year]],2025,TM[[#All],[Insurance Category Code]],2,TM[[#All],[Large Provider Entity Code]],A331)/I331,"NA")</f>
        <v>NA</v>
      </c>
      <c r="L331" s="7" t="str">
        <f>IFERROR(SUMIFS(TM[[#All],[Total Non-Truncated Claims and Non-Claims Spending]],TM[[#All],[Reporting Year]],2025,TM[[#All],[Insurance Category Code]],2,TM[[#All],[Large Provider Entity Code]],A331)/I331,"NA")</f>
        <v>NA</v>
      </c>
      <c r="M331" s="7" t="str">
        <f>IFERROR(SUMIFS(TM[[#All],[Total Truncated Claims Spending]],TM[[#All],[Reporting Year]],2025,TM[[#All],[Insurance Category Code]],2,TM[[#All],[Large Provider Entity Code]],A331)/I331,"NA")</f>
        <v>NA</v>
      </c>
      <c r="N331" s="90" t="str">
        <f>IFERROR(SUMIFS(TM[[#All],[Total Truncated Expenses]],TM[[#All],[Reporting Year]],2025,TM[[#All],[Insurance Category Code]],2,TM[[#All],[Large Provider Entity Code]],A331)/I331,"NA")</f>
        <v>NA</v>
      </c>
      <c r="O331" s="169" t="str">
        <f>IFERROR(IF(AND(C331&gt;12000,I331&gt;12000),"Yes","No"),"NA")</f>
        <v>No</v>
      </c>
      <c r="P331" s="231" t="str">
        <f t="shared" si="203"/>
        <v>NA</v>
      </c>
      <c r="Q331" s="91" t="str">
        <f t="shared" si="203"/>
        <v>NA</v>
      </c>
      <c r="R331" s="91" t="str">
        <f t="shared" si="203"/>
        <v>NA</v>
      </c>
      <c r="S331" s="91" t="str">
        <f t="shared" si="203"/>
        <v>NA</v>
      </c>
      <c r="T331" s="91" t="str">
        <f t="shared" si="203"/>
        <v>NA</v>
      </c>
      <c r="U331" s="91" t="str">
        <f t="shared" si="203"/>
        <v>NA</v>
      </c>
    </row>
    <row r="332" spans="1:21" x14ac:dyDescent="0.4">
      <c r="A332" s="210">
        <v>120</v>
      </c>
      <c r="B332" s="526" t="s">
        <v>561</v>
      </c>
      <c r="C332" s="8">
        <f>SUMIFS(TM[[#All],[Member Months]],TM[[#All],[Reporting Year]],2024,TM[[#All],[Insurance Category Code]],2,TM[[#All],[Large Provider Entity Code]],A332)</f>
        <v>0</v>
      </c>
      <c r="D332" s="7" t="str">
        <f>IFERROR(SUMIFS(TM[[#All],[Total Non-Truncated Claims Spending]],TM[[#All],[Reporting Year]],2024,TM[[#All],[Insurance Category Code]],2,TM[[#All],[Large Provider Entity Code]],A332)/C332,"NA")</f>
        <v>NA</v>
      </c>
      <c r="E332" s="7" t="str">
        <f>IFERROR(SUMIFS(TM[[#All],[Total Non-Claims Spending]],TM[[#All],[Reporting Year]],2024,TM[[#All],[Insurance Category Code]],2,TM[[#All],[Large Provider Entity Code]],A332)/C332,"NA")</f>
        <v>NA</v>
      </c>
      <c r="F332" s="7" t="str">
        <f>IFERROR(SUMIFS(TM[[#All],[Total Non-Truncated Claims and Non-Claims Spending]],TM[[#All],[Reporting Year]],2024,TM[[#All],[Insurance Category Code]],2,TM[[#All],[Large Provider Entity Code]],A332)/C332,"NA")</f>
        <v>NA</v>
      </c>
      <c r="G332" s="7" t="str">
        <f>IFERROR(SUMIFS(TM[[#All],[Total Truncated Claims Spending]],TM[[#All],[Reporting Year]],2024,TM[[#All],[Insurance Category Code]],2,TM[[#All],[Large Provider Entity Code]],A332)/C332,"NA")</f>
        <v>NA</v>
      </c>
      <c r="H332" s="196" t="str">
        <f>IFERROR(SUMIFS(TM[[#All],[Total Truncated Expenses]],TM[[#All],[Reporting Year]],2024,TM[[#All],[Insurance Category Code]],2,TM[[#All],[Large Provider Entity Code]],A332)/C332,"NA")</f>
        <v>NA</v>
      </c>
      <c r="I332" s="89">
        <f>SUMIFS(TM[[#All],[Member Months]],TM[[#All],[Reporting Year]],2025,TM[[#All],[Insurance Category Code]],2,TM[[#All],[Large Provider Entity Code]],A332)</f>
        <v>0</v>
      </c>
      <c r="J332" s="7" t="str">
        <f>IFERROR(SUMIFS(TM[[#All],[Total Non-Truncated Claims Spending]],TM[[#All],[Reporting Year]],2025,TM[[#All],[Insurance Category Code]],2,TM[[#All],[Large Provider Entity Code]],A332)/I332,"NA")</f>
        <v>NA</v>
      </c>
      <c r="K332" s="7" t="str">
        <f>IFERROR(SUMIFS(TM[[#All],[Total Non-Claims Spending]],TM[[#All],[Reporting Year]],2025,TM[[#All],[Insurance Category Code]],2,TM[[#All],[Large Provider Entity Code]],A332)/I332,"NA")</f>
        <v>NA</v>
      </c>
      <c r="L332" s="7" t="str">
        <f>IFERROR(SUMIFS(TM[[#All],[Total Non-Truncated Claims and Non-Claims Spending]],TM[[#All],[Reporting Year]],2025,TM[[#All],[Insurance Category Code]],2,TM[[#All],[Large Provider Entity Code]],A332)/I332,"NA")</f>
        <v>NA</v>
      </c>
      <c r="M332" s="7" t="str">
        <f>IFERROR(SUMIFS(TM[[#All],[Total Truncated Claims Spending]],TM[[#All],[Reporting Year]],2025,TM[[#All],[Insurance Category Code]],2,TM[[#All],[Large Provider Entity Code]],A332)/I332,"NA")</f>
        <v>NA</v>
      </c>
      <c r="N332" s="90" t="str">
        <f>IFERROR(SUMIFS(TM[[#All],[Total Truncated Expenses]],TM[[#All],[Reporting Year]],2025,TM[[#All],[Insurance Category Code]],2,TM[[#All],[Large Provider Entity Code]],A332)/I332,"NA")</f>
        <v>NA</v>
      </c>
      <c r="O332" s="169" t="str">
        <f t="shared" si="204"/>
        <v>No</v>
      </c>
      <c r="P332" s="231" t="str">
        <f t="shared" si="203"/>
        <v>NA</v>
      </c>
      <c r="Q332" s="91" t="str">
        <f t="shared" si="203"/>
        <v>NA</v>
      </c>
      <c r="R332" s="91" t="str">
        <f t="shared" si="203"/>
        <v>NA</v>
      </c>
      <c r="S332" s="91" t="str">
        <f t="shared" si="203"/>
        <v>NA</v>
      </c>
      <c r="T332" s="91" t="str">
        <f t="shared" si="203"/>
        <v>NA</v>
      </c>
      <c r="U332" s="91" t="str">
        <f t="shared" si="203"/>
        <v>NA</v>
      </c>
    </row>
    <row r="333" spans="1:21" ht="33.6" x14ac:dyDescent="0.4">
      <c r="A333" s="210">
        <v>121</v>
      </c>
      <c r="B333" s="526" t="s">
        <v>565</v>
      </c>
      <c r="C333" s="8">
        <f>SUMIFS(TM[[#All],[Member Months]],TM[[#All],[Reporting Year]],2024,TM[[#All],[Insurance Category Code]],2,TM[[#All],[Large Provider Entity Code]],A333)</f>
        <v>0</v>
      </c>
      <c r="D333" s="7" t="str">
        <f>IFERROR(SUMIFS(TM[[#All],[Total Non-Truncated Claims Spending]],TM[[#All],[Reporting Year]],2024,TM[[#All],[Insurance Category Code]],2,TM[[#All],[Large Provider Entity Code]],A333)/C333,"NA")</f>
        <v>NA</v>
      </c>
      <c r="E333" s="7" t="str">
        <f>IFERROR(SUMIFS(TM[[#All],[Total Non-Claims Spending]],TM[[#All],[Reporting Year]],2024,TM[[#All],[Insurance Category Code]],2,TM[[#All],[Large Provider Entity Code]],A333)/C333,"NA")</f>
        <v>NA</v>
      </c>
      <c r="F333" s="7" t="str">
        <f>IFERROR(SUMIFS(TM[[#All],[Total Non-Truncated Claims and Non-Claims Spending]],TM[[#All],[Reporting Year]],2024,TM[[#All],[Insurance Category Code]],2,TM[[#All],[Large Provider Entity Code]],A333)/C333,"NA")</f>
        <v>NA</v>
      </c>
      <c r="G333" s="7" t="str">
        <f>IFERROR(SUMIFS(TM[[#All],[Total Truncated Claims Spending]],TM[[#All],[Reporting Year]],2024,TM[[#All],[Insurance Category Code]],2,TM[[#All],[Large Provider Entity Code]],A333)/C333,"NA")</f>
        <v>NA</v>
      </c>
      <c r="H333" s="196" t="str">
        <f>IFERROR(SUMIFS(TM[[#All],[Total Truncated Expenses]],TM[[#All],[Reporting Year]],2024,TM[[#All],[Insurance Category Code]],2,TM[[#All],[Large Provider Entity Code]],A333)/C333,"NA")</f>
        <v>NA</v>
      </c>
      <c r="I333" s="89">
        <f>SUMIFS(TM[[#All],[Member Months]],TM[[#All],[Reporting Year]],2025,TM[[#All],[Insurance Category Code]],2,TM[[#All],[Large Provider Entity Code]],A333)</f>
        <v>0</v>
      </c>
      <c r="J333" s="7" t="str">
        <f>IFERROR(SUMIFS(TM[[#All],[Total Non-Truncated Claims Spending]],TM[[#All],[Reporting Year]],2025,TM[[#All],[Insurance Category Code]],2,TM[[#All],[Large Provider Entity Code]],A333)/I333,"NA")</f>
        <v>NA</v>
      </c>
      <c r="K333" s="7" t="str">
        <f>IFERROR(SUMIFS(TM[[#All],[Total Non-Claims Spending]],TM[[#All],[Reporting Year]],2025,TM[[#All],[Insurance Category Code]],2,TM[[#All],[Large Provider Entity Code]],A333)/I333,"NA")</f>
        <v>NA</v>
      </c>
      <c r="L333" s="7" t="str">
        <f>IFERROR(SUMIFS(TM[[#All],[Total Non-Truncated Claims and Non-Claims Spending]],TM[[#All],[Reporting Year]],2025,TM[[#All],[Insurance Category Code]],2,TM[[#All],[Large Provider Entity Code]],A333)/I333,"NA")</f>
        <v>NA</v>
      </c>
      <c r="M333" s="7" t="str">
        <f>IFERROR(SUMIFS(TM[[#All],[Total Truncated Claims Spending]],TM[[#All],[Reporting Year]],2025,TM[[#All],[Insurance Category Code]],2,TM[[#All],[Large Provider Entity Code]],A333)/I333,"NA")</f>
        <v>NA</v>
      </c>
      <c r="N333" s="90" t="str">
        <f>IFERROR(SUMIFS(TM[[#All],[Total Truncated Expenses]],TM[[#All],[Reporting Year]],2025,TM[[#All],[Insurance Category Code]],2,TM[[#All],[Large Provider Entity Code]],A333)/I333,"NA")</f>
        <v>NA</v>
      </c>
      <c r="O333" s="169" t="str">
        <f t="shared" si="204"/>
        <v>No</v>
      </c>
      <c r="P333" s="231" t="str">
        <f t="shared" si="203"/>
        <v>NA</v>
      </c>
      <c r="Q333" s="91" t="str">
        <f t="shared" si="203"/>
        <v>NA</v>
      </c>
      <c r="R333" s="91" t="str">
        <f t="shared" si="203"/>
        <v>NA</v>
      </c>
      <c r="S333" s="91" t="str">
        <f t="shared" si="203"/>
        <v>NA</v>
      </c>
      <c r="T333" s="91" t="str">
        <f t="shared" si="203"/>
        <v>NA</v>
      </c>
      <c r="U333" s="91" t="str">
        <f t="shared" si="203"/>
        <v>NA</v>
      </c>
    </row>
    <row r="334" spans="1:21" ht="33.6" x14ac:dyDescent="0.4">
      <c r="A334" s="210">
        <v>122</v>
      </c>
      <c r="B334" s="525" t="s">
        <v>647</v>
      </c>
      <c r="C334" s="8">
        <f>SUMIFS(TM[[#All],[Member Months]],TM[[#All],[Reporting Year]],2024,TM[[#All],[Insurance Category Code]],2,TM[[#All],[Large Provider Entity Code]],A334)</f>
        <v>0</v>
      </c>
      <c r="D334" s="7" t="str">
        <f>IFERROR(SUMIFS(TM[[#All],[Total Non-Truncated Claims Spending]],TM[[#All],[Reporting Year]],2024,TM[[#All],[Insurance Category Code]],2,TM[[#All],[Large Provider Entity Code]],A334)/C334,"NA")</f>
        <v>NA</v>
      </c>
      <c r="E334" s="7" t="str">
        <f>IFERROR(SUMIFS(TM[[#All],[Total Non-Claims Spending]],TM[[#All],[Reporting Year]],2024,TM[[#All],[Insurance Category Code]],2,TM[[#All],[Large Provider Entity Code]],A334)/C334,"NA")</f>
        <v>NA</v>
      </c>
      <c r="F334" s="7" t="str">
        <f>IFERROR(SUMIFS(TM[[#All],[Total Non-Truncated Claims and Non-Claims Spending]],TM[[#All],[Reporting Year]],2024,TM[[#All],[Insurance Category Code]],2,TM[[#All],[Large Provider Entity Code]],A334)/C334,"NA")</f>
        <v>NA</v>
      </c>
      <c r="G334" s="7" t="str">
        <f>IFERROR(SUMIFS(TM[[#All],[Total Truncated Claims Spending]],TM[[#All],[Reporting Year]],2024,TM[[#All],[Insurance Category Code]],2,TM[[#All],[Large Provider Entity Code]],A334)/C334,"NA")</f>
        <v>NA</v>
      </c>
      <c r="H334" s="196" t="str">
        <f>IFERROR(SUMIFS(TM[[#All],[Total Truncated Expenses]],TM[[#All],[Reporting Year]],2024,TM[[#All],[Insurance Category Code]],2,TM[[#All],[Large Provider Entity Code]],A334)/C334,"NA")</f>
        <v>NA</v>
      </c>
      <c r="I334" s="89">
        <f>SUMIFS(TM[[#All],[Member Months]],TM[[#All],[Reporting Year]],2025,TM[[#All],[Insurance Category Code]],2,TM[[#All],[Large Provider Entity Code]],A334)</f>
        <v>0</v>
      </c>
      <c r="J334" s="7" t="str">
        <f>IFERROR(SUMIFS(TM[[#All],[Total Non-Truncated Claims Spending]],TM[[#All],[Reporting Year]],2025,TM[[#All],[Insurance Category Code]],2,TM[[#All],[Large Provider Entity Code]],A334)/I334,"NA")</f>
        <v>NA</v>
      </c>
      <c r="K334" s="7" t="str">
        <f>IFERROR(SUMIFS(TM[[#All],[Total Non-Claims Spending]],TM[[#All],[Reporting Year]],2025,TM[[#All],[Insurance Category Code]],2,TM[[#All],[Large Provider Entity Code]],A334)/I334,"NA")</f>
        <v>NA</v>
      </c>
      <c r="L334" s="7" t="str">
        <f>IFERROR(SUMIFS(TM[[#All],[Total Non-Truncated Claims and Non-Claims Spending]],TM[[#All],[Reporting Year]],2025,TM[[#All],[Insurance Category Code]],2,TM[[#All],[Large Provider Entity Code]],A334)/I334,"NA")</f>
        <v>NA</v>
      </c>
      <c r="M334" s="7" t="str">
        <f>IFERROR(SUMIFS(TM[[#All],[Total Truncated Claims Spending]],TM[[#All],[Reporting Year]],2025,TM[[#All],[Insurance Category Code]],2,TM[[#All],[Large Provider Entity Code]],A334)/I334,"NA")</f>
        <v>NA</v>
      </c>
      <c r="N334" s="90" t="str">
        <f>IFERROR(SUMIFS(TM[[#All],[Total Truncated Expenses]],TM[[#All],[Reporting Year]],2025,TM[[#All],[Insurance Category Code]],2,TM[[#All],[Large Provider Entity Code]],A334)/I334,"NA")</f>
        <v>NA</v>
      </c>
      <c r="O334" s="169" t="str">
        <f t="shared" si="204"/>
        <v>No</v>
      </c>
      <c r="P334" s="231" t="str">
        <f t="shared" si="203"/>
        <v>NA</v>
      </c>
      <c r="Q334" s="91" t="str">
        <f t="shared" si="203"/>
        <v>NA</v>
      </c>
      <c r="R334" s="91" t="str">
        <f t="shared" si="203"/>
        <v>NA</v>
      </c>
      <c r="S334" s="91" t="str">
        <f t="shared" si="203"/>
        <v>NA</v>
      </c>
      <c r="T334" s="91" t="str">
        <f t="shared" si="203"/>
        <v>NA</v>
      </c>
      <c r="U334" s="91" t="str">
        <f t="shared" si="203"/>
        <v>NA</v>
      </c>
    </row>
    <row r="335" spans="1:21" ht="33.6" x14ac:dyDescent="0.4">
      <c r="A335" s="210">
        <v>123</v>
      </c>
      <c r="B335" s="525" t="s">
        <v>614</v>
      </c>
      <c r="C335" s="8">
        <f>SUMIFS(TM[[#All],[Member Months]],TM[[#All],[Reporting Year]],2024,TM[[#All],[Insurance Category Code]],2,TM[[#All],[Large Provider Entity Code]],A335)</f>
        <v>0</v>
      </c>
      <c r="D335" s="7" t="str">
        <f>IFERROR(SUMIFS(TM[[#All],[Total Non-Truncated Claims Spending]],TM[[#All],[Reporting Year]],2024,TM[[#All],[Insurance Category Code]],2,TM[[#All],[Large Provider Entity Code]],A335)/C335,"NA")</f>
        <v>NA</v>
      </c>
      <c r="E335" s="7" t="str">
        <f>IFERROR(SUMIFS(TM[[#All],[Total Non-Claims Spending]],TM[[#All],[Reporting Year]],2024,TM[[#All],[Insurance Category Code]],2,TM[[#All],[Large Provider Entity Code]],A335)/C335,"NA")</f>
        <v>NA</v>
      </c>
      <c r="F335" s="7" t="str">
        <f>IFERROR(SUMIFS(TM[[#All],[Total Non-Truncated Claims and Non-Claims Spending]],TM[[#All],[Reporting Year]],2024,TM[[#All],[Insurance Category Code]],2,TM[[#All],[Large Provider Entity Code]],A335)/C335,"NA")</f>
        <v>NA</v>
      </c>
      <c r="G335" s="7" t="str">
        <f>IFERROR(SUMIFS(TM[[#All],[Total Truncated Claims Spending]],TM[[#All],[Reporting Year]],2024,TM[[#All],[Insurance Category Code]],2,TM[[#All],[Large Provider Entity Code]],A335)/C335,"NA")</f>
        <v>NA</v>
      </c>
      <c r="H335" s="196" t="str">
        <f>IFERROR(SUMIFS(TM[[#All],[Total Truncated Expenses]],TM[[#All],[Reporting Year]],2024,TM[[#All],[Insurance Category Code]],2,TM[[#All],[Large Provider Entity Code]],A335)/C335,"NA")</f>
        <v>NA</v>
      </c>
      <c r="I335" s="89">
        <f>SUMIFS(TM[[#All],[Member Months]],TM[[#All],[Reporting Year]],2025,TM[[#All],[Insurance Category Code]],2,TM[[#All],[Large Provider Entity Code]],A335)</f>
        <v>0</v>
      </c>
      <c r="J335" s="7" t="str">
        <f>IFERROR(SUMIFS(TM[[#All],[Total Non-Truncated Claims Spending]],TM[[#All],[Reporting Year]],2025,TM[[#All],[Insurance Category Code]],2,TM[[#All],[Large Provider Entity Code]],A335)/I335,"NA")</f>
        <v>NA</v>
      </c>
      <c r="K335" s="7" t="str">
        <f>IFERROR(SUMIFS(TM[[#All],[Total Non-Claims Spending]],TM[[#All],[Reporting Year]],2025,TM[[#All],[Insurance Category Code]],2,TM[[#All],[Large Provider Entity Code]],A335)/I335,"NA")</f>
        <v>NA</v>
      </c>
      <c r="L335" s="7" t="str">
        <f>IFERROR(SUMIFS(TM[[#All],[Total Non-Truncated Claims and Non-Claims Spending]],TM[[#All],[Reporting Year]],2025,TM[[#All],[Insurance Category Code]],2,TM[[#All],[Large Provider Entity Code]],A335)/I335,"NA")</f>
        <v>NA</v>
      </c>
      <c r="M335" s="7" t="str">
        <f>IFERROR(SUMIFS(TM[[#All],[Total Truncated Claims Spending]],TM[[#All],[Reporting Year]],2025,TM[[#All],[Insurance Category Code]],2,TM[[#All],[Large Provider Entity Code]],A335)/I335,"NA")</f>
        <v>NA</v>
      </c>
      <c r="N335" s="90" t="str">
        <f>IFERROR(SUMIFS(TM[[#All],[Total Truncated Expenses]],TM[[#All],[Reporting Year]],2025,TM[[#All],[Insurance Category Code]],2,TM[[#All],[Large Provider Entity Code]],A335)/I335,"NA")</f>
        <v>NA</v>
      </c>
      <c r="O335" s="169" t="str">
        <f t="shared" si="204"/>
        <v>No</v>
      </c>
      <c r="P335" s="231" t="str">
        <f t="shared" ref="P335:P336" si="205">IFERROR((I335/C335-1),"NA")</f>
        <v>NA</v>
      </c>
      <c r="Q335" s="91" t="str">
        <f t="shared" ref="Q335:Q336" si="206">IFERROR((J335/D335-1),"NA")</f>
        <v>NA</v>
      </c>
      <c r="R335" s="91" t="str">
        <f t="shared" ref="R335:R336" si="207">IFERROR((K335/E335-1),"NA")</f>
        <v>NA</v>
      </c>
      <c r="S335" s="91" t="str">
        <f t="shared" ref="S335:S336" si="208">IFERROR((L335/F335-1),"NA")</f>
        <v>NA</v>
      </c>
      <c r="T335" s="91" t="str">
        <f t="shared" ref="T335:T336" si="209">IFERROR((M335/G335-1),"NA")</f>
        <v>NA</v>
      </c>
      <c r="U335" s="91" t="str">
        <f t="shared" ref="U335:U336" si="210">IFERROR((N335/H335-1),"NA")</f>
        <v>NA</v>
      </c>
    </row>
    <row r="336" spans="1:21" x14ac:dyDescent="0.4">
      <c r="A336" s="210">
        <v>124</v>
      </c>
      <c r="B336" s="525" t="s">
        <v>615</v>
      </c>
      <c r="C336" s="8">
        <f>SUMIFS(TM[[#All],[Member Months]],TM[[#All],[Reporting Year]],2024,TM[[#All],[Insurance Category Code]],2,TM[[#All],[Large Provider Entity Code]],A336)</f>
        <v>0</v>
      </c>
      <c r="D336" s="7" t="str">
        <f>IFERROR(SUMIFS(TM[[#All],[Total Non-Truncated Claims Spending]],TM[[#All],[Reporting Year]],2024,TM[[#All],[Insurance Category Code]],2,TM[[#All],[Large Provider Entity Code]],A336)/C336,"NA")</f>
        <v>NA</v>
      </c>
      <c r="E336" s="7" t="str">
        <f>IFERROR(SUMIFS(TM[[#All],[Total Non-Claims Spending]],TM[[#All],[Reporting Year]],2024,TM[[#All],[Insurance Category Code]],2,TM[[#All],[Large Provider Entity Code]],A336)/C336,"NA")</f>
        <v>NA</v>
      </c>
      <c r="F336" s="7" t="str">
        <f>IFERROR(SUMIFS(TM[[#All],[Total Non-Truncated Claims and Non-Claims Spending]],TM[[#All],[Reporting Year]],2024,TM[[#All],[Insurance Category Code]],2,TM[[#All],[Large Provider Entity Code]],A336)/C336,"NA")</f>
        <v>NA</v>
      </c>
      <c r="G336" s="7" t="str">
        <f>IFERROR(SUMIFS(TM[[#All],[Total Truncated Claims Spending]],TM[[#All],[Reporting Year]],2024,TM[[#All],[Insurance Category Code]],2,TM[[#All],[Large Provider Entity Code]],A336)/C336,"NA")</f>
        <v>NA</v>
      </c>
      <c r="H336" s="196" t="str">
        <f>IFERROR(SUMIFS(TM[[#All],[Total Truncated Expenses]],TM[[#All],[Reporting Year]],2024,TM[[#All],[Insurance Category Code]],2,TM[[#All],[Large Provider Entity Code]],A336)/C336,"NA")</f>
        <v>NA</v>
      </c>
      <c r="I336" s="89">
        <f>SUMIFS(TM[[#All],[Member Months]],TM[[#All],[Reporting Year]],2025,TM[[#All],[Insurance Category Code]],2,TM[[#All],[Large Provider Entity Code]],A336)</f>
        <v>0</v>
      </c>
      <c r="J336" s="7" t="str">
        <f>IFERROR(SUMIFS(TM[[#All],[Total Non-Truncated Claims Spending]],TM[[#All],[Reporting Year]],2025,TM[[#All],[Insurance Category Code]],2,TM[[#All],[Large Provider Entity Code]],A336)/I336,"NA")</f>
        <v>NA</v>
      </c>
      <c r="K336" s="7" t="str">
        <f>IFERROR(SUMIFS(TM[[#All],[Total Non-Claims Spending]],TM[[#All],[Reporting Year]],2025,TM[[#All],[Insurance Category Code]],2,TM[[#All],[Large Provider Entity Code]],A336)/I336,"NA")</f>
        <v>NA</v>
      </c>
      <c r="L336" s="7" t="str">
        <f>IFERROR(SUMIFS(TM[[#All],[Total Non-Truncated Claims and Non-Claims Spending]],TM[[#All],[Reporting Year]],2025,TM[[#All],[Insurance Category Code]],2,TM[[#All],[Large Provider Entity Code]],A336)/I336,"NA")</f>
        <v>NA</v>
      </c>
      <c r="M336" s="7" t="str">
        <f>IFERROR(SUMIFS(TM[[#All],[Total Truncated Claims Spending]],TM[[#All],[Reporting Year]],2025,TM[[#All],[Insurance Category Code]],2,TM[[#All],[Large Provider Entity Code]],A336)/I336,"NA")</f>
        <v>NA</v>
      </c>
      <c r="N336" s="90" t="str">
        <f>IFERROR(SUMIFS(TM[[#All],[Total Truncated Expenses]],TM[[#All],[Reporting Year]],2025,TM[[#All],[Insurance Category Code]],2,TM[[#All],[Large Provider Entity Code]],A336)/I336,"NA")</f>
        <v>NA</v>
      </c>
      <c r="O336" s="169" t="str">
        <f t="shared" si="204"/>
        <v>No</v>
      </c>
      <c r="P336" s="231" t="str">
        <f t="shared" si="205"/>
        <v>NA</v>
      </c>
      <c r="Q336" s="91" t="str">
        <f t="shared" si="206"/>
        <v>NA</v>
      </c>
      <c r="R336" s="91" t="str">
        <f t="shared" si="207"/>
        <v>NA</v>
      </c>
      <c r="S336" s="91" t="str">
        <f t="shared" si="208"/>
        <v>NA</v>
      </c>
      <c r="T336" s="91" t="str">
        <f t="shared" si="209"/>
        <v>NA</v>
      </c>
      <c r="U336" s="91" t="str">
        <f t="shared" si="210"/>
        <v>NA</v>
      </c>
    </row>
    <row r="337" spans="1:21" x14ac:dyDescent="0.4">
      <c r="A337" s="462">
        <v>125</v>
      </c>
      <c r="B337" s="525" t="s">
        <v>638</v>
      </c>
      <c r="C337" s="8">
        <f>SUMIFS(TM[[#All],[Member Months]],TM[[#All],[Reporting Year]],2024,TM[[#All],[Insurance Category Code]],2,TM[[#All],[Large Provider Entity Code]],A337)</f>
        <v>0</v>
      </c>
      <c r="D337" s="7" t="str">
        <f>IFERROR(SUMIFS(TM[[#All],[Total Non-Truncated Claims Spending]],TM[[#All],[Reporting Year]],2024,TM[[#All],[Insurance Category Code]],2,TM[[#All],[Large Provider Entity Code]],A337)/C337,"NA")</f>
        <v>NA</v>
      </c>
      <c r="E337" s="7" t="str">
        <f>IFERROR(SUMIFS(TM[[#All],[Total Non-Claims Spending]],TM[[#All],[Reporting Year]],2024,TM[[#All],[Insurance Category Code]],2,TM[[#All],[Large Provider Entity Code]],A337)/C337,"NA")</f>
        <v>NA</v>
      </c>
      <c r="F337" s="7" t="str">
        <f>IFERROR(SUMIFS(TM[[#All],[Total Non-Truncated Claims and Non-Claims Spending]],TM[[#All],[Reporting Year]],2024,TM[[#All],[Insurance Category Code]],2,TM[[#All],[Large Provider Entity Code]],A337)/C337,"NA")</f>
        <v>NA</v>
      </c>
      <c r="G337" s="7" t="str">
        <f>IFERROR(SUMIFS(TM[[#All],[Total Truncated Claims Spending]],TM[[#All],[Reporting Year]],2024,TM[[#All],[Insurance Category Code]],2,TM[[#All],[Large Provider Entity Code]],A337)/C337,"NA")</f>
        <v>NA</v>
      </c>
      <c r="H337" s="196" t="str">
        <f>IFERROR(SUMIFS(TM[[#All],[Total Truncated Expenses]],TM[[#All],[Reporting Year]],2024,TM[[#All],[Insurance Category Code]],2,TM[[#All],[Large Provider Entity Code]],A337)/C337,"NA")</f>
        <v>NA</v>
      </c>
      <c r="I337" s="89">
        <f>SUMIFS(TM[[#All],[Member Months]],TM[[#All],[Reporting Year]],2025,TM[[#All],[Insurance Category Code]],2,TM[[#All],[Large Provider Entity Code]],A337)</f>
        <v>0</v>
      </c>
      <c r="J337" s="7" t="str">
        <f>IFERROR(SUMIFS(TM[[#All],[Total Non-Truncated Claims Spending]],TM[[#All],[Reporting Year]],2025,TM[[#All],[Insurance Category Code]],2,TM[[#All],[Large Provider Entity Code]],A337)/I337,"NA")</f>
        <v>NA</v>
      </c>
      <c r="K337" s="7" t="str">
        <f>IFERROR(SUMIFS(TM[[#All],[Total Non-Claims Spending]],TM[[#All],[Reporting Year]],2025,TM[[#All],[Insurance Category Code]],2,TM[[#All],[Large Provider Entity Code]],A337)/I337,"NA")</f>
        <v>NA</v>
      </c>
      <c r="L337" s="7" t="str">
        <f>IFERROR(SUMIFS(TM[[#All],[Total Non-Truncated Claims and Non-Claims Spending]],TM[[#All],[Reporting Year]],2025,TM[[#All],[Insurance Category Code]],2,TM[[#All],[Large Provider Entity Code]],A337)/I337,"NA")</f>
        <v>NA</v>
      </c>
      <c r="M337" s="7" t="str">
        <f>IFERROR(SUMIFS(TM[[#All],[Total Truncated Claims Spending]],TM[[#All],[Reporting Year]],2025,TM[[#All],[Insurance Category Code]],2,TM[[#All],[Large Provider Entity Code]],A337)/I337,"NA")</f>
        <v>NA</v>
      </c>
      <c r="N337" s="90" t="str">
        <f>IFERROR(SUMIFS(TM[[#All],[Total Truncated Expenses]],TM[[#All],[Reporting Year]],2025,TM[[#All],[Insurance Category Code]],2,TM[[#All],[Large Provider Entity Code]],A337)/I337,"NA")</f>
        <v>NA</v>
      </c>
      <c r="O337" s="169" t="str">
        <f t="shared" ref="O337:O340" si="211">IFERROR(IF(AND(C337&gt;12000,I337&gt;12000),"Yes","No"),"NA")</f>
        <v>No</v>
      </c>
      <c r="P337" s="231" t="str">
        <f t="shared" ref="P337:P340" si="212">IFERROR((I337/C337-1),"NA")</f>
        <v>NA</v>
      </c>
      <c r="Q337" s="91" t="str">
        <f t="shared" ref="Q337:Q340" si="213">IFERROR((J337/D337-1),"NA")</f>
        <v>NA</v>
      </c>
      <c r="R337" s="91" t="str">
        <f t="shared" ref="R337:R340" si="214">IFERROR((K337/E337-1),"NA")</f>
        <v>NA</v>
      </c>
      <c r="S337" s="91" t="str">
        <f t="shared" ref="S337:S340" si="215">IFERROR((L337/F337-1),"NA")</f>
        <v>NA</v>
      </c>
      <c r="T337" s="91" t="str">
        <f t="shared" ref="T337:T340" si="216">IFERROR((M337/G337-1),"NA")</f>
        <v>NA</v>
      </c>
      <c r="U337" s="91" t="str">
        <f t="shared" ref="U337:U340" si="217">IFERROR((N337/H337-1),"NA")</f>
        <v>NA</v>
      </c>
    </row>
    <row r="338" spans="1:21" x14ac:dyDescent="0.4">
      <c r="A338" s="462">
        <v>126</v>
      </c>
      <c r="B338" s="525" t="s">
        <v>639</v>
      </c>
      <c r="C338" s="8">
        <f>SUMIFS(TM[[#All],[Member Months]],TM[[#All],[Reporting Year]],2024,TM[[#All],[Insurance Category Code]],2,TM[[#All],[Large Provider Entity Code]],A338)</f>
        <v>0</v>
      </c>
      <c r="D338" s="7" t="str">
        <f>IFERROR(SUMIFS(TM[[#All],[Total Non-Truncated Claims Spending]],TM[[#All],[Reporting Year]],2024,TM[[#All],[Insurance Category Code]],2,TM[[#All],[Large Provider Entity Code]],A338)/C338,"NA")</f>
        <v>NA</v>
      </c>
      <c r="E338" s="7" t="str">
        <f>IFERROR(SUMIFS(TM[[#All],[Total Non-Claims Spending]],TM[[#All],[Reporting Year]],2024,TM[[#All],[Insurance Category Code]],2,TM[[#All],[Large Provider Entity Code]],A338)/C338,"NA")</f>
        <v>NA</v>
      </c>
      <c r="F338" s="7" t="str">
        <f>IFERROR(SUMIFS(TM[[#All],[Total Non-Truncated Claims and Non-Claims Spending]],TM[[#All],[Reporting Year]],2024,TM[[#All],[Insurance Category Code]],2,TM[[#All],[Large Provider Entity Code]],A338)/C338,"NA")</f>
        <v>NA</v>
      </c>
      <c r="G338" s="7" t="str">
        <f>IFERROR(SUMIFS(TM[[#All],[Total Truncated Claims Spending]],TM[[#All],[Reporting Year]],2024,TM[[#All],[Insurance Category Code]],2,TM[[#All],[Large Provider Entity Code]],A338)/C338,"NA")</f>
        <v>NA</v>
      </c>
      <c r="H338" s="196" t="str">
        <f>IFERROR(SUMIFS(TM[[#All],[Total Truncated Expenses]],TM[[#All],[Reporting Year]],2024,TM[[#All],[Insurance Category Code]],2,TM[[#All],[Large Provider Entity Code]],A338)/C338,"NA")</f>
        <v>NA</v>
      </c>
      <c r="I338" s="89">
        <f>SUMIFS(TM[[#All],[Member Months]],TM[[#All],[Reporting Year]],2025,TM[[#All],[Insurance Category Code]],2,TM[[#All],[Large Provider Entity Code]],A338)</f>
        <v>0</v>
      </c>
      <c r="J338" s="7" t="str">
        <f>IFERROR(SUMIFS(TM[[#All],[Total Non-Truncated Claims Spending]],TM[[#All],[Reporting Year]],2025,TM[[#All],[Insurance Category Code]],2,TM[[#All],[Large Provider Entity Code]],A338)/I338,"NA")</f>
        <v>NA</v>
      </c>
      <c r="K338" s="7" t="str">
        <f>IFERROR(SUMIFS(TM[[#All],[Total Non-Claims Spending]],TM[[#All],[Reporting Year]],2025,TM[[#All],[Insurance Category Code]],2,TM[[#All],[Large Provider Entity Code]],A338)/I338,"NA")</f>
        <v>NA</v>
      </c>
      <c r="L338" s="7" t="str">
        <f>IFERROR(SUMIFS(TM[[#All],[Total Non-Truncated Claims and Non-Claims Spending]],TM[[#All],[Reporting Year]],2025,TM[[#All],[Insurance Category Code]],2,TM[[#All],[Large Provider Entity Code]],A338)/I338,"NA")</f>
        <v>NA</v>
      </c>
      <c r="M338" s="7" t="str">
        <f>IFERROR(SUMIFS(TM[[#All],[Total Truncated Claims Spending]],TM[[#All],[Reporting Year]],2025,TM[[#All],[Insurance Category Code]],2,TM[[#All],[Large Provider Entity Code]],A338)/I338,"NA")</f>
        <v>NA</v>
      </c>
      <c r="N338" s="90" t="str">
        <f>IFERROR(SUMIFS(TM[[#All],[Total Truncated Expenses]],TM[[#All],[Reporting Year]],2025,TM[[#All],[Insurance Category Code]],2,TM[[#All],[Large Provider Entity Code]],A338)/I338,"NA")</f>
        <v>NA</v>
      </c>
      <c r="O338" s="169" t="str">
        <f t="shared" si="211"/>
        <v>No</v>
      </c>
      <c r="P338" s="231" t="str">
        <f t="shared" si="212"/>
        <v>NA</v>
      </c>
      <c r="Q338" s="91" t="str">
        <f t="shared" si="213"/>
        <v>NA</v>
      </c>
      <c r="R338" s="91" t="str">
        <f t="shared" si="214"/>
        <v>NA</v>
      </c>
      <c r="S338" s="91" t="str">
        <f t="shared" si="215"/>
        <v>NA</v>
      </c>
      <c r="T338" s="91" t="str">
        <f t="shared" si="216"/>
        <v>NA</v>
      </c>
      <c r="U338" s="91" t="str">
        <f t="shared" si="217"/>
        <v>NA</v>
      </c>
    </row>
    <row r="339" spans="1:21" ht="33.6" x14ac:dyDescent="0.4">
      <c r="A339" s="462">
        <v>127</v>
      </c>
      <c r="B339" s="525" t="s">
        <v>640</v>
      </c>
      <c r="C339" s="8">
        <f>SUMIFS(TM[[#All],[Member Months]],TM[[#All],[Reporting Year]],2024,TM[[#All],[Insurance Category Code]],2,TM[[#All],[Large Provider Entity Code]],A339)</f>
        <v>0</v>
      </c>
      <c r="D339" s="7" t="str">
        <f>IFERROR(SUMIFS(TM[[#All],[Total Non-Truncated Claims Spending]],TM[[#All],[Reporting Year]],2024,TM[[#All],[Insurance Category Code]],2,TM[[#All],[Large Provider Entity Code]],A339)/C339,"NA")</f>
        <v>NA</v>
      </c>
      <c r="E339" s="7" t="str">
        <f>IFERROR(SUMIFS(TM[[#All],[Total Non-Claims Spending]],TM[[#All],[Reporting Year]],2024,TM[[#All],[Insurance Category Code]],2,TM[[#All],[Large Provider Entity Code]],A339)/C339,"NA")</f>
        <v>NA</v>
      </c>
      <c r="F339" s="7" t="str">
        <f>IFERROR(SUMIFS(TM[[#All],[Total Non-Truncated Claims and Non-Claims Spending]],TM[[#All],[Reporting Year]],2024,TM[[#All],[Insurance Category Code]],2,TM[[#All],[Large Provider Entity Code]],A339)/C339,"NA")</f>
        <v>NA</v>
      </c>
      <c r="G339" s="7" t="str">
        <f>IFERROR(SUMIFS(TM[[#All],[Total Truncated Claims Spending]],TM[[#All],[Reporting Year]],2024,TM[[#All],[Insurance Category Code]],2,TM[[#All],[Large Provider Entity Code]],A339)/C339,"NA")</f>
        <v>NA</v>
      </c>
      <c r="H339" s="196" t="str">
        <f>IFERROR(SUMIFS(TM[[#All],[Total Truncated Expenses]],TM[[#All],[Reporting Year]],2024,TM[[#All],[Insurance Category Code]],2,TM[[#All],[Large Provider Entity Code]],A339)/C339,"NA")</f>
        <v>NA</v>
      </c>
      <c r="I339" s="89">
        <f>SUMIFS(TM[[#All],[Member Months]],TM[[#All],[Reporting Year]],2025,TM[[#All],[Insurance Category Code]],2,TM[[#All],[Large Provider Entity Code]],A339)</f>
        <v>0</v>
      </c>
      <c r="J339" s="7" t="str">
        <f>IFERROR(SUMIFS(TM[[#All],[Total Non-Truncated Claims Spending]],TM[[#All],[Reporting Year]],2025,TM[[#All],[Insurance Category Code]],2,TM[[#All],[Large Provider Entity Code]],A339)/I339,"NA")</f>
        <v>NA</v>
      </c>
      <c r="K339" s="7" t="str">
        <f>IFERROR(SUMIFS(TM[[#All],[Total Non-Claims Spending]],TM[[#All],[Reporting Year]],2025,TM[[#All],[Insurance Category Code]],2,TM[[#All],[Large Provider Entity Code]],A339)/I339,"NA")</f>
        <v>NA</v>
      </c>
      <c r="L339" s="7" t="str">
        <f>IFERROR(SUMIFS(TM[[#All],[Total Non-Truncated Claims and Non-Claims Spending]],TM[[#All],[Reporting Year]],2025,TM[[#All],[Insurance Category Code]],2,TM[[#All],[Large Provider Entity Code]],A339)/I339,"NA")</f>
        <v>NA</v>
      </c>
      <c r="M339" s="7" t="str">
        <f>IFERROR(SUMIFS(TM[[#All],[Total Truncated Claims Spending]],TM[[#All],[Reporting Year]],2025,TM[[#All],[Insurance Category Code]],2,TM[[#All],[Large Provider Entity Code]],A339)/I339,"NA")</f>
        <v>NA</v>
      </c>
      <c r="N339" s="90" t="str">
        <f>IFERROR(SUMIFS(TM[[#All],[Total Truncated Expenses]],TM[[#All],[Reporting Year]],2025,TM[[#All],[Insurance Category Code]],2,TM[[#All],[Large Provider Entity Code]],A339)/I339,"NA")</f>
        <v>NA</v>
      </c>
      <c r="O339" s="169" t="str">
        <f t="shared" si="211"/>
        <v>No</v>
      </c>
      <c r="P339" s="231" t="str">
        <f t="shared" si="212"/>
        <v>NA</v>
      </c>
      <c r="Q339" s="91" t="str">
        <f t="shared" si="213"/>
        <v>NA</v>
      </c>
      <c r="R339" s="91" t="str">
        <f t="shared" si="214"/>
        <v>NA</v>
      </c>
      <c r="S339" s="91" t="str">
        <f t="shared" si="215"/>
        <v>NA</v>
      </c>
      <c r="T339" s="91" t="str">
        <f t="shared" si="216"/>
        <v>NA</v>
      </c>
      <c r="U339" s="91" t="str">
        <f t="shared" si="217"/>
        <v>NA</v>
      </c>
    </row>
    <row r="340" spans="1:21" x14ac:dyDescent="0.4">
      <c r="A340" s="462">
        <v>128</v>
      </c>
      <c r="B340" s="525" t="s">
        <v>641</v>
      </c>
      <c r="C340" s="8">
        <f>SUMIFS(TM[[#All],[Member Months]],TM[[#All],[Reporting Year]],2024,TM[[#All],[Insurance Category Code]],2,TM[[#All],[Large Provider Entity Code]],A340)</f>
        <v>0</v>
      </c>
      <c r="D340" s="7" t="str">
        <f>IFERROR(SUMIFS(TM[[#All],[Total Non-Truncated Claims Spending]],TM[[#All],[Reporting Year]],2024,TM[[#All],[Insurance Category Code]],2,TM[[#All],[Large Provider Entity Code]],A340)/C340,"NA")</f>
        <v>NA</v>
      </c>
      <c r="E340" s="7" t="str">
        <f>IFERROR(SUMIFS(TM[[#All],[Total Non-Claims Spending]],TM[[#All],[Reporting Year]],2024,TM[[#All],[Insurance Category Code]],2,TM[[#All],[Large Provider Entity Code]],A340)/C340,"NA")</f>
        <v>NA</v>
      </c>
      <c r="F340" s="7" t="str">
        <f>IFERROR(SUMIFS(TM[[#All],[Total Non-Truncated Claims and Non-Claims Spending]],TM[[#All],[Reporting Year]],2024,TM[[#All],[Insurance Category Code]],2,TM[[#All],[Large Provider Entity Code]],A340)/C340,"NA")</f>
        <v>NA</v>
      </c>
      <c r="G340" s="7" t="str">
        <f>IFERROR(SUMIFS(TM[[#All],[Total Truncated Claims Spending]],TM[[#All],[Reporting Year]],2024,TM[[#All],[Insurance Category Code]],2,TM[[#All],[Large Provider Entity Code]],A340)/C340,"NA")</f>
        <v>NA</v>
      </c>
      <c r="H340" s="196" t="str">
        <f>IFERROR(SUMIFS(TM[[#All],[Total Truncated Expenses]],TM[[#All],[Reporting Year]],2024,TM[[#All],[Insurance Category Code]],2,TM[[#All],[Large Provider Entity Code]],A340)/C340,"NA")</f>
        <v>NA</v>
      </c>
      <c r="I340" s="89">
        <f>SUMIFS(TM[[#All],[Member Months]],TM[[#All],[Reporting Year]],2025,TM[[#All],[Insurance Category Code]],2,TM[[#All],[Large Provider Entity Code]],A340)</f>
        <v>0</v>
      </c>
      <c r="J340" s="7" t="str">
        <f>IFERROR(SUMIFS(TM[[#All],[Total Non-Truncated Claims Spending]],TM[[#All],[Reporting Year]],2025,TM[[#All],[Insurance Category Code]],2,TM[[#All],[Large Provider Entity Code]],A340)/I340,"NA")</f>
        <v>NA</v>
      </c>
      <c r="K340" s="7" t="str">
        <f>IFERROR(SUMIFS(TM[[#All],[Total Non-Claims Spending]],TM[[#All],[Reporting Year]],2025,TM[[#All],[Insurance Category Code]],2,TM[[#All],[Large Provider Entity Code]],A340)/I340,"NA")</f>
        <v>NA</v>
      </c>
      <c r="L340" s="7" t="str">
        <f>IFERROR(SUMIFS(TM[[#All],[Total Non-Truncated Claims and Non-Claims Spending]],TM[[#All],[Reporting Year]],2025,TM[[#All],[Insurance Category Code]],2,TM[[#All],[Large Provider Entity Code]],A340)/I340,"NA")</f>
        <v>NA</v>
      </c>
      <c r="M340" s="7" t="str">
        <f>IFERROR(SUMIFS(TM[[#All],[Total Truncated Claims Spending]],TM[[#All],[Reporting Year]],2025,TM[[#All],[Insurance Category Code]],2,TM[[#All],[Large Provider Entity Code]],A340)/I340,"NA")</f>
        <v>NA</v>
      </c>
      <c r="N340" s="90" t="str">
        <f>IFERROR(SUMIFS(TM[[#All],[Total Truncated Expenses]],TM[[#All],[Reporting Year]],2025,TM[[#All],[Insurance Category Code]],2,TM[[#All],[Large Provider Entity Code]],A340)/I340,"NA")</f>
        <v>NA</v>
      </c>
      <c r="O340" s="169" t="str">
        <f t="shared" si="211"/>
        <v>No</v>
      </c>
      <c r="P340" s="231" t="str">
        <f t="shared" si="212"/>
        <v>NA</v>
      </c>
      <c r="Q340" s="91" t="str">
        <f t="shared" si="213"/>
        <v>NA</v>
      </c>
      <c r="R340" s="91" t="str">
        <f t="shared" si="214"/>
        <v>NA</v>
      </c>
      <c r="S340" s="91" t="str">
        <f t="shared" si="215"/>
        <v>NA</v>
      </c>
      <c r="T340" s="91" t="str">
        <f t="shared" si="216"/>
        <v>NA</v>
      </c>
      <c r="U340" s="91" t="str">
        <f t="shared" si="217"/>
        <v>NA</v>
      </c>
    </row>
    <row r="341" spans="1:21" x14ac:dyDescent="0.4">
      <c r="A341" s="210">
        <v>999</v>
      </c>
      <c r="B341" s="525" t="s">
        <v>71</v>
      </c>
      <c r="C341" s="156">
        <f>SUMIFS(TM[[#All],[Member Months]],TM[[#All],[Reporting Year]],2024,TM[[#All],[Insurance Category Code]],2,TM[[#All],[Large Provider Entity Code]],A341)</f>
        <v>0</v>
      </c>
      <c r="D341" s="7" t="str">
        <f>IFERROR(SUMIFS(TM[[#All],[Total Non-Truncated Claims Spending]],TM[[#All],[Reporting Year]],2024,TM[[#All],[Insurance Category Code]],2,TM[[#All],[Large Provider Entity Code]],A341)/C341,"NA")</f>
        <v>NA</v>
      </c>
      <c r="E341" s="7" t="str">
        <f>IFERROR(SUMIFS(TM[[#All],[Total Non-Claims Spending]],TM[[#All],[Reporting Year]],2024,TM[[#All],[Insurance Category Code]],2,TM[[#All],[Large Provider Entity Code]],A341)/C341,"NA")</f>
        <v>NA</v>
      </c>
      <c r="F341" s="7" t="str">
        <f>IFERROR(SUMIFS(TM[[#All],[Total Non-Truncated Claims and Non-Claims Spending]],TM[[#All],[Reporting Year]],2024,TM[[#All],[Insurance Category Code]],2,TM[[#All],[Large Provider Entity Code]],A341)/C341,"NA")</f>
        <v>NA</v>
      </c>
      <c r="G341" s="7" t="str">
        <f>IFERROR(SUMIFS(TM[[#All],[Total Truncated Claims Spending]],TM[[#All],[Reporting Year]],2024,TM[[#All],[Insurance Category Code]],2,TM[[#All],[Large Provider Entity Code]],A341)/C341,"NA")</f>
        <v>NA</v>
      </c>
      <c r="H341" s="196" t="str">
        <f>IFERROR(SUMIFS(TM[[#All],[Total Truncated Expenses]],TM[[#All],[Reporting Year]],2024,TM[[#All],[Insurance Category Code]],2,TM[[#All],[Large Provider Entity Code]],A341)/C341,"NA")</f>
        <v>NA</v>
      </c>
      <c r="I341" s="89">
        <f>SUMIFS(TM[[#All],[Member Months]],TM[[#All],[Reporting Year]],2025,TM[[#All],[Insurance Category Code]],2,TM[[#All],[Large Provider Entity Code]],A341)</f>
        <v>0</v>
      </c>
      <c r="J341" s="7" t="str">
        <f>IFERROR(SUMIFS(TM[[#All],[Total Non-Truncated Claims Spending]],TM[[#All],[Reporting Year]],2025,TM[[#All],[Insurance Category Code]],2,TM[[#All],[Large Provider Entity Code]],A341)/I341,"NA")</f>
        <v>NA</v>
      </c>
      <c r="K341" s="7" t="str">
        <f>IFERROR(SUMIFS(TM[[#All],[Total Non-Claims Spending]],TM[[#All],[Reporting Year]],2025,TM[[#All],[Insurance Category Code]],2,TM[[#All],[Large Provider Entity Code]],A341)/I341,"NA")</f>
        <v>NA</v>
      </c>
      <c r="L341" s="7" t="str">
        <f>IFERROR(SUMIFS(TM[[#All],[Total Non-Truncated Claims and Non-Claims Spending]],TM[[#All],[Reporting Year]],2025,TM[[#All],[Insurance Category Code]],2,TM[[#All],[Large Provider Entity Code]],A341)/I341,"NA")</f>
        <v>NA</v>
      </c>
      <c r="M341" s="7" t="str">
        <f>IFERROR(SUMIFS(TM[[#All],[Total Truncated Claims Spending]],TM[[#All],[Reporting Year]],2025,TM[[#All],[Insurance Category Code]],2,TM[[#All],[Large Provider Entity Code]],A341)/I341,"NA")</f>
        <v>NA</v>
      </c>
      <c r="N341" s="90" t="str">
        <f>IFERROR(SUMIFS(TM[[#All],[Total Truncated Expenses]],TM[[#All],[Reporting Year]],2025,TM[[#All],[Insurance Category Code]],2,TM[[#All],[Large Provider Entity Code]],A341)/I341,"NA")</f>
        <v>NA</v>
      </c>
      <c r="O341" s="169" t="str">
        <f>IFERROR(IF(AND(C341&gt;12000,I341&gt;12000),"Yes","No"),"NA")</f>
        <v>No</v>
      </c>
      <c r="P341" s="231" t="str">
        <f t="shared" si="203"/>
        <v>NA</v>
      </c>
      <c r="Q341" s="91" t="str">
        <f t="shared" si="203"/>
        <v>NA</v>
      </c>
      <c r="R341" s="91" t="str">
        <f t="shared" si="203"/>
        <v>NA</v>
      </c>
      <c r="S341" s="91" t="str">
        <f t="shared" si="203"/>
        <v>NA</v>
      </c>
      <c r="T341" s="91" t="str">
        <f t="shared" si="203"/>
        <v>NA</v>
      </c>
      <c r="U341" s="91" t="str">
        <f t="shared" si="203"/>
        <v>NA</v>
      </c>
    </row>
    <row r="342" spans="1:21" ht="30" customHeight="1" x14ac:dyDescent="0.4">
      <c r="A342" s="572" t="s">
        <v>523</v>
      </c>
      <c r="B342" s="573"/>
      <c r="C342" s="157">
        <f>SUM(C318:C341)</f>
        <v>0</v>
      </c>
      <c r="D342" s="124" t="str">
        <f>IFERROR((SUMPRODUCT(D318:D341,C318:C341)/C342),"NA")</f>
        <v>NA</v>
      </c>
      <c r="E342" s="124" t="str">
        <f>IFERROR((SUMPRODUCT(E318:E341,C318:C341)/C342),"NA")</f>
        <v>NA</v>
      </c>
      <c r="F342" s="124" t="str">
        <f>IFERROR((SUMPRODUCT(F318:F341,C318:C341)/C342),"NA")</f>
        <v>NA</v>
      </c>
      <c r="G342" s="124" t="str">
        <f>IFERROR((SUMPRODUCT(G318:G341,C318:C341)/C342),"NA")</f>
        <v>NA</v>
      </c>
      <c r="H342" s="124" t="str">
        <f>IFERROR((SUMPRODUCT(H318:H341,C318:C341)/C342),"NA")</f>
        <v>NA</v>
      </c>
      <c r="I342" s="158">
        <f>SUM(I318:I341)</f>
        <v>0</v>
      </c>
      <c r="J342" s="124" t="str">
        <f>IFERROR((SUMPRODUCT(J318:J341,I318:I341)/I342),"NA")</f>
        <v>NA</v>
      </c>
      <c r="K342" s="124" t="str">
        <f>IFERROR((SUMPRODUCT(K318:K341,I318:I341)/I342),"NA")</f>
        <v>NA</v>
      </c>
      <c r="L342" s="124" t="str">
        <f>IFERROR((SUMPRODUCT(L318:L341,I318:I341)/I342),"NA")</f>
        <v>NA</v>
      </c>
      <c r="M342" s="124" t="str">
        <f>IFERROR((SUMPRODUCT(M318:M341,I318:I341)/I342),"NA")</f>
        <v>NA</v>
      </c>
      <c r="N342" s="198" t="str">
        <f>IFERROR((SUMPRODUCT(N318:N341,I318:I341)/I342),"NA")</f>
        <v>NA</v>
      </c>
      <c r="O342" s="434" t="s">
        <v>470</v>
      </c>
      <c r="P342" s="386" t="s">
        <v>470</v>
      </c>
      <c r="Q342" s="385" t="s">
        <v>470</v>
      </c>
      <c r="R342" s="385" t="s">
        <v>470</v>
      </c>
      <c r="S342" s="385" t="s">
        <v>470</v>
      </c>
      <c r="T342" s="385" t="s">
        <v>470</v>
      </c>
      <c r="U342" s="385" t="s">
        <v>470</v>
      </c>
    </row>
    <row r="343" spans="1:21" x14ac:dyDescent="0.4">
      <c r="A343" s="574" t="s">
        <v>519</v>
      </c>
      <c r="B343" s="575"/>
      <c r="C343" s="157" t="s">
        <v>470</v>
      </c>
      <c r="D343" s="123" t="str">
        <f>IFERROR(((SUMPRODUCT(D317,$C$317))-ABS(SUMIFS(RX[[#All],[Total Medical and Retail Pharmacy Rebate Amount]],RX[[#All],[Reporting Year]],2024,RX[[#All],[Insurance Category Code]],2)))/$C$342,"NA")</f>
        <v>NA</v>
      </c>
      <c r="E343" s="123" t="str">
        <f>IFERROR(((SUMPRODUCT(E317,$C$317))-ABS(SUMIFS(RX[[#All],[Total Medical and Retail Pharmacy Rebate Amount]],RX[[#All],[Reporting Year]],2024,RX[[#All],[Insurance Category Code]],2)))/$C$342,"NA")</f>
        <v>NA</v>
      </c>
      <c r="F343" s="123" t="str">
        <f>IFERROR(((SUMPRODUCT(F317,$C$317))-ABS(SUMIFS(RX[[#All],[Total Medical and Retail Pharmacy Rebate Amount]],RX[[#All],[Reporting Year]],2024,RX[[#All],[Insurance Category Code]],2)))/$C$342,"NA")</f>
        <v>NA</v>
      </c>
      <c r="G343" s="123" t="str">
        <f>IFERROR(((SUMPRODUCT(G317,$C$317))-ABS(SUMIFS(RX[[#All],[Total Medical and Retail Pharmacy Rebate Amount]],RX[[#All],[Reporting Year]],2024,RX[[#All],[Insurance Category Code]],2)))/$C$342,"NA")</f>
        <v>NA</v>
      </c>
      <c r="H343" s="201" t="str">
        <f>IFERROR(((SUMPRODUCT(H317,$C$317))-ABS(SUMIFS(RX[[#All],[Total Medical and Retail Pharmacy Rebate Amount]],RX[[#All],[Reporting Year]],2024,RX[[#All],[Insurance Category Code]],2)))/$C$342,"NA")</f>
        <v>NA</v>
      </c>
      <c r="I343" s="158" t="s">
        <v>470</v>
      </c>
      <c r="J343" s="123" t="str">
        <f>IFERROR(((SUMPRODUCT(J317,$I$317))-ABS(SUMIFS(RX[[#All],[Total Medical and Retail Pharmacy Rebate Amount]],RX[[#All],[Reporting Year]],2025,RX[[#All],[Insurance Category Code]],2)))/$I$342,"NA")</f>
        <v>NA</v>
      </c>
      <c r="K343" s="123" t="str">
        <f>IFERROR(((SUMPRODUCT(K317,$I$317))-ABS(SUMIFS(RX[[#All],[Total Medical and Retail Pharmacy Rebate Amount]],RX[[#All],[Reporting Year]],2025,RX[[#All],[Insurance Category Code]],2)))/$I$342,"NA")</f>
        <v>NA</v>
      </c>
      <c r="L343" s="123" t="str">
        <f>IFERROR(((SUMPRODUCT(L317,$I$317))-ABS(SUMIFS(RX[[#All],[Total Medical and Retail Pharmacy Rebate Amount]],RX[[#All],[Reporting Year]],2025,RX[[#All],[Insurance Category Code]],2)))/$I$342,"NA")</f>
        <v>NA</v>
      </c>
      <c r="M343" s="123" t="str">
        <f>IFERROR(((SUMPRODUCT(M317,$I$317))-ABS(SUMIFS(RX[[#All],[Total Medical and Retail Pharmacy Rebate Amount]],RX[[#All],[Reporting Year]],2025,RX[[#All],[Insurance Category Code]],2)))/$I$342,"NA")</f>
        <v>NA</v>
      </c>
      <c r="N343" s="200" t="str">
        <f>IFERROR(((SUMPRODUCT(N317,$I$317))-ABS(SUMIFS(RX[[#All],[Total Medical and Retail Pharmacy Rebate Amount]],RX[[#All],[Reporting Year]],2025,RX[[#All],[Insurance Category Code]],2)))/$I$342,"NA")</f>
        <v>NA</v>
      </c>
      <c r="O343" s="434" t="s">
        <v>470</v>
      </c>
      <c r="P343" s="386" t="s">
        <v>470</v>
      </c>
      <c r="Q343" s="385" t="s">
        <v>470</v>
      </c>
      <c r="R343" s="385" t="s">
        <v>470</v>
      </c>
      <c r="S343" s="385" t="s">
        <v>470</v>
      </c>
      <c r="T343" s="385" t="s">
        <v>470</v>
      </c>
      <c r="U343" s="385" t="s">
        <v>470</v>
      </c>
    </row>
    <row r="344" spans="1:21" x14ac:dyDescent="0.4">
      <c r="A344" s="558" t="s">
        <v>520</v>
      </c>
      <c r="B344" s="559"/>
      <c r="C344" s="221">
        <f>ABS(C342-C317)</f>
        <v>0</v>
      </c>
      <c r="D344" s="219" t="e">
        <f>ABS(D342-D317)</f>
        <v>#VALUE!</v>
      </c>
      <c r="E344" s="219" t="e">
        <f>ABS(E342-E317)</f>
        <v>#VALUE!</v>
      </c>
      <c r="F344" s="219" t="e">
        <f>ABS(F342-F317)</f>
        <v>#VALUE!</v>
      </c>
      <c r="G344" s="174" t="s">
        <v>470</v>
      </c>
      <c r="H344" s="225" t="s">
        <v>470</v>
      </c>
      <c r="I344" s="213">
        <f>ABS(I342-I317)</f>
        <v>0</v>
      </c>
      <c r="J344" s="219" t="e">
        <f>ABS(J342-J317)</f>
        <v>#VALUE!</v>
      </c>
      <c r="K344" s="219" t="e">
        <f>ABS(K342-K317)</f>
        <v>#VALUE!</v>
      </c>
      <c r="L344" s="219" t="e">
        <f>ABS(L342-L317)</f>
        <v>#VALUE!</v>
      </c>
      <c r="M344" s="174" t="s">
        <v>470</v>
      </c>
      <c r="N344" s="225" t="s">
        <v>470</v>
      </c>
      <c r="O344" s="435" t="s">
        <v>470</v>
      </c>
      <c r="P344" s="436" t="s">
        <v>470</v>
      </c>
      <c r="Q344" s="438" t="s">
        <v>470</v>
      </c>
      <c r="R344" s="438" t="s">
        <v>470</v>
      </c>
      <c r="S344" s="438" t="s">
        <v>470</v>
      </c>
      <c r="T344" s="438" t="s">
        <v>470</v>
      </c>
      <c r="U344" s="438" t="s">
        <v>470</v>
      </c>
    </row>
    <row r="345" spans="1:21" x14ac:dyDescent="0.4">
      <c r="A345" s="560" t="s">
        <v>521</v>
      </c>
      <c r="B345" s="561"/>
      <c r="C345" s="245" t="str">
        <f>IF(((ABS(C342-C317))&lt;10),"Yes","No")</f>
        <v>Yes</v>
      </c>
      <c r="D345" s="174" t="e">
        <f>IF(((ABS(D342-D317))&lt;10),"Yes","No")</f>
        <v>#VALUE!</v>
      </c>
      <c r="E345" s="174" t="e">
        <f>IF(((ABS(E342-E317))&lt;10),"Yes","No")</f>
        <v>#VALUE!</v>
      </c>
      <c r="F345" s="174" t="e">
        <f>IF(((ABS(F342-F317))&lt;10),"Yes","No")</f>
        <v>#VALUE!</v>
      </c>
      <c r="G345" s="174" t="s">
        <v>470</v>
      </c>
      <c r="H345" s="225" t="s">
        <v>470</v>
      </c>
      <c r="I345" s="242" t="str">
        <f>IF(((ABS(I342-I317))&lt;10),"Yes","No")</f>
        <v>Yes</v>
      </c>
      <c r="J345" s="174" t="e">
        <f>IF(((ABS(J342-J317))&lt;10),"Yes","No")</f>
        <v>#VALUE!</v>
      </c>
      <c r="K345" s="174" t="e">
        <f>IF(((ABS(K342-K317))&lt;10),"Yes","No")</f>
        <v>#VALUE!</v>
      </c>
      <c r="L345" s="174" t="e">
        <f>IF(((ABS(L342-L317))&lt;10),"Yes","No")</f>
        <v>#VALUE!</v>
      </c>
      <c r="M345" s="174" t="s">
        <v>470</v>
      </c>
      <c r="N345" s="225" t="s">
        <v>470</v>
      </c>
      <c r="O345" s="435" t="s">
        <v>470</v>
      </c>
      <c r="P345" s="436" t="s">
        <v>470</v>
      </c>
      <c r="Q345" s="438" t="s">
        <v>470</v>
      </c>
      <c r="R345" s="438" t="s">
        <v>470</v>
      </c>
      <c r="S345" s="438" t="s">
        <v>470</v>
      </c>
      <c r="T345" s="438" t="s">
        <v>470</v>
      </c>
      <c r="U345" s="438" t="s">
        <v>470</v>
      </c>
    </row>
    <row r="346" spans="1:21" x14ac:dyDescent="0.4">
      <c r="A346"/>
      <c r="B346"/>
      <c r="C346"/>
      <c r="D346"/>
      <c r="E346"/>
      <c r="F346"/>
      <c r="G346"/>
      <c r="H346"/>
      <c r="I346"/>
      <c r="J346"/>
      <c r="K346"/>
      <c r="L346"/>
      <c r="M346"/>
      <c r="N346"/>
      <c r="O346" s="432"/>
      <c r="P346"/>
      <c r="Q346"/>
      <c r="R346"/>
      <c r="S346"/>
      <c r="T346"/>
      <c r="U346"/>
    </row>
    <row r="347" spans="1:21" x14ac:dyDescent="0.4">
      <c r="A347"/>
      <c r="B347"/>
      <c r="C347"/>
      <c r="D347"/>
      <c r="E347"/>
      <c r="F347"/>
      <c r="G347"/>
      <c r="H347"/>
      <c r="I347"/>
      <c r="J347"/>
      <c r="K347"/>
      <c r="L347"/>
      <c r="M347"/>
      <c r="N347"/>
      <c r="O347" s="433"/>
      <c r="P347"/>
      <c r="Q347"/>
      <c r="R347"/>
      <c r="S347"/>
      <c r="T347"/>
      <c r="U347"/>
    </row>
    <row r="348" spans="1:21" x14ac:dyDescent="0.4">
      <c r="A348" s="3" t="s">
        <v>532</v>
      </c>
      <c r="B348"/>
      <c r="C348"/>
      <c r="D348"/>
      <c r="E348"/>
      <c r="F348"/>
      <c r="G348"/>
      <c r="H348"/>
      <c r="I348"/>
      <c r="J348"/>
      <c r="K348"/>
      <c r="L348"/>
      <c r="M348"/>
      <c r="N348"/>
      <c r="O348" s="433"/>
      <c r="P348"/>
      <c r="Q348"/>
      <c r="R348"/>
      <c r="S348"/>
      <c r="T348"/>
      <c r="U348"/>
    </row>
    <row r="349" spans="1:21" x14ac:dyDescent="0.4">
      <c r="A349" s="562" t="s">
        <v>66</v>
      </c>
      <c r="B349" s="564" t="s">
        <v>505</v>
      </c>
      <c r="C349" s="566">
        <v>2024</v>
      </c>
      <c r="D349" s="567"/>
      <c r="E349" s="567"/>
      <c r="F349" s="567"/>
      <c r="G349" s="567"/>
      <c r="H349" s="568"/>
      <c r="I349" s="569">
        <v>2025</v>
      </c>
      <c r="J349" s="570"/>
      <c r="K349" s="570"/>
      <c r="L349" s="570"/>
      <c r="M349" s="570"/>
      <c r="N349" s="571"/>
      <c r="O349" s="576" t="s">
        <v>644</v>
      </c>
      <c r="P349" s="577"/>
      <c r="Q349" s="577"/>
      <c r="R349" s="577"/>
      <c r="S349" s="577"/>
      <c r="T349" s="577"/>
      <c r="U349" s="578"/>
    </row>
    <row r="350" spans="1:21" ht="50.4" x14ac:dyDescent="0.4">
      <c r="A350" s="563"/>
      <c r="B350" s="565"/>
      <c r="C350" s="85" t="s">
        <v>328</v>
      </c>
      <c r="D350" s="85" t="s">
        <v>507</v>
      </c>
      <c r="E350" s="85" t="s">
        <v>508</v>
      </c>
      <c r="F350" s="85" t="s">
        <v>509</v>
      </c>
      <c r="G350" s="85" t="s">
        <v>510</v>
      </c>
      <c r="H350" s="197" t="s">
        <v>511</v>
      </c>
      <c r="I350" s="81" t="s">
        <v>328</v>
      </c>
      <c r="J350" s="82" t="s">
        <v>507</v>
      </c>
      <c r="K350" s="82" t="s">
        <v>508</v>
      </c>
      <c r="L350" s="82" t="s">
        <v>509</v>
      </c>
      <c r="M350" s="82" t="s">
        <v>510</v>
      </c>
      <c r="N350" s="83" t="s">
        <v>511</v>
      </c>
      <c r="O350" s="410" t="s">
        <v>635</v>
      </c>
      <c r="P350" s="230" t="s">
        <v>512</v>
      </c>
      <c r="Q350" s="71" t="s">
        <v>513</v>
      </c>
      <c r="R350" s="71" t="s">
        <v>514</v>
      </c>
      <c r="S350" s="71" t="s">
        <v>515</v>
      </c>
      <c r="T350" s="71" t="s">
        <v>516</v>
      </c>
      <c r="U350" s="209" t="s">
        <v>517</v>
      </c>
    </row>
    <row r="351" spans="1:21" x14ac:dyDescent="0.4">
      <c r="A351" s="211">
        <v>100</v>
      </c>
      <c r="B351" s="525" t="s">
        <v>67</v>
      </c>
      <c r="C351" s="8">
        <f>SUMIFS(TM[[#All],[Member Months]],TM[[#All],[Reporting Year]],2024,TM[[#All],[Insurance Category Code]],6,TM[[#All],[Large Provider Entity Code]],A351)</f>
        <v>0</v>
      </c>
      <c r="D351" s="7" t="str">
        <f>IFERROR(SUMIFS(TM[[#All],[Total Non-Truncated Claims Spending]],TM[[#All],[Reporting Year]],2024,TM[[#All],[Insurance Category Code]],6,TM[[#All],[Large Provider Entity Code]],A351)/C351,"NA")</f>
        <v>NA</v>
      </c>
      <c r="E351" s="7" t="str">
        <f>IFERROR(SUMIFS(TM[[#All],[Total Non-Claims Spending]],TM[[#All],[Reporting Year]],2024,TM[[#All],[Insurance Category Code]],6,TM[[#All],[Large Provider Entity Code]],A351)/C351,"NA")</f>
        <v>NA</v>
      </c>
      <c r="F351" s="7" t="str">
        <f>IFERROR(SUMIFS(TM[[#All],[Total Non-Truncated Claims and Non-Claims Spending]],TM[[#All],[Reporting Year]],2024,TM[[#All],[Insurance Category Code]],6,TM[[#All],[Large Provider Entity Code]],A351)/C351,"NA")</f>
        <v>NA</v>
      </c>
      <c r="G351" s="7" t="str">
        <f>IFERROR(SUMIFS(TM[[#All],[Total Truncated Claims Spending]],TM[[#All],[Reporting Year]],2024,TM[[#All],[Insurance Category Code]],6,TM[[#All],[Large Provider Entity Code]],A351)/C351,"NA")</f>
        <v>NA</v>
      </c>
      <c r="H351" s="196" t="str">
        <f>IFERROR(SUMIFS(TM[[#All],[Total Truncated Expenses]],TM[[#All],[Reporting Year]],2024,TM[[#All],[Insurance Category Code]],6,TM[[#All],[Large Provider Entity Code]],A351)/C351,"NA")</f>
        <v>NA</v>
      </c>
      <c r="I351" s="89">
        <f>SUMIFS(TM[[#All],[Member Months]],TM[[#All],[Reporting Year]],2025,TM[[#All],[Insurance Category Code]],6,TM[[#All],[Large Provider Entity Code]],A351)</f>
        <v>0</v>
      </c>
      <c r="J351" s="7" t="str">
        <f>IFERROR(SUMIFS(TM[[#All],[Total Non-Truncated Claims Spending]],TM[[#All],[Reporting Year]],2025,TM[[#All],[Insurance Category Code]],6,TM[[#All],[Large Provider Entity Code]],A351)/I351,"NA")</f>
        <v>NA</v>
      </c>
      <c r="K351" s="7" t="str">
        <f>IFERROR(SUMIFS(TM[[#All],[Total Non-Claims Spending]],TM[[#All],[Reporting Year]],2025,TM[[#All],[Insurance Category Code]],6,TM[[#All],[Large Provider Entity Code]],A351)/I351,"NA")</f>
        <v>NA</v>
      </c>
      <c r="L351" s="7" t="str">
        <f>IFERROR(SUMIFS(TM[[#All],[Total Non-Truncated Claims and Non-Claims Spending]],TM[[#All],[Reporting Year]],2025,TM[[#All],[Insurance Category Code]],6,TM[[#All],[Large Provider Entity Code]],A351)/I351,"NA")</f>
        <v>NA</v>
      </c>
      <c r="M351" s="7" t="str">
        <f>IFERROR(SUMIFS(TM[[#All],[Total Truncated Claims Spending]],TM[[#All],[Reporting Year]],2025,TM[[#All],[Insurance Category Code]],6,TM[[#All],[Large Provider Entity Code]],A351)/I351,"NA")</f>
        <v>NA</v>
      </c>
      <c r="N351" s="90" t="str">
        <f>IFERROR(SUMIFS(TM[[#All],[Total Truncated Expenses]],TM[[#All],[Reporting Year]],2025,TM[[#All],[Insurance Category Code]],6,TM[[#All],[Large Provider Entity Code]],A351)/I351,"NA")</f>
        <v>NA</v>
      </c>
      <c r="O351" s="169" t="str">
        <f>IFERROR(IF(AND(C351&gt;12000,I351&gt;12000),"Yes","No"),"NA")</f>
        <v>No</v>
      </c>
      <c r="P351" s="231" t="str">
        <f t="shared" ref="P351:U375" si="218">IFERROR((I351/C351-1),"NA")</f>
        <v>NA</v>
      </c>
      <c r="Q351" s="91" t="str">
        <f t="shared" si="218"/>
        <v>NA</v>
      </c>
      <c r="R351" s="91" t="str">
        <f t="shared" si="218"/>
        <v>NA</v>
      </c>
      <c r="S351" s="91" t="str">
        <f t="shared" si="218"/>
        <v>NA</v>
      </c>
      <c r="T351" s="91" t="str">
        <f t="shared" si="218"/>
        <v>NA</v>
      </c>
      <c r="U351" s="91" t="str">
        <f t="shared" si="218"/>
        <v>NA</v>
      </c>
    </row>
    <row r="352" spans="1:21" x14ac:dyDescent="0.4">
      <c r="A352" s="210">
        <v>101</v>
      </c>
      <c r="B352" s="525" t="s">
        <v>562</v>
      </c>
      <c r="C352" s="8">
        <f>SUMIFS(TM[[#All],[Member Months]],TM[[#All],[Reporting Year]],2024,TM[[#All],[Insurance Category Code]],6,TM[[#All],[Large Provider Entity Code]],A352)</f>
        <v>0</v>
      </c>
      <c r="D352" s="7" t="str">
        <f>IFERROR(SUMIFS(TM[[#All],[Total Non-Truncated Claims Spending]],TM[[#All],[Reporting Year]],2024,TM[[#All],[Insurance Category Code]],6,TM[[#All],[Large Provider Entity Code]],A352)/C352,"NA")</f>
        <v>NA</v>
      </c>
      <c r="E352" s="7" t="str">
        <f>IFERROR(SUMIFS(TM[[#All],[Total Non-Claims Spending]],TM[[#All],[Reporting Year]],2024,TM[[#All],[Insurance Category Code]],6,TM[[#All],[Large Provider Entity Code]],A352)/C352,"NA")</f>
        <v>NA</v>
      </c>
      <c r="F352" s="7" t="str">
        <f>IFERROR(SUMIFS(TM[[#All],[Total Non-Truncated Claims and Non-Claims Spending]],TM[[#All],[Reporting Year]],2024,TM[[#All],[Insurance Category Code]],6,TM[[#All],[Large Provider Entity Code]],A352)/C352,"NA")</f>
        <v>NA</v>
      </c>
      <c r="G352" s="7" t="str">
        <f>IFERROR(SUMIFS(TM[[#All],[Total Truncated Claims Spending]],TM[[#All],[Reporting Year]],2024,TM[[#All],[Insurance Category Code]],6,TM[[#All],[Large Provider Entity Code]],A352)/C352,"NA")</f>
        <v>NA</v>
      </c>
      <c r="H352" s="196" t="str">
        <f>IFERROR(SUMIFS(TM[[#All],[Total Truncated Expenses]],TM[[#All],[Reporting Year]],2024,TM[[#All],[Insurance Category Code]],6,TM[[#All],[Large Provider Entity Code]],A352)/C352,"NA")</f>
        <v>NA</v>
      </c>
      <c r="I352" s="89">
        <f>SUMIFS(TM[[#All],[Member Months]],TM[[#All],[Reporting Year]],2025,TM[[#All],[Insurance Category Code]],6,TM[[#All],[Large Provider Entity Code]],A352)</f>
        <v>0</v>
      </c>
      <c r="J352" s="7" t="str">
        <f>IFERROR(SUMIFS(TM[[#All],[Total Non-Truncated Claims Spending]],TM[[#All],[Reporting Year]],2025,TM[[#All],[Insurance Category Code]],6,TM[[#All],[Large Provider Entity Code]],A352)/I352,"NA")</f>
        <v>NA</v>
      </c>
      <c r="K352" s="7" t="str">
        <f>IFERROR(SUMIFS(TM[[#All],[Total Non-Claims Spending]],TM[[#All],[Reporting Year]],2025,TM[[#All],[Insurance Category Code]],6,TM[[#All],[Large Provider Entity Code]],A352)/I352,"NA")</f>
        <v>NA</v>
      </c>
      <c r="L352" s="7" t="str">
        <f>IFERROR(SUMIFS(TM[[#All],[Total Non-Truncated Claims and Non-Claims Spending]],TM[[#All],[Reporting Year]],2025,TM[[#All],[Insurance Category Code]],6,TM[[#All],[Large Provider Entity Code]],A352)/I352,"NA")</f>
        <v>NA</v>
      </c>
      <c r="M352" s="7" t="str">
        <f>IFERROR(SUMIFS(TM[[#All],[Total Truncated Claims Spending]],TM[[#All],[Reporting Year]],2025,TM[[#All],[Insurance Category Code]],6,TM[[#All],[Large Provider Entity Code]],A352)/I352,"NA")</f>
        <v>NA</v>
      </c>
      <c r="N352" s="90" t="str">
        <f>IFERROR(SUMIFS(TM[[#All],[Total Truncated Expenses]],TM[[#All],[Reporting Year]],2025,TM[[#All],[Insurance Category Code]],6,TM[[#All],[Large Provider Entity Code]],A352)/I352,"NA")</f>
        <v>NA</v>
      </c>
      <c r="O352" s="169" t="str">
        <f t="shared" ref="O352:O370" si="219">IFERROR(IF(AND(C352&gt;12000,I352&gt;12000),"Yes","No"),"NA")</f>
        <v>No</v>
      </c>
      <c r="P352" s="231" t="str">
        <f t="shared" si="218"/>
        <v>NA</v>
      </c>
      <c r="Q352" s="91" t="str">
        <f t="shared" si="218"/>
        <v>NA</v>
      </c>
      <c r="R352" s="91" t="str">
        <f t="shared" si="218"/>
        <v>NA</v>
      </c>
      <c r="S352" s="91" t="str">
        <f t="shared" si="218"/>
        <v>NA</v>
      </c>
      <c r="T352" s="91" t="str">
        <f t="shared" si="218"/>
        <v>NA</v>
      </c>
      <c r="U352" s="91" t="str">
        <f t="shared" si="218"/>
        <v>NA</v>
      </c>
    </row>
    <row r="353" spans="1:21" x14ac:dyDescent="0.4">
      <c r="A353" s="210">
        <v>102</v>
      </c>
      <c r="B353" s="525" t="s">
        <v>607</v>
      </c>
      <c r="C353" s="8">
        <f>SUMIFS(TM[[#All],[Member Months]],TM[[#All],[Reporting Year]],2024,TM[[#All],[Insurance Category Code]],6,TM[[#All],[Large Provider Entity Code]],A353)</f>
        <v>0</v>
      </c>
      <c r="D353" s="7" t="str">
        <f>IFERROR(SUMIFS(TM[[#All],[Total Non-Truncated Claims Spending]],TM[[#All],[Reporting Year]],2024,TM[[#All],[Insurance Category Code]],6,TM[[#All],[Large Provider Entity Code]],A353)/C353,"NA")</f>
        <v>NA</v>
      </c>
      <c r="E353" s="7" t="str">
        <f>IFERROR(SUMIFS(TM[[#All],[Total Non-Claims Spending]],TM[[#All],[Reporting Year]],2024,TM[[#All],[Insurance Category Code]],6,TM[[#All],[Large Provider Entity Code]],A353)/C353,"NA")</f>
        <v>NA</v>
      </c>
      <c r="F353" s="7" t="str">
        <f>IFERROR(SUMIFS(TM[[#All],[Total Non-Truncated Claims and Non-Claims Spending]],TM[[#All],[Reporting Year]],2024,TM[[#All],[Insurance Category Code]],6,TM[[#All],[Large Provider Entity Code]],A353)/C353,"NA")</f>
        <v>NA</v>
      </c>
      <c r="G353" s="7" t="str">
        <f>IFERROR(SUMIFS(TM[[#All],[Total Truncated Claims Spending]],TM[[#All],[Reporting Year]],2024,TM[[#All],[Insurance Category Code]],6,TM[[#All],[Large Provider Entity Code]],A353)/C353,"NA")</f>
        <v>NA</v>
      </c>
      <c r="H353" s="196" t="str">
        <f>IFERROR(SUMIFS(TM[[#All],[Total Truncated Expenses]],TM[[#All],[Reporting Year]],2024,TM[[#All],[Insurance Category Code]],6,TM[[#All],[Large Provider Entity Code]],A353)/C353,"NA")</f>
        <v>NA</v>
      </c>
      <c r="I353" s="89">
        <f>SUMIFS(TM[[#All],[Member Months]],TM[[#All],[Reporting Year]],2025,TM[[#All],[Insurance Category Code]],6,TM[[#All],[Large Provider Entity Code]],A353)</f>
        <v>0</v>
      </c>
      <c r="J353" s="7" t="str">
        <f>IFERROR(SUMIFS(TM[[#All],[Total Non-Truncated Claims Spending]],TM[[#All],[Reporting Year]],2025,TM[[#All],[Insurance Category Code]],6,TM[[#All],[Large Provider Entity Code]],A353)/I353,"NA")</f>
        <v>NA</v>
      </c>
      <c r="K353" s="7" t="str">
        <f>IFERROR(SUMIFS(TM[[#All],[Total Non-Claims Spending]],TM[[#All],[Reporting Year]],2025,TM[[#All],[Insurance Category Code]],6,TM[[#All],[Large Provider Entity Code]],A353)/I353,"NA")</f>
        <v>NA</v>
      </c>
      <c r="L353" s="7" t="str">
        <f>IFERROR(SUMIFS(TM[[#All],[Total Non-Truncated Claims and Non-Claims Spending]],TM[[#All],[Reporting Year]],2025,TM[[#All],[Insurance Category Code]],6,TM[[#All],[Large Provider Entity Code]],A353)/I353,"NA")</f>
        <v>NA</v>
      </c>
      <c r="M353" s="7" t="str">
        <f>IFERROR(SUMIFS(TM[[#All],[Total Truncated Claims Spending]],TM[[#All],[Reporting Year]],2025,TM[[#All],[Insurance Category Code]],6,TM[[#All],[Large Provider Entity Code]],A353)/I353,"NA")</f>
        <v>NA</v>
      </c>
      <c r="N353" s="90" t="str">
        <f>IFERROR(SUMIFS(TM[[#All],[Total Truncated Expenses]],TM[[#All],[Reporting Year]],2025,TM[[#All],[Insurance Category Code]],6,TM[[#All],[Large Provider Entity Code]],A353)/I353,"NA")</f>
        <v>NA</v>
      </c>
      <c r="O353" s="169" t="str">
        <f t="shared" si="219"/>
        <v>No</v>
      </c>
      <c r="P353" s="231" t="str">
        <f t="shared" si="218"/>
        <v>NA</v>
      </c>
      <c r="Q353" s="91" t="str">
        <f t="shared" si="218"/>
        <v>NA</v>
      </c>
      <c r="R353" s="91" t="str">
        <f t="shared" si="218"/>
        <v>NA</v>
      </c>
      <c r="S353" s="91" t="str">
        <f t="shared" si="218"/>
        <v>NA</v>
      </c>
      <c r="T353" s="91" t="str">
        <f t="shared" si="218"/>
        <v>NA</v>
      </c>
      <c r="U353" s="91" t="str">
        <f t="shared" si="218"/>
        <v>NA</v>
      </c>
    </row>
    <row r="354" spans="1:21" x14ac:dyDescent="0.4">
      <c r="A354" s="210">
        <v>104</v>
      </c>
      <c r="B354" s="525" t="s">
        <v>608</v>
      </c>
      <c r="C354" s="8">
        <f>SUMIFS(TM[[#All],[Member Months]],TM[[#All],[Reporting Year]],2024,TM[[#All],[Insurance Category Code]],6,TM[[#All],[Large Provider Entity Code]],A354)</f>
        <v>0</v>
      </c>
      <c r="D354" s="7" t="str">
        <f>IFERROR(SUMIFS(TM[[#All],[Total Non-Truncated Claims Spending]],TM[[#All],[Reporting Year]],2024,TM[[#All],[Insurance Category Code]],6,TM[[#All],[Large Provider Entity Code]],A354)/C354,"NA")</f>
        <v>NA</v>
      </c>
      <c r="E354" s="7" t="str">
        <f>IFERROR(SUMIFS(TM[[#All],[Total Non-Claims Spending]],TM[[#All],[Reporting Year]],2024,TM[[#All],[Insurance Category Code]],6,TM[[#All],[Large Provider Entity Code]],A354)/C354,"NA")</f>
        <v>NA</v>
      </c>
      <c r="F354" s="7" t="str">
        <f>IFERROR(SUMIFS(TM[[#All],[Total Non-Truncated Claims and Non-Claims Spending]],TM[[#All],[Reporting Year]],2024,TM[[#All],[Insurance Category Code]],6,TM[[#All],[Large Provider Entity Code]],A354)/C354,"NA")</f>
        <v>NA</v>
      </c>
      <c r="G354" s="7" t="str">
        <f>IFERROR(SUMIFS(TM[[#All],[Total Truncated Claims Spending]],TM[[#All],[Reporting Year]],2024,TM[[#All],[Insurance Category Code]],6,TM[[#All],[Large Provider Entity Code]],A354)/C354,"NA")</f>
        <v>NA</v>
      </c>
      <c r="H354" s="196" t="str">
        <f>IFERROR(SUMIFS(TM[[#All],[Total Truncated Expenses]],TM[[#All],[Reporting Year]],2024,TM[[#All],[Insurance Category Code]],6,TM[[#All],[Large Provider Entity Code]],A354)/C354,"NA")</f>
        <v>NA</v>
      </c>
      <c r="I354" s="89">
        <f>SUMIFS(TM[[#All],[Member Months]],TM[[#All],[Reporting Year]],2025,TM[[#All],[Insurance Category Code]],6,TM[[#All],[Large Provider Entity Code]],A354)</f>
        <v>0</v>
      </c>
      <c r="J354" s="7" t="str">
        <f>IFERROR(SUMIFS(TM[[#All],[Total Non-Truncated Claims Spending]],TM[[#All],[Reporting Year]],2025,TM[[#All],[Insurance Category Code]],6,TM[[#All],[Large Provider Entity Code]],A354)/I354,"NA")</f>
        <v>NA</v>
      </c>
      <c r="K354" s="7" t="str">
        <f>IFERROR(SUMIFS(TM[[#All],[Total Non-Claims Spending]],TM[[#All],[Reporting Year]],2025,TM[[#All],[Insurance Category Code]],6,TM[[#All],[Large Provider Entity Code]],A354)/I354,"NA")</f>
        <v>NA</v>
      </c>
      <c r="L354" s="7" t="str">
        <f>IFERROR(SUMIFS(TM[[#All],[Total Non-Truncated Claims and Non-Claims Spending]],TM[[#All],[Reporting Year]],2025,TM[[#All],[Insurance Category Code]],6,TM[[#All],[Large Provider Entity Code]],A354)/I354,"NA")</f>
        <v>NA</v>
      </c>
      <c r="M354" s="7" t="str">
        <f>IFERROR(SUMIFS(TM[[#All],[Total Truncated Claims Spending]],TM[[#All],[Reporting Year]],2025,TM[[#All],[Insurance Category Code]],6,TM[[#All],[Large Provider Entity Code]],A354)/I354,"NA")</f>
        <v>NA</v>
      </c>
      <c r="N354" s="90" t="str">
        <f>IFERROR(SUMIFS(TM[[#All],[Total Truncated Expenses]],TM[[#All],[Reporting Year]],2025,TM[[#All],[Insurance Category Code]],6,TM[[#All],[Large Provider Entity Code]],A354)/I354,"NA")</f>
        <v>NA</v>
      </c>
      <c r="O354" s="169" t="str">
        <f t="shared" si="219"/>
        <v>No</v>
      </c>
      <c r="P354" s="231" t="str">
        <f t="shared" si="218"/>
        <v>NA</v>
      </c>
      <c r="Q354" s="91" t="str">
        <f t="shared" si="218"/>
        <v>NA</v>
      </c>
      <c r="R354" s="91" t="str">
        <f t="shared" si="218"/>
        <v>NA</v>
      </c>
      <c r="S354" s="91" t="str">
        <f t="shared" si="218"/>
        <v>NA</v>
      </c>
      <c r="T354" s="91" t="str">
        <f t="shared" si="218"/>
        <v>NA</v>
      </c>
      <c r="U354" s="91" t="str">
        <f t="shared" si="218"/>
        <v>NA</v>
      </c>
    </row>
    <row r="355" spans="1:21" ht="33.6" x14ac:dyDescent="0.4">
      <c r="A355" s="210">
        <v>105</v>
      </c>
      <c r="B355" s="525" t="s">
        <v>609</v>
      </c>
      <c r="C355" s="8">
        <f>SUMIFS(TM[[#All],[Member Months]],TM[[#All],[Reporting Year]],2024,TM[[#All],[Insurance Category Code]],6,TM[[#All],[Large Provider Entity Code]],A355)</f>
        <v>0</v>
      </c>
      <c r="D355" s="7" t="str">
        <f>IFERROR(SUMIFS(TM[[#All],[Total Non-Truncated Claims Spending]],TM[[#All],[Reporting Year]],2024,TM[[#All],[Insurance Category Code]],6,TM[[#All],[Large Provider Entity Code]],A355)/C355,"NA")</f>
        <v>NA</v>
      </c>
      <c r="E355" s="7" t="str">
        <f>IFERROR(SUMIFS(TM[[#All],[Total Non-Claims Spending]],TM[[#All],[Reporting Year]],2024,TM[[#All],[Insurance Category Code]],6,TM[[#All],[Large Provider Entity Code]],A355)/C355,"NA")</f>
        <v>NA</v>
      </c>
      <c r="F355" s="7" t="str">
        <f>IFERROR(SUMIFS(TM[[#All],[Total Non-Truncated Claims and Non-Claims Spending]],TM[[#All],[Reporting Year]],2024,TM[[#All],[Insurance Category Code]],6,TM[[#All],[Large Provider Entity Code]],A355)/C355,"NA")</f>
        <v>NA</v>
      </c>
      <c r="G355" s="7" t="str">
        <f>IFERROR(SUMIFS(TM[[#All],[Total Truncated Claims Spending]],TM[[#All],[Reporting Year]],2024,TM[[#All],[Insurance Category Code]],6,TM[[#All],[Large Provider Entity Code]],A355)/C355,"NA")</f>
        <v>NA</v>
      </c>
      <c r="H355" s="196" t="str">
        <f>IFERROR(SUMIFS(TM[[#All],[Total Truncated Expenses]],TM[[#All],[Reporting Year]],2024,TM[[#All],[Insurance Category Code]],6,TM[[#All],[Large Provider Entity Code]],A355)/C355,"NA")</f>
        <v>NA</v>
      </c>
      <c r="I355" s="89">
        <f>SUMIFS(TM[[#All],[Member Months]],TM[[#All],[Reporting Year]],2025,TM[[#All],[Insurance Category Code]],6,TM[[#All],[Large Provider Entity Code]],A355)</f>
        <v>0</v>
      </c>
      <c r="J355" s="7" t="str">
        <f>IFERROR(SUMIFS(TM[[#All],[Total Non-Truncated Claims Spending]],TM[[#All],[Reporting Year]],2025,TM[[#All],[Insurance Category Code]],6,TM[[#All],[Large Provider Entity Code]],A355)/I355,"NA")</f>
        <v>NA</v>
      </c>
      <c r="K355" s="7" t="str">
        <f>IFERROR(SUMIFS(TM[[#All],[Total Non-Claims Spending]],TM[[#All],[Reporting Year]],2025,TM[[#All],[Insurance Category Code]],6,TM[[#All],[Large Provider Entity Code]],A355)/I355,"NA")</f>
        <v>NA</v>
      </c>
      <c r="L355" s="7" t="str">
        <f>IFERROR(SUMIFS(TM[[#All],[Total Non-Truncated Claims and Non-Claims Spending]],TM[[#All],[Reporting Year]],2025,TM[[#All],[Insurance Category Code]],6,TM[[#All],[Large Provider Entity Code]],A355)/I355,"NA")</f>
        <v>NA</v>
      </c>
      <c r="M355" s="7" t="str">
        <f>IFERROR(SUMIFS(TM[[#All],[Total Truncated Claims Spending]],TM[[#All],[Reporting Year]],2025,TM[[#All],[Insurance Category Code]],6,TM[[#All],[Large Provider Entity Code]],A355)/I355,"NA")</f>
        <v>NA</v>
      </c>
      <c r="N355" s="90" t="str">
        <f>IFERROR(SUMIFS(TM[[#All],[Total Truncated Expenses]],TM[[#All],[Reporting Year]],2025,TM[[#All],[Insurance Category Code]],6,TM[[#All],[Large Provider Entity Code]],A355)/I355,"NA")</f>
        <v>NA</v>
      </c>
      <c r="O355" s="169" t="str">
        <f t="shared" si="219"/>
        <v>No</v>
      </c>
      <c r="P355" s="231" t="str">
        <f t="shared" si="218"/>
        <v>NA</v>
      </c>
      <c r="Q355" s="91" t="str">
        <f t="shared" si="218"/>
        <v>NA</v>
      </c>
      <c r="R355" s="91" t="str">
        <f t="shared" si="218"/>
        <v>NA</v>
      </c>
      <c r="S355" s="91" t="str">
        <f t="shared" si="218"/>
        <v>NA</v>
      </c>
      <c r="T355" s="91" t="str">
        <f t="shared" si="218"/>
        <v>NA</v>
      </c>
      <c r="U355" s="91" t="str">
        <f t="shared" si="218"/>
        <v>NA</v>
      </c>
    </row>
    <row r="356" spans="1:21" x14ac:dyDescent="0.4">
      <c r="A356" s="210">
        <v>106</v>
      </c>
      <c r="B356" s="525" t="s">
        <v>613</v>
      </c>
      <c r="C356" s="8">
        <f>SUMIFS(TM[[#All],[Member Months]],TM[[#All],[Reporting Year]],2024,TM[[#All],[Insurance Category Code]],6,TM[[#All],[Large Provider Entity Code]],A356)</f>
        <v>0</v>
      </c>
      <c r="D356" s="7" t="str">
        <f>IFERROR(SUMIFS(TM[[#All],[Total Non-Truncated Claims Spending]],TM[[#All],[Reporting Year]],2024,TM[[#All],[Insurance Category Code]],6,TM[[#All],[Large Provider Entity Code]],A356)/C356,"NA")</f>
        <v>NA</v>
      </c>
      <c r="E356" s="7" t="str">
        <f>IFERROR(SUMIFS(TM[[#All],[Total Non-Claims Spending]],TM[[#All],[Reporting Year]],2024,TM[[#All],[Insurance Category Code]],6,TM[[#All],[Large Provider Entity Code]],A356)/C356,"NA")</f>
        <v>NA</v>
      </c>
      <c r="F356" s="7" t="str">
        <f>IFERROR(SUMIFS(TM[[#All],[Total Non-Truncated Claims and Non-Claims Spending]],TM[[#All],[Reporting Year]],2024,TM[[#All],[Insurance Category Code]],6,TM[[#All],[Large Provider Entity Code]],A356)/C356,"NA")</f>
        <v>NA</v>
      </c>
      <c r="G356" s="7" t="str">
        <f>IFERROR(SUMIFS(TM[[#All],[Total Truncated Claims Spending]],TM[[#All],[Reporting Year]],2024,TM[[#All],[Insurance Category Code]],6,TM[[#All],[Large Provider Entity Code]],A356)/C356,"NA")</f>
        <v>NA</v>
      </c>
      <c r="H356" s="196" t="str">
        <f>IFERROR(SUMIFS(TM[[#All],[Total Truncated Expenses]],TM[[#All],[Reporting Year]],2024,TM[[#All],[Insurance Category Code]],6,TM[[#All],[Large Provider Entity Code]],A356)/C356,"NA")</f>
        <v>NA</v>
      </c>
      <c r="I356" s="89">
        <f>SUMIFS(TM[[#All],[Member Months]],TM[[#All],[Reporting Year]],2025,TM[[#All],[Insurance Category Code]],6,TM[[#All],[Large Provider Entity Code]],A356)</f>
        <v>0</v>
      </c>
      <c r="J356" s="7" t="str">
        <f>IFERROR(SUMIFS(TM[[#All],[Total Non-Truncated Claims Spending]],TM[[#All],[Reporting Year]],2025,TM[[#All],[Insurance Category Code]],6,TM[[#All],[Large Provider Entity Code]],A356)/I356,"NA")</f>
        <v>NA</v>
      </c>
      <c r="K356" s="7" t="str">
        <f>IFERROR(SUMIFS(TM[[#All],[Total Non-Claims Spending]],TM[[#All],[Reporting Year]],2025,TM[[#All],[Insurance Category Code]],6,TM[[#All],[Large Provider Entity Code]],A356)/I356,"NA")</f>
        <v>NA</v>
      </c>
      <c r="L356" s="7" t="str">
        <f>IFERROR(SUMIFS(TM[[#All],[Total Non-Truncated Claims and Non-Claims Spending]],TM[[#All],[Reporting Year]],2025,TM[[#All],[Insurance Category Code]],6,TM[[#All],[Large Provider Entity Code]],A356)/I356,"NA")</f>
        <v>NA</v>
      </c>
      <c r="M356" s="7" t="str">
        <f>IFERROR(SUMIFS(TM[[#All],[Total Truncated Claims Spending]],TM[[#All],[Reporting Year]],2025,TM[[#All],[Insurance Category Code]],6,TM[[#All],[Large Provider Entity Code]],A356)/I356,"NA")</f>
        <v>NA</v>
      </c>
      <c r="N356" s="90" t="str">
        <f>IFERROR(SUMIFS(TM[[#All],[Total Truncated Expenses]],TM[[#All],[Reporting Year]],2025,TM[[#All],[Insurance Category Code]],6,TM[[#All],[Large Provider Entity Code]],A356)/I356,"NA")</f>
        <v>NA</v>
      </c>
      <c r="O356" s="169" t="str">
        <f t="shared" si="219"/>
        <v>No</v>
      </c>
      <c r="P356" s="231" t="str">
        <f t="shared" si="218"/>
        <v>NA</v>
      </c>
      <c r="Q356" s="91" t="str">
        <f t="shared" si="218"/>
        <v>NA</v>
      </c>
      <c r="R356" s="91" t="str">
        <f t="shared" si="218"/>
        <v>NA</v>
      </c>
      <c r="S356" s="91" t="str">
        <f t="shared" si="218"/>
        <v>NA</v>
      </c>
      <c r="T356" s="91" t="str">
        <f t="shared" si="218"/>
        <v>NA</v>
      </c>
      <c r="U356" s="91" t="str">
        <f t="shared" si="218"/>
        <v>NA</v>
      </c>
    </row>
    <row r="357" spans="1:21" x14ac:dyDescent="0.4">
      <c r="A357" s="210">
        <v>107</v>
      </c>
      <c r="B357" s="526" t="s">
        <v>610</v>
      </c>
      <c r="C357" s="8">
        <f>SUMIFS(TM[[#All],[Member Months]],TM[[#All],[Reporting Year]],2024,TM[[#All],[Insurance Category Code]],6,TM[[#All],[Large Provider Entity Code]],A357)</f>
        <v>0</v>
      </c>
      <c r="D357" s="7" t="str">
        <f>IFERROR(SUMIFS(TM[[#All],[Total Non-Truncated Claims Spending]],TM[[#All],[Reporting Year]],2024,TM[[#All],[Insurance Category Code]],6,TM[[#All],[Large Provider Entity Code]],A357)/C357,"NA")</f>
        <v>NA</v>
      </c>
      <c r="E357" s="7" t="str">
        <f>IFERROR(SUMIFS(TM[[#All],[Total Non-Claims Spending]],TM[[#All],[Reporting Year]],2024,TM[[#All],[Insurance Category Code]],6,TM[[#All],[Large Provider Entity Code]],A357)/C357,"NA")</f>
        <v>NA</v>
      </c>
      <c r="F357" s="7" t="str">
        <f>IFERROR(SUMIFS(TM[[#All],[Total Non-Truncated Claims and Non-Claims Spending]],TM[[#All],[Reporting Year]],2024,TM[[#All],[Insurance Category Code]],6,TM[[#All],[Large Provider Entity Code]],A357)/C357,"NA")</f>
        <v>NA</v>
      </c>
      <c r="G357" s="7" t="str">
        <f>IFERROR(SUMIFS(TM[[#All],[Total Truncated Claims Spending]],TM[[#All],[Reporting Year]],2024,TM[[#All],[Insurance Category Code]],6,TM[[#All],[Large Provider Entity Code]],A357)/C357,"NA")</f>
        <v>NA</v>
      </c>
      <c r="H357" s="196" t="str">
        <f>IFERROR(SUMIFS(TM[[#All],[Total Truncated Expenses]],TM[[#All],[Reporting Year]],2024,TM[[#All],[Insurance Category Code]],6,TM[[#All],[Large Provider Entity Code]],A357)/C357,"NA")</f>
        <v>NA</v>
      </c>
      <c r="I357" s="89">
        <f>SUMIFS(TM[[#All],[Member Months]],TM[[#All],[Reporting Year]],2025,TM[[#All],[Insurance Category Code]],6,TM[[#All],[Large Provider Entity Code]],A357)</f>
        <v>0</v>
      </c>
      <c r="J357" s="7" t="str">
        <f>IFERROR(SUMIFS(TM[[#All],[Total Non-Truncated Claims Spending]],TM[[#All],[Reporting Year]],2025,TM[[#All],[Insurance Category Code]],6,TM[[#All],[Large Provider Entity Code]],A357)/I357,"NA")</f>
        <v>NA</v>
      </c>
      <c r="K357" s="7" t="str">
        <f>IFERROR(SUMIFS(TM[[#All],[Total Non-Claims Spending]],TM[[#All],[Reporting Year]],2025,TM[[#All],[Insurance Category Code]],6,TM[[#All],[Large Provider Entity Code]],A357)/I357,"NA")</f>
        <v>NA</v>
      </c>
      <c r="L357" s="7" t="str">
        <f>IFERROR(SUMIFS(TM[[#All],[Total Non-Truncated Claims and Non-Claims Spending]],TM[[#All],[Reporting Year]],2025,TM[[#All],[Insurance Category Code]],6,TM[[#All],[Large Provider Entity Code]],A357)/I357,"NA")</f>
        <v>NA</v>
      </c>
      <c r="M357" s="7" t="str">
        <f>IFERROR(SUMIFS(TM[[#All],[Total Truncated Claims Spending]],TM[[#All],[Reporting Year]],2025,TM[[#All],[Insurance Category Code]],6,TM[[#All],[Large Provider Entity Code]],A357)/I357,"NA")</f>
        <v>NA</v>
      </c>
      <c r="N357" s="90" t="str">
        <f>IFERROR(SUMIFS(TM[[#All],[Total Truncated Expenses]],TM[[#All],[Reporting Year]],2025,TM[[#All],[Insurance Category Code]],6,TM[[#All],[Large Provider Entity Code]],A357)/I357,"NA")</f>
        <v>NA</v>
      </c>
      <c r="O357" s="169" t="str">
        <f t="shared" si="219"/>
        <v>No</v>
      </c>
      <c r="P357" s="231" t="str">
        <f t="shared" si="218"/>
        <v>NA</v>
      </c>
      <c r="Q357" s="91" t="str">
        <f t="shared" si="218"/>
        <v>NA</v>
      </c>
      <c r="R357" s="91" t="str">
        <f t="shared" si="218"/>
        <v>NA</v>
      </c>
      <c r="S357" s="91" t="str">
        <f t="shared" si="218"/>
        <v>NA</v>
      </c>
      <c r="T357" s="91" t="str">
        <f t="shared" si="218"/>
        <v>NA</v>
      </c>
      <c r="U357" s="91" t="str">
        <f t="shared" si="218"/>
        <v>NA</v>
      </c>
    </row>
    <row r="358" spans="1:21" x14ac:dyDescent="0.4">
      <c r="A358" s="210">
        <v>108</v>
      </c>
      <c r="B358" s="526" t="s">
        <v>563</v>
      </c>
      <c r="C358" s="8">
        <f>SUMIFS(TM[[#All],[Member Months]],TM[[#All],[Reporting Year]],2024,TM[[#All],[Insurance Category Code]],6,TM[[#All],[Large Provider Entity Code]],A358)</f>
        <v>0</v>
      </c>
      <c r="D358" s="7" t="str">
        <f>IFERROR(SUMIFS(TM[[#All],[Total Non-Truncated Claims Spending]],TM[[#All],[Reporting Year]],2024,TM[[#All],[Insurance Category Code]],6,TM[[#All],[Large Provider Entity Code]],A358)/C358,"NA")</f>
        <v>NA</v>
      </c>
      <c r="E358" s="7" t="str">
        <f>IFERROR(SUMIFS(TM[[#All],[Total Non-Claims Spending]],TM[[#All],[Reporting Year]],2024,TM[[#All],[Insurance Category Code]],6,TM[[#All],[Large Provider Entity Code]],A358)/C358,"NA")</f>
        <v>NA</v>
      </c>
      <c r="F358" s="7" t="str">
        <f>IFERROR(SUMIFS(TM[[#All],[Total Non-Truncated Claims and Non-Claims Spending]],TM[[#All],[Reporting Year]],2024,TM[[#All],[Insurance Category Code]],6,TM[[#All],[Large Provider Entity Code]],A358)/C358,"NA")</f>
        <v>NA</v>
      </c>
      <c r="G358" s="7" t="str">
        <f>IFERROR(SUMIFS(TM[[#All],[Total Truncated Claims Spending]],TM[[#All],[Reporting Year]],2024,TM[[#All],[Insurance Category Code]],6,TM[[#All],[Large Provider Entity Code]],A358)/C358,"NA")</f>
        <v>NA</v>
      </c>
      <c r="H358" s="196" t="str">
        <f>IFERROR(SUMIFS(TM[[#All],[Total Truncated Expenses]],TM[[#All],[Reporting Year]],2024,TM[[#All],[Insurance Category Code]],6,TM[[#All],[Large Provider Entity Code]],A358)/C358,"NA")</f>
        <v>NA</v>
      </c>
      <c r="I358" s="89">
        <f>SUMIFS(TM[[#All],[Member Months]],TM[[#All],[Reporting Year]],2025,TM[[#All],[Insurance Category Code]],6,TM[[#All],[Large Provider Entity Code]],A358)</f>
        <v>0</v>
      </c>
      <c r="J358" s="7" t="str">
        <f>IFERROR(SUMIFS(TM[[#All],[Total Non-Truncated Claims Spending]],TM[[#All],[Reporting Year]],2025,TM[[#All],[Insurance Category Code]],6,TM[[#All],[Large Provider Entity Code]],A358)/I358,"NA")</f>
        <v>NA</v>
      </c>
      <c r="K358" s="7" t="str">
        <f>IFERROR(SUMIFS(TM[[#All],[Total Non-Claims Spending]],TM[[#All],[Reporting Year]],2025,TM[[#All],[Insurance Category Code]],6,TM[[#All],[Large Provider Entity Code]],A358)/I358,"NA")</f>
        <v>NA</v>
      </c>
      <c r="L358" s="7" t="str">
        <f>IFERROR(SUMIFS(TM[[#All],[Total Non-Truncated Claims and Non-Claims Spending]],TM[[#All],[Reporting Year]],2025,TM[[#All],[Insurance Category Code]],6,TM[[#All],[Large Provider Entity Code]],A358)/I358,"NA")</f>
        <v>NA</v>
      </c>
      <c r="M358" s="7" t="str">
        <f>IFERROR(SUMIFS(TM[[#All],[Total Truncated Claims Spending]],TM[[#All],[Reporting Year]],2025,TM[[#All],[Insurance Category Code]],6,TM[[#All],[Large Provider Entity Code]],A358)/I358,"NA")</f>
        <v>NA</v>
      </c>
      <c r="N358" s="90" t="str">
        <f>IFERROR(SUMIFS(TM[[#All],[Total Truncated Expenses]],TM[[#All],[Reporting Year]],2025,TM[[#All],[Insurance Category Code]],6,TM[[#All],[Large Provider Entity Code]],A358)/I358,"NA")</f>
        <v>NA</v>
      </c>
      <c r="O358" s="169" t="str">
        <f t="shared" si="219"/>
        <v>No</v>
      </c>
      <c r="P358" s="231" t="str">
        <f t="shared" si="218"/>
        <v>NA</v>
      </c>
      <c r="Q358" s="91" t="str">
        <f t="shared" si="218"/>
        <v>NA</v>
      </c>
      <c r="R358" s="91" t="str">
        <f t="shared" si="218"/>
        <v>NA</v>
      </c>
      <c r="S358" s="91" t="str">
        <f t="shared" si="218"/>
        <v>NA</v>
      </c>
      <c r="T358" s="91" t="str">
        <f t="shared" si="218"/>
        <v>NA</v>
      </c>
      <c r="U358" s="91" t="str">
        <f t="shared" si="218"/>
        <v>NA</v>
      </c>
    </row>
    <row r="359" spans="1:21" ht="33.6" x14ac:dyDescent="0.4">
      <c r="A359" s="210">
        <v>109</v>
      </c>
      <c r="B359" s="526" t="s">
        <v>611</v>
      </c>
      <c r="C359" s="8">
        <f>SUMIFS(TM[[#All],[Member Months]],TM[[#All],[Reporting Year]],2024,TM[[#All],[Insurance Category Code]],6,TM[[#All],[Large Provider Entity Code]],A359)</f>
        <v>0</v>
      </c>
      <c r="D359" s="7" t="str">
        <f>IFERROR(SUMIFS(TM[[#All],[Total Non-Truncated Claims Spending]],TM[[#All],[Reporting Year]],2024,TM[[#All],[Insurance Category Code]],6,TM[[#All],[Large Provider Entity Code]],A359)/C359,"NA")</f>
        <v>NA</v>
      </c>
      <c r="E359" s="7" t="str">
        <f>IFERROR(SUMIFS(TM[[#All],[Total Non-Claims Spending]],TM[[#All],[Reporting Year]],2024,TM[[#All],[Insurance Category Code]],6,TM[[#All],[Large Provider Entity Code]],A359)/C359,"NA")</f>
        <v>NA</v>
      </c>
      <c r="F359" s="7" t="str">
        <f>IFERROR(SUMIFS(TM[[#All],[Total Non-Truncated Claims and Non-Claims Spending]],TM[[#All],[Reporting Year]],2024,TM[[#All],[Insurance Category Code]],6,TM[[#All],[Large Provider Entity Code]],A359)/C359,"NA")</f>
        <v>NA</v>
      </c>
      <c r="G359" s="7" t="str">
        <f>IFERROR(SUMIFS(TM[[#All],[Total Truncated Claims Spending]],TM[[#All],[Reporting Year]],2024,TM[[#All],[Insurance Category Code]],6,TM[[#All],[Large Provider Entity Code]],A359)/C359,"NA")</f>
        <v>NA</v>
      </c>
      <c r="H359" s="196" t="str">
        <f>IFERROR(SUMIFS(TM[[#All],[Total Truncated Expenses]],TM[[#All],[Reporting Year]],2024,TM[[#All],[Insurance Category Code]],6,TM[[#All],[Large Provider Entity Code]],A359)/C359,"NA")</f>
        <v>NA</v>
      </c>
      <c r="I359" s="89">
        <f>SUMIFS(TM[[#All],[Member Months]],TM[[#All],[Reporting Year]],2025,TM[[#All],[Insurance Category Code]],6,TM[[#All],[Large Provider Entity Code]],A359)</f>
        <v>0</v>
      </c>
      <c r="J359" s="7" t="str">
        <f>IFERROR(SUMIFS(TM[[#All],[Total Non-Truncated Claims Spending]],TM[[#All],[Reporting Year]],2025,TM[[#All],[Insurance Category Code]],6,TM[[#All],[Large Provider Entity Code]],A359)/I359,"NA")</f>
        <v>NA</v>
      </c>
      <c r="K359" s="7" t="str">
        <f>IFERROR(SUMIFS(TM[[#All],[Total Non-Claims Spending]],TM[[#All],[Reporting Year]],2025,TM[[#All],[Insurance Category Code]],6,TM[[#All],[Large Provider Entity Code]],A359)/I359,"NA")</f>
        <v>NA</v>
      </c>
      <c r="L359" s="7" t="str">
        <f>IFERROR(SUMIFS(TM[[#All],[Total Non-Truncated Claims and Non-Claims Spending]],TM[[#All],[Reporting Year]],2025,TM[[#All],[Insurance Category Code]],6,TM[[#All],[Large Provider Entity Code]],A359)/I359,"NA")</f>
        <v>NA</v>
      </c>
      <c r="M359" s="7" t="str">
        <f>IFERROR(SUMIFS(TM[[#All],[Total Truncated Claims Spending]],TM[[#All],[Reporting Year]],2025,TM[[#All],[Insurance Category Code]],6,TM[[#All],[Large Provider Entity Code]],A359)/I359,"NA")</f>
        <v>NA</v>
      </c>
      <c r="N359" s="90" t="str">
        <f>IFERROR(SUMIFS(TM[[#All],[Total Truncated Expenses]],TM[[#All],[Reporting Year]],2025,TM[[#All],[Insurance Category Code]],6,TM[[#All],[Large Provider Entity Code]],A359)/I359,"NA")</f>
        <v>NA</v>
      </c>
      <c r="O359" s="169" t="str">
        <f t="shared" si="219"/>
        <v>No</v>
      </c>
      <c r="P359" s="231" t="str">
        <f t="shared" si="218"/>
        <v>NA</v>
      </c>
      <c r="Q359" s="91" t="str">
        <f t="shared" si="218"/>
        <v>NA</v>
      </c>
      <c r="R359" s="91" t="str">
        <f t="shared" si="218"/>
        <v>NA</v>
      </c>
      <c r="S359" s="91" t="str">
        <f t="shared" si="218"/>
        <v>NA</v>
      </c>
      <c r="T359" s="91" t="str">
        <f t="shared" si="218"/>
        <v>NA</v>
      </c>
      <c r="U359" s="91" t="str">
        <f t="shared" si="218"/>
        <v>NA</v>
      </c>
    </row>
    <row r="360" spans="1:21" x14ac:dyDescent="0.4">
      <c r="A360" s="210">
        <v>110</v>
      </c>
      <c r="B360" s="526" t="s">
        <v>68</v>
      </c>
      <c r="C360" s="8">
        <f>SUMIFS(TM[[#All],[Member Months]],TM[[#All],[Reporting Year]],2024,TM[[#All],[Insurance Category Code]],6,TM[[#All],[Large Provider Entity Code]],A360)</f>
        <v>0</v>
      </c>
      <c r="D360" s="7" t="str">
        <f>IFERROR(SUMIFS(TM[[#All],[Total Non-Truncated Claims Spending]],TM[[#All],[Reporting Year]],2024,TM[[#All],[Insurance Category Code]],6,TM[[#All],[Large Provider Entity Code]],A360)/C360,"NA")</f>
        <v>NA</v>
      </c>
      <c r="E360" s="7" t="str">
        <f>IFERROR(SUMIFS(TM[[#All],[Total Non-Claims Spending]],TM[[#All],[Reporting Year]],2024,TM[[#All],[Insurance Category Code]],6,TM[[#All],[Large Provider Entity Code]],A360)/C360,"NA")</f>
        <v>NA</v>
      </c>
      <c r="F360" s="7" t="str">
        <f>IFERROR(SUMIFS(TM[[#All],[Total Non-Truncated Claims and Non-Claims Spending]],TM[[#All],[Reporting Year]],2024,TM[[#All],[Insurance Category Code]],6,TM[[#All],[Large Provider Entity Code]],A360)/C360,"NA")</f>
        <v>NA</v>
      </c>
      <c r="G360" s="7" t="str">
        <f>IFERROR(SUMIFS(TM[[#All],[Total Truncated Claims Spending]],TM[[#All],[Reporting Year]],2024,TM[[#All],[Insurance Category Code]],6,TM[[#All],[Large Provider Entity Code]],A360)/C360,"NA")</f>
        <v>NA</v>
      </c>
      <c r="H360" s="196" t="str">
        <f>IFERROR(SUMIFS(TM[[#All],[Total Truncated Expenses]],TM[[#All],[Reporting Year]],2024,TM[[#All],[Insurance Category Code]],6,TM[[#All],[Large Provider Entity Code]],A360)/C360,"NA")</f>
        <v>NA</v>
      </c>
      <c r="I360" s="89">
        <f>SUMIFS(TM[[#All],[Member Months]],TM[[#All],[Reporting Year]],2025,TM[[#All],[Insurance Category Code]],6,TM[[#All],[Large Provider Entity Code]],A360)</f>
        <v>0</v>
      </c>
      <c r="J360" s="7" t="str">
        <f>IFERROR(SUMIFS(TM[[#All],[Total Non-Truncated Claims Spending]],TM[[#All],[Reporting Year]],2025,TM[[#All],[Insurance Category Code]],6,TM[[#All],[Large Provider Entity Code]],A360)/I360,"NA")</f>
        <v>NA</v>
      </c>
      <c r="K360" s="7" t="str">
        <f>IFERROR(SUMIFS(TM[[#All],[Total Non-Claims Spending]],TM[[#All],[Reporting Year]],2025,TM[[#All],[Insurance Category Code]],6,TM[[#All],[Large Provider Entity Code]],A360)/I360,"NA")</f>
        <v>NA</v>
      </c>
      <c r="L360" s="7" t="str">
        <f>IFERROR(SUMIFS(TM[[#All],[Total Non-Truncated Claims and Non-Claims Spending]],TM[[#All],[Reporting Year]],2025,TM[[#All],[Insurance Category Code]],6,TM[[#All],[Large Provider Entity Code]],A360)/I360,"NA")</f>
        <v>NA</v>
      </c>
      <c r="M360" s="7" t="str">
        <f>IFERROR(SUMIFS(TM[[#All],[Total Truncated Claims Spending]],TM[[#All],[Reporting Year]],2025,TM[[#All],[Insurance Category Code]],6,TM[[#All],[Large Provider Entity Code]],A360)/I360,"NA")</f>
        <v>NA</v>
      </c>
      <c r="N360" s="90" t="str">
        <f>IFERROR(SUMIFS(TM[[#All],[Total Truncated Expenses]],TM[[#All],[Reporting Year]],2025,TM[[#All],[Insurance Category Code]],6,TM[[#All],[Large Provider Entity Code]],A360)/I360,"NA")</f>
        <v>NA</v>
      </c>
      <c r="O360" s="169" t="str">
        <f t="shared" si="219"/>
        <v>No</v>
      </c>
      <c r="P360" s="231" t="str">
        <f t="shared" si="218"/>
        <v>NA</v>
      </c>
      <c r="Q360" s="91" t="str">
        <f t="shared" si="218"/>
        <v>NA</v>
      </c>
      <c r="R360" s="91" t="str">
        <f t="shared" si="218"/>
        <v>NA</v>
      </c>
      <c r="S360" s="91" t="str">
        <f t="shared" si="218"/>
        <v>NA</v>
      </c>
      <c r="T360" s="91" t="str">
        <f t="shared" si="218"/>
        <v>NA</v>
      </c>
      <c r="U360" s="91" t="str">
        <f t="shared" si="218"/>
        <v>NA</v>
      </c>
    </row>
    <row r="361" spans="1:21" x14ac:dyDescent="0.4">
      <c r="A361" s="210">
        <v>111</v>
      </c>
      <c r="B361" s="526" t="s">
        <v>69</v>
      </c>
      <c r="C361" s="8">
        <f>SUMIFS(TM[[#All],[Member Months]],TM[[#All],[Reporting Year]],2024,TM[[#All],[Insurance Category Code]],6,TM[[#All],[Large Provider Entity Code]],A361)</f>
        <v>0</v>
      </c>
      <c r="D361" s="7" t="str">
        <f>IFERROR(SUMIFS(TM[[#All],[Total Non-Truncated Claims Spending]],TM[[#All],[Reporting Year]],2024,TM[[#All],[Insurance Category Code]],6,TM[[#All],[Large Provider Entity Code]],A361)/C361,"NA")</f>
        <v>NA</v>
      </c>
      <c r="E361" s="7" t="str">
        <f>IFERROR(SUMIFS(TM[[#All],[Total Non-Claims Spending]],TM[[#All],[Reporting Year]],2024,TM[[#All],[Insurance Category Code]],6,TM[[#All],[Large Provider Entity Code]],A361)/C361,"NA")</f>
        <v>NA</v>
      </c>
      <c r="F361" s="7" t="str">
        <f>IFERROR(SUMIFS(TM[[#All],[Total Non-Truncated Claims and Non-Claims Spending]],TM[[#All],[Reporting Year]],2024,TM[[#All],[Insurance Category Code]],6,TM[[#All],[Large Provider Entity Code]],A361)/C361,"NA")</f>
        <v>NA</v>
      </c>
      <c r="G361" s="7" t="str">
        <f>IFERROR(SUMIFS(TM[[#All],[Total Truncated Claims Spending]],TM[[#All],[Reporting Year]],2024,TM[[#All],[Insurance Category Code]],6,TM[[#All],[Large Provider Entity Code]],A361)/C361,"NA")</f>
        <v>NA</v>
      </c>
      <c r="H361" s="196" t="str">
        <f>IFERROR(SUMIFS(TM[[#All],[Total Truncated Expenses]],TM[[#All],[Reporting Year]],2024,TM[[#All],[Insurance Category Code]],6,TM[[#All],[Large Provider Entity Code]],A361)/C361,"NA")</f>
        <v>NA</v>
      </c>
      <c r="I361" s="89">
        <f>SUMIFS(TM[[#All],[Member Months]],TM[[#All],[Reporting Year]],2025,TM[[#All],[Insurance Category Code]],6,TM[[#All],[Large Provider Entity Code]],A361)</f>
        <v>0</v>
      </c>
      <c r="J361" s="7" t="str">
        <f>IFERROR(SUMIFS(TM[[#All],[Total Non-Truncated Claims Spending]],TM[[#All],[Reporting Year]],2025,TM[[#All],[Insurance Category Code]],6,TM[[#All],[Large Provider Entity Code]],A361)/I361,"NA")</f>
        <v>NA</v>
      </c>
      <c r="K361" s="7" t="str">
        <f>IFERROR(SUMIFS(TM[[#All],[Total Non-Claims Spending]],TM[[#All],[Reporting Year]],2025,TM[[#All],[Insurance Category Code]],6,TM[[#All],[Large Provider Entity Code]],A361)/I361,"NA")</f>
        <v>NA</v>
      </c>
      <c r="L361" s="7" t="str">
        <f>IFERROR(SUMIFS(TM[[#All],[Total Non-Truncated Claims and Non-Claims Spending]],TM[[#All],[Reporting Year]],2025,TM[[#All],[Insurance Category Code]],6,TM[[#All],[Large Provider Entity Code]],A361)/I361,"NA")</f>
        <v>NA</v>
      </c>
      <c r="M361" s="7" t="str">
        <f>IFERROR(SUMIFS(TM[[#All],[Total Truncated Claims Spending]],TM[[#All],[Reporting Year]],2025,TM[[#All],[Insurance Category Code]],6,TM[[#All],[Large Provider Entity Code]],A361)/I361,"NA")</f>
        <v>NA</v>
      </c>
      <c r="N361" s="90" t="str">
        <f>IFERROR(SUMIFS(TM[[#All],[Total Truncated Expenses]],TM[[#All],[Reporting Year]],2025,TM[[#All],[Insurance Category Code]],6,TM[[#All],[Large Provider Entity Code]],A361)/I361,"NA")</f>
        <v>NA</v>
      </c>
      <c r="O361" s="169" t="str">
        <f t="shared" si="219"/>
        <v>No</v>
      </c>
      <c r="P361" s="231" t="str">
        <f t="shared" si="218"/>
        <v>NA</v>
      </c>
      <c r="Q361" s="91" t="str">
        <f t="shared" si="218"/>
        <v>NA</v>
      </c>
      <c r="R361" s="91" t="str">
        <f t="shared" si="218"/>
        <v>NA</v>
      </c>
      <c r="S361" s="91" t="str">
        <f t="shared" si="218"/>
        <v>NA</v>
      </c>
      <c r="T361" s="91" t="str">
        <f t="shared" si="218"/>
        <v>NA</v>
      </c>
      <c r="U361" s="91" t="str">
        <f t="shared" si="218"/>
        <v>NA</v>
      </c>
    </row>
    <row r="362" spans="1:21" x14ac:dyDescent="0.4">
      <c r="A362" s="210">
        <v>112</v>
      </c>
      <c r="B362" s="526" t="s">
        <v>637</v>
      </c>
      <c r="C362" s="8">
        <f>SUMIFS(TM[[#All],[Member Months]],TM[[#All],[Reporting Year]],2024,TM[[#All],[Insurance Category Code]],6,TM[[#All],[Large Provider Entity Code]],A362)</f>
        <v>0</v>
      </c>
      <c r="D362" s="7" t="str">
        <f>IFERROR(SUMIFS(TM[[#All],[Total Non-Truncated Claims Spending]],TM[[#All],[Reporting Year]],2024,TM[[#All],[Insurance Category Code]],6,TM[[#All],[Large Provider Entity Code]],A362)/C362,"NA")</f>
        <v>NA</v>
      </c>
      <c r="E362" s="7" t="str">
        <f>IFERROR(SUMIFS(TM[[#All],[Total Non-Claims Spending]],TM[[#All],[Reporting Year]],2024,TM[[#All],[Insurance Category Code]],6,TM[[#All],[Large Provider Entity Code]],A362)/C362,"NA")</f>
        <v>NA</v>
      </c>
      <c r="F362" s="7" t="str">
        <f>IFERROR(SUMIFS(TM[[#All],[Total Non-Truncated Claims and Non-Claims Spending]],TM[[#All],[Reporting Year]],2024,TM[[#All],[Insurance Category Code]],6,TM[[#All],[Large Provider Entity Code]],A362)/C362,"NA")</f>
        <v>NA</v>
      </c>
      <c r="G362" s="7" t="str">
        <f>IFERROR(SUMIFS(TM[[#All],[Total Truncated Claims Spending]],TM[[#All],[Reporting Year]],2024,TM[[#All],[Insurance Category Code]],6,TM[[#All],[Large Provider Entity Code]],A362)/C362,"NA")</f>
        <v>NA</v>
      </c>
      <c r="H362" s="196" t="str">
        <f>IFERROR(SUMIFS(TM[[#All],[Total Truncated Expenses]],TM[[#All],[Reporting Year]],2024,TM[[#All],[Insurance Category Code]],6,TM[[#All],[Large Provider Entity Code]],A362)/C362,"NA")</f>
        <v>NA</v>
      </c>
      <c r="I362" s="89">
        <f>SUMIFS(TM[[#All],[Member Months]],TM[[#All],[Reporting Year]],2025,TM[[#All],[Insurance Category Code]],6,TM[[#All],[Large Provider Entity Code]],A362)</f>
        <v>0</v>
      </c>
      <c r="J362" s="7" t="str">
        <f>IFERROR(SUMIFS(TM[[#All],[Total Non-Truncated Claims Spending]],TM[[#All],[Reporting Year]],2025,TM[[#All],[Insurance Category Code]],6,TM[[#All],[Large Provider Entity Code]],A362)/I362,"NA")</f>
        <v>NA</v>
      </c>
      <c r="K362" s="7" t="str">
        <f>IFERROR(SUMIFS(TM[[#All],[Total Non-Claims Spending]],TM[[#All],[Reporting Year]],2025,TM[[#All],[Insurance Category Code]],6,TM[[#All],[Large Provider Entity Code]],A362)/I362,"NA")</f>
        <v>NA</v>
      </c>
      <c r="L362" s="7" t="str">
        <f>IFERROR(SUMIFS(TM[[#All],[Total Non-Truncated Claims and Non-Claims Spending]],TM[[#All],[Reporting Year]],2025,TM[[#All],[Insurance Category Code]],6,TM[[#All],[Large Provider Entity Code]],A362)/I362,"NA")</f>
        <v>NA</v>
      </c>
      <c r="M362" s="7" t="str">
        <f>IFERROR(SUMIFS(TM[[#All],[Total Truncated Claims Spending]],TM[[#All],[Reporting Year]],2025,TM[[#All],[Insurance Category Code]],6,TM[[#All],[Large Provider Entity Code]],A362)/I362,"NA")</f>
        <v>NA</v>
      </c>
      <c r="N362" s="90" t="str">
        <f>IFERROR(SUMIFS(TM[[#All],[Total Truncated Expenses]],TM[[#All],[Reporting Year]],2025,TM[[#All],[Insurance Category Code]],6,TM[[#All],[Large Provider Entity Code]],A362)/I362,"NA")</f>
        <v>NA</v>
      </c>
      <c r="O362" s="169" t="str">
        <f t="shared" si="219"/>
        <v>No</v>
      </c>
      <c r="P362" s="231" t="str">
        <f t="shared" si="218"/>
        <v>NA</v>
      </c>
      <c r="Q362" s="91" t="str">
        <f t="shared" si="218"/>
        <v>NA</v>
      </c>
      <c r="R362" s="91" t="str">
        <f t="shared" si="218"/>
        <v>NA</v>
      </c>
      <c r="S362" s="91" t="str">
        <f t="shared" si="218"/>
        <v>NA</v>
      </c>
      <c r="T362" s="91" t="str">
        <f t="shared" si="218"/>
        <v>NA</v>
      </c>
      <c r="U362" s="91" t="str">
        <f t="shared" si="218"/>
        <v>NA</v>
      </c>
    </row>
    <row r="363" spans="1:21" ht="33.6" x14ac:dyDescent="0.4">
      <c r="A363" s="210">
        <v>115</v>
      </c>
      <c r="B363" s="526" t="s">
        <v>612</v>
      </c>
      <c r="C363" s="8">
        <f>SUMIFS(TM[[#All],[Member Months]],TM[[#All],[Reporting Year]],2024,TM[[#All],[Insurance Category Code]],6,TM[[#All],[Large Provider Entity Code]],A363)</f>
        <v>0</v>
      </c>
      <c r="D363" s="7" t="str">
        <f>IFERROR(SUMIFS(TM[[#All],[Total Non-Truncated Claims Spending]],TM[[#All],[Reporting Year]],2024,TM[[#All],[Insurance Category Code]],6,TM[[#All],[Large Provider Entity Code]],A363)/C363,"NA")</f>
        <v>NA</v>
      </c>
      <c r="E363" s="7" t="str">
        <f>IFERROR(SUMIFS(TM[[#All],[Total Non-Claims Spending]],TM[[#All],[Reporting Year]],2024,TM[[#All],[Insurance Category Code]],6,TM[[#All],[Large Provider Entity Code]],A363)/C363,"NA")</f>
        <v>NA</v>
      </c>
      <c r="F363" s="7" t="str">
        <f>IFERROR(SUMIFS(TM[[#All],[Total Non-Truncated Claims and Non-Claims Spending]],TM[[#All],[Reporting Year]],2024,TM[[#All],[Insurance Category Code]],6,TM[[#All],[Large Provider Entity Code]],A363)/C363,"NA")</f>
        <v>NA</v>
      </c>
      <c r="G363" s="7" t="str">
        <f>IFERROR(SUMIFS(TM[[#All],[Total Truncated Claims Spending]],TM[[#All],[Reporting Year]],2024,TM[[#All],[Insurance Category Code]],6,TM[[#All],[Large Provider Entity Code]],A363)/C363,"NA")</f>
        <v>NA</v>
      </c>
      <c r="H363" s="196" t="str">
        <f>IFERROR(SUMIFS(TM[[#All],[Total Truncated Expenses]],TM[[#All],[Reporting Year]],2024,TM[[#All],[Insurance Category Code]],6,TM[[#All],[Large Provider Entity Code]],A363)/C363,"NA")</f>
        <v>NA</v>
      </c>
      <c r="I363" s="89">
        <f>SUMIFS(TM[[#All],[Member Months]],TM[[#All],[Reporting Year]],2025,TM[[#All],[Insurance Category Code]],6,TM[[#All],[Large Provider Entity Code]],A363)</f>
        <v>0</v>
      </c>
      <c r="J363" s="7" t="str">
        <f>IFERROR(SUMIFS(TM[[#All],[Total Non-Truncated Claims Spending]],TM[[#All],[Reporting Year]],2025,TM[[#All],[Insurance Category Code]],6,TM[[#All],[Large Provider Entity Code]],A363)/I363,"NA")</f>
        <v>NA</v>
      </c>
      <c r="K363" s="7" t="str">
        <f>IFERROR(SUMIFS(TM[[#All],[Total Non-Claims Spending]],TM[[#All],[Reporting Year]],2025,TM[[#All],[Insurance Category Code]],6,TM[[#All],[Large Provider Entity Code]],A363)/I363,"NA")</f>
        <v>NA</v>
      </c>
      <c r="L363" s="7" t="str">
        <f>IFERROR(SUMIFS(TM[[#All],[Total Non-Truncated Claims and Non-Claims Spending]],TM[[#All],[Reporting Year]],2025,TM[[#All],[Insurance Category Code]],6,TM[[#All],[Large Provider Entity Code]],A363)/I363,"NA")</f>
        <v>NA</v>
      </c>
      <c r="M363" s="7" t="str">
        <f>IFERROR(SUMIFS(TM[[#All],[Total Truncated Claims Spending]],TM[[#All],[Reporting Year]],2025,TM[[#All],[Insurance Category Code]],6,TM[[#All],[Large Provider Entity Code]],A363)/I363,"NA")</f>
        <v>NA</v>
      </c>
      <c r="N363" s="90" t="str">
        <f>IFERROR(SUMIFS(TM[[#All],[Total Truncated Expenses]],TM[[#All],[Reporting Year]],2025,TM[[#All],[Insurance Category Code]],6,TM[[#All],[Large Provider Entity Code]],A363)/I363,"NA")</f>
        <v>NA</v>
      </c>
      <c r="O363" s="169" t="str">
        <f t="shared" si="219"/>
        <v>No</v>
      </c>
      <c r="P363" s="231" t="str">
        <f t="shared" si="218"/>
        <v>NA</v>
      </c>
      <c r="Q363" s="91" t="str">
        <f t="shared" si="218"/>
        <v>NA</v>
      </c>
      <c r="R363" s="91" t="str">
        <f t="shared" si="218"/>
        <v>NA</v>
      </c>
      <c r="S363" s="91" t="str">
        <f t="shared" si="218"/>
        <v>NA</v>
      </c>
      <c r="T363" s="91" t="str">
        <f t="shared" si="218"/>
        <v>NA</v>
      </c>
      <c r="U363" s="91" t="str">
        <f t="shared" si="218"/>
        <v>NA</v>
      </c>
    </row>
    <row r="364" spans="1:21" x14ac:dyDescent="0.4">
      <c r="A364" s="210">
        <v>116</v>
      </c>
      <c r="B364" s="526" t="s">
        <v>564</v>
      </c>
      <c r="C364" s="8">
        <f>SUMIFS(TM[[#All],[Member Months]],TM[[#All],[Reporting Year]],2024,TM[[#All],[Insurance Category Code]],6,TM[[#All],[Large Provider Entity Code]],A364)</f>
        <v>0</v>
      </c>
      <c r="D364" s="7" t="str">
        <f>IFERROR(SUMIFS(TM[[#All],[Total Non-Truncated Claims Spending]],TM[[#All],[Reporting Year]],2024,TM[[#All],[Insurance Category Code]],6,TM[[#All],[Large Provider Entity Code]],A364)/C364,"NA")</f>
        <v>NA</v>
      </c>
      <c r="E364" s="7" t="str">
        <f>IFERROR(SUMIFS(TM[[#All],[Total Non-Claims Spending]],TM[[#All],[Reporting Year]],2024,TM[[#All],[Insurance Category Code]],6,TM[[#All],[Large Provider Entity Code]],A364)/C364,"NA")</f>
        <v>NA</v>
      </c>
      <c r="F364" s="7" t="str">
        <f>IFERROR(SUMIFS(TM[[#All],[Total Non-Truncated Claims and Non-Claims Spending]],TM[[#All],[Reporting Year]],2024,TM[[#All],[Insurance Category Code]],6,TM[[#All],[Large Provider Entity Code]],A364)/C364,"NA")</f>
        <v>NA</v>
      </c>
      <c r="G364" s="7" t="str">
        <f>IFERROR(SUMIFS(TM[[#All],[Total Truncated Claims Spending]],TM[[#All],[Reporting Year]],2024,TM[[#All],[Insurance Category Code]],6,TM[[#All],[Large Provider Entity Code]],A364)/C364,"NA")</f>
        <v>NA</v>
      </c>
      <c r="H364" s="196" t="str">
        <f>IFERROR(SUMIFS(TM[[#All],[Total Truncated Expenses]],TM[[#All],[Reporting Year]],2024,TM[[#All],[Insurance Category Code]],6,TM[[#All],[Large Provider Entity Code]],A364)/C364,"NA")</f>
        <v>NA</v>
      </c>
      <c r="I364" s="89">
        <f>SUMIFS(TM[[#All],[Member Months]],TM[[#All],[Reporting Year]],2025,TM[[#All],[Insurance Category Code]],6,TM[[#All],[Large Provider Entity Code]],A364)</f>
        <v>0</v>
      </c>
      <c r="J364" s="7" t="str">
        <f>IFERROR(SUMIFS(TM[[#All],[Total Non-Truncated Claims Spending]],TM[[#All],[Reporting Year]],2025,TM[[#All],[Insurance Category Code]],6,TM[[#All],[Large Provider Entity Code]],A364)/I364,"NA")</f>
        <v>NA</v>
      </c>
      <c r="K364" s="7" t="str">
        <f>IFERROR(SUMIFS(TM[[#All],[Total Non-Claims Spending]],TM[[#All],[Reporting Year]],2025,TM[[#All],[Insurance Category Code]],6,TM[[#All],[Large Provider Entity Code]],A364)/I364,"NA")</f>
        <v>NA</v>
      </c>
      <c r="L364" s="7" t="str">
        <f>IFERROR(SUMIFS(TM[[#All],[Total Non-Truncated Claims and Non-Claims Spending]],TM[[#All],[Reporting Year]],2025,TM[[#All],[Insurance Category Code]],6,TM[[#All],[Large Provider Entity Code]],A364)/I364,"NA")</f>
        <v>NA</v>
      </c>
      <c r="M364" s="7" t="str">
        <f>IFERROR(SUMIFS(TM[[#All],[Total Truncated Claims Spending]],TM[[#All],[Reporting Year]],2025,TM[[#All],[Insurance Category Code]],6,TM[[#All],[Large Provider Entity Code]],A364)/I364,"NA")</f>
        <v>NA</v>
      </c>
      <c r="N364" s="90" t="str">
        <f>IFERROR(SUMIFS(TM[[#All],[Total Truncated Expenses]],TM[[#All],[Reporting Year]],2025,TM[[#All],[Insurance Category Code]],6,TM[[#All],[Large Provider Entity Code]],A364)/I364,"NA")</f>
        <v>NA</v>
      </c>
      <c r="O364" s="169" t="str">
        <f t="shared" si="219"/>
        <v>No</v>
      </c>
      <c r="P364" s="231" t="str">
        <f t="shared" si="218"/>
        <v>NA</v>
      </c>
      <c r="Q364" s="91" t="str">
        <f t="shared" si="218"/>
        <v>NA</v>
      </c>
      <c r="R364" s="91" t="str">
        <f t="shared" si="218"/>
        <v>NA</v>
      </c>
      <c r="S364" s="91" t="str">
        <f t="shared" si="218"/>
        <v>NA</v>
      </c>
      <c r="T364" s="91" t="str">
        <f t="shared" si="218"/>
        <v>NA</v>
      </c>
      <c r="U364" s="91" t="str">
        <f t="shared" si="218"/>
        <v>NA</v>
      </c>
    </row>
    <row r="365" spans="1:21" x14ac:dyDescent="0.4">
      <c r="A365" s="210">
        <v>118</v>
      </c>
      <c r="B365" s="526" t="s">
        <v>70</v>
      </c>
      <c r="C365" s="8">
        <f>SUMIFS(TM[[#All],[Member Months]],TM[[#All],[Reporting Year]],2024,TM[[#All],[Insurance Category Code]],6,TM[[#All],[Large Provider Entity Code]],A365)</f>
        <v>0</v>
      </c>
      <c r="D365" s="7" t="str">
        <f>IFERROR(SUMIFS(TM[[#All],[Total Non-Truncated Claims Spending]],TM[[#All],[Reporting Year]],2024,TM[[#All],[Insurance Category Code]],6,TM[[#All],[Large Provider Entity Code]],A365)/C365,"NA")</f>
        <v>NA</v>
      </c>
      <c r="E365" s="7" t="str">
        <f>IFERROR(SUMIFS(TM[[#All],[Total Non-Claims Spending]],TM[[#All],[Reporting Year]],2024,TM[[#All],[Insurance Category Code]],6,TM[[#All],[Large Provider Entity Code]],A365)/C365,"NA")</f>
        <v>NA</v>
      </c>
      <c r="F365" s="7" t="str">
        <f>IFERROR(SUMIFS(TM[[#All],[Total Non-Truncated Claims and Non-Claims Spending]],TM[[#All],[Reporting Year]],2024,TM[[#All],[Insurance Category Code]],6,TM[[#All],[Large Provider Entity Code]],A365)/C365,"NA")</f>
        <v>NA</v>
      </c>
      <c r="G365" s="7" t="str">
        <f>IFERROR(SUMIFS(TM[[#All],[Total Truncated Claims Spending]],TM[[#All],[Reporting Year]],2024,TM[[#All],[Insurance Category Code]],6,TM[[#All],[Large Provider Entity Code]],A365)/C365,"NA")</f>
        <v>NA</v>
      </c>
      <c r="H365" s="196" t="str">
        <f>IFERROR(SUMIFS(TM[[#All],[Total Truncated Expenses]],TM[[#All],[Reporting Year]],2024,TM[[#All],[Insurance Category Code]],6,TM[[#All],[Large Provider Entity Code]],A365)/C365,"NA")</f>
        <v>NA</v>
      </c>
      <c r="I365" s="89">
        <f>SUMIFS(TM[[#All],[Member Months]],TM[[#All],[Reporting Year]],2025,TM[[#All],[Insurance Category Code]],6,TM[[#All],[Large Provider Entity Code]],A365)</f>
        <v>0</v>
      </c>
      <c r="J365" s="7" t="str">
        <f>IFERROR(SUMIFS(TM[[#All],[Total Non-Truncated Claims Spending]],TM[[#All],[Reporting Year]],2025,TM[[#All],[Insurance Category Code]],6,TM[[#All],[Large Provider Entity Code]],A365)/I365,"NA")</f>
        <v>NA</v>
      </c>
      <c r="K365" s="7" t="str">
        <f>IFERROR(SUMIFS(TM[[#All],[Total Non-Claims Spending]],TM[[#All],[Reporting Year]],2025,TM[[#All],[Insurance Category Code]],6,TM[[#All],[Large Provider Entity Code]],A365)/I365,"NA")</f>
        <v>NA</v>
      </c>
      <c r="L365" s="7" t="str">
        <f>IFERROR(SUMIFS(TM[[#All],[Total Non-Truncated Claims and Non-Claims Spending]],TM[[#All],[Reporting Year]],2025,TM[[#All],[Insurance Category Code]],6,TM[[#All],[Large Provider Entity Code]],A365)/I365,"NA")</f>
        <v>NA</v>
      </c>
      <c r="M365" s="7" t="str">
        <f>IFERROR(SUMIFS(TM[[#All],[Total Truncated Claims Spending]],TM[[#All],[Reporting Year]],2025,TM[[#All],[Insurance Category Code]],6,TM[[#All],[Large Provider Entity Code]],A365)/I365,"NA")</f>
        <v>NA</v>
      </c>
      <c r="N365" s="90" t="str">
        <f>IFERROR(SUMIFS(TM[[#All],[Total Truncated Expenses]],TM[[#All],[Reporting Year]],2025,TM[[#All],[Insurance Category Code]],6,TM[[#All],[Large Provider Entity Code]],A365)/I365,"NA")</f>
        <v>NA</v>
      </c>
      <c r="O365" s="169" t="str">
        <f>IFERROR(IF(AND(C365&gt;12000,I365&gt;12000),"Yes","No"),"NA")</f>
        <v>No</v>
      </c>
      <c r="P365" s="231" t="str">
        <f t="shared" si="218"/>
        <v>NA</v>
      </c>
      <c r="Q365" s="91" t="str">
        <f t="shared" si="218"/>
        <v>NA</v>
      </c>
      <c r="R365" s="91" t="str">
        <f t="shared" si="218"/>
        <v>NA</v>
      </c>
      <c r="S365" s="91" t="str">
        <f t="shared" si="218"/>
        <v>NA</v>
      </c>
      <c r="T365" s="91" t="str">
        <f t="shared" si="218"/>
        <v>NA</v>
      </c>
      <c r="U365" s="91" t="str">
        <f t="shared" si="218"/>
        <v>NA</v>
      </c>
    </row>
    <row r="366" spans="1:21" x14ac:dyDescent="0.4">
      <c r="A366" s="210">
        <v>120</v>
      </c>
      <c r="B366" s="526" t="s">
        <v>561</v>
      </c>
      <c r="C366" s="8">
        <f>SUMIFS(TM[[#All],[Member Months]],TM[[#All],[Reporting Year]],2024,TM[[#All],[Insurance Category Code]],6,TM[[#All],[Large Provider Entity Code]],A366)</f>
        <v>0</v>
      </c>
      <c r="D366" s="7" t="str">
        <f>IFERROR(SUMIFS(TM[[#All],[Total Non-Truncated Claims Spending]],TM[[#All],[Reporting Year]],2024,TM[[#All],[Insurance Category Code]],6,TM[[#All],[Large Provider Entity Code]],A366)/C366,"NA")</f>
        <v>NA</v>
      </c>
      <c r="E366" s="7" t="str">
        <f>IFERROR(SUMIFS(TM[[#All],[Total Non-Claims Spending]],TM[[#All],[Reporting Year]],2024,TM[[#All],[Insurance Category Code]],6,TM[[#All],[Large Provider Entity Code]],A366)/C366,"NA")</f>
        <v>NA</v>
      </c>
      <c r="F366" s="7" t="str">
        <f>IFERROR(SUMIFS(TM[[#All],[Total Non-Truncated Claims and Non-Claims Spending]],TM[[#All],[Reporting Year]],2024,TM[[#All],[Insurance Category Code]],6,TM[[#All],[Large Provider Entity Code]],A366)/C366,"NA")</f>
        <v>NA</v>
      </c>
      <c r="G366" s="7" t="str">
        <f>IFERROR(SUMIFS(TM[[#All],[Total Truncated Claims Spending]],TM[[#All],[Reporting Year]],2024,TM[[#All],[Insurance Category Code]],6,TM[[#All],[Large Provider Entity Code]],A366)/C366,"NA")</f>
        <v>NA</v>
      </c>
      <c r="H366" s="196" t="str">
        <f>IFERROR(SUMIFS(TM[[#All],[Total Truncated Expenses]],TM[[#All],[Reporting Year]],2024,TM[[#All],[Insurance Category Code]],6,TM[[#All],[Large Provider Entity Code]],A366)/C366,"NA")</f>
        <v>NA</v>
      </c>
      <c r="I366" s="89">
        <f>SUMIFS(TM[[#All],[Member Months]],TM[[#All],[Reporting Year]],2025,TM[[#All],[Insurance Category Code]],6,TM[[#All],[Large Provider Entity Code]],A366)</f>
        <v>0</v>
      </c>
      <c r="J366" s="7" t="str">
        <f>IFERROR(SUMIFS(TM[[#All],[Total Non-Truncated Claims Spending]],TM[[#All],[Reporting Year]],2025,TM[[#All],[Insurance Category Code]],6,TM[[#All],[Large Provider Entity Code]],A366)/I366,"NA")</f>
        <v>NA</v>
      </c>
      <c r="K366" s="7" t="str">
        <f>IFERROR(SUMIFS(TM[[#All],[Total Non-Claims Spending]],TM[[#All],[Reporting Year]],2025,TM[[#All],[Insurance Category Code]],6,TM[[#All],[Large Provider Entity Code]],A366)/I366,"NA")</f>
        <v>NA</v>
      </c>
      <c r="L366" s="7" t="str">
        <f>IFERROR(SUMIFS(TM[[#All],[Total Non-Truncated Claims and Non-Claims Spending]],TM[[#All],[Reporting Year]],2025,TM[[#All],[Insurance Category Code]],6,TM[[#All],[Large Provider Entity Code]],A366)/I366,"NA")</f>
        <v>NA</v>
      </c>
      <c r="M366" s="7" t="str">
        <f>IFERROR(SUMIFS(TM[[#All],[Total Truncated Claims Spending]],TM[[#All],[Reporting Year]],2025,TM[[#All],[Insurance Category Code]],6,TM[[#All],[Large Provider Entity Code]],A366)/I366,"NA")</f>
        <v>NA</v>
      </c>
      <c r="N366" s="90" t="str">
        <f>IFERROR(SUMIFS(TM[[#All],[Total Truncated Expenses]],TM[[#All],[Reporting Year]],2025,TM[[#All],[Insurance Category Code]],6,TM[[#All],[Large Provider Entity Code]],A366)/I366,"NA")</f>
        <v>NA</v>
      </c>
      <c r="O366" s="169" t="str">
        <f t="shared" si="219"/>
        <v>No</v>
      </c>
      <c r="P366" s="231" t="str">
        <f t="shared" si="218"/>
        <v>NA</v>
      </c>
      <c r="Q366" s="91" t="str">
        <f t="shared" si="218"/>
        <v>NA</v>
      </c>
      <c r="R366" s="91" t="str">
        <f t="shared" si="218"/>
        <v>NA</v>
      </c>
      <c r="S366" s="91" t="str">
        <f t="shared" si="218"/>
        <v>NA</v>
      </c>
      <c r="T366" s="91" t="str">
        <f t="shared" si="218"/>
        <v>NA</v>
      </c>
      <c r="U366" s="91" t="str">
        <f t="shared" si="218"/>
        <v>NA</v>
      </c>
    </row>
    <row r="367" spans="1:21" ht="33.6" x14ac:dyDescent="0.4">
      <c r="A367" s="210">
        <v>121</v>
      </c>
      <c r="B367" s="526" t="s">
        <v>565</v>
      </c>
      <c r="C367" s="8">
        <f>SUMIFS(TM[[#All],[Member Months]],TM[[#All],[Reporting Year]],2024,TM[[#All],[Insurance Category Code]],6,TM[[#All],[Large Provider Entity Code]],A367)</f>
        <v>0</v>
      </c>
      <c r="D367" s="7" t="str">
        <f>IFERROR(SUMIFS(TM[[#All],[Total Non-Truncated Claims Spending]],TM[[#All],[Reporting Year]],2024,TM[[#All],[Insurance Category Code]],6,TM[[#All],[Large Provider Entity Code]],A367)/C367,"NA")</f>
        <v>NA</v>
      </c>
      <c r="E367" s="7" t="str">
        <f>IFERROR(SUMIFS(TM[[#All],[Total Non-Claims Spending]],TM[[#All],[Reporting Year]],2024,TM[[#All],[Insurance Category Code]],6,TM[[#All],[Large Provider Entity Code]],A367)/C367,"NA")</f>
        <v>NA</v>
      </c>
      <c r="F367" s="7" t="str">
        <f>IFERROR(SUMIFS(TM[[#All],[Total Non-Truncated Claims and Non-Claims Spending]],TM[[#All],[Reporting Year]],2024,TM[[#All],[Insurance Category Code]],6,TM[[#All],[Large Provider Entity Code]],A367)/C367,"NA")</f>
        <v>NA</v>
      </c>
      <c r="G367" s="7" t="str">
        <f>IFERROR(SUMIFS(TM[[#All],[Total Truncated Claims Spending]],TM[[#All],[Reporting Year]],2024,TM[[#All],[Insurance Category Code]],6,TM[[#All],[Large Provider Entity Code]],A367)/C367,"NA")</f>
        <v>NA</v>
      </c>
      <c r="H367" s="196" t="str">
        <f>IFERROR(SUMIFS(TM[[#All],[Total Truncated Expenses]],TM[[#All],[Reporting Year]],2024,TM[[#All],[Insurance Category Code]],6,TM[[#All],[Large Provider Entity Code]],A367)/C367,"NA")</f>
        <v>NA</v>
      </c>
      <c r="I367" s="89">
        <f>SUMIFS(TM[[#All],[Member Months]],TM[[#All],[Reporting Year]],2025,TM[[#All],[Insurance Category Code]],6,TM[[#All],[Large Provider Entity Code]],A367)</f>
        <v>0</v>
      </c>
      <c r="J367" s="7" t="str">
        <f>IFERROR(SUMIFS(TM[[#All],[Total Non-Truncated Claims Spending]],TM[[#All],[Reporting Year]],2025,TM[[#All],[Insurance Category Code]],6,TM[[#All],[Large Provider Entity Code]],A367)/I367,"NA")</f>
        <v>NA</v>
      </c>
      <c r="K367" s="7" t="str">
        <f>IFERROR(SUMIFS(TM[[#All],[Total Non-Claims Spending]],TM[[#All],[Reporting Year]],2025,TM[[#All],[Insurance Category Code]],6,TM[[#All],[Large Provider Entity Code]],A367)/I367,"NA")</f>
        <v>NA</v>
      </c>
      <c r="L367" s="7" t="str">
        <f>IFERROR(SUMIFS(TM[[#All],[Total Non-Truncated Claims and Non-Claims Spending]],TM[[#All],[Reporting Year]],2025,TM[[#All],[Insurance Category Code]],6,TM[[#All],[Large Provider Entity Code]],A367)/I367,"NA")</f>
        <v>NA</v>
      </c>
      <c r="M367" s="7" t="str">
        <f>IFERROR(SUMIFS(TM[[#All],[Total Truncated Claims Spending]],TM[[#All],[Reporting Year]],2025,TM[[#All],[Insurance Category Code]],6,TM[[#All],[Large Provider Entity Code]],A367)/I367,"NA")</f>
        <v>NA</v>
      </c>
      <c r="N367" s="90" t="str">
        <f>IFERROR(SUMIFS(TM[[#All],[Total Truncated Expenses]],TM[[#All],[Reporting Year]],2025,TM[[#All],[Insurance Category Code]],6,TM[[#All],[Large Provider Entity Code]],A367)/I367,"NA")</f>
        <v>NA</v>
      </c>
      <c r="O367" s="169" t="str">
        <f t="shared" si="219"/>
        <v>No</v>
      </c>
      <c r="P367" s="231" t="str">
        <f t="shared" si="218"/>
        <v>NA</v>
      </c>
      <c r="Q367" s="91" t="str">
        <f t="shared" si="218"/>
        <v>NA</v>
      </c>
      <c r="R367" s="91" t="str">
        <f t="shared" si="218"/>
        <v>NA</v>
      </c>
      <c r="S367" s="91" t="str">
        <f t="shared" si="218"/>
        <v>NA</v>
      </c>
      <c r="T367" s="91" t="str">
        <f t="shared" si="218"/>
        <v>NA</v>
      </c>
      <c r="U367" s="91" t="str">
        <f t="shared" si="218"/>
        <v>NA</v>
      </c>
    </row>
    <row r="368" spans="1:21" ht="33.6" x14ac:dyDescent="0.4">
      <c r="A368" s="210">
        <v>122</v>
      </c>
      <c r="B368" s="525" t="s">
        <v>647</v>
      </c>
      <c r="C368" s="8">
        <f>SUMIFS(TM[[#All],[Member Months]],TM[[#All],[Reporting Year]],2024,TM[[#All],[Insurance Category Code]],6,TM[[#All],[Large Provider Entity Code]],A368)</f>
        <v>0</v>
      </c>
      <c r="D368" s="7" t="str">
        <f>IFERROR(SUMIFS(TM[[#All],[Total Non-Truncated Claims Spending]],TM[[#All],[Reporting Year]],2024,TM[[#All],[Insurance Category Code]],6,TM[[#All],[Large Provider Entity Code]],A368)/C368,"NA")</f>
        <v>NA</v>
      </c>
      <c r="E368" s="7" t="str">
        <f>IFERROR(SUMIFS(TM[[#All],[Total Non-Claims Spending]],TM[[#All],[Reporting Year]],2024,TM[[#All],[Insurance Category Code]],6,TM[[#All],[Large Provider Entity Code]],A368)/C368,"NA")</f>
        <v>NA</v>
      </c>
      <c r="F368" s="7" t="str">
        <f>IFERROR(SUMIFS(TM[[#All],[Total Non-Truncated Claims and Non-Claims Spending]],TM[[#All],[Reporting Year]],2024,TM[[#All],[Insurance Category Code]],6,TM[[#All],[Large Provider Entity Code]],A368)/C368,"NA")</f>
        <v>NA</v>
      </c>
      <c r="G368" s="7" t="str">
        <f>IFERROR(SUMIFS(TM[[#All],[Total Truncated Claims Spending]],TM[[#All],[Reporting Year]],2024,TM[[#All],[Insurance Category Code]],6,TM[[#All],[Large Provider Entity Code]],A368)/C368,"NA")</f>
        <v>NA</v>
      </c>
      <c r="H368" s="196" t="str">
        <f>IFERROR(SUMIFS(TM[[#All],[Total Truncated Expenses]],TM[[#All],[Reporting Year]],2024,TM[[#All],[Insurance Category Code]],6,TM[[#All],[Large Provider Entity Code]],A368)/C368,"NA")</f>
        <v>NA</v>
      </c>
      <c r="I368" s="89">
        <f>SUMIFS(TM[[#All],[Member Months]],TM[[#All],[Reporting Year]],2025,TM[[#All],[Insurance Category Code]],6,TM[[#All],[Large Provider Entity Code]],A368)</f>
        <v>0</v>
      </c>
      <c r="J368" s="7" t="str">
        <f>IFERROR(SUMIFS(TM[[#All],[Total Non-Truncated Claims Spending]],TM[[#All],[Reporting Year]],2025,TM[[#All],[Insurance Category Code]],6,TM[[#All],[Large Provider Entity Code]],A368)/I368,"NA")</f>
        <v>NA</v>
      </c>
      <c r="K368" s="7" t="str">
        <f>IFERROR(SUMIFS(TM[[#All],[Total Non-Claims Spending]],TM[[#All],[Reporting Year]],2025,TM[[#All],[Insurance Category Code]],6,TM[[#All],[Large Provider Entity Code]],A368)/I368,"NA")</f>
        <v>NA</v>
      </c>
      <c r="L368" s="7" t="str">
        <f>IFERROR(SUMIFS(TM[[#All],[Total Non-Truncated Claims and Non-Claims Spending]],TM[[#All],[Reporting Year]],2025,TM[[#All],[Insurance Category Code]],6,TM[[#All],[Large Provider Entity Code]],A368)/I368,"NA")</f>
        <v>NA</v>
      </c>
      <c r="M368" s="7" t="str">
        <f>IFERROR(SUMIFS(TM[[#All],[Total Truncated Claims Spending]],TM[[#All],[Reporting Year]],2025,TM[[#All],[Insurance Category Code]],6,TM[[#All],[Large Provider Entity Code]],A368)/I368,"NA")</f>
        <v>NA</v>
      </c>
      <c r="N368" s="90" t="str">
        <f>IFERROR(SUMIFS(TM[[#All],[Total Truncated Expenses]],TM[[#All],[Reporting Year]],2025,TM[[#All],[Insurance Category Code]],6,TM[[#All],[Large Provider Entity Code]],A368)/I368,"NA")</f>
        <v>NA</v>
      </c>
      <c r="O368" s="169" t="str">
        <f t="shared" si="219"/>
        <v>No</v>
      </c>
      <c r="P368" s="231" t="str">
        <f t="shared" si="218"/>
        <v>NA</v>
      </c>
      <c r="Q368" s="91" t="str">
        <f t="shared" si="218"/>
        <v>NA</v>
      </c>
      <c r="R368" s="91" t="str">
        <f t="shared" si="218"/>
        <v>NA</v>
      </c>
      <c r="S368" s="91" t="str">
        <f t="shared" si="218"/>
        <v>NA</v>
      </c>
      <c r="T368" s="91" t="str">
        <f t="shared" si="218"/>
        <v>NA</v>
      </c>
      <c r="U368" s="91" t="str">
        <f t="shared" si="218"/>
        <v>NA</v>
      </c>
    </row>
    <row r="369" spans="1:21" ht="33.6" x14ac:dyDescent="0.4">
      <c r="A369" s="210">
        <v>123</v>
      </c>
      <c r="B369" s="525" t="s">
        <v>614</v>
      </c>
      <c r="C369" s="8">
        <f>SUMIFS(TM[[#All],[Member Months]],TM[[#All],[Reporting Year]],2024,TM[[#All],[Insurance Category Code]],6,TM[[#All],[Large Provider Entity Code]],A369)</f>
        <v>0</v>
      </c>
      <c r="D369" s="7" t="str">
        <f>IFERROR(SUMIFS(TM[[#All],[Total Non-Truncated Claims Spending]],TM[[#All],[Reporting Year]],2024,TM[[#All],[Insurance Category Code]],6,TM[[#All],[Large Provider Entity Code]],A369)/C369,"NA")</f>
        <v>NA</v>
      </c>
      <c r="E369" s="7" t="str">
        <f>IFERROR(SUMIFS(TM[[#All],[Total Non-Claims Spending]],TM[[#All],[Reporting Year]],2024,TM[[#All],[Insurance Category Code]],6,TM[[#All],[Large Provider Entity Code]],A369)/C369,"NA")</f>
        <v>NA</v>
      </c>
      <c r="F369" s="7" t="str">
        <f>IFERROR(SUMIFS(TM[[#All],[Total Non-Truncated Claims and Non-Claims Spending]],TM[[#All],[Reporting Year]],2024,TM[[#All],[Insurance Category Code]],6,TM[[#All],[Large Provider Entity Code]],A369)/C369,"NA")</f>
        <v>NA</v>
      </c>
      <c r="G369" s="7" t="str">
        <f>IFERROR(SUMIFS(TM[[#All],[Total Truncated Claims Spending]],TM[[#All],[Reporting Year]],2024,TM[[#All],[Insurance Category Code]],6,TM[[#All],[Large Provider Entity Code]],A369)/C369,"NA")</f>
        <v>NA</v>
      </c>
      <c r="H369" s="196" t="str">
        <f>IFERROR(SUMIFS(TM[[#All],[Total Truncated Expenses]],TM[[#All],[Reporting Year]],2024,TM[[#All],[Insurance Category Code]],6,TM[[#All],[Large Provider Entity Code]],A369)/C369,"NA")</f>
        <v>NA</v>
      </c>
      <c r="I369" s="89">
        <f>SUMIFS(TM[[#All],[Member Months]],TM[[#All],[Reporting Year]],2025,TM[[#All],[Insurance Category Code]],6,TM[[#All],[Large Provider Entity Code]],A369)</f>
        <v>0</v>
      </c>
      <c r="J369" s="7" t="str">
        <f>IFERROR(SUMIFS(TM[[#All],[Total Non-Truncated Claims Spending]],TM[[#All],[Reporting Year]],2025,TM[[#All],[Insurance Category Code]],6,TM[[#All],[Large Provider Entity Code]],A369)/I369,"NA")</f>
        <v>NA</v>
      </c>
      <c r="K369" s="7" t="str">
        <f>IFERROR(SUMIFS(TM[[#All],[Total Non-Claims Spending]],TM[[#All],[Reporting Year]],2025,TM[[#All],[Insurance Category Code]],6,TM[[#All],[Large Provider Entity Code]],A369)/I369,"NA")</f>
        <v>NA</v>
      </c>
      <c r="L369" s="7" t="str">
        <f>IFERROR(SUMIFS(TM[[#All],[Total Non-Truncated Claims and Non-Claims Spending]],TM[[#All],[Reporting Year]],2025,TM[[#All],[Insurance Category Code]],6,TM[[#All],[Large Provider Entity Code]],A369)/I369,"NA")</f>
        <v>NA</v>
      </c>
      <c r="M369" s="7" t="str">
        <f>IFERROR(SUMIFS(TM[[#All],[Total Truncated Claims Spending]],TM[[#All],[Reporting Year]],2025,TM[[#All],[Insurance Category Code]],6,TM[[#All],[Large Provider Entity Code]],A369)/I369,"NA")</f>
        <v>NA</v>
      </c>
      <c r="N369" s="90" t="str">
        <f>IFERROR(SUMIFS(TM[[#All],[Total Truncated Expenses]],TM[[#All],[Reporting Year]],2025,TM[[#All],[Insurance Category Code]],6,TM[[#All],[Large Provider Entity Code]],A369)/I369,"NA")</f>
        <v>NA</v>
      </c>
      <c r="O369" s="169" t="str">
        <f t="shared" si="219"/>
        <v>No</v>
      </c>
      <c r="P369" s="231" t="str">
        <f t="shared" ref="P369:P370" si="220">IFERROR((I369/C369-1),"NA")</f>
        <v>NA</v>
      </c>
      <c r="Q369" s="91" t="str">
        <f t="shared" ref="Q369:Q370" si="221">IFERROR((J369/D369-1),"NA")</f>
        <v>NA</v>
      </c>
      <c r="R369" s="91" t="str">
        <f t="shared" ref="R369:R370" si="222">IFERROR((K369/E369-1),"NA")</f>
        <v>NA</v>
      </c>
      <c r="S369" s="91" t="str">
        <f t="shared" ref="S369:S370" si="223">IFERROR((L369/F369-1),"NA")</f>
        <v>NA</v>
      </c>
      <c r="T369" s="91" t="str">
        <f t="shared" ref="T369:T370" si="224">IFERROR((M369/G369-1),"NA")</f>
        <v>NA</v>
      </c>
      <c r="U369" s="91" t="str">
        <f t="shared" ref="U369:U370" si="225">IFERROR((N369/H369-1),"NA")</f>
        <v>NA</v>
      </c>
    </row>
    <row r="370" spans="1:21" x14ac:dyDescent="0.4">
      <c r="A370" s="210">
        <v>124</v>
      </c>
      <c r="B370" s="525" t="s">
        <v>615</v>
      </c>
      <c r="C370" s="8">
        <f>SUMIFS(TM[[#All],[Member Months]],TM[[#All],[Reporting Year]],2024,TM[[#All],[Insurance Category Code]],6,TM[[#All],[Large Provider Entity Code]],A370)</f>
        <v>0</v>
      </c>
      <c r="D370" s="7" t="str">
        <f>IFERROR(SUMIFS(TM[[#All],[Total Non-Truncated Claims Spending]],TM[[#All],[Reporting Year]],2024,TM[[#All],[Insurance Category Code]],6,TM[[#All],[Large Provider Entity Code]],A370)/C370,"NA")</f>
        <v>NA</v>
      </c>
      <c r="E370" s="7" t="str">
        <f>IFERROR(SUMIFS(TM[[#All],[Total Non-Claims Spending]],TM[[#All],[Reporting Year]],2024,TM[[#All],[Insurance Category Code]],6,TM[[#All],[Large Provider Entity Code]],A370)/C370,"NA")</f>
        <v>NA</v>
      </c>
      <c r="F370" s="7" t="str">
        <f>IFERROR(SUMIFS(TM[[#All],[Total Non-Truncated Claims and Non-Claims Spending]],TM[[#All],[Reporting Year]],2024,TM[[#All],[Insurance Category Code]],6,TM[[#All],[Large Provider Entity Code]],A370)/C370,"NA")</f>
        <v>NA</v>
      </c>
      <c r="G370" s="7" t="str">
        <f>IFERROR(SUMIFS(TM[[#All],[Total Truncated Claims Spending]],TM[[#All],[Reporting Year]],2024,TM[[#All],[Insurance Category Code]],6,TM[[#All],[Large Provider Entity Code]],A370)/C370,"NA")</f>
        <v>NA</v>
      </c>
      <c r="H370" s="196" t="str">
        <f>IFERROR(SUMIFS(TM[[#All],[Total Truncated Expenses]],TM[[#All],[Reporting Year]],2024,TM[[#All],[Insurance Category Code]],6,TM[[#All],[Large Provider Entity Code]],A370)/C370,"NA")</f>
        <v>NA</v>
      </c>
      <c r="I370" s="89">
        <f>SUMIFS(TM[[#All],[Member Months]],TM[[#All],[Reporting Year]],2025,TM[[#All],[Insurance Category Code]],6,TM[[#All],[Large Provider Entity Code]],A370)</f>
        <v>0</v>
      </c>
      <c r="J370" s="7" t="str">
        <f>IFERROR(SUMIFS(TM[[#All],[Total Non-Truncated Claims Spending]],TM[[#All],[Reporting Year]],2025,TM[[#All],[Insurance Category Code]],6,TM[[#All],[Large Provider Entity Code]],A370)/I370,"NA")</f>
        <v>NA</v>
      </c>
      <c r="K370" s="7" t="str">
        <f>IFERROR(SUMIFS(TM[[#All],[Total Non-Claims Spending]],TM[[#All],[Reporting Year]],2025,TM[[#All],[Insurance Category Code]],6,TM[[#All],[Large Provider Entity Code]],A370)/I370,"NA")</f>
        <v>NA</v>
      </c>
      <c r="L370" s="7" t="str">
        <f>IFERROR(SUMIFS(TM[[#All],[Total Non-Truncated Claims and Non-Claims Spending]],TM[[#All],[Reporting Year]],2025,TM[[#All],[Insurance Category Code]],6,TM[[#All],[Large Provider Entity Code]],A370)/I370,"NA")</f>
        <v>NA</v>
      </c>
      <c r="M370" s="7" t="str">
        <f>IFERROR(SUMIFS(TM[[#All],[Total Truncated Claims Spending]],TM[[#All],[Reporting Year]],2025,TM[[#All],[Insurance Category Code]],6,TM[[#All],[Large Provider Entity Code]],A370)/I370,"NA")</f>
        <v>NA</v>
      </c>
      <c r="N370" s="90" t="str">
        <f>IFERROR(SUMIFS(TM[[#All],[Total Truncated Expenses]],TM[[#All],[Reporting Year]],2025,TM[[#All],[Insurance Category Code]],6,TM[[#All],[Large Provider Entity Code]],A370)/I370,"NA")</f>
        <v>NA</v>
      </c>
      <c r="O370" s="169" t="str">
        <f t="shared" si="219"/>
        <v>No</v>
      </c>
      <c r="P370" s="231" t="str">
        <f t="shared" si="220"/>
        <v>NA</v>
      </c>
      <c r="Q370" s="91" t="str">
        <f t="shared" si="221"/>
        <v>NA</v>
      </c>
      <c r="R370" s="91" t="str">
        <f t="shared" si="222"/>
        <v>NA</v>
      </c>
      <c r="S370" s="91" t="str">
        <f t="shared" si="223"/>
        <v>NA</v>
      </c>
      <c r="T370" s="91" t="str">
        <f t="shared" si="224"/>
        <v>NA</v>
      </c>
      <c r="U370" s="91" t="str">
        <f t="shared" si="225"/>
        <v>NA</v>
      </c>
    </row>
    <row r="371" spans="1:21" x14ac:dyDescent="0.4">
      <c r="A371" s="462">
        <v>125</v>
      </c>
      <c r="B371" s="525" t="s">
        <v>638</v>
      </c>
      <c r="C371" s="8">
        <f>SUMIFS(TM[[#All],[Member Months]],TM[[#All],[Reporting Year]],2024,TM[[#All],[Insurance Category Code]],6,TM[[#All],[Large Provider Entity Code]],A371)</f>
        <v>0</v>
      </c>
      <c r="D371" s="7" t="str">
        <f>IFERROR(SUMIFS(TM[[#All],[Total Non-Truncated Claims Spending]],TM[[#All],[Reporting Year]],2024,TM[[#All],[Insurance Category Code]],6,TM[[#All],[Large Provider Entity Code]],A371)/C371,"NA")</f>
        <v>NA</v>
      </c>
      <c r="E371" s="7" t="str">
        <f>IFERROR(SUMIFS(TM[[#All],[Total Non-Claims Spending]],TM[[#All],[Reporting Year]],2024,TM[[#All],[Insurance Category Code]],6,TM[[#All],[Large Provider Entity Code]],A371)/C371,"NA")</f>
        <v>NA</v>
      </c>
      <c r="F371" s="7" t="str">
        <f>IFERROR(SUMIFS(TM[[#All],[Total Non-Truncated Claims and Non-Claims Spending]],TM[[#All],[Reporting Year]],2024,TM[[#All],[Insurance Category Code]],6,TM[[#All],[Large Provider Entity Code]],A371)/C371,"NA")</f>
        <v>NA</v>
      </c>
      <c r="G371" s="7" t="str">
        <f>IFERROR(SUMIFS(TM[[#All],[Total Truncated Claims Spending]],TM[[#All],[Reporting Year]],2024,TM[[#All],[Insurance Category Code]],6,TM[[#All],[Large Provider Entity Code]],A371)/C371,"NA")</f>
        <v>NA</v>
      </c>
      <c r="H371" s="196" t="str">
        <f>IFERROR(SUMIFS(TM[[#All],[Total Truncated Expenses]],TM[[#All],[Reporting Year]],2024,TM[[#All],[Insurance Category Code]],6,TM[[#All],[Large Provider Entity Code]],A371)/C371,"NA")</f>
        <v>NA</v>
      </c>
      <c r="I371" s="89">
        <f>SUMIFS(TM[[#All],[Member Months]],TM[[#All],[Reporting Year]],2025,TM[[#All],[Insurance Category Code]],6,TM[[#All],[Large Provider Entity Code]],A371)</f>
        <v>0</v>
      </c>
      <c r="J371" s="7" t="str">
        <f>IFERROR(SUMIFS(TM[[#All],[Total Non-Truncated Claims Spending]],TM[[#All],[Reporting Year]],2025,TM[[#All],[Insurance Category Code]],6,TM[[#All],[Large Provider Entity Code]],A371)/I371,"NA")</f>
        <v>NA</v>
      </c>
      <c r="K371" s="7" t="str">
        <f>IFERROR(SUMIFS(TM[[#All],[Total Non-Claims Spending]],TM[[#All],[Reporting Year]],2025,TM[[#All],[Insurance Category Code]],6,TM[[#All],[Large Provider Entity Code]],A371)/I371,"NA")</f>
        <v>NA</v>
      </c>
      <c r="L371" s="7" t="str">
        <f>IFERROR(SUMIFS(TM[[#All],[Total Non-Truncated Claims and Non-Claims Spending]],TM[[#All],[Reporting Year]],2025,TM[[#All],[Insurance Category Code]],6,TM[[#All],[Large Provider Entity Code]],A371)/I371,"NA")</f>
        <v>NA</v>
      </c>
      <c r="M371" s="7" t="str">
        <f>IFERROR(SUMIFS(TM[[#All],[Total Truncated Claims Spending]],TM[[#All],[Reporting Year]],2025,TM[[#All],[Insurance Category Code]],6,TM[[#All],[Large Provider Entity Code]],A371)/I371,"NA")</f>
        <v>NA</v>
      </c>
      <c r="N371" s="90" t="str">
        <f>IFERROR(SUMIFS(TM[[#All],[Total Truncated Expenses]],TM[[#All],[Reporting Year]],2025,TM[[#All],[Insurance Category Code]],6,TM[[#All],[Large Provider Entity Code]],A371)/I371,"NA")</f>
        <v>NA</v>
      </c>
      <c r="O371" s="169" t="str">
        <f t="shared" ref="O371:O374" si="226">IFERROR(IF(AND(C371&gt;12000,I371&gt;12000),"Yes","No"),"NA")</f>
        <v>No</v>
      </c>
      <c r="P371" s="231" t="str">
        <f t="shared" ref="P371:P374" si="227">IFERROR((I371/C371-1),"NA")</f>
        <v>NA</v>
      </c>
      <c r="Q371" s="91" t="str">
        <f t="shared" ref="Q371:Q374" si="228">IFERROR((J371/D371-1),"NA")</f>
        <v>NA</v>
      </c>
      <c r="R371" s="91" t="str">
        <f t="shared" ref="R371:R374" si="229">IFERROR((K371/E371-1),"NA")</f>
        <v>NA</v>
      </c>
      <c r="S371" s="91" t="str">
        <f t="shared" ref="S371:S374" si="230">IFERROR((L371/F371-1),"NA")</f>
        <v>NA</v>
      </c>
      <c r="T371" s="91" t="str">
        <f t="shared" ref="T371:T374" si="231">IFERROR((M371/G371-1),"NA")</f>
        <v>NA</v>
      </c>
      <c r="U371" s="91" t="str">
        <f t="shared" ref="U371:U374" si="232">IFERROR((N371/H371-1),"NA")</f>
        <v>NA</v>
      </c>
    </row>
    <row r="372" spans="1:21" x14ac:dyDescent="0.4">
      <c r="A372" s="462">
        <v>126</v>
      </c>
      <c r="B372" s="525" t="s">
        <v>639</v>
      </c>
      <c r="C372" s="8">
        <f>SUMIFS(TM[[#All],[Member Months]],TM[[#All],[Reporting Year]],2024,TM[[#All],[Insurance Category Code]],6,TM[[#All],[Large Provider Entity Code]],A372)</f>
        <v>0</v>
      </c>
      <c r="D372" s="7" t="str">
        <f>IFERROR(SUMIFS(TM[[#All],[Total Non-Truncated Claims Spending]],TM[[#All],[Reporting Year]],2024,TM[[#All],[Insurance Category Code]],6,TM[[#All],[Large Provider Entity Code]],A372)/C372,"NA")</f>
        <v>NA</v>
      </c>
      <c r="E372" s="7" t="str">
        <f>IFERROR(SUMIFS(TM[[#All],[Total Non-Claims Spending]],TM[[#All],[Reporting Year]],2024,TM[[#All],[Insurance Category Code]],6,TM[[#All],[Large Provider Entity Code]],A372)/C372,"NA")</f>
        <v>NA</v>
      </c>
      <c r="F372" s="7" t="str">
        <f>IFERROR(SUMIFS(TM[[#All],[Total Non-Truncated Claims and Non-Claims Spending]],TM[[#All],[Reporting Year]],2024,TM[[#All],[Insurance Category Code]],6,TM[[#All],[Large Provider Entity Code]],A372)/C372,"NA")</f>
        <v>NA</v>
      </c>
      <c r="G372" s="7" t="str">
        <f>IFERROR(SUMIFS(TM[[#All],[Total Truncated Claims Spending]],TM[[#All],[Reporting Year]],2024,TM[[#All],[Insurance Category Code]],6,TM[[#All],[Large Provider Entity Code]],A372)/C372,"NA")</f>
        <v>NA</v>
      </c>
      <c r="H372" s="196" t="str">
        <f>IFERROR(SUMIFS(TM[[#All],[Total Truncated Expenses]],TM[[#All],[Reporting Year]],2024,TM[[#All],[Insurance Category Code]],6,TM[[#All],[Large Provider Entity Code]],A372)/C372,"NA")</f>
        <v>NA</v>
      </c>
      <c r="I372" s="89">
        <f>SUMIFS(TM[[#All],[Member Months]],TM[[#All],[Reporting Year]],2025,TM[[#All],[Insurance Category Code]],6,TM[[#All],[Large Provider Entity Code]],A372)</f>
        <v>0</v>
      </c>
      <c r="J372" s="7" t="str">
        <f>IFERROR(SUMIFS(TM[[#All],[Total Non-Truncated Claims Spending]],TM[[#All],[Reporting Year]],2025,TM[[#All],[Insurance Category Code]],6,TM[[#All],[Large Provider Entity Code]],A372)/I372,"NA")</f>
        <v>NA</v>
      </c>
      <c r="K372" s="7" t="str">
        <f>IFERROR(SUMIFS(TM[[#All],[Total Non-Claims Spending]],TM[[#All],[Reporting Year]],2025,TM[[#All],[Insurance Category Code]],6,TM[[#All],[Large Provider Entity Code]],A372)/I372,"NA")</f>
        <v>NA</v>
      </c>
      <c r="L372" s="7" t="str">
        <f>IFERROR(SUMIFS(TM[[#All],[Total Non-Truncated Claims and Non-Claims Spending]],TM[[#All],[Reporting Year]],2025,TM[[#All],[Insurance Category Code]],6,TM[[#All],[Large Provider Entity Code]],A372)/I372,"NA")</f>
        <v>NA</v>
      </c>
      <c r="M372" s="7" t="str">
        <f>IFERROR(SUMIFS(TM[[#All],[Total Truncated Claims Spending]],TM[[#All],[Reporting Year]],2025,TM[[#All],[Insurance Category Code]],6,TM[[#All],[Large Provider Entity Code]],A372)/I372,"NA")</f>
        <v>NA</v>
      </c>
      <c r="N372" s="90" t="str">
        <f>IFERROR(SUMIFS(TM[[#All],[Total Truncated Expenses]],TM[[#All],[Reporting Year]],2025,TM[[#All],[Insurance Category Code]],6,TM[[#All],[Large Provider Entity Code]],A372)/I372,"NA")</f>
        <v>NA</v>
      </c>
      <c r="O372" s="169" t="str">
        <f t="shared" si="226"/>
        <v>No</v>
      </c>
      <c r="P372" s="231" t="str">
        <f t="shared" si="227"/>
        <v>NA</v>
      </c>
      <c r="Q372" s="91" t="str">
        <f t="shared" si="228"/>
        <v>NA</v>
      </c>
      <c r="R372" s="91" t="str">
        <f t="shared" si="229"/>
        <v>NA</v>
      </c>
      <c r="S372" s="91" t="str">
        <f t="shared" si="230"/>
        <v>NA</v>
      </c>
      <c r="T372" s="91" t="str">
        <f t="shared" si="231"/>
        <v>NA</v>
      </c>
      <c r="U372" s="91" t="str">
        <f t="shared" si="232"/>
        <v>NA</v>
      </c>
    </row>
    <row r="373" spans="1:21" ht="33.6" x14ac:dyDescent="0.4">
      <c r="A373" s="462">
        <v>127</v>
      </c>
      <c r="B373" s="525" t="s">
        <v>640</v>
      </c>
      <c r="C373" s="8">
        <f>SUMIFS(TM[[#All],[Member Months]],TM[[#All],[Reporting Year]],2024,TM[[#All],[Insurance Category Code]],6,TM[[#All],[Large Provider Entity Code]],A373)</f>
        <v>0</v>
      </c>
      <c r="D373" s="7" t="str">
        <f>IFERROR(SUMIFS(TM[[#All],[Total Non-Truncated Claims Spending]],TM[[#All],[Reporting Year]],2024,TM[[#All],[Insurance Category Code]],6,TM[[#All],[Large Provider Entity Code]],A373)/C373,"NA")</f>
        <v>NA</v>
      </c>
      <c r="E373" s="7" t="str">
        <f>IFERROR(SUMIFS(TM[[#All],[Total Non-Claims Spending]],TM[[#All],[Reporting Year]],2024,TM[[#All],[Insurance Category Code]],6,TM[[#All],[Large Provider Entity Code]],A373)/C373,"NA")</f>
        <v>NA</v>
      </c>
      <c r="F373" s="7" t="str">
        <f>IFERROR(SUMIFS(TM[[#All],[Total Non-Truncated Claims and Non-Claims Spending]],TM[[#All],[Reporting Year]],2024,TM[[#All],[Insurance Category Code]],6,TM[[#All],[Large Provider Entity Code]],A373)/C373,"NA")</f>
        <v>NA</v>
      </c>
      <c r="G373" s="7" t="str">
        <f>IFERROR(SUMIFS(TM[[#All],[Total Truncated Claims Spending]],TM[[#All],[Reporting Year]],2024,TM[[#All],[Insurance Category Code]],6,TM[[#All],[Large Provider Entity Code]],A373)/C373,"NA")</f>
        <v>NA</v>
      </c>
      <c r="H373" s="196" t="str">
        <f>IFERROR(SUMIFS(TM[[#All],[Total Truncated Expenses]],TM[[#All],[Reporting Year]],2024,TM[[#All],[Insurance Category Code]],6,TM[[#All],[Large Provider Entity Code]],A373)/C373,"NA")</f>
        <v>NA</v>
      </c>
      <c r="I373" s="89">
        <f>SUMIFS(TM[[#All],[Member Months]],TM[[#All],[Reporting Year]],2025,TM[[#All],[Insurance Category Code]],6,TM[[#All],[Large Provider Entity Code]],A373)</f>
        <v>0</v>
      </c>
      <c r="J373" s="7" t="str">
        <f>IFERROR(SUMIFS(TM[[#All],[Total Non-Truncated Claims Spending]],TM[[#All],[Reporting Year]],2025,TM[[#All],[Insurance Category Code]],6,TM[[#All],[Large Provider Entity Code]],A373)/I373,"NA")</f>
        <v>NA</v>
      </c>
      <c r="K373" s="7" t="str">
        <f>IFERROR(SUMIFS(TM[[#All],[Total Non-Claims Spending]],TM[[#All],[Reporting Year]],2025,TM[[#All],[Insurance Category Code]],6,TM[[#All],[Large Provider Entity Code]],A373)/I373,"NA")</f>
        <v>NA</v>
      </c>
      <c r="L373" s="7" t="str">
        <f>IFERROR(SUMIFS(TM[[#All],[Total Non-Truncated Claims and Non-Claims Spending]],TM[[#All],[Reporting Year]],2025,TM[[#All],[Insurance Category Code]],6,TM[[#All],[Large Provider Entity Code]],A373)/I373,"NA")</f>
        <v>NA</v>
      </c>
      <c r="M373" s="7" t="str">
        <f>IFERROR(SUMIFS(TM[[#All],[Total Truncated Claims Spending]],TM[[#All],[Reporting Year]],2025,TM[[#All],[Insurance Category Code]],6,TM[[#All],[Large Provider Entity Code]],A373)/I373,"NA")</f>
        <v>NA</v>
      </c>
      <c r="N373" s="90" t="str">
        <f>IFERROR(SUMIFS(TM[[#All],[Total Truncated Expenses]],TM[[#All],[Reporting Year]],2025,TM[[#All],[Insurance Category Code]],6,TM[[#All],[Large Provider Entity Code]],A373)/I373,"NA")</f>
        <v>NA</v>
      </c>
      <c r="O373" s="169" t="str">
        <f t="shared" si="226"/>
        <v>No</v>
      </c>
      <c r="P373" s="231" t="str">
        <f t="shared" si="227"/>
        <v>NA</v>
      </c>
      <c r="Q373" s="91" t="str">
        <f t="shared" si="228"/>
        <v>NA</v>
      </c>
      <c r="R373" s="91" t="str">
        <f t="shared" si="229"/>
        <v>NA</v>
      </c>
      <c r="S373" s="91" t="str">
        <f t="shared" si="230"/>
        <v>NA</v>
      </c>
      <c r="T373" s="91" t="str">
        <f t="shared" si="231"/>
        <v>NA</v>
      </c>
      <c r="U373" s="91" t="str">
        <f t="shared" si="232"/>
        <v>NA</v>
      </c>
    </row>
    <row r="374" spans="1:21" x14ac:dyDescent="0.4">
      <c r="A374" s="462">
        <v>128</v>
      </c>
      <c r="B374" s="525" t="s">
        <v>641</v>
      </c>
      <c r="C374" s="8">
        <f>SUMIFS(TM[[#All],[Member Months]],TM[[#All],[Reporting Year]],2024,TM[[#All],[Insurance Category Code]],6,TM[[#All],[Large Provider Entity Code]],A374)</f>
        <v>0</v>
      </c>
      <c r="D374" s="7" t="str">
        <f>IFERROR(SUMIFS(TM[[#All],[Total Non-Truncated Claims Spending]],TM[[#All],[Reporting Year]],2024,TM[[#All],[Insurance Category Code]],6,TM[[#All],[Large Provider Entity Code]],A374)/C374,"NA")</f>
        <v>NA</v>
      </c>
      <c r="E374" s="7" t="str">
        <f>IFERROR(SUMIFS(TM[[#All],[Total Non-Claims Spending]],TM[[#All],[Reporting Year]],2024,TM[[#All],[Insurance Category Code]],6,TM[[#All],[Large Provider Entity Code]],A374)/C374,"NA")</f>
        <v>NA</v>
      </c>
      <c r="F374" s="7" t="str">
        <f>IFERROR(SUMIFS(TM[[#All],[Total Non-Truncated Claims and Non-Claims Spending]],TM[[#All],[Reporting Year]],2024,TM[[#All],[Insurance Category Code]],6,TM[[#All],[Large Provider Entity Code]],A374)/C374,"NA")</f>
        <v>NA</v>
      </c>
      <c r="G374" s="7" t="str">
        <f>IFERROR(SUMIFS(TM[[#All],[Total Truncated Claims Spending]],TM[[#All],[Reporting Year]],2024,TM[[#All],[Insurance Category Code]],6,TM[[#All],[Large Provider Entity Code]],A374)/C374,"NA")</f>
        <v>NA</v>
      </c>
      <c r="H374" s="196" t="str">
        <f>IFERROR(SUMIFS(TM[[#All],[Total Truncated Expenses]],TM[[#All],[Reporting Year]],2024,TM[[#All],[Insurance Category Code]],6,TM[[#All],[Large Provider Entity Code]],A374)/C374,"NA")</f>
        <v>NA</v>
      </c>
      <c r="I374" s="89">
        <f>SUMIFS(TM[[#All],[Member Months]],TM[[#All],[Reporting Year]],2025,TM[[#All],[Insurance Category Code]],6,TM[[#All],[Large Provider Entity Code]],A374)</f>
        <v>0</v>
      </c>
      <c r="J374" s="7" t="str">
        <f>IFERROR(SUMIFS(TM[[#All],[Total Non-Truncated Claims Spending]],TM[[#All],[Reporting Year]],2025,TM[[#All],[Insurance Category Code]],6,TM[[#All],[Large Provider Entity Code]],A374)/I374,"NA")</f>
        <v>NA</v>
      </c>
      <c r="K374" s="7" t="str">
        <f>IFERROR(SUMIFS(TM[[#All],[Total Non-Claims Spending]],TM[[#All],[Reporting Year]],2025,TM[[#All],[Insurance Category Code]],6,TM[[#All],[Large Provider Entity Code]],A374)/I374,"NA")</f>
        <v>NA</v>
      </c>
      <c r="L374" s="7" t="str">
        <f>IFERROR(SUMIFS(TM[[#All],[Total Non-Truncated Claims and Non-Claims Spending]],TM[[#All],[Reporting Year]],2025,TM[[#All],[Insurance Category Code]],6,TM[[#All],[Large Provider Entity Code]],A374)/I374,"NA")</f>
        <v>NA</v>
      </c>
      <c r="M374" s="7" t="str">
        <f>IFERROR(SUMIFS(TM[[#All],[Total Truncated Claims Spending]],TM[[#All],[Reporting Year]],2025,TM[[#All],[Insurance Category Code]],6,TM[[#All],[Large Provider Entity Code]],A374)/I374,"NA")</f>
        <v>NA</v>
      </c>
      <c r="N374" s="90" t="str">
        <f>IFERROR(SUMIFS(TM[[#All],[Total Truncated Expenses]],TM[[#All],[Reporting Year]],2025,TM[[#All],[Insurance Category Code]],6,TM[[#All],[Large Provider Entity Code]],A374)/I374,"NA")</f>
        <v>NA</v>
      </c>
      <c r="O374" s="169" t="str">
        <f t="shared" si="226"/>
        <v>No</v>
      </c>
      <c r="P374" s="231" t="str">
        <f t="shared" si="227"/>
        <v>NA</v>
      </c>
      <c r="Q374" s="91" t="str">
        <f t="shared" si="228"/>
        <v>NA</v>
      </c>
      <c r="R374" s="91" t="str">
        <f t="shared" si="229"/>
        <v>NA</v>
      </c>
      <c r="S374" s="91" t="str">
        <f t="shared" si="230"/>
        <v>NA</v>
      </c>
      <c r="T374" s="91" t="str">
        <f t="shared" si="231"/>
        <v>NA</v>
      </c>
      <c r="U374" s="91" t="str">
        <f t="shared" si="232"/>
        <v>NA</v>
      </c>
    </row>
    <row r="375" spans="1:21" x14ac:dyDescent="0.4">
      <c r="A375" s="210">
        <v>999</v>
      </c>
      <c r="B375" s="525" t="s">
        <v>71</v>
      </c>
      <c r="C375" s="156">
        <f>SUMIFS(TM[[#All],[Member Months]],TM[[#All],[Reporting Year]],2024,TM[[#All],[Insurance Category Code]],6,TM[[#All],[Large Provider Entity Code]],A375)</f>
        <v>0</v>
      </c>
      <c r="D375" s="7" t="str">
        <f>IFERROR(SUMIFS(TM[[#All],[Total Non-Truncated Claims Spending]],TM[[#All],[Reporting Year]],2024,TM[[#All],[Insurance Category Code]],6,TM[[#All],[Large Provider Entity Code]],A375)/C375,"NA")</f>
        <v>NA</v>
      </c>
      <c r="E375" s="7" t="str">
        <f>IFERROR(SUMIFS(TM[[#All],[Total Non-Claims Spending]],TM[[#All],[Reporting Year]],2024,TM[[#All],[Insurance Category Code]],6,TM[[#All],[Large Provider Entity Code]],A375)/C375,"NA")</f>
        <v>NA</v>
      </c>
      <c r="F375" s="7" t="str">
        <f>IFERROR(SUMIFS(TM[[#All],[Total Non-Truncated Claims and Non-Claims Spending]],TM[[#All],[Reporting Year]],2024,TM[[#All],[Insurance Category Code]],6,TM[[#All],[Large Provider Entity Code]],A375)/C375,"NA")</f>
        <v>NA</v>
      </c>
      <c r="G375" s="7" t="str">
        <f>IFERROR(SUMIFS(TM[[#All],[Total Truncated Claims Spending]],TM[[#All],[Reporting Year]],2024,TM[[#All],[Insurance Category Code]],6,TM[[#All],[Large Provider Entity Code]],A375)/C375,"NA")</f>
        <v>NA</v>
      </c>
      <c r="H375" s="196" t="str">
        <f>IFERROR(SUMIFS(TM[[#All],[Total Truncated Expenses]],TM[[#All],[Reporting Year]],2024,TM[[#All],[Insurance Category Code]],6,TM[[#All],[Large Provider Entity Code]],A375)/C375,"NA")</f>
        <v>NA</v>
      </c>
      <c r="I375" s="89">
        <f>SUMIFS(TM[[#All],[Member Months]],TM[[#All],[Reporting Year]],2025,TM[[#All],[Insurance Category Code]],6,TM[[#All],[Large Provider Entity Code]],A375)</f>
        <v>0</v>
      </c>
      <c r="J375" s="7" t="str">
        <f>IFERROR(SUMIFS(TM[[#All],[Total Non-Truncated Claims Spending]],TM[[#All],[Reporting Year]],2025,TM[[#All],[Insurance Category Code]],6,TM[[#All],[Large Provider Entity Code]],A375)/I375,"NA")</f>
        <v>NA</v>
      </c>
      <c r="K375" s="7" t="str">
        <f>IFERROR(SUMIFS(TM[[#All],[Total Non-Claims Spending]],TM[[#All],[Reporting Year]],2025,TM[[#All],[Insurance Category Code]],6,TM[[#All],[Large Provider Entity Code]],A375)/I375,"NA")</f>
        <v>NA</v>
      </c>
      <c r="L375" s="7" t="str">
        <f>IFERROR(SUMIFS(TM[[#All],[Total Non-Truncated Claims and Non-Claims Spending]],TM[[#All],[Reporting Year]],2025,TM[[#All],[Insurance Category Code]],6,TM[[#All],[Large Provider Entity Code]],A375)/I375,"NA")</f>
        <v>NA</v>
      </c>
      <c r="M375" s="7" t="str">
        <f>IFERROR(SUMIFS(TM[[#All],[Total Truncated Claims Spending]],TM[[#All],[Reporting Year]],2025,TM[[#All],[Insurance Category Code]],6,TM[[#All],[Large Provider Entity Code]],A375)/I375,"NA")</f>
        <v>NA</v>
      </c>
      <c r="N375" s="90" t="str">
        <f>IFERROR(SUMIFS(TM[[#All],[Total Truncated Expenses]],TM[[#All],[Reporting Year]],2025,TM[[#All],[Insurance Category Code]],6,TM[[#All],[Large Provider Entity Code]],A375)/I375,"NA")</f>
        <v>NA</v>
      </c>
      <c r="O375" s="169" t="str">
        <f>IFERROR(IF(AND(C375&gt;12000,I375&gt;12000),"Yes","No"),"NA")</f>
        <v>No</v>
      </c>
      <c r="P375" s="231" t="str">
        <f t="shared" si="218"/>
        <v>NA</v>
      </c>
      <c r="Q375" s="91" t="str">
        <f t="shared" si="218"/>
        <v>NA</v>
      </c>
      <c r="R375" s="91" t="str">
        <f t="shared" si="218"/>
        <v>NA</v>
      </c>
      <c r="S375" s="91" t="str">
        <f t="shared" si="218"/>
        <v>NA</v>
      </c>
      <c r="T375" s="91" t="str">
        <f t="shared" si="218"/>
        <v>NA</v>
      </c>
      <c r="U375" s="91" t="str">
        <f t="shared" si="218"/>
        <v>NA</v>
      </c>
    </row>
    <row r="376" spans="1:21" ht="30" customHeight="1" x14ac:dyDescent="0.4">
      <c r="A376" s="572" t="s">
        <v>523</v>
      </c>
      <c r="B376" s="573"/>
      <c r="C376" s="157">
        <f>SUM(C352:C375)</f>
        <v>0</v>
      </c>
      <c r="D376" s="124" t="str">
        <f>IFERROR((SUMPRODUCT(D352:D375,C352:C375)/C376),"NA")</f>
        <v>NA</v>
      </c>
      <c r="E376" s="124" t="str">
        <f>IFERROR((SUMPRODUCT(E352:E375,C352:C375)/C376),"NA")</f>
        <v>NA</v>
      </c>
      <c r="F376" s="124" t="str">
        <f>IFERROR((SUMPRODUCT(F352:F375,C352:C375)/C376),"NA")</f>
        <v>NA</v>
      </c>
      <c r="G376" s="124" t="str">
        <f>IFERROR((SUMPRODUCT(G352:G375,C352:C375)/C376),"NA")</f>
        <v>NA</v>
      </c>
      <c r="H376" s="124" t="str">
        <f>IFERROR((SUMPRODUCT(H352:H375,C352:C375)/C376),"NA")</f>
        <v>NA</v>
      </c>
      <c r="I376" s="158">
        <f t="shared" ref="I376" si="233">SUM(I352:I375)</f>
        <v>0</v>
      </c>
      <c r="J376" s="124" t="str">
        <f>IFERROR((SUMPRODUCT(J352:J375,I352:I375)/I376),"NA")</f>
        <v>NA</v>
      </c>
      <c r="K376" s="124" t="str">
        <f>IFERROR((SUMPRODUCT(K352:K375,I352:I375)/I376),"NA")</f>
        <v>NA</v>
      </c>
      <c r="L376" s="124" t="str">
        <f>IFERROR((SUMPRODUCT(L352:L375,I352:I375)/I376),"NA")</f>
        <v>NA</v>
      </c>
      <c r="M376" s="124" t="str">
        <f>IFERROR((SUMPRODUCT(M352:M375,I352:I375)/I376),"NA")</f>
        <v>NA</v>
      </c>
      <c r="N376" s="239" t="str">
        <f>IFERROR((SUMPRODUCT(N352:N375,I352:I375)/I376),"NA")</f>
        <v>NA</v>
      </c>
      <c r="O376" s="434" t="s">
        <v>470</v>
      </c>
      <c r="P376" s="386" t="s">
        <v>470</v>
      </c>
      <c r="Q376" s="385" t="s">
        <v>470</v>
      </c>
      <c r="R376" s="385" t="s">
        <v>470</v>
      </c>
      <c r="S376" s="385" t="s">
        <v>470</v>
      </c>
      <c r="T376" s="385" t="s">
        <v>470</v>
      </c>
      <c r="U376" s="385" t="s">
        <v>470</v>
      </c>
    </row>
    <row r="377" spans="1:21" x14ac:dyDescent="0.4">
      <c r="A377" s="574" t="s">
        <v>519</v>
      </c>
      <c r="B377" s="575"/>
      <c r="C377" s="157" t="s">
        <v>470</v>
      </c>
      <c r="D377" s="123" t="str">
        <f>IFERROR(((SUMPRODUCT(D351,$C$351))-ABS(SUMIFS(RX[[#All],[Total Medical and Retail Pharmacy Rebate Amount]],RX[[#All],[Reporting Year]],2024,RX[[#All],[Insurance Category Code]],6)))/$C$376,"NA")</f>
        <v>NA</v>
      </c>
      <c r="E377" s="123" t="str">
        <f>IFERROR(((SUMPRODUCT(E351,$C$351))-ABS(SUMIFS(RX[[#All],[Total Medical and Retail Pharmacy Rebate Amount]],RX[[#All],[Reporting Year]],2024,RX[[#All],[Insurance Category Code]],6)))/$C$376,"NA")</f>
        <v>NA</v>
      </c>
      <c r="F377" s="123" t="str">
        <f>IFERROR(((SUMPRODUCT(F351,$C$351))-ABS(SUMIFS(RX[[#All],[Total Medical and Retail Pharmacy Rebate Amount]],RX[[#All],[Reporting Year]],2024,RX[[#All],[Insurance Category Code]],6)))/$C$376,"NA")</f>
        <v>NA</v>
      </c>
      <c r="G377" s="123" t="str">
        <f>IFERROR(((SUMPRODUCT(G351,$C$351))-ABS(SUMIFS(RX[[#All],[Total Medical and Retail Pharmacy Rebate Amount]],RX[[#All],[Reporting Year]],2024,RX[[#All],[Insurance Category Code]],6)))/$C$376,"NA")</f>
        <v>NA</v>
      </c>
      <c r="H377" s="201" t="str">
        <f>IFERROR(((SUMPRODUCT(H351,$C$351))-ABS(SUMIFS(RX[[#All],[Total Medical and Retail Pharmacy Rebate Amount]],RX[[#All],[Reporting Year]],2024,RX[[#All],[Insurance Category Code]],6)))/$C$376,"NA")</f>
        <v>NA</v>
      </c>
      <c r="I377" s="158" t="s">
        <v>470</v>
      </c>
      <c r="J377" s="123" t="str">
        <f>IFERROR(((SUMPRODUCT(J351,$I$351))-ABS(SUMIFS(RX[[#All],[Total Medical and Retail Pharmacy Rebate Amount]],RX[[#All],[Reporting Year]],2025,RX[[#All],[Insurance Category Code]],6)))/$I$376,"NA")</f>
        <v>NA</v>
      </c>
      <c r="K377" s="123" t="str">
        <f>IFERROR(((SUMPRODUCT(K351,$I$351))-ABS(SUMIFS(RX[[#All],[Total Medical and Retail Pharmacy Rebate Amount]],RX[[#All],[Reporting Year]],2025,RX[[#All],[Insurance Category Code]],6)))/$I$376,"NA")</f>
        <v>NA</v>
      </c>
      <c r="L377" s="123" t="str">
        <f>IFERROR(((SUMPRODUCT(L351,$I$351))-ABS(SUMIFS(RX[[#All],[Total Medical and Retail Pharmacy Rebate Amount]],RX[[#All],[Reporting Year]],2025,RX[[#All],[Insurance Category Code]],6)))/$I$376,"NA")</f>
        <v>NA</v>
      </c>
      <c r="M377" s="123" t="str">
        <f>IFERROR(((SUMPRODUCT(M351,$I$351))-ABS(SUMIFS(RX[[#All],[Total Medical and Retail Pharmacy Rebate Amount]],RX[[#All],[Reporting Year]],2025,RX[[#All],[Insurance Category Code]],6)))/$I$376,"NA")</f>
        <v>NA</v>
      </c>
      <c r="N377" s="200" t="str">
        <f>IFERROR(((SUMPRODUCT(N351,$I$351))-ABS(SUMIFS(RX[[#All],[Total Medical and Retail Pharmacy Rebate Amount]],RX[[#All],[Reporting Year]],2025,RX[[#All],[Insurance Category Code]],6)))/$I$376,"NA")</f>
        <v>NA</v>
      </c>
      <c r="O377" s="434" t="s">
        <v>470</v>
      </c>
      <c r="P377" s="386" t="s">
        <v>470</v>
      </c>
      <c r="Q377" s="385" t="s">
        <v>470</v>
      </c>
      <c r="R377" s="385" t="s">
        <v>470</v>
      </c>
      <c r="S377" s="385" t="s">
        <v>470</v>
      </c>
      <c r="T377" s="385" t="s">
        <v>470</v>
      </c>
      <c r="U377" s="385" t="s">
        <v>470</v>
      </c>
    </row>
    <row r="378" spans="1:21" x14ac:dyDescent="0.4">
      <c r="A378" s="558" t="s">
        <v>520</v>
      </c>
      <c r="B378" s="559"/>
      <c r="C378" s="221">
        <f>ABS(C376-C351)</f>
        <v>0</v>
      </c>
      <c r="D378" s="219" t="e">
        <f>ABS(D376-D351)</f>
        <v>#VALUE!</v>
      </c>
      <c r="E378" s="219" t="e">
        <f>ABS(E376-E351)</f>
        <v>#VALUE!</v>
      </c>
      <c r="F378" s="219" t="e">
        <f>ABS(F376-F351)</f>
        <v>#VALUE!</v>
      </c>
      <c r="G378" s="174" t="s">
        <v>470</v>
      </c>
      <c r="H378" s="225" t="s">
        <v>470</v>
      </c>
      <c r="I378" s="213">
        <f>ABS(I376-I351)</f>
        <v>0</v>
      </c>
      <c r="J378" s="219" t="e">
        <f>ABS(J376-J351)</f>
        <v>#VALUE!</v>
      </c>
      <c r="K378" s="219" t="e">
        <f>ABS(K376-K351)</f>
        <v>#VALUE!</v>
      </c>
      <c r="L378" s="219" t="e">
        <f>ABS(L376-L351)</f>
        <v>#VALUE!</v>
      </c>
      <c r="M378" s="174" t="s">
        <v>470</v>
      </c>
      <c r="N378" s="225" t="s">
        <v>470</v>
      </c>
      <c r="O378" s="435" t="s">
        <v>470</v>
      </c>
      <c r="P378" s="436" t="s">
        <v>470</v>
      </c>
      <c r="Q378" s="438" t="s">
        <v>470</v>
      </c>
      <c r="R378" s="438" t="s">
        <v>470</v>
      </c>
      <c r="S378" s="438" t="s">
        <v>470</v>
      </c>
      <c r="T378" s="438" t="s">
        <v>470</v>
      </c>
      <c r="U378" s="438" t="s">
        <v>470</v>
      </c>
    </row>
    <row r="379" spans="1:21" x14ac:dyDescent="0.4">
      <c r="A379" s="560" t="s">
        <v>521</v>
      </c>
      <c r="B379" s="561"/>
      <c r="C379" s="245" t="str">
        <f>IF(((ABS(C376-C351))&lt;10),"Yes","No")</f>
        <v>Yes</v>
      </c>
      <c r="D379" s="174" t="e">
        <f>IF(((ABS(D376-D351))&lt;10),"Yes","No")</f>
        <v>#VALUE!</v>
      </c>
      <c r="E379" s="174" t="e">
        <f>IF(((ABS(E376-E351))&lt;10),"Yes","No")</f>
        <v>#VALUE!</v>
      </c>
      <c r="F379" s="174" t="e">
        <f>IF(((ABS(F376-F351))&lt;10),"Yes","No")</f>
        <v>#VALUE!</v>
      </c>
      <c r="G379" s="174" t="s">
        <v>470</v>
      </c>
      <c r="H379" s="225" t="s">
        <v>470</v>
      </c>
      <c r="I379" s="242" t="str">
        <f>IF(((ABS(I376-I351))&lt;10),"Yes","No")</f>
        <v>Yes</v>
      </c>
      <c r="J379" s="174" t="e">
        <f>IF(((ABS(J376-J351))&lt;10),"Yes","No")</f>
        <v>#VALUE!</v>
      </c>
      <c r="K379" s="174" t="e">
        <f>IF(((ABS(K376-K351))&lt;10),"Yes","No")</f>
        <v>#VALUE!</v>
      </c>
      <c r="L379" s="174" t="e">
        <f>IF(((ABS(L376-L351))&lt;10),"Yes","No")</f>
        <v>#VALUE!</v>
      </c>
      <c r="M379" s="174" t="s">
        <v>470</v>
      </c>
      <c r="N379" s="240" t="s">
        <v>470</v>
      </c>
      <c r="O379" s="435" t="s">
        <v>470</v>
      </c>
      <c r="P379" s="436" t="s">
        <v>470</v>
      </c>
      <c r="Q379" s="438" t="s">
        <v>470</v>
      </c>
      <c r="R379" s="438" t="s">
        <v>470</v>
      </c>
      <c r="S379" s="438" t="s">
        <v>470</v>
      </c>
      <c r="T379" s="438" t="s">
        <v>470</v>
      </c>
      <c r="U379" s="438" t="s">
        <v>470</v>
      </c>
    </row>
  </sheetData>
  <mergeCells count="102">
    <mergeCell ref="A71:B71"/>
    <mergeCell ref="A72:B72"/>
    <mergeCell ref="A73:B73"/>
    <mergeCell ref="A77:A78"/>
    <mergeCell ref="B77:B78"/>
    <mergeCell ref="C77:H77"/>
    <mergeCell ref="I77:N77"/>
    <mergeCell ref="O43:U43"/>
    <mergeCell ref="O77:U77"/>
    <mergeCell ref="A70:B70"/>
    <mergeCell ref="A2:U2"/>
    <mergeCell ref="A4:U4"/>
    <mergeCell ref="A5:U5"/>
    <mergeCell ref="A37:B37"/>
    <mergeCell ref="A38:B38"/>
    <mergeCell ref="A39:B39"/>
    <mergeCell ref="A43:A44"/>
    <mergeCell ref="B43:B44"/>
    <mergeCell ref="C43:H43"/>
    <mergeCell ref="I43:N43"/>
    <mergeCell ref="A36:B36"/>
    <mergeCell ref="O9:U9"/>
    <mergeCell ref="I9:N9"/>
    <mergeCell ref="C9:H9"/>
    <mergeCell ref="B9:B10"/>
    <mergeCell ref="A9:A10"/>
    <mergeCell ref="O111:U111"/>
    <mergeCell ref="O145:U145"/>
    <mergeCell ref="A104:B104"/>
    <mergeCell ref="A105:B105"/>
    <mergeCell ref="A106:B106"/>
    <mergeCell ref="A107:B107"/>
    <mergeCell ref="A111:A112"/>
    <mergeCell ref="B111:B112"/>
    <mergeCell ref="C111:H111"/>
    <mergeCell ref="I111:N111"/>
    <mergeCell ref="A138:B138"/>
    <mergeCell ref="A139:B139"/>
    <mergeCell ref="A140:B140"/>
    <mergeCell ref="A141:B141"/>
    <mergeCell ref="A145:A146"/>
    <mergeCell ref="B145:B146"/>
    <mergeCell ref="C145:H145"/>
    <mergeCell ref="I145:N145"/>
    <mergeCell ref="O179:U179"/>
    <mergeCell ref="O213:U213"/>
    <mergeCell ref="A172:B172"/>
    <mergeCell ref="A173:B173"/>
    <mergeCell ref="A174:B174"/>
    <mergeCell ref="A175:B175"/>
    <mergeCell ref="A179:A180"/>
    <mergeCell ref="B179:B180"/>
    <mergeCell ref="A241:B241"/>
    <mergeCell ref="C179:H179"/>
    <mergeCell ref="I179:N179"/>
    <mergeCell ref="A206:B206"/>
    <mergeCell ref="A207:B207"/>
    <mergeCell ref="A208:B208"/>
    <mergeCell ref="A209:B209"/>
    <mergeCell ref="A213:A214"/>
    <mergeCell ref="B213:B214"/>
    <mergeCell ref="C213:H213"/>
    <mergeCell ref="A240:B240"/>
    <mergeCell ref="I213:N213"/>
    <mergeCell ref="A242:B242"/>
    <mergeCell ref="A243:B243"/>
    <mergeCell ref="A247:A248"/>
    <mergeCell ref="B247:B248"/>
    <mergeCell ref="C247:H247"/>
    <mergeCell ref="A281:A282"/>
    <mergeCell ref="B281:B282"/>
    <mergeCell ref="C281:H281"/>
    <mergeCell ref="I281:N281"/>
    <mergeCell ref="O281:U281"/>
    <mergeCell ref="O315:U315"/>
    <mergeCell ref="O349:U349"/>
    <mergeCell ref="A274:B274"/>
    <mergeCell ref="A275:B275"/>
    <mergeCell ref="A276:B276"/>
    <mergeCell ref="A277:B277"/>
    <mergeCell ref="I247:N247"/>
    <mergeCell ref="A342:B342"/>
    <mergeCell ref="A343:B343"/>
    <mergeCell ref="A308:B308"/>
    <mergeCell ref="A309:B309"/>
    <mergeCell ref="A310:B310"/>
    <mergeCell ref="A311:B311"/>
    <mergeCell ref="A315:A316"/>
    <mergeCell ref="B315:B316"/>
    <mergeCell ref="O247:U247"/>
    <mergeCell ref="A378:B378"/>
    <mergeCell ref="A379:B379"/>
    <mergeCell ref="A345:B345"/>
    <mergeCell ref="A349:A350"/>
    <mergeCell ref="B349:B350"/>
    <mergeCell ref="A344:B344"/>
    <mergeCell ref="C349:H349"/>
    <mergeCell ref="I349:N349"/>
    <mergeCell ref="C315:H315"/>
    <mergeCell ref="I315:N315"/>
    <mergeCell ref="A376:B376"/>
    <mergeCell ref="A377:B377"/>
  </mergeCells>
  <conditionalFormatting sqref="C73:N73 C107:N107 C141:N141 C175:N175 C209:N209 C243:N243 C311:N311 C345:N345 C379:N379">
    <cfRule type="cellIs" dxfId="31" priority="54" operator="equal">
      <formula>"No"</formula>
    </cfRule>
  </conditionalFormatting>
  <conditionalFormatting sqref="C277:N277">
    <cfRule type="cellIs" dxfId="30" priority="35" operator="equal">
      <formula>"No"</formula>
    </cfRule>
  </conditionalFormatting>
  <conditionalFormatting sqref="C39:O39">
    <cfRule type="cellIs" dxfId="29" priority="47" operator="equal">
      <formula>"Yes"</formula>
    </cfRule>
    <cfRule type="containsText" dxfId="28" priority="48" operator="containsText" text="No">
      <formula>NOT(ISERROR(SEARCH("No",C39)))</formula>
    </cfRule>
  </conditionalFormatting>
  <conditionalFormatting sqref="C73:O73">
    <cfRule type="cellIs" dxfId="27" priority="29" operator="equal">
      <formula>"Yes"</formula>
    </cfRule>
  </conditionalFormatting>
  <conditionalFormatting sqref="C107:O107">
    <cfRule type="cellIs" dxfId="26" priority="27" operator="equal">
      <formula>"Yes"</formula>
    </cfRule>
  </conditionalFormatting>
  <conditionalFormatting sqref="C141:O141">
    <cfRule type="cellIs" dxfId="25" priority="25" operator="equal">
      <formula>"Yes"</formula>
    </cfRule>
  </conditionalFormatting>
  <conditionalFormatting sqref="C175:O175">
    <cfRule type="cellIs" dxfId="24" priority="23" operator="equal">
      <formula>"Yes"</formula>
    </cfRule>
  </conditionalFormatting>
  <conditionalFormatting sqref="C209:O209">
    <cfRule type="cellIs" dxfId="23" priority="21" operator="equal">
      <formula>"Yes"</formula>
    </cfRule>
  </conditionalFormatting>
  <conditionalFormatting sqref="C243:O243">
    <cfRule type="cellIs" dxfId="22" priority="19" operator="equal">
      <formula>"Yes"</formula>
    </cfRule>
  </conditionalFormatting>
  <conditionalFormatting sqref="C277:O277">
    <cfRule type="cellIs" dxfId="21" priority="17" operator="equal">
      <formula>"Yes"</formula>
    </cfRule>
  </conditionalFormatting>
  <conditionalFormatting sqref="C311:O311">
    <cfRule type="cellIs" dxfId="20" priority="15" operator="equal">
      <formula>"Yes"</formula>
    </cfRule>
  </conditionalFormatting>
  <conditionalFormatting sqref="C345:O345">
    <cfRule type="cellIs" dxfId="19" priority="11" operator="equal">
      <formula>"Yes"</formula>
    </cfRule>
  </conditionalFormatting>
  <conditionalFormatting sqref="C379:O379">
    <cfRule type="cellIs" dxfId="18" priority="9" operator="equal">
      <formula>"Yes"</formula>
    </cfRule>
  </conditionalFormatting>
  <conditionalFormatting sqref="I39:M39">
    <cfRule type="containsText" dxfId="17" priority="31" operator="containsText" text="No">
      <formula>NOT(ISERROR(SEARCH("No",I39)))</formula>
    </cfRule>
  </conditionalFormatting>
  <conditionalFormatting sqref="O11:O35 O45:O69 O79:O103 O113:O137 O147:O171 O181:O205 O215:O239 O249:O273 O283:O307 O317:O341 O351:O375">
    <cfRule type="cellIs" dxfId="16" priority="1" operator="equal">
      <formula>"Yes"</formula>
    </cfRule>
    <cfRule type="cellIs" dxfId="15" priority="2" operator="equal">
      <formula>"No"</formula>
    </cfRule>
  </conditionalFormatting>
  <conditionalFormatting sqref="O73">
    <cfRule type="containsText" dxfId="14" priority="30" operator="containsText" text="No">
      <formula>NOT(ISERROR(SEARCH("No",O73)))</formula>
    </cfRule>
  </conditionalFormatting>
  <conditionalFormatting sqref="O107">
    <cfRule type="containsText" dxfId="13" priority="28" operator="containsText" text="No">
      <formula>NOT(ISERROR(SEARCH("No",O107)))</formula>
    </cfRule>
  </conditionalFormatting>
  <conditionalFormatting sqref="O141">
    <cfRule type="containsText" dxfId="12" priority="26" operator="containsText" text="No">
      <formula>NOT(ISERROR(SEARCH("No",O141)))</formula>
    </cfRule>
  </conditionalFormatting>
  <conditionalFormatting sqref="O175">
    <cfRule type="containsText" dxfId="11" priority="24" operator="containsText" text="No">
      <formula>NOT(ISERROR(SEARCH("No",O175)))</formula>
    </cfRule>
  </conditionalFormatting>
  <conditionalFormatting sqref="O209">
    <cfRule type="containsText" dxfId="10" priority="22" operator="containsText" text="No">
      <formula>NOT(ISERROR(SEARCH("No",O209)))</formula>
    </cfRule>
  </conditionalFormatting>
  <conditionalFormatting sqref="O243">
    <cfRule type="containsText" dxfId="9" priority="20" operator="containsText" text="No">
      <formula>NOT(ISERROR(SEARCH("No",O243)))</formula>
    </cfRule>
  </conditionalFormatting>
  <conditionalFormatting sqref="O277">
    <cfRule type="containsText" dxfId="8" priority="18" operator="containsText" text="No">
      <formula>NOT(ISERROR(SEARCH("No",O277)))</formula>
    </cfRule>
  </conditionalFormatting>
  <conditionalFormatting sqref="O311">
    <cfRule type="containsText" dxfId="7" priority="16" operator="containsText" text="No">
      <formula>NOT(ISERROR(SEARCH("No",O311)))</formula>
    </cfRule>
  </conditionalFormatting>
  <conditionalFormatting sqref="O345">
    <cfRule type="containsText" dxfId="6" priority="12" operator="containsText" text="No">
      <formula>NOT(ISERROR(SEARCH("No",O345)))</formula>
    </cfRule>
  </conditionalFormatting>
  <conditionalFormatting sqref="O348">
    <cfRule type="cellIs" dxfId="5" priority="13" operator="equal">
      <formula>"Yes"</formula>
    </cfRule>
    <cfRule type="containsText" dxfId="4" priority="14" operator="containsText" text="No">
      <formula>NOT(ISERROR(SEARCH("No",O348)))</formula>
    </cfRule>
  </conditionalFormatting>
  <conditionalFormatting sqref="O379">
    <cfRule type="containsText" dxfId="3" priority="10" operator="containsText" text="No">
      <formula>NOT(ISERROR(SEARCH("No",O379)))</formula>
    </cfRule>
  </conditionalFormatting>
  <conditionalFormatting sqref="P12:U35 P46:U69 P80:U103 P114:U137 P148:U171 P182:U205 P216:U239 P250:U273 P284:U307 P318:U341 P352:U375">
    <cfRule type="cellIs" dxfId="2" priority="3" operator="equal">
      <formula>"NA"</formula>
    </cfRule>
    <cfRule type="cellIs" dxfId="1" priority="4" operator="lessThan">
      <formula>-0.5</formula>
    </cfRule>
    <cfRule type="cellIs" dxfId="0" priority="5" operator="greaterThan">
      <formula>0.5</formula>
    </cfRule>
  </conditionalFormatting>
  <pageMargins left="0.7" right="0.7" top="0.75" bottom="0.75" header="0.3" footer="0.3"/>
  <pageSetup scale="10" orientation="landscape" r:id="rId1"/>
  <headerFooter>
    <oddFooter>&amp;L&amp;"-,Bold"Carrier Benchmark Data Submission Template&amp;"-,Regular" | NJ Hart Program&amp;RPage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14DF8-CAFF-4B6C-8591-0DC9C30CE0F9}">
  <sheetPr>
    <tabColor theme="8" tint="-0.499984740745262"/>
  </sheetPr>
  <dimension ref="A1:H101"/>
  <sheetViews>
    <sheetView workbookViewId="0">
      <selection activeCell="H25" sqref="H25"/>
    </sheetView>
  </sheetViews>
  <sheetFormatPr defaultRowHeight="16.8" x14ac:dyDescent="0.4"/>
  <cols>
    <col min="2" max="2" width="16.5" customWidth="1"/>
    <col min="3" max="3" width="16.69921875" style="325" customWidth="1"/>
    <col min="5" max="5" width="13.19921875" customWidth="1"/>
    <col min="6" max="7" width="11.5" customWidth="1"/>
    <col min="8" max="8" width="14.59765625" customWidth="1"/>
    <col min="9" max="9" width="24.19921875" customWidth="1"/>
    <col min="10" max="10" width="13.19921875" customWidth="1"/>
  </cols>
  <sheetData>
    <row r="1" spans="1:8" x14ac:dyDescent="0.4">
      <c r="A1" s="3" t="s">
        <v>634</v>
      </c>
    </row>
    <row r="3" spans="1:8" x14ac:dyDescent="0.4">
      <c r="A3" t="s">
        <v>471</v>
      </c>
    </row>
    <row r="4" spans="1:8" x14ac:dyDescent="0.4">
      <c r="A4" t="s">
        <v>467</v>
      </c>
      <c r="B4" t="s">
        <v>468</v>
      </c>
      <c r="C4" s="325" t="s">
        <v>469</v>
      </c>
    </row>
    <row r="5" spans="1:8" x14ac:dyDescent="0.4">
      <c r="A5">
        <v>2023</v>
      </c>
      <c r="B5">
        <v>201</v>
      </c>
      <c r="C5" s="325" t="s">
        <v>470</v>
      </c>
    </row>
    <row r="6" spans="1:8" x14ac:dyDescent="0.4">
      <c r="A6">
        <v>2023</v>
      </c>
      <c r="B6">
        <v>202</v>
      </c>
      <c r="C6" s="325" t="s">
        <v>470</v>
      </c>
    </row>
    <row r="7" spans="1:8" x14ac:dyDescent="0.4">
      <c r="A7">
        <v>2023</v>
      </c>
      <c r="B7">
        <v>203</v>
      </c>
      <c r="C7" s="325" t="s">
        <v>470</v>
      </c>
    </row>
    <row r="8" spans="1:8" x14ac:dyDescent="0.4">
      <c r="A8">
        <v>2023</v>
      </c>
      <c r="B8">
        <v>204</v>
      </c>
      <c r="C8" s="325" t="s">
        <v>470</v>
      </c>
    </row>
    <row r="9" spans="1:8" x14ac:dyDescent="0.4">
      <c r="A9">
        <v>2023</v>
      </c>
      <c r="B9">
        <v>205</v>
      </c>
      <c r="C9" s="325" t="s">
        <v>470</v>
      </c>
    </row>
    <row r="10" spans="1:8" x14ac:dyDescent="0.4">
      <c r="A10">
        <v>2023</v>
      </c>
      <c r="B10">
        <v>206</v>
      </c>
      <c r="C10" s="325" t="s">
        <v>470</v>
      </c>
    </row>
    <row r="11" spans="1:8" x14ac:dyDescent="0.4">
      <c r="A11">
        <v>2023</v>
      </c>
      <c r="B11">
        <v>207</v>
      </c>
      <c r="C11" s="325" t="s">
        <v>470</v>
      </c>
    </row>
    <row r="12" spans="1:8" x14ac:dyDescent="0.4">
      <c r="F12" s="534"/>
      <c r="G12" s="534"/>
      <c r="H12" s="534"/>
    </row>
    <row r="13" spans="1:8" x14ac:dyDescent="0.4">
      <c r="A13" t="s">
        <v>472</v>
      </c>
      <c r="F13" s="464"/>
      <c r="G13" s="464"/>
    </row>
    <row r="14" spans="1:8" x14ac:dyDescent="0.4">
      <c r="A14" t="s">
        <v>467</v>
      </c>
      <c r="B14" t="s">
        <v>468</v>
      </c>
      <c r="C14" s="325" t="s">
        <v>469</v>
      </c>
      <c r="F14" s="464"/>
      <c r="G14" s="464"/>
    </row>
    <row r="15" spans="1:8" x14ac:dyDescent="0.4">
      <c r="A15">
        <v>2023</v>
      </c>
      <c r="B15">
        <v>201</v>
      </c>
      <c r="C15" s="535">
        <v>137401</v>
      </c>
      <c r="F15" s="464"/>
      <c r="G15" s="464"/>
    </row>
    <row r="16" spans="1:8" x14ac:dyDescent="0.4">
      <c r="A16">
        <v>2023</v>
      </c>
      <c r="B16">
        <v>202</v>
      </c>
      <c r="C16" s="535">
        <v>247677</v>
      </c>
      <c r="F16" s="464"/>
      <c r="G16" s="464"/>
    </row>
    <row r="17" spans="1:7" x14ac:dyDescent="0.4">
      <c r="A17">
        <v>2023</v>
      </c>
      <c r="B17">
        <v>203</v>
      </c>
      <c r="C17" t="s">
        <v>470</v>
      </c>
      <c r="F17" s="464"/>
      <c r="G17" s="464"/>
    </row>
    <row r="18" spans="1:7" x14ac:dyDescent="0.4">
      <c r="A18">
        <v>2023</v>
      </c>
      <c r="B18">
        <v>204</v>
      </c>
      <c r="C18" t="s">
        <v>470</v>
      </c>
    </row>
    <row r="19" spans="1:7" x14ac:dyDescent="0.4">
      <c r="A19">
        <v>2023</v>
      </c>
      <c r="B19">
        <v>205</v>
      </c>
      <c r="C19" s="535">
        <v>1168860</v>
      </c>
    </row>
    <row r="20" spans="1:7" x14ac:dyDescent="0.4">
      <c r="A20">
        <v>2023</v>
      </c>
      <c r="B20">
        <v>206</v>
      </c>
      <c r="C20" s="535">
        <v>404474</v>
      </c>
    </row>
    <row r="21" spans="1:7" x14ac:dyDescent="0.4">
      <c r="A21">
        <v>2023</v>
      </c>
      <c r="B21">
        <v>207</v>
      </c>
      <c r="C21" s="535">
        <v>110796</v>
      </c>
    </row>
    <row r="23" spans="1:7" x14ac:dyDescent="0.4">
      <c r="A23" t="s">
        <v>627</v>
      </c>
    </row>
    <row r="24" spans="1:7" x14ac:dyDescent="0.4">
      <c r="A24" t="s">
        <v>467</v>
      </c>
      <c r="B24" t="s">
        <v>468</v>
      </c>
      <c r="C24" s="325" t="s">
        <v>469</v>
      </c>
    </row>
    <row r="25" spans="1:7" x14ac:dyDescent="0.4">
      <c r="A25">
        <v>2024</v>
      </c>
      <c r="C25"/>
    </row>
    <row r="26" spans="1:7" x14ac:dyDescent="0.4">
      <c r="A26">
        <v>2024</v>
      </c>
      <c r="C26"/>
    </row>
    <row r="27" spans="1:7" x14ac:dyDescent="0.4">
      <c r="A27">
        <v>2024</v>
      </c>
      <c r="C27"/>
    </row>
    <row r="28" spans="1:7" x14ac:dyDescent="0.4">
      <c r="A28">
        <v>2024</v>
      </c>
      <c r="C28"/>
    </row>
    <row r="29" spans="1:7" x14ac:dyDescent="0.4">
      <c r="A29">
        <v>2024</v>
      </c>
      <c r="C29"/>
    </row>
    <row r="30" spans="1:7" x14ac:dyDescent="0.4">
      <c r="A30">
        <v>2024</v>
      </c>
      <c r="C30"/>
    </row>
    <row r="31" spans="1:7" x14ac:dyDescent="0.4">
      <c r="A31">
        <v>2024</v>
      </c>
      <c r="C31"/>
    </row>
    <row r="33" spans="1:6" x14ac:dyDescent="0.4">
      <c r="A33" t="s">
        <v>626</v>
      </c>
    </row>
    <row r="34" spans="1:6" x14ac:dyDescent="0.4">
      <c r="A34" t="s">
        <v>467</v>
      </c>
      <c r="B34" t="s">
        <v>468</v>
      </c>
      <c r="C34" s="325" t="s">
        <v>469</v>
      </c>
    </row>
    <row r="35" spans="1:6" x14ac:dyDescent="0.4">
      <c r="A35">
        <v>2024</v>
      </c>
      <c r="B35">
        <v>201</v>
      </c>
      <c r="C35" s="535">
        <v>100624</v>
      </c>
    </row>
    <row r="36" spans="1:6" x14ac:dyDescent="0.4">
      <c r="A36">
        <v>2024</v>
      </c>
      <c r="B36">
        <v>202</v>
      </c>
      <c r="C36" s="535">
        <v>180181</v>
      </c>
      <c r="E36" s="464"/>
      <c r="F36" s="464"/>
    </row>
    <row r="37" spans="1:6" x14ac:dyDescent="0.4">
      <c r="A37">
        <v>2024</v>
      </c>
      <c r="B37">
        <v>203</v>
      </c>
      <c r="C37" t="s">
        <v>470</v>
      </c>
      <c r="E37" s="464"/>
      <c r="F37" s="464"/>
    </row>
    <row r="38" spans="1:6" x14ac:dyDescent="0.4">
      <c r="A38">
        <v>2024</v>
      </c>
      <c r="B38">
        <v>204</v>
      </c>
      <c r="C38" t="s">
        <v>470</v>
      </c>
      <c r="E38" s="464"/>
      <c r="F38" s="464"/>
    </row>
    <row r="39" spans="1:6" x14ac:dyDescent="0.4">
      <c r="A39">
        <v>2024</v>
      </c>
      <c r="B39">
        <v>205</v>
      </c>
      <c r="C39" s="535">
        <v>879632</v>
      </c>
      <c r="E39" s="464"/>
      <c r="F39" s="464"/>
    </row>
    <row r="40" spans="1:6" x14ac:dyDescent="0.4">
      <c r="A40">
        <v>2024</v>
      </c>
      <c r="B40">
        <v>206</v>
      </c>
      <c r="C40" s="535">
        <v>313807</v>
      </c>
      <c r="E40" s="464"/>
      <c r="F40" s="464"/>
    </row>
    <row r="41" spans="1:6" x14ac:dyDescent="0.4">
      <c r="A41">
        <v>2024</v>
      </c>
      <c r="B41">
        <v>207</v>
      </c>
      <c r="C41" s="535">
        <v>80981</v>
      </c>
    </row>
    <row r="43" spans="1:6" x14ac:dyDescent="0.4">
      <c r="A43" t="s">
        <v>628</v>
      </c>
    </row>
    <row r="44" spans="1:6" x14ac:dyDescent="0.4">
      <c r="A44" t="s">
        <v>467</v>
      </c>
      <c r="B44" t="s">
        <v>468</v>
      </c>
      <c r="C44" s="325" t="s">
        <v>469</v>
      </c>
    </row>
    <row r="45" spans="1:6" x14ac:dyDescent="0.4">
      <c r="A45">
        <v>2025</v>
      </c>
      <c r="B45">
        <v>201</v>
      </c>
      <c r="C45" s="325" t="s">
        <v>470</v>
      </c>
    </row>
    <row r="46" spans="1:6" x14ac:dyDescent="0.4">
      <c r="A46">
        <v>2025</v>
      </c>
      <c r="B46">
        <v>202</v>
      </c>
      <c r="C46" s="325" t="s">
        <v>470</v>
      </c>
    </row>
    <row r="47" spans="1:6" x14ac:dyDescent="0.4">
      <c r="A47">
        <v>2025</v>
      </c>
      <c r="B47">
        <v>203</v>
      </c>
      <c r="C47" s="325" t="s">
        <v>470</v>
      </c>
    </row>
    <row r="48" spans="1:6" x14ac:dyDescent="0.4">
      <c r="A48">
        <v>2025</v>
      </c>
      <c r="B48">
        <v>204</v>
      </c>
      <c r="C48" s="325" t="s">
        <v>470</v>
      </c>
    </row>
    <row r="49" spans="1:3" x14ac:dyDescent="0.4">
      <c r="A49">
        <v>2025</v>
      </c>
      <c r="B49">
        <v>205</v>
      </c>
      <c r="C49" s="325" t="s">
        <v>470</v>
      </c>
    </row>
    <row r="50" spans="1:3" x14ac:dyDescent="0.4">
      <c r="A50">
        <v>2025</v>
      </c>
      <c r="B50">
        <v>206</v>
      </c>
      <c r="C50" s="325" t="s">
        <v>470</v>
      </c>
    </row>
    <row r="51" spans="1:3" x14ac:dyDescent="0.4">
      <c r="A51">
        <v>2025</v>
      </c>
      <c r="B51">
        <v>207</v>
      </c>
      <c r="C51" s="325" t="s">
        <v>470</v>
      </c>
    </row>
    <row r="53" spans="1:3" x14ac:dyDescent="0.4">
      <c r="A53" t="s">
        <v>629</v>
      </c>
    </row>
    <row r="54" spans="1:3" x14ac:dyDescent="0.4">
      <c r="A54" t="s">
        <v>467</v>
      </c>
      <c r="B54" t="s">
        <v>468</v>
      </c>
      <c r="C54" s="325" t="s">
        <v>469</v>
      </c>
    </row>
    <row r="55" spans="1:3" x14ac:dyDescent="0.4">
      <c r="A55">
        <v>2025</v>
      </c>
      <c r="B55">
        <v>201</v>
      </c>
      <c r="C55" s="325" t="s">
        <v>470</v>
      </c>
    </row>
    <row r="56" spans="1:3" x14ac:dyDescent="0.4">
      <c r="A56">
        <v>2025</v>
      </c>
      <c r="B56">
        <v>202</v>
      </c>
      <c r="C56" s="325" t="s">
        <v>470</v>
      </c>
    </row>
    <row r="57" spans="1:3" x14ac:dyDescent="0.4">
      <c r="A57">
        <v>2025</v>
      </c>
      <c r="B57">
        <v>203</v>
      </c>
      <c r="C57" s="325" t="s">
        <v>470</v>
      </c>
    </row>
    <row r="58" spans="1:3" x14ac:dyDescent="0.4">
      <c r="A58">
        <v>2025</v>
      </c>
      <c r="B58">
        <v>204</v>
      </c>
      <c r="C58" s="325" t="s">
        <v>470</v>
      </c>
    </row>
    <row r="59" spans="1:3" x14ac:dyDescent="0.4">
      <c r="A59">
        <v>2025</v>
      </c>
      <c r="B59">
        <v>205</v>
      </c>
      <c r="C59" s="325" t="s">
        <v>470</v>
      </c>
    </row>
    <row r="60" spans="1:3" x14ac:dyDescent="0.4">
      <c r="A60">
        <v>2025</v>
      </c>
      <c r="B60">
        <v>206</v>
      </c>
      <c r="C60" s="325" t="s">
        <v>470</v>
      </c>
    </row>
    <row r="61" spans="1:3" x14ac:dyDescent="0.4">
      <c r="A61">
        <v>2025</v>
      </c>
      <c r="B61">
        <v>207</v>
      </c>
      <c r="C61" s="325" t="s">
        <v>470</v>
      </c>
    </row>
    <row r="63" spans="1:3" x14ac:dyDescent="0.4">
      <c r="A63" t="s">
        <v>630</v>
      </c>
    </row>
    <row r="64" spans="1:3" x14ac:dyDescent="0.4">
      <c r="A64" t="s">
        <v>467</v>
      </c>
      <c r="B64" t="s">
        <v>468</v>
      </c>
      <c r="C64" s="325" t="s">
        <v>469</v>
      </c>
    </row>
    <row r="65" spans="1:3" x14ac:dyDescent="0.4">
      <c r="A65">
        <v>2026</v>
      </c>
      <c r="B65">
        <v>201</v>
      </c>
      <c r="C65" s="325" t="s">
        <v>470</v>
      </c>
    </row>
    <row r="66" spans="1:3" x14ac:dyDescent="0.4">
      <c r="A66">
        <v>2026</v>
      </c>
      <c r="B66">
        <v>202</v>
      </c>
      <c r="C66" s="325" t="s">
        <v>470</v>
      </c>
    </row>
    <row r="67" spans="1:3" x14ac:dyDescent="0.4">
      <c r="A67">
        <v>2026</v>
      </c>
      <c r="B67">
        <v>203</v>
      </c>
      <c r="C67" s="325" t="s">
        <v>470</v>
      </c>
    </row>
    <row r="68" spans="1:3" x14ac:dyDescent="0.4">
      <c r="A68">
        <v>2026</v>
      </c>
      <c r="B68">
        <v>204</v>
      </c>
      <c r="C68" s="325" t="s">
        <v>470</v>
      </c>
    </row>
    <row r="69" spans="1:3" x14ac:dyDescent="0.4">
      <c r="A69">
        <v>2026</v>
      </c>
      <c r="B69">
        <v>205</v>
      </c>
      <c r="C69" s="325" t="s">
        <v>470</v>
      </c>
    </row>
    <row r="70" spans="1:3" x14ac:dyDescent="0.4">
      <c r="A70">
        <v>2026</v>
      </c>
      <c r="B70">
        <v>206</v>
      </c>
      <c r="C70" s="325" t="s">
        <v>470</v>
      </c>
    </row>
    <row r="71" spans="1:3" x14ac:dyDescent="0.4">
      <c r="A71">
        <v>2026</v>
      </c>
      <c r="B71">
        <v>207</v>
      </c>
      <c r="C71" s="325" t="s">
        <v>470</v>
      </c>
    </row>
    <row r="73" spans="1:3" x14ac:dyDescent="0.4">
      <c r="A73" t="s">
        <v>631</v>
      </c>
    </row>
    <row r="74" spans="1:3" x14ac:dyDescent="0.4">
      <c r="A74" t="s">
        <v>467</v>
      </c>
      <c r="B74" t="s">
        <v>468</v>
      </c>
      <c r="C74" s="325" t="s">
        <v>469</v>
      </c>
    </row>
    <row r="75" spans="1:3" x14ac:dyDescent="0.4">
      <c r="A75">
        <v>2026</v>
      </c>
      <c r="B75">
        <v>201</v>
      </c>
      <c r="C75" s="325" t="s">
        <v>470</v>
      </c>
    </row>
    <row r="76" spans="1:3" x14ac:dyDescent="0.4">
      <c r="A76">
        <v>2026</v>
      </c>
      <c r="B76">
        <v>202</v>
      </c>
      <c r="C76" s="325" t="s">
        <v>470</v>
      </c>
    </row>
    <row r="77" spans="1:3" x14ac:dyDescent="0.4">
      <c r="A77">
        <v>2026</v>
      </c>
      <c r="B77">
        <v>203</v>
      </c>
      <c r="C77" s="325" t="s">
        <v>470</v>
      </c>
    </row>
    <row r="78" spans="1:3" x14ac:dyDescent="0.4">
      <c r="A78">
        <v>2026</v>
      </c>
      <c r="B78">
        <v>204</v>
      </c>
      <c r="C78" s="325" t="s">
        <v>470</v>
      </c>
    </row>
    <row r="79" spans="1:3" x14ac:dyDescent="0.4">
      <c r="A79">
        <v>2026</v>
      </c>
      <c r="B79">
        <v>205</v>
      </c>
      <c r="C79" s="325" t="s">
        <v>470</v>
      </c>
    </row>
    <row r="80" spans="1:3" x14ac:dyDescent="0.4">
      <c r="A80">
        <v>2026</v>
      </c>
      <c r="B80">
        <v>206</v>
      </c>
      <c r="C80" s="325" t="s">
        <v>470</v>
      </c>
    </row>
    <row r="81" spans="1:3" x14ac:dyDescent="0.4">
      <c r="A81">
        <v>2026</v>
      </c>
      <c r="B81">
        <v>207</v>
      </c>
      <c r="C81" s="325" t="s">
        <v>470</v>
      </c>
    </row>
    <row r="83" spans="1:3" x14ac:dyDescent="0.4">
      <c r="A83" t="s">
        <v>632</v>
      </c>
    </row>
    <row r="84" spans="1:3" x14ac:dyDescent="0.4">
      <c r="A84" t="s">
        <v>467</v>
      </c>
      <c r="B84" t="s">
        <v>468</v>
      </c>
      <c r="C84" s="325" t="s">
        <v>469</v>
      </c>
    </row>
    <row r="85" spans="1:3" x14ac:dyDescent="0.4">
      <c r="A85">
        <v>2027</v>
      </c>
      <c r="B85">
        <v>201</v>
      </c>
      <c r="C85" s="325" t="s">
        <v>470</v>
      </c>
    </row>
    <row r="86" spans="1:3" x14ac:dyDescent="0.4">
      <c r="A86">
        <v>2027</v>
      </c>
      <c r="B86">
        <v>202</v>
      </c>
      <c r="C86" s="325" t="s">
        <v>470</v>
      </c>
    </row>
    <row r="87" spans="1:3" x14ac:dyDescent="0.4">
      <c r="A87">
        <v>2027</v>
      </c>
      <c r="B87">
        <v>203</v>
      </c>
      <c r="C87" s="325" t="s">
        <v>470</v>
      </c>
    </row>
    <row r="88" spans="1:3" x14ac:dyDescent="0.4">
      <c r="A88">
        <v>2027</v>
      </c>
      <c r="B88">
        <v>204</v>
      </c>
      <c r="C88" s="325" t="s">
        <v>470</v>
      </c>
    </row>
    <row r="89" spans="1:3" x14ac:dyDescent="0.4">
      <c r="A89">
        <v>2027</v>
      </c>
      <c r="B89">
        <v>205</v>
      </c>
      <c r="C89" s="325" t="s">
        <v>470</v>
      </c>
    </row>
    <row r="90" spans="1:3" x14ac:dyDescent="0.4">
      <c r="A90">
        <v>2027</v>
      </c>
      <c r="B90">
        <v>206</v>
      </c>
      <c r="C90" s="325" t="s">
        <v>470</v>
      </c>
    </row>
    <row r="91" spans="1:3" x14ac:dyDescent="0.4">
      <c r="A91">
        <v>2027</v>
      </c>
      <c r="B91">
        <v>207</v>
      </c>
      <c r="C91" s="325" t="s">
        <v>470</v>
      </c>
    </row>
    <row r="93" spans="1:3" x14ac:dyDescent="0.4">
      <c r="A93" t="s">
        <v>633</v>
      </c>
    </row>
    <row r="94" spans="1:3" x14ac:dyDescent="0.4">
      <c r="A94" t="s">
        <v>467</v>
      </c>
      <c r="B94" t="s">
        <v>468</v>
      </c>
      <c r="C94" s="325" t="s">
        <v>469</v>
      </c>
    </row>
    <row r="95" spans="1:3" x14ac:dyDescent="0.4">
      <c r="A95">
        <v>2027</v>
      </c>
      <c r="B95">
        <v>201</v>
      </c>
      <c r="C95" s="325" t="s">
        <v>470</v>
      </c>
    </row>
    <row r="96" spans="1:3" x14ac:dyDescent="0.4">
      <c r="A96">
        <v>2027</v>
      </c>
      <c r="B96">
        <v>202</v>
      </c>
      <c r="C96" s="325" t="s">
        <v>470</v>
      </c>
    </row>
    <row r="97" spans="1:3" x14ac:dyDescent="0.4">
      <c r="A97">
        <v>2027</v>
      </c>
      <c r="B97">
        <v>203</v>
      </c>
      <c r="C97" s="325" t="s">
        <v>470</v>
      </c>
    </row>
    <row r="98" spans="1:3" x14ac:dyDescent="0.4">
      <c r="A98">
        <v>2027</v>
      </c>
      <c r="B98">
        <v>204</v>
      </c>
      <c r="C98" s="325" t="s">
        <v>470</v>
      </c>
    </row>
    <row r="99" spans="1:3" x14ac:dyDescent="0.4">
      <c r="A99">
        <v>2027</v>
      </c>
      <c r="B99">
        <v>205</v>
      </c>
      <c r="C99" s="325" t="s">
        <v>470</v>
      </c>
    </row>
    <row r="100" spans="1:3" x14ac:dyDescent="0.4">
      <c r="A100">
        <v>2027</v>
      </c>
      <c r="B100">
        <v>206</v>
      </c>
      <c r="C100" s="325" t="s">
        <v>470</v>
      </c>
    </row>
    <row r="101" spans="1:3" x14ac:dyDescent="0.4">
      <c r="A101">
        <v>2027</v>
      </c>
      <c r="B101">
        <v>207</v>
      </c>
      <c r="C101" s="325" t="s">
        <v>470</v>
      </c>
    </row>
  </sheetData>
  <phoneticPr fontId="17" type="noConversion"/>
  <pageMargins left="0.7" right="0.7" top="0.75" bottom="0.75" header="0.3" footer="0.3"/>
  <tableParts count="10">
    <tablePart r:id="rId1"/>
    <tablePart r:id="rId2"/>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CE9B4A8F71014698F88BC29B6E192A" ma:contentTypeVersion="16" ma:contentTypeDescription="Create a new document." ma:contentTypeScope="" ma:versionID="68049425e2794e4923aa6b0e4ed7e85e">
  <xsd:schema xmlns:xsd="http://www.w3.org/2001/XMLSchema" xmlns:xs="http://www.w3.org/2001/XMLSchema" xmlns:p="http://schemas.microsoft.com/office/2006/metadata/properties" xmlns:ns2="c39f4b84-f9a6-44fb-aafc-a432b04efa9b" xmlns:ns3="d2dd1e31-d7ef-441f-b9cd-947bc875d2a2" xmlns:ns4="http://schemas.microsoft.com/sharepoint/v3/fields" targetNamespace="http://schemas.microsoft.com/office/2006/metadata/properties" ma:root="true" ma:fieldsID="0854a4777ab4e2e696d238fb012ebbf9" ns2:_="" ns3:_="" ns4:_="">
    <xsd:import namespace="c39f4b84-f9a6-44fb-aafc-a432b04efa9b"/>
    <xsd:import namespace="d2dd1e31-d7ef-441f-b9cd-947bc875d2a2"/>
    <xsd:import namespace="http://schemas.microsoft.com/sharepoint/v3/fields"/>
    <xsd:element name="properties">
      <xsd:complexType>
        <xsd:sequence>
          <xsd:element name="documentManagement">
            <xsd:complexType>
              <xsd:all>
                <xsd:element ref="ns2:MediaServiceMetadata" minOccurs="0"/>
                <xsd:element ref="ns2:MediaServiceFastMetadata" minOccurs="0"/>
                <xsd:element ref="ns2:_Flow_SignoffStatus" minOccurs="0"/>
                <xsd:element ref="ns2:MediaServiceDateTaken" minOccurs="0"/>
                <xsd:element ref="ns2:MediaServiceObjectDetectorVersions" minOccurs="0"/>
                <xsd:element ref="ns2:MediaLengthInSecond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4:_Vers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9f4b84-f9a6-44fb-aafc-a432b04efa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Flow_SignoffStatus" ma:index="10" nillable="true" ma:displayName="Sign-off status" ma:internalName="Sign_x002d_off_x0020_status">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ae6c5d7-b21f-4aaa-ac91-296ecc6194c0"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dd1e31-d7ef-441f-b9cd-947bc875d2a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c294f38-9b84-4a17-9360-a40baffcaa28}" ma:internalName="TaxCatchAll" ma:showField="CatchAllData" ma:web="d2dd1e31-d7ef-441f-b9cd-947bc875d2a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3" nillable="true" ma:displayName="Version" ma:internalName="_Vers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c39f4b84-f9a6-44fb-aafc-a432b04efa9b" xsi:nil="true"/>
    <TaxCatchAll xmlns="d2dd1e31-d7ef-441f-b9cd-947bc875d2a2" xsi:nil="true"/>
    <lcf76f155ced4ddcb4097134ff3c332f xmlns="c39f4b84-f9a6-44fb-aafc-a432b04efa9b">
      <Terms xmlns="http://schemas.microsoft.com/office/infopath/2007/PartnerControls"/>
    </lcf76f155ced4ddcb4097134ff3c332f>
    <_Version xmlns="http://schemas.microsoft.com/sharepoint/v3/fields" xsi:nil="true"/>
  </documentManagement>
</p:properties>
</file>

<file path=customXml/item4.xml>��
</file>

<file path=customXml/itemProps1.xml><?xml version="1.0" encoding="utf-8"?>
<ds:datastoreItem xmlns:ds="http://schemas.openxmlformats.org/officeDocument/2006/customXml" ds:itemID="{87CAAE1A-8FA7-4BEE-94F7-8499641B89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9f4b84-f9a6-44fb-aafc-a432b04efa9b"/>
    <ds:schemaRef ds:uri="d2dd1e31-d7ef-441f-b9cd-947bc875d2a2"/>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6B5BB4-C412-40CB-8511-52CF28DBC02C}">
  <ds:schemaRefs>
    <ds:schemaRef ds:uri="http://schemas.microsoft.com/sharepoint/v3/contenttype/forms"/>
  </ds:schemaRefs>
</ds:datastoreItem>
</file>

<file path=customXml/itemProps3.xml><?xml version="1.0" encoding="utf-8"?>
<ds:datastoreItem xmlns:ds="http://schemas.openxmlformats.org/officeDocument/2006/customXml" ds:itemID="{70C55A14-10C7-405F-BC4C-F1EABC2E27DE}">
  <ds:schemaRefs>
    <ds:schemaRef ds:uri="http://www.w3.org/XML/1998/namespace"/>
    <ds:schemaRef ds:uri="http://purl.org/dc/terms/"/>
    <ds:schemaRef ds:uri="http://purl.org/dc/dcmitype/"/>
    <ds:schemaRef ds:uri="http://schemas.microsoft.com/sharepoint/v3/fields"/>
    <ds:schemaRef ds:uri="d2dd1e31-d7ef-441f-b9cd-947bc875d2a2"/>
    <ds:schemaRef ds:uri="http://schemas.microsoft.com/office/infopath/2007/PartnerControls"/>
    <ds:schemaRef ds:uri="http://schemas.openxmlformats.org/package/2006/metadata/core-properties"/>
    <ds:schemaRef ds:uri="http://schemas.microsoft.com/office/2006/documentManagement/types"/>
    <ds:schemaRef ds:uri="c39f4b84-f9a6-44fb-aafc-a432b04efa9b"/>
    <ds:schemaRef ds:uri="http://schemas.microsoft.com/office/2006/metadata/properties"/>
    <ds:schemaRef ds:uri="http://purl.org/dc/elements/1.1/"/>
  </ds:schemaRefs>
</ds:datastoreItem>
</file>

<file path=customXml/itemProps4.xml><?xml version="1.0" encoding="utf-8"?>
<ds:datastoreItem xmlns:ds="http://schemas.openxmlformats.org/officeDocument/2006/customXml" ds:itemID="{A572B5E1-A2D1-42A8-BB7A-ED5F877889F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42</vt:i4>
      </vt:variant>
    </vt:vector>
  </HeadingPairs>
  <TitlesOfParts>
    <vt:vector size="56" baseType="lpstr">
      <vt:lpstr>Validation Report</vt:lpstr>
      <vt:lpstr>Contents</vt:lpstr>
      <vt:lpstr>Reference Tables</vt:lpstr>
      <vt:lpstr>1. Cover Page</vt:lpstr>
      <vt:lpstr>2. Total Medical Expenses</vt:lpstr>
      <vt:lpstr>3. Age and Sex Factors </vt:lpstr>
      <vt:lpstr>4. Standard Deviation</vt:lpstr>
      <vt:lpstr>5. Line of Business Enrollment</vt:lpstr>
      <vt:lpstr>6. Pharmacy Rebates</vt:lpstr>
      <vt:lpstr>7. Mandatory Questions</vt:lpstr>
      <vt:lpstr>Data Validation Checks</vt:lpstr>
      <vt:lpstr>Validation by Market</vt:lpstr>
      <vt:lpstr>Validation by Provider</vt:lpstr>
      <vt:lpstr>CMSPubliclyAvailData</vt:lpstr>
      <vt:lpstr>'Reference Tables'!_ftn1</vt:lpstr>
      <vt:lpstr>'Reference Tables'!_ftn2</vt:lpstr>
      <vt:lpstr>'Reference Tables'!_ftn3</vt:lpstr>
      <vt:lpstr>'Reference Tables'!_ftnref3</vt:lpstr>
      <vt:lpstr>Commercial_MemberMonths_2024</vt:lpstr>
      <vt:lpstr>'Validation by Market'!Commercial_MemberMonths_2025</vt:lpstr>
      <vt:lpstr>ICC1_MemberMonths_2024</vt:lpstr>
      <vt:lpstr>'Validation by Market'!ICC1_MemberMonths_2025</vt:lpstr>
      <vt:lpstr>ICC2_MemberMonths_2024</vt:lpstr>
      <vt:lpstr>'Validation by Market'!ICC2_MemberMonths_2025</vt:lpstr>
      <vt:lpstr>ICC3_MemberMonths_2024</vt:lpstr>
      <vt:lpstr>'Validation by Market'!ICC3_MemberMonths_2025</vt:lpstr>
      <vt:lpstr>ICC4_MemberMonths_2024</vt:lpstr>
      <vt:lpstr>'Validation by Market'!ICC4_MemberMonths_2025</vt:lpstr>
      <vt:lpstr>ICC5_MemberMonths_2024</vt:lpstr>
      <vt:lpstr>'Validation by Market'!ICC5_MemberMonths_2025</vt:lpstr>
      <vt:lpstr>ICC6_MemberMonths_2024</vt:lpstr>
      <vt:lpstr>'Validation by Market'!ICC6_MemberMonths_2025</vt:lpstr>
      <vt:lpstr>ICC7_MemberMonths_2024</vt:lpstr>
      <vt:lpstr>'Validation by Market'!ICC7_MemberMonths_2025</vt:lpstr>
      <vt:lpstr>ICC8_MemberMonths_2024</vt:lpstr>
      <vt:lpstr>'Validation by Market'!ICC8_MemberMonths_2025</vt:lpstr>
      <vt:lpstr>'Data Validation Checks'!Insurer_Code</vt:lpstr>
      <vt:lpstr>Medicaid_MemberMonths_2024</vt:lpstr>
      <vt:lpstr>'Validation by Market'!Medicaid_MemberMonths_2025</vt:lpstr>
      <vt:lpstr>Medicare_MemberMonths_2024</vt:lpstr>
      <vt:lpstr>'Validation by Market'!Medicare_MemberMonths_2025</vt:lpstr>
      <vt:lpstr>'1. Cover Page'!Print_Area</vt:lpstr>
      <vt:lpstr>'2. Total Medical Expenses'!Print_Area</vt:lpstr>
      <vt:lpstr>'3. Age and Sex Factors '!Print_Area</vt:lpstr>
      <vt:lpstr>'4. Standard Deviation'!Print_Area</vt:lpstr>
      <vt:lpstr>'5. Line of Business Enrollment'!Print_Area</vt:lpstr>
      <vt:lpstr>'6. Pharmacy Rebates'!Print_Area</vt:lpstr>
      <vt:lpstr>'7. Mandatory Questions'!Print_Area</vt:lpstr>
      <vt:lpstr>'Contents'!Print_Area</vt:lpstr>
      <vt:lpstr>'Data Validation Checks'!Print_Area</vt:lpstr>
      <vt:lpstr>'Reference Tables'!Print_Area</vt:lpstr>
      <vt:lpstr>'Validation by Market'!Print_Area</vt:lpstr>
      <vt:lpstr>'Validation by Provider'!Print_Area</vt:lpstr>
      <vt:lpstr>'Validation Report'!Print_Area</vt:lpstr>
      <vt:lpstr>'2. Total Medical Expenses'!Print_Titles</vt:lpstr>
      <vt:lpstr>'Reference Tables'!Print_Titles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Carrier Benchmark Data Submission Template V#.#</dc:title>
  <dc:subject/>
  <dc:creator>NJ HART Program</dc:creator>
  <cp:keywords/>
  <dc:description/>
  <cp:lastModifiedBy>Jennifer Pugh</cp:lastModifiedBy>
  <cp:revision/>
  <cp:lastPrinted>2024-10-18T19:41:52Z</cp:lastPrinted>
  <dcterms:created xsi:type="dcterms:W3CDTF">2022-01-26T21:10:14Z</dcterms:created>
  <dcterms:modified xsi:type="dcterms:W3CDTF">2026-09-22T18:32:01Z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0x01010021CE9B4A8F71014698F88BC29B6E192A</vt:lpwstr>
  </property>
  <property fmtid="{D5CDD505-2E9C-101B-9397-08002B2CF9AE}" pid="3" name="MediaServiceImageTags">
    <vt:lpwstr/>
  </property>
  <property fmtid="{D5CDD505-2E9C-101B-9397-08002B2CF9AE}" pid="4" name="MSIP_Label_9a5e8a9d-1b12-42bd-9856-0af2bbe0ed89_Enabled">
    <vt:lpwstr>True</vt:lpwstr>
  </property>
  <property fmtid="{D5CDD505-2E9C-101B-9397-08002B2CF9AE}" pid="5" name="MSIP_Label_9a5e8a9d-1b12-42bd-9856-0af2bbe0ed89_SiteId">
    <vt:lpwstr>13af8d65-0b4b-4c0f-a446-a427419abfd6</vt:lpwstr>
  </property>
  <property fmtid="{D5CDD505-2E9C-101B-9397-08002B2CF9AE}" pid="6" name="MSIP_Label_9a5e8a9d-1b12-42bd-9856-0af2bbe0ed89_SetDate">
    <vt:lpwstr>2025-06-03T22:06:50Z</vt:lpwstr>
  </property>
  <property fmtid="{D5CDD505-2E9C-101B-9397-08002B2CF9AE}" pid="7" name="MSIP_Label_9a5e8a9d-1b12-42bd-9856-0af2bbe0ed89_Name">
    <vt:lpwstr>Confidential - Default</vt:lpwstr>
  </property>
  <property fmtid="{D5CDD505-2E9C-101B-9397-08002B2CF9AE}" pid="8" name="MSIP_Label_9a5e8a9d-1b12-42bd-9856-0af2bbe0ed89_ActionId">
    <vt:lpwstr>08408a49-9359-4579-869d-04a554ca3e48</vt:lpwstr>
  </property>
  <property fmtid="{D5CDD505-2E9C-101B-9397-08002B2CF9AE}" pid="9" name="MSIP_Label_9a5e8a9d-1b12-42bd-9856-0af2bbe0ed89_Removed">
    <vt:lpwstr>False</vt:lpwstr>
  </property>
  <property fmtid="{D5CDD505-2E9C-101B-9397-08002B2CF9AE}" pid="10" name="MSIP_Label_9a5e8a9d-1b12-42bd-9856-0af2bbe0ed89_Extended_MSFT_Method">
    <vt:lpwstr>Standard</vt:lpwstr>
  </property>
  <property fmtid="{D5CDD505-2E9C-101B-9397-08002B2CF9AE}" pid="11" name="Sensitivity">
    <vt:lpwstr>Confidential - Default</vt:lpwstr>
  </property>
</Properties>
</file>